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2" yWindow="-12" windowWidth="6120" windowHeight="9876" tabRatio="623"/>
  </bookViews>
  <sheets>
    <sheet name="MAIN" sheetId="1" r:id="rId1"/>
    <sheet name="FTP" sheetId="6" r:id="rId2"/>
  </sheets>
  <externalReferences>
    <externalReference r:id="rId3"/>
  </externalReferences>
  <definedNames>
    <definedName name="BigAreaToPaste">MAIN!$AC$19:$AN$260</definedName>
    <definedName name="BrentPhyBrentSpread">MAIN!$AH$6</definedName>
    <definedName name="BrentSeasonalityTable">MAIN!$AG$3:$AG$6</definedName>
    <definedName name="BrentVolTable">MAIN!$AF$10:$AH$14</definedName>
    <definedName name="CalcMode">MAIN!$AY$3</definedName>
    <definedName name="CollartionCap">MAIN!$C$44</definedName>
    <definedName name="CollartionFloor">MAIN!$B$44</definedName>
    <definedName name="CostlessCollarFirstAdjustment">MAIN!$BF$13</definedName>
    <definedName name="CostlessCollarValue">MAIN!$BF$12</definedName>
    <definedName name="DateCurve">MAIN!$G$32</definedName>
    <definedName name="DatedBrentSpread">MAIN!$DO$19:$DO$260</definedName>
    <definedName name="DateEnd">MAIN!$G$3</definedName>
    <definedName name="DateEnd2">MAIN!$G$24</definedName>
    <definedName name="DateIR">MAIN!$AT$13</definedName>
    <definedName name="DateStart">MAIN!$F$3</definedName>
    <definedName name="DateStart2">MAIN!$F$24</definedName>
    <definedName name="DateToday">MAIN!$G$31</definedName>
    <definedName name="DaysForThetaCalculation">MAIN!$AT$9</definedName>
    <definedName name="EuroOptionMonthPosition">MAIN!$AY$6</definedName>
    <definedName name="ExtendableFirstAdjustment">MAIN!$BF$4</definedName>
    <definedName name="ExtendableSwapValue">MAIN!$BF$3</definedName>
    <definedName name="FileName">FTP!$B$6</definedName>
    <definedName name="FileType">FTP!$B$7</definedName>
    <definedName name="FirstMonthToSave">MAIN!$DE$19</definedName>
    <definedName name="FirstPricingMonth">MAIN!$I$19</definedName>
    <definedName name="FTPConfig">FTP!$B$8</definedName>
    <definedName name="HolidaysBrent">MAIN!$ES$19:$ES$97</definedName>
    <definedName name="HolidaysWTI">MAIN!$ER$19:$ER$97</definedName>
    <definedName name="IntradayBrentPriceChanges">MAIN!$Q$20:$Q$260</definedName>
    <definedName name="IntradayVolChanges">MAIN!$N$20:$N$260</definedName>
    <definedName name="IntradayWTIPriceChanges">MAIN!$K$20:$K$260</definedName>
    <definedName name="LocalPath">FTP!$B$4</definedName>
    <definedName name="NextMonth">MAIN!$I$20</definedName>
    <definedName name="NominalVolume">MAIN!$D$32</definedName>
    <definedName name="OptControl">MAIN!$AT$4</definedName>
    <definedName name="ParticipatingFirstAdjustment">MAIN!$BF$7</definedName>
    <definedName name="ParticipatingSwapPrice">MAIN!$E$47</definedName>
    <definedName name="ParticipatingSwapValue">MAIN!$BF$6</definedName>
    <definedName name="ParticipationRate">MAIN!$B$47</definedName>
    <definedName name="ParticipationType">MAIN!$AT$6</definedName>
    <definedName name="PositionBrentPrice">MAIN!$P$20</definedName>
    <definedName name="PositionIR">MAIN!$AO$20</definedName>
    <definedName name="PositionWTIPrice">MAIN!$J$20</definedName>
    <definedName name="PositionWTIVol">MAIN!$M$20</definedName>
    <definedName name="PriceSpreadAsian">MAIN!$B$6</definedName>
    <definedName name="PriceSpreadEuro">MAIN!#REF!</definedName>
    <definedName name="PriceSpreadTable">MAIN!$AB$4:$AD$14</definedName>
    <definedName name="PricingArea">MAIN!$I$19:$AV$260</definedName>
    <definedName name="PutGet">FTP!$B$3</definedName>
    <definedName name="RangePriceBrent">MAIN!$DH$19:$DI$260</definedName>
    <definedName name="RangePriceBrentDated">MAIN!$DM$19:$DN$260</definedName>
    <definedName name="RangePriceBrentPhy">MAIN!$DK$19:$DL$260</definedName>
    <definedName name="RangePriceWTI">MAIN!$DE$19:$DF$260</definedName>
    <definedName name="RangeVolBrent">MAIN!$DS$19:$DT$260</definedName>
    <definedName name="RangeVolBRNTDT">MAIN!$DX$19:$DY$260</definedName>
    <definedName name="RangeVolExpPrompt">MAIN!$DV$19:$DW$260</definedName>
    <definedName name="RangeVolWTI">MAIN!$DP$19:$DQ$260</definedName>
    <definedName name="RegressionParameters">MAIN!$S$18:$U$260</definedName>
    <definedName name="RemotePath">FTP!$B$5</definedName>
    <definedName name="Strike1">MAIN!$G$9</definedName>
    <definedName name="Strike2">MAIN!$G$10</definedName>
    <definedName name="StrikeSpec1">MAIN!$F$9</definedName>
    <definedName name="StrikeSpec2">MAIN!$F$10</definedName>
    <definedName name="SwapCurveBrent">MAIN!$Z$19:$Z$260</definedName>
    <definedName name="SwapCurveWTI">MAIN!$X$19:$X$260</definedName>
    <definedName name="SwapFirstMonthPosition">MAIN!$AY$5</definedName>
    <definedName name="SwapNumOfMonths">MAIN!$AY$4</definedName>
    <definedName name="SwapPriceCurve">MAIN!$E$6</definedName>
    <definedName name="SwapPriceSettle">MAIN!$D$6</definedName>
    <definedName name="SwaptionFirstMonthPosition">MAIN!$AY$8</definedName>
    <definedName name="SwaptionMonthsToGo">MAIN!$BN$11</definedName>
    <definedName name="SwaptionNumOfMonths">MAIN!$AY$7</definedName>
    <definedName name="SwaptionPremium">MAIN!$G$29</definedName>
    <definedName name="SwaptionShift">MAIN!$BN$12</definedName>
    <definedName name="SwaptionStrike">MAIN!$G$27</definedName>
    <definedName name="SwaptionType">MAIN!$AT$5</definedName>
    <definedName name="SwaptionUnderlyingPrice">MAIN!$D$29</definedName>
    <definedName name="SwaptionVol">MAIN!$E$29</definedName>
    <definedName name="SwaptionVolTable">MAIN!$IH$2:$IP$11</definedName>
    <definedName name="SwaptionYearsToExp">MAIN!$BN$10</definedName>
    <definedName name="TradingStatusTable">MAIN!$AG$19:$AH$200</definedName>
    <definedName name="Underlying">MAIN!$AT$3</definedName>
    <definedName name="UnderlyingPriceAsian">MAIN!$G$6</definedName>
    <definedName name="VolCurveBrent">MAIN!$AT$20:$AT$260</definedName>
    <definedName name="VolCurveBrentOTC">MAIN!$EF$19:$EF$260</definedName>
    <definedName name="VolCurveExpPrompt">MAIN!$S$20:$S$260</definedName>
    <definedName name="VolCurveWTIOTC">MAIN!$EE$19:$EE$260</definedName>
    <definedName name="VolSkewFlag">MAIN!$AT$7</definedName>
    <definedName name="VolSkewTable">MAIN!$T$5:$Z$8</definedName>
    <definedName name="Volume">MAIN!$C$32</definedName>
    <definedName name="VolumeOverrideFlag">MAIN!$AT$8</definedName>
    <definedName name="VolumeSwaption">MAIN!$C$33</definedName>
  </definedNames>
  <calcPr calcId="92512"/>
</workbook>
</file>

<file path=xl/calcChain.xml><?xml version="1.0" encoding="utf-8"?>
<calcChain xmlns="http://schemas.openxmlformats.org/spreadsheetml/2006/main">
  <c r="B6" i="6" l="1"/>
  <c r="C6" i="6"/>
  <c r="A2" i="1"/>
  <c r="A3" i="1"/>
  <c r="F3" i="1"/>
  <c r="G3" i="1"/>
  <c r="AN3" i="1"/>
  <c r="BF3" i="1"/>
  <c r="A4" i="1"/>
  <c r="AN4" i="1"/>
  <c r="BF4" i="1"/>
  <c r="BL4" i="1"/>
  <c r="BM4" i="1"/>
  <c r="BN4" i="1"/>
  <c r="A5" i="1"/>
  <c r="AN5" i="1"/>
  <c r="BL5" i="1"/>
  <c r="BM5" i="1"/>
  <c r="BN5" i="1"/>
  <c r="A6" i="1"/>
  <c r="C6" i="1"/>
  <c r="D6" i="1"/>
  <c r="E6" i="1"/>
  <c r="G6" i="1"/>
  <c r="AN6" i="1"/>
  <c r="BF6" i="1"/>
  <c r="AN7" i="1"/>
  <c r="BF7" i="1"/>
  <c r="BN7" i="1"/>
  <c r="BN8" i="1"/>
  <c r="A9" i="1"/>
  <c r="E9" i="1"/>
  <c r="F9" i="1"/>
  <c r="G9" i="1"/>
  <c r="AM9" i="1"/>
  <c r="AN9" i="1"/>
  <c r="BF9" i="1"/>
  <c r="BN9" i="1"/>
  <c r="A10" i="1"/>
  <c r="E10" i="1"/>
  <c r="F10" i="1"/>
  <c r="G10" i="1"/>
  <c r="AM10" i="1"/>
  <c r="AN10" i="1"/>
  <c r="BF10" i="1"/>
  <c r="BN10" i="1"/>
  <c r="A11" i="1"/>
  <c r="AM11" i="1"/>
  <c r="AN11" i="1"/>
  <c r="AY11" i="1"/>
  <c r="BN11" i="1"/>
  <c r="F12" i="1"/>
  <c r="BF12" i="1"/>
  <c r="BN12" i="1"/>
  <c r="A13" i="1"/>
  <c r="B13" i="1"/>
  <c r="C13" i="1"/>
  <c r="D13" i="1"/>
  <c r="E13" i="1"/>
  <c r="F13" i="1"/>
  <c r="AT13" i="1"/>
  <c r="BF13" i="1"/>
  <c r="A14" i="1"/>
  <c r="B14" i="1"/>
  <c r="C14" i="1"/>
  <c r="D14" i="1"/>
  <c r="E14" i="1"/>
  <c r="F14" i="1"/>
  <c r="A15" i="1"/>
  <c r="B15" i="1"/>
  <c r="C15" i="1"/>
  <c r="D15" i="1"/>
  <c r="E15" i="1"/>
  <c r="F15" i="1"/>
  <c r="I15" i="1"/>
  <c r="FO15" i="1"/>
  <c r="FP15" i="1"/>
  <c r="FQ15" i="1"/>
  <c r="FR15" i="1"/>
  <c r="FS15" i="1"/>
  <c r="FT15" i="1"/>
  <c r="FU15" i="1"/>
  <c r="FV15" i="1"/>
  <c r="FW15" i="1"/>
  <c r="FX15" i="1"/>
  <c r="FY15" i="1"/>
  <c r="FZ15" i="1"/>
  <c r="GA15" i="1"/>
  <c r="GB15" i="1"/>
  <c r="GC15" i="1"/>
  <c r="GD15" i="1"/>
  <c r="GE15" i="1"/>
  <c r="GF15" i="1"/>
  <c r="GG15" i="1"/>
  <c r="GH15" i="1"/>
  <c r="GI15" i="1"/>
  <c r="GJ15" i="1"/>
  <c r="GK15" i="1"/>
  <c r="GL15" i="1"/>
  <c r="GM15" i="1"/>
  <c r="GN15" i="1"/>
  <c r="GO15" i="1"/>
  <c r="GP15" i="1"/>
  <c r="GQ15" i="1"/>
  <c r="GR15" i="1"/>
  <c r="GS15" i="1"/>
  <c r="GT15" i="1"/>
  <c r="GU15" i="1"/>
  <c r="GV15" i="1"/>
  <c r="GW15" i="1"/>
  <c r="GX15" i="1"/>
  <c r="GY15" i="1"/>
  <c r="GZ15" i="1"/>
  <c r="HA15" i="1"/>
  <c r="HB15" i="1"/>
  <c r="HC15" i="1"/>
  <c r="HD15" i="1"/>
  <c r="HE15" i="1"/>
  <c r="HF15" i="1"/>
  <c r="HG15" i="1"/>
  <c r="HH15" i="1"/>
  <c r="HI15" i="1"/>
  <c r="HJ15" i="1"/>
  <c r="HK15" i="1"/>
  <c r="HL15" i="1"/>
  <c r="HM15" i="1"/>
  <c r="HN15" i="1"/>
  <c r="HO15" i="1"/>
  <c r="HP15" i="1"/>
  <c r="HQ15" i="1"/>
  <c r="HR15" i="1"/>
  <c r="HS15" i="1"/>
  <c r="HT15" i="1"/>
  <c r="HU15" i="1"/>
  <c r="HV15" i="1"/>
  <c r="HW15" i="1"/>
  <c r="HX15" i="1"/>
  <c r="HY15" i="1"/>
  <c r="HZ15" i="1"/>
  <c r="IA15" i="1"/>
  <c r="IB15" i="1"/>
  <c r="IC15" i="1"/>
  <c r="ID15" i="1"/>
  <c r="IE15" i="1"/>
  <c r="IF15" i="1"/>
  <c r="IG15" i="1"/>
  <c r="IH15" i="1"/>
  <c r="A16" i="1"/>
  <c r="B16" i="1"/>
  <c r="C16" i="1"/>
  <c r="D16" i="1"/>
  <c r="E16" i="1"/>
  <c r="F16" i="1"/>
  <c r="I16" i="1"/>
  <c r="CV16" i="1"/>
  <c r="CZ16" i="1"/>
  <c r="A17" i="1"/>
  <c r="I17" i="1"/>
  <c r="BY17" i="1"/>
  <c r="BZ17" i="1"/>
  <c r="CA17" i="1"/>
  <c r="CB17" i="1"/>
  <c r="CD17" i="1"/>
  <c r="CH17" i="1"/>
  <c r="A18" i="1"/>
  <c r="F18" i="1"/>
  <c r="I18" i="1"/>
  <c r="BQ18" i="1"/>
  <c r="BR18" i="1"/>
  <c r="BW18" i="1"/>
  <c r="BX18" i="1"/>
  <c r="CO18" i="1"/>
  <c r="CP18" i="1"/>
  <c r="CQ18" i="1"/>
  <c r="CR18" i="1"/>
  <c r="CT18" i="1"/>
  <c r="CU18" i="1"/>
  <c r="EH18" i="1"/>
  <c r="EI18" i="1"/>
  <c r="EJ18" i="1"/>
  <c r="EK18" i="1"/>
  <c r="B19" i="1"/>
  <c r="C19" i="1"/>
  <c r="D19" i="1"/>
  <c r="E19" i="1"/>
  <c r="F19" i="1"/>
  <c r="W19" i="1"/>
  <c r="X19" i="1"/>
  <c r="Y19" i="1"/>
  <c r="Z19" i="1"/>
  <c r="AA19" i="1"/>
  <c r="AB19" i="1"/>
  <c r="AS19" i="1"/>
  <c r="AU19" i="1"/>
  <c r="AW19" i="1"/>
  <c r="AX19" i="1"/>
  <c r="AY19" i="1"/>
  <c r="AZ19" i="1"/>
  <c r="BA19" i="1"/>
  <c r="BB19" i="1"/>
  <c r="BC19" i="1"/>
  <c r="BD19" i="1"/>
  <c r="BE19" i="1"/>
  <c r="BF19" i="1"/>
  <c r="BG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D19" i="1"/>
  <c r="CE19" i="1"/>
  <c r="CF19" i="1"/>
  <c r="CG19" i="1"/>
  <c r="CH19" i="1"/>
  <c r="CI19" i="1"/>
  <c r="CJ19" i="1"/>
  <c r="CK19" i="1"/>
  <c r="DE19" i="1"/>
  <c r="DH19" i="1"/>
  <c r="DK19" i="1"/>
  <c r="DL19" i="1"/>
  <c r="DM19" i="1"/>
  <c r="DN19" i="1"/>
  <c r="DP19" i="1"/>
  <c r="DS19" i="1"/>
  <c r="DV19" i="1"/>
  <c r="DX19" i="1"/>
  <c r="DY19" i="1"/>
  <c r="EE19" i="1"/>
  <c r="EF19" i="1"/>
  <c r="EG19" i="1"/>
  <c r="EH19" i="1"/>
  <c r="EI19" i="1"/>
  <c r="EJ19" i="1"/>
  <c r="EK19" i="1"/>
  <c r="FA19" i="1"/>
  <c r="A20" i="1"/>
  <c r="B20" i="1"/>
  <c r="C20" i="1"/>
  <c r="D20" i="1"/>
  <c r="E20" i="1"/>
  <c r="F20" i="1"/>
  <c r="H20" i="1"/>
  <c r="I20" i="1"/>
  <c r="L20" i="1"/>
  <c r="O20" i="1"/>
  <c r="R20" i="1"/>
  <c r="S20" i="1"/>
  <c r="T20" i="1"/>
  <c r="U20" i="1"/>
  <c r="W20" i="1"/>
  <c r="X20" i="1"/>
  <c r="Y20" i="1"/>
  <c r="Z20" i="1"/>
  <c r="AA20" i="1"/>
  <c r="AB20" i="1"/>
  <c r="AP20" i="1"/>
  <c r="AR20" i="1"/>
  <c r="AS20" i="1"/>
  <c r="AT20" i="1"/>
  <c r="AU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D20" i="1"/>
  <c r="CE20" i="1"/>
  <c r="CF20" i="1"/>
  <c r="CG20" i="1"/>
  <c r="CH20" i="1"/>
  <c r="CI20" i="1"/>
  <c r="CJ20" i="1"/>
  <c r="CK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E20" i="1"/>
  <c r="DH20" i="1"/>
  <c r="DK20" i="1"/>
  <c r="DL20" i="1"/>
  <c r="DM20" i="1"/>
  <c r="DN20" i="1"/>
  <c r="DP20" i="1"/>
  <c r="DS20" i="1"/>
  <c r="DV20" i="1"/>
  <c r="DX20" i="1"/>
  <c r="DY20" i="1"/>
  <c r="EA20" i="1"/>
  <c r="EB20" i="1"/>
  <c r="EC20" i="1"/>
  <c r="ED20" i="1"/>
  <c r="EE20" i="1"/>
  <c r="EF20" i="1"/>
  <c r="EG20" i="1"/>
  <c r="EH20" i="1"/>
  <c r="EI20" i="1"/>
  <c r="EJ20" i="1"/>
  <c r="EK20" i="1"/>
  <c r="EM20" i="1"/>
  <c r="EN20" i="1"/>
  <c r="EO20" i="1"/>
  <c r="EP20" i="1"/>
  <c r="EX20" i="1"/>
  <c r="EY20" i="1"/>
  <c r="EZ20" i="1"/>
  <c r="FF20" i="1"/>
  <c r="FG20" i="1"/>
  <c r="FH20" i="1"/>
  <c r="FI20" i="1"/>
  <c r="FJ20" i="1"/>
  <c r="FK20" i="1"/>
  <c r="FL20" i="1"/>
  <c r="FO20" i="1"/>
  <c r="FP20" i="1"/>
  <c r="FQ20" i="1"/>
  <c r="FR20" i="1"/>
  <c r="FS20" i="1"/>
  <c r="FT20" i="1"/>
  <c r="FU20" i="1"/>
  <c r="FV20" i="1"/>
  <c r="FW20" i="1"/>
  <c r="FX20" i="1"/>
  <c r="FY20" i="1"/>
  <c r="FZ20" i="1"/>
  <c r="GA20" i="1"/>
  <c r="GB20" i="1"/>
  <c r="GC20" i="1"/>
  <c r="GD20" i="1"/>
  <c r="GE20" i="1"/>
  <c r="GF20" i="1"/>
  <c r="GG20" i="1"/>
  <c r="GH20" i="1"/>
  <c r="GI20" i="1"/>
  <c r="GJ20" i="1"/>
  <c r="GK20" i="1"/>
  <c r="GL20" i="1"/>
  <c r="GM20" i="1"/>
  <c r="GN20" i="1"/>
  <c r="GO20" i="1"/>
  <c r="GP20" i="1"/>
  <c r="GQ20" i="1"/>
  <c r="GR20" i="1"/>
  <c r="GS20" i="1"/>
  <c r="GT20" i="1"/>
  <c r="GU20" i="1"/>
  <c r="GV20" i="1"/>
  <c r="GW20" i="1"/>
  <c r="GX20" i="1"/>
  <c r="GY20" i="1"/>
  <c r="GZ20" i="1"/>
  <c r="HA20" i="1"/>
  <c r="HB20" i="1"/>
  <c r="HC20" i="1"/>
  <c r="HD20" i="1"/>
  <c r="HE20" i="1"/>
  <c r="HF20" i="1"/>
  <c r="HG20" i="1"/>
  <c r="HH20" i="1"/>
  <c r="HI20" i="1"/>
  <c r="HJ20" i="1"/>
  <c r="HK20" i="1"/>
  <c r="HL20" i="1"/>
  <c r="HM20" i="1"/>
  <c r="HN20" i="1"/>
  <c r="HO20" i="1"/>
  <c r="HP20" i="1"/>
  <c r="HQ20" i="1"/>
  <c r="HR20" i="1"/>
  <c r="HS20" i="1"/>
  <c r="HT20" i="1"/>
  <c r="HU20" i="1"/>
  <c r="HV20" i="1"/>
  <c r="HW20" i="1"/>
  <c r="HX20" i="1"/>
  <c r="HY20" i="1"/>
  <c r="HZ20" i="1"/>
  <c r="IA20" i="1"/>
  <c r="IB20" i="1"/>
  <c r="IC20" i="1"/>
  <c r="ID20" i="1"/>
  <c r="IE20" i="1"/>
  <c r="IF20" i="1"/>
  <c r="IG20" i="1"/>
  <c r="IH20" i="1"/>
  <c r="A21" i="1"/>
  <c r="B21" i="1"/>
  <c r="C21" i="1"/>
  <c r="D21" i="1"/>
  <c r="E21" i="1"/>
  <c r="F21" i="1"/>
  <c r="H21" i="1"/>
  <c r="I21" i="1"/>
  <c r="L21" i="1"/>
  <c r="O21" i="1"/>
  <c r="R21" i="1"/>
  <c r="T21" i="1"/>
  <c r="U21" i="1"/>
  <c r="W21" i="1"/>
  <c r="X21" i="1"/>
  <c r="Y21" i="1"/>
  <c r="Z21" i="1"/>
  <c r="AA21" i="1"/>
  <c r="AB21" i="1"/>
  <c r="AP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D21" i="1"/>
  <c r="CE21" i="1"/>
  <c r="CF21" i="1"/>
  <c r="CG21" i="1"/>
  <c r="CH21" i="1"/>
  <c r="CI21" i="1"/>
  <c r="CJ21" i="1"/>
  <c r="CK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E21" i="1"/>
  <c r="DH21" i="1"/>
  <c r="DK21" i="1"/>
  <c r="DL21" i="1"/>
  <c r="DM21" i="1"/>
  <c r="DN21" i="1"/>
  <c r="DP21" i="1"/>
  <c r="DS21" i="1"/>
  <c r="DV21" i="1"/>
  <c r="DX21" i="1"/>
  <c r="DY21" i="1"/>
  <c r="EA21" i="1"/>
  <c r="EB21" i="1"/>
  <c r="EC21" i="1"/>
  <c r="ED21" i="1"/>
  <c r="EE21" i="1"/>
  <c r="EF21" i="1"/>
  <c r="EG21" i="1"/>
  <c r="EH21" i="1"/>
  <c r="EI21" i="1"/>
  <c r="EJ21" i="1"/>
  <c r="EK21" i="1"/>
  <c r="EM21" i="1"/>
  <c r="EN21" i="1"/>
  <c r="EO21" i="1"/>
  <c r="EP21" i="1"/>
  <c r="EX21" i="1"/>
  <c r="EY21" i="1"/>
  <c r="EZ21" i="1"/>
  <c r="FA21" i="1"/>
  <c r="FB21" i="1"/>
  <c r="FD21" i="1"/>
  <c r="FE21" i="1"/>
  <c r="FF21" i="1"/>
  <c r="FG21" i="1"/>
  <c r="FH21" i="1"/>
  <c r="FI21" i="1"/>
  <c r="FJ21" i="1"/>
  <c r="FK21" i="1"/>
  <c r="FL21" i="1"/>
  <c r="FO21" i="1"/>
  <c r="FP21" i="1"/>
  <c r="FQ21" i="1"/>
  <c r="FR21" i="1"/>
  <c r="FS21" i="1"/>
  <c r="FT21" i="1"/>
  <c r="FU21" i="1"/>
  <c r="FV21" i="1"/>
  <c r="FW21" i="1"/>
  <c r="FX21" i="1"/>
  <c r="FY21" i="1"/>
  <c r="FZ21" i="1"/>
  <c r="GA21" i="1"/>
  <c r="GB21" i="1"/>
  <c r="GC21" i="1"/>
  <c r="GD21" i="1"/>
  <c r="GE21" i="1"/>
  <c r="GF21" i="1"/>
  <c r="GG21" i="1"/>
  <c r="GH21" i="1"/>
  <c r="GI21" i="1"/>
  <c r="GJ21" i="1"/>
  <c r="GK21" i="1"/>
  <c r="GL21" i="1"/>
  <c r="GM21" i="1"/>
  <c r="GN21" i="1"/>
  <c r="GO21" i="1"/>
  <c r="GP21" i="1"/>
  <c r="GQ21" i="1"/>
  <c r="GR21" i="1"/>
  <c r="GS21" i="1"/>
  <c r="GT21" i="1"/>
  <c r="GU21" i="1"/>
  <c r="GV21" i="1"/>
  <c r="GW21" i="1"/>
  <c r="GX21" i="1"/>
  <c r="GY21" i="1"/>
  <c r="GZ21" i="1"/>
  <c r="HA21" i="1"/>
  <c r="HB21" i="1"/>
  <c r="HC21" i="1"/>
  <c r="HD21" i="1"/>
  <c r="HE21" i="1"/>
  <c r="HF21" i="1"/>
  <c r="HG21" i="1"/>
  <c r="HH21" i="1"/>
  <c r="HI21" i="1"/>
  <c r="HJ21" i="1"/>
  <c r="HK21" i="1"/>
  <c r="HL21" i="1"/>
  <c r="HM21" i="1"/>
  <c r="HN21" i="1"/>
  <c r="HO21" i="1"/>
  <c r="HP21" i="1"/>
  <c r="HQ21" i="1"/>
  <c r="HR21" i="1"/>
  <c r="HS21" i="1"/>
  <c r="HT21" i="1"/>
  <c r="HU21" i="1"/>
  <c r="HV21" i="1"/>
  <c r="HW21" i="1"/>
  <c r="HX21" i="1"/>
  <c r="HY21" i="1"/>
  <c r="HZ21" i="1"/>
  <c r="IA21" i="1"/>
  <c r="IB21" i="1"/>
  <c r="IC21" i="1"/>
  <c r="ID21" i="1"/>
  <c r="IE21" i="1"/>
  <c r="IF21" i="1"/>
  <c r="IG21" i="1"/>
  <c r="IH21" i="1"/>
  <c r="A22" i="1"/>
  <c r="B22" i="1"/>
  <c r="C22" i="1"/>
  <c r="D22" i="1"/>
  <c r="E22" i="1"/>
  <c r="F22" i="1"/>
  <c r="G22" i="1"/>
  <c r="H22" i="1"/>
  <c r="I22" i="1"/>
  <c r="L22" i="1"/>
  <c r="O22" i="1"/>
  <c r="R22" i="1"/>
  <c r="S22" i="1"/>
  <c r="T22" i="1"/>
  <c r="U22" i="1"/>
  <c r="W22" i="1"/>
  <c r="X22" i="1"/>
  <c r="Y22" i="1"/>
  <c r="Z22" i="1"/>
  <c r="AA22" i="1"/>
  <c r="AB22" i="1"/>
  <c r="AP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D22" i="1"/>
  <c r="CE22" i="1"/>
  <c r="CF22" i="1"/>
  <c r="CG22" i="1"/>
  <c r="CH22" i="1"/>
  <c r="CI22" i="1"/>
  <c r="CJ22" i="1"/>
  <c r="CK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E22" i="1"/>
  <c r="DH22" i="1"/>
  <c r="DK22" i="1"/>
  <c r="DL22" i="1"/>
  <c r="DM22" i="1"/>
  <c r="DN22" i="1"/>
  <c r="DP22" i="1"/>
  <c r="DS22" i="1"/>
  <c r="DV22" i="1"/>
  <c r="DX22" i="1"/>
  <c r="DY22" i="1"/>
  <c r="EA22" i="1"/>
  <c r="EB22" i="1"/>
  <c r="EC22" i="1"/>
  <c r="ED22" i="1"/>
  <c r="EE22" i="1"/>
  <c r="EF22" i="1"/>
  <c r="EG22" i="1"/>
  <c r="EH22" i="1"/>
  <c r="EI22" i="1"/>
  <c r="EJ22" i="1"/>
  <c r="EK22" i="1"/>
  <c r="EM22" i="1"/>
  <c r="EN22" i="1"/>
  <c r="EO22" i="1"/>
  <c r="EP22" i="1"/>
  <c r="EX22" i="1"/>
  <c r="EY22" i="1"/>
  <c r="EZ22" i="1"/>
  <c r="FA22" i="1"/>
  <c r="FB22" i="1"/>
  <c r="FD22" i="1"/>
  <c r="FE22" i="1"/>
  <c r="FF22" i="1"/>
  <c r="FG22" i="1"/>
  <c r="FH22" i="1"/>
  <c r="FI22" i="1"/>
  <c r="FJ22" i="1"/>
  <c r="FK22" i="1"/>
  <c r="FL22" i="1"/>
  <c r="FO22" i="1"/>
  <c r="FP22" i="1"/>
  <c r="FQ22" i="1"/>
  <c r="FR22" i="1"/>
  <c r="FS22" i="1"/>
  <c r="FT22" i="1"/>
  <c r="FU22" i="1"/>
  <c r="FV22" i="1"/>
  <c r="FW22" i="1"/>
  <c r="FX22" i="1"/>
  <c r="FY22" i="1"/>
  <c r="FZ22" i="1"/>
  <c r="GA22" i="1"/>
  <c r="GB22" i="1"/>
  <c r="GC22" i="1"/>
  <c r="GD22" i="1"/>
  <c r="GE22" i="1"/>
  <c r="GF22" i="1"/>
  <c r="GG22" i="1"/>
  <c r="GH22" i="1"/>
  <c r="GI22" i="1"/>
  <c r="GJ22" i="1"/>
  <c r="GK22" i="1"/>
  <c r="GL22" i="1"/>
  <c r="GM22" i="1"/>
  <c r="GN22" i="1"/>
  <c r="GO22" i="1"/>
  <c r="GP22" i="1"/>
  <c r="GQ22" i="1"/>
  <c r="GR22" i="1"/>
  <c r="GS22" i="1"/>
  <c r="GT22" i="1"/>
  <c r="GU22" i="1"/>
  <c r="GV22" i="1"/>
  <c r="GW22" i="1"/>
  <c r="GX22" i="1"/>
  <c r="GY22" i="1"/>
  <c r="GZ22" i="1"/>
  <c r="HA22" i="1"/>
  <c r="HB22" i="1"/>
  <c r="HC22" i="1"/>
  <c r="HD22" i="1"/>
  <c r="HE22" i="1"/>
  <c r="HF22" i="1"/>
  <c r="HG22" i="1"/>
  <c r="HH22" i="1"/>
  <c r="HI22" i="1"/>
  <c r="HJ22" i="1"/>
  <c r="HK22" i="1"/>
  <c r="HL22" i="1"/>
  <c r="HM22" i="1"/>
  <c r="HN22" i="1"/>
  <c r="HO22" i="1"/>
  <c r="HP22" i="1"/>
  <c r="HQ22" i="1"/>
  <c r="HR22" i="1"/>
  <c r="HS22" i="1"/>
  <c r="HT22" i="1"/>
  <c r="HU22" i="1"/>
  <c r="HV22" i="1"/>
  <c r="HW22" i="1"/>
  <c r="HX22" i="1"/>
  <c r="HY22" i="1"/>
  <c r="HZ22" i="1"/>
  <c r="IA22" i="1"/>
  <c r="IB22" i="1"/>
  <c r="IC22" i="1"/>
  <c r="ID22" i="1"/>
  <c r="IE22" i="1"/>
  <c r="IF22" i="1"/>
  <c r="IG22" i="1"/>
  <c r="IH22" i="1"/>
  <c r="A23" i="1"/>
  <c r="H23" i="1"/>
  <c r="I23" i="1"/>
  <c r="L23" i="1"/>
  <c r="O23" i="1"/>
  <c r="R23" i="1"/>
  <c r="S23" i="1"/>
  <c r="T23" i="1"/>
  <c r="U23" i="1"/>
  <c r="W23" i="1"/>
  <c r="X23" i="1"/>
  <c r="Y23" i="1"/>
  <c r="Z23" i="1"/>
  <c r="AA23" i="1"/>
  <c r="AB23" i="1"/>
  <c r="AP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D23" i="1"/>
  <c r="CE23" i="1"/>
  <c r="CF23" i="1"/>
  <c r="CG23" i="1"/>
  <c r="CH23" i="1"/>
  <c r="CI23" i="1"/>
  <c r="CJ23" i="1"/>
  <c r="CK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E23" i="1"/>
  <c r="DH23" i="1"/>
  <c r="DK23" i="1"/>
  <c r="DL23" i="1"/>
  <c r="DM23" i="1"/>
  <c r="DN23" i="1"/>
  <c r="DP23" i="1"/>
  <c r="DS23" i="1"/>
  <c r="DV23" i="1"/>
  <c r="DX23" i="1"/>
  <c r="DY23" i="1"/>
  <c r="EA23" i="1"/>
  <c r="EB23" i="1"/>
  <c r="EC23" i="1"/>
  <c r="ED23" i="1"/>
  <c r="EE23" i="1"/>
  <c r="EF23" i="1"/>
  <c r="EG23" i="1"/>
  <c r="EH23" i="1"/>
  <c r="EI23" i="1"/>
  <c r="EJ23" i="1"/>
  <c r="EK23" i="1"/>
  <c r="EM23" i="1"/>
  <c r="EN23" i="1"/>
  <c r="EO23" i="1"/>
  <c r="EP23" i="1"/>
  <c r="EX23" i="1"/>
  <c r="EY23" i="1"/>
  <c r="EZ23" i="1"/>
  <c r="FA23" i="1"/>
  <c r="FB23" i="1"/>
  <c r="FD23" i="1"/>
  <c r="FE23" i="1"/>
  <c r="FF23" i="1"/>
  <c r="FG23" i="1"/>
  <c r="FH23" i="1"/>
  <c r="FI23" i="1"/>
  <c r="FJ23" i="1"/>
  <c r="FK23" i="1"/>
  <c r="FL23" i="1"/>
  <c r="FO23" i="1"/>
  <c r="FP23" i="1"/>
  <c r="FQ23" i="1"/>
  <c r="FR23" i="1"/>
  <c r="FS23" i="1"/>
  <c r="FT23" i="1"/>
  <c r="FU23" i="1"/>
  <c r="FV23" i="1"/>
  <c r="FW23" i="1"/>
  <c r="FX23" i="1"/>
  <c r="FY23" i="1"/>
  <c r="FZ23" i="1"/>
  <c r="GA23" i="1"/>
  <c r="GB23" i="1"/>
  <c r="GC23" i="1"/>
  <c r="GD23" i="1"/>
  <c r="GE23" i="1"/>
  <c r="GF23" i="1"/>
  <c r="GG23" i="1"/>
  <c r="GH23" i="1"/>
  <c r="GI23" i="1"/>
  <c r="GJ23" i="1"/>
  <c r="GK23" i="1"/>
  <c r="GL23" i="1"/>
  <c r="GM23" i="1"/>
  <c r="GN23" i="1"/>
  <c r="GO23" i="1"/>
  <c r="GP23" i="1"/>
  <c r="GQ23" i="1"/>
  <c r="GR23" i="1"/>
  <c r="GS23" i="1"/>
  <c r="GT23" i="1"/>
  <c r="GU23" i="1"/>
  <c r="GV23" i="1"/>
  <c r="GW23" i="1"/>
  <c r="GX23" i="1"/>
  <c r="GY23" i="1"/>
  <c r="GZ23" i="1"/>
  <c r="HA23" i="1"/>
  <c r="HB23" i="1"/>
  <c r="HC23" i="1"/>
  <c r="HD23" i="1"/>
  <c r="HE23" i="1"/>
  <c r="HF23" i="1"/>
  <c r="HG23" i="1"/>
  <c r="HH23" i="1"/>
  <c r="HI23" i="1"/>
  <c r="HJ23" i="1"/>
  <c r="HK23" i="1"/>
  <c r="HL23" i="1"/>
  <c r="HM23" i="1"/>
  <c r="HN23" i="1"/>
  <c r="HO23" i="1"/>
  <c r="HP23" i="1"/>
  <c r="HQ23" i="1"/>
  <c r="HR23" i="1"/>
  <c r="HS23" i="1"/>
  <c r="HT23" i="1"/>
  <c r="HU23" i="1"/>
  <c r="HV23" i="1"/>
  <c r="HW23" i="1"/>
  <c r="HX23" i="1"/>
  <c r="HY23" i="1"/>
  <c r="HZ23" i="1"/>
  <c r="IA23" i="1"/>
  <c r="IB23" i="1"/>
  <c r="IC23" i="1"/>
  <c r="ID23" i="1"/>
  <c r="IE23" i="1"/>
  <c r="IF23" i="1"/>
  <c r="IG23" i="1"/>
  <c r="IH23" i="1"/>
  <c r="A24" i="1"/>
  <c r="F24" i="1"/>
  <c r="G24" i="1"/>
  <c r="H24" i="1"/>
  <c r="I24" i="1"/>
  <c r="L24" i="1"/>
  <c r="O24" i="1"/>
  <c r="R24" i="1"/>
  <c r="S24" i="1"/>
  <c r="T24" i="1"/>
  <c r="U24" i="1"/>
  <c r="W24" i="1"/>
  <c r="X24" i="1"/>
  <c r="Y24" i="1"/>
  <c r="Z24" i="1"/>
  <c r="AA24" i="1"/>
  <c r="AB24" i="1"/>
  <c r="AP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D24" i="1"/>
  <c r="CE24" i="1"/>
  <c r="CF24" i="1"/>
  <c r="CG24" i="1"/>
  <c r="CH24" i="1"/>
  <c r="CI24" i="1"/>
  <c r="CJ24" i="1"/>
  <c r="CK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E24" i="1"/>
  <c r="DH24" i="1"/>
  <c r="DK24" i="1"/>
  <c r="DL24" i="1"/>
  <c r="DM24" i="1"/>
  <c r="DN24" i="1"/>
  <c r="DP24" i="1"/>
  <c r="DS24" i="1"/>
  <c r="DV24" i="1"/>
  <c r="DX24" i="1"/>
  <c r="DY24" i="1"/>
  <c r="EA24" i="1"/>
  <c r="EB24" i="1"/>
  <c r="EC24" i="1"/>
  <c r="ED24" i="1"/>
  <c r="EE24" i="1"/>
  <c r="EF24" i="1"/>
  <c r="EG24" i="1"/>
  <c r="EH24" i="1"/>
  <c r="EI24" i="1"/>
  <c r="EJ24" i="1"/>
  <c r="EK24" i="1"/>
  <c r="EM24" i="1"/>
  <c r="EN24" i="1"/>
  <c r="EO24" i="1"/>
  <c r="EP24" i="1"/>
  <c r="EX24" i="1"/>
  <c r="EY24" i="1"/>
  <c r="EZ24" i="1"/>
  <c r="FA24" i="1"/>
  <c r="FB24" i="1"/>
  <c r="FD24" i="1"/>
  <c r="FE24" i="1"/>
  <c r="FF24" i="1"/>
  <c r="FG24" i="1"/>
  <c r="FH24" i="1"/>
  <c r="FI24" i="1"/>
  <c r="FJ24" i="1"/>
  <c r="FK24" i="1"/>
  <c r="FL24" i="1"/>
  <c r="FO24" i="1"/>
  <c r="FP24" i="1"/>
  <c r="FQ24" i="1"/>
  <c r="FR24" i="1"/>
  <c r="FS24" i="1"/>
  <c r="FT24" i="1"/>
  <c r="FU24" i="1"/>
  <c r="FV24" i="1"/>
  <c r="FW24" i="1"/>
  <c r="FX24" i="1"/>
  <c r="FY24" i="1"/>
  <c r="FZ24" i="1"/>
  <c r="GA24" i="1"/>
  <c r="GB24" i="1"/>
  <c r="GC24" i="1"/>
  <c r="GD24" i="1"/>
  <c r="GE24" i="1"/>
  <c r="GF24" i="1"/>
  <c r="GG24" i="1"/>
  <c r="GH24" i="1"/>
  <c r="GI24" i="1"/>
  <c r="GJ24" i="1"/>
  <c r="GK24" i="1"/>
  <c r="GL24" i="1"/>
  <c r="GM24" i="1"/>
  <c r="GN24" i="1"/>
  <c r="GO24" i="1"/>
  <c r="GP24" i="1"/>
  <c r="GQ24" i="1"/>
  <c r="GR24" i="1"/>
  <c r="GS24" i="1"/>
  <c r="GT24" i="1"/>
  <c r="GU24" i="1"/>
  <c r="GV24" i="1"/>
  <c r="GW24" i="1"/>
  <c r="GX24" i="1"/>
  <c r="GY24" i="1"/>
  <c r="GZ24" i="1"/>
  <c r="HA24" i="1"/>
  <c r="HB24" i="1"/>
  <c r="HC24" i="1"/>
  <c r="HD24" i="1"/>
  <c r="HE24" i="1"/>
  <c r="HF24" i="1"/>
  <c r="HG24" i="1"/>
  <c r="HH24" i="1"/>
  <c r="HI24" i="1"/>
  <c r="HJ24" i="1"/>
  <c r="HK24" i="1"/>
  <c r="HL24" i="1"/>
  <c r="HM24" i="1"/>
  <c r="HN24" i="1"/>
  <c r="HO24" i="1"/>
  <c r="HP24" i="1"/>
  <c r="HQ24" i="1"/>
  <c r="HR24" i="1"/>
  <c r="HS24" i="1"/>
  <c r="HT24" i="1"/>
  <c r="HU24" i="1"/>
  <c r="HV24" i="1"/>
  <c r="HW24" i="1"/>
  <c r="HX24" i="1"/>
  <c r="HY24" i="1"/>
  <c r="HZ24" i="1"/>
  <c r="IA24" i="1"/>
  <c r="IB24" i="1"/>
  <c r="IC24" i="1"/>
  <c r="ID24" i="1"/>
  <c r="IE24" i="1"/>
  <c r="IF24" i="1"/>
  <c r="IG24" i="1"/>
  <c r="IH24" i="1"/>
  <c r="A25" i="1"/>
  <c r="H25" i="1"/>
  <c r="I25" i="1"/>
  <c r="L25" i="1"/>
  <c r="O25" i="1"/>
  <c r="R25" i="1"/>
  <c r="S25" i="1"/>
  <c r="T25" i="1"/>
  <c r="U25" i="1"/>
  <c r="W25" i="1"/>
  <c r="X25" i="1"/>
  <c r="Y25" i="1"/>
  <c r="Z25" i="1"/>
  <c r="AA25" i="1"/>
  <c r="AB25" i="1"/>
  <c r="AP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D25" i="1"/>
  <c r="CE25" i="1"/>
  <c r="CF25" i="1"/>
  <c r="CG25" i="1"/>
  <c r="CH25" i="1"/>
  <c r="CI25" i="1"/>
  <c r="CJ25" i="1"/>
  <c r="CK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E25" i="1"/>
  <c r="DH25" i="1"/>
  <c r="DK25" i="1"/>
  <c r="DL25" i="1"/>
  <c r="DM25" i="1"/>
  <c r="DN25" i="1"/>
  <c r="DP25" i="1"/>
  <c r="DS25" i="1"/>
  <c r="DV25" i="1"/>
  <c r="DX25" i="1"/>
  <c r="DY25" i="1"/>
  <c r="EA25" i="1"/>
  <c r="EB25" i="1"/>
  <c r="EC25" i="1"/>
  <c r="ED25" i="1"/>
  <c r="EE25" i="1"/>
  <c r="EF25" i="1"/>
  <c r="EG25" i="1"/>
  <c r="EH25" i="1"/>
  <c r="EI25" i="1"/>
  <c r="EJ25" i="1"/>
  <c r="EK25" i="1"/>
  <c r="EM25" i="1"/>
  <c r="EN25" i="1"/>
  <c r="EO25" i="1"/>
  <c r="EP25" i="1"/>
  <c r="EX25" i="1"/>
  <c r="EY25" i="1"/>
  <c r="EZ25" i="1"/>
  <c r="FA25" i="1"/>
  <c r="FB25" i="1"/>
  <c r="FD25" i="1"/>
  <c r="FE25" i="1"/>
  <c r="FF25" i="1"/>
  <c r="FG25" i="1"/>
  <c r="FH25" i="1"/>
  <c r="FI25" i="1"/>
  <c r="FJ25" i="1"/>
  <c r="FK25" i="1"/>
  <c r="FL25" i="1"/>
  <c r="FO25" i="1"/>
  <c r="FP25" i="1"/>
  <c r="FQ25" i="1"/>
  <c r="FR25" i="1"/>
  <c r="FS25" i="1"/>
  <c r="FT25" i="1"/>
  <c r="FU25" i="1"/>
  <c r="FV25" i="1"/>
  <c r="FW25" i="1"/>
  <c r="FX25" i="1"/>
  <c r="FY25" i="1"/>
  <c r="FZ25" i="1"/>
  <c r="GA25" i="1"/>
  <c r="GB25" i="1"/>
  <c r="GC25" i="1"/>
  <c r="GD25" i="1"/>
  <c r="GE25" i="1"/>
  <c r="GF25" i="1"/>
  <c r="GG25" i="1"/>
  <c r="GH25" i="1"/>
  <c r="GI25" i="1"/>
  <c r="GJ25" i="1"/>
  <c r="GK25" i="1"/>
  <c r="GL25" i="1"/>
  <c r="GM25" i="1"/>
  <c r="GN25" i="1"/>
  <c r="GO25" i="1"/>
  <c r="GP25" i="1"/>
  <c r="GQ25" i="1"/>
  <c r="GR25" i="1"/>
  <c r="GS25" i="1"/>
  <c r="GT25" i="1"/>
  <c r="GU25" i="1"/>
  <c r="GV25" i="1"/>
  <c r="GW25" i="1"/>
  <c r="GX25" i="1"/>
  <c r="GY25" i="1"/>
  <c r="GZ25" i="1"/>
  <c r="HA25" i="1"/>
  <c r="HB25" i="1"/>
  <c r="HC25" i="1"/>
  <c r="HD25" i="1"/>
  <c r="HE25" i="1"/>
  <c r="HF25" i="1"/>
  <c r="HG25" i="1"/>
  <c r="HH25" i="1"/>
  <c r="HI25" i="1"/>
  <c r="HJ25" i="1"/>
  <c r="HK25" i="1"/>
  <c r="HL25" i="1"/>
  <c r="HM25" i="1"/>
  <c r="HN25" i="1"/>
  <c r="HO25" i="1"/>
  <c r="HP25" i="1"/>
  <c r="HQ25" i="1"/>
  <c r="HR25" i="1"/>
  <c r="HS25" i="1"/>
  <c r="HT25" i="1"/>
  <c r="HU25" i="1"/>
  <c r="HV25" i="1"/>
  <c r="HW25" i="1"/>
  <c r="HX25" i="1"/>
  <c r="HY25" i="1"/>
  <c r="HZ25" i="1"/>
  <c r="IA25" i="1"/>
  <c r="IB25" i="1"/>
  <c r="IC25" i="1"/>
  <c r="ID25" i="1"/>
  <c r="IE25" i="1"/>
  <c r="IF25" i="1"/>
  <c r="IG25" i="1"/>
  <c r="IH25" i="1"/>
  <c r="A26" i="1"/>
  <c r="B26" i="1"/>
  <c r="D26" i="1"/>
  <c r="E26" i="1"/>
  <c r="H26" i="1"/>
  <c r="I26" i="1"/>
  <c r="L26" i="1"/>
  <c r="O26" i="1"/>
  <c r="R26" i="1"/>
  <c r="S26" i="1"/>
  <c r="T26" i="1"/>
  <c r="U26" i="1"/>
  <c r="W26" i="1"/>
  <c r="X26" i="1"/>
  <c r="Y26" i="1"/>
  <c r="Z26" i="1"/>
  <c r="AA26" i="1"/>
  <c r="AB26" i="1"/>
  <c r="AP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D26" i="1"/>
  <c r="CE26" i="1"/>
  <c r="CF26" i="1"/>
  <c r="CG26" i="1"/>
  <c r="CH26" i="1"/>
  <c r="CI26" i="1"/>
  <c r="CJ26" i="1"/>
  <c r="CK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E26" i="1"/>
  <c r="DH26" i="1"/>
  <c r="DK26" i="1"/>
  <c r="DL26" i="1"/>
  <c r="DM26" i="1"/>
  <c r="DN26" i="1"/>
  <c r="DP26" i="1"/>
  <c r="DS26" i="1"/>
  <c r="DV26" i="1"/>
  <c r="DX26" i="1"/>
  <c r="DY26" i="1"/>
  <c r="EA26" i="1"/>
  <c r="EB26" i="1"/>
  <c r="EC26" i="1"/>
  <c r="ED26" i="1"/>
  <c r="EE26" i="1"/>
  <c r="EF26" i="1"/>
  <c r="EG26" i="1"/>
  <c r="EH26" i="1"/>
  <c r="EI26" i="1"/>
  <c r="EJ26" i="1"/>
  <c r="EK26" i="1"/>
  <c r="EM26" i="1"/>
  <c r="EN26" i="1"/>
  <c r="EO26" i="1"/>
  <c r="EP26" i="1"/>
  <c r="EX26" i="1"/>
  <c r="EY26" i="1"/>
  <c r="EZ26" i="1"/>
  <c r="FA26" i="1"/>
  <c r="FB26" i="1"/>
  <c r="FD26" i="1"/>
  <c r="FE26" i="1"/>
  <c r="FF26" i="1"/>
  <c r="FG26" i="1"/>
  <c r="FH26" i="1"/>
  <c r="FI26" i="1"/>
  <c r="FJ26" i="1"/>
  <c r="FK26" i="1"/>
  <c r="FL26" i="1"/>
  <c r="FO26" i="1"/>
  <c r="FP26" i="1"/>
  <c r="FQ26" i="1"/>
  <c r="FR26" i="1"/>
  <c r="FS26" i="1"/>
  <c r="FT26" i="1"/>
  <c r="FU26" i="1"/>
  <c r="FV26" i="1"/>
  <c r="FW26" i="1"/>
  <c r="FX26" i="1"/>
  <c r="FY26" i="1"/>
  <c r="FZ26" i="1"/>
  <c r="GA26" i="1"/>
  <c r="GB26" i="1"/>
  <c r="GC26" i="1"/>
  <c r="GD26" i="1"/>
  <c r="GE26" i="1"/>
  <c r="GF26" i="1"/>
  <c r="GG26" i="1"/>
  <c r="GH26" i="1"/>
  <c r="GI26" i="1"/>
  <c r="GJ26" i="1"/>
  <c r="GK26" i="1"/>
  <c r="GL26" i="1"/>
  <c r="GM26" i="1"/>
  <c r="GN26" i="1"/>
  <c r="GO26" i="1"/>
  <c r="GP26" i="1"/>
  <c r="GQ26" i="1"/>
  <c r="GR26" i="1"/>
  <c r="GS26" i="1"/>
  <c r="GT26" i="1"/>
  <c r="GU26" i="1"/>
  <c r="GV26" i="1"/>
  <c r="GW26" i="1"/>
  <c r="GX26" i="1"/>
  <c r="GY26" i="1"/>
  <c r="GZ26" i="1"/>
  <c r="HA26" i="1"/>
  <c r="HB26" i="1"/>
  <c r="HC26" i="1"/>
  <c r="HD26" i="1"/>
  <c r="HE26" i="1"/>
  <c r="HF26" i="1"/>
  <c r="HG26" i="1"/>
  <c r="HH26" i="1"/>
  <c r="HI26" i="1"/>
  <c r="HJ26" i="1"/>
  <c r="HK26" i="1"/>
  <c r="HL26" i="1"/>
  <c r="HM26" i="1"/>
  <c r="HN26" i="1"/>
  <c r="HO26" i="1"/>
  <c r="HP26" i="1"/>
  <c r="HQ26" i="1"/>
  <c r="HR26" i="1"/>
  <c r="HS26" i="1"/>
  <c r="HT26" i="1"/>
  <c r="HU26" i="1"/>
  <c r="HV26" i="1"/>
  <c r="HW26" i="1"/>
  <c r="HX26" i="1"/>
  <c r="HY26" i="1"/>
  <c r="HZ26" i="1"/>
  <c r="IA26" i="1"/>
  <c r="IB26" i="1"/>
  <c r="IC26" i="1"/>
  <c r="ID26" i="1"/>
  <c r="IE26" i="1"/>
  <c r="IF26" i="1"/>
  <c r="IG26" i="1"/>
  <c r="IH26" i="1"/>
  <c r="A27" i="1"/>
  <c r="G27" i="1"/>
  <c r="H27" i="1"/>
  <c r="I27" i="1"/>
  <c r="L27" i="1"/>
  <c r="O27" i="1"/>
  <c r="R27" i="1"/>
  <c r="S27" i="1"/>
  <c r="T27" i="1"/>
  <c r="U27" i="1"/>
  <c r="W27" i="1"/>
  <c r="X27" i="1"/>
  <c r="Y27" i="1"/>
  <c r="Z27" i="1"/>
  <c r="AA27" i="1"/>
  <c r="AB27" i="1"/>
  <c r="AP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D27" i="1"/>
  <c r="CE27" i="1"/>
  <c r="CF27" i="1"/>
  <c r="CG27" i="1"/>
  <c r="CH27" i="1"/>
  <c r="CI27" i="1"/>
  <c r="CJ27" i="1"/>
  <c r="CK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E27" i="1"/>
  <c r="DH27" i="1"/>
  <c r="DK27" i="1"/>
  <c r="DL27" i="1"/>
  <c r="DM27" i="1"/>
  <c r="DN27" i="1"/>
  <c r="DP27" i="1"/>
  <c r="DS27" i="1"/>
  <c r="DV27" i="1"/>
  <c r="DX27" i="1"/>
  <c r="DY27" i="1"/>
  <c r="EA27" i="1"/>
  <c r="EB27" i="1"/>
  <c r="EC27" i="1"/>
  <c r="ED27" i="1"/>
  <c r="EE27" i="1"/>
  <c r="EF27" i="1"/>
  <c r="EG27" i="1"/>
  <c r="EH27" i="1"/>
  <c r="EI27" i="1"/>
  <c r="EJ27" i="1"/>
  <c r="EK27" i="1"/>
  <c r="EM27" i="1"/>
  <c r="EN27" i="1"/>
  <c r="EO27" i="1"/>
  <c r="EP27" i="1"/>
  <c r="EX27" i="1"/>
  <c r="EY27" i="1"/>
  <c r="EZ27" i="1"/>
  <c r="FA27" i="1"/>
  <c r="FB27" i="1"/>
  <c r="FD27" i="1"/>
  <c r="FE27" i="1"/>
  <c r="FF27" i="1"/>
  <c r="FG27" i="1"/>
  <c r="FH27" i="1"/>
  <c r="FI27" i="1"/>
  <c r="FJ27" i="1"/>
  <c r="FK27" i="1"/>
  <c r="FL27" i="1"/>
  <c r="FO27" i="1"/>
  <c r="FP27" i="1"/>
  <c r="FQ27" i="1"/>
  <c r="FR27" i="1"/>
  <c r="FS27" i="1"/>
  <c r="FT27" i="1"/>
  <c r="FU27" i="1"/>
  <c r="FV27" i="1"/>
  <c r="FW27" i="1"/>
  <c r="FX27" i="1"/>
  <c r="FY27" i="1"/>
  <c r="FZ27" i="1"/>
  <c r="GA27" i="1"/>
  <c r="GB27" i="1"/>
  <c r="GC27" i="1"/>
  <c r="GD27" i="1"/>
  <c r="GE27" i="1"/>
  <c r="GF27" i="1"/>
  <c r="GG27" i="1"/>
  <c r="GH27" i="1"/>
  <c r="GI27" i="1"/>
  <c r="GJ27" i="1"/>
  <c r="GK27" i="1"/>
  <c r="GL27" i="1"/>
  <c r="GM27" i="1"/>
  <c r="GN27" i="1"/>
  <c r="GO27" i="1"/>
  <c r="GP27" i="1"/>
  <c r="GQ27" i="1"/>
  <c r="GR27" i="1"/>
  <c r="GS27" i="1"/>
  <c r="GT27" i="1"/>
  <c r="GU27" i="1"/>
  <c r="GV27" i="1"/>
  <c r="GW27" i="1"/>
  <c r="GX27" i="1"/>
  <c r="GY27" i="1"/>
  <c r="GZ27" i="1"/>
  <c r="HA27" i="1"/>
  <c r="HB27" i="1"/>
  <c r="HC27" i="1"/>
  <c r="HD27" i="1"/>
  <c r="HE27" i="1"/>
  <c r="HF27" i="1"/>
  <c r="HG27" i="1"/>
  <c r="HH27" i="1"/>
  <c r="HI27" i="1"/>
  <c r="HJ27" i="1"/>
  <c r="HK27" i="1"/>
  <c r="HL27" i="1"/>
  <c r="HM27" i="1"/>
  <c r="HN27" i="1"/>
  <c r="HO27" i="1"/>
  <c r="HP27" i="1"/>
  <c r="HQ27" i="1"/>
  <c r="HR27" i="1"/>
  <c r="HS27" i="1"/>
  <c r="HT27" i="1"/>
  <c r="HU27" i="1"/>
  <c r="HV27" i="1"/>
  <c r="HW27" i="1"/>
  <c r="HX27" i="1"/>
  <c r="HY27" i="1"/>
  <c r="HZ27" i="1"/>
  <c r="IA27" i="1"/>
  <c r="IB27" i="1"/>
  <c r="IC27" i="1"/>
  <c r="ID27" i="1"/>
  <c r="IE27" i="1"/>
  <c r="IF27" i="1"/>
  <c r="IG27" i="1"/>
  <c r="IH27" i="1"/>
  <c r="A28" i="1"/>
  <c r="G28" i="1"/>
  <c r="H28" i="1"/>
  <c r="I28" i="1"/>
  <c r="L28" i="1"/>
  <c r="O28" i="1"/>
  <c r="R28" i="1"/>
  <c r="S28" i="1"/>
  <c r="T28" i="1"/>
  <c r="U28" i="1"/>
  <c r="W28" i="1"/>
  <c r="X28" i="1"/>
  <c r="Y28" i="1"/>
  <c r="Z28" i="1"/>
  <c r="AA28" i="1"/>
  <c r="AB28" i="1"/>
  <c r="AP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D28" i="1"/>
  <c r="CE28" i="1"/>
  <c r="CF28" i="1"/>
  <c r="CG28" i="1"/>
  <c r="CH28" i="1"/>
  <c r="CI28" i="1"/>
  <c r="CJ28" i="1"/>
  <c r="CK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E28" i="1"/>
  <c r="DH28" i="1"/>
  <c r="DK28" i="1"/>
  <c r="DL28" i="1"/>
  <c r="DM28" i="1"/>
  <c r="DN28" i="1"/>
  <c r="DP28" i="1"/>
  <c r="DS28" i="1"/>
  <c r="DV28" i="1"/>
  <c r="DX28" i="1"/>
  <c r="DY28" i="1"/>
  <c r="EA28" i="1"/>
  <c r="EB28" i="1"/>
  <c r="EC28" i="1"/>
  <c r="ED28" i="1"/>
  <c r="EE28" i="1"/>
  <c r="EF28" i="1"/>
  <c r="EG28" i="1"/>
  <c r="EH28" i="1"/>
  <c r="EI28" i="1"/>
  <c r="EJ28" i="1"/>
  <c r="EK28" i="1"/>
  <c r="EM28" i="1"/>
  <c r="EN28" i="1"/>
  <c r="EO28" i="1"/>
  <c r="EP28" i="1"/>
  <c r="EX28" i="1"/>
  <c r="EY28" i="1"/>
  <c r="EZ28" i="1"/>
  <c r="FA28" i="1"/>
  <c r="FB28" i="1"/>
  <c r="FD28" i="1"/>
  <c r="FE28" i="1"/>
  <c r="FF28" i="1"/>
  <c r="FG28" i="1"/>
  <c r="FH28" i="1"/>
  <c r="FI28" i="1"/>
  <c r="FJ28" i="1"/>
  <c r="FK28" i="1"/>
  <c r="FL28" i="1"/>
  <c r="FO28" i="1"/>
  <c r="FP28" i="1"/>
  <c r="FQ28" i="1"/>
  <c r="FR28" i="1"/>
  <c r="FS28" i="1"/>
  <c r="FT28" i="1"/>
  <c r="FU28" i="1"/>
  <c r="FV28" i="1"/>
  <c r="FW28" i="1"/>
  <c r="FX28" i="1"/>
  <c r="FY28" i="1"/>
  <c r="FZ28" i="1"/>
  <c r="GA28" i="1"/>
  <c r="GB28" i="1"/>
  <c r="GC28" i="1"/>
  <c r="GD28" i="1"/>
  <c r="GE28" i="1"/>
  <c r="GF28" i="1"/>
  <c r="GG28" i="1"/>
  <c r="GH28" i="1"/>
  <c r="GI28" i="1"/>
  <c r="GJ28" i="1"/>
  <c r="GK28" i="1"/>
  <c r="GL28" i="1"/>
  <c r="GM28" i="1"/>
  <c r="GN28" i="1"/>
  <c r="GO28" i="1"/>
  <c r="GP28" i="1"/>
  <c r="GQ28" i="1"/>
  <c r="GR28" i="1"/>
  <c r="GS28" i="1"/>
  <c r="GT28" i="1"/>
  <c r="GU28" i="1"/>
  <c r="GV28" i="1"/>
  <c r="GW28" i="1"/>
  <c r="GX28" i="1"/>
  <c r="GY28" i="1"/>
  <c r="GZ28" i="1"/>
  <c r="HA28" i="1"/>
  <c r="HB28" i="1"/>
  <c r="HC28" i="1"/>
  <c r="HD28" i="1"/>
  <c r="HE28" i="1"/>
  <c r="HF28" i="1"/>
  <c r="HG28" i="1"/>
  <c r="HH28" i="1"/>
  <c r="HI28" i="1"/>
  <c r="HJ28" i="1"/>
  <c r="HK28" i="1"/>
  <c r="HL28" i="1"/>
  <c r="HM28" i="1"/>
  <c r="HN28" i="1"/>
  <c r="HO28" i="1"/>
  <c r="HP28" i="1"/>
  <c r="HQ28" i="1"/>
  <c r="HR28" i="1"/>
  <c r="HS28" i="1"/>
  <c r="HT28" i="1"/>
  <c r="HU28" i="1"/>
  <c r="HV28" i="1"/>
  <c r="HW28" i="1"/>
  <c r="HX28" i="1"/>
  <c r="HY28" i="1"/>
  <c r="HZ28" i="1"/>
  <c r="IA28" i="1"/>
  <c r="IB28" i="1"/>
  <c r="IC28" i="1"/>
  <c r="ID28" i="1"/>
  <c r="IE28" i="1"/>
  <c r="IF28" i="1"/>
  <c r="IG28" i="1"/>
  <c r="IH28" i="1"/>
  <c r="A29" i="1"/>
  <c r="B29" i="1"/>
  <c r="D29" i="1"/>
  <c r="E29" i="1"/>
  <c r="G29" i="1"/>
  <c r="H29" i="1"/>
  <c r="I29" i="1"/>
  <c r="L29" i="1"/>
  <c r="O29" i="1"/>
  <c r="R29" i="1"/>
  <c r="S29" i="1"/>
  <c r="T29" i="1"/>
  <c r="U29" i="1"/>
  <c r="W29" i="1"/>
  <c r="X29" i="1"/>
  <c r="Y29" i="1"/>
  <c r="Z29" i="1"/>
  <c r="AA29" i="1"/>
  <c r="AB29" i="1"/>
  <c r="AP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D29" i="1"/>
  <c r="CE29" i="1"/>
  <c r="CF29" i="1"/>
  <c r="CG29" i="1"/>
  <c r="CH29" i="1"/>
  <c r="CI29" i="1"/>
  <c r="CJ29" i="1"/>
  <c r="CK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E29" i="1"/>
  <c r="DH29" i="1"/>
  <c r="DK29" i="1"/>
  <c r="DL29" i="1"/>
  <c r="DM29" i="1"/>
  <c r="DN29" i="1"/>
  <c r="DP29" i="1"/>
  <c r="DS29" i="1"/>
  <c r="DV29" i="1"/>
  <c r="DX29" i="1"/>
  <c r="DY29" i="1"/>
  <c r="EA29" i="1"/>
  <c r="EB29" i="1"/>
  <c r="EC29" i="1"/>
  <c r="ED29" i="1"/>
  <c r="EE29" i="1"/>
  <c r="EF29" i="1"/>
  <c r="EG29" i="1"/>
  <c r="EH29" i="1"/>
  <c r="EI29" i="1"/>
  <c r="EJ29" i="1"/>
  <c r="EK29" i="1"/>
  <c r="EM29" i="1"/>
  <c r="EN29" i="1"/>
  <c r="EO29" i="1"/>
  <c r="EP29" i="1"/>
  <c r="EX29" i="1"/>
  <c r="EY29" i="1"/>
  <c r="EZ29" i="1"/>
  <c r="FA29" i="1"/>
  <c r="FB29" i="1"/>
  <c r="FD29" i="1"/>
  <c r="FE29" i="1"/>
  <c r="FF29" i="1"/>
  <c r="FG29" i="1"/>
  <c r="FH29" i="1"/>
  <c r="FI29" i="1"/>
  <c r="FJ29" i="1"/>
  <c r="FK29" i="1"/>
  <c r="FL29" i="1"/>
  <c r="FO29" i="1"/>
  <c r="FP29" i="1"/>
  <c r="FQ29" i="1"/>
  <c r="FR29" i="1"/>
  <c r="FS29" i="1"/>
  <c r="FT29" i="1"/>
  <c r="FU29" i="1"/>
  <c r="FV29" i="1"/>
  <c r="FW29" i="1"/>
  <c r="FX29" i="1"/>
  <c r="FY29" i="1"/>
  <c r="FZ29" i="1"/>
  <c r="GA29" i="1"/>
  <c r="GB29" i="1"/>
  <c r="GC29" i="1"/>
  <c r="GD29" i="1"/>
  <c r="GE29" i="1"/>
  <c r="GF29" i="1"/>
  <c r="GG29" i="1"/>
  <c r="GH29" i="1"/>
  <c r="GI29" i="1"/>
  <c r="GJ29" i="1"/>
  <c r="GK29" i="1"/>
  <c r="GL29" i="1"/>
  <c r="GM29" i="1"/>
  <c r="GN29" i="1"/>
  <c r="GO29" i="1"/>
  <c r="GP29" i="1"/>
  <c r="GQ29" i="1"/>
  <c r="GR29" i="1"/>
  <c r="GS29" i="1"/>
  <c r="GT29" i="1"/>
  <c r="GU29" i="1"/>
  <c r="GV29" i="1"/>
  <c r="GW29" i="1"/>
  <c r="GX29" i="1"/>
  <c r="GY29" i="1"/>
  <c r="GZ29" i="1"/>
  <c r="HA29" i="1"/>
  <c r="HB29" i="1"/>
  <c r="HC29" i="1"/>
  <c r="HD29" i="1"/>
  <c r="HE29" i="1"/>
  <c r="HF29" i="1"/>
  <c r="HG29" i="1"/>
  <c r="HH29" i="1"/>
  <c r="HI29" i="1"/>
  <c r="HJ29" i="1"/>
  <c r="HK29" i="1"/>
  <c r="HL29" i="1"/>
  <c r="HM29" i="1"/>
  <c r="HN29" i="1"/>
  <c r="HO29" i="1"/>
  <c r="HP29" i="1"/>
  <c r="HQ29" i="1"/>
  <c r="HR29" i="1"/>
  <c r="HS29" i="1"/>
  <c r="HT29" i="1"/>
  <c r="HU29" i="1"/>
  <c r="HV29" i="1"/>
  <c r="HW29" i="1"/>
  <c r="HX29" i="1"/>
  <c r="HY29" i="1"/>
  <c r="HZ29" i="1"/>
  <c r="IA29" i="1"/>
  <c r="IB29" i="1"/>
  <c r="IC29" i="1"/>
  <c r="ID29" i="1"/>
  <c r="IE29" i="1"/>
  <c r="IF29" i="1"/>
  <c r="IG29" i="1"/>
  <c r="IH29" i="1"/>
  <c r="H30" i="1"/>
  <c r="I30" i="1"/>
  <c r="L30" i="1"/>
  <c r="O30" i="1"/>
  <c r="R30" i="1"/>
  <c r="S30" i="1"/>
  <c r="T30" i="1"/>
  <c r="U30" i="1"/>
  <c r="W30" i="1"/>
  <c r="X30" i="1"/>
  <c r="Y30" i="1"/>
  <c r="Z30" i="1"/>
  <c r="AA30" i="1"/>
  <c r="AB30" i="1"/>
  <c r="AP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D30" i="1"/>
  <c r="CE30" i="1"/>
  <c r="CF30" i="1"/>
  <c r="CG30" i="1"/>
  <c r="CH30" i="1"/>
  <c r="CI30" i="1"/>
  <c r="CJ30" i="1"/>
  <c r="CK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E30" i="1"/>
  <c r="DH30" i="1"/>
  <c r="DK30" i="1"/>
  <c r="DL30" i="1"/>
  <c r="DM30" i="1"/>
  <c r="DN30" i="1"/>
  <c r="DP30" i="1"/>
  <c r="DS30" i="1"/>
  <c r="DV30" i="1"/>
  <c r="DX30" i="1"/>
  <c r="DY30" i="1"/>
  <c r="EA30" i="1"/>
  <c r="EB30" i="1"/>
  <c r="EC30" i="1"/>
  <c r="ED30" i="1"/>
  <c r="EE30" i="1"/>
  <c r="EF30" i="1"/>
  <c r="EG30" i="1"/>
  <c r="EH30" i="1"/>
  <c r="EI30" i="1"/>
  <c r="EJ30" i="1"/>
  <c r="EK30" i="1"/>
  <c r="EM30" i="1"/>
  <c r="EN30" i="1"/>
  <c r="EO30" i="1"/>
  <c r="EP30" i="1"/>
  <c r="EX30" i="1"/>
  <c r="EY30" i="1"/>
  <c r="EZ30" i="1"/>
  <c r="FA30" i="1"/>
  <c r="FB30" i="1"/>
  <c r="FD30" i="1"/>
  <c r="FE30" i="1"/>
  <c r="FF30" i="1"/>
  <c r="FG30" i="1"/>
  <c r="FH30" i="1"/>
  <c r="FI30" i="1"/>
  <c r="FJ30" i="1"/>
  <c r="FK30" i="1"/>
  <c r="FL30" i="1"/>
  <c r="FO30" i="1"/>
  <c r="FP30" i="1"/>
  <c r="FQ30" i="1"/>
  <c r="FR30" i="1"/>
  <c r="FS30" i="1"/>
  <c r="FT30" i="1"/>
  <c r="FU30" i="1"/>
  <c r="FV30" i="1"/>
  <c r="FW30" i="1"/>
  <c r="FX30" i="1"/>
  <c r="FY30" i="1"/>
  <c r="FZ30" i="1"/>
  <c r="GA30" i="1"/>
  <c r="GB30" i="1"/>
  <c r="GC30" i="1"/>
  <c r="GD30" i="1"/>
  <c r="GE30" i="1"/>
  <c r="GF30" i="1"/>
  <c r="GG30" i="1"/>
  <c r="GH30" i="1"/>
  <c r="GI30" i="1"/>
  <c r="GJ30" i="1"/>
  <c r="GK30" i="1"/>
  <c r="GL30" i="1"/>
  <c r="GM30" i="1"/>
  <c r="GN30" i="1"/>
  <c r="GO30" i="1"/>
  <c r="GP30" i="1"/>
  <c r="GQ30" i="1"/>
  <c r="GR30" i="1"/>
  <c r="GS30" i="1"/>
  <c r="GT30" i="1"/>
  <c r="GU30" i="1"/>
  <c r="GV30" i="1"/>
  <c r="GW30" i="1"/>
  <c r="GX30" i="1"/>
  <c r="GY30" i="1"/>
  <c r="GZ30" i="1"/>
  <c r="HA30" i="1"/>
  <c r="HB30" i="1"/>
  <c r="HC30" i="1"/>
  <c r="HD30" i="1"/>
  <c r="HE30" i="1"/>
  <c r="HF30" i="1"/>
  <c r="HG30" i="1"/>
  <c r="HH30" i="1"/>
  <c r="HI30" i="1"/>
  <c r="HJ30" i="1"/>
  <c r="HK30" i="1"/>
  <c r="HL30" i="1"/>
  <c r="HM30" i="1"/>
  <c r="HN30" i="1"/>
  <c r="HO30" i="1"/>
  <c r="HP30" i="1"/>
  <c r="HQ30" i="1"/>
  <c r="HR30" i="1"/>
  <c r="HS30" i="1"/>
  <c r="HT30" i="1"/>
  <c r="HU30" i="1"/>
  <c r="HV30" i="1"/>
  <c r="HW30" i="1"/>
  <c r="HX30" i="1"/>
  <c r="HY30" i="1"/>
  <c r="HZ30" i="1"/>
  <c r="IA30" i="1"/>
  <c r="IB30" i="1"/>
  <c r="IC30" i="1"/>
  <c r="ID30" i="1"/>
  <c r="IE30" i="1"/>
  <c r="IF30" i="1"/>
  <c r="IG30" i="1"/>
  <c r="IH30" i="1"/>
  <c r="G31" i="1"/>
  <c r="H31" i="1"/>
  <c r="I31" i="1"/>
  <c r="L31" i="1"/>
  <c r="O31" i="1"/>
  <c r="R31" i="1"/>
  <c r="S31" i="1"/>
  <c r="T31" i="1"/>
  <c r="U31" i="1"/>
  <c r="W31" i="1"/>
  <c r="X31" i="1"/>
  <c r="Y31" i="1"/>
  <c r="Z31" i="1"/>
  <c r="AA31" i="1"/>
  <c r="AB31" i="1"/>
  <c r="AP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D31" i="1"/>
  <c r="CE31" i="1"/>
  <c r="CF31" i="1"/>
  <c r="CG31" i="1"/>
  <c r="CH31" i="1"/>
  <c r="CI31" i="1"/>
  <c r="CJ31" i="1"/>
  <c r="CK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E31" i="1"/>
  <c r="DH31" i="1"/>
  <c r="DK31" i="1"/>
  <c r="DL31" i="1"/>
  <c r="DM31" i="1"/>
  <c r="DN31" i="1"/>
  <c r="DP31" i="1"/>
  <c r="DS31" i="1"/>
  <c r="DV31" i="1"/>
  <c r="DX31" i="1"/>
  <c r="DY31" i="1"/>
  <c r="EA31" i="1"/>
  <c r="EB31" i="1"/>
  <c r="EC31" i="1"/>
  <c r="ED31" i="1"/>
  <c r="EE31" i="1"/>
  <c r="EF31" i="1"/>
  <c r="EG31" i="1"/>
  <c r="EH31" i="1"/>
  <c r="EI31" i="1"/>
  <c r="EJ31" i="1"/>
  <c r="EK31" i="1"/>
  <c r="EM31" i="1"/>
  <c r="EN31" i="1"/>
  <c r="EO31" i="1"/>
  <c r="EP31" i="1"/>
  <c r="EX31" i="1"/>
  <c r="EY31" i="1"/>
  <c r="EZ31" i="1"/>
  <c r="FA31" i="1"/>
  <c r="FB31" i="1"/>
  <c r="FD31" i="1"/>
  <c r="FE31" i="1"/>
  <c r="FF31" i="1"/>
  <c r="FG31" i="1"/>
  <c r="FH31" i="1"/>
  <c r="FI31" i="1"/>
  <c r="FJ31" i="1"/>
  <c r="FK31" i="1"/>
  <c r="FL31" i="1"/>
  <c r="FO31" i="1"/>
  <c r="FP31" i="1"/>
  <c r="FQ31" i="1"/>
  <c r="FR31" i="1"/>
  <c r="FS31" i="1"/>
  <c r="FT31" i="1"/>
  <c r="FU31" i="1"/>
  <c r="FV31" i="1"/>
  <c r="FW31" i="1"/>
  <c r="FX31" i="1"/>
  <c r="FY31" i="1"/>
  <c r="FZ31" i="1"/>
  <c r="GA31" i="1"/>
  <c r="GB31" i="1"/>
  <c r="GC31" i="1"/>
  <c r="GD31" i="1"/>
  <c r="GE31" i="1"/>
  <c r="GF31" i="1"/>
  <c r="GG31" i="1"/>
  <c r="GH31" i="1"/>
  <c r="GI31" i="1"/>
  <c r="GJ31" i="1"/>
  <c r="GK31" i="1"/>
  <c r="GL31" i="1"/>
  <c r="GM31" i="1"/>
  <c r="GN31" i="1"/>
  <c r="GO31" i="1"/>
  <c r="GP31" i="1"/>
  <c r="GQ31" i="1"/>
  <c r="GR31" i="1"/>
  <c r="GS31" i="1"/>
  <c r="GT31" i="1"/>
  <c r="GU31" i="1"/>
  <c r="GV31" i="1"/>
  <c r="GW31" i="1"/>
  <c r="GX31" i="1"/>
  <c r="GY31" i="1"/>
  <c r="GZ31" i="1"/>
  <c r="HA31" i="1"/>
  <c r="HB31" i="1"/>
  <c r="HC31" i="1"/>
  <c r="HD31" i="1"/>
  <c r="HE31" i="1"/>
  <c r="HF31" i="1"/>
  <c r="HG31" i="1"/>
  <c r="HH31" i="1"/>
  <c r="HI31" i="1"/>
  <c r="HJ31" i="1"/>
  <c r="HK31" i="1"/>
  <c r="HL31" i="1"/>
  <c r="HM31" i="1"/>
  <c r="HN31" i="1"/>
  <c r="HO31" i="1"/>
  <c r="HP31" i="1"/>
  <c r="HQ31" i="1"/>
  <c r="HR31" i="1"/>
  <c r="HS31" i="1"/>
  <c r="HT31" i="1"/>
  <c r="HU31" i="1"/>
  <c r="HV31" i="1"/>
  <c r="HW31" i="1"/>
  <c r="HX31" i="1"/>
  <c r="HY31" i="1"/>
  <c r="HZ31" i="1"/>
  <c r="IA31" i="1"/>
  <c r="IB31" i="1"/>
  <c r="IC31" i="1"/>
  <c r="ID31" i="1"/>
  <c r="IE31" i="1"/>
  <c r="IF31" i="1"/>
  <c r="IG31" i="1"/>
  <c r="IH31" i="1"/>
  <c r="A32" i="1"/>
  <c r="D32" i="1"/>
  <c r="E32" i="1"/>
  <c r="G32" i="1"/>
  <c r="H32" i="1"/>
  <c r="I32" i="1"/>
  <c r="L32" i="1"/>
  <c r="O32" i="1"/>
  <c r="R32" i="1"/>
  <c r="S32" i="1"/>
  <c r="T32" i="1"/>
  <c r="U32" i="1"/>
  <c r="W32" i="1"/>
  <c r="X32" i="1"/>
  <c r="Y32" i="1"/>
  <c r="Z32" i="1"/>
  <c r="AA32" i="1"/>
  <c r="AB32" i="1"/>
  <c r="AP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D32" i="1"/>
  <c r="CE32" i="1"/>
  <c r="CF32" i="1"/>
  <c r="CG32" i="1"/>
  <c r="CH32" i="1"/>
  <c r="CI32" i="1"/>
  <c r="CJ32" i="1"/>
  <c r="CK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E32" i="1"/>
  <c r="DH32" i="1"/>
  <c r="DK32" i="1"/>
  <c r="DL32" i="1"/>
  <c r="DM32" i="1"/>
  <c r="DN32" i="1"/>
  <c r="DP32" i="1"/>
  <c r="DS32" i="1"/>
  <c r="DV32" i="1"/>
  <c r="DX32" i="1"/>
  <c r="DY32" i="1"/>
  <c r="EA32" i="1"/>
  <c r="EB32" i="1"/>
  <c r="EC32" i="1"/>
  <c r="ED32" i="1"/>
  <c r="EE32" i="1"/>
  <c r="EF32" i="1"/>
  <c r="EG32" i="1"/>
  <c r="EH32" i="1"/>
  <c r="EI32" i="1"/>
  <c r="EJ32" i="1"/>
  <c r="EK32" i="1"/>
  <c r="EM32" i="1"/>
  <c r="EN32" i="1"/>
  <c r="EO32" i="1"/>
  <c r="EP32" i="1"/>
  <c r="EX32" i="1"/>
  <c r="EY32" i="1"/>
  <c r="EZ32" i="1"/>
  <c r="FA32" i="1"/>
  <c r="FB32" i="1"/>
  <c r="FD32" i="1"/>
  <c r="FE32" i="1"/>
  <c r="FF32" i="1"/>
  <c r="FG32" i="1"/>
  <c r="FH32" i="1"/>
  <c r="FI32" i="1"/>
  <c r="FJ32" i="1"/>
  <c r="FK32" i="1"/>
  <c r="FL32" i="1"/>
  <c r="FO32" i="1"/>
  <c r="FP32" i="1"/>
  <c r="FQ32" i="1"/>
  <c r="FR32" i="1"/>
  <c r="FS32" i="1"/>
  <c r="FT32" i="1"/>
  <c r="FU32" i="1"/>
  <c r="FV32" i="1"/>
  <c r="FW32" i="1"/>
  <c r="FX32" i="1"/>
  <c r="FY32" i="1"/>
  <c r="FZ32" i="1"/>
  <c r="GA32" i="1"/>
  <c r="GB32" i="1"/>
  <c r="GC32" i="1"/>
  <c r="GD32" i="1"/>
  <c r="GE32" i="1"/>
  <c r="GF32" i="1"/>
  <c r="GG32" i="1"/>
  <c r="GH32" i="1"/>
  <c r="GI32" i="1"/>
  <c r="GJ32" i="1"/>
  <c r="GK32" i="1"/>
  <c r="GL32" i="1"/>
  <c r="GM32" i="1"/>
  <c r="GN32" i="1"/>
  <c r="GO32" i="1"/>
  <c r="GP32" i="1"/>
  <c r="GQ32" i="1"/>
  <c r="GR32" i="1"/>
  <c r="GS32" i="1"/>
  <c r="GT32" i="1"/>
  <c r="GU32" i="1"/>
  <c r="GV32" i="1"/>
  <c r="GW32" i="1"/>
  <c r="GX32" i="1"/>
  <c r="GY32" i="1"/>
  <c r="GZ32" i="1"/>
  <c r="HA32" i="1"/>
  <c r="HB32" i="1"/>
  <c r="HC32" i="1"/>
  <c r="HD32" i="1"/>
  <c r="HE32" i="1"/>
  <c r="HF32" i="1"/>
  <c r="HG32" i="1"/>
  <c r="HH32" i="1"/>
  <c r="HI32" i="1"/>
  <c r="HJ32" i="1"/>
  <c r="HK32" i="1"/>
  <c r="HL32" i="1"/>
  <c r="HM32" i="1"/>
  <c r="HN32" i="1"/>
  <c r="HO32" i="1"/>
  <c r="HP32" i="1"/>
  <c r="HQ32" i="1"/>
  <c r="HR32" i="1"/>
  <c r="HS32" i="1"/>
  <c r="HT32" i="1"/>
  <c r="HU32" i="1"/>
  <c r="HV32" i="1"/>
  <c r="HW32" i="1"/>
  <c r="HX32" i="1"/>
  <c r="HY32" i="1"/>
  <c r="HZ32" i="1"/>
  <c r="IA32" i="1"/>
  <c r="IB32" i="1"/>
  <c r="IC32" i="1"/>
  <c r="ID32" i="1"/>
  <c r="IE32" i="1"/>
  <c r="IF32" i="1"/>
  <c r="IG32" i="1"/>
  <c r="IH32" i="1"/>
  <c r="A33" i="1"/>
  <c r="C33" i="1"/>
  <c r="D33" i="1"/>
  <c r="E33" i="1"/>
  <c r="H33" i="1"/>
  <c r="I33" i="1"/>
  <c r="L33" i="1"/>
  <c r="O33" i="1"/>
  <c r="R33" i="1"/>
  <c r="S33" i="1"/>
  <c r="T33" i="1"/>
  <c r="U33" i="1"/>
  <c r="W33" i="1"/>
  <c r="X33" i="1"/>
  <c r="Y33" i="1"/>
  <c r="Z33" i="1"/>
  <c r="AA33" i="1"/>
  <c r="AB33" i="1"/>
  <c r="AP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D33" i="1"/>
  <c r="CE33" i="1"/>
  <c r="CF33" i="1"/>
  <c r="CG33" i="1"/>
  <c r="CH33" i="1"/>
  <c r="CI33" i="1"/>
  <c r="CJ33" i="1"/>
  <c r="CK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E33" i="1"/>
  <c r="DH33" i="1"/>
  <c r="DK33" i="1"/>
  <c r="DL33" i="1"/>
  <c r="DM33" i="1"/>
  <c r="DN33" i="1"/>
  <c r="DP33" i="1"/>
  <c r="DS33" i="1"/>
  <c r="DV33" i="1"/>
  <c r="DX33" i="1"/>
  <c r="DY33" i="1"/>
  <c r="EA33" i="1"/>
  <c r="EB33" i="1"/>
  <c r="EC33" i="1"/>
  <c r="ED33" i="1"/>
  <c r="EE33" i="1"/>
  <c r="EF33" i="1"/>
  <c r="EG33" i="1"/>
  <c r="EH33" i="1"/>
  <c r="EI33" i="1"/>
  <c r="EJ33" i="1"/>
  <c r="EK33" i="1"/>
  <c r="EM33" i="1"/>
  <c r="EN33" i="1"/>
  <c r="EO33" i="1"/>
  <c r="EP33" i="1"/>
  <c r="EX33" i="1"/>
  <c r="EY33" i="1"/>
  <c r="EZ33" i="1"/>
  <c r="FA33" i="1"/>
  <c r="FB33" i="1"/>
  <c r="FD33" i="1"/>
  <c r="FE33" i="1"/>
  <c r="FF33" i="1"/>
  <c r="FG33" i="1"/>
  <c r="FH33" i="1"/>
  <c r="FI33" i="1"/>
  <c r="FJ33" i="1"/>
  <c r="FK33" i="1"/>
  <c r="FL33" i="1"/>
  <c r="FO33" i="1"/>
  <c r="FP33" i="1"/>
  <c r="FQ33" i="1"/>
  <c r="FR33" i="1"/>
  <c r="FS33" i="1"/>
  <c r="FT33" i="1"/>
  <c r="FU33" i="1"/>
  <c r="FV33" i="1"/>
  <c r="FW33" i="1"/>
  <c r="FX33" i="1"/>
  <c r="FY33" i="1"/>
  <c r="FZ33" i="1"/>
  <c r="GA33" i="1"/>
  <c r="GB33" i="1"/>
  <c r="GC33" i="1"/>
  <c r="GD33" i="1"/>
  <c r="GE33" i="1"/>
  <c r="GF33" i="1"/>
  <c r="GG33" i="1"/>
  <c r="GH33" i="1"/>
  <c r="GI33" i="1"/>
  <c r="GJ33" i="1"/>
  <c r="GK33" i="1"/>
  <c r="GL33" i="1"/>
  <c r="GM33" i="1"/>
  <c r="GN33" i="1"/>
  <c r="GO33" i="1"/>
  <c r="GP33" i="1"/>
  <c r="GQ33" i="1"/>
  <c r="GR33" i="1"/>
  <c r="GS33" i="1"/>
  <c r="GT33" i="1"/>
  <c r="GU33" i="1"/>
  <c r="GV33" i="1"/>
  <c r="GW33" i="1"/>
  <c r="GX33" i="1"/>
  <c r="GY33" i="1"/>
  <c r="GZ33" i="1"/>
  <c r="HA33" i="1"/>
  <c r="HB33" i="1"/>
  <c r="HC33" i="1"/>
  <c r="HD33" i="1"/>
  <c r="HE33" i="1"/>
  <c r="HF33" i="1"/>
  <c r="HG33" i="1"/>
  <c r="HH33" i="1"/>
  <c r="HI33" i="1"/>
  <c r="HJ33" i="1"/>
  <c r="HK33" i="1"/>
  <c r="HL33" i="1"/>
  <c r="HM33" i="1"/>
  <c r="HN33" i="1"/>
  <c r="HO33" i="1"/>
  <c r="HP33" i="1"/>
  <c r="HQ33" i="1"/>
  <c r="HR33" i="1"/>
  <c r="HS33" i="1"/>
  <c r="HT33" i="1"/>
  <c r="HU33" i="1"/>
  <c r="HV33" i="1"/>
  <c r="HW33" i="1"/>
  <c r="HX33" i="1"/>
  <c r="HY33" i="1"/>
  <c r="HZ33" i="1"/>
  <c r="IA33" i="1"/>
  <c r="IB33" i="1"/>
  <c r="IC33" i="1"/>
  <c r="ID33" i="1"/>
  <c r="IE33" i="1"/>
  <c r="IF33" i="1"/>
  <c r="IG33" i="1"/>
  <c r="IH33" i="1"/>
  <c r="A34" i="1"/>
  <c r="H34" i="1"/>
  <c r="I34" i="1"/>
  <c r="L34" i="1"/>
  <c r="O34" i="1"/>
  <c r="R34" i="1"/>
  <c r="S34" i="1"/>
  <c r="T34" i="1"/>
  <c r="U34" i="1"/>
  <c r="W34" i="1"/>
  <c r="X34" i="1"/>
  <c r="Y34" i="1"/>
  <c r="Z34" i="1"/>
  <c r="AA34" i="1"/>
  <c r="AB34" i="1"/>
  <c r="AP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D34" i="1"/>
  <c r="CE34" i="1"/>
  <c r="CF34" i="1"/>
  <c r="CG34" i="1"/>
  <c r="CH34" i="1"/>
  <c r="CI34" i="1"/>
  <c r="CJ34" i="1"/>
  <c r="CK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E34" i="1"/>
  <c r="DH34" i="1"/>
  <c r="DK34" i="1"/>
  <c r="DL34" i="1"/>
  <c r="DM34" i="1"/>
  <c r="DN34" i="1"/>
  <c r="DP34" i="1"/>
  <c r="DS34" i="1"/>
  <c r="DV34" i="1"/>
  <c r="DX34" i="1"/>
  <c r="DY34" i="1"/>
  <c r="EA34" i="1"/>
  <c r="EB34" i="1"/>
  <c r="EC34" i="1"/>
  <c r="ED34" i="1"/>
  <c r="EE34" i="1"/>
  <c r="EF34" i="1"/>
  <c r="EG34" i="1"/>
  <c r="EH34" i="1"/>
  <c r="EI34" i="1"/>
  <c r="EJ34" i="1"/>
  <c r="EK34" i="1"/>
  <c r="EM34" i="1"/>
  <c r="EN34" i="1"/>
  <c r="EO34" i="1"/>
  <c r="EP34" i="1"/>
  <c r="EX34" i="1"/>
  <c r="EY34" i="1"/>
  <c r="EZ34" i="1"/>
  <c r="FA34" i="1"/>
  <c r="FB34" i="1"/>
  <c r="FD34" i="1"/>
  <c r="FE34" i="1"/>
  <c r="FF34" i="1"/>
  <c r="FG34" i="1"/>
  <c r="FH34" i="1"/>
  <c r="FI34" i="1"/>
  <c r="FJ34" i="1"/>
  <c r="FK34" i="1"/>
  <c r="FL34" i="1"/>
  <c r="FO34" i="1"/>
  <c r="FP34" i="1"/>
  <c r="FQ34" i="1"/>
  <c r="FR34" i="1"/>
  <c r="FS34" i="1"/>
  <c r="FT34" i="1"/>
  <c r="FU34" i="1"/>
  <c r="FV34" i="1"/>
  <c r="FW34" i="1"/>
  <c r="FX34" i="1"/>
  <c r="FY34" i="1"/>
  <c r="FZ34" i="1"/>
  <c r="GA34" i="1"/>
  <c r="GB34" i="1"/>
  <c r="GC34" i="1"/>
  <c r="GD34" i="1"/>
  <c r="GE34" i="1"/>
  <c r="GF34" i="1"/>
  <c r="GG34" i="1"/>
  <c r="GH34" i="1"/>
  <c r="GI34" i="1"/>
  <c r="GJ34" i="1"/>
  <c r="GK34" i="1"/>
  <c r="GL34" i="1"/>
  <c r="GM34" i="1"/>
  <c r="GN34" i="1"/>
  <c r="GO34" i="1"/>
  <c r="GP34" i="1"/>
  <c r="GQ34" i="1"/>
  <c r="GR34" i="1"/>
  <c r="GS34" i="1"/>
  <c r="GT34" i="1"/>
  <c r="GU34" i="1"/>
  <c r="GV34" i="1"/>
  <c r="GW34" i="1"/>
  <c r="GX34" i="1"/>
  <c r="GY34" i="1"/>
  <c r="GZ34" i="1"/>
  <c r="HA34" i="1"/>
  <c r="HB34" i="1"/>
  <c r="HC34" i="1"/>
  <c r="HD34" i="1"/>
  <c r="HE34" i="1"/>
  <c r="HF34" i="1"/>
  <c r="HG34" i="1"/>
  <c r="HH34" i="1"/>
  <c r="HI34" i="1"/>
  <c r="HJ34" i="1"/>
  <c r="HK34" i="1"/>
  <c r="HL34" i="1"/>
  <c r="HM34" i="1"/>
  <c r="HN34" i="1"/>
  <c r="HO34" i="1"/>
  <c r="HP34" i="1"/>
  <c r="HQ34" i="1"/>
  <c r="HR34" i="1"/>
  <c r="HS34" i="1"/>
  <c r="HT34" i="1"/>
  <c r="HU34" i="1"/>
  <c r="HV34" i="1"/>
  <c r="HW34" i="1"/>
  <c r="HX34" i="1"/>
  <c r="HY34" i="1"/>
  <c r="HZ34" i="1"/>
  <c r="IA34" i="1"/>
  <c r="IB34" i="1"/>
  <c r="IC34" i="1"/>
  <c r="ID34" i="1"/>
  <c r="IE34" i="1"/>
  <c r="IF34" i="1"/>
  <c r="IG34" i="1"/>
  <c r="IH34" i="1"/>
  <c r="A35" i="1"/>
  <c r="H35" i="1"/>
  <c r="I35" i="1"/>
  <c r="L35" i="1"/>
  <c r="O35" i="1"/>
  <c r="R35" i="1"/>
  <c r="S35" i="1"/>
  <c r="T35" i="1"/>
  <c r="U35" i="1"/>
  <c r="W35" i="1"/>
  <c r="X35" i="1"/>
  <c r="Y35" i="1"/>
  <c r="Z35" i="1"/>
  <c r="AA35" i="1"/>
  <c r="AB35" i="1"/>
  <c r="AP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D35" i="1"/>
  <c r="CE35" i="1"/>
  <c r="CF35" i="1"/>
  <c r="CG35" i="1"/>
  <c r="CH35" i="1"/>
  <c r="CI35" i="1"/>
  <c r="CJ35" i="1"/>
  <c r="CK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E35" i="1"/>
  <c r="DH35" i="1"/>
  <c r="DK35" i="1"/>
  <c r="DL35" i="1"/>
  <c r="DM35" i="1"/>
  <c r="DN35" i="1"/>
  <c r="DP35" i="1"/>
  <c r="DS35" i="1"/>
  <c r="DV35" i="1"/>
  <c r="DX35" i="1"/>
  <c r="DY35" i="1"/>
  <c r="EA35" i="1"/>
  <c r="EB35" i="1"/>
  <c r="EC35" i="1"/>
  <c r="ED35" i="1"/>
  <c r="EE35" i="1"/>
  <c r="EF35" i="1"/>
  <c r="EG35" i="1"/>
  <c r="EH35" i="1"/>
  <c r="EI35" i="1"/>
  <c r="EJ35" i="1"/>
  <c r="EK35" i="1"/>
  <c r="EM35" i="1"/>
  <c r="EN35" i="1"/>
  <c r="EO35" i="1"/>
  <c r="EP35" i="1"/>
  <c r="EX35" i="1"/>
  <c r="EY35" i="1"/>
  <c r="EZ35" i="1"/>
  <c r="FA35" i="1"/>
  <c r="FB35" i="1"/>
  <c r="FD35" i="1"/>
  <c r="FE35" i="1"/>
  <c r="FF35" i="1"/>
  <c r="FG35" i="1"/>
  <c r="FH35" i="1"/>
  <c r="FI35" i="1"/>
  <c r="FJ35" i="1"/>
  <c r="FK35" i="1"/>
  <c r="FL35" i="1"/>
  <c r="FO35" i="1"/>
  <c r="FP35" i="1"/>
  <c r="FQ35" i="1"/>
  <c r="FR35" i="1"/>
  <c r="FS35" i="1"/>
  <c r="FT35" i="1"/>
  <c r="FU35" i="1"/>
  <c r="FV35" i="1"/>
  <c r="FW35" i="1"/>
  <c r="FX35" i="1"/>
  <c r="FY35" i="1"/>
  <c r="FZ35" i="1"/>
  <c r="GA35" i="1"/>
  <c r="GB35" i="1"/>
  <c r="GC35" i="1"/>
  <c r="GD35" i="1"/>
  <c r="GE35" i="1"/>
  <c r="GF35" i="1"/>
  <c r="GG35" i="1"/>
  <c r="GH35" i="1"/>
  <c r="GI35" i="1"/>
  <c r="GJ35" i="1"/>
  <c r="GK35" i="1"/>
  <c r="GL35" i="1"/>
  <c r="GM35" i="1"/>
  <c r="GN35" i="1"/>
  <c r="GO35" i="1"/>
  <c r="GP35" i="1"/>
  <c r="GQ35" i="1"/>
  <c r="GR35" i="1"/>
  <c r="GS35" i="1"/>
  <c r="GT35" i="1"/>
  <c r="GU35" i="1"/>
  <c r="GV35" i="1"/>
  <c r="GW35" i="1"/>
  <c r="GX35" i="1"/>
  <c r="GY35" i="1"/>
  <c r="GZ35" i="1"/>
  <c r="HA35" i="1"/>
  <c r="HB35" i="1"/>
  <c r="HC35" i="1"/>
  <c r="HD35" i="1"/>
  <c r="HE35" i="1"/>
  <c r="HF35" i="1"/>
  <c r="HG35" i="1"/>
  <c r="HH35" i="1"/>
  <c r="HI35" i="1"/>
  <c r="HJ35" i="1"/>
  <c r="HK35" i="1"/>
  <c r="HL35" i="1"/>
  <c r="HM35" i="1"/>
  <c r="HN35" i="1"/>
  <c r="HO35" i="1"/>
  <c r="HP35" i="1"/>
  <c r="HQ35" i="1"/>
  <c r="HR35" i="1"/>
  <c r="HS35" i="1"/>
  <c r="HT35" i="1"/>
  <c r="HU35" i="1"/>
  <c r="HV35" i="1"/>
  <c r="HW35" i="1"/>
  <c r="HX35" i="1"/>
  <c r="HY35" i="1"/>
  <c r="HZ35" i="1"/>
  <c r="IA35" i="1"/>
  <c r="IB35" i="1"/>
  <c r="IC35" i="1"/>
  <c r="ID35" i="1"/>
  <c r="IE35" i="1"/>
  <c r="IF35" i="1"/>
  <c r="IG35" i="1"/>
  <c r="IH35" i="1"/>
  <c r="H36" i="1"/>
  <c r="I36" i="1"/>
  <c r="L36" i="1"/>
  <c r="O36" i="1"/>
  <c r="R36" i="1"/>
  <c r="S36" i="1"/>
  <c r="T36" i="1"/>
  <c r="U36" i="1"/>
  <c r="W36" i="1"/>
  <c r="X36" i="1"/>
  <c r="Y36" i="1"/>
  <c r="Z36" i="1"/>
  <c r="AA36" i="1"/>
  <c r="AB36" i="1"/>
  <c r="AP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D36" i="1"/>
  <c r="CE36" i="1"/>
  <c r="CF36" i="1"/>
  <c r="CG36" i="1"/>
  <c r="CH36" i="1"/>
  <c r="CI36" i="1"/>
  <c r="CJ36" i="1"/>
  <c r="CK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E36" i="1"/>
  <c r="DH36" i="1"/>
  <c r="DK36" i="1"/>
  <c r="DL36" i="1"/>
  <c r="DM36" i="1"/>
  <c r="DN36" i="1"/>
  <c r="DP36" i="1"/>
  <c r="DS36" i="1"/>
  <c r="DV36" i="1"/>
  <c r="DX36" i="1"/>
  <c r="DY36" i="1"/>
  <c r="EA36" i="1"/>
  <c r="EB36" i="1"/>
  <c r="EC36" i="1"/>
  <c r="ED36" i="1"/>
  <c r="EE36" i="1"/>
  <c r="EF36" i="1"/>
  <c r="EG36" i="1"/>
  <c r="EH36" i="1"/>
  <c r="EI36" i="1"/>
  <c r="EJ36" i="1"/>
  <c r="EK36" i="1"/>
  <c r="EM36" i="1"/>
  <c r="EN36" i="1"/>
  <c r="EO36" i="1"/>
  <c r="EP36" i="1"/>
  <c r="EX36" i="1"/>
  <c r="EY36" i="1"/>
  <c r="EZ36" i="1"/>
  <c r="FA36" i="1"/>
  <c r="FB36" i="1"/>
  <c r="FD36" i="1"/>
  <c r="FE36" i="1"/>
  <c r="FF36" i="1"/>
  <c r="FG36" i="1"/>
  <c r="FH36" i="1"/>
  <c r="FI36" i="1"/>
  <c r="FJ36" i="1"/>
  <c r="FK36" i="1"/>
  <c r="FL36" i="1"/>
  <c r="FO36" i="1"/>
  <c r="FP36" i="1"/>
  <c r="FQ36" i="1"/>
  <c r="FR36" i="1"/>
  <c r="FS36" i="1"/>
  <c r="FT36" i="1"/>
  <c r="FU36" i="1"/>
  <c r="FV36" i="1"/>
  <c r="FW36" i="1"/>
  <c r="FX36" i="1"/>
  <c r="FY36" i="1"/>
  <c r="FZ36" i="1"/>
  <c r="GA36" i="1"/>
  <c r="GB36" i="1"/>
  <c r="GC36" i="1"/>
  <c r="GD36" i="1"/>
  <c r="GE36" i="1"/>
  <c r="GF36" i="1"/>
  <c r="GG36" i="1"/>
  <c r="GH36" i="1"/>
  <c r="GI36" i="1"/>
  <c r="GJ36" i="1"/>
  <c r="GK36" i="1"/>
  <c r="GL36" i="1"/>
  <c r="GM36" i="1"/>
  <c r="GN36" i="1"/>
  <c r="GO36" i="1"/>
  <c r="GP36" i="1"/>
  <c r="GQ36" i="1"/>
  <c r="GR36" i="1"/>
  <c r="GS36" i="1"/>
  <c r="GT36" i="1"/>
  <c r="GU36" i="1"/>
  <c r="GV36" i="1"/>
  <c r="GW36" i="1"/>
  <c r="GX36" i="1"/>
  <c r="GY36" i="1"/>
  <c r="GZ36" i="1"/>
  <c r="HA36" i="1"/>
  <c r="HB36" i="1"/>
  <c r="HC36" i="1"/>
  <c r="HD36" i="1"/>
  <c r="HE36" i="1"/>
  <c r="HF36" i="1"/>
  <c r="HG36" i="1"/>
  <c r="HH36" i="1"/>
  <c r="HI36" i="1"/>
  <c r="HJ36" i="1"/>
  <c r="HK36" i="1"/>
  <c r="HL36" i="1"/>
  <c r="HM36" i="1"/>
  <c r="HN36" i="1"/>
  <c r="HO36" i="1"/>
  <c r="HP36" i="1"/>
  <c r="HQ36" i="1"/>
  <c r="HR36" i="1"/>
  <c r="HS36" i="1"/>
  <c r="HT36" i="1"/>
  <c r="HU36" i="1"/>
  <c r="HV36" i="1"/>
  <c r="HW36" i="1"/>
  <c r="HX36" i="1"/>
  <c r="HY36" i="1"/>
  <c r="HZ36" i="1"/>
  <c r="IA36" i="1"/>
  <c r="IB36" i="1"/>
  <c r="IC36" i="1"/>
  <c r="ID36" i="1"/>
  <c r="IE36" i="1"/>
  <c r="IF36" i="1"/>
  <c r="IG36" i="1"/>
  <c r="IH36" i="1"/>
  <c r="A37" i="1"/>
  <c r="F37" i="1"/>
  <c r="H37" i="1"/>
  <c r="I37" i="1"/>
  <c r="L37" i="1"/>
  <c r="O37" i="1"/>
  <c r="R37" i="1"/>
  <c r="S37" i="1"/>
  <c r="T37" i="1"/>
  <c r="U37" i="1"/>
  <c r="W37" i="1"/>
  <c r="X37" i="1"/>
  <c r="Y37" i="1"/>
  <c r="Z37" i="1"/>
  <c r="AA37" i="1"/>
  <c r="AB37" i="1"/>
  <c r="AP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D37" i="1"/>
  <c r="CE37" i="1"/>
  <c r="CF37" i="1"/>
  <c r="CG37" i="1"/>
  <c r="CH37" i="1"/>
  <c r="CI37" i="1"/>
  <c r="CJ37" i="1"/>
  <c r="CK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E37" i="1"/>
  <c r="DH37" i="1"/>
  <c r="DK37" i="1"/>
  <c r="DL37" i="1"/>
  <c r="DM37" i="1"/>
  <c r="DN37" i="1"/>
  <c r="DP37" i="1"/>
  <c r="DS37" i="1"/>
  <c r="DV37" i="1"/>
  <c r="DX37" i="1"/>
  <c r="DY37" i="1"/>
  <c r="EA37" i="1"/>
  <c r="EB37" i="1"/>
  <c r="EC37" i="1"/>
  <c r="ED37" i="1"/>
  <c r="EE37" i="1"/>
  <c r="EF37" i="1"/>
  <c r="EG37" i="1"/>
  <c r="EH37" i="1"/>
  <c r="EI37" i="1"/>
  <c r="EJ37" i="1"/>
  <c r="EK37" i="1"/>
  <c r="EM37" i="1"/>
  <c r="EN37" i="1"/>
  <c r="EO37" i="1"/>
  <c r="EP37" i="1"/>
  <c r="EX37" i="1"/>
  <c r="EY37" i="1"/>
  <c r="EZ37" i="1"/>
  <c r="FA37" i="1"/>
  <c r="FB37" i="1"/>
  <c r="FD37" i="1"/>
  <c r="FE37" i="1"/>
  <c r="FF37" i="1"/>
  <c r="FG37" i="1"/>
  <c r="FH37" i="1"/>
  <c r="FI37" i="1"/>
  <c r="FJ37" i="1"/>
  <c r="FK37" i="1"/>
  <c r="FL37" i="1"/>
  <c r="FO37" i="1"/>
  <c r="FP37" i="1"/>
  <c r="FQ37" i="1"/>
  <c r="FR37" i="1"/>
  <c r="FS37" i="1"/>
  <c r="FT37" i="1"/>
  <c r="FU37" i="1"/>
  <c r="FV37" i="1"/>
  <c r="FW37" i="1"/>
  <c r="FX37" i="1"/>
  <c r="FY37" i="1"/>
  <c r="FZ37" i="1"/>
  <c r="GA37" i="1"/>
  <c r="GB37" i="1"/>
  <c r="GC37" i="1"/>
  <c r="GD37" i="1"/>
  <c r="GE37" i="1"/>
  <c r="GF37" i="1"/>
  <c r="GG37" i="1"/>
  <c r="GH37" i="1"/>
  <c r="GI37" i="1"/>
  <c r="GJ37" i="1"/>
  <c r="GK37" i="1"/>
  <c r="GL37" i="1"/>
  <c r="GM37" i="1"/>
  <c r="GN37" i="1"/>
  <c r="GO37" i="1"/>
  <c r="GP37" i="1"/>
  <c r="GQ37" i="1"/>
  <c r="GR37" i="1"/>
  <c r="GS37" i="1"/>
  <c r="GT37" i="1"/>
  <c r="GU37" i="1"/>
  <c r="GV37" i="1"/>
  <c r="GW37" i="1"/>
  <c r="GX37" i="1"/>
  <c r="GY37" i="1"/>
  <c r="GZ37" i="1"/>
  <c r="HA37" i="1"/>
  <c r="HB37" i="1"/>
  <c r="HC37" i="1"/>
  <c r="HD37" i="1"/>
  <c r="HE37" i="1"/>
  <c r="HF37" i="1"/>
  <c r="HG37" i="1"/>
  <c r="HH37" i="1"/>
  <c r="HI37" i="1"/>
  <c r="HJ37" i="1"/>
  <c r="HK37" i="1"/>
  <c r="HL37" i="1"/>
  <c r="HM37" i="1"/>
  <c r="HN37" i="1"/>
  <c r="HO37" i="1"/>
  <c r="HP37" i="1"/>
  <c r="HQ37" i="1"/>
  <c r="HR37" i="1"/>
  <c r="HS37" i="1"/>
  <c r="HT37" i="1"/>
  <c r="HU37" i="1"/>
  <c r="HV37" i="1"/>
  <c r="HW37" i="1"/>
  <c r="HX37" i="1"/>
  <c r="HY37" i="1"/>
  <c r="HZ37" i="1"/>
  <c r="IA37" i="1"/>
  <c r="IB37" i="1"/>
  <c r="IC37" i="1"/>
  <c r="ID37" i="1"/>
  <c r="IE37" i="1"/>
  <c r="IF37" i="1"/>
  <c r="IG37" i="1"/>
  <c r="IH37" i="1"/>
  <c r="A38" i="1"/>
  <c r="B38" i="1"/>
  <c r="C38" i="1"/>
  <c r="D38" i="1"/>
  <c r="E38" i="1"/>
  <c r="F38" i="1"/>
  <c r="H38" i="1"/>
  <c r="I38" i="1"/>
  <c r="L38" i="1"/>
  <c r="O38" i="1"/>
  <c r="R38" i="1"/>
  <c r="S38" i="1"/>
  <c r="T38" i="1"/>
  <c r="U38" i="1"/>
  <c r="W38" i="1"/>
  <c r="X38" i="1"/>
  <c r="Y38" i="1"/>
  <c r="Z38" i="1"/>
  <c r="AA38" i="1"/>
  <c r="AB38" i="1"/>
  <c r="AP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D38" i="1"/>
  <c r="CE38" i="1"/>
  <c r="CF38" i="1"/>
  <c r="CG38" i="1"/>
  <c r="CH38" i="1"/>
  <c r="CI38" i="1"/>
  <c r="CJ38" i="1"/>
  <c r="CK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E38" i="1"/>
  <c r="DH38" i="1"/>
  <c r="DK38" i="1"/>
  <c r="DL38" i="1"/>
  <c r="DM38" i="1"/>
  <c r="DN38" i="1"/>
  <c r="DP38" i="1"/>
  <c r="DS38" i="1"/>
  <c r="DV38" i="1"/>
  <c r="DX38" i="1"/>
  <c r="DY38" i="1"/>
  <c r="EA38" i="1"/>
  <c r="EB38" i="1"/>
  <c r="EC38" i="1"/>
  <c r="ED38" i="1"/>
  <c r="EE38" i="1"/>
  <c r="EF38" i="1"/>
  <c r="EG38" i="1"/>
  <c r="EH38" i="1"/>
  <c r="EI38" i="1"/>
  <c r="EJ38" i="1"/>
  <c r="EK38" i="1"/>
  <c r="EM38" i="1"/>
  <c r="EN38" i="1"/>
  <c r="EO38" i="1"/>
  <c r="EP38" i="1"/>
  <c r="EX38" i="1"/>
  <c r="EY38" i="1"/>
  <c r="EZ38" i="1"/>
  <c r="FA38" i="1"/>
  <c r="FB38" i="1"/>
  <c r="FD38" i="1"/>
  <c r="FE38" i="1"/>
  <c r="FF38" i="1"/>
  <c r="FG38" i="1"/>
  <c r="FH38" i="1"/>
  <c r="FI38" i="1"/>
  <c r="FJ38" i="1"/>
  <c r="FK38" i="1"/>
  <c r="FL38" i="1"/>
  <c r="FO38" i="1"/>
  <c r="FP38" i="1"/>
  <c r="FQ38" i="1"/>
  <c r="FR38" i="1"/>
  <c r="FS38" i="1"/>
  <c r="FT38" i="1"/>
  <c r="FU38" i="1"/>
  <c r="FV38" i="1"/>
  <c r="FW38" i="1"/>
  <c r="FX38" i="1"/>
  <c r="FY38" i="1"/>
  <c r="FZ38" i="1"/>
  <c r="GA38" i="1"/>
  <c r="GB38" i="1"/>
  <c r="GC38" i="1"/>
  <c r="GD38" i="1"/>
  <c r="GE38" i="1"/>
  <c r="GF38" i="1"/>
  <c r="GG38" i="1"/>
  <c r="GH38" i="1"/>
  <c r="GI38" i="1"/>
  <c r="GJ38" i="1"/>
  <c r="GK38" i="1"/>
  <c r="GL38" i="1"/>
  <c r="GM38" i="1"/>
  <c r="GN38" i="1"/>
  <c r="GO38" i="1"/>
  <c r="GP38" i="1"/>
  <c r="GQ38" i="1"/>
  <c r="GR38" i="1"/>
  <c r="GS38" i="1"/>
  <c r="GT38" i="1"/>
  <c r="GU38" i="1"/>
  <c r="GV38" i="1"/>
  <c r="GW38" i="1"/>
  <c r="GX38" i="1"/>
  <c r="GY38" i="1"/>
  <c r="GZ38" i="1"/>
  <c r="HA38" i="1"/>
  <c r="HB38" i="1"/>
  <c r="HC38" i="1"/>
  <c r="HD38" i="1"/>
  <c r="HE38" i="1"/>
  <c r="HF38" i="1"/>
  <c r="HG38" i="1"/>
  <c r="HH38" i="1"/>
  <c r="HI38" i="1"/>
  <c r="HJ38" i="1"/>
  <c r="HK38" i="1"/>
  <c r="HL38" i="1"/>
  <c r="HM38" i="1"/>
  <c r="HN38" i="1"/>
  <c r="HO38" i="1"/>
  <c r="HP38" i="1"/>
  <c r="HQ38" i="1"/>
  <c r="HR38" i="1"/>
  <c r="HS38" i="1"/>
  <c r="HT38" i="1"/>
  <c r="HU38" i="1"/>
  <c r="HV38" i="1"/>
  <c r="HW38" i="1"/>
  <c r="HX38" i="1"/>
  <c r="HY38" i="1"/>
  <c r="HZ38" i="1"/>
  <c r="IA38" i="1"/>
  <c r="IB38" i="1"/>
  <c r="IC38" i="1"/>
  <c r="ID38" i="1"/>
  <c r="IE38" i="1"/>
  <c r="IF38" i="1"/>
  <c r="IG38" i="1"/>
  <c r="IH38" i="1"/>
  <c r="A39" i="1"/>
  <c r="B39" i="1"/>
  <c r="C39" i="1"/>
  <c r="D39" i="1"/>
  <c r="E39" i="1"/>
  <c r="F39" i="1"/>
  <c r="G39" i="1"/>
  <c r="H39" i="1"/>
  <c r="I39" i="1"/>
  <c r="L39" i="1"/>
  <c r="O39" i="1"/>
  <c r="R39" i="1"/>
  <c r="S39" i="1"/>
  <c r="T39" i="1"/>
  <c r="U39" i="1"/>
  <c r="W39" i="1"/>
  <c r="X39" i="1"/>
  <c r="Y39" i="1"/>
  <c r="Z39" i="1"/>
  <c r="AA39" i="1"/>
  <c r="AB39" i="1"/>
  <c r="AP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D39" i="1"/>
  <c r="CE39" i="1"/>
  <c r="CF39" i="1"/>
  <c r="CG39" i="1"/>
  <c r="CH39" i="1"/>
  <c r="CI39" i="1"/>
  <c r="CJ39" i="1"/>
  <c r="CK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E39" i="1"/>
  <c r="DH39" i="1"/>
  <c r="DK39" i="1"/>
  <c r="DL39" i="1"/>
  <c r="DM39" i="1"/>
  <c r="DN39" i="1"/>
  <c r="DP39" i="1"/>
  <c r="DS39" i="1"/>
  <c r="DV39" i="1"/>
  <c r="DX39" i="1"/>
  <c r="DY39" i="1"/>
  <c r="EA39" i="1"/>
  <c r="EB39" i="1"/>
  <c r="EC39" i="1"/>
  <c r="ED39" i="1"/>
  <c r="EE39" i="1"/>
  <c r="EF39" i="1"/>
  <c r="EG39" i="1"/>
  <c r="EH39" i="1"/>
  <c r="EI39" i="1"/>
  <c r="EJ39" i="1"/>
  <c r="EK39" i="1"/>
  <c r="EM39" i="1"/>
  <c r="EN39" i="1"/>
  <c r="EO39" i="1"/>
  <c r="EP39" i="1"/>
  <c r="EX39" i="1"/>
  <c r="EY39" i="1"/>
  <c r="EZ39" i="1"/>
  <c r="FA39" i="1"/>
  <c r="FB39" i="1"/>
  <c r="FD39" i="1"/>
  <c r="FE39" i="1"/>
  <c r="FF39" i="1"/>
  <c r="FG39" i="1"/>
  <c r="FH39" i="1"/>
  <c r="FI39" i="1"/>
  <c r="FJ39" i="1"/>
  <c r="FK39" i="1"/>
  <c r="FL39" i="1"/>
  <c r="FO39" i="1"/>
  <c r="FP39" i="1"/>
  <c r="FQ39" i="1"/>
  <c r="FR39" i="1"/>
  <c r="FS39" i="1"/>
  <c r="FT39" i="1"/>
  <c r="FU39" i="1"/>
  <c r="FV39" i="1"/>
  <c r="FW39" i="1"/>
  <c r="FX39" i="1"/>
  <c r="FY39" i="1"/>
  <c r="FZ39" i="1"/>
  <c r="GA39" i="1"/>
  <c r="GB39" i="1"/>
  <c r="GC39" i="1"/>
  <c r="GD39" i="1"/>
  <c r="GE39" i="1"/>
  <c r="GF39" i="1"/>
  <c r="GG39" i="1"/>
  <c r="GH39" i="1"/>
  <c r="GI39" i="1"/>
  <c r="GJ39" i="1"/>
  <c r="GK39" i="1"/>
  <c r="GL39" i="1"/>
  <c r="GM39" i="1"/>
  <c r="GN39" i="1"/>
  <c r="GO39" i="1"/>
  <c r="GP39" i="1"/>
  <c r="GQ39" i="1"/>
  <c r="GR39" i="1"/>
  <c r="GS39" i="1"/>
  <c r="GT39" i="1"/>
  <c r="GU39" i="1"/>
  <c r="GV39" i="1"/>
  <c r="GW39" i="1"/>
  <c r="GX39" i="1"/>
  <c r="GY39" i="1"/>
  <c r="GZ39" i="1"/>
  <c r="HA39" i="1"/>
  <c r="HB39" i="1"/>
  <c r="HC39" i="1"/>
  <c r="HD39" i="1"/>
  <c r="HE39" i="1"/>
  <c r="HF39" i="1"/>
  <c r="HG39" i="1"/>
  <c r="HH39" i="1"/>
  <c r="HI39" i="1"/>
  <c r="HJ39" i="1"/>
  <c r="HK39" i="1"/>
  <c r="HL39" i="1"/>
  <c r="HM39" i="1"/>
  <c r="HN39" i="1"/>
  <c r="HO39" i="1"/>
  <c r="HP39" i="1"/>
  <c r="HQ39" i="1"/>
  <c r="HR39" i="1"/>
  <c r="HS39" i="1"/>
  <c r="HT39" i="1"/>
  <c r="HU39" i="1"/>
  <c r="HV39" i="1"/>
  <c r="HW39" i="1"/>
  <c r="HX39" i="1"/>
  <c r="HY39" i="1"/>
  <c r="HZ39" i="1"/>
  <c r="IA39" i="1"/>
  <c r="IB39" i="1"/>
  <c r="IC39" i="1"/>
  <c r="ID39" i="1"/>
  <c r="IE39" i="1"/>
  <c r="IF39" i="1"/>
  <c r="IG39" i="1"/>
  <c r="IH39" i="1"/>
  <c r="A40" i="1"/>
  <c r="B40" i="1"/>
  <c r="C40" i="1"/>
  <c r="D40" i="1"/>
  <c r="E40" i="1"/>
  <c r="F40" i="1"/>
  <c r="H40" i="1"/>
  <c r="I40" i="1"/>
  <c r="L40" i="1"/>
  <c r="O40" i="1"/>
  <c r="R40" i="1"/>
  <c r="S40" i="1"/>
  <c r="T40" i="1"/>
  <c r="U40" i="1"/>
  <c r="W40" i="1"/>
  <c r="X40" i="1"/>
  <c r="Y40" i="1"/>
  <c r="Z40" i="1"/>
  <c r="AA40" i="1"/>
  <c r="AB40" i="1"/>
  <c r="AP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D40" i="1"/>
  <c r="CE40" i="1"/>
  <c r="CF40" i="1"/>
  <c r="CG40" i="1"/>
  <c r="CH40" i="1"/>
  <c r="CI40" i="1"/>
  <c r="CJ40" i="1"/>
  <c r="CK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E40" i="1"/>
  <c r="DH40" i="1"/>
  <c r="DK40" i="1"/>
  <c r="DL40" i="1"/>
  <c r="DM40" i="1"/>
  <c r="DN40" i="1"/>
  <c r="DP40" i="1"/>
  <c r="DS40" i="1"/>
  <c r="DV40" i="1"/>
  <c r="DX40" i="1"/>
  <c r="DY40" i="1"/>
  <c r="EA40" i="1"/>
  <c r="EB40" i="1"/>
  <c r="EC40" i="1"/>
  <c r="ED40" i="1"/>
  <c r="EE40" i="1"/>
  <c r="EF40" i="1"/>
  <c r="EG40" i="1"/>
  <c r="EH40" i="1"/>
  <c r="EI40" i="1"/>
  <c r="EJ40" i="1"/>
  <c r="EK40" i="1"/>
  <c r="EM40" i="1"/>
  <c r="EN40" i="1"/>
  <c r="EO40" i="1"/>
  <c r="EP40" i="1"/>
  <c r="EX40" i="1"/>
  <c r="EY40" i="1"/>
  <c r="EZ40" i="1"/>
  <c r="FA40" i="1"/>
  <c r="FB40" i="1"/>
  <c r="FD40" i="1"/>
  <c r="FE40" i="1"/>
  <c r="FF40" i="1"/>
  <c r="FG40" i="1"/>
  <c r="FH40" i="1"/>
  <c r="FI40" i="1"/>
  <c r="FJ40" i="1"/>
  <c r="FK40" i="1"/>
  <c r="FL40" i="1"/>
  <c r="FO40" i="1"/>
  <c r="FP40" i="1"/>
  <c r="FQ40" i="1"/>
  <c r="FR40" i="1"/>
  <c r="FS40" i="1"/>
  <c r="FT40" i="1"/>
  <c r="FU40" i="1"/>
  <c r="FV40" i="1"/>
  <c r="FW40" i="1"/>
  <c r="FX40" i="1"/>
  <c r="FY40" i="1"/>
  <c r="FZ40" i="1"/>
  <c r="GA40" i="1"/>
  <c r="GB40" i="1"/>
  <c r="GC40" i="1"/>
  <c r="GD40" i="1"/>
  <c r="GE40" i="1"/>
  <c r="GF40" i="1"/>
  <c r="GG40" i="1"/>
  <c r="GH40" i="1"/>
  <c r="GI40" i="1"/>
  <c r="GJ40" i="1"/>
  <c r="GK40" i="1"/>
  <c r="GL40" i="1"/>
  <c r="GM40" i="1"/>
  <c r="GN40" i="1"/>
  <c r="GO40" i="1"/>
  <c r="GP40" i="1"/>
  <c r="GQ40" i="1"/>
  <c r="GR40" i="1"/>
  <c r="GS40" i="1"/>
  <c r="GT40" i="1"/>
  <c r="GU40" i="1"/>
  <c r="GV40" i="1"/>
  <c r="GW40" i="1"/>
  <c r="GX40" i="1"/>
  <c r="GY40" i="1"/>
  <c r="GZ40" i="1"/>
  <c r="HA40" i="1"/>
  <c r="HB40" i="1"/>
  <c r="HC40" i="1"/>
  <c r="HD40" i="1"/>
  <c r="HE40" i="1"/>
  <c r="HF40" i="1"/>
  <c r="HG40" i="1"/>
  <c r="HH40" i="1"/>
  <c r="HI40" i="1"/>
  <c r="HJ40" i="1"/>
  <c r="HK40" i="1"/>
  <c r="HL40" i="1"/>
  <c r="HM40" i="1"/>
  <c r="HN40" i="1"/>
  <c r="HO40" i="1"/>
  <c r="HP40" i="1"/>
  <c r="HQ40" i="1"/>
  <c r="HR40" i="1"/>
  <c r="HS40" i="1"/>
  <c r="HT40" i="1"/>
  <c r="HU40" i="1"/>
  <c r="HV40" i="1"/>
  <c r="HW40" i="1"/>
  <c r="HX40" i="1"/>
  <c r="HY40" i="1"/>
  <c r="HZ40" i="1"/>
  <c r="IA40" i="1"/>
  <c r="IB40" i="1"/>
  <c r="IC40" i="1"/>
  <c r="ID40" i="1"/>
  <c r="IE40" i="1"/>
  <c r="IF40" i="1"/>
  <c r="IG40" i="1"/>
  <c r="IH40" i="1"/>
  <c r="A41" i="1"/>
  <c r="B41" i="1"/>
  <c r="C41" i="1"/>
  <c r="D41" i="1"/>
  <c r="E41" i="1"/>
  <c r="F41" i="1"/>
  <c r="G41" i="1"/>
  <c r="H41" i="1"/>
  <c r="I41" i="1"/>
  <c r="L41" i="1"/>
  <c r="O41" i="1"/>
  <c r="R41" i="1"/>
  <c r="S41" i="1"/>
  <c r="T41" i="1"/>
  <c r="U41" i="1"/>
  <c r="W41" i="1"/>
  <c r="X41" i="1"/>
  <c r="Y41" i="1"/>
  <c r="Z41" i="1"/>
  <c r="AA41" i="1"/>
  <c r="AB41" i="1"/>
  <c r="AP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D41" i="1"/>
  <c r="CE41" i="1"/>
  <c r="CF41" i="1"/>
  <c r="CG41" i="1"/>
  <c r="CH41" i="1"/>
  <c r="CI41" i="1"/>
  <c r="CJ41" i="1"/>
  <c r="CK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E41" i="1"/>
  <c r="DH41" i="1"/>
  <c r="DK41" i="1"/>
  <c r="DL41" i="1"/>
  <c r="DM41" i="1"/>
  <c r="DN41" i="1"/>
  <c r="DP41" i="1"/>
  <c r="DS41" i="1"/>
  <c r="DV41" i="1"/>
  <c r="DX41" i="1"/>
  <c r="DY41" i="1"/>
  <c r="EA41" i="1"/>
  <c r="EB41" i="1"/>
  <c r="EC41" i="1"/>
  <c r="ED41" i="1"/>
  <c r="EE41" i="1"/>
  <c r="EF41" i="1"/>
  <c r="EG41" i="1"/>
  <c r="EH41" i="1"/>
  <c r="EI41" i="1"/>
  <c r="EJ41" i="1"/>
  <c r="EK41" i="1"/>
  <c r="EM41" i="1"/>
  <c r="EN41" i="1"/>
  <c r="EO41" i="1"/>
  <c r="EP41" i="1"/>
  <c r="EX41" i="1"/>
  <c r="EY41" i="1"/>
  <c r="EZ41" i="1"/>
  <c r="FA41" i="1"/>
  <c r="FB41" i="1"/>
  <c r="FD41" i="1"/>
  <c r="FE41" i="1"/>
  <c r="FF41" i="1"/>
  <c r="FG41" i="1"/>
  <c r="FH41" i="1"/>
  <c r="FI41" i="1"/>
  <c r="FJ41" i="1"/>
  <c r="FK41" i="1"/>
  <c r="FL41" i="1"/>
  <c r="FO41" i="1"/>
  <c r="FP41" i="1"/>
  <c r="FQ41" i="1"/>
  <c r="FR41" i="1"/>
  <c r="FS41" i="1"/>
  <c r="FT41" i="1"/>
  <c r="FU41" i="1"/>
  <c r="FV41" i="1"/>
  <c r="FW41" i="1"/>
  <c r="FX41" i="1"/>
  <c r="FY41" i="1"/>
  <c r="FZ41" i="1"/>
  <c r="GA41" i="1"/>
  <c r="GB41" i="1"/>
  <c r="GC41" i="1"/>
  <c r="GD41" i="1"/>
  <c r="GE41" i="1"/>
  <c r="GF41" i="1"/>
  <c r="GG41" i="1"/>
  <c r="GH41" i="1"/>
  <c r="GI41" i="1"/>
  <c r="GJ41" i="1"/>
  <c r="GK41" i="1"/>
  <c r="GL41" i="1"/>
  <c r="GM41" i="1"/>
  <c r="GN41" i="1"/>
  <c r="GO41" i="1"/>
  <c r="GP41" i="1"/>
  <c r="GQ41" i="1"/>
  <c r="GR41" i="1"/>
  <c r="GS41" i="1"/>
  <c r="GT41" i="1"/>
  <c r="GU41" i="1"/>
  <c r="GV41" i="1"/>
  <c r="GW41" i="1"/>
  <c r="GX41" i="1"/>
  <c r="GY41" i="1"/>
  <c r="GZ41" i="1"/>
  <c r="HA41" i="1"/>
  <c r="HB41" i="1"/>
  <c r="HC41" i="1"/>
  <c r="HD41" i="1"/>
  <c r="HE41" i="1"/>
  <c r="HF41" i="1"/>
  <c r="HG41" i="1"/>
  <c r="HH41" i="1"/>
  <c r="HI41" i="1"/>
  <c r="HJ41" i="1"/>
  <c r="HK41" i="1"/>
  <c r="HL41" i="1"/>
  <c r="HM41" i="1"/>
  <c r="HN41" i="1"/>
  <c r="HO41" i="1"/>
  <c r="HP41" i="1"/>
  <c r="HQ41" i="1"/>
  <c r="HR41" i="1"/>
  <c r="HS41" i="1"/>
  <c r="HT41" i="1"/>
  <c r="HU41" i="1"/>
  <c r="HV41" i="1"/>
  <c r="HW41" i="1"/>
  <c r="HX41" i="1"/>
  <c r="HY41" i="1"/>
  <c r="HZ41" i="1"/>
  <c r="IA41" i="1"/>
  <c r="IB41" i="1"/>
  <c r="IC41" i="1"/>
  <c r="ID41" i="1"/>
  <c r="IE41" i="1"/>
  <c r="IF41" i="1"/>
  <c r="IG41" i="1"/>
  <c r="IH41" i="1"/>
  <c r="A42" i="1"/>
  <c r="H42" i="1"/>
  <c r="I42" i="1"/>
  <c r="L42" i="1"/>
  <c r="O42" i="1"/>
  <c r="R42" i="1"/>
  <c r="S42" i="1"/>
  <c r="T42" i="1"/>
  <c r="U42" i="1"/>
  <c r="W42" i="1"/>
  <c r="X42" i="1"/>
  <c r="Y42" i="1"/>
  <c r="Z42" i="1"/>
  <c r="AA42" i="1"/>
  <c r="AB42" i="1"/>
  <c r="AP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D42" i="1"/>
  <c r="CE42" i="1"/>
  <c r="CF42" i="1"/>
  <c r="CG42" i="1"/>
  <c r="CH42" i="1"/>
  <c r="CI42" i="1"/>
  <c r="CJ42" i="1"/>
  <c r="CK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E42" i="1"/>
  <c r="DH42" i="1"/>
  <c r="DK42" i="1"/>
  <c r="DL42" i="1"/>
  <c r="DM42" i="1"/>
  <c r="DN42" i="1"/>
  <c r="DP42" i="1"/>
  <c r="DS42" i="1"/>
  <c r="DV42" i="1"/>
  <c r="DX42" i="1"/>
  <c r="DY42" i="1"/>
  <c r="EA42" i="1"/>
  <c r="EB42" i="1"/>
  <c r="EC42" i="1"/>
  <c r="ED42" i="1"/>
  <c r="EE42" i="1"/>
  <c r="EF42" i="1"/>
  <c r="EG42" i="1"/>
  <c r="EH42" i="1"/>
  <c r="EI42" i="1"/>
  <c r="EJ42" i="1"/>
  <c r="EK42" i="1"/>
  <c r="EM42" i="1"/>
  <c r="EN42" i="1"/>
  <c r="EO42" i="1"/>
  <c r="EP42" i="1"/>
  <c r="EX42" i="1"/>
  <c r="EY42" i="1"/>
  <c r="EZ42" i="1"/>
  <c r="FA42" i="1"/>
  <c r="FB42" i="1"/>
  <c r="FD42" i="1"/>
  <c r="FE42" i="1"/>
  <c r="FF42" i="1"/>
  <c r="FG42" i="1"/>
  <c r="FH42" i="1"/>
  <c r="FI42" i="1"/>
  <c r="FJ42" i="1"/>
  <c r="FK42" i="1"/>
  <c r="FL42" i="1"/>
  <c r="FO42" i="1"/>
  <c r="FP42" i="1"/>
  <c r="FQ42" i="1"/>
  <c r="FR42" i="1"/>
  <c r="FS42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F42" i="1"/>
  <c r="GG42" i="1"/>
  <c r="GH42" i="1"/>
  <c r="GI42" i="1"/>
  <c r="GJ42" i="1"/>
  <c r="GK42" i="1"/>
  <c r="GL42" i="1"/>
  <c r="GM42" i="1"/>
  <c r="GN42" i="1"/>
  <c r="GO42" i="1"/>
  <c r="GP42" i="1"/>
  <c r="GQ42" i="1"/>
  <c r="GR42" i="1"/>
  <c r="GS42" i="1"/>
  <c r="GT42" i="1"/>
  <c r="GU42" i="1"/>
  <c r="GV42" i="1"/>
  <c r="GW42" i="1"/>
  <c r="GX42" i="1"/>
  <c r="GY42" i="1"/>
  <c r="GZ42" i="1"/>
  <c r="HA42" i="1"/>
  <c r="HB42" i="1"/>
  <c r="HC42" i="1"/>
  <c r="HD42" i="1"/>
  <c r="HE42" i="1"/>
  <c r="HF42" i="1"/>
  <c r="HG42" i="1"/>
  <c r="HH42" i="1"/>
  <c r="HI42" i="1"/>
  <c r="HJ42" i="1"/>
  <c r="HK42" i="1"/>
  <c r="HL42" i="1"/>
  <c r="HM42" i="1"/>
  <c r="HN42" i="1"/>
  <c r="HO42" i="1"/>
  <c r="HP42" i="1"/>
  <c r="HQ42" i="1"/>
  <c r="HR42" i="1"/>
  <c r="HS42" i="1"/>
  <c r="HT42" i="1"/>
  <c r="HU42" i="1"/>
  <c r="HV42" i="1"/>
  <c r="HW42" i="1"/>
  <c r="HX42" i="1"/>
  <c r="HY42" i="1"/>
  <c r="HZ42" i="1"/>
  <c r="IA42" i="1"/>
  <c r="IB42" i="1"/>
  <c r="IC42" i="1"/>
  <c r="ID42" i="1"/>
  <c r="IE42" i="1"/>
  <c r="IF42" i="1"/>
  <c r="IG42" i="1"/>
  <c r="IH42" i="1"/>
  <c r="A43" i="1"/>
  <c r="H43" i="1"/>
  <c r="I43" i="1"/>
  <c r="L43" i="1"/>
  <c r="O43" i="1"/>
  <c r="R43" i="1"/>
  <c r="S43" i="1"/>
  <c r="T43" i="1"/>
  <c r="U43" i="1"/>
  <c r="W43" i="1"/>
  <c r="X43" i="1"/>
  <c r="Y43" i="1"/>
  <c r="Z43" i="1"/>
  <c r="AA43" i="1"/>
  <c r="AB43" i="1"/>
  <c r="AP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D43" i="1"/>
  <c r="CE43" i="1"/>
  <c r="CF43" i="1"/>
  <c r="CG43" i="1"/>
  <c r="CH43" i="1"/>
  <c r="CI43" i="1"/>
  <c r="CJ43" i="1"/>
  <c r="CK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E43" i="1"/>
  <c r="DH43" i="1"/>
  <c r="DK43" i="1"/>
  <c r="DL43" i="1"/>
  <c r="DM43" i="1"/>
  <c r="DN43" i="1"/>
  <c r="DP43" i="1"/>
  <c r="DS43" i="1"/>
  <c r="DV43" i="1"/>
  <c r="DX43" i="1"/>
  <c r="DY43" i="1"/>
  <c r="EA43" i="1"/>
  <c r="EB43" i="1"/>
  <c r="EC43" i="1"/>
  <c r="ED43" i="1"/>
  <c r="EE43" i="1"/>
  <c r="EF43" i="1"/>
  <c r="EG43" i="1"/>
  <c r="EH43" i="1"/>
  <c r="EI43" i="1"/>
  <c r="EJ43" i="1"/>
  <c r="EK43" i="1"/>
  <c r="EM43" i="1"/>
  <c r="EN43" i="1"/>
  <c r="EO43" i="1"/>
  <c r="EP43" i="1"/>
  <c r="EX43" i="1"/>
  <c r="EY43" i="1"/>
  <c r="EZ43" i="1"/>
  <c r="FA43" i="1"/>
  <c r="FB43" i="1"/>
  <c r="FD43" i="1"/>
  <c r="FE43" i="1"/>
  <c r="FF43" i="1"/>
  <c r="FG43" i="1"/>
  <c r="FH43" i="1"/>
  <c r="FI43" i="1"/>
  <c r="FJ43" i="1"/>
  <c r="FK43" i="1"/>
  <c r="FL43" i="1"/>
  <c r="FO43" i="1"/>
  <c r="FP43" i="1"/>
  <c r="FQ43" i="1"/>
  <c r="FR43" i="1"/>
  <c r="FS43" i="1"/>
  <c r="FT43" i="1"/>
  <c r="FU43" i="1"/>
  <c r="FV43" i="1"/>
  <c r="FW43" i="1"/>
  <c r="FX43" i="1"/>
  <c r="FY43" i="1"/>
  <c r="FZ43" i="1"/>
  <c r="GA43" i="1"/>
  <c r="GB43" i="1"/>
  <c r="GC43" i="1"/>
  <c r="GD43" i="1"/>
  <c r="GE43" i="1"/>
  <c r="GF43" i="1"/>
  <c r="GG43" i="1"/>
  <c r="GH43" i="1"/>
  <c r="GI43" i="1"/>
  <c r="GJ43" i="1"/>
  <c r="GK43" i="1"/>
  <c r="GL43" i="1"/>
  <c r="GM43" i="1"/>
  <c r="GN43" i="1"/>
  <c r="GO43" i="1"/>
  <c r="GP43" i="1"/>
  <c r="GQ43" i="1"/>
  <c r="GR43" i="1"/>
  <c r="GS43" i="1"/>
  <c r="GT43" i="1"/>
  <c r="GU43" i="1"/>
  <c r="GV43" i="1"/>
  <c r="GW43" i="1"/>
  <c r="GX43" i="1"/>
  <c r="GY43" i="1"/>
  <c r="GZ43" i="1"/>
  <c r="HA43" i="1"/>
  <c r="HB43" i="1"/>
  <c r="HC43" i="1"/>
  <c r="HD43" i="1"/>
  <c r="HE43" i="1"/>
  <c r="HF43" i="1"/>
  <c r="HG43" i="1"/>
  <c r="HH43" i="1"/>
  <c r="HI43" i="1"/>
  <c r="HJ43" i="1"/>
  <c r="HK43" i="1"/>
  <c r="HL43" i="1"/>
  <c r="HM43" i="1"/>
  <c r="HN43" i="1"/>
  <c r="HO43" i="1"/>
  <c r="HP43" i="1"/>
  <c r="HQ43" i="1"/>
  <c r="HR43" i="1"/>
  <c r="HS43" i="1"/>
  <c r="HT43" i="1"/>
  <c r="HU43" i="1"/>
  <c r="HV43" i="1"/>
  <c r="HW43" i="1"/>
  <c r="HX43" i="1"/>
  <c r="HY43" i="1"/>
  <c r="HZ43" i="1"/>
  <c r="IA43" i="1"/>
  <c r="IB43" i="1"/>
  <c r="IC43" i="1"/>
  <c r="ID43" i="1"/>
  <c r="IE43" i="1"/>
  <c r="IF43" i="1"/>
  <c r="IG43" i="1"/>
  <c r="IH43" i="1"/>
  <c r="A44" i="1"/>
  <c r="B44" i="1"/>
  <c r="C44" i="1"/>
  <c r="D44" i="1"/>
  <c r="F44" i="1"/>
  <c r="G44" i="1"/>
  <c r="H44" i="1"/>
  <c r="I44" i="1"/>
  <c r="L44" i="1"/>
  <c r="O44" i="1"/>
  <c r="R44" i="1"/>
  <c r="S44" i="1"/>
  <c r="T44" i="1"/>
  <c r="U44" i="1"/>
  <c r="W44" i="1"/>
  <c r="X44" i="1"/>
  <c r="Y44" i="1"/>
  <c r="Z44" i="1"/>
  <c r="AA44" i="1"/>
  <c r="AB44" i="1"/>
  <c r="AP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D44" i="1"/>
  <c r="CE44" i="1"/>
  <c r="CF44" i="1"/>
  <c r="CG44" i="1"/>
  <c r="CH44" i="1"/>
  <c r="CI44" i="1"/>
  <c r="CJ44" i="1"/>
  <c r="CK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E44" i="1"/>
  <c r="DH44" i="1"/>
  <c r="DK44" i="1"/>
  <c r="DL44" i="1"/>
  <c r="DM44" i="1"/>
  <c r="DN44" i="1"/>
  <c r="DP44" i="1"/>
  <c r="DS44" i="1"/>
  <c r="DV44" i="1"/>
  <c r="DX44" i="1"/>
  <c r="DY44" i="1"/>
  <c r="EA44" i="1"/>
  <c r="EB44" i="1"/>
  <c r="EC44" i="1"/>
  <c r="ED44" i="1"/>
  <c r="EE44" i="1"/>
  <c r="EF44" i="1"/>
  <c r="EG44" i="1"/>
  <c r="EH44" i="1"/>
  <c r="EI44" i="1"/>
  <c r="EJ44" i="1"/>
  <c r="EK44" i="1"/>
  <c r="EM44" i="1"/>
  <c r="EN44" i="1"/>
  <c r="EO44" i="1"/>
  <c r="EP44" i="1"/>
  <c r="EX44" i="1"/>
  <c r="EY44" i="1"/>
  <c r="EZ44" i="1"/>
  <c r="FA44" i="1"/>
  <c r="FB44" i="1"/>
  <c r="FD44" i="1"/>
  <c r="FE44" i="1"/>
  <c r="FF44" i="1"/>
  <c r="FG44" i="1"/>
  <c r="FH44" i="1"/>
  <c r="FI44" i="1"/>
  <c r="FJ44" i="1"/>
  <c r="FK44" i="1"/>
  <c r="FL44" i="1"/>
  <c r="FO44" i="1"/>
  <c r="FP44" i="1"/>
  <c r="FQ44" i="1"/>
  <c r="FR44" i="1"/>
  <c r="FS44" i="1"/>
  <c r="FT44" i="1"/>
  <c r="FU44" i="1"/>
  <c r="FV44" i="1"/>
  <c r="FW44" i="1"/>
  <c r="FX44" i="1"/>
  <c r="FY44" i="1"/>
  <c r="FZ44" i="1"/>
  <c r="GA44" i="1"/>
  <c r="GB44" i="1"/>
  <c r="GC44" i="1"/>
  <c r="GD44" i="1"/>
  <c r="GE44" i="1"/>
  <c r="GF44" i="1"/>
  <c r="GG44" i="1"/>
  <c r="GH44" i="1"/>
  <c r="GI44" i="1"/>
  <c r="GJ44" i="1"/>
  <c r="GK44" i="1"/>
  <c r="GL44" i="1"/>
  <c r="GM44" i="1"/>
  <c r="GN44" i="1"/>
  <c r="GO44" i="1"/>
  <c r="GP44" i="1"/>
  <c r="GQ44" i="1"/>
  <c r="GR44" i="1"/>
  <c r="GS44" i="1"/>
  <c r="GT44" i="1"/>
  <c r="GU44" i="1"/>
  <c r="GV44" i="1"/>
  <c r="GW44" i="1"/>
  <c r="GX44" i="1"/>
  <c r="GY44" i="1"/>
  <c r="GZ44" i="1"/>
  <c r="HA44" i="1"/>
  <c r="HB44" i="1"/>
  <c r="HC44" i="1"/>
  <c r="HD44" i="1"/>
  <c r="HE44" i="1"/>
  <c r="HF44" i="1"/>
  <c r="HG44" i="1"/>
  <c r="HH44" i="1"/>
  <c r="HI44" i="1"/>
  <c r="HJ44" i="1"/>
  <c r="HK44" i="1"/>
  <c r="HL44" i="1"/>
  <c r="HM44" i="1"/>
  <c r="HN44" i="1"/>
  <c r="HO44" i="1"/>
  <c r="HP44" i="1"/>
  <c r="HQ44" i="1"/>
  <c r="HR44" i="1"/>
  <c r="HS44" i="1"/>
  <c r="HT44" i="1"/>
  <c r="HU44" i="1"/>
  <c r="HV44" i="1"/>
  <c r="HW44" i="1"/>
  <c r="HX44" i="1"/>
  <c r="HY44" i="1"/>
  <c r="HZ44" i="1"/>
  <c r="IA44" i="1"/>
  <c r="IB44" i="1"/>
  <c r="IC44" i="1"/>
  <c r="ID44" i="1"/>
  <c r="IE44" i="1"/>
  <c r="IF44" i="1"/>
  <c r="IG44" i="1"/>
  <c r="IH44" i="1"/>
  <c r="A45" i="1"/>
  <c r="H45" i="1"/>
  <c r="I45" i="1"/>
  <c r="L45" i="1"/>
  <c r="O45" i="1"/>
  <c r="R45" i="1"/>
  <c r="S45" i="1"/>
  <c r="T45" i="1"/>
  <c r="U45" i="1"/>
  <c r="W45" i="1"/>
  <c r="X45" i="1"/>
  <c r="Y45" i="1"/>
  <c r="Z45" i="1"/>
  <c r="AA45" i="1"/>
  <c r="AB45" i="1"/>
  <c r="AP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D45" i="1"/>
  <c r="CE45" i="1"/>
  <c r="CF45" i="1"/>
  <c r="CG45" i="1"/>
  <c r="CH45" i="1"/>
  <c r="CI45" i="1"/>
  <c r="CJ45" i="1"/>
  <c r="CK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E45" i="1"/>
  <c r="DH45" i="1"/>
  <c r="DK45" i="1"/>
  <c r="DL45" i="1"/>
  <c r="DM45" i="1"/>
  <c r="DN45" i="1"/>
  <c r="DP45" i="1"/>
  <c r="DS45" i="1"/>
  <c r="DV45" i="1"/>
  <c r="DX45" i="1"/>
  <c r="DY45" i="1"/>
  <c r="EA45" i="1"/>
  <c r="EB45" i="1"/>
  <c r="EC45" i="1"/>
  <c r="ED45" i="1"/>
  <c r="EE45" i="1"/>
  <c r="EF45" i="1"/>
  <c r="EG45" i="1"/>
  <c r="EH45" i="1"/>
  <c r="EI45" i="1"/>
  <c r="EJ45" i="1"/>
  <c r="EK45" i="1"/>
  <c r="EM45" i="1"/>
  <c r="EN45" i="1"/>
  <c r="EO45" i="1"/>
  <c r="EP45" i="1"/>
  <c r="EX45" i="1"/>
  <c r="EY45" i="1"/>
  <c r="EZ45" i="1"/>
  <c r="FA45" i="1"/>
  <c r="FB45" i="1"/>
  <c r="FD45" i="1"/>
  <c r="FE45" i="1"/>
  <c r="FF45" i="1"/>
  <c r="FG45" i="1"/>
  <c r="FH45" i="1"/>
  <c r="FI45" i="1"/>
  <c r="FJ45" i="1"/>
  <c r="FK45" i="1"/>
  <c r="FL45" i="1"/>
  <c r="FO45" i="1"/>
  <c r="FP45" i="1"/>
  <c r="FQ45" i="1"/>
  <c r="FR45" i="1"/>
  <c r="FS45" i="1"/>
  <c r="FT45" i="1"/>
  <c r="FU45" i="1"/>
  <c r="FV45" i="1"/>
  <c r="FW45" i="1"/>
  <c r="FX45" i="1"/>
  <c r="FY45" i="1"/>
  <c r="FZ45" i="1"/>
  <c r="GA45" i="1"/>
  <c r="GB45" i="1"/>
  <c r="GC45" i="1"/>
  <c r="GD45" i="1"/>
  <c r="GE45" i="1"/>
  <c r="GF45" i="1"/>
  <c r="GG45" i="1"/>
  <c r="GH45" i="1"/>
  <c r="GI45" i="1"/>
  <c r="GJ45" i="1"/>
  <c r="GK45" i="1"/>
  <c r="GL45" i="1"/>
  <c r="GM45" i="1"/>
  <c r="GN45" i="1"/>
  <c r="GO45" i="1"/>
  <c r="GP45" i="1"/>
  <c r="GQ45" i="1"/>
  <c r="GR45" i="1"/>
  <c r="GS45" i="1"/>
  <c r="GT45" i="1"/>
  <c r="GU45" i="1"/>
  <c r="GV45" i="1"/>
  <c r="GW45" i="1"/>
  <c r="GX45" i="1"/>
  <c r="GY45" i="1"/>
  <c r="GZ45" i="1"/>
  <c r="HA45" i="1"/>
  <c r="HB45" i="1"/>
  <c r="HC45" i="1"/>
  <c r="HD45" i="1"/>
  <c r="HE45" i="1"/>
  <c r="HF45" i="1"/>
  <c r="HG45" i="1"/>
  <c r="HH45" i="1"/>
  <c r="HI45" i="1"/>
  <c r="HJ45" i="1"/>
  <c r="HK45" i="1"/>
  <c r="HL45" i="1"/>
  <c r="HM45" i="1"/>
  <c r="HN45" i="1"/>
  <c r="HO45" i="1"/>
  <c r="HP45" i="1"/>
  <c r="HQ45" i="1"/>
  <c r="HR45" i="1"/>
  <c r="HS45" i="1"/>
  <c r="HT45" i="1"/>
  <c r="HU45" i="1"/>
  <c r="HV45" i="1"/>
  <c r="HW45" i="1"/>
  <c r="HX45" i="1"/>
  <c r="HY45" i="1"/>
  <c r="HZ45" i="1"/>
  <c r="IA45" i="1"/>
  <c r="IB45" i="1"/>
  <c r="IC45" i="1"/>
  <c r="ID45" i="1"/>
  <c r="IE45" i="1"/>
  <c r="IF45" i="1"/>
  <c r="IG45" i="1"/>
  <c r="IH45" i="1"/>
  <c r="A46" i="1"/>
  <c r="H46" i="1"/>
  <c r="I46" i="1"/>
  <c r="L46" i="1"/>
  <c r="O46" i="1"/>
  <c r="R46" i="1"/>
  <c r="S46" i="1"/>
  <c r="T46" i="1"/>
  <c r="U46" i="1"/>
  <c r="W46" i="1"/>
  <c r="X46" i="1"/>
  <c r="Y46" i="1"/>
  <c r="Z46" i="1"/>
  <c r="AA46" i="1"/>
  <c r="AB46" i="1"/>
  <c r="AP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D46" i="1"/>
  <c r="CE46" i="1"/>
  <c r="CF46" i="1"/>
  <c r="CG46" i="1"/>
  <c r="CH46" i="1"/>
  <c r="CI46" i="1"/>
  <c r="CJ46" i="1"/>
  <c r="CK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E46" i="1"/>
  <c r="DH46" i="1"/>
  <c r="DK46" i="1"/>
  <c r="DL46" i="1"/>
  <c r="DM46" i="1"/>
  <c r="DN46" i="1"/>
  <c r="DP46" i="1"/>
  <c r="DS46" i="1"/>
  <c r="DV46" i="1"/>
  <c r="DX46" i="1"/>
  <c r="DY46" i="1"/>
  <c r="EA46" i="1"/>
  <c r="EB46" i="1"/>
  <c r="EC46" i="1"/>
  <c r="ED46" i="1"/>
  <c r="EE46" i="1"/>
  <c r="EF46" i="1"/>
  <c r="EG46" i="1"/>
  <c r="EH46" i="1"/>
  <c r="EI46" i="1"/>
  <c r="EJ46" i="1"/>
  <c r="EK46" i="1"/>
  <c r="EM46" i="1"/>
  <c r="EN46" i="1"/>
  <c r="EO46" i="1"/>
  <c r="EP46" i="1"/>
  <c r="EX46" i="1"/>
  <c r="EY46" i="1"/>
  <c r="EZ46" i="1"/>
  <c r="FA46" i="1"/>
  <c r="FB46" i="1"/>
  <c r="FD46" i="1"/>
  <c r="FE46" i="1"/>
  <c r="FF46" i="1"/>
  <c r="FG46" i="1"/>
  <c r="FH46" i="1"/>
  <c r="FI46" i="1"/>
  <c r="FJ46" i="1"/>
  <c r="FK46" i="1"/>
  <c r="FL46" i="1"/>
  <c r="FO46" i="1"/>
  <c r="FP46" i="1"/>
  <c r="FQ46" i="1"/>
  <c r="FR46" i="1"/>
  <c r="FS46" i="1"/>
  <c r="FT46" i="1"/>
  <c r="FU46" i="1"/>
  <c r="FV46" i="1"/>
  <c r="FW46" i="1"/>
  <c r="FX46" i="1"/>
  <c r="FY46" i="1"/>
  <c r="FZ46" i="1"/>
  <c r="GA46" i="1"/>
  <c r="GB46" i="1"/>
  <c r="GC46" i="1"/>
  <c r="GD46" i="1"/>
  <c r="GE46" i="1"/>
  <c r="GF46" i="1"/>
  <c r="GG46" i="1"/>
  <c r="GH46" i="1"/>
  <c r="GI46" i="1"/>
  <c r="GJ46" i="1"/>
  <c r="GK46" i="1"/>
  <c r="GL46" i="1"/>
  <c r="GM46" i="1"/>
  <c r="GN46" i="1"/>
  <c r="GO46" i="1"/>
  <c r="GP46" i="1"/>
  <c r="GQ46" i="1"/>
  <c r="GR46" i="1"/>
  <c r="GS46" i="1"/>
  <c r="GT46" i="1"/>
  <c r="GU46" i="1"/>
  <c r="GV46" i="1"/>
  <c r="GW46" i="1"/>
  <c r="GX46" i="1"/>
  <c r="GY46" i="1"/>
  <c r="GZ46" i="1"/>
  <c r="HA46" i="1"/>
  <c r="HB46" i="1"/>
  <c r="HC46" i="1"/>
  <c r="HD46" i="1"/>
  <c r="HE46" i="1"/>
  <c r="HF46" i="1"/>
  <c r="HG46" i="1"/>
  <c r="HH46" i="1"/>
  <c r="HI46" i="1"/>
  <c r="HJ46" i="1"/>
  <c r="HK46" i="1"/>
  <c r="HL46" i="1"/>
  <c r="HM46" i="1"/>
  <c r="HN46" i="1"/>
  <c r="HO46" i="1"/>
  <c r="HP46" i="1"/>
  <c r="HQ46" i="1"/>
  <c r="HR46" i="1"/>
  <c r="HS46" i="1"/>
  <c r="HT46" i="1"/>
  <c r="HU46" i="1"/>
  <c r="HV46" i="1"/>
  <c r="HW46" i="1"/>
  <c r="HX46" i="1"/>
  <c r="HY46" i="1"/>
  <c r="HZ46" i="1"/>
  <c r="IA46" i="1"/>
  <c r="IB46" i="1"/>
  <c r="IC46" i="1"/>
  <c r="ID46" i="1"/>
  <c r="IE46" i="1"/>
  <c r="IF46" i="1"/>
  <c r="IG46" i="1"/>
  <c r="IH46" i="1"/>
  <c r="A47" i="1"/>
  <c r="E47" i="1"/>
  <c r="H47" i="1"/>
  <c r="I47" i="1"/>
  <c r="L47" i="1"/>
  <c r="O47" i="1"/>
  <c r="R47" i="1"/>
  <c r="S47" i="1"/>
  <c r="T47" i="1"/>
  <c r="U47" i="1"/>
  <c r="W47" i="1"/>
  <c r="X47" i="1"/>
  <c r="Y47" i="1"/>
  <c r="Z47" i="1"/>
  <c r="AA47" i="1"/>
  <c r="AB47" i="1"/>
  <c r="AP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D47" i="1"/>
  <c r="CE47" i="1"/>
  <c r="CF47" i="1"/>
  <c r="CG47" i="1"/>
  <c r="CH47" i="1"/>
  <c r="CI47" i="1"/>
  <c r="CJ47" i="1"/>
  <c r="CK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E47" i="1"/>
  <c r="DH47" i="1"/>
  <c r="DK47" i="1"/>
  <c r="DL47" i="1"/>
  <c r="DM47" i="1"/>
  <c r="DN47" i="1"/>
  <c r="DP47" i="1"/>
  <c r="DS47" i="1"/>
  <c r="DV47" i="1"/>
  <c r="DX47" i="1"/>
  <c r="DY47" i="1"/>
  <c r="EA47" i="1"/>
  <c r="EB47" i="1"/>
  <c r="EC47" i="1"/>
  <c r="ED47" i="1"/>
  <c r="EE47" i="1"/>
  <c r="EF47" i="1"/>
  <c r="EG47" i="1"/>
  <c r="EH47" i="1"/>
  <c r="EI47" i="1"/>
  <c r="EJ47" i="1"/>
  <c r="EK47" i="1"/>
  <c r="EM47" i="1"/>
  <c r="EN47" i="1"/>
  <c r="EO47" i="1"/>
  <c r="EP47" i="1"/>
  <c r="EX47" i="1"/>
  <c r="EY47" i="1"/>
  <c r="EZ47" i="1"/>
  <c r="FA47" i="1"/>
  <c r="FB47" i="1"/>
  <c r="FD47" i="1"/>
  <c r="FE47" i="1"/>
  <c r="FF47" i="1"/>
  <c r="FG47" i="1"/>
  <c r="FH47" i="1"/>
  <c r="FI47" i="1"/>
  <c r="FJ47" i="1"/>
  <c r="FK47" i="1"/>
  <c r="FL47" i="1"/>
  <c r="FO47" i="1"/>
  <c r="FP47" i="1"/>
  <c r="FQ47" i="1"/>
  <c r="FR47" i="1"/>
  <c r="FS47" i="1"/>
  <c r="FT47" i="1"/>
  <c r="FU47" i="1"/>
  <c r="FV47" i="1"/>
  <c r="FW47" i="1"/>
  <c r="FX47" i="1"/>
  <c r="FY47" i="1"/>
  <c r="FZ47" i="1"/>
  <c r="GA47" i="1"/>
  <c r="GB47" i="1"/>
  <c r="GC47" i="1"/>
  <c r="GD47" i="1"/>
  <c r="GE47" i="1"/>
  <c r="GF47" i="1"/>
  <c r="GG47" i="1"/>
  <c r="GH47" i="1"/>
  <c r="GI47" i="1"/>
  <c r="GJ47" i="1"/>
  <c r="GK47" i="1"/>
  <c r="GL47" i="1"/>
  <c r="GM47" i="1"/>
  <c r="GN47" i="1"/>
  <c r="GO47" i="1"/>
  <c r="GP47" i="1"/>
  <c r="GQ47" i="1"/>
  <c r="GR47" i="1"/>
  <c r="GS47" i="1"/>
  <c r="GT47" i="1"/>
  <c r="GU47" i="1"/>
  <c r="GV47" i="1"/>
  <c r="GW47" i="1"/>
  <c r="GX47" i="1"/>
  <c r="GY47" i="1"/>
  <c r="GZ47" i="1"/>
  <c r="HA47" i="1"/>
  <c r="HB47" i="1"/>
  <c r="HC47" i="1"/>
  <c r="HD47" i="1"/>
  <c r="HE47" i="1"/>
  <c r="HF47" i="1"/>
  <c r="HG47" i="1"/>
  <c r="HH47" i="1"/>
  <c r="HI47" i="1"/>
  <c r="HJ47" i="1"/>
  <c r="HK47" i="1"/>
  <c r="HL47" i="1"/>
  <c r="HM47" i="1"/>
  <c r="HN47" i="1"/>
  <c r="HO47" i="1"/>
  <c r="HP47" i="1"/>
  <c r="HQ47" i="1"/>
  <c r="HR47" i="1"/>
  <c r="HS47" i="1"/>
  <c r="HT47" i="1"/>
  <c r="HU47" i="1"/>
  <c r="HV47" i="1"/>
  <c r="HW47" i="1"/>
  <c r="HX47" i="1"/>
  <c r="HY47" i="1"/>
  <c r="HZ47" i="1"/>
  <c r="IA47" i="1"/>
  <c r="IB47" i="1"/>
  <c r="IC47" i="1"/>
  <c r="ID47" i="1"/>
  <c r="IE47" i="1"/>
  <c r="IF47" i="1"/>
  <c r="IG47" i="1"/>
  <c r="IH47" i="1"/>
  <c r="H48" i="1"/>
  <c r="I48" i="1"/>
  <c r="L48" i="1"/>
  <c r="O48" i="1"/>
  <c r="R48" i="1"/>
  <c r="S48" i="1"/>
  <c r="T48" i="1"/>
  <c r="U48" i="1"/>
  <c r="W48" i="1"/>
  <c r="X48" i="1"/>
  <c r="Y48" i="1"/>
  <c r="Z48" i="1"/>
  <c r="AA48" i="1"/>
  <c r="AB48" i="1"/>
  <c r="AP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D48" i="1"/>
  <c r="CE48" i="1"/>
  <c r="CF48" i="1"/>
  <c r="CG48" i="1"/>
  <c r="CH48" i="1"/>
  <c r="CI48" i="1"/>
  <c r="CJ48" i="1"/>
  <c r="CK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E48" i="1"/>
  <c r="DH48" i="1"/>
  <c r="DK48" i="1"/>
  <c r="DL48" i="1"/>
  <c r="DM48" i="1"/>
  <c r="DN48" i="1"/>
  <c r="DP48" i="1"/>
  <c r="DS48" i="1"/>
  <c r="DV48" i="1"/>
  <c r="DX48" i="1"/>
  <c r="DY48" i="1"/>
  <c r="EA48" i="1"/>
  <c r="EB48" i="1"/>
  <c r="EC48" i="1"/>
  <c r="ED48" i="1"/>
  <c r="EE48" i="1"/>
  <c r="EF48" i="1"/>
  <c r="EG48" i="1"/>
  <c r="EH48" i="1"/>
  <c r="EI48" i="1"/>
  <c r="EJ48" i="1"/>
  <c r="EK48" i="1"/>
  <c r="EM48" i="1"/>
  <c r="EN48" i="1"/>
  <c r="EO48" i="1"/>
  <c r="EP48" i="1"/>
  <c r="EX48" i="1"/>
  <c r="EY48" i="1"/>
  <c r="EZ48" i="1"/>
  <c r="FA48" i="1"/>
  <c r="FB48" i="1"/>
  <c r="FD48" i="1"/>
  <c r="FE48" i="1"/>
  <c r="FF48" i="1"/>
  <c r="FG48" i="1"/>
  <c r="FH48" i="1"/>
  <c r="FI48" i="1"/>
  <c r="FJ48" i="1"/>
  <c r="FK48" i="1"/>
  <c r="FL48" i="1"/>
  <c r="FO48" i="1"/>
  <c r="FP48" i="1"/>
  <c r="FQ48" i="1"/>
  <c r="FR48" i="1"/>
  <c r="FS48" i="1"/>
  <c r="FT48" i="1"/>
  <c r="FU48" i="1"/>
  <c r="FV48" i="1"/>
  <c r="FW48" i="1"/>
  <c r="FX48" i="1"/>
  <c r="FY48" i="1"/>
  <c r="FZ48" i="1"/>
  <c r="GA48" i="1"/>
  <c r="GB48" i="1"/>
  <c r="GC48" i="1"/>
  <c r="GD48" i="1"/>
  <c r="GE48" i="1"/>
  <c r="GF48" i="1"/>
  <c r="GG48" i="1"/>
  <c r="GH48" i="1"/>
  <c r="GI48" i="1"/>
  <c r="GJ48" i="1"/>
  <c r="GK48" i="1"/>
  <c r="GL48" i="1"/>
  <c r="GM48" i="1"/>
  <c r="GN48" i="1"/>
  <c r="GO48" i="1"/>
  <c r="GP48" i="1"/>
  <c r="GQ48" i="1"/>
  <c r="GR48" i="1"/>
  <c r="GS48" i="1"/>
  <c r="GT48" i="1"/>
  <c r="GU48" i="1"/>
  <c r="GV48" i="1"/>
  <c r="GW48" i="1"/>
  <c r="GX48" i="1"/>
  <c r="GY48" i="1"/>
  <c r="GZ48" i="1"/>
  <c r="HA48" i="1"/>
  <c r="HB48" i="1"/>
  <c r="HC48" i="1"/>
  <c r="HD48" i="1"/>
  <c r="HE48" i="1"/>
  <c r="HF48" i="1"/>
  <c r="HG48" i="1"/>
  <c r="HH48" i="1"/>
  <c r="HI48" i="1"/>
  <c r="HJ48" i="1"/>
  <c r="HK48" i="1"/>
  <c r="HL48" i="1"/>
  <c r="HM48" i="1"/>
  <c r="HN48" i="1"/>
  <c r="HO48" i="1"/>
  <c r="HP48" i="1"/>
  <c r="HQ48" i="1"/>
  <c r="HR48" i="1"/>
  <c r="HS48" i="1"/>
  <c r="HT48" i="1"/>
  <c r="HU48" i="1"/>
  <c r="HV48" i="1"/>
  <c r="HW48" i="1"/>
  <c r="HX48" i="1"/>
  <c r="HY48" i="1"/>
  <c r="HZ48" i="1"/>
  <c r="IA48" i="1"/>
  <c r="IB48" i="1"/>
  <c r="IC48" i="1"/>
  <c r="ID48" i="1"/>
  <c r="IE48" i="1"/>
  <c r="IF48" i="1"/>
  <c r="IG48" i="1"/>
  <c r="IH48" i="1"/>
  <c r="H49" i="1"/>
  <c r="I49" i="1"/>
  <c r="L49" i="1"/>
  <c r="O49" i="1"/>
  <c r="R49" i="1"/>
  <c r="S49" i="1"/>
  <c r="T49" i="1"/>
  <c r="U49" i="1"/>
  <c r="W49" i="1"/>
  <c r="X49" i="1"/>
  <c r="Y49" i="1"/>
  <c r="Z49" i="1"/>
  <c r="AA49" i="1"/>
  <c r="AB49" i="1"/>
  <c r="AP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D49" i="1"/>
  <c r="CE49" i="1"/>
  <c r="CF49" i="1"/>
  <c r="CG49" i="1"/>
  <c r="CH49" i="1"/>
  <c r="CI49" i="1"/>
  <c r="CJ49" i="1"/>
  <c r="CK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E49" i="1"/>
  <c r="DH49" i="1"/>
  <c r="DK49" i="1"/>
  <c r="DL49" i="1"/>
  <c r="DM49" i="1"/>
  <c r="DN49" i="1"/>
  <c r="DP49" i="1"/>
  <c r="DS49" i="1"/>
  <c r="DV49" i="1"/>
  <c r="DX49" i="1"/>
  <c r="DY49" i="1"/>
  <c r="EA49" i="1"/>
  <c r="EB49" i="1"/>
  <c r="EC49" i="1"/>
  <c r="ED49" i="1"/>
  <c r="EE49" i="1"/>
  <c r="EF49" i="1"/>
  <c r="EG49" i="1"/>
  <c r="EH49" i="1"/>
  <c r="EI49" i="1"/>
  <c r="EJ49" i="1"/>
  <c r="EK49" i="1"/>
  <c r="EM49" i="1"/>
  <c r="EN49" i="1"/>
  <c r="EO49" i="1"/>
  <c r="EP49" i="1"/>
  <c r="EX49" i="1"/>
  <c r="EY49" i="1"/>
  <c r="EZ49" i="1"/>
  <c r="FA49" i="1"/>
  <c r="FB49" i="1"/>
  <c r="FD49" i="1"/>
  <c r="FE49" i="1"/>
  <c r="FF49" i="1"/>
  <c r="FG49" i="1"/>
  <c r="FH49" i="1"/>
  <c r="FI49" i="1"/>
  <c r="FJ49" i="1"/>
  <c r="FK49" i="1"/>
  <c r="FL49" i="1"/>
  <c r="FO49" i="1"/>
  <c r="FP49" i="1"/>
  <c r="FQ49" i="1"/>
  <c r="FR49" i="1"/>
  <c r="FS49" i="1"/>
  <c r="FT49" i="1"/>
  <c r="FU49" i="1"/>
  <c r="FV49" i="1"/>
  <c r="FW49" i="1"/>
  <c r="FX49" i="1"/>
  <c r="FY49" i="1"/>
  <c r="FZ49" i="1"/>
  <c r="GA49" i="1"/>
  <c r="GB49" i="1"/>
  <c r="GC49" i="1"/>
  <c r="GD49" i="1"/>
  <c r="GE49" i="1"/>
  <c r="GF49" i="1"/>
  <c r="GG49" i="1"/>
  <c r="GH49" i="1"/>
  <c r="GI49" i="1"/>
  <c r="GJ49" i="1"/>
  <c r="GK49" i="1"/>
  <c r="GL49" i="1"/>
  <c r="GM49" i="1"/>
  <c r="GN49" i="1"/>
  <c r="GO49" i="1"/>
  <c r="GP49" i="1"/>
  <c r="GQ49" i="1"/>
  <c r="GR49" i="1"/>
  <c r="GS49" i="1"/>
  <c r="GT49" i="1"/>
  <c r="GU49" i="1"/>
  <c r="GV49" i="1"/>
  <c r="GW49" i="1"/>
  <c r="GX49" i="1"/>
  <c r="GY49" i="1"/>
  <c r="GZ49" i="1"/>
  <c r="HA49" i="1"/>
  <c r="HB49" i="1"/>
  <c r="HC49" i="1"/>
  <c r="HD49" i="1"/>
  <c r="HE49" i="1"/>
  <c r="HF49" i="1"/>
  <c r="HG49" i="1"/>
  <c r="HH49" i="1"/>
  <c r="HI49" i="1"/>
  <c r="HJ49" i="1"/>
  <c r="HK49" i="1"/>
  <c r="HL49" i="1"/>
  <c r="HM49" i="1"/>
  <c r="HN49" i="1"/>
  <c r="HO49" i="1"/>
  <c r="HP49" i="1"/>
  <c r="HQ49" i="1"/>
  <c r="HR49" i="1"/>
  <c r="HS49" i="1"/>
  <c r="HT49" i="1"/>
  <c r="HU49" i="1"/>
  <c r="HV49" i="1"/>
  <c r="HW49" i="1"/>
  <c r="HX49" i="1"/>
  <c r="HY49" i="1"/>
  <c r="HZ49" i="1"/>
  <c r="IA49" i="1"/>
  <c r="IB49" i="1"/>
  <c r="IC49" i="1"/>
  <c r="ID49" i="1"/>
  <c r="IE49" i="1"/>
  <c r="IF49" i="1"/>
  <c r="IG49" i="1"/>
  <c r="IH49" i="1"/>
  <c r="H50" i="1"/>
  <c r="I50" i="1"/>
  <c r="L50" i="1"/>
  <c r="O50" i="1"/>
  <c r="R50" i="1"/>
  <c r="S50" i="1"/>
  <c r="T50" i="1"/>
  <c r="U50" i="1"/>
  <c r="W50" i="1"/>
  <c r="X50" i="1"/>
  <c r="Y50" i="1"/>
  <c r="Z50" i="1"/>
  <c r="AA50" i="1"/>
  <c r="AB50" i="1"/>
  <c r="AP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D50" i="1"/>
  <c r="CE50" i="1"/>
  <c r="CF50" i="1"/>
  <c r="CG50" i="1"/>
  <c r="CH50" i="1"/>
  <c r="CI50" i="1"/>
  <c r="CJ50" i="1"/>
  <c r="CK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E50" i="1"/>
  <c r="DH50" i="1"/>
  <c r="DK50" i="1"/>
  <c r="DL50" i="1"/>
  <c r="DM50" i="1"/>
  <c r="DN50" i="1"/>
  <c r="DP50" i="1"/>
  <c r="DS50" i="1"/>
  <c r="DV50" i="1"/>
  <c r="DX50" i="1"/>
  <c r="DY50" i="1"/>
  <c r="EA50" i="1"/>
  <c r="EB50" i="1"/>
  <c r="EC50" i="1"/>
  <c r="ED50" i="1"/>
  <c r="EE50" i="1"/>
  <c r="EF50" i="1"/>
  <c r="EG50" i="1"/>
  <c r="EH50" i="1"/>
  <c r="EI50" i="1"/>
  <c r="EJ50" i="1"/>
  <c r="EK50" i="1"/>
  <c r="EM50" i="1"/>
  <c r="EN50" i="1"/>
  <c r="EO50" i="1"/>
  <c r="EP50" i="1"/>
  <c r="EX50" i="1"/>
  <c r="EY50" i="1"/>
  <c r="EZ50" i="1"/>
  <c r="FA50" i="1"/>
  <c r="FB50" i="1"/>
  <c r="FD50" i="1"/>
  <c r="FE50" i="1"/>
  <c r="FF50" i="1"/>
  <c r="FG50" i="1"/>
  <c r="FH50" i="1"/>
  <c r="FI50" i="1"/>
  <c r="FJ50" i="1"/>
  <c r="FK50" i="1"/>
  <c r="FL50" i="1"/>
  <c r="FO50" i="1"/>
  <c r="FP50" i="1"/>
  <c r="FQ50" i="1"/>
  <c r="FR50" i="1"/>
  <c r="FS50" i="1"/>
  <c r="FT50" i="1"/>
  <c r="FU50" i="1"/>
  <c r="FV50" i="1"/>
  <c r="FW50" i="1"/>
  <c r="FX50" i="1"/>
  <c r="FY50" i="1"/>
  <c r="FZ50" i="1"/>
  <c r="GA50" i="1"/>
  <c r="GB50" i="1"/>
  <c r="GC50" i="1"/>
  <c r="GD50" i="1"/>
  <c r="GE50" i="1"/>
  <c r="GF50" i="1"/>
  <c r="GG50" i="1"/>
  <c r="GH50" i="1"/>
  <c r="GI50" i="1"/>
  <c r="GJ50" i="1"/>
  <c r="GK50" i="1"/>
  <c r="GL50" i="1"/>
  <c r="GM50" i="1"/>
  <c r="GN50" i="1"/>
  <c r="GO50" i="1"/>
  <c r="GP50" i="1"/>
  <c r="GQ50" i="1"/>
  <c r="GR50" i="1"/>
  <c r="GS50" i="1"/>
  <c r="GT50" i="1"/>
  <c r="GU50" i="1"/>
  <c r="GV50" i="1"/>
  <c r="GW50" i="1"/>
  <c r="GX50" i="1"/>
  <c r="GY50" i="1"/>
  <c r="GZ50" i="1"/>
  <c r="HA50" i="1"/>
  <c r="HB50" i="1"/>
  <c r="HC50" i="1"/>
  <c r="HD50" i="1"/>
  <c r="HE50" i="1"/>
  <c r="HF50" i="1"/>
  <c r="HG50" i="1"/>
  <c r="HH50" i="1"/>
  <c r="HI50" i="1"/>
  <c r="HJ50" i="1"/>
  <c r="HK50" i="1"/>
  <c r="HL50" i="1"/>
  <c r="HM50" i="1"/>
  <c r="HN50" i="1"/>
  <c r="HO50" i="1"/>
  <c r="HP50" i="1"/>
  <c r="HQ50" i="1"/>
  <c r="HR50" i="1"/>
  <c r="HS50" i="1"/>
  <c r="HT50" i="1"/>
  <c r="HU50" i="1"/>
  <c r="HV50" i="1"/>
  <c r="HW50" i="1"/>
  <c r="HX50" i="1"/>
  <c r="HY50" i="1"/>
  <c r="HZ50" i="1"/>
  <c r="IA50" i="1"/>
  <c r="IB50" i="1"/>
  <c r="IC50" i="1"/>
  <c r="ID50" i="1"/>
  <c r="IE50" i="1"/>
  <c r="IF50" i="1"/>
  <c r="IG50" i="1"/>
  <c r="IH50" i="1"/>
  <c r="H51" i="1"/>
  <c r="I51" i="1"/>
  <c r="L51" i="1"/>
  <c r="O51" i="1"/>
  <c r="R51" i="1"/>
  <c r="S51" i="1"/>
  <c r="T51" i="1"/>
  <c r="U51" i="1"/>
  <c r="W51" i="1"/>
  <c r="X51" i="1"/>
  <c r="Y51" i="1"/>
  <c r="Z51" i="1"/>
  <c r="AA51" i="1"/>
  <c r="AB51" i="1"/>
  <c r="AP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D51" i="1"/>
  <c r="CE51" i="1"/>
  <c r="CF51" i="1"/>
  <c r="CG51" i="1"/>
  <c r="CH51" i="1"/>
  <c r="CI51" i="1"/>
  <c r="CJ51" i="1"/>
  <c r="CK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E51" i="1"/>
  <c r="DH51" i="1"/>
  <c r="DK51" i="1"/>
  <c r="DL51" i="1"/>
  <c r="DM51" i="1"/>
  <c r="DN51" i="1"/>
  <c r="DP51" i="1"/>
  <c r="DS51" i="1"/>
  <c r="DV51" i="1"/>
  <c r="DX51" i="1"/>
  <c r="DY51" i="1"/>
  <c r="EA51" i="1"/>
  <c r="EB51" i="1"/>
  <c r="EC51" i="1"/>
  <c r="ED51" i="1"/>
  <c r="EE51" i="1"/>
  <c r="EF51" i="1"/>
  <c r="EG51" i="1"/>
  <c r="EH51" i="1"/>
  <c r="EI51" i="1"/>
  <c r="EJ51" i="1"/>
  <c r="EK51" i="1"/>
  <c r="EM51" i="1"/>
  <c r="EN51" i="1"/>
  <c r="EO51" i="1"/>
  <c r="EP51" i="1"/>
  <c r="EX51" i="1"/>
  <c r="EY51" i="1"/>
  <c r="EZ51" i="1"/>
  <c r="FA51" i="1"/>
  <c r="FB51" i="1"/>
  <c r="FD51" i="1"/>
  <c r="FE51" i="1"/>
  <c r="FF51" i="1"/>
  <c r="FG51" i="1"/>
  <c r="FH51" i="1"/>
  <c r="FI51" i="1"/>
  <c r="FJ51" i="1"/>
  <c r="FK51" i="1"/>
  <c r="FL51" i="1"/>
  <c r="FO51" i="1"/>
  <c r="FP51" i="1"/>
  <c r="FQ51" i="1"/>
  <c r="FR51" i="1"/>
  <c r="FS51" i="1"/>
  <c r="FT51" i="1"/>
  <c r="FU51" i="1"/>
  <c r="FV51" i="1"/>
  <c r="FW51" i="1"/>
  <c r="FX51" i="1"/>
  <c r="FY51" i="1"/>
  <c r="FZ51" i="1"/>
  <c r="GA51" i="1"/>
  <c r="GB51" i="1"/>
  <c r="GC51" i="1"/>
  <c r="GD51" i="1"/>
  <c r="GE51" i="1"/>
  <c r="GF51" i="1"/>
  <c r="GG51" i="1"/>
  <c r="GH51" i="1"/>
  <c r="GI51" i="1"/>
  <c r="GJ51" i="1"/>
  <c r="GK51" i="1"/>
  <c r="GL51" i="1"/>
  <c r="GM51" i="1"/>
  <c r="GN51" i="1"/>
  <c r="GO51" i="1"/>
  <c r="GP51" i="1"/>
  <c r="GQ51" i="1"/>
  <c r="GR51" i="1"/>
  <c r="GS51" i="1"/>
  <c r="GT51" i="1"/>
  <c r="GU51" i="1"/>
  <c r="GV51" i="1"/>
  <c r="GW51" i="1"/>
  <c r="GX51" i="1"/>
  <c r="GY51" i="1"/>
  <c r="GZ51" i="1"/>
  <c r="HA51" i="1"/>
  <c r="HB51" i="1"/>
  <c r="HC51" i="1"/>
  <c r="HD51" i="1"/>
  <c r="HE51" i="1"/>
  <c r="HF51" i="1"/>
  <c r="HG51" i="1"/>
  <c r="HH51" i="1"/>
  <c r="HI51" i="1"/>
  <c r="HJ51" i="1"/>
  <c r="HK51" i="1"/>
  <c r="HL51" i="1"/>
  <c r="HM51" i="1"/>
  <c r="HN51" i="1"/>
  <c r="HO51" i="1"/>
  <c r="HP51" i="1"/>
  <c r="HQ51" i="1"/>
  <c r="HR51" i="1"/>
  <c r="HS51" i="1"/>
  <c r="HT51" i="1"/>
  <c r="HU51" i="1"/>
  <c r="HV51" i="1"/>
  <c r="HW51" i="1"/>
  <c r="HX51" i="1"/>
  <c r="HY51" i="1"/>
  <c r="HZ51" i="1"/>
  <c r="IA51" i="1"/>
  <c r="IB51" i="1"/>
  <c r="IC51" i="1"/>
  <c r="ID51" i="1"/>
  <c r="IE51" i="1"/>
  <c r="IF51" i="1"/>
  <c r="IG51" i="1"/>
  <c r="IH51" i="1"/>
  <c r="H52" i="1"/>
  <c r="I52" i="1"/>
  <c r="L52" i="1"/>
  <c r="O52" i="1"/>
  <c r="R52" i="1"/>
  <c r="S52" i="1"/>
  <c r="T52" i="1"/>
  <c r="U52" i="1"/>
  <c r="W52" i="1"/>
  <c r="X52" i="1"/>
  <c r="Y52" i="1"/>
  <c r="Z52" i="1"/>
  <c r="AA52" i="1"/>
  <c r="AB52" i="1"/>
  <c r="AP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D52" i="1"/>
  <c r="CE52" i="1"/>
  <c r="CF52" i="1"/>
  <c r="CG52" i="1"/>
  <c r="CH52" i="1"/>
  <c r="CI52" i="1"/>
  <c r="CJ52" i="1"/>
  <c r="CK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E52" i="1"/>
  <c r="DH52" i="1"/>
  <c r="DK52" i="1"/>
  <c r="DL52" i="1"/>
  <c r="DM52" i="1"/>
  <c r="DN52" i="1"/>
  <c r="DP52" i="1"/>
  <c r="DS52" i="1"/>
  <c r="DV52" i="1"/>
  <c r="DX52" i="1"/>
  <c r="DY52" i="1"/>
  <c r="EA52" i="1"/>
  <c r="EB52" i="1"/>
  <c r="EC52" i="1"/>
  <c r="ED52" i="1"/>
  <c r="EE52" i="1"/>
  <c r="EF52" i="1"/>
  <c r="EG52" i="1"/>
  <c r="EH52" i="1"/>
  <c r="EI52" i="1"/>
  <c r="EJ52" i="1"/>
  <c r="EK52" i="1"/>
  <c r="EM52" i="1"/>
  <c r="EN52" i="1"/>
  <c r="EO52" i="1"/>
  <c r="EP52" i="1"/>
  <c r="EX52" i="1"/>
  <c r="EY52" i="1"/>
  <c r="EZ52" i="1"/>
  <c r="FA52" i="1"/>
  <c r="FB52" i="1"/>
  <c r="FD52" i="1"/>
  <c r="FE52" i="1"/>
  <c r="FF52" i="1"/>
  <c r="FG52" i="1"/>
  <c r="FH52" i="1"/>
  <c r="FI52" i="1"/>
  <c r="FJ52" i="1"/>
  <c r="FK52" i="1"/>
  <c r="FL52" i="1"/>
  <c r="FO52" i="1"/>
  <c r="FP52" i="1"/>
  <c r="FQ52" i="1"/>
  <c r="FR52" i="1"/>
  <c r="FS52" i="1"/>
  <c r="FT52" i="1"/>
  <c r="FU52" i="1"/>
  <c r="FV52" i="1"/>
  <c r="FW52" i="1"/>
  <c r="FX52" i="1"/>
  <c r="FY52" i="1"/>
  <c r="FZ52" i="1"/>
  <c r="GA52" i="1"/>
  <c r="GB52" i="1"/>
  <c r="GC52" i="1"/>
  <c r="GD52" i="1"/>
  <c r="GE52" i="1"/>
  <c r="GF52" i="1"/>
  <c r="GG52" i="1"/>
  <c r="GH52" i="1"/>
  <c r="GI52" i="1"/>
  <c r="GJ52" i="1"/>
  <c r="GK52" i="1"/>
  <c r="GL52" i="1"/>
  <c r="GM52" i="1"/>
  <c r="GN52" i="1"/>
  <c r="GO52" i="1"/>
  <c r="GP52" i="1"/>
  <c r="GQ52" i="1"/>
  <c r="GR52" i="1"/>
  <c r="GS52" i="1"/>
  <c r="GT52" i="1"/>
  <c r="GU52" i="1"/>
  <c r="GV52" i="1"/>
  <c r="GW52" i="1"/>
  <c r="GX52" i="1"/>
  <c r="GY52" i="1"/>
  <c r="GZ52" i="1"/>
  <c r="HA52" i="1"/>
  <c r="HB52" i="1"/>
  <c r="HC52" i="1"/>
  <c r="HD52" i="1"/>
  <c r="HE52" i="1"/>
  <c r="HF52" i="1"/>
  <c r="HG52" i="1"/>
  <c r="HH52" i="1"/>
  <c r="HI52" i="1"/>
  <c r="HJ52" i="1"/>
  <c r="HK52" i="1"/>
  <c r="HL52" i="1"/>
  <c r="HM52" i="1"/>
  <c r="HN52" i="1"/>
  <c r="HO52" i="1"/>
  <c r="HP52" i="1"/>
  <c r="HQ52" i="1"/>
  <c r="HR52" i="1"/>
  <c r="HS52" i="1"/>
  <c r="HT52" i="1"/>
  <c r="HU52" i="1"/>
  <c r="HV52" i="1"/>
  <c r="HW52" i="1"/>
  <c r="HX52" i="1"/>
  <c r="HY52" i="1"/>
  <c r="HZ52" i="1"/>
  <c r="IA52" i="1"/>
  <c r="IB52" i="1"/>
  <c r="IC52" i="1"/>
  <c r="ID52" i="1"/>
  <c r="IE52" i="1"/>
  <c r="IF52" i="1"/>
  <c r="IG52" i="1"/>
  <c r="IH52" i="1"/>
  <c r="H53" i="1"/>
  <c r="I53" i="1"/>
  <c r="L53" i="1"/>
  <c r="O53" i="1"/>
  <c r="R53" i="1"/>
  <c r="S53" i="1"/>
  <c r="T53" i="1"/>
  <c r="U53" i="1"/>
  <c r="W53" i="1"/>
  <c r="X53" i="1"/>
  <c r="Y53" i="1"/>
  <c r="Z53" i="1"/>
  <c r="AA53" i="1"/>
  <c r="AB53" i="1"/>
  <c r="AP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D53" i="1"/>
  <c r="CE53" i="1"/>
  <c r="CF53" i="1"/>
  <c r="CG53" i="1"/>
  <c r="CH53" i="1"/>
  <c r="CI53" i="1"/>
  <c r="CJ53" i="1"/>
  <c r="CK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E53" i="1"/>
  <c r="DH53" i="1"/>
  <c r="DK53" i="1"/>
  <c r="DL53" i="1"/>
  <c r="DM53" i="1"/>
  <c r="DN53" i="1"/>
  <c r="DP53" i="1"/>
  <c r="DS53" i="1"/>
  <c r="DV53" i="1"/>
  <c r="DX53" i="1"/>
  <c r="DY53" i="1"/>
  <c r="EA53" i="1"/>
  <c r="EB53" i="1"/>
  <c r="EC53" i="1"/>
  <c r="ED53" i="1"/>
  <c r="EE53" i="1"/>
  <c r="EF53" i="1"/>
  <c r="EG53" i="1"/>
  <c r="EH53" i="1"/>
  <c r="EI53" i="1"/>
  <c r="EJ53" i="1"/>
  <c r="EK53" i="1"/>
  <c r="EM53" i="1"/>
  <c r="EN53" i="1"/>
  <c r="EO53" i="1"/>
  <c r="EP53" i="1"/>
  <c r="EX53" i="1"/>
  <c r="EY53" i="1"/>
  <c r="EZ53" i="1"/>
  <c r="FA53" i="1"/>
  <c r="FB53" i="1"/>
  <c r="FD53" i="1"/>
  <c r="FE53" i="1"/>
  <c r="FF53" i="1"/>
  <c r="FG53" i="1"/>
  <c r="FH53" i="1"/>
  <c r="FI53" i="1"/>
  <c r="FJ53" i="1"/>
  <c r="FK53" i="1"/>
  <c r="FL53" i="1"/>
  <c r="FO53" i="1"/>
  <c r="FP53" i="1"/>
  <c r="FQ53" i="1"/>
  <c r="FR53" i="1"/>
  <c r="FS53" i="1"/>
  <c r="FT53" i="1"/>
  <c r="FU53" i="1"/>
  <c r="FV53" i="1"/>
  <c r="FW53" i="1"/>
  <c r="FX53" i="1"/>
  <c r="FY53" i="1"/>
  <c r="FZ53" i="1"/>
  <c r="GA53" i="1"/>
  <c r="GB53" i="1"/>
  <c r="GC53" i="1"/>
  <c r="GD53" i="1"/>
  <c r="GE53" i="1"/>
  <c r="GF53" i="1"/>
  <c r="GG53" i="1"/>
  <c r="GH53" i="1"/>
  <c r="GI53" i="1"/>
  <c r="GJ53" i="1"/>
  <c r="GK53" i="1"/>
  <c r="GL53" i="1"/>
  <c r="GM53" i="1"/>
  <c r="GN53" i="1"/>
  <c r="GO53" i="1"/>
  <c r="GP53" i="1"/>
  <c r="GQ53" i="1"/>
  <c r="GR53" i="1"/>
  <c r="GS53" i="1"/>
  <c r="GT53" i="1"/>
  <c r="GU53" i="1"/>
  <c r="GV53" i="1"/>
  <c r="GW53" i="1"/>
  <c r="GX53" i="1"/>
  <c r="GY53" i="1"/>
  <c r="GZ53" i="1"/>
  <c r="HA53" i="1"/>
  <c r="HB53" i="1"/>
  <c r="HC53" i="1"/>
  <c r="HD53" i="1"/>
  <c r="HE53" i="1"/>
  <c r="HF53" i="1"/>
  <c r="HG53" i="1"/>
  <c r="HH53" i="1"/>
  <c r="HI53" i="1"/>
  <c r="HJ53" i="1"/>
  <c r="HK53" i="1"/>
  <c r="HL53" i="1"/>
  <c r="HM53" i="1"/>
  <c r="HN53" i="1"/>
  <c r="HO53" i="1"/>
  <c r="HP53" i="1"/>
  <c r="HQ53" i="1"/>
  <c r="HR53" i="1"/>
  <c r="HS53" i="1"/>
  <c r="HT53" i="1"/>
  <c r="HU53" i="1"/>
  <c r="HV53" i="1"/>
  <c r="HW53" i="1"/>
  <c r="HX53" i="1"/>
  <c r="HY53" i="1"/>
  <c r="HZ53" i="1"/>
  <c r="IA53" i="1"/>
  <c r="IB53" i="1"/>
  <c r="IC53" i="1"/>
  <c r="ID53" i="1"/>
  <c r="IE53" i="1"/>
  <c r="IF53" i="1"/>
  <c r="IG53" i="1"/>
  <c r="IH53" i="1"/>
  <c r="H54" i="1"/>
  <c r="I54" i="1"/>
  <c r="L54" i="1"/>
  <c r="O54" i="1"/>
  <c r="R54" i="1"/>
  <c r="S54" i="1"/>
  <c r="T54" i="1"/>
  <c r="U54" i="1"/>
  <c r="W54" i="1"/>
  <c r="X54" i="1"/>
  <c r="Y54" i="1"/>
  <c r="Z54" i="1"/>
  <c r="AA54" i="1"/>
  <c r="AB54" i="1"/>
  <c r="AP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D54" i="1"/>
  <c r="CE54" i="1"/>
  <c r="CF54" i="1"/>
  <c r="CG54" i="1"/>
  <c r="CH54" i="1"/>
  <c r="CI54" i="1"/>
  <c r="CJ54" i="1"/>
  <c r="CK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E54" i="1"/>
  <c r="DH54" i="1"/>
  <c r="DK54" i="1"/>
  <c r="DL54" i="1"/>
  <c r="DM54" i="1"/>
  <c r="DN54" i="1"/>
  <c r="DP54" i="1"/>
  <c r="DS54" i="1"/>
  <c r="DV54" i="1"/>
  <c r="DX54" i="1"/>
  <c r="DY54" i="1"/>
  <c r="EA54" i="1"/>
  <c r="EB54" i="1"/>
  <c r="EC54" i="1"/>
  <c r="ED54" i="1"/>
  <c r="EE54" i="1"/>
  <c r="EF54" i="1"/>
  <c r="EG54" i="1"/>
  <c r="EH54" i="1"/>
  <c r="EI54" i="1"/>
  <c r="EJ54" i="1"/>
  <c r="EK54" i="1"/>
  <c r="EM54" i="1"/>
  <c r="EN54" i="1"/>
  <c r="EO54" i="1"/>
  <c r="EP54" i="1"/>
  <c r="EX54" i="1"/>
  <c r="EY54" i="1"/>
  <c r="EZ54" i="1"/>
  <c r="FA54" i="1"/>
  <c r="FB54" i="1"/>
  <c r="FD54" i="1"/>
  <c r="FE54" i="1"/>
  <c r="FF54" i="1"/>
  <c r="FG54" i="1"/>
  <c r="FH54" i="1"/>
  <c r="FI54" i="1"/>
  <c r="FJ54" i="1"/>
  <c r="FK54" i="1"/>
  <c r="FL54" i="1"/>
  <c r="FO54" i="1"/>
  <c r="FP54" i="1"/>
  <c r="FQ54" i="1"/>
  <c r="FR54" i="1"/>
  <c r="FS54" i="1"/>
  <c r="FT54" i="1"/>
  <c r="FU54" i="1"/>
  <c r="FV54" i="1"/>
  <c r="FW54" i="1"/>
  <c r="FX54" i="1"/>
  <c r="FY54" i="1"/>
  <c r="FZ54" i="1"/>
  <c r="GA54" i="1"/>
  <c r="GB54" i="1"/>
  <c r="GC54" i="1"/>
  <c r="GD54" i="1"/>
  <c r="GE54" i="1"/>
  <c r="GF54" i="1"/>
  <c r="GG54" i="1"/>
  <c r="GH54" i="1"/>
  <c r="GI54" i="1"/>
  <c r="GJ54" i="1"/>
  <c r="GK54" i="1"/>
  <c r="GL54" i="1"/>
  <c r="GM54" i="1"/>
  <c r="GN54" i="1"/>
  <c r="GO54" i="1"/>
  <c r="GP54" i="1"/>
  <c r="GQ54" i="1"/>
  <c r="GR54" i="1"/>
  <c r="GS54" i="1"/>
  <c r="GT54" i="1"/>
  <c r="GU54" i="1"/>
  <c r="GV54" i="1"/>
  <c r="GW54" i="1"/>
  <c r="GX54" i="1"/>
  <c r="GY54" i="1"/>
  <c r="GZ54" i="1"/>
  <c r="HA54" i="1"/>
  <c r="HB54" i="1"/>
  <c r="HC54" i="1"/>
  <c r="HD54" i="1"/>
  <c r="HE54" i="1"/>
  <c r="HF54" i="1"/>
  <c r="HG54" i="1"/>
  <c r="HH54" i="1"/>
  <c r="HI54" i="1"/>
  <c r="HJ54" i="1"/>
  <c r="HK54" i="1"/>
  <c r="HL54" i="1"/>
  <c r="HM54" i="1"/>
  <c r="HN54" i="1"/>
  <c r="HO54" i="1"/>
  <c r="HP54" i="1"/>
  <c r="HQ54" i="1"/>
  <c r="HR54" i="1"/>
  <c r="HS54" i="1"/>
  <c r="HT54" i="1"/>
  <c r="HU54" i="1"/>
  <c r="HV54" i="1"/>
  <c r="HW54" i="1"/>
  <c r="HX54" i="1"/>
  <c r="HY54" i="1"/>
  <c r="HZ54" i="1"/>
  <c r="IA54" i="1"/>
  <c r="IB54" i="1"/>
  <c r="IC54" i="1"/>
  <c r="ID54" i="1"/>
  <c r="IE54" i="1"/>
  <c r="IF54" i="1"/>
  <c r="IG54" i="1"/>
  <c r="IH54" i="1"/>
  <c r="H55" i="1"/>
  <c r="I55" i="1"/>
  <c r="L55" i="1"/>
  <c r="O55" i="1"/>
  <c r="R55" i="1"/>
  <c r="S55" i="1"/>
  <c r="T55" i="1"/>
  <c r="U55" i="1"/>
  <c r="W55" i="1"/>
  <c r="X55" i="1"/>
  <c r="Y55" i="1"/>
  <c r="Z55" i="1"/>
  <c r="AA55" i="1"/>
  <c r="AB55" i="1"/>
  <c r="AP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D55" i="1"/>
  <c r="CE55" i="1"/>
  <c r="CF55" i="1"/>
  <c r="CG55" i="1"/>
  <c r="CH55" i="1"/>
  <c r="CI55" i="1"/>
  <c r="CJ55" i="1"/>
  <c r="CK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E55" i="1"/>
  <c r="DH55" i="1"/>
  <c r="DK55" i="1"/>
  <c r="DL55" i="1"/>
  <c r="DM55" i="1"/>
  <c r="DN55" i="1"/>
  <c r="DP55" i="1"/>
  <c r="DS55" i="1"/>
  <c r="DV55" i="1"/>
  <c r="DX55" i="1"/>
  <c r="DY55" i="1"/>
  <c r="EA55" i="1"/>
  <c r="EB55" i="1"/>
  <c r="EC55" i="1"/>
  <c r="ED55" i="1"/>
  <c r="EE55" i="1"/>
  <c r="EF55" i="1"/>
  <c r="EG55" i="1"/>
  <c r="EH55" i="1"/>
  <c r="EI55" i="1"/>
  <c r="EJ55" i="1"/>
  <c r="EK55" i="1"/>
  <c r="EX55" i="1"/>
  <c r="EY55" i="1"/>
  <c r="EZ55" i="1"/>
  <c r="FA55" i="1"/>
  <c r="FB55" i="1"/>
  <c r="FD55" i="1"/>
  <c r="FE55" i="1"/>
  <c r="FF55" i="1"/>
  <c r="FG55" i="1"/>
  <c r="FH55" i="1"/>
  <c r="FI55" i="1"/>
  <c r="FJ55" i="1"/>
  <c r="FK55" i="1"/>
  <c r="FL55" i="1"/>
  <c r="FO55" i="1"/>
  <c r="FP55" i="1"/>
  <c r="FQ55" i="1"/>
  <c r="FR55" i="1"/>
  <c r="FS55" i="1"/>
  <c r="FT55" i="1"/>
  <c r="FU55" i="1"/>
  <c r="FV55" i="1"/>
  <c r="FW55" i="1"/>
  <c r="FX55" i="1"/>
  <c r="FY55" i="1"/>
  <c r="FZ55" i="1"/>
  <c r="GA55" i="1"/>
  <c r="GB55" i="1"/>
  <c r="GC55" i="1"/>
  <c r="GD55" i="1"/>
  <c r="GE55" i="1"/>
  <c r="GF55" i="1"/>
  <c r="GG55" i="1"/>
  <c r="GH55" i="1"/>
  <c r="GI55" i="1"/>
  <c r="GJ55" i="1"/>
  <c r="GK55" i="1"/>
  <c r="GL55" i="1"/>
  <c r="GM55" i="1"/>
  <c r="GN55" i="1"/>
  <c r="GO55" i="1"/>
  <c r="GP55" i="1"/>
  <c r="GQ55" i="1"/>
  <c r="GR55" i="1"/>
  <c r="GS55" i="1"/>
  <c r="GT55" i="1"/>
  <c r="GU55" i="1"/>
  <c r="GV55" i="1"/>
  <c r="GW55" i="1"/>
  <c r="GX55" i="1"/>
  <c r="GY55" i="1"/>
  <c r="GZ55" i="1"/>
  <c r="HA55" i="1"/>
  <c r="HB55" i="1"/>
  <c r="HC55" i="1"/>
  <c r="HD55" i="1"/>
  <c r="HE55" i="1"/>
  <c r="HF55" i="1"/>
  <c r="HG55" i="1"/>
  <c r="HH55" i="1"/>
  <c r="HI55" i="1"/>
  <c r="HJ55" i="1"/>
  <c r="HK55" i="1"/>
  <c r="HL55" i="1"/>
  <c r="HM55" i="1"/>
  <c r="HN55" i="1"/>
  <c r="HO55" i="1"/>
  <c r="HP55" i="1"/>
  <c r="HQ55" i="1"/>
  <c r="HR55" i="1"/>
  <c r="HS55" i="1"/>
  <c r="HT55" i="1"/>
  <c r="HU55" i="1"/>
  <c r="HV55" i="1"/>
  <c r="HW55" i="1"/>
  <c r="HX55" i="1"/>
  <c r="HY55" i="1"/>
  <c r="HZ55" i="1"/>
  <c r="IA55" i="1"/>
  <c r="IB55" i="1"/>
  <c r="IC55" i="1"/>
  <c r="ID55" i="1"/>
  <c r="IE55" i="1"/>
  <c r="IF55" i="1"/>
  <c r="IG55" i="1"/>
  <c r="IH55" i="1"/>
  <c r="H56" i="1"/>
  <c r="I56" i="1"/>
  <c r="L56" i="1"/>
  <c r="O56" i="1"/>
  <c r="R56" i="1"/>
  <c r="S56" i="1"/>
  <c r="T56" i="1"/>
  <c r="U56" i="1"/>
  <c r="W56" i="1"/>
  <c r="X56" i="1"/>
  <c r="Y56" i="1"/>
  <c r="Z56" i="1"/>
  <c r="AA56" i="1"/>
  <c r="AB56" i="1"/>
  <c r="AP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D56" i="1"/>
  <c r="CE56" i="1"/>
  <c r="CF56" i="1"/>
  <c r="CG56" i="1"/>
  <c r="CH56" i="1"/>
  <c r="CI56" i="1"/>
  <c r="CJ56" i="1"/>
  <c r="CK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E56" i="1"/>
  <c r="DH56" i="1"/>
  <c r="DK56" i="1"/>
  <c r="DL56" i="1"/>
  <c r="DM56" i="1"/>
  <c r="DN56" i="1"/>
  <c r="DP56" i="1"/>
  <c r="DS56" i="1"/>
  <c r="DV56" i="1"/>
  <c r="DX56" i="1"/>
  <c r="DY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X56" i="1"/>
  <c r="EY56" i="1"/>
  <c r="EZ56" i="1"/>
  <c r="FA56" i="1"/>
  <c r="FB56" i="1"/>
  <c r="FD56" i="1"/>
  <c r="FE56" i="1"/>
  <c r="FF56" i="1"/>
  <c r="FG56" i="1"/>
  <c r="FH56" i="1"/>
  <c r="FI56" i="1"/>
  <c r="FJ56" i="1"/>
  <c r="FK56" i="1"/>
  <c r="FL56" i="1"/>
  <c r="FO56" i="1"/>
  <c r="FP56" i="1"/>
  <c r="FQ56" i="1"/>
  <c r="FR56" i="1"/>
  <c r="FS56" i="1"/>
  <c r="FT56" i="1"/>
  <c r="FU56" i="1"/>
  <c r="FV56" i="1"/>
  <c r="FW56" i="1"/>
  <c r="FX56" i="1"/>
  <c r="FY56" i="1"/>
  <c r="FZ56" i="1"/>
  <c r="GA56" i="1"/>
  <c r="GB56" i="1"/>
  <c r="GC56" i="1"/>
  <c r="GD56" i="1"/>
  <c r="GE56" i="1"/>
  <c r="GF56" i="1"/>
  <c r="GG56" i="1"/>
  <c r="GH56" i="1"/>
  <c r="GI56" i="1"/>
  <c r="GJ56" i="1"/>
  <c r="GK56" i="1"/>
  <c r="GL56" i="1"/>
  <c r="GM56" i="1"/>
  <c r="GN56" i="1"/>
  <c r="GO56" i="1"/>
  <c r="GP56" i="1"/>
  <c r="GQ56" i="1"/>
  <c r="GR56" i="1"/>
  <c r="GS56" i="1"/>
  <c r="GT56" i="1"/>
  <c r="GU56" i="1"/>
  <c r="GV56" i="1"/>
  <c r="GW56" i="1"/>
  <c r="GX56" i="1"/>
  <c r="GY56" i="1"/>
  <c r="GZ56" i="1"/>
  <c r="HA56" i="1"/>
  <c r="HB56" i="1"/>
  <c r="HC56" i="1"/>
  <c r="HD56" i="1"/>
  <c r="HE56" i="1"/>
  <c r="HF56" i="1"/>
  <c r="HG56" i="1"/>
  <c r="HH56" i="1"/>
  <c r="HI56" i="1"/>
  <c r="HJ56" i="1"/>
  <c r="HK56" i="1"/>
  <c r="HL56" i="1"/>
  <c r="HM56" i="1"/>
  <c r="HN56" i="1"/>
  <c r="HO56" i="1"/>
  <c r="HP56" i="1"/>
  <c r="HQ56" i="1"/>
  <c r="HR56" i="1"/>
  <c r="HS56" i="1"/>
  <c r="HT56" i="1"/>
  <c r="HU56" i="1"/>
  <c r="HV56" i="1"/>
  <c r="HW56" i="1"/>
  <c r="HX56" i="1"/>
  <c r="HY56" i="1"/>
  <c r="HZ56" i="1"/>
  <c r="IA56" i="1"/>
  <c r="IB56" i="1"/>
  <c r="IC56" i="1"/>
  <c r="ID56" i="1"/>
  <c r="IE56" i="1"/>
  <c r="IF56" i="1"/>
  <c r="IG56" i="1"/>
  <c r="IH56" i="1"/>
  <c r="H57" i="1"/>
  <c r="I57" i="1"/>
  <c r="L57" i="1"/>
  <c r="O57" i="1"/>
  <c r="R57" i="1"/>
  <c r="S57" i="1"/>
  <c r="T57" i="1"/>
  <c r="U57" i="1"/>
  <c r="W57" i="1"/>
  <c r="X57" i="1"/>
  <c r="Y57" i="1"/>
  <c r="Z57" i="1"/>
  <c r="AA57" i="1"/>
  <c r="AB57" i="1"/>
  <c r="AP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D57" i="1"/>
  <c r="CE57" i="1"/>
  <c r="CF57" i="1"/>
  <c r="CG57" i="1"/>
  <c r="CH57" i="1"/>
  <c r="CI57" i="1"/>
  <c r="CJ57" i="1"/>
  <c r="CK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E57" i="1"/>
  <c r="DH57" i="1"/>
  <c r="DK57" i="1"/>
  <c r="DL57" i="1"/>
  <c r="DM57" i="1"/>
  <c r="DN57" i="1"/>
  <c r="DP57" i="1"/>
  <c r="DS57" i="1"/>
  <c r="DV57" i="1"/>
  <c r="DX57" i="1"/>
  <c r="DY57" i="1"/>
  <c r="EA57" i="1"/>
  <c r="EB57" i="1"/>
  <c r="EC57" i="1"/>
  <c r="ED57" i="1"/>
  <c r="EE57" i="1"/>
  <c r="EF57" i="1"/>
  <c r="EG57" i="1"/>
  <c r="EH57" i="1"/>
  <c r="EI57" i="1"/>
  <c r="EJ57" i="1"/>
  <c r="EK57" i="1"/>
  <c r="EX57" i="1"/>
  <c r="EY57" i="1"/>
  <c r="EZ57" i="1"/>
  <c r="FA57" i="1"/>
  <c r="FB57" i="1"/>
  <c r="FD57" i="1"/>
  <c r="FE57" i="1"/>
  <c r="FF57" i="1"/>
  <c r="FG57" i="1"/>
  <c r="FH57" i="1"/>
  <c r="FI57" i="1"/>
  <c r="FJ57" i="1"/>
  <c r="FK57" i="1"/>
  <c r="FL57" i="1"/>
  <c r="FO57" i="1"/>
  <c r="FP57" i="1"/>
  <c r="FQ57" i="1"/>
  <c r="FR57" i="1"/>
  <c r="FS57" i="1"/>
  <c r="FT57" i="1"/>
  <c r="FU57" i="1"/>
  <c r="FV57" i="1"/>
  <c r="FW57" i="1"/>
  <c r="FX57" i="1"/>
  <c r="FY57" i="1"/>
  <c r="FZ57" i="1"/>
  <c r="GA57" i="1"/>
  <c r="GB57" i="1"/>
  <c r="GC57" i="1"/>
  <c r="GD57" i="1"/>
  <c r="GE57" i="1"/>
  <c r="GF57" i="1"/>
  <c r="GG57" i="1"/>
  <c r="GH57" i="1"/>
  <c r="GI57" i="1"/>
  <c r="GJ57" i="1"/>
  <c r="GK57" i="1"/>
  <c r="GL57" i="1"/>
  <c r="GM57" i="1"/>
  <c r="GN57" i="1"/>
  <c r="GO57" i="1"/>
  <c r="GP57" i="1"/>
  <c r="GQ57" i="1"/>
  <c r="GR57" i="1"/>
  <c r="GS57" i="1"/>
  <c r="GT57" i="1"/>
  <c r="GU57" i="1"/>
  <c r="GV57" i="1"/>
  <c r="GW57" i="1"/>
  <c r="GX57" i="1"/>
  <c r="GY57" i="1"/>
  <c r="GZ57" i="1"/>
  <c r="HA57" i="1"/>
  <c r="HB57" i="1"/>
  <c r="HC57" i="1"/>
  <c r="HD57" i="1"/>
  <c r="HE57" i="1"/>
  <c r="HF57" i="1"/>
  <c r="HG57" i="1"/>
  <c r="HH57" i="1"/>
  <c r="HI57" i="1"/>
  <c r="HJ57" i="1"/>
  <c r="HK57" i="1"/>
  <c r="HL57" i="1"/>
  <c r="HM57" i="1"/>
  <c r="HN57" i="1"/>
  <c r="HO57" i="1"/>
  <c r="HP57" i="1"/>
  <c r="HQ57" i="1"/>
  <c r="HR57" i="1"/>
  <c r="HS57" i="1"/>
  <c r="HT57" i="1"/>
  <c r="HU57" i="1"/>
  <c r="HV57" i="1"/>
  <c r="HW57" i="1"/>
  <c r="HX57" i="1"/>
  <c r="HY57" i="1"/>
  <c r="HZ57" i="1"/>
  <c r="IA57" i="1"/>
  <c r="IB57" i="1"/>
  <c r="IC57" i="1"/>
  <c r="ID57" i="1"/>
  <c r="IE57" i="1"/>
  <c r="IF57" i="1"/>
  <c r="IG57" i="1"/>
  <c r="IH57" i="1"/>
  <c r="H58" i="1"/>
  <c r="I58" i="1"/>
  <c r="L58" i="1"/>
  <c r="O58" i="1"/>
  <c r="R58" i="1"/>
  <c r="S58" i="1"/>
  <c r="T58" i="1"/>
  <c r="U58" i="1"/>
  <c r="W58" i="1"/>
  <c r="X58" i="1"/>
  <c r="Y58" i="1"/>
  <c r="Z58" i="1"/>
  <c r="AA58" i="1"/>
  <c r="AB58" i="1"/>
  <c r="AP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D58" i="1"/>
  <c r="CE58" i="1"/>
  <c r="CF58" i="1"/>
  <c r="CG58" i="1"/>
  <c r="CH58" i="1"/>
  <c r="CI58" i="1"/>
  <c r="CJ58" i="1"/>
  <c r="CK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E58" i="1"/>
  <c r="DH58" i="1"/>
  <c r="DK58" i="1"/>
  <c r="DL58" i="1"/>
  <c r="DM58" i="1"/>
  <c r="DN58" i="1"/>
  <c r="DP58" i="1"/>
  <c r="DS58" i="1"/>
  <c r="DV58" i="1"/>
  <c r="DX58" i="1"/>
  <c r="DY58" i="1"/>
  <c r="EA58" i="1"/>
  <c r="EB58" i="1"/>
  <c r="EC58" i="1"/>
  <c r="ED58" i="1"/>
  <c r="EE58" i="1"/>
  <c r="EF58" i="1"/>
  <c r="EG58" i="1"/>
  <c r="EH58" i="1"/>
  <c r="EI58" i="1"/>
  <c r="EJ58" i="1"/>
  <c r="EK58" i="1"/>
  <c r="EX58" i="1"/>
  <c r="EY58" i="1"/>
  <c r="EZ58" i="1"/>
  <c r="FA58" i="1"/>
  <c r="FB58" i="1"/>
  <c r="FD58" i="1"/>
  <c r="FE58" i="1"/>
  <c r="FF58" i="1"/>
  <c r="FG58" i="1"/>
  <c r="FH58" i="1"/>
  <c r="FI58" i="1"/>
  <c r="FJ58" i="1"/>
  <c r="FK58" i="1"/>
  <c r="FL58" i="1"/>
  <c r="FO58" i="1"/>
  <c r="FP58" i="1"/>
  <c r="FQ58" i="1"/>
  <c r="FR58" i="1"/>
  <c r="FS58" i="1"/>
  <c r="FT58" i="1"/>
  <c r="FU58" i="1"/>
  <c r="FV58" i="1"/>
  <c r="FW58" i="1"/>
  <c r="FX58" i="1"/>
  <c r="FY58" i="1"/>
  <c r="FZ58" i="1"/>
  <c r="GA58" i="1"/>
  <c r="GB58" i="1"/>
  <c r="GC58" i="1"/>
  <c r="GD58" i="1"/>
  <c r="GE58" i="1"/>
  <c r="GF58" i="1"/>
  <c r="GG58" i="1"/>
  <c r="GH58" i="1"/>
  <c r="GI58" i="1"/>
  <c r="GJ58" i="1"/>
  <c r="GK58" i="1"/>
  <c r="GL58" i="1"/>
  <c r="GM58" i="1"/>
  <c r="GN58" i="1"/>
  <c r="GO58" i="1"/>
  <c r="GP58" i="1"/>
  <c r="GQ58" i="1"/>
  <c r="GR58" i="1"/>
  <c r="GS58" i="1"/>
  <c r="GT58" i="1"/>
  <c r="GU58" i="1"/>
  <c r="GV58" i="1"/>
  <c r="GW58" i="1"/>
  <c r="GX58" i="1"/>
  <c r="GY58" i="1"/>
  <c r="GZ58" i="1"/>
  <c r="HA58" i="1"/>
  <c r="HB58" i="1"/>
  <c r="HC58" i="1"/>
  <c r="HD58" i="1"/>
  <c r="HE58" i="1"/>
  <c r="HF58" i="1"/>
  <c r="HG58" i="1"/>
  <c r="HH58" i="1"/>
  <c r="HI58" i="1"/>
  <c r="HJ58" i="1"/>
  <c r="HK58" i="1"/>
  <c r="HL58" i="1"/>
  <c r="HM58" i="1"/>
  <c r="HN58" i="1"/>
  <c r="HO58" i="1"/>
  <c r="HP58" i="1"/>
  <c r="HQ58" i="1"/>
  <c r="HR58" i="1"/>
  <c r="HS58" i="1"/>
  <c r="HT58" i="1"/>
  <c r="HU58" i="1"/>
  <c r="HV58" i="1"/>
  <c r="HW58" i="1"/>
  <c r="HX58" i="1"/>
  <c r="HY58" i="1"/>
  <c r="HZ58" i="1"/>
  <c r="IA58" i="1"/>
  <c r="IB58" i="1"/>
  <c r="IC58" i="1"/>
  <c r="ID58" i="1"/>
  <c r="IE58" i="1"/>
  <c r="IF58" i="1"/>
  <c r="IG58" i="1"/>
  <c r="IH58" i="1"/>
  <c r="H59" i="1"/>
  <c r="I59" i="1"/>
  <c r="L59" i="1"/>
  <c r="O59" i="1"/>
  <c r="R59" i="1"/>
  <c r="S59" i="1"/>
  <c r="T59" i="1"/>
  <c r="U59" i="1"/>
  <c r="W59" i="1"/>
  <c r="X59" i="1"/>
  <c r="Y59" i="1"/>
  <c r="Z59" i="1"/>
  <c r="AA59" i="1"/>
  <c r="AB59" i="1"/>
  <c r="AP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D59" i="1"/>
  <c r="CE59" i="1"/>
  <c r="CF59" i="1"/>
  <c r="CG59" i="1"/>
  <c r="CH59" i="1"/>
  <c r="CI59" i="1"/>
  <c r="CJ59" i="1"/>
  <c r="CK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E59" i="1"/>
  <c r="DH59" i="1"/>
  <c r="DK59" i="1"/>
  <c r="DL59" i="1"/>
  <c r="DM59" i="1"/>
  <c r="DN59" i="1"/>
  <c r="DP59" i="1"/>
  <c r="DS59" i="1"/>
  <c r="DV59" i="1"/>
  <c r="DX59" i="1"/>
  <c r="DY59" i="1"/>
  <c r="EA59" i="1"/>
  <c r="EB59" i="1"/>
  <c r="EC59" i="1"/>
  <c r="ED59" i="1"/>
  <c r="EE59" i="1"/>
  <c r="EF59" i="1"/>
  <c r="EG59" i="1"/>
  <c r="EH59" i="1"/>
  <c r="EI59" i="1"/>
  <c r="EJ59" i="1"/>
  <c r="EK59" i="1"/>
  <c r="EX59" i="1"/>
  <c r="EY59" i="1"/>
  <c r="EZ59" i="1"/>
  <c r="FA59" i="1"/>
  <c r="FB59" i="1"/>
  <c r="FD59" i="1"/>
  <c r="FE59" i="1"/>
  <c r="FF59" i="1"/>
  <c r="FG59" i="1"/>
  <c r="FH59" i="1"/>
  <c r="FI59" i="1"/>
  <c r="FJ59" i="1"/>
  <c r="FK59" i="1"/>
  <c r="FL59" i="1"/>
  <c r="FO59" i="1"/>
  <c r="FP59" i="1"/>
  <c r="FQ59" i="1"/>
  <c r="FR59" i="1"/>
  <c r="FS59" i="1"/>
  <c r="FT59" i="1"/>
  <c r="FU59" i="1"/>
  <c r="FV59" i="1"/>
  <c r="FW59" i="1"/>
  <c r="FX59" i="1"/>
  <c r="FY59" i="1"/>
  <c r="FZ59" i="1"/>
  <c r="GA59" i="1"/>
  <c r="GB59" i="1"/>
  <c r="GC59" i="1"/>
  <c r="GD59" i="1"/>
  <c r="GE59" i="1"/>
  <c r="GF59" i="1"/>
  <c r="GG59" i="1"/>
  <c r="GH59" i="1"/>
  <c r="GI59" i="1"/>
  <c r="GJ59" i="1"/>
  <c r="GK59" i="1"/>
  <c r="GL59" i="1"/>
  <c r="GM59" i="1"/>
  <c r="GN59" i="1"/>
  <c r="GO59" i="1"/>
  <c r="GP59" i="1"/>
  <c r="GQ59" i="1"/>
  <c r="GR59" i="1"/>
  <c r="GS59" i="1"/>
  <c r="GT59" i="1"/>
  <c r="GU59" i="1"/>
  <c r="GV59" i="1"/>
  <c r="GW59" i="1"/>
  <c r="GX59" i="1"/>
  <c r="GY59" i="1"/>
  <c r="GZ59" i="1"/>
  <c r="HA59" i="1"/>
  <c r="HB59" i="1"/>
  <c r="HC59" i="1"/>
  <c r="HD59" i="1"/>
  <c r="HE59" i="1"/>
  <c r="HF59" i="1"/>
  <c r="HG59" i="1"/>
  <c r="HH59" i="1"/>
  <c r="HI59" i="1"/>
  <c r="HJ59" i="1"/>
  <c r="HK59" i="1"/>
  <c r="HL59" i="1"/>
  <c r="HM59" i="1"/>
  <c r="HN59" i="1"/>
  <c r="HO59" i="1"/>
  <c r="HP59" i="1"/>
  <c r="HQ59" i="1"/>
  <c r="HR59" i="1"/>
  <c r="HS59" i="1"/>
  <c r="HT59" i="1"/>
  <c r="HU59" i="1"/>
  <c r="HV59" i="1"/>
  <c r="HW59" i="1"/>
  <c r="HX59" i="1"/>
  <c r="HY59" i="1"/>
  <c r="HZ59" i="1"/>
  <c r="IA59" i="1"/>
  <c r="IB59" i="1"/>
  <c r="IC59" i="1"/>
  <c r="ID59" i="1"/>
  <c r="IE59" i="1"/>
  <c r="IF59" i="1"/>
  <c r="IG59" i="1"/>
  <c r="IH59" i="1"/>
  <c r="H60" i="1"/>
  <c r="I60" i="1"/>
  <c r="L60" i="1"/>
  <c r="O60" i="1"/>
  <c r="R60" i="1"/>
  <c r="S60" i="1"/>
  <c r="T60" i="1"/>
  <c r="U60" i="1"/>
  <c r="W60" i="1"/>
  <c r="X60" i="1"/>
  <c r="Y60" i="1"/>
  <c r="Z60" i="1"/>
  <c r="AA60" i="1"/>
  <c r="AB60" i="1"/>
  <c r="AP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D60" i="1"/>
  <c r="CE60" i="1"/>
  <c r="CF60" i="1"/>
  <c r="CG60" i="1"/>
  <c r="CH60" i="1"/>
  <c r="CI60" i="1"/>
  <c r="CJ60" i="1"/>
  <c r="CK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E60" i="1"/>
  <c r="DH60" i="1"/>
  <c r="DK60" i="1"/>
  <c r="DL60" i="1"/>
  <c r="DM60" i="1"/>
  <c r="DN60" i="1"/>
  <c r="DP60" i="1"/>
  <c r="DS60" i="1"/>
  <c r="DV60" i="1"/>
  <c r="DX60" i="1"/>
  <c r="DY60" i="1"/>
  <c r="EA60" i="1"/>
  <c r="EB60" i="1"/>
  <c r="EC60" i="1"/>
  <c r="ED60" i="1"/>
  <c r="EE60" i="1"/>
  <c r="EF60" i="1"/>
  <c r="EG60" i="1"/>
  <c r="EH60" i="1"/>
  <c r="EI60" i="1"/>
  <c r="EJ60" i="1"/>
  <c r="EK60" i="1"/>
  <c r="EX60" i="1"/>
  <c r="EY60" i="1"/>
  <c r="EZ60" i="1"/>
  <c r="FA60" i="1"/>
  <c r="FB60" i="1"/>
  <c r="FD60" i="1"/>
  <c r="FE60" i="1"/>
  <c r="FF60" i="1"/>
  <c r="FG60" i="1"/>
  <c r="FH60" i="1"/>
  <c r="FI60" i="1"/>
  <c r="FJ60" i="1"/>
  <c r="FK60" i="1"/>
  <c r="FL60" i="1"/>
  <c r="FO60" i="1"/>
  <c r="FP60" i="1"/>
  <c r="FQ60" i="1"/>
  <c r="FR60" i="1"/>
  <c r="FS60" i="1"/>
  <c r="FT60" i="1"/>
  <c r="FU60" i="1"/>
  <c r="FV60" i="1"/>
  <c r="FW60" i="1"/>
  <c r="FX60" i="1"/>
  <c r="FY60" i="1"/>
  <c r="FZ60" i="1"/>
  <c r="GA60" i="1"/>
  <c r="GB60" i="1"/>
  <c r="GC60" i="1"/>
  <c r="GD60" i="1"/>
  <c r="GE60" i="1"/>
  <c r="GF60" i="1"/>
  <c r="GG60" i="1"/>
  <c r="GH60" i="1"/>
  <c r="GI60" i="1"/>
  <c r="GJ60" i="1"/>
  <c r="GK60" i="1"/>
  <c r="GL60" i="1"/>
  <c r="GM60" i="1"/>
  <c r="GN60" i="1"/>
  <c r="GO60" i="1"/>
  <c r="GP60" i="1"/>
  <c r="GQ60" i="1"/>
  <c r="GR60" i="1"/>
  <c r="GS60" i="1"/>
  <c r="GT60" i="1"/>
  <c r="GU60" i="1"/>
  <c r="GV60" i="1"/>
  <c r="GW60" i="1"/>
  <c r="GX60" i="1"/>
  <c r="GY60" i="1"/>
  <c r="GZ60" i="1"/>
  <c r="HA60" i="1"/>
  <c r="HB60" i="1"/>
  <c r="HC60" i="1"/>
  <c r="HD60" i="1"/>
  <c r="HE60" i="1"/>
  <c r="HF60" i="1"/>
  <c r="HG60" i="1"/>
  <c r="HH60" i="1"/>
  <c r="HI60" i="1"/>
  <c r="HJ60" i="1"/>
  <c r="HK60" i="1"/>
  <c r="HL60" i="1"/>
  <c r="HM60" i="1"/>
  <c r="HN60" i="1"/>
  <c r="HO60" i="1"/>
  <c r="HP60" i="1"/>
  <c r="HQ60" i="1"/>
  <c r="HR60" i="1"/>
  <c r="HS60" i="1"/>
  <c r="HT60" i="1"/>
  <c r="HU60" i="1"/>
  <c r="HV60" i="1"/>
  <c r="HW60" i="1"/>
  <c r="HX60" i="1"/>
  <c r="HY60" i="1"/>
  <c r="HZ60" i="1"/>
  <c r="IA60" i="1"/>
  <c r="IB60" i="1"/>
  <c r="IC60" i="1"/>
  <c r="ID60" i="1"/>
  <c r="IE60" i="1"/>
  <c r="IF60" i="1"/>
  <c r="IG60" i="1"/>
  <c r="IH60" i="1"/>
  <c r="H61" i="1"/>
  <c r="I61" i="1"/>
  <c r="L61" i="1"/>
  <c r="O61" i="1"/>
  <c r="R61" i="1"/>
  <c r="S61" i="1"/>
  <c r="T61" i="1"/>
  <c r="U61" i="1"/>
  <c r="W61" i="1"/>
  <c r="X61" i="1"/>
  <c r="Y61" i="1"/>
  <c r="Z61" i="1"/>
  <c r="AA61" i="1"/>
  <c r="AB61" i="1"/>
  <c r="AP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D61" i="1"/>
  <c r="CE61" i="1"/>
  <c r="CF61" i="1"/>
  <c r="CG61" i="1"/>
  <c r="CH61" i="1"/>
  <c r="CI61" i="1"/>
  <c r="CJ61" i="1"/>
  <c r="CK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E61" i="1"/>
  <c r="DH61" i="1"/>
  <c r="DK61" i="1"/>
  <c r="DL61" i="1"/>
  <c r="DM61" i="1"/>
  <c r="DN61" i="1"/>
  <c r="DP61" i="1"/>
  <c r="DS61" i="1"/>
  <c r="DV61" i="1"/>
  <c r="DX61" i="1"/>
  <c r="DY61" i="1"/>
  <c r="EA61" i="1"/>
  <c r="EB61" i="1"/>
  <c r="EC61" i="1"/>
  <c r="ED61" i="1"/>
  <c r="EE61" i="1"/>
  <c r="EF61" i="1"/>
  <c r="EG61" i="1"/>
  <c r="EH61" i="1"/>
  <c r="EI61" i="1"/>
  <c r="EJ61" i="1"/>
  <c r="EK61" i="1"/>
  <c r="EX61" i="1"/>
  <c r="EY61" i="1"/>
  <c r="EZ61" i="1"/>
  <c r="FA61" i="1"/>
  <c r="FB61" i="1"/>
  <c r="FD61" i="1"/>
  <c r="FE61" i="1"/>
  <c r="FF61" i="1"/>
  <c r="FG61" i="1"/>
  <c r="FH61" i="1"/>
  <c r="FI61" i="1"/>
  <c r="FJ61" i="1"/>
  <c r="FK61" i="1"/>
  <c r="FL61" i="1"/>
  <c r="FO61" i="1"/>
  <c r="FP61" i="1"/>
  <c r="FQ61" i="1"/>
  <c r="FR61" i="1"/>
  <c r="FS61" i="1"/>
  <c r="FT61" i="1"/>
  <c r="FU61" i="1"/>
  <c r="FV61" i="1"/>
  <c r="FW61" i="1"/>
  <c r="FX61" i="1"/>
  <c r="FY61" i="1"/>
  <c r="FZ61" i="1"/>
  <c r="GA61" i="1"/>
  <c r="GB61" i="1"/>
  <c r="GC61" i="1"/>
  <c r="GD61" i="1"/>
  <c r="GE61" i="1"/>
  <c r="GF61" i="1"/>
  <c r="GG61" i="1"/>
  <c r="GH61" i="1"/>
  <c r="GI61" i="1"/>
  <c r="GJ61" i="1"/>
  <c r="GK61" i="1"/>
  <c r="GL61" i="1"/>
  <c r="GM61" i="1"/>
  <c r="GN61" i="1"/>
  <c r="GO61" i="1"/>
  <c r="GP61" i="1"/>
  <c r="GQ61" i="1"/>
  <c r="GR61" i="1"/>
  <c r="GS61" i="1"/>
  <c r="GT61" i="1"/>
  <c r="GU61" i="1"/>
  <c r="GV61" i="1"/>
  <c r="GW61" i="1"/>
  <c r="GX61" i="1"/>
  <c r="GY61" i="1"/>
  <c r="GZ61" i="1"/>
  <c r="HA61" i="1"/>
  <c r="HB61" i="1"/>
  <c r="HC61" i="1"/>
  <c r="HD61" i="1"/>
  <c r="HE61" i="1"/>
  <c r="HF61" i="1"/>
  <c r="HG61" i="1"/>
  <c r="HH61" i="1"/>
  <c r="HI61" i="1"/>
  <c r="HJ61" i="1"/>
  <c r="HK61" i="1"/>
  <c r="HL61" i="1"/>
  <c r="HM61" i="1"/>
  <c r="HN61" i="1"/>
  <c r="HO61" i="1"/>
  <c r="HP61" i="1"/>
  <c r="HQ61" i="1"/>
  <c r="HR61" i="1"/>
  <c r="HS61" i="1"/>
  <c r="HT61" i="1"/>
  <c r="HU61" i="1"/>
  <c r="HV61" i="1"/>
  <c r="HW61" i="1"/>
  <c r="HX61" i="1"/>
  <c r="HY61" i="1"/>
  <c r="HZ61" i="1"/>
  <c r="IA61" i="1"/>
  <c r="IB61" i="1"/>
  <c r="IC61" i="1"/>
  <c r="ID61" i="1"/>
  <c r="IE61" i="1"/>
  <c r="IF61" i="1"/>
  <c r="IG61" i="1"/>
  <c r="IH61" i="1"/>
  <c r="H62" i="1"/>
  <c r="I62" i="1"/>
  <c r="L62" i="1"/>
  <c r="O62" i="1"/>
  <c r="R62" i="1"/>
  <c r="S62" i="1"/>
  <c r="T62" i="1"/>
  <c r="U62" i="1"/>
  <c r="W62" i="1"/>
  <c r="X62" i="1"/>
  <c r="Y62" i="1"/>
  <c r="Z62" i="1"/>
  <c r="AA62" i="1"/>
  <c r="AB62" i="1"/>
  <c r="AP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D62" i="1"/>
  <c r="CE62" i="1"/>
  <c r="CF62" i="1"/>
  <c r="CG62" i="1"/>
  <c r="CH62" i="1"/>
  <c r="CI62" i="1"/>
  <c r="CJ62" i="1"/>
  <c r="CK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E62" i="1"/>
  <c r="DH62" i="1"/>
  <c r="DK62" i="1"/>
  <c r="DL62" i="1"/>
  <c r="DM62" i="1"/>
  <c r="DN62" i="1"/>
  <c r="DP62" i="1"/>
  <c r="DS62" i="1"/>
  <c r="DV62" i="1"/>
  <c r="DX62" i="1"/>
  <c r="DY62" i="1"/>
  <c r="EA62" i="1"/>
  <c r="EB62" i="1"/>
  <c r="EC62" i="1"/>
  <c r="ED62" i="1"/>
  <c r="EE62" i="1"/>
  <c r="EF62" i="1"/>
  <c r="EG62" i="1"/>
  <c r="EH62" i="1"/>
  <c r="EI62" i="1"/>
  <c r="EJ62" i="1"/>
  <c r="EK62" i="1"/>
  <c r="EX62" i="1"/>
  <c r="EY62" i="1"/>
  <c r="EZ62" i="1"/>
  <c r="FA62" i="1"/>
  <c r="FB62" i="1"/>
  <c r="FD62" i="1"/>
  <c r="FE62" i="1"/>
  <c r="FF62" i="1"/>
  <c r="FG62" i="1"/>
  <c r="FH62" i="1"/>
  <c r="FI62" i="1"/>
  <c r="FJ62" i="1"/>
  <c r="FK62" i="1"/>
  <c r="FL62" i="1"/>
  <c r="FO62" i="1"/>
  <c r="FP62" i="1"/>
  <c r="FQ62" i="1"/>
  <c r="FR62" i="1"/>
  <c r="FS62" i="1"/>
  <c r="FT62" i="1"/>
  <c r="FU62" i="1"/>
  <c r="FV62" i="1"/>
  <c r="FW62" i="1"/>
  <c r="FX62" i="1"/>
  <c r="FY62" i="1"/>
  <c r="FZ62" i="1"/>
  <c r="GA62" i="1"/>
  <c r="GB62" i="1"/>
  <c r="GC62" i="1"/>
  <c r="GD62" i="1"/>
  <c r="GE62" i="1"/>
  <c r="GF62" i="1"/>
  <c r="GG62" i="1"/>
  <c r="GH62" i="1"/>
  <c r="GI62" i="1"/>
  <c r="GJ62" i="1"/>
  <c r="GK62" i="1"/>
  <c r="GL62" i="1"/>
  <c r="GM62" i="1"/>
  <c r="GN62" i="1"/>
  <c r="GO62" i="1"/>
  <c r="GP62" i="1"/>
  <c r="GQ62" i="1"/>
  <c r="GR62" i="1"/>
  <c r="GS62" i="1"/>
  <c r="GT62" i="1"/>
  <c r="GU62" i="1"/>
  <c r="GV62" i="1"/>
  <c r="GW62" i="1"/>
  <c r="GX62" i="1"/>
  <c r="GY62" i="1"/>
  <c r="GZ62" i="1"/>
  <c r="HA62" i="1"/>
  <c r="HB62" i="1"/>
  <c r="HC62" i="1"/>
  <c r="HD62" i="1"/>
  <c r="HE62" i="1"/>
  <c r="HF62" i="1"/>
  <c r="HG62" i="1"/>
  <c r="HH62" i="1"/>
  <c r="HI62" i="1"/>
  <c r="HJ62" i="1"/>
  <c r="HK62" i="1"/>
  <c r="HL62" i="1"/>
  <c r="HM62" i="1"/>
  <c r="HN62" i="1"/>
  <c r="HO62" i="1"/>
  <c r="HP62" i="1"/>
  <c r="HQ62" i="1"/>
  <c r="HR62" i="1"/>
  <c r="HS62" i="1"/>
  <c r="HT62" i="1"/>
  <c r="HU62" i="1"/>
  <c r="HV62" i="1"/>
  <c r="HW62" i="1"/>
  <c r="HX62" i="1"/>
  <c r="HY62" i="1"/>
  <c r="HZ62" i="1"/>
  <c r="IA62" i="1"/>
  <c r="IB62" i="1"/>
  <c r="IC62" i="1"/>
  <c r="ID62" i="1"/>
  <c r="IE62" i="1"/>
  <c r="IF62" i="1"/>
  <c r="IG62" i="1"/>
  <c r="IH62" i="1"/>
  <c r="H63" i="1"/>
  <c r="I63" i="1"/>
  <c r="L63" i="1"/>
  <c r="O63" i="1"/>
  <c r="R63" i="1"/>
  <c r="S63" i="1"/>
  <c r="T63" i="1"/>
  <c r="U63" i="1"/>
  <c r="W63" i="1"/>
  <c r="X63" i="1"/>
  <c r="Y63" i="1"/>
  <c r="Z63" i="1"/>
  <c r="AA63" i="1"/>
  <c r="AB63" i="1"/>
  <c r="AP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D63" i="1"/>
  <c r="CE63" i="1"/>
  <c r="CF63" i="1"/>
  <c r="CG63" i="1"/>
  <c r="CH63" i="1"/>
  <c r="CI63" i="1"/>
  <c r="CJ63" i="1"/>
  <c r="CK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E63" i="1"/>
  <c r="DH63" i="1"/>
  <c r="DK63" i="1"/>
  <c r="DL63" i="1"/>
  <c r="DM63" i="1"/>
  <c r="DN63" i="1"/>
  <c r="DP63" i="1"/>
  <c r="DS63" i="1"/>
  <c r="DV63" i="1"/>
  <c r="DX63" i="1"/>
  <c r="DY63" i="1"/>
  <c r="EA63" i="1"/>
  <c r="EB63" i="1"/>
  <c r="EC63" i="1"/>
  <c r="ED63" i="1"/>
  <c r="EE63" i="1"/>
  <c r="EF63" i="1"/>
  <c r="EG63" i="1"/>
  <c r="EH63" i="1"/>
  <c r="EI63" i="1"/>
  <c r="EJ63" i="1"/>
  <c r="EK63" i="1"/>
  <c r="EX63" i="1"/>
  <c r="EY63" i="1"/>
  <c r="EZ63" i="1"/>
  <c r="FA63" i="1"/>
  <c r="FB63" i="1"/>
  <c r="FD63" i="1"/>
  <c r="FE63" i="1"/>
  <c r="FF63" i="1"/>
  <c r="FG63" i="1"/>
  <c r="FH63" i="1"/>
  <c r="FI63" i="1"/>
  <c r="FJ63" i="1"/>
  <c r="FK63" i="1"/>
  <c r="FL63" i="1"/>
  <c r="FO63" i="1"/>
  <c r="FP63" i="1"/>
  <c r="FQ63" i="1"/>
  <c r="FR63" i="1"/>
  <c r="FS63" i="1"/>
  <c r="FT63" i="1"/>
  <c r="FU63" i="1"/>
  <c r="FV63" i="1"/>
  <c r="FW63" i="1"/>
  <c r="FX63" i="1"/>
  <c r="FY63" i="1"/>
  <c r="FZ63" i="1"/>
  <c r="GA63" i="1"/>
  <c r="GB63" i="1"/>
  <c r="GC63" i="1"/>
  <c r="GD63" i="1"/>
  <c r="GE63" i="1"/>
  <c r="GF63" i="1"/>
  <c r="GG63" i="1"/>
  <c r="GH63" i="1"/>
  <c r="GI63" i="1"/>
  <c r="GJ63" i="1"/>
  <c r="GK63" i="1"/>
  <c r="GL63" i="1"/>
  <c r="GM63" i="1"/>
  <c r="GN63" i="1"/>
  <c r="GO63" i="1"/>
  <c r="GP63" i="1"/>
  <c r="GQ63" i="1"/>
  <c r="GR63" i="1"/>
  <c r="GS63" i="1"/>
  <c r="GT63" i="1"/>
  <c r="GU63" i="1"/>
  <c r="GV63" i="1"/>
  <c r="GW63" i="1"/>
  <c r="GX63" i="1"/>
  <c r="GY63" i="1"/>
  <c r="GZ63" i="1"/>
  <c r="HA63" i="1"/>
  <c r="HB63" i="1"/>
  <c r="HC63" i="1"/>
  <c r="HD63" i="1"/>
  <c r="HE63" i="1"/>
  <c r="HF63" i="1"/>
  <c r="HG63" i="1"/>
  <c r="HH63" i="1"/>
  <c r="HI63" i="1"/>
  <c r="HJ63" i="1"/>
  <c r="HK63" i="1"/>
  <c r="HL63" i="1"/>
  <c r="HM63" i="1"/>
  <c r="HN63" i="1"/>
  <c r="HO63" i="1"/>
  <c r="HP63" i="1"/>
  <c r="HQ63" i="1"/>
  <c r="HR63" i="1"/>
  <c r="HS63" i="1"/>
  <c r="HT63" i="1"/>
  <c r="HU63" i="1"/>
  <c r="HV63" i="1"/>
  <c r="HW63" i="1"/>
  <c r="HX63" i="1"/>
  <c r="HY63" i="1"/>
  <c r="HZ63" i="1"/>
  <c r="IA63" i="1"/>
  <c r="IB63" i="1"/>
  <c r="IC63" i="1"/>
  <c r="ID63" i="1"/>
  <c r="IE63" i="1"/>
  <c r="IF63" i="1"/>
  <c r="IG63" i="1"/>
  <c r="IH63" i="1"/>
  <c r="H64" i="1"/>
  <c r="I64" i="1"/>
  <c r="L64" i="1"/>
  <c r="O64" i="1"/>
  <c r="R64" i="1"/>
  <c r="S64" i="1"/>
  <c r="T64" i="1"/>
  <c r="U64" i="1"/>
  <c r="W64" i="1"/>
  <c r="X64" i="1"/>
  <c r="Y64" i="1"/>
  <c r="Z64" i="1"/>
  <c r="AA64" i="1"/>
  <c r="AB64" i="1"/>
  <c r="AP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D64" i="1"/>
  <c r="CE64" i="1"/>
  <c r="CF64" i="1"/>
  <c r="CG64" i="1"/>
  <c r="CH64" i="1"/>
  <c r="CI64" i="1"/>
  <c r="CJ64" i="1"/>
  <c r="CK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E64" i="1"/>
  <c r="DH64" i="1"/>
  <c r="DK64" i="1"/>
  <c r="DL64" i="1"/>
  <c r="DM64" i="1"/>
  <c r="DN64" i="1"/>
  <c r="DP64" i="1"/>
  <c r="DS64" i="1"/>
  <c r="DV64" i="1"/>
  <c r="DX64" i="1"/>
  <c r="DY64" i="1"/>
  <c r="EA64" i="1"/>
  <c r="EB64" i="1"/>
  <c r="EC64" i="1"/>
  <c r="ED64" i="1"/>
  <c r="EE64" i="1"/>
  <c r="EF64" i="1"/>
  <c r="EG64" i="1"/>
  <c r="EH64" i="1"/>
  <c r="EI64" i="1"/>
  <c r="EJ64" i="1"/>
  <c r="EK64" i="1"/>
  <c r="EX64" i="1"/>
  <c r="EY64" i="1"/>
  <c r="EZ64" i="1"/>
  <c r="FA64" i="1"/>
  <c r="FB64" i="1"/>
  <c r="FD64" i="1"/>
  <c r="FE64" i="1"/>
  <c r="FF64" i="1"/>
  <c r="FG64" i="1"/>
  <c r="FH64" i="1"/>
  <c r="FI64" i="1"/>
  <c r="FJ64" i="1"/>
  <c r="FK64" i="1"/>
  <c r="FL64" i="1"/>
  <c r="FO64" i="1"/>
  <c r="FP64" i="1"/>
  <c r="FQ64" i="1"/>
  <c r="FR64" i="1"/>
  <c r="FS64" i="1"/>
  <c r="FT64" i="1"/>
  <c r="FU64" i="1"/>
  <c r="FV64" i="1"/>
  <c r="FW64" i="1"/>
  <c r="FX64" i="1"/>
  <c r="FY64" i="1"/>
  <c r="FZ64" i="1"/>
  <c r="GA64" i="1"/>
  <c r="GB64" i="1"/>
  <c r="GC64" i="1"/>
  <c r="GD64" i="1"/>
  <c r="GE64" i="1"/>
  <c r="GF64" i="1"/>
  <c r="GG64" i="1"/>
  <c r="GH64" i="1"/>
  <c r="GI64" i="1"/>
  <c r="GJ64" i="1"/>
  <c r="GK64" i="1"/>
  <c r="GL64" i="1"/>
  <c r="GM64" i="1"/>
  <c r="GN64" i="1"/>
  <c r="GO64" i="1"/>
  <c r="GP64" i="1"/>
  <c r="GQ64" i="1"/>
  <c r="GR64" i="1"/>
  <c r="GS64" i="1"/>
  <c r="GT64" i="1"/>
  <c r="GU64" i="1"/>
  <c r="GV64" i="1"/>
  <c r="GW64" i="1"/>
  <c r="GX64" i="1"/>
  <c r="GY64" i="1"/>
  <c r="GZ64" i="1"/>
  <c r="HA64" i="1"/>
  <c r="HB64" i="1"/>
  <c r="HC64" i="1"/>
  <c r="HD64" i="1"/>
  <c r="HE64" i="1"/>
  <c r="HF64" i="1"/>
  <c r="HG64" i="1"/>
  <c r="HH64" i="1"/>
  <c r="HI64" i="1"/>
  <c r="HJ64" i="1"/>
  <c r="HK64" i="1"/>
  <c r="HL64" i="1"/>
  <c r="HM64" i="1"/>
  <c r="HN64" i="1"/>
  <c r="HO64" i="1"/>
  <c r="HP64" i="1"/>
  <c r="HQ64" i="1"/>
  <c r="HR64" i="1"/>
  <c r="HS64" i="1"/>
  <c r="HT64" i="1"/>
  <c r="HU64" i="1"/>
  <c r="HV64" i="1"/>
  <c r="HW64" i="1"/>
  <c r="HX64" i="1"/>
  <c r="HY64" i="1"/>
  <c r="HZ64" i="1"/>
  <c r="IA64" i="1"/>
  <c r="IB64" i="1"/>
  <c r="IC64" i="1"/>
  <c r="ID64" i="1"/>
  <c r="IE64" i="1"/>
  <c r="IF64" i="1"/>
  <c r="IG64" i="1"/>
  <c r="IH64" i="1"/>
  <c r="H65" i="1"/>
  <c r="I65" i="1"/>
  <c r="L65" i="1"/>
  <c r="O65" i="1"/>
  <c r="R65" i="1"/>
  <c r="S65" i="1"/>
  <c r="T65" i="1"/>
  <c r="U65" i="1"/>
  <c r="W65" i="1"/>
  <c r="X65" i="1"/>
  <c r="Y65" i="1"/>
  <c r="Z65" i="1"/>
  <c r="AA65" i="1"/>
  <c r="AB65" i="1"/>
  <c r="AP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D65" i="1"/>
  <c r="CE65" i="1"/>
  <c r="CF65" i="1"/>
  <c r="CG65" i="1"/>
  <c r="CH65" i="1"/>
  <c r="CI65" i="1"/>
  <c r="CJ65" i="1"/>
  <c r="CK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E65" i="1"/>
  <c r="DH65" i="1"/>
  <c r="DK65" i="1"/>
  <c r="DL65" i="1"/>
  <c r="DM65" i="1"/>
  <c r="DN65" i="1"/>
  <c r="DP65" i="1"/>
  <c r="DS65" i="1"/>
  <c r="DV65" i="1"/>
  <c r="DX65" i="1"/>
  <c r="DY65" i="1"/>
  <c r="EA65" i="1"/>
  <c r="EB65" i="1"/>
  <c r="EC65" i="1"/>
  <c r="ED65" i="1"/>
  <c r="EE65" i="1"/>
  <c r="EF65" i="1"/>
  <c r="EG65" i="1"/>
  <c r="EH65" i="1"/>
  <c r="EI65" i="1"/>
  <c r="EJ65" i="1"/>
  <c r="EK65" i="1"/>
  <c r="EX65" i="1"/>
  <c r="EY65" i="1"/>
  <c r="EZ65" i="1"/>
  <c r="FA65" i="1"/>
  <c r="FB65" i="1"/>
  <c r="FD65" i="1"/>
  <c r="FE65" i="1"/>
  <c r="FF65" i="1"/>
  <c r="FG65" i="1"/>
  <c r="FH65" i="1"/>
  <c r="FI65" i="1"/>
  <c r="FJ65" i="1"/>
  <c r="FK65" i="1"/>
  <c r="FL65" i="1"/>
  <c r="FO65" i="1"/>
  <c r="FP65" i="1"/>
  <c r="FQ65" i="1"/>
  <c r="FR65" i="1"/>
  <c r="FS65" i="1"/>
  <c r="FT65" i="1"/>
  <c r="FU65" i="1"/>
  <c r="FV65" i="1"/>
  <c r="FW65" i="1"/>
  <c r="FX65" i="1"/>
  <c r="FY65" i="1"/>
  <c r="FZ65" i="1"/>
  <c r="GA65" i="1"/>
  <c r="GB65" i="1"/>
  <c r="GC65" i="1"/>
  <c r="GD65" i="1"/>
  <c r="GE65" i="1"/>
  <c r="GF65" i="1"/>
  <c r="GG65" i="1"/>
  <c r="GH65" i="1"/>
  <c r="GI65" i="1"/>
  <c r="GJ65" i="1"/>
  <c r="GK65" i="1"/>
  <c r="GL65" i="1"/>
  <c r="GM65" i="1"/>
  <c r="GN65" i="1"/>
  <c r="GO65" i="1"/>
  <c r="GP65" i="1"/>
  <c r="GQ65" i="1"/>
  <c r="GR65" i="1"/>
  <c r="GS65" i="1"/>
  <c r="GT65" i="1"/>
  <c r="GU65" i="1"/>
  <c r="GV65" i="1"/>
  <c r="GW65" i="1"/>
  <c r="GX65" i="1"/>
  <c r="GY65" i="1"/>
  <c r="GZ65" i="1"/>
  <c r="HA65" i="1"/>
  <c r="HB65" i="1"/>
  <c r="HC65" i="1"/>
  <c r="HD65" i="1"/>
  <c r="HE65" i="1"/>
  <c r="HF65" i="1"/>
  <c r="HG65" i="1"/>
  <c r="HH65" i="1"/>
  <c r="HI65" i="1"/>
  <c r="HJ65" i="1"/>
  <c r="HK65" i="1"/>
  <c r="HL65" i="1"/>
  <c r="HM65" i="1"/>
  <c r="HN65" i="1"/>
  <c r="HO65" i="1"/>
  <c r="HP65" i="1"/>
  <c r="HQ65" i="1"/>
  <c r="HR65" i="1"/>
  <c r="HS65" i="1"/>
  <c r="HT65" i="1"/>
  <c r="HU65" i="1"/>
  <c r="HV65" i="1"/>
  <c r="HW65" i="1"/>
  <c r="HX65" i="1"/>
  <c r="HY65" i="1"/>
  <c r="HZ65" i="1"/>
  <c r="IA65" i="1"/>
  <c r="IB65" i="1"/>
  <c r="IC65" i="1"/>
  <c r="ID65" i="1"/>
  <c r="IE65" i="1"/>
  <c r="IF65" i="1"/>
  <c r="IG65" i="1"/>
  <c r="IH65" i="1"/>
  <c r="H66" i="1"/>
  <c r="I66" i="1"/>
  <c r="L66" i="1"/>
  <c r="O66" i="1"/>
  <c r="R66" i="1"/>
  <c r="S66" i="1"/>
  <c r="T66" i="1"/>
  <c r="U66" i="1"/>
  <c r="W66" i="1"/>
  <c r="X66" i="1"/>
  <c r="Y66" i="1"/>
  <c r="Z66" i="1"/>
  <c r="AA66" i="1"/>
  <c r="AB66" i="1"/>
  <c r="AP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D66" i="1"/>
  <c r="CE66" i="1"/>
  <c r="CF66" i="1"/>
  <c r="CG66" i="1"/>
  <c r="CH66" i="1"/>
  <c r="CI66" i="1"/>
  <c r="CJ66" i="1"/>
  <c r="CK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E66" i="1"/>
  <c r="DH66" i="1"/>
  <c r="DK66" i="1"/>
  <c r="DL66" i="1"/>
  <c r="DM66" i="1"/>
  <c r="DN66" i="1"/>
  <c r="DP66" i="1"/>
  <c r="DS66" i="1"/>
  <c r="DV66" i="1"/>
  <c r="DX66" i="1"/>
  <c r="DY66" i="1"/>
  <c r="EA66" i="1"/>
  <c r="EB66" i="1"/>
  <c r="EC66" i="1"/>
  <c r="ED66" i="1"/>
  <c r="EE66" i="1"/>
  <c r="EF66" i="1"/>
  <c r="EG66" i="1"/>
  <c r="EH66" i="1"/>
  <c r="EI66" i="1"/>
  <c r="EJ66" i="1"/>
  <c r="EK66" i="1"/>
  <c r="EX66" i="1"/>
  <c r="EY66" i="1"/>
  <c r="EZ66" i="1"/>
  <c r="FA66" i="1"/>
  <c r="FB66" i="1"/>
  <c r="FD66" i="1"/>
  <c r="FE66" i="1"/>
  <c r="FF66" i="1"/>
  <c r="FG66" i="1"/>
  <c r="FH66" i="1"/>
  <c r="FI66" i="1"/>
  <c r="FJ66" i="1"/>
  <c r="FK66" i="1"/>
  <c r="FL66" i="1"/>
  <c r="FO66" i="1"/>
  <c r="FP66" i="1"/>
  <c r="FQ66" i="1"/>
  <c r="FR66" i="1"/>
  <c r="FS66" i="1"/>
  <c r="FT66" i="1"/>
  <c r="FU66" i="1"/>
  <c r="FV66" i="1"/>
  <c r="FW66" i="1"/>
  <c r="FX66" i="1"/>
  <c r="FY66" i="1"/>
  <c r="FZ66" i="1"/>
  <c r="GA66" i="1"/>
  <c r="GB66" i="1"/>
  <c r="GC66" i="1"/>
  <c r="GD66" i="1"/>
  <c r="GE66" i="1"/>
  <c r="GF66" i="1"/>
  <c r="GG66" i="1"/>
  <c r="GH66" i="1"/>
  <c r="GI66" i="1"/>
  <c r="GJ66" i="1"/>
  <c r="GK66" i="1"/>
  <c r="GL66" i="1"/>
  <c r="GM66" i="1"/>
  <c r="GN66" i="1"/>
  <c r="GO66" i="1"/>
  <c r="GP66" i="1"/>
  <c r="GQ66" i="1"/>
  <c r="GR66" i="1"/>
  <c r="GS66" i="1"/>
  <c r="GT66" i="1"/>
  <c r="GU66" i="1"/>
  <c r="GV66" i="1"/>
  <c r="GW66" i="1"/>
  <c r="GX66" i="1"/>
  <c r="GY66" i="1"/>
  <c r="GZ66" i="1"/>
  <c r="HA66" i="1"/>
  <c r="HB66" i="1"/>
  <c r="HC66" i="1"/>
  <c r="HD66" i="1"/>
  <c r="HE66" i="1"/>
  <c r="HF66" i="1"/>
  <c r="HG66" i="1"/>
  <c r="HH66" i="1"/>
  <c r="HI66" i="1"/>
  <c r="HJ66" i="1"/>
  <c r="HK66" i="1"/>
  <c r="HL66" i="1"/>
  <c r="HM66" i="1"/>
  <c r="HN66" i="1"/>
  <c r="HO66" i="1"/>
  <c r="HP66" i="1"/>
  <c r="HQ66" i="1"/>
  <c r="HR66" i="1"/>
  <c r="HS66" i="1"/>
  <c r="HT66" i="1"/>
  <c r="HU66" i="1"/>
  <c r="HV66" i="1"/>
  <c r="HW66" i="1"/>
  <c r="HX66" i="1"/>
  <c r="HY66" i="1"/>
  <c r="HZ66" i="1"/>
  <c r="IA66" i="1"/>
  <c r="IB66" i="1"/>
  <c r="IC66" i="1"/>
  <c r="ID66" i="1"/>
  <c r="IE66" i="1"/>
  <c r="IF66" i="1"/>
  <c r="IG66" i="1"/>
  <c r="IH66" i="1"/>
  <c r="H67" i="1"/>
  <c r="I67" i="1"/>
  <c r="L67" i="1"/>
  <c r="O67" i="1"/>
  <c r="R67" i="1"/>
  <c r="S67" i="1"/>
  <c r="T67" i="1"/>
  <c r="U67" i="1"/>
  <c r="W67" i="1"/>
  <c r="X67" i="1"/>
  <c r="Y67" i="1"/>
  <c r="Z67" i="1"/>
  <c r="AA67" i="1"/>
  <c r="AB67" i="1"/>
  <c r="AP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D67" i="1"/>
  <c r="CE67" i="1"/>
  <c r="CF67" i="1"/>
  <c r="CG67" i="1"/>
  <c r="CH67" i="1"/>
  <c r="CI67" i="1"/>
  <c r="CJ67" i="1"/>
  <c r="CK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E67" i="1"/>
  <c r="DH67" i="1"/>
  <c r="DK67" i="1"/>
  <c r="DL67" i="1"/>
  <c r="DM67" i="1"/>
  <c r="DN67" i="1"/>
  <c r="DP67" i="1"/>
  <c r="DS67" i="1"/>
  <c r="DV67" i="1"/>
  <c r="DX67" i="1"/>
  <c r="DY67" i="1"/>
  <c r="EA67" i="1"/>
  <c r="EB67" i="1"/>
  <c r="EC67" i="1"/>
  <c r="ED67" i="1"/>
  <c r="EE67" i="1"/>
  <c r="EF67" i="1"/>
  <c r="EG67" i="1"/>
  <c r="EH67" i="1"/>
  <c r="EI67" i="1"/>
  <c r="EJ67" i="1"/>
  <c r="EK67" i="1"/>
  <c r="EX67" i="1"/>
  <c r="EY67" i="1"/>
  <c r="EZ67" i="1"/>
  <c r="FA67" i="1"/>
  <c r="FB67" i="1"/>
  <c r="FD67" i="1"/>
  <c r="FE67" i="1"/>
  <c r="FF67" i="1"/>
  <c r="FG67" i="1"/>
  <c r="FH67" i="1"/>
  <c r="FI67" i="1"/>
  <c r="FJ67" i="1"/>
  <c r="FK67" i="1"/>
  <c r="FL67" i="1"/>
  <c r="FO67" i="1"/>
  <c r="FP67" i="1"/>
  <c r="FQ67" i="1"/>
  <c r="FR67" i="1"/>
  <c r="FS67" i="1"/>
  <c r="FT67" i="1"/>
  <c r="FU67" i="1"/>
  <c r="FV67" i="1"/>
  <c r="FW67" i="1"/>
  <c r="FX67" i="1"/>
  <c r="FY67" i="1"/>
  <c r="FZ67" i="1"/>
  <c r="GA67" i="1"/>
  <c r="GB67" i="1"/>
  <c r="GC67" i="1"/>
  <c r="GD67" i="1"/>
  <c r="GE67" i="1"/>
  <c r="GF67" i="1"/>
  <c r="GG67" i="1"/>
  <c r="GH67" i="1"/>
  <c r="GI67" i="1"/>
  <c r="GJ67" i="1"/>
  <c r="GK67" i="1"/>
  <c r="GL67" i="1"/>
  <c r="GM67" i="1"/>
  <c r="GN67" i="1"/>
  <c r="GO67" i="1"/>
  <c r="GP67" i="1"/>
  <c r="GQ67" i="1"/>
  <c r="GR67" i="1"/>
  <c r="GS67" i="1"/>
  <c r="GT67" i="1"/>
  <c r="GU67" i="1"/>
  <c r="GV67" i="1"/>
  <c r="GW67" i="1"/>
  <c r="GX67" i="1"/>
  <c r="GY67" i="1"/>
  <c r="GZ67" i="1"/>
  <c r="HA67" i="1"/>
  <c r="HB67" i="1"/>
  <c r="HC67" i="1"/>
  <c r="HD67" i="1"/>
  <c r="HE67" i="1"/>
  <c r="HF67" i="1"/>
  <c r="HG67" i="1"/>
  <c r="HH67" i="1"/>
  <c r="HI67" i="1"/>
  <c r="HJ67" i="1"/>
  <c r="HK67" i="1"/>
  <c r="HL67" i="1"/>
  <c r="HM67" i="1"/>
  <c r="HN67" i="1"/>
  <c r="HO67" i="1"/>
  <c r="HP67" i="1"/>
  <c r="HQ67" i="1"/>
  <c r="HR67" i="1"/>
  <c r="HS67" i="1"/>
  <c r="HT67" i="1"/>
  <c r="HU67" i="1"/>
  <c r="HV67" i="1"/>
  <c r="HW67" i="1"/>
  <c r="HX67" i="1"/>
  <c r="HY67" i="1"/>
  <c r="HZ67" i="1"/>
  <c r="IA67" i="1"/>
  <c r="IB67" i="1"/>
  <c r="IC67" i="1"/>
  <c r="ID67" i="1"/>
  <c r="IE67" i="1"/>
  <c r="IF67" i="1"/>
  <c r="IG67" i="1"/>
  <c r="IH67" i="1"/>
  <c r="H68" i="1"/>
  <c r="I68" i="1"/>
  <c r="L68" i="1"/>
  <c r="O68" i="1"/>
  <c r="R68" i="1"/>
  <c r="S68" i="1"/>
  <c r="T68" i="1"/>
  <c r="U68" i="1"/>
  <c r="W68" i="1"/>
  <c r="X68" i="1"/>
  <c r="Y68" i="1"/>
  <c r="Z68" i="1"/>
  <c r="AA68" i="1"/>
  <c r="AB68" i="1"/>
  <c r="AP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D68" i="1"/>
  <c r="CE68" i="1"/>
  <c r="CF68" i="1"/>
  <c r="CG68" i="1"/>
  <c r="CH68" i="1"/>
  <c r="CI68" i="1"/>
  <c r="CJ68" i="1"/>
  <c r="CK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E68" i="1"/>
  <c r="DH68" i="1"/>
  <c r="DK68" i="1"/>
  <c r="DL68" i="1"/>
  <c r="DM68" i="1"/>
  <c r="DN68" i="1"/>
  <c r="DP68" i="1"/>
  <c r="DS68" i="1"/>
  <c r="DV68" i="1"/>
  <c r="DX68" i="1"/>
  <c r="DY68" i="1"/>
  <c r="EA68" i="1"/>
  <c r="EB68" i="1"/>
  <c r="EC68" i="1"/>
  <c r="ED68" i="1"/>
  <c r="EE68" i="1"/>
  <c r="EF68" i="1"/>
  <c r="EG68" i="1"/>
  <c r="EH68" i="1"/>
  <c r="EI68" i="1"/>
  <c r="EJ68" i="1"/>
  <c r="EK68" i="1"/>
  <c r="EX68" i="1"/>
  <c r="EY68" i="1"/>
  <c r="EZ68" i="1"/>
  <c r="FA68" i="1"/>
  <c r="FB68" i="1"/>
  <c r="FD68" i="1"/>
  <c r="FE68" i="1"/>
  <c r="FF68" i="1"/>
  <c r="FG68" i="1"/>
  <c r="FH68" i="1"/>
  <c r="FI68" i="1"/>
  <c r="FJ68" i="1"/>
  <c r="FK68" i="1"/>
  <c r="FL68" i="1"/>
  <c r="FO68" i="1"/>
  <c r="FP68" i="1"/>
  <c r="FQ68" i="1"/>
  <c r="FR68" i="1"/>
  <c r="FS68" i="1"/>
  <c r="FT68" i="1"/>
  <c r="FU68" i="1"/>
  <c r="FV68" i="1"/>
  <c r="FW68" i="1"/>
  <c r="FX68" i="1"/>
  <c r="FY68" i="1"/>
  <c r="FZ68" i="1"/>
  <c r="GA68" i="1"/>
  <c r="GB68" i="1"/>
  <c r="GC68" i="1"/>
  <c r="GD68" i="1"/>
  <c r="GE68" i="1"/>
  <c r="GF68" i="1"/>
  <c r="GG68" i="1"/>
  <c r="GH68" i="1"/>
  <c r="GI68" i="1"/>
  <c r="GJ68" i="1"/>
  <c r="GK68" i="1"/>
  <c r="GL68" i="1"/>
  <c r="GM68" i="1"/>
  <c r="GN68" i="1"/>
  <c r="GO68" i="1"/>
  <c r="GP68" i="1"/>
  <c r="GQ68" i="1"/>
  <c r="GR68" i="1"/>
  <c r="GS68" i="1"/>
  <c r="GT68" i="1"/>
  <c r="GU68" i="1"/>
  <c r="GV68" i="1"/>
  <c r="GW68" i="1"/>
  <c r="GX68" i="1"/>
  <c r="GY68" i="1"/>
  <c r="GZ68" i="1"/>
  <c r="HA68" i="1"/>
  <c r="HB68" i="1"/>
  <c r="HC68" i="1"/>
  <c r="HD68" i="1"/>
  <c r="HE68" i="1"/>
  <c r="HF68" i="1"/>
  <c r="HG68" i="1"/>
  <c r="HH68" i="1"/>
  <c r="HI68" i="1"/>
  <c r="HJ68" i="1"/>
  <c r="HK68" i="1"/>
  <c r="HL68" i="1"/>
  <c r="HM68" i="1"/>
  <c r="HN68" i="1"/>
  <c r="HO68" i="1"/>
  <c r="HP68" i="1"/>
  <c r="HQ68" i="1"/>
  <c r="HR68" i="1"/>
  <c r="HS68" i="1"/>
  <c r="HT68" i="1"/>
  <c r="HU68" i="1"/>
  <c r="HV68" i="1"/>
  <c r="HW68" i="1"/>
  <c r="HX68" i="1"/>
  <c r="HY68" i="1"/>
  <c r="HZ68" i="1"/>
  <c r="IA68" i="1"/>
  <c r="IB68" i="1"/>
  <c r="IC68" i="1"/>
  <c r="ID68" i="1"/>
  <c r="IE68" i="1"/>
  <c r="IF68" i="1"/>
  <c r="IG68" i="1"/>
  <c r="IH68" i="1"/>
  <c r="H69" i="1"/>
  <c r="I69" i="1"/>
  <c r="L69" i="1"/>
  <c r="O69" i="1"/>
  <c r="R69" i="1"/>
  <c r="S69" i="1"/>
  <c r="T69" i="1"/>
  <c r="U69" i="1"/>
  <c r="W69" i="1"/>
  <c r="X69" i="1"/>
  <c r="Y69" i="1"/>
  <c r="Z69" i="1"/>
  <c r="AA69" i="1"/>
  <c r="AB69" i="1"/>
  <c r="AP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D69" i="1"/>
  <c r="CE69" i="1"/>
  <c r="CF69" i="1"/>
  <c r="CG69" i="1"/>
  <c r="CH69" i="1"/>
  <c r="CI69" i="1"/>
  <c r="CJ69" i="1"/>
  <c r="CK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E69" i="1"/>
  <c r="DH69" i="1"/>
  <c r="DK69" i="1"/>
  <c r="DL69" i="1"/>
  <c r="DM69" i="1"/>
  <c r="DN69" i="1"/>
  <c r="DP69" i="1"/>
  <c r="DS69" i="1"/>
  <c r="DV69" i="1"/>
  <c r="DX69" i="1"/>
  <c r="DY69" i="1"/>
  <c r="EA69" i="1"/>
  <c r="EB69" i="1"/>
  <c r="EC69" i="1"/>
  <c r="ED69" i="1"/>
  <c r="EE69" i="1"/>
  <c r="EF69" i="1"/>
  <c r="EG69" i="1"/>
  <c r="EH69" i="1"/>
  <c r="EI69" i="1"/>
  <c r="EJ69" i="1"/>
  <c r="EK69" i="1"/>
  <c r="EX69" i="1"/>
  <c r="EY69" i="1"/>
  <c r="EZ69" i="1"/>
  <c r="FA69" i="1"/>
  <c r="FB69" i="1"/>
  <c r="FD69" i="1"/>
  <c r="FE69" i="1"/>
  <c r="FF69" i="1"/>
  <c r="FG69" i="1"/>
  <c r="FH69" i="1"/>
  <c r="FI69" i="1"/>
  <c r="FJ69" i="1"/>
  <c r="FK69" i="1"/>
  <c r="FL69" i="1"/>
  <c r="FO69" i="1"/>
  <c r="FP69" i="1"/>
  <c r="FQ69" i="1"/>
  <c r="FR69" i="1"/>
  <c r="FS69" i="1"/>
  <c r="FT69" i="1"/>
  <c r="FU69" i="1"/>
  <c r="FV69" i="1"/>
  <c r="FW69" i="1"/>
  <c r="FX69" i="1"/>
  <c r="FY69" i="1"/>
  <c r="FZ69" i="1"/>
  <c r="GA69" i="1"/>
  <c r="GB69" i="1"/>
  <c r="GC69" i="1"/>
  <c r="GD69" i="1"/>
  <c r="GE69" i="1"/>
  <c r="GF69" i="1"/>
  <c r="GG69" i="1"/>
  <c r="GH69" i="1"/>
  <c r="GI69" i="1"/>
  <c r="GJ69" i="1"/>
  <c r="GK69" i="1"/>
  <c r="GL69" i="1"/>
  <c r="GM69" i="1"/>
  <c r="GN69" i="1"/>
  <c r="GO69" i="1"/>
  <c r="GP69" i="1"/>
  <c r="GQ69" i="1"/>
  <c r="GR69" i="1"/>
  <c r="GS69" i="1"/>
  <c r="GT69" i="1"/>
  <c r="GU69" i="1"/>
  <c r="GV69" i="1"/>
  <c r="GW69" i="1"/>
  <c r="GX69" i="1"/>
  <c r="GY69" i="1"/>
  <c r="GZ69" i="1"/>
  <c r="HA69" i="1"/>
  <c r="HB69" i="1"/>
  <c r="HC69" i="1"/>
  <c r="HD69" i="1"/>
  <c r="HE69" i="1"/>
  <c r="HF69" i="1"/>
  <c r="HG69" i="1"/>
  <c r="HH69" i="1"/>
  <c r="HI69" i="1"/>
  <c r="HJ69" i="1"/>
  <c r="HK69" i="1"/>
  <c r="HL69" i="1"/>
  <c r="HM69" i="1"/>
  <c r="HN69" i="1"/>
  <c r="HO69" i="1"/>
  <c r="HP69" i="1"/>
  <c r="HQ69" i="1"/>
  <c r="HR69" i="1"/>
  <c r="HS69" i="1"/>
  <c r="HT69" i="1"/>
  <c r="HU69" i="1"/>
  <c r="HV69" i="1"/>
  <c r="HW69" i="1"/>
  <c r="HX69" i="1"/>
  <c r="HY69" i="1"/>
  <c r="HZ69" i="1"/>
  <c r="IA69" i="1"/>
  <c r="IB69" i="1"/>
  <c r="IC69" i="1"/>
  <c r="ID69" i="1"/>
  <c r="IE69" i="1"/>
  <c r="IF69" i="1"/>
  <c r="IG69" i="1"/>
  <c r="IH69" i="1"/>
  <c r="H70" i="1"/>
  <c r="I70" i="1"/>
  <c r="L70" i="1"/>
  <c r="O70" i="1"/>
  <c r="R70" i="1"/>
  <c r="S70" i="1"/>
  <c r="T70" i="1"/>
  <c r="U70" i="1"/>
  <c r="W70" i="1"/>
  <c r="X70" i="1"/>
  <c r="Y70" i="1"/>
  <c r="Z70" i="1"/>
  <c r="AA70" i="1"/>
  <c r="AB70" i="1"/>
  <c r="AP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D70" i="1"/>
  <c r="CE70" i="1"/>
  <c r="CF70" i="1"/>
  <c r="CG70" i="1"/>
  <c r="CH70" i="1"/>
  <c r="CI70" i="1"/>
  <c r="CJ70" i="1"/>
  <c r="CK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E70" i="1"/>
  <c r="DH70" i="1"/>
  <c r="DK70" i="1"/>
  <c r="DL70" i="1"/>
  <c r="DM70" i="1"/>
  <c r="DN70" i="1"/>
  <c r="DP70" i="1"/>
  <c r="DS70" i="1"/>
  <c r="DV70" i="1"/>
  <c r="DX70" i="1"/>
  <c r="DY70" i="1"/>
  <c r="EA70" i="1"/>
  <c r="EB70" i="1"/>
  <c r="EC70" i="1"/>
  <c r="ED70" i="1"/>
  <c r="EE70" i="1"/>
  <c r="EF70" i="1"/>
  <c r="EG70" i="1"/>
  <c r="EH70" i="1"/>
  <c r="EI70" i="1"/>
  <c r="EJ70" i="1"/>
  <c r="EK70" i="1"/>
  <c r="EX70" i="1"/>
  <c r="EY70" i="1"/>
  <c r="EZ70" i="1"/>
  <c r="FA70" i="1"/>
  <c r="FB70" i="1"/>
  <c r="FD70" i="1"/>
  <c r="FE70" i="1"/>
  <c r="FF70" i="1"/>
  <c r="FG70" i="1"/>
  <c r="FH70" i="1"/>
  <c r="FI70" i="1"/>
  <c r="FJ70" i="1"/>
  <c r="FK70" i="1"/>
  <c r="FL70" i="1"/>
  <c r="FO70" i="1"/>
  <c r="FP70" i="1"/>
  <c r="FQ70" i="1"/>
  <c r="FR70" i="1"/>
  <c r="FS70" i="1"/>
  <c r="FT70" i="1"/>
  <c r="FU70" i="1"/>
  <c r="FV70" i="1"/>
  <c r="FW70" i="1"/>
  <c r="FX70" i="1"/>
  <c r="FY70" i="1"/>
  <c r="FZ70" i="1"/>
  <c r="GA70" i="1"/>
  <c r="GB70" i="1"/>
  <c r="GC70" i="1"/>
  <c r="GD70" i="1"/>
  <c r="GE70" i="1"/>
  <c r="GF70" i="1"/>
  <c r="GG70" i="1"/>
  <c r="GH70" i="1"/>
  <c r="GI70" i="1"/>
  <c r="GJ70" i="1"/>
  <c r="GK70" i="1"/>
  <c r="GL70" i="1"/>
  <c r="GM70" i="1"/>
  <c r="GN70" i="1"/>
  <c r="GO70" i="1"/>
  <c r="GP70" i="1"/>
  <c r="GQ70" i="1"/>
  <c r="GR70" i="1"/>
  <c r="GS70" i="1"/>
  <c r="GT70" i="1"/>
  <c r="GU70" i="1"/>
  <c r="GV70" i="1"/>
  <c r="GW70" i="1"/>
  <c r="GX70" i="1"/>
  <c r="GY70" i="1"/>
  <c r="GZ70" i="1"/>
  <c r="HA70" i="1"/>
  <c r="HB70" i="1"/>
  <c r="HC70" i="1"/>
  <c r="HD70" i="1"/>
  <c r="HE70" i="1"/>
  <c r="HF70" i="1"/>
  <c r="HG70" i="1"/>
  <c r="HH70" i="1"/>
  <c r="HI70" i="1"/>
  <c r="HJ70" i="1"/>
  <c r="HK70" i="1"/>
  <c r="HL70" i="1"/>
  <c r="HM70" i="1"/>
  <c r="HN70" i="1"/>
  <c r="HO70" i="1"/>
  <c r="HP70" i="1"/>
  <c r="HQ70" i="1"/>
  <c r="HR70" i="1"/>
  <c r="HS70" i="1"/>
  <c r="HT70" i="1"/>
  <c r="HU70" i="1"/>
  <c r="HV70" i="1"/>
  <c r="HW70" i="1"/>
  <c r="HX70" i="1"/>
  <c r="HY70" i="1"/>
  <c r="HZ70" i="1"/>
  <c r="IA70" i="1"/>
  <c r="IB70" i="1"/>
  <c r="IC70" i="1"/>
  <c r="ID70" i="1"/>
  <c r="IE70" i="1"/>
  <c r="IF70" i="1"/>
  <c r="IG70" i="1"/>
  <c r="IH70" i="1"/>
  <c r="H71" i="1"/>
  <c r="I71" i="1"/>
  <c r="L71" i="1"/>
  <c r="O71" i="1"/>
  <c r="R71" i="1"/>
  <c r="S71" i="1"/>
  <c r="T71" i="1"/>
  <c r="U71" i="1"/>
  <c r="W71" i="1"/>
  <c r="X71" i="1"/>
  <c r="Y71" i="1"/>
  <c r="Z71" i="1"/>
  <c r="AA71" i="1"/>
  <c r="AB71" i="1"/>
  <c r="AP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D71" i="1"/>
  <c r="CE71" i="1"/>
  <c r="CF71" i="1"/>
  <c r="CG71" i="1"/>
  <c r="CH71" i="1"/>
  <c r="CI71" i="1"/>
  <c r="CJ71" i="1"/>
  <c r="CK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E71" i="1"/>
  <c r="DH71" i="1"/>
  <c r="DK71" i="1"/>
  <c r="DL71" i="1"/>
  <c r="DM71" i="1"/>
  <c r="DN71" i="1"/>
  <c r="DP71" i="1"/>
  <c r="DS71" i="1"/>
  <c r="DV71" i="1"/>
  <c r="DX71" i="1"/>
  <c r="DY71" i="1"/>
  <c r="EA71" i="1"/>
  <c r="EB71" i="1"/>
  <c r="EC71" i="1"/>
  <c r="ED71" i="1"/>
  <c r="EE71" i="1"/>
  <c r="EF71" i="1"/>
  <c r="EG71" i="1"/>
  <c r="EH71" i="1"/>
  <c r="EI71" i="1"/>
  <c r="EJ71" i="1"/>
  <c r="EK71" i="1"/>
  <c r="EX71" i="1"/>
  <c r="EY71" i="1"/>
  <c r="EZ71" i="1"/>
  <c r="FA71" i="1"/>
  <c r="FB71" i="1"/>
  <c r="FD71" i="1"/>
  <c r="FE71" i="1"/>
  <c r="FF71" i="1"/>
  <c r="FG71" i="1"/>
  <c r="FH71" i="1"/>
  <c r="FI71" i="1"/>
  <c r="FJ71" i="1"/>
  <c r="FK71" i="1"/>
  <c r="FL71" i="1"/>
  <c r="FO71" i="1"/>
  <c r="FP71" i="1"/>
  <c r="FQ71" i="1"/>
  <c r="FR71" i="1"/>
  <c r="FS71" i="1"/>
  <c r="FT71" i="1"/>
  <c r="FU71" i="1"/>
  <c r="FV71" i="1"/>
  <c r="FW71" i="1"/>
  <c r="FX71" i="1"/>
  <c r="FY71" i="1"/>
  <c r="FZ71" i="1"/>
  <c r="GA71" i="1"/>
  <c r="GB71" i="1"/>
  <c r="GC71" i="1"/>
  <c r="GD71" i="1"/>
  <c r="GE71" i="1"/>
  <c r="GF71" i="1"/>
  <c r="GG71" i="1"/>
  <c r="GH71" i="1"/>
  <c r="GI71" i="1"/>
  <c r="GJ71" i="1"/>
  <c r="GK71" i="1"/>
  <c r="GL71" i="1"/>
  <c r="GM71" i="1"/>
  <c r="GN71" i="1"/>
  <c r="GO71" i="1"/>
  <c r="GP71" i="1"/>
  <c r="GQ71" i="1"/>
  <c r="GR71" i="1"/>
  <c r="GS71" i="1"/>
  <c r="GT71" i="1"/>
  <c r="GU71" i="1"/>
  <c r="GV71" i="1"/>
  <c r="GW71" i="1"/>
  <c r="GX71" i="1"/>
  <c r="GY71" i="1"/>
  <c r="GZ71" i="1"/>
  <c r="HA71" i="1"/>
  <c r="HB71" i="1"/>
  <c r="HC71" i="1"/>
  <c r="HD71" i="1"/>
  <c r="HE71" i="1"/>
  <c r="HF71" i="1"/>
  <c r="HG71" i="1"/>
  <c r="HH71" i="1"/>
  <c r="HI71" i="1"/>
  <c r="HJ71" i="1"/>
  <c r="HK71" i="1"/>
  <c r="HL71" i="1"/>
  <c r="HM71" i="1"/>
  <c r="HN71" i="1"/>
  <c r="HO71" i="1"/>
  <c r="HP71" i="1"/>
  <c r="HQ71" i="1"/>
  <c r="HR71" i="1"/>
  <c r="HS71" i="1"/>
  <c r="HT71" i="1"/>
  <c r="HU71" i="1"/>
  <c r="HV71" i="1"/>
  <c r="HW71" i="1"/>
  <c r="HX71" i="1"/>
  <c r="HY71" i="1"/>
  <c r="HZ71" i="1"/>
  <c r="IA71" i="1"/>
  <c r="IB71" i="1"/>
  <c r="IC71" i="1"/>
  <c r="ID71" i="1"/>
  <c r="IE71" i="1"/>
  <c r="IF71" i="1"/>
  <c r="IG71" i="1"/>
  <c r="IH71" i="1"/>
  <c r="H72" i="1"/>
  <c r="I72" i="1"/>
  <c r="L72" i="1"/>
  <c r="O72" i="1"/>
  <c r="R72" i="1"/>
  <c r="S72" i="1"/>
  <c r="T72" i="1"/>
  <c r="U72" i="1"/>
  <c r="W72" i="1"/>
  <c r="X72" i="1"/>
  <c r="Y72" i="1"/>
  <c r="Z72" i="1"/>
  <c r="AA72" i="1"/>
  <c r="AB72" i="1"/>
  <c r="AP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D72" i="1"/>
  <c r="CE72" i="1"/>
  <c r="CF72" i="1"/>
  <c r="CG72" i="1"/>
  <c r="CH72" i="1"/>
  <c r="CI72" i="1"/>
  <c r="CJ72" i="1"/>
  <c r="CK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E72" i="1"/>
  <c r="DH72" i="1"/>
  <c r="DK72" i="1"/>
  <c r="DL72" i="1"/>
  <c r="DM72" i="1"/>
  <c r="DN72" i="1"/>
  <c r="DP72" i="1"/>
  <c r="DS72" i="1"/>
  <c r="DV72" i="1"/>
  <c r="DX72" i="1"/>
  <c r="DY72" i="1"/>
  <c r="EA72" i="1"/>
  <c r="EB72" i="1"/>
  <c r="EC72" i="1"/>
  <c r="ED72" i="1"/>
  <c r="EE72" i="1"/>
  <c r="EF72" i="1"/>
  <c r="EG72" i="1"/>
  <c r="EH72" i="1"/>
  <c r="EI72" i="1"/>
  <c r="EJ72" i="1"/>
  <c r="EK72" i="1"/>
  <c r="EX72" i="1"/>
  <c r="EY72" i="1"/>
  <c r="EZ72" i="1"/>
  <c r="FA72" i="1"/>
  <c r="FB72" i="1"/>
  <c r="FD72" i="1"/>
  <c r="FE72" i="1"/>
  <c r="FF72" i="1"/>
  <c r="FG72" i="1"/>
  <c r="FH72" i="1"/>
  <c r="FI72" i="1"/>
  <c r="FJ72" i="1"/>
  <c r="FK72" i="1"/>
  <c r="FL72" i="1"/>
  <c r="FO72" i="1"/>
  <c r="FP72" i="1"/>
  <c r="FQ72" i="1"/>
  <c r="FR72" i="1"/>
  <c r="FS72" i="1"/>
  <c r="FT72" i="1"/>
  <c r="FU72" i="1"/>
  <c r="FV72" i="1"/>
  <c r="FW72" i="1"/>
  <c r="FX72" i="1"/>
  <c r="FY72" i="1"/>
  <c r="FZ72" i="1"/>
  <c r="GA72" i="1"/>
  <c r="GB72" i="1"/>
  <c r="GC72" i="1"/>
  <c r="GD72" i="1"/>
  <c r="GE72" i="1"/>
  <c r="GF72" i="1"/>
  <c r="GG72" i="1"/>
  <c r="GH72" i="1"/>
  <c r="GI72" i="1"/>
  <c r="GJ72" i="1"/>
  <c r="GK72" i="1"/>
  <c r="GL72" i="1"/>
  <c r="GM72" i="1"/>
  <c r="GN72" i="1"/>
  <c r="GO72" i="1"/>
  <c r="GP72" i="1"/>
  <c r="GQ72" i="1"/>
  <c r="GR72" i="1"/>
  <c r="GS72" i="1"/>
  <c r="GT72" i="1"/>
  <c r="GU72" i="1"/>
  <c r="GV72" i="1"/>
  <c r="GW72" i="1"/>
  <c r="GX72" i="1"/>
  <c r="GY72" i="1"/>
  <c r="GZ72" i="1"/>
  <c r="HA72" i="1"/>
  <c r="HB72" i="1"/>
  <c r="HC72" i="1"/>
  <c r="HD72" i="1"/>
  <c r="HE72" i="1"/>
  <c r="HF72" i="1"/>
  <c r="HG72" i="1"/>
  <c r="HH72" i="1"/>
  <c r="HI72" i="1"/>
  <c r="HJ72" i="1"/>
  <c r="HK72" i="1"/>
  <c r="HL72" i="1"/>
  <c r="HM72" i="1"/>
  <c r="HN72" i="1"/>
  <c r="HO72" i="1"/>
  <c r="HP72" i="1"/>
  <c r="HQ72" i="1"/>
  <c r="HR72" i="1"/>
  <c r="HS72" i="1"/>
  <c r="HT72" i="1"/>
  <c r="HU72" i="1"/>
  <c r="HV72" i="1"/>
  <c r="HW72" i="1"/>
  <c r="HX72" i="1"/>
  <c r="HY72" i="1"/>
  <c r="HZ72" i="1"/>
  <c r="IA72" i="1"/>
  <c r="IB72" i="1"/>
  <c r="IC72" i="1"/>
  <c r="ID72" i="1"/>
  <c r="IE72" i="1"/>
  <c r="IF72" i="1"/>
  <c r="IG72" i="1"/>
  <c r="IH72" i="1"/>
  <c r="H73" i="1"/>
  <c r="I73" i="1"/>
  <c r="L73" i="1"/>
  <c r="O73" i="1"/>
  <c r="R73" i="1"/>
  <c r="S73" i="1"/>
  <c r="T73" i="1"/>
  <c r="U73" i="1"/>
  <c r="W73" i="1"/>
  <c r="X73" i="1"/>
  <c r="Y73" i="1"/>
  <c r="Z73" i="1"/>
  <c r="AA73" i="1"/>
  <c r="AB73" i="1"/>
  <c r="AP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D73" i="1"/>
  <c r="CE73" i="1"/>
  <c r="CF73" i="1"/>
  <c r="CG73" i="1"/>
  <c r="CH73" i="1"/>
  <c r="CI73" i="1"/>
  <c r="CJ73" i="1"/>
  <c r="CK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E73" i="1"/>
  <c r="DH73" i="1"/>
  <c r="DK73" i="1"/>
  <c r="DL73" i="1"/>
  <c r="DM73" i="1"/>
  <c r="DN73" i="1"/>
  <c r="DP73" i="1"/>
  <c r="DS73" i="1"/>
  <c r="DV73" i="1"/>
  <c r="DX73" i="1"/>
  <c r="DY73" i="1"/>
  <c r="EA73" i="1"/>
  <c r="EB73" i="1"/>
  <c r="EC73" i="1"/>
  <c r="ED73" i="1"/>
  <c r="EE73" i="1"/>
  <c r="EF73" i="1"/>
  <c r="EG73" i="1"/>
  <c r="EH73" i="1"/>
  <c r="EI73" i="1"/>
  <c r="EJ73" i="1"/>
  <c r="EK73" i="1"/>
  <c r="EX73" i="1"/>
  <c r="EY73" i="1"/>
  <c r="EZ73" i="1"/>
  <c r="FA73" i="1"/>
  <c r="FB73" i="1"/>
  <c r="FD73" i="1"/>
  <c r="FE73" i="1"/>
  <c r="FF73" i="1"/>
  <c r="FG73" i="1"/>
  <c r="FH73" i="1"/>
  <c r="FI73" i="1"/>
  <c r="FJ73" i="1"/>
  <c r="FK73" i="1"/>
  <c r="FL73" i="1"/>
  <c r="FO73" i="1"/>
  <c r="FP73" i="1"/>
  <c r="FQ73" i="1"/>
  <c r="FR73" i="1"/>
  <c r="FS73" i="1"/>
  <c r="FT73" i="1"/>
  <c r="FU73" i="1"/>
  <c r="FV73" i="1"/>
  <c r="FW73" i="1"/>
  <c r="FX73" i="1"/>
  <c r="FY73" i="1"/>
  <c r="FZ73" i="1"/>
  <c r="GA73" i="1"/>
  <c r="GB73" i="1"/>
  <c r="GC73" i="1"/>
  <c r="GD73" i="1"/>
  <c r="GE73" i="1"/>
  <c r="GF73" i="1"/>
  <c r="GG73" i="1"/>
  <c r="GH73" i="1"/>
  <c r="GI73" i="1"/>
  <c r="GJ73" i="1"/>
  <c r="GK73" i="1"/>
  <c r="GL73" i="1"/>
  <c r="GM73" i="1"/>
  <c r="GN73" i="1"/>
  <c r="GO73" i="1"/>
  <c r="GP73" i="1"/>
  <c r="GQ73" i="1"/>
  <c r="GR73" i="1"/>
  <c r="GS73" i="1"/>
  <c r="GT73" i="1"/>
  <c r="GU73" i="1"/>
  <c r="GV73" i="1"/>
  <c r="GW73" i="1"/>
  <c r="GX73" i="1"/>
  <c r="GY73" i="1"/>
  <c r="GZ73" i="1"/>
  <c r="HA73" i="1"/>
  <c r="HB73" i="1"/>
  <c r="HC73" i="1"/>
  <c r="HD73" i="1"/>
  <c r="HE73" i="1"/>
  <c r="HF73" i="1"/>
  <c r="HG73" i="1"/>
  <c r="HH73" i="1"/>
  <c r="HI73" i="1"/>
  <c r="HJ73" i="1"/>
  <c r="HK73" i="1"/>
  <c r="HL73" i="1"/>
  <c r="HM73" i="1"/>
  <c r="HN73" i="1"/>
  <c r="HO73" i="1"/>
  <c r="HP73" i="1"/>
  <c r="HQ73" i="1"/>
  <c r="HR73" i="1"/>
  <c r="HS73" i="1"/>
  <c r="HT73" i="1"/>
  <c r="HU73" i="1"/>
  <c r="HV73" i="1"/>
  <c r="HW73" i="1"/>
  <c r="HX73" i="1"/>
  <c r="HY73" i="1"/>
  <c r="HZ73" i="1"/>
  <c r="IA73" i="1"/>
  <c r="IB73" i="1"/>
  <c r="IC73" i="1"/>
  <c r="ID73" i="1"/>
  <c r="IE73" i="1"/>
  <c r="IF73" i="1"/>
  <c r="IG73" i="1"/>
  <c r="IH73" i="1"/>
  <c r="H74" i="1"/>
  <c r="I74" i="1"/>
  <c r="L74" i="1"/>
  <c r="O74" i="1"/>
  <c r="R74" i="1"/>
  <c r="S74" i="1"/>
  <c r="T74" i="1"/>
  <c r="U74" i="1"/>
  <c r="W74" i="1"/>
  <c r="X74" i="1"/>
  <c r="Y74" i="1"/>
  <c r="Z74" i="1"/>
  <c r="AA74" i="1"/>
  <c r="AB74" i="1"/>
  <c r="AP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D74" i="1"/>
  <c r="CE74" i="1"/>
  <c r="CF74" i="1"/>
  <c r="CG74" i="1"/>
  <c r="CH74" i="1"/>
  <c r="CI74" i="1"/>
  <c r="CJ74" i="1"/>
  <c r="CK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E74" i="1"/>
  <c r="DH74" i="1"/>
  <c r="DK74" i="1"/>
  <c r="DL74" i="1"/>
  <c r="DM74" i="1"/>
  <c r="DN74" i="1"/>
  <c r="DP74" i="1"/>
  <c r="DS74" i="1"/>
  <c r="DV74" i="1"/>
  <c r="DX74" i="1"/>
  <c r="DY74" i="1"/>
  <c r="EA74" i="1"/>
  <c r="EB74" i="1"/>
  <c r="EC74" i="1"/>
  <c r="ED74" i="1"/>
  <c r="EE74" i="1"/>
  <c r="EF74" i="1"/>
  <c r="EG74" i="1"/>
  <c r="EH74" i="1"/>
  <c r="EI74" i="1"/>
  <c r="EJ74" i="1"/>
  <c r="EK74" i="1"/>
  <c r="EX74" i="1"/>
  <c r="EY74" i="1"/>
  <c r="EZ74" i="1"/>
  <c r="FA74" i="1"/>
  <c r="FB74" i="1"/>
  <c r="FD74" i="1"/>
  <c r="FE74" i="1"/>
  <c r="FF74" i="1"/>
  <c r="FG74" i="1"/>
  <c r="FH74" i="1"/>
  <c r="FI74" i="1"/>
  <c r="FJ74" i="1"/>
  <c r="FK74" i="1"/>
  <c r="FL74" i="1"/>
  <c r="FO74" i="1"/>
  <c r="FP74" i="1"/>
  <c r="FQ74" i="1"/>
  <c r="FR74" i="1"/>
  <c r="FS74" i="1"/>
  <c r="FT74" i="1"/>
  <c r="FU74" i="1"/>
  <c r="FV74" i="1"/>
  <c r="FW74" i="1"/>
  <c r="FX74" i="1"/>
  <c r="FY74" i="1"/>
  <c r="FZ74" i="1"/>
  <c r="GA74" i="1"/>
  <c r="GB74" i="1"/>
  <c r="GC74" i="1"/>
  <c r="GD74" i="1"/>
  <c r="GE74" i="1"/>
  <c r="GF74" i="1"/>
  <c r="GG74" i="1"/>
  <c r="GH74" i="1"/>
  <c r="GI74" i="1"/>
  <c r="GJ74" i="1"/>
  <c r="GK74" i="1"/>
  <c r="GL74" i="1"/>
  <c r="GM74" i="1"/>
  <c r="GN74" i="1"/>
  <c r="GO74" i="1"/>
  <c r="GP74" i="1"/>
  <c r="GQ74" i="1"/>
  <c r="GR74" i="1"/>
  <c r="GS74" i="1"/>
  <c r="GT74" i="1"/>
  <c r="GU74" i="1"/>
  <c r="GV74" i="1"/>
  <c r="GW74" i="1"/>
  <c r="GX74" i="1"/>
  <c r="GY74" i="1"/>
  <c r="GZ74" i="1"/>
  <c r="HA74" i="1"/>
  <c r="HB74" i="1"/>
  <c r="HC74" i="1"/>
  <c r="HD74" i="1"/>
  <c r="HE74" i="1"/>
  <c r="HF74" i="1"/>
  <c r="HG74" i="1"/>
  <c r="HH74" i="1"/>
  <c r="HI74" i="1"/>
  <c r="HJ74" i="1"/>
  <c r="HK74" i="1"/>
  <c r="HL74" i="1"/>
  <c r="HM74" i="1"/>
  <c r="HN74" i="1"/>
  <c r="HO74" i="1"/>
  <c r="HP74" i="1"/>
  <c r="HQ74" i="1"/>
  <c r="HR74" i="1"/>
  <c r="HS74" i="1"/>
  <c r="HT74" i="1"/>
  <c r="HU74" i="1"/>
  <c r="HV74" i="1"/>
  <c r="HW74" i="1"/>
  <c r="HX74" i="1"/>
  <c r="HY74" i="1"/>
  <c r="HZ74" i="1"/>
  <c r="IA74" i="1"/>
  <c r="IB74" i="1"/>
  <c r="IC74" i="1"/>
  <c r="ID74" i="1"/>
  <c r="IE74" i="1"/>
  <c r="IF74" i="1"/>
  <c r="IG74" i="1"/>
  <c r="IH74" i="1"/>
  <c r="H75" i="1"/>
  <c r="I75" i="1"/>
  <c r="L75" i="1"/>
  <c r="O75" i="1"/>
  <c r="R75" i="1"/>
  <c r="S75" i="1"/>
  <c r="T75" i="1"/>
  <c r="U75" i="1"/>
  <c r="W75" i="1"/>
  <c r="X75" i="1"/>
  <c r="Y75" i="1"/>
  <c r="Z75" i="1"/>
  <c r="AA75" i="1"/>
  <c r="AB75" i="1"/>
  <c r="AP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D75" i="1"/>
  <c r="CE75" i="1"/>
  <c r="CF75" i="1"/>
  <c r="CG75" i="1"/>
  <c r="CH75" i="1"/>
  <c r="CI75" i="1"/>
  <c r="CJ75" i="1"/>
  <c r="CK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E75" i="1"/>
  <c r="DH75" i="1"/>
  <c r="DK75" i="1"/>
  <c r="DL75" i="1"/>
  <c r="DM75" i="1"/>
  <c r="DN75" i="1"/>
  <c r="DP75" i="1"/>
  <c r="DS75" i="1"/>
  <c r="DV75" i="1"/>
  <c r="DX75" i="1"/>
  <c r="DY75" i="1"/>
  <c r="EA75" i="1"/>
  <c r="EB75" i="1"/>
  <c r="EC75" i="1"/>
  <c r="ED75" i="1"/>
  <c r="EE75" i="1"/>
  <c r="EF75" i="1"/>
  <c r="EG75" i="1"/>
  <c r="EH75" i="1"/>
  <c r="EI75" i="1"/>
  <c r="EJ75" i="1"/>
  <c r="EK75" i="1"/>
  <c r="EX75" i="1"/>
  <c r="EY75" i="1"/>
  <c r="EZ75" i="1"/>
  <c r="FA75" i="1"/>
  <c r="FB75" i="1"/>
  <c r="FD75" i="1"/>
  <c r="FE75" i="1"/>
  <c r="FF75" i="1"/>
  <c r="FG75" i="1"/>
  <c r="FH75" i="1"/>
  <c r="FI75" i="1"/>
  <c r="FJ75" i="1"/>
  <c r="FK75" i="1"/>
  <c r="FL75" i="1"/>
  <c r="FO75" i="1"/>
  <c r="FP75" i="1"/>
  <c r="FQ75" i="1"/>
  <c r="FR75" i="1"/>
  <c r="FS75" i="1"/>
  <c r="FT75" i="1"/>
  <c r="FU75" i="1"/>
  <c r="FV75" i="1"/>
  <c r="FW75" i="1"/>
  <c r="FX75" i="1"/>
  <c r="FY75" i="1"/>
  <c r="FZ75" i="1"/>
  <c r="GA75" i="1"/>
  <c r="GB75" i="1"/>
  <c r="GC75" i="1"/>
  <c r="GD75" i="1"/>
  <c r="GE75" i="1"/>
  <c r="GF75" i="1"/>
  <c r="GG75" i="1"/>
  <c r="GH75" i="1"/>
  <c r="GI75" i="1"/>
  <c r="GJ75" i="1"/>
  <c r="GK75" i="1"/>
  <c r="GL75" i="1"/>
  <c r="GM75" i="1"/>
  <c r="GN75" i="1"/>
  <c r="GO75" i="1"/>
  <c r="GP75" i="1"/>
  <c r="GQ75" i="1"/>
  <c r="GR75" i="1"/>
  <c r="GS75" i="1"/>
  <c r="GT75" i="1"/>
  <c r="GU75" i="1"/>
  <c r="GV75" i="1"/>
  <c r="GW75" i="1"/>
  <c r="GX75" i="1"/>
  <c r="GY75" i="1"/>
  <c r="GZ75" i="1"/>
  <c r="HA75" i="1"/>
  <c r="HB75" i="1"/>
  <c r="HC75" i="1"/>
  <c r="HD75" i="1"/>
  <c r="HE75" i="1"/>
  <c r="HF75" i="1"/>
  <c r="HG75" i="1"/>
  <c r="HH75" i="1"/>
  <c r="HI75" i="1"/>
  <c r="HJ75" i="1"/>
  <c r="HK75" i="1"/>
  <c r="HL75" i="1"/>
  <c r="HM75" i="1"/>
  <c r="HN75" i="1"/>
  <c r="HO75" i="1"/>
  <c r="HP75" i="1"/>
  <c r="HQ75" i="1"/>
  <c r="HR75" i="1"/>
  <c r="HS75" i="1"/>
  <c r="HT75" i="1"/>
  <c r="HU75" i="1"/>
  <c r="HV75" i="1"/>
  <c r="HW75" i="1"/>
  <c r="HX75" i="1"/>
  <c r="HY75" i="1"/>
  <c r="HZ75" i="1"/>
  <c r="IA75" i="1"/>
  <c r="IB75" i="1"/>
  <c r="IC75" i="1"/>
  <c r="ID75" i="1"/>
  <c r="IE75" i="1"/>
  <c r="IF75" i="1"/>
  <c r="IG75" i="1"/>
  <c r="IH75" i="1"/>
  <c r="H76" i="1"/>
  <c r="I76" i="1"/>
  <c r="L76" i="1"/>
  <c r="O76" i="1"/>
  <c r="R76" i="1"/>
  <c r="S76" i="1"/>
  <c r="T76" i="1"/>
  <c r="U76" i="1"/>
  <c r="W76" i="1"/>
  <c r="X76" i="1"/>
  <c r="Y76" i="1"/>
  <c r="Z76" i="1"/>
  <c r="AA76" i="1"/>
  <c r="AB76" i="1"/>
  <c r="AP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D76" i="1"/>
  <c r="CE76" i="1"/>
  <c r="CF76" i="1"/>
  <c r="CG76" i="1"/>
  <c r="CH76" i="1"/>
  <c r="CI76" i="1"/>
  <c r="CJ76" i="1"/>
  <c r="CK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E76" i="1"/>
  <c r="DH76" i="1"/>
  <c r="DK76" i="1"/>
  <c r="DL76" i="1"/>
  <c r="DM76" i="1"/>
  <c r="DN76" i="1"/>
  <c r="DP76" i="1"/>
  <c r="DS76" i="1"/>
  <c r="DV76" i="1"/>
  <c r="DX76" i="1"/>
  <c r="DY76" i="1"/>
  <c r="EA76" i="1"/>
  <c r="EB76" i="1"/>
  <c r="EC76" i="1"/>
  <c r="ED76" i="1"/>
  <c r="EE76" i="1"/>
  <c r="EF76" i="1"/>
  <c r="EG76" i="1"/>
  <c r="EH76" i="1"/>
  <c r="EI76" i="1"/>
  <c r="EJ76" i="1"/>
  <c r="EK76" i="1"/>
  <c r="EX76" i="1"/>
  <c r="EY76" i="1"/>
  <c r="EZ76" i="1"/>
  <c r="FA76" i="1"/>
  <c r="FB76" i="1"/>
  <c r="FD76" i="1"/>
  <c r="FE76" i="1"/>
  <c r="FF76" i="1"/>
  <c r="FG76" i="1"/>
  <c r="FH76" i="1"/>
  <c r="FI76" i="1"/>
  <c r="FJ76" i="1"/>
  <c r="FK76" i="1"/>
  <c r="FL76" i="1"/>
  <c r="FO76" i="1"/>
  <c r="FP76" i="1"/>
  <c r="FQ76" i="1"/>
  <c r="FR76" i="1"/>
  <c r="FS76" i="1"/>
  <c r="FT76" i="1"/>
  <c r="FU76" i="1"/>
  <c r="FV76" i="1"/>
  <c r="FW76" i="1"/>
  <c r="FX76" i="1"/>
  <c r="FY76" i="1"/>
  <c r="FZ76" i="1"/>
  <c r="GA76" i="1"/>
  <c r="GB76" i="1"/>
  <c r="GC76" i="1"/>
  <c r="GD76" i="1"/>
  <c r="GE76" i="1"/>
  <c r="GF76" i="1"/>
  <c r="GG76" i="1"/>
  <c r="GH76" i="1"/>
  <c r="GI76" i="1"/>
  <c r="GJ76" i="1"/>
  <c r="GK76" i="1"/>
  <c r="GL76" i="1"/>
  <c r="GM76" i="1"/>
  <c r="GN76" i="1"/>
  <c r="GO76" i="1"/>
  <c r="GP76" i="1"/>
  <c r="GQ76" i="1"/>
  <c r="GR76" i="1"/>
  <c r="GS76" i="1"/>
  <c r="GT76" i="1"/>
  <c r="GU76" i="1"/>
  <c r="GV76" i="1"/>
  <c r="GW76" i="1"/>
  <c r="GX76" i="1"/>
  <c r="GY76" i="1"/>
  <c r="GZ76" i="1"/>
  <c r="HA76" i="1"/>
  <c r="HB76" i="1"/>
  <c r="HC76" i="1"/>
  <c r="HD76" i="1"/>
  <c r="HE76" i="1"/>
  <c r="HF76" i="1"/>
  <c r="HG76" i="1"/>
  <c r="HH76" i="1"/>
  <c r="HI76" i="1"/>
  <c r="HJ76" i="1"/>
  <c r="HK76" i="1"/>
  <c r="HL76" i="1"/>
  <c r="HM76" i="1"/>
  <c r="HN76" i="1"/>
  <c r="HO76" i="1"/>
  <c r="HP76" i="1"/>
  <c r="HQ76" i="1"/>
  <c r="HR76" i="1"/>
  <c r="HS76" i="1"/>
  <c r="HT76" i="1"/>
  <c r="HU76" i="1"/>
  <c r="HV76" i="1"/>
  <c r="HW76" i="1"/>
  <c r="HX76" i="1"/>
  <c r="HY76" i="1"/>
  <c r="HZ76" i="1"/>
  <c r="IA76" i="1"/>
  <c r="IB76" i="1"/>
  <c r="IC76" i="1"/>
  <c r="ID76" i="1"/>
  <c r="IE76" i="1"/>
  <c r="IF76" i="1"/>
  <c r="IG76" i="1"/>
  <c r="IH76" i="1"/>
  <c r="H77" i="1"/>
  <c r="I77" i="1"/>
  <c r="L77" i="1"/>
  <c r="O77" i="1"/>
  <c r="R77" i="1"/>
  <c r="S77" i="1"/>
  <c r="T77" i="1"/>
  <c r="U77" i="1"/>
  <c r="W77" i="1"/>
  <c r="X77" i="1"/>
  <c r="Y77" i="1"/>
  <c r="Z77" i="1"/>
  <c r="AA77" i="1"/>
  <c r="AB77" i="1"/>
  <c r="AP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D77" i="1"/>
  <c r="CE77" i="1"/>
  <c r="CF77" i="1"/>
  <c r="CG77" i="1"/>
  <c r="CH77" i="1"/>
  <c r="CI77" i="1"/>
  <c r="CJ77" i="1"/>
  <c r="CK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E77" i="1"/>
  <c r="DH77" i="1"/>
  <c r="DK77" i="1"/>
  <c r="DL77" i="1"/>
  <c r="DM77" i="1"/>
  <c r="DN77" i="1"/>
  <c r="DP77" i="1"/>
  <c r="DS77" i="1"/>
  <c r="DV77" i="1"/>
  <c r="DX77" i="1"/>
  <c r="DY77" i="1"/>
  <c r="EA77" i="1"/>
  <c r="EB77" i="1"/>
  <c r="EC77" i="1"/>
  <c r="ED77" i="1"/>
  <c r="EE77" i="1"/>
  <c r="EF77" i="1"/>
  <c r="EG77" i="1"/>
  <c r="EH77" i="1"/>
  <c r="EI77" i="1"/>
  <c r="EJ77" i="1"/>
  <c r="EK77" i="1"/>
  <c r="EX77" i="1"/>
  <c r="EY77" i="1"/>
  <c r="EZ77" i="1"/>
  <c r="FA77" i="1"/>
  <c r="FB77" i="1"/>
  <c r="FD77" i="1"/>
  <c r="FE77" i="1"/>
  <c r="FF77" i="1"/>
  <c r="FG77" i="1"/>
  <c r="FH77" i="1"/>
  <c r="FI77" i="1"/>
  <c r="FJ77" i="1"/>
  <c r="FK77" i="1"/>
  <c r="FL77" i="1"/>
  <c r="FO77" i="1"/>
  <c r="FP77" i="1"/>
  <c r="FQ77" i="1"/>
  <c r="FR77" i="1"/>
  <c r="FS77" i="1"/>
  <c r="FT77" i="1"/>
  <c r="FU77" i="1"/>
  <c r="FV77" i="1"/>
  <c r="FW77" i="1"/>
  <c r="FX77" i="1"/>
  <c r="FY77" i="1"/>
  <c r="FZ77" i="1"/>
  <c r="GA77" i="1"/>
  <c r="GB77" i="1"/>
  <c r="GC77" i="1"/>
  <c r="GD77" i="1"/>
  <c r="GE77" i="1"/>
  <c r="GF77" i="1"/>
  <c r="GG77" i="1"/>
  <c r="GH77" i="1"/>
  <c r="GI77" i="1"/>
  <c r="GJ77" i="1"/>
  <c r="GK77" i="1"/>
  <c r="GL77" i="1"/>
  <c r="GM77" i="1"/>
  <c r="GN77" i="1"/>
  <c r="GO77" i="1"/>
  <c r="GP77" i="1"/>
  <c r="GQ77" i="1"/>
  <c r="GR77" i="1"/>
  <c r="GS77" i="1"/>
  <c r="GT77" i="1"/>
  <c r="GU77" i="1"/>
  <c r="GV77" i="1"/>
  <c r="GW77" i="1"/>
  <c r="GX77" i="1"/>
  <c r="GY77" i="1"/>
  <c r="GZ77" i="1"/>
  <c r="HA77" i="1"/>
  <c r="HB77" i="1"/>
  <c r="HC77" i="1"/>
  <c r="HD77" i="1"/>
  <c r="HE77" i="1"/>
  <c r="HF77" i="1"/>
  <c r="HG77" i="1"/>
  <c r="HH77" i="1"/>
  <c r="HI77" i="1"/>
  <c r="HJ77" i="1"/>
  <c r="HK77" i="1"/>
  <c r="HL77" i="1"/>
  <c r="HM77" i="1"/>
  <c r="HN77" i="1"/>
  <c r="HO77" i="1"/>
  <c r="HP77" i="1"/>
  <c r="HQ77" i="1"/>
  <c r="HR77" i="1"/>
  <c r="HS77" i="1"/>
  <c r="HT77" i="1"/>
  <c r="HU77" i="1"/>
  <c r="HV77" i="1"/>
  <c r="HW77" i="1"/>
  <c r="HX77" i="1"/>
  <c r="HY77" i="1"/>
  <c r="HZ77" i="1"/>
  <c r="IA77" i="1"/>
  <c r="IB77" i="1"/>
  <c r="IC77" i="1"/>
  <c r="ID77" i="1"/>
  <c r="IE77" i="1"/>
  <c r="IF77" i="1"/>
  <c r="IG77" i="1"/>
  <c r="IH77" i="1"/>
  <c r="H78" i="1"/>
  <c r="I78" i="1"/>
  <c r="L78" i="1"/>
  <c r="O78" i="1"/>
  <c r="R78" i="1"/>
  <c r="S78" i="1"/>
  <c r="T78" i="1"/>
  <c r="U78" i="1"/>
  <c r="W78" i="1"/>
  <c r="X78" i="1"/>
  <c r="Y78" i="1"/>
  <c r="Z78" i="1"/>
  <c r="AA78" i="1"/>
  <c r="AB78" i="1"/>
  <c r="AP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D78" i="1"/>
  <c r="CE78" i="1"/>
  <c r="CF78" i="1"/>
  <c r="CG78" i="1"/>
  <c r="CH78" i="1"/>
  <c r="CI78" i="1"/>
  <c r="CJ78" i="1"/>
  <c r="CK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E78" i="1"/>
  <c r="DH78" i="1"/>
  <c r="DK78" i="1"/>
  <c r="DL78" i="1"/>
  <c r="DM78" i="1"/>
  <c r="DN78" i="1"/>
  <c r="DP78" i="1"/>
  <c r="DS78" i="1"/>
  <c r="DV78" i="1"/>
  <c r="DX78" i="1"/>
  <c r="DY78" i="1"/>
  <c r="EA78" i="1"/>
  <c r="EB78" i="1"/>
  <c r="EC78" i="1"/>
  <c r="ED78" i="1"/>
  <c r="EE78" i="1"/>
  <c r="EF78" i="1"/>
  <c r="EG78" i="1"/>
  <c r="EH78" i="1"/>
  <c r="EI78" i="1"/>
  <c r="EJ78" i="1"/>
  <c r="EK78" i="1"/>
  <c r="EX78" i="1"/>
  <c r="EY78" i="1"/>
  <c r="EZ78" i="1"/>
  <c r="FA78" i="1"/>
  <c r="FB78" i="1"/>
  <c r="FD78" i="1"/>
  <c r="FE78" i="1"/>
  <c r="FF78" i="1"/>
  <c r="FG78" i="1"/>
  <c r="FH78" i="1"/>
  <c r="FI78" i="1"/>
  <c r="FJ78" i="1"/>
  <c r="FK78" i="1"/>
  <c r="FL78" i="1"/>
  <c r="FO78" i="1"/>
  <c r="FP78" i="1"/>
  <c r="FQ78" i="1"/>
  <c r="FR78" i="1"/>
  <c r="FS78" i="1"/>
  <c r="FT78" i="1"/>
  <c r="FU78" i="1"/>
  <c r="FV78" i="1"/>
  <c r="FW78" i="1"/>
  <c r="FX78" i="1"/>
  <c r="FY78" i="1"/>
  <c r="FZ78" i="1"/>
  <c r="GA78" i="1"/>
  <c r="GB78" i="1"/>
  <c r="GC78" i="1"/>
  <c r="GD78" i="1"/>
  <c r="GE78" i="1"/>
  <c r="GF78" i="1"/>
  <c r="GG78" i="1"/>
  <c r="GH78" i="1"/>
  <c r="GI78" i="1"/>
  <c r="GJ78" i="1"/>
  <c r="GK78" i="1"/>
  <c r="GL78" i="1"/>
  <c r="GM78" i="1"/>
  <c r="GN78" i="1"/>
  <c r="GO78" i="1"/>
  <c r="GP78" i="1"/>
  <c r="GQ78" i="1"/>
  <c r="GR78" i="1"/>
  <c r="GS78" i="1"/>
  <c r="GT78" i="1"/>
  <c r="GU78" i="1"/>
  <c r="GV78" i="1"/>
  <c r="GW78" i="1"/>
  <c r="GX78" i="1"/>
  <c r="GY78" i="1"/>
  <c r="GZ78" i="1"/>
  <c r="HA78" i="1"/>
  <c r="HB78" i="1"/>
  <c r="HC78" i="1"/>
  <c r="HD78" i="1"/>
  <c r="HE78" i="1"/>
  <c r="HF78" i="1"/>
  <c r="HG78" i="1"/>
  <c r="HH78" i="1"/>
  <c r="HI78" i="1"/>
  <c r="HJ78" i="1"/>
  <c r="HK78" i="1"/>
  <c r="HL78" i="1"/>
  <c r="HM78" i="1"/>
  <c r="HN78" i="1"/>
  <c r="HO78" i="1"/>
  <c r="HP78" i="1"/>
  <c r="HQ78" i="1"/>
  <c r="HR78" i="1"/>
  <c r="HS78" i="1"/>
  <c r="HT78" i="1"/>
  <c r="HU78" i="1"/>
  <c r="HV78" i="1"/>
  <c r="HW78" i="1"/>
  <c r="HX78" i="1"/>
  <c r="HY78" i="1"/>
  <c r="HZ78" i="1"/>
  <c r="IA78" i="1"/>
  <c r="IB78" i="1"/>
  <c r="IC78" i="1"/>
  <c r="ID78" i="1"/>
  <c r="IE78" i="1"/>
  <c r="IF78" i="1"/>
  <c r="IG78" i="1"/>
  <c r="IH78" i="1"/>
  <c r="H79" i="1"/>
  <c r="I79" i="1"/>
  <c r="L79" i="1"/>
  <c r="O79" i="1"/>
  <c r="R79" i="1"/>
  <c r="S79" i="1"/>
  <c r="T79" i="1"/>
  <c r="U79" i="1"/>
  <c r="W79" i="1"/>
  <c r="X79" i="1"/>
  <c r="Y79" i="1"/>
  <c r="Z79" i="1"/>
  <c r="AA79" i="1"/>
  <c r="AB79" i="1"/>
  <c r="AP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D79" i="1"/>
  <c r="CE79" i="1"/>
  <c r="CF79" i="1"/>
  <c r="CG79" i="1"/>
  <c r="CH79" i="1"/>
  <c r="CI79" i="1"/>
  <c r="CJ79" i="1"/>
  <c r="CK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E79" i="1"/>
  <c r="DH79" i="1"/>
  <c r="DK79" i="1"/>
  <c r="DL79" i="1"/>
  <c r="DM79" i="1"/>
  <c r="DN79" i="1"/>
  <c r="DP79" i="1"/>
  <c r="DS79" i="1"/>
  <c r="DV79" i="1"/>
  <c r="DX79" i="1"/>
  <c r="DY79" i="1"/>
  <c r="EA79" i="1"/>
  <c r="EB79" i="1"/>
  <c r="EC79" i="1"/>
  <c r="ED79" i="1"/>
  <c r="EE79" i="1"/>
  <c r="EF79" i="1"/>
  <c r="EG79" i="1"/>
  <c r="EH79" i="1"/>
  <c r="EI79" i="1"/>
  <c r="EJ79" i="1"/>
  <c r="EK79" i="1"/>
  <c r="EX79" i="1"/>
  <c r="EY79" i="1"/>
  <c r="EZ79" i="1"/>
  <c r="FA79" i="1"/>
  <c r="FB79" i="1"/>
  <c r="FD79" i="1"/>
  <c r="FE79" i="1"/>
  <c r="FF79" i="1"/>
  <c r="FG79" i="1"/>
  <c r="FH79" i="1"/>
  <c r="FI79" i="1"/>
  <c r="FJ79" i="1"/>
  <c r="FK79" i="1"/>
  <c r="FL79" i="1"/>
  <c r="FO79" i="1"/>
  <c r="FP79" i="1"/>
  <c r="FQ79" i="1"/>
  <c r="FR79" i="1"/>
  <c r="FS79" i="1"/>
  <c r="FT79" i="1"/>
  <c r="FU79" i="1"/>
  <c r="FV79" i="1"/>
  <c r="FW79" i="1"/>
  <c r="FX79" i="1"/>
  <c r="FY79" i="1"/>
  <c r="FZ79" i="1"/>
  <c r="GA79" i="1"/>
  <c r="GB79" i="1"/>
  <c r="GC79" i="1"/>
  <c r="GD79" i="1"/>
  <c r="GE79" i="1"/>
  <c r="GF79" i="1"/>
  <c r="GG79" i="1"/>
  <c r="GH79" i="1"/>
  <c r="GI79" i="1"/>
  <c r="GJ79" i="1"/>
  <c r="GK79" i="1"/>
  <c r="GL79" i="1"/>
  <c r="GM79" i="1"/>
  <c r="GN79" i="1"/>
  <c r="GO79" i="1"/>
  <c r="GP79" i="1"/>
  <c r="GQ79" i="1"/>
  <c r="GR79" i="1"/>
  <c r="GS79" i="1"/>
  <c r="GT79" i="1"/>
  <c r="GU79" i="1"/>
  <c r="GV79" i="1"/>
  <c r="GW79" i="1"/>
  <c r="GX79" i="1"/>
  <c r="GY79" i="1"/>
  <c r="GZ79" i="1"/>
  <c r="HA79" i="1"/>
  <c r="HB79" i="1"/>
  <c r="HC79" i="1"/>
  <c r="HD79" i="1"/>
  <c r="HE79" i="1"/>
  <c r="HF79" i="1"/>
  <c r="HG79" i="1"/>
  <c r="HH79" i="1"/>
  <c r="HI79" i="1"/>
  <c r="HJ79" i="1"/>
  <c r="HK79" i="1"/>
  <c r="HL79" i="1"/>
  <c r="HM79" i="1"/>
  <c r="HN79" i="1"/>
  <c r="HO79" i="1"/>
  <c r="HP79" i="1"/>
  <c r="HQ79" i="1"/>
  <c r="HR79" i="1"/>
  <c r="HS79" i="1"/>
  <c r="HT79" i="1"/>
  <c r="HU79" i="1"/>
  <c r="HV79" i="1"/>
  <c r="HW79" i="1"/>
  <c r="HX79" i="1"/>
  <c r="HY79" i="1"/>
  <c r="HZ79" i="1"/>
  <c r="IA79" i="1"/>
  <c r="IB79" i="1"/>
  <c r="IC79" i="1"/>
  <c r="ID79" i="1"/>
  <c r="IE79" i="1"/>
  <c r="IF79" i="1"/>
  <c r="IG79" i="1"/>
  <c r="IH79" i="1"/>
  <c r="H80" i="1"/>
  <c r="I80" i="1"/>
  <c r="L80" i="1"/>
  <c r="O80" i="1"/>
  <c r="R80" i="1"/>
  <c r="S80" i="1"/>
  <c r="T80" i="1"/>
  <c r="U80" i="1"/>
  <c r="W80" i="1"/>
  <c r="X80" i="1"/>
  <c r="Y80" i="1"/>
  <c r="Z80" i="1"/>
  <c r="AA80" i="1"/>
  <c r="AB80" i="1"/>
  <c r="AP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D80" i="1"/>
  <c r="CE80" i="1"/>
  <c r="CF80" i="1"/>
  <c r="CG80" i="1"/>
  <c r="CH80" i="1"/>
  <c r="CI80" i="1"/>
  <c r="CJ80" i="1"/>
  <c r="CK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E80" i="1"/>
  <c r="DH80" i="1"/>
  <c r="DK80" i="1"/>
  <c r="DL80" i="1"/>
  <c r="DM80" i="1"/>
  <c r="DN80" i="1"/>
  <c r="DP80" i="1"/>
  <c r="DS80" i="1"/>
  <c r="DV80" i="1"/>
  <c r="DX80" i="1"/>
  <c r="DY80" i="1"/>
  <c r="EA80" i="1"/>
  <c r="EB80" i="1"/>
  <c r="EC80" i="1"/>
  <c r="ED80" i="1"/>
  <c r="EE80" i="1"/>
  <c r="EF80" i="1"/>
  <c r="EG80" i="1"/>
  <c r="EH80" i="1"/>
  <c r="EI80" i="1"/>
  <c r="EJ80" i="1"/>
  <c r="EK80" i="1"/>
  <c r="EX80" i="1"/>
  <c r="EY80" i="1"/>
  <c r="EZ80" i="1"/>
  <c r="FA80" i="1"/>
  <c r="FB80" i="1"/>
  <c r="FD80" i="1"/>
  <c r="FE80" i="1"/>
  <c r="FF80" i="1"/>
  <c r="FG80" i="1"/>
  <c r="FH80" i="1"/>
  <c r="FI80" i="1"/>
  <c r="FJ80" i="1"/>
  <c r="FK80" i="1"/>
  <c r="FL80" i="1"/>
  <c r="FO80" i="1"/>
  <c r="FP80" i="1"/>
  <c r="FQ80" i="1"/>
  <c r="FR80" i="1"/>
  <c r="FS80" i="1"/>
  <c r="FT80" i="1"/>
  <c r="FU80" i="1"/>
  <c r="FV80" i="1"/>
  <c r="FW80" i="1"/>
  <c r="FX80" i="1"/>
  <c r="FY80" i="1"/>
  <c r="FZ80" i="1"/>
  <c r="GA80" i="1"/>
  <c r="GB80" i="1"/>
  <c r="GC80" i="1"/>
  <c r="GD80" i="1"/>
  <c r="GE80" i="1"/>
  <c r="GF80" i="1"/>
  <c r="GG80" i="1"/>
  <c r="GH80" i="1"/>
  <c r="GI80" i="1"/>
  <c r="GJ80" i="1"/>
  <c r="GK80" i="1"/>
  <c r="GL80" i="1"/>
  <c r="GM80" i="1"/>
  <c r="GN80" i="1"/>
  <c r="GO80" i="1"/>
  <c r="GP80" i="1"/>
  <c r="GQ80" i="1"/>
  <c r="GR80" i="1"/>
  <c r="GS80" i="1"/>
  <c r="GT80" i="1"/>
  <c r="GU80" i="1"/>
  <c r="GV80" i="1"/>
  <c r="GW80" i="1"/>
  <c r="GX80" i="1"/>
  <c r="GY80" i="1"/>
  <c r="GZ80" i="1"/>
  <c r="HA80" i="1"/>
  <c r="HB80" i="1"/>
  <c r="HC80" i="1"/>
  <c r="HD80" i="1"/>
  <c r="HE80" i="1"/>
  <c r="HF80" i="1"/>
  <c r="HG80" i="1"/>
  <c r="HH80" i="1"/>
  <c r="HI80" i="1"/>
  <c r="HJ80" i="1"/>
  <c r="HK80" i="1"/>
  <c r="HL80" i="1"/>
  <c r="HM80" i="1"/>
  <c r="HN80" i="1"/>
  <c r="HO80" i="1"/>
  <c r="HP80" i="1"/>
  <c r="HQ80" i="1"/>
  <c r="HR80" i="1"/>
  <c r="HS80" i="1"/>
  <c r="HT80" i="1"/>
  <c r="HU80" i="1"/>
  <c r="HV80" i="1"/>
  <c r="HW80" i="1"/>
  <c r="HX80" i="1"/>
  <c r="HY80" i="1"/>
  <c r="HZ80" i="1"/>
  <c r="IA80" i="1"/>
  <c r="IB80" i="1"/>
  <c r="IC80" i="1"/>
  <c r="ID80" i="1"/>
  <c r="IE80" i="1"/>
  <c r="IF80" i="1"/>
  <c r="IG80" i="1"/>
  <c r="IH80" i="1"/>
  <c r="H81" i="1"/>
  <c r="I81" i="1"/>
  <c r="L81" i="1"/>
  <c r="O81" i="1"/>
  <c r="R81" i="1"/>
  <c r="S81" i="1"/>
  <c r="T81" i="1"/>
  <c r="U81" i="1"/>
  <c r="W81" i="1"/>
  <c r="X81" i="1"/>
  <c r="Y81" i="1"/>
  <c r="Z81" i="1"/>
  <c r="AA81" i="1"/>
  <c r="AB81" i="1"/>
  <c r="AP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D81" i="1"/>
  <c r="CE81" i="1"/>
  <c r="CF81" i="1"/>
  <c r="CG81" i="1"/>
  <c r="CH81" i="1"/>
  <c r="CI81" i="1"/>
  <c r="CJ81" i="1"/>
  <c r="CK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E81" i="1"/>
  <c r="DH81" i="1"/>
  <c r="DK81" i="1"/>
  <c r="DL81" i="1"/>
  <c r="DM81" i="1"/>
  <c r="DN81" i="1"/>
  <c r="DP81" i="1"/>
  <c r="DS81" i="1"/>
  <c r="DV81" i="1"/>
  <c r="DX81" i="1"/>
  <c r="DY81" i="1"/>
  <c r="EA81" i="1"/>
  <c r="EB81" i="1"/>
  <c r="EC81" i="1"/>
  <c r="ED81" i="1"/>
  <c r="EE81" i="1"/>
  <c r="EF81" i="1"/>
  <c r="EG81" i="1"/>
  <c r="EH81" i="1"/>
  <c r="EI81" i="1"/>
  <c r="EJ81" i="1"/>
  <c r="EK81" i="1"/>
  <c r="EX81" i="1"/>
  <c r="EY81" i="1"/>
  <c r="EZ81" i="1"/>
  <c r="FA81" i="1"/>
  <c r="FB81" i="1"/>
  <c r="FD81" i="1"/>
  <c r="FE81" i="1"/>
  <c r="FF81" i="1"/>
  <c r="FG81" i="1"/>
  <c r="FH81" i="1"/>
  <c r="FI81" i="1"/>
  <c r="FJ81" i="1"/>
  <c r="FK81" i="1"/>
  <c r="FL81" i="1"/>
  <c r="FO81" i="1"/>
  <c r="FP81" i="1"/>
  <c r="FQ81" i="1"/>
  <c r="FR81" i="1"/>
  <c r="FS81" i="1"/>
  <c r="FT81" i="1"/>
  <c r="FU81" i="1"/>
  <c r="FV81" i="1"/>
  <c r="FW81" i="1"/>
  <c r="FX81" i="1"/>
  <c r="FY81" i="1"/>
  <c r="FZ81" i="1"/>
  <c r="GA81" i="1"/>
  <c r="GB81" i="1"/>
  <c r="GC81" i="1"/>
  <c r="GD81" i="1"/>
  <c r="GE81" i="1"/>
  <c r="GF81" i="1"/>
  <c r="GG81" i="1"/>
  <c r="GH81" i="1"/>
  <c r="GI81" i="1"/>
  <c r="GJ81" i="1"/>
  <c r="GK81" i="1"/>
  <c r="GL81" i="1"/>
  <c r="GM81" i="1"/>
  <c r="GN81" i="1"/>
  <c r="GO81" i="1"/>
  <c r="GP81" i="1"/>
  <c r="GQ81" i="1"/>
  <c r="GR81" i="1"/>
  <c r="GS81" i="1"/>
  <c r="GT81" i="1"/>
  <c r="GU81" i="1"/>
  <c r="GV81" i="1"/>
  <c r="GW81" i="1"/>
  <c r="GX81" i="1"/>
  <c r="GY81" i="1"/>
  <c r="GZ81" i="1"/>
  <c r="HA81" i="1"/>
  <c r="HB81" i="1"/>
  <c r="HC81" i="1"/>
  <c r="HD81" i="1"/>
  <c r="HE81" i="1"/>
  <c r="HF81" i="1"/>
  <c r="HG81" i="1"/>
  <c r="HH81" i="1"/>
  <c r="HI81" i="1"/>
  <c r="HJ81" i="1"/>
  <c r="HK81" i="1"/>
  <c r="HL81" i="1"/>
  <c r="HM81" i="1"/>
  <c r="HN81" i="1"/>
  <c r="HO81" i="1"/>
  <c r="HP81" i="1"/>
  <c r="HQ81" i="1"/>
  <c r="HR81" i="1"/>
  <c r="HS81" i="1"/>
  <c r="HT81" i="1"/>
  <c r="HU81" i="1"/>
  <c r="HV81" i="1"/>
  <c r="HW81" i="1"/>
  <c r="HX81" i="1"/>
  <c r="HY81" i="1"/>
  <c r="HZ81" i="1"/>
  <c r="IA81" i="1"/>
  <c r="IB81" i="1"/>
  <c r="IC81" i="1"/>
  <c r="ID81" i="1"/>
  <c r="IE81" i="1"/>
  <c r="IF81" i="1"/>
  <c r="IG81" i="1"/>
  <c r="IH81" i="1"/>
  <c r="H82" i="1"/>
  <c r="I82" i="1"/>
  <c r="L82" i="1"/>
  <c r="O82" i="1"/>
  <c r="R82" i="1"/>
  <c r="S82" i="1"/>
  <c r="T82" i="1"/>
  <c r="U82" i="1"/>
  <c r="W82" i="1"/>
  <c r="X82" i="1"/>
  <c r="Y82" i="1"/>
  <c r="Z82" i="1"/>
  <c r="AA82" i="1"/>
  <c r="AB82" i="1"/>
  <c r="AP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D82" i="1"/>
  <c r="CE82" i="1"/>
  <c r="CF82" i="1"/>
  <c r="CG82" i="1"/>
  <c r="CH82" i="1"/>
  <c r="CI82" i="1"/>
  <c r="CJ82" i="1"/>
  <c r="CK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E82" i="1"/>
  <c r="DH82" i="1"/>
  <c r="DK82" i="1"/>
  <c r="DL82" i="1"/>
  <c r="DM82" i="1"/>
  <c r="DN82" i="1"/>
  <c r="DP82" i="1"/>
  <c r="DS82" i="1"/>
  <c r="DV82" i="1"/>
  <c r="DX82" i="1"/>
  <c r="DY82" i="1"/>
  <c r="EA82" i="1"/>
  <c r="EB82" i="1"/>
  <c r="EC82" i="1"/>
  <c r="ED82" i="1"/>
  <c r="EE82" i="1"/>
  <c r="EF82" i="1"/>
  <c r="EG82" i="1"/>
  <c r="EH82" i="1"/>
  <c r="EI82" i="1"/>
  <c r="EJ82" i="1"/>
  <c r="EK82" i="1"/>
  <c r="EX82" i="1"/>
  <c r="EY82" i="1"/>
  <c r="EZ82" i="1"/>
  <c r="FA82" i="1"/>
  <c r="FB82" i="1"/>
  <c r="FD82" i="1"/>
  <c r="FE82" i="1"/>
  <c r="FF82" i="1"/>
  <c r="FG82" i="1"/>
  <c r="FH82" i="1"/>
  <c r="FI82" i="1"/>
  <c r="FJ82" i="1"/>
  <c r="FK82" i="1"/>
  <c r="FL82" i="1"/>
  <c r="FO82" i="1"/>
  <c r="FP82" i="1"/>
  <c r="FQ82" i="1"/>
  <c r="FR82" i="1"/>
  <c r="FS82" i="1"/>
  <c r="FT82" i="1"/>
  <c r="FU82" i="1"/>
  <c r="FV82" i="1"/>
  <c r="FW82" i="1"/>
  <c r="FX82" i="1"/>
  <c r="FY82" i="1"/>
  <c r="FZ82" i="1"/>
  <c r="GA82" i="1"/>
  <c r="GB82" i="1"/>
  <c r="GC82" i="1"/>
  <c r="GD82" i="1"/>
  <c r="GE82" i="1"/>
  <c r="GF82" i="1"/>
  <c r="GG82" i="1"/>
  <c r="GH82" i="1"/>
  <c r="GI82" i="1"/>
  <c r="GJ82" i="1"/>
  <c r="GK82" i="1"/>
  <c r="GL82" i="1"/>
  <c r="GM82" i="1"/>
  <c r="GN82" i="1"/>
  <c r="GO82" i="1"/>
  <c r="GP82" i="1"/>
  <c r="GQ82" i="1"/>
  <c r="GR82" i="1"/>
  <c r="GS82" i="1"/>
  <c r="GT82" i="1"/>
  <c r="GU82" i="1"/>
  <c r="GV82" i="1"/>
  <c r="GW82" i="1"/>
  <c r="GX82" i="1"/>
  <c r="GY82" i="1"/>
  <c r="GZ82" i="1"/>
  <c r="HA82" i="1"/>
  <c r="HB82" i="1"/>
  <c r="HC82" i="1"/>
  <c r="HD82" i="1"/>
  <c r="HE82" i="1"/>
  <c r="HF82" i="1"/>
  <c r="HG82" i="1"/>
  <c r="HH82" i="1"/>
  <c r="HI82" i="1"/>
  <c r="HJ82" i="1"/>
  <c r="HK82" i="1"/>
  <c r="HL82" i="1"/>
  <c r="HM82" i="1"/>
  <c r="HN82" i="1"/>
  <c r="HO82" i="1"/>
  <c r="HP82" i="1"/>
  <c r="HQ82" i="1"/>
  <c r="HR82" i="1"/>
  <c r="HS82" i="1"/>
  <c r="HT82" i="1"/>
  <c r="HU82" i="1"/>
  <c r="HV82" i="1"/>
  <c r="HW82" i="1"/>
  <c r="HX82" i="1"/>
  <c r="HY82" i="1"/>
  <c r="HZ82" i="1"/>
  <c r="IA82" i="1"/>
  <c r="IB82" i="1"/>
  <c r="IC82" i="1"/>
  <c r="ID82" i="1"/>
  <c r="IE82" i="1"/>
  <c r="IF82" i="1"/>
  <c r="IG82" i="1"/>
  <c r="IH82" i="1"/>
  <c r="H83" i="1"/>
  <c r="I83" i="1"/>
  <c r="L83" i="1"/>
  <c r="O83" i="1"/>
  <c r="R83" i="1"/>
  <c r="S83" i="1"/>
  <c r="T83" i="1"/>
  <c r="U83" i="1"/>
  <c r="W83" i="1"/>
  <c r="X83" i="1"/>
  <c r="Y83" i="1"/>
  <c r="Z83" i="1"/>
  <c r="AA83" i="1"/>
  <c r="AB83" i="1"/>
  <c r="AP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D83" i="1"/>
  <c r="CE83" i="1"/>
  <c r="CF83" i="1"/>
  <c r="CG83" i="1"/>
  <c r="CH83" i="1"/>
  <c r="CI83" i="1"/>
  <c r="CJ83" i="1"/>
  <c r="CK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E83" i="1"/>
  <c r="DH83" i="1"/>
  <c r="DK83" i="1"/>
  <c r="DL83" i="1"/>
  <c r="DM83" i="1"/>
  <c r="DN83" i="1"/>
  <c r="DP83" i="1"/>
  <c r="DS83" i="1"/>
  <c r="DV83" i="1"/>
  <c r="DX83" i="1"/>
  <c r="DY83" i="1"/>
  <c r="EA83" i="1"/>
  <c r="EB83" i="1"/>
  <c r="EC83" i="1"/>
  <c r="ED83" i="1"/>
  <c r="EE83" i="1"/>
  <c r="EF83" i="1"/>
  <c r="EG83" i="1"/>
  <c r="EH83" i="1"/>
  <c r="EI83" i="1"/>
  <c r="EJ83" i="1"/>
  <c r="EK83" i="1"/>
  <c r="EX83" i="1"/>
  <c r="EY83" i="1"/>
  <c r="EZ83" i="1"/>
  <c r="FA83" i="1"/>
  <c r="FB83" i="1"/>
  <c r="FD83" i="1"/>
  <c r="FE83" i="1"/>
  <c r="FF83" i="1"/>
  <c r="FG83" i="1"/>
  <c r="FH83" i="1"/>
  <c r="FI83" i="1"/>
  <c r="FJ83" i="1"/>
  <c r="FK83" i="1"/>
  <c r="FL83" i="1"/>
  <c r="FO83" i="1"/>
  <c r="FP83" i="1"/>
  <c r="FQ83" i="1"/>
  <c r="FR83" i="1"/>
  <c r="FS83" i="1"/>
  <c r="FT83" i="1"/>
  <c r="FU83" i="1"/>
  <c r="FV83" i="1"/>
  <c r="FW83" i="1"/>
  <c r="FX83" i="1"/>
  <c r="FY83" i="1"/>
  <c r="FZ83" i="1"/>
  <c r="GA83" i="1"/>
  <c r="GB83" i="1"/>
  <c r="GC83" i="1"/>
  <c r="GD83" i="1"/>
  <c r="GE83" i="1"/>
  <c r="GF83" i="1"/>
  <c r="GG83" i="1"/>
  <c r="GH83" i="1"/>
  <c r="GI83" i="1"/>
  <c r="GJ83" i="1"/>
  <c r="GK83" i="1"/>
  <c r="GL83" i="1"/>
  <c r="GM83" i="1"/>
  <c r="GN83" i="1"/>
  <c r="GO83" i="1"/>
  <c r="GP83" i="1"/>
  <c r="GQ83" i="1"/>
  <c r="GR83" i="1"/>
  <c r="GS83" i="1"/>
  <c r="GT83" i="1"/>
  <c r="GU83" i="1"/>
  <c r="GV83" i="1"/>
  <c r="GW83" i="1"/>
  <c r="GX83" i="1"/>
  <c r="GY83" i="1"/>
  <c r="GZ83" i="1"/>
  <c r="HA83" i="1"/>
  <c r="HB83" i="1"/>
  <c r="HC83" i="1"/>
  <c r="HD83" i="1"/>
  <c r="HE83" i="1"/>
  <c r="HF83" i="1"/>
  <c r="HG83" i="1"/>
  <c r="HH83" i="1"/>
  <c r="HI83" i="1"/>
  <c r="HJ83" i="1"/>
  <c r="HK83" i="1"/>
  <c r="HL83" i="1"/>
  <c r="HM83" i="1"/>
  <c r="HN83" i="1"/>
  <c r="HO83" i="1"/>
  <c r="HP83" i="1"/>
  <c r="HQ83" i="1"/>
  <c r="HR83" i="1"/>
  <c r="HS83" i="1"/>
  <c r="HT83" i="1"/>
  <c r="HU83" i="1"/>
  <c r="HV83" i="1"/>
  <c r="HW83" i="1"/>
  <c r="HX83" i="1"/>
  <c r="HY83" i="1"/>
  <c r="HZ83" i="1"/>
  <c r="IA83" i="1"/>
  <c r="IB83" i="1"/>
  <c r="IC83" i="1"/>
  <c r="ID83" i="1"/>
  <c r="IE83" i="1"/>
  <c r="IF83" i="1"/>
  <c r="IG83" i="1"/>
  <c r="IH83" i="1"/>
  <c r="H84" i="1"/>
  <c r="I84" i="1"/>
  <c r="L84" i="1"/>
  <c r="O84" i="1"/>
  <c r="R84" i="1"/>
  <c r="S84" i="1"/>
  <c r="T84" i="1"/>
  <c r="U84" i="1"/>
  <c r="W84" i="1"/>
  <c r="X84" i="1"/>
  <c r="Y84" i="1"/>
  <c r="Z84" i="1"/>
  <c r="AA84" i="1"/>
  <c r="AB84" i="1"/>
  <c r="AP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D84" i="1"/>
  <c r="CE84" i="1"/>
  <c r="CF84" i="1"/>
  <c r="CG84" i="1"/>
  <c r="CH84" i="1"/>
  <c r="CI84" i="1"/>
  <c r="CJ84" i="1"/>
  <c r="CK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E84" i="1"/>
  <c r="DH84" i="1"/>
  <c r="DK84" i="1"/>
  <c r="DL84" i="1"/>
  <c r="DM84" i="1"/>
  <c r="DN84" i="1"/>
  <c r="DP84" i="1"/>
  <c r="DS84" i="1"/>
  <c r="DV84" i="1"/>
  <c r="DX84" i="1"/>
  <c r="DY84" i="1"/>
  <c r="EA84" i="1"/>
  <c r="EB84" i="1"/>
  <c r="EC84" i="1"/>
  <c r="ED84" i="1"/>
  <c r="EE84" i="1"/>
  <c r="EF84" i="1"/>
  <c r="EG84" i="1"/>
  <c r="EH84" i="1"/>
  <c r="EI84" i="1"/>
  <c r="EJ84" i="1"/>
  <c r="EK84" i="1"/>
  <c r="EX84" i="1"/>
  <c r="EY84" i="1"/>
  <c r="EZ84" i="1"/>
  <c r="FA84" i="1"/>
  <c r="FB84" i="1"/>
  <c r="FD84" i="1"/>
  <c r="FE84" i="1"/>
  <c r="FF84" i="1"/>
  <c r="FG84" i="1"/>
  <c r="FH84" i="1"/>
  <c r="FI84" i="1"/>
  <c r="FJ84" i="1"/>
  <c r="FK84" i="1"/>
  <c r="FL84" i="1"/>
  <c r="FO84" i="1"/>
  <c r="FP84" i="1"/>
  <c r="FQ84" i="1"/>
  <c r="FR84" i="1"/>
  <c r="FS84" i="1"/>
  <c r="FT84" i="1"/>
  <c r="FU84" i="1"/>
  <c r="FV84" i="1"/>
  <c r="FW84" i="1"/>
  <c r="FX84" i="1"/>
  <c r="FY84" i="1"/>
  <c r="FZ84" i="1"/>
  <c r="GA84" i="1"/>
  <c r="GB84" i="1"/>
  <c r="GC84" i="1"/>
  <c r="GD84" i="1"/>
  <c r="GE84" i="1"/>
  <c r="GF84" i="1"/>
  <c r="GG84" i="1"/>
  <c r="GH84" i="1"/>
  <c r="GI84" i="1"/>
  <c r="GJ84" i="1"/>
  <c r="GK84" i="1"/>
  <c r="GL84" i="1"/>
  <c r="GM84" i="1"/>
  <c r="GN84" i="1"/>
  <c r="GO84" i="1"/>
  <c r="GP84" i="1"/>
  <c r="GQ84" i="1"/>
  <c r="GR84" i="1"/>
  <c r="GS84" i="1"/>
  <c r="GT84" i="1"/>
  <c r="GU84" i="1"/>
  <c r="GV84" i="1"/>
  <c r="GW84" i="1"/>
  <c r="GX84" i="1"/>
  <c r="GY84" i="1"/>
  <c r="GZ84" i="1"/>
  <c r="HA84" i="1"/>
  <c r="HB84" i="1"/>
  <c r="HC84" i="1"/>
  <c r="HD84" i="1"/>
  <c r="HE84" i="1"/>
  <c r="HF84" i="1"/>
  <c r="HG84" i="1"/>
  <c r="HH84" i="1"/>
  <c r="HI84" i="1"/>
  <c r="HJ84" i="1"/>
  <c r="HK84" i="1"/>
  <c r="HL84" i="1"/>
  <c r="HM84" i="1"/>
  <c r="HN84" i="1"/>
  <c r="HO84" i="1"/>
  <c r="HP84" i="1"/>
  <c r="HQ84" i="1"/>
  <c r="HR84" i="1"/>
  <c r="HS84" i="1"/>
  <c r="HT84" i="1"/>
  <c r="HU84" i="1"/>
  <c r="HV84" i="1"/>
  <c r="HW84" i="1"/>
  <c r="HX84" i="1"/>
  <c r="HY84" i="1"/>
  <c r="HZ84" i="1"/>
  <c r="IA84" i="1"/>
  <c r="IB84" i="1"/>
  <c r="IC84" i="1"/>
  <c r="ID84" i="1"/>
  <c r="IE84" i="1"/>
  <c r="IF84" i="1"/>
  <c r="IG84" i="1"/>
  <c r="IH84" i="1"/>
  <c r="H85" i="1"/>
  <c r="I85" i="1"/>
  <c r="L85" i="1"/>
  <c r="O85" i="1"/>
  <c r="R85" i="1"/>
  <c r="S85" i="1"/>
  <c r="T85" i="1"/>
  <c r="U85" i="1"/>
  <c r="W85" i="1"/>
  <c r="X85" i="1"/>
  <c r="Y85" i="1"/>
  <c r="Z85" i="1"/>
  <c r="AA85" i="1"/>
  <c r="AB85" i="1"/>
  <c r="AP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D85" i="1"/>
  <c r="CE85" i="1"/>
  <c r="CF85" i="1"/>
  <c r="CG85" i="1"/>
  <c r="CH85" i="1"/>
  <c r="CI85" i="1"/>
  <c r="CJ85" i="1"/>
  <c r="CK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E85" i="1"/>
  <c r="DH85" i="1"/>
  <c r="DK85" i="1"/>
  <c r="DL85" i="1"/>
  <c r="DM85" i="1"/>
  <c r="DN85" i="1"/>
  <c r="DP85" i="1"/>
  <c r="DS85" i="1"/>
  <c r="DV85" i="1"/>
  <c r="DX85" i="1"/>
  <c r="DY85" i="1"/>
  <c r="EA85" i="1"/>
  <c r="EB85" i="1"/>
  <c r="EC85" i="1"/>
  <c r="ED85" i="1"/>
  <c r="EE85" i="1"/>
  <c r="EF85" i="1"/>
  <c r="EG85" i="1"/>
  <c r="EH85" i="1"/>
  <c r="EI85" i="1"/>
  <c r="EJ85" i="1"/>
  <c r="EK85" i="1"/>
  <c r="EX85" i="1"/>
  <c r="EY85" i="1"/>
  <c r="EZ85" i="1"/>
  <c r="FA85" i="1"/>
  <c r="FB85" i="1"/>
  <c r="FD85" i="1"/>
  <c r="FE85" i="1"/>
  <c r="FF85" i="1"/>
  <c r="FG85" i="1"/>
  <c r="FH85" i="1"/>
  <c r="FI85" i="1"/>
  <c r="FJ85" i="1"/>
  <c r="FK85" i="1"/>
  <c r="FL85" i="1"/>
  <c r="FO85" i="1"/>
  <c r="FP85" i="1"/>
  <c r="FQ85" i="1"/>
  <c r="FR85" i="1"/>
  <c r="FS85" i="1"/>
  <c r="FT85" i="1"/>
  <c r="FU85" i="1"/>
  <c r="FV85" i="1"/>
  <c r="FW85" i="1"/>
  <c r="FX85" i="1"/>
  <c r="FY85" i="1"/>
  <c r="FZ85" i="1"/>
  <c r="GA85" i="1"/>
  <c r="GB85" i="1"/>
  <c r="GC85" i="1"/>
  <c r="GD85" i="1"/>
  <c r="GE85" i="1"/>
  <c r="GF85" i="1"/>
  <c r="GG85" i="1"/>
  <c r="GH85" i="1"/>
  <c r="GI85" i="1"/>
  <c r="GJ85" i="1"/>
  <c r="GK85" i="1"/>
  <c r="GL85" i="1"/>
  <c r="GM85" i="1"/>
  <c r="GN85" i="1"/>
  <c r="GO85" i="1"/>
  <c r="GP85" i="1"/>
  <c r="GQ85" i="1"/>
  <c r="GR85" i="1"/>
  <c r="GS85" i="1"/>
  <c r="GT85" i="1"/>
  <c r="GU85" i="1"/>
  <c r="GV85" i="1"/>
  <c r="GW85" i="1"/>
  <c r="GX85" i="1"/>
  <c r="GY85" i="1"/>
  <c r="GZ85" i="1"/>
  <c r="HA85" i="1"/>
  <c r="HB85" i="1"/>
  <c r="HC85" i="1"/>
  <c r="HD85" i="1"/>
  <c r="HE85" i="1"/>
  <c r="HF85" i="1"/>
  <c r="HG85" i="1"/>
  <c r="HH85" i="1"/>
  <c r="HI85" i="1"/>
  <c r="HJ85" i="1"/>
  <c r="HK85" i="1"/>
  <c r="HL85" i="1"/>
  <c r="HM85" i="1"/>
  <c r="HN85" i="1"/>
  <c r="HO85" i="1"/>
  <c r="HP85" i="1"/>
  <c r="HQ85" i="1"/>
  <c r="HR85" i="1"/>
  <c r="HS85" i="1"/>
  <c r="HT85" i="1"/>
  <c r="HU85" i="1"/>
  <c r="HV85" i="1"/>
  <c r="HW85" i="1"/>
  <c r="HX85" i="1"/>
  <c r="HY85" i="1"/>
  <c r="HZ85" i="1"/>
  <c r="IA85" i="1"/>
  <c r="IB85" i="1"/>
  <c r="IC85" i="1"/>
  <c r="ID85" i="1"/>
  <c r="IE85" i="1"/>
  <c r="IF85" i="1"/>
  <c r="IG85" i="1"/>
  <c r="IH85" i="1"/>
  <c r="H86" i="1"/>
  <c r="I86" i="1"/>
  <c r="L86" i="1"/>
  <c r="O86" i="1"/>
  <c r="R86" i="1"/>
  <c r="S86" i="1"/>
  <c r="T86" i="1"/>
  <c r="U86" i="1"/>
  <c r="W86" i="1"/>
  <c r="X86" i="1"/>
  <c r="Y86" i="1"/>
  <c r="Z86" i="1"/>
  <c r="AA86" i="1"/>
  <c r="AB86" i="1"/>
  <c r="AP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D86" i="1"/>
  <c r="CE86" i="1"/>
  <c r="CF86" i="1"/>
  <c r="CG86" i="1"/>
  <c r="CH86" i="1"/>
  <c r="CI86" i="1"/>
  <c r="CJ86" i="1"/>
  <c r="CK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E86" i="1"/>
  <c r="DH86" i="1"/>
  <c r="DK86" i="1"/>
  <c r="DL86" i="1"/>
  <c r="DM86" i="1"/>
  <c r="DN86" i="1"/>
  <c r="DP86" i="1"/>
  <c r="DS86" i="1"/>
  <c r="DV86" i="1"/>
  <c r="DX86" i="1"/>
  <c r="DY86" i="1"/>
  <c r="EA86" i="1"/>
  <c r="EB86" i="1"/>
  <c r="EC86" i="1"/>
  <c r="ED86" i="1"/>
  <c r="EE86" i="1"/>
  <c r="EF86" i="1"/>
  <c r="EG86" i="1"/>
  <c r="EH86" i="1"/>
  <c r="EI86" i="1"/>
  <c r="EJ86" i="1"/>
  <c r="EK86" i="1"/>
  <c r="EX86" i="1"/>
  <c r="EY86" i="1"/>
  <c r="EZ86" i="1"/>
  <c r="FA86" i="1"/>
  <c r="FB86" i="1"/>
  <c r="FD86" i="1"/>
  <c r="FE86" i="1"/>
  <c r="FF86" i="1"/>
  <c r="FG86" i="1"/>
  <c r="FH86" i="1"/>
  <c r="FI86" i="1"/>
  <c r="FJ86" i="1"/>
  <c r="FK86" i="1"/>
  <c r="FL86" i="1"/>
  <c r="FO86" i="1"/>
  <c r="FP86" i="1"/>
  <c r="FQ86" i="1"/>
  <c r="FR86" i="1"/>
  <c r="FS86" i="1"/>
  <c r="FT86" i="1"/>
  <c r="FU86" i="1"/>
  <c r="FV86" i="1"/>
  <c r="FW86" i="1"/>
  <c r="FX86" i="1"/>
  <c r="FY86" i="1"/>
  <c r="FZ86" i="1"/>
  <c r="GA86" i="1"/>
  <c r="GB86" i="1"/>
  <c r="GC86" i="1"/>
  <c r="GD86" i="1"/>
  <c r="GE86" i="1"/>
  <c r="GF86" i="1"/>
  <c r="GG86" i="1"/>
  <c r="GH86" i="1"/>
  <c r="GI86" i="1"/>
  <c r="GJ86" i="1"/>
  <c r="GK86" i="1"/>
  <c r="GL86" i="1"/>
  <c r="GM86" i="1"/>
  <c r="GN86" i="1"/>
  <c r="GO86" i="1"/>
  <c r="GP86" i="1"/>
  <c r="GQ86" i="1"/>
  <c r="GR86" i="1"/>
  <c r="GS86" i="1"/>
  <c r="GT86" i="1"/>
  <c r="GU86" i="1"/>
  <c r="GV86" i="1"/>
  <c r="GW86" i="1"/>
  <c r="GX86" i="1"/>
  <c r="GY86" i="1"/>
  <c r="GZ86" i="1"/>
  <c r="HA86" i="1"/>
  <c r="HB86" i="1"/>
  <c r="HC86" i="1"/>
  <c r="HD86" i="1"/>
  <c r="HE86" i="1"/>
  <c r="HF86" i="1"/>
  <c r="HG86" i="1"/>
  <c r="HH86" i="1"/>
  <c r="HI86" i="1"/>
  <c r="HJ86" i="1"/>
  <c r="HK86" i="1"/>
  <c r="HL86" i="1"/>
  <c r="HM86" i="1"/>
  <c r="HN86" i="1"/>
  <c r="HO86" i="1"/>
  <c r="HP86" i="1"/>
  <c r="HQ86" i="1"/>
  <c r="HR86" i="1"/>
  <c r="HS86" i="1"/>
  <c r="HT86" i="1"/>
  <c r="HU86" i="1"/>
  <c r="HV86" i="1"/>
  <c r="HW86" i="1"/>
  <c r="HX86" i="1"/>
  <c r="HY86" i="1"/>
  <c r="HZ86" i="1"/>
  <c r="IA86" i="1"/>
  <c r="IB86" i="1"/>
  <c r="IC86" i="1"/>
  <c r="ID86" i="1"/>
  <c r="IE86" i="1"/>
  <c r="IF86" i="1"/>
  <c r="IG86" i="1"/>
  <c r="IH86" i="1"/>
  <c r="H87" i="1"/>
  <c r="I87" i="1"/>
  <c r="L87" i="1"/>
  <c r="O87" i="1"/>
  <c r="R87" i="1"/>
  <c r="S87" i="1"/>
  <c r="T87" i="1"/>
  <c r="U87" i="1"/>
  <c r="W87" i="1"/>
  <c r="X87" i="1"/>
  <c r="Y87" i="1"/>
  <c r="Z87" i="1"/>
  <c r="AA87" i="1"/>
  <c r="AB87" i="1"/>
  <c r="AP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D87" i="1"/>
  <c r="CE87" i="1"/>
  <c r="CF87" i="1"/>
  <c r="CG87" i="1"/>
  <c r="CH87" i="1"/>
  <c r="CI87" i="1"/>
  <c r="CJ87" i="1"/>
  <c r="CK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E87" i="1"/>
  <c r="DH87" i="1"/>
  <c r="DK87" i="1"/>
  <c r="DL87" i="1"/>
  <c r="DM87" i="1"/>
  <c r="DN87" i="1"/>
  <c r="DP87" i="1"/>
  <c r="DS87" i="1"/>
  <c r="DV87" i="1"/>
  <c r="DX87" i="1"/>
  <c r="DY87" i="1"/>
  <c r="EA87" i="1"/>
  <c r="EB87" i="1"/>
  <c r="EC87" i="1"/>
  <c r="ED87" i="1"/>
  <c r="EE87" i="1"/>
  <c r="EF87" i="1"/>
  <c r="EG87" i="1"/>
  <c r="EH87" i="1"/>
  <c r="EI87" i="1"/>
  <c r="EJ87" i="1"/>
  <c r="EK87" i="1"/>
  <c r="EX87" i="1"/>
  <c r="EY87" i="1"/>
  <c r="EZ87" i="1"/>
  <c r="FA87" i="1"/>
  <c r="FB87" i="1"/>
  <c r="FD87" i="1"/>
  <c r="FE87" i="1"/>
  <c r="FF87" i="1"/>
  <c r="FG87" i="1"/>
  <c r="FH87" i="1"/>
  <c r="FI87" i="1"/>
  <c r="FJ87" i="1"/>
  <c r="FK87" i="1"/>
  <c r="FL87" i="1"/>
  <c r="FO87" i="1"/>
  <c r="FP87" i="1"/>
  <c r="FQ87" i="1"/>
  <c r="FR87" i="1"/>
  <c r="FS87" i="1"/>
  <c r="FT87" i="1"/>
  <c r="FU87" i="1"/>
  <c r="FV87" i="1"/>
  <c r="FW87" i="1"/>
  <c r="FX87" i="1"/>
  <c r="FY87" i="1"/>
  <c r="FZ87" i="1"/>
  <c r="GA87" i="1"/>
  <c r="GB87" i="1"/>
  <c r="GC87" i="1"/>
  <c r="GD87" i="1"/>
  <c r="GE87" i="1"/>
  <c r="GF87" i="1"/>
  <c r="GG87" i="1"/>
  <c r="GH87" i="1"/>
  <c r="GI87" i="1"/>
  <c r="GJ87" i="1"/>
  <c r="GK87" i="1"/>
  <c r="GL87" i="1"/>
  <c r="GM87" i="1"/>
  <c r="GN87" i="1"/>
  <c r="GO87" i="1"/>
  <c r="GP87" i="1"/>
  <c r="GQ87" i="1"/>
  <c r="GR87" i="1"/>
  <c r="GS87" i="1"/>
  <c r="GT87" i="1"/>
  <c r="GU87" i="1"/>
  <c r="GV87" i="1"/>
  <c r="GW87" i="1"/>
  <c r="GX87" i="1"/>
  <c r="GY87" i="1"/>
  <c r="GZ87" i="1"/>
  <c r="HA87" i="1"/>
  <c r="HB87" i="1"/>
  <c r="HC87" i="1"/>
  <c r="HD87" i="1"/>
  <c r="HE87" i="1"/>
  <c r="HF87" i="1"/>
  <c r="HG87" i="1"/>
  <c r="HH87" i="1"/>
  <c r="HI87" i="1"/>
  <c r="HJ87" i="1"/>
  <c r="HK87" i="1"/>
  <c r="HL87" i="1"/>
  <c r="HM87" i="1"/>
  <c r="HN87" i="1"/>
  <c r="HO87" i="1"/>
  <c r="HP87" i="1"/>
  <c r="HQ87" i="1"/>
  <c r="HR87" i="1"/>
  <c r="HS87" i="1"/>
  <c r="HT87" i="1"/>
  <c r="HU87" i="1"/>
  <c r="HV87" i="1"/>
  <c r="HW87" i="1"/>
  <c r="HX87" i="1"/>
  <c r="HY87" i="1"/>
  <c r="HZ87" i="1"/>
  <c r="IA87" i="1"/>
  <c r="IB87" i="1"/>
  <c r="IC87" i="1"/>
  <c r="ID87" i="1"/>
  <c r="IE87" i="1"/>
  <c r="IF87" i="1"/>
  <c r="IG87" i="1"/>
  <c r="IH87" i="1"/>
  <c r="H88" i="1"/>
  <c r="I88" i="1"/>
  <c r="L88" i="1"/>
  <c r="O88" i="1"/>
  <c r="R88" i="1"/>
  <c r="S88" i="1"/>
  <c r="T88" i="1"/>
  <c r="U88" i="1"/>
  <c r="W88" i="1"/>
  <c r="X88" i="1"/>
  <c r="Y88" i="1"/>
  <c r="Z88" i="1"/>
  <c r="AA88" i="1"/>
  <c r="AB88" i="1"/>
  <c r="AP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D88" i="1"/>
  <c r="CE88" i="1"/>
  <c r="CF88" i="1"/>
  <c r="CG88" i="1"/>
  <c r="CH88" i="1"/>
  <c r="CI88" i="1"/>
  <c r="CJ88" i="1"/>
  <c r="CK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E88" i="1"/>
  <c r="DH88" i="1"/>
  <c r="DK88" i="1"/>
  <c r="DL88" i="1"/>
  <c r="DM88" i="1"/>
  <c r="DN88" i="1"/>
  <c r="DP88" i="1"/>
  <c r="DS88" i="1"/>
  <c r="DV88" i="1"/>
  <c r="DX88" i="1"/>
  <c r="DY88" i="1"/>
  <c r="EA88" i="1"/>
  <c r="EB88" i="1"/>
  <c r="EC88" i="1"/>
  <c r="ED88" i="1"/>
  <c r="EE88" i="1"/>
  <c r="EF88" i="1"/>
  <c r="EG88" i="1"/>
  <c r="EH88" i="1"/>
  <c r="EI88" i="1"/>
  <c r="EJ88" i="1"/>
  <c r="EK88" i="1"/>
  <c r="EX88" i="1"/>
  <c r="EY88" i="1"/>
  <c r="EZ88" i="1"/>
  <c r="FA88" i="1"/>
  <c r="FB88" i="1"/>
  <c r="FD88" i="1"/>
  <c r="FE88" i="1"/>
  <c r="FF88" i="1"/>
  <c r="FG88" i="1"/>
  <c r="FH88" i="1"/>
  <c r="FI88" i="1"/>
  <c r="FJ88" i="1"/>
  <c r="FK88" i="1"/>
  <c r="FL88" i="1"/>
  <c r="FO88" i="1"/>
  <c r="FP88" i="1"/>
  <c r="FQ88" i="1"/>
  <c r="FR88" i="1"/>
  <c r="FS88" i="1"/>
  <c r="FT88" i="1"/>
  <c r="FU88" i="1"/>
  <c r="FV88" i="1"/>
  <c r="FW88" i="1"/>
  <c r="FX88" i="1"/>
  <c r="FY88" i="1"/>
  <c r="FZ88" i="1"/>
  <c r="GA88" i="1"/>
  <c r="GB88" i="1"/>
  <c r="GC88" i="1"/>
  <c r="GD88" i="1"/>
  <c r="GE88" i="1"/>
  <c r="GF88" i="1"/>
  <c r="GG88" i="1"/>
  <c r="GH88" i="1"/>
  <c r="GI88" i="1"/>
  <c r="GJ88" i="1"/>
  <c r="GK88" i="1"/>
  <c r="GL88" i="1"/>
  <c r="GM88" i="1"/>
  <c r="GN88" i="1"/>
  <c r="GO88" i="1"/>
  <c r="GP88" i="1"/>
  <c r="GQ88" i="1"/>
  <c r="GR88" i="1"/>
  <c r="GS88" i="1"/>
  <c r="GT88" i="1"/>
  <c r="GU88" i="1"/>
  <c r="GV88" i="1"/>
  <c r="GW88" i="1"/>
  <c r="GX88" i="1"/>
  <c r="GY88" i="1"/>
  <c r="GZ88" i="1"/>
  <c r="HA88" i="1"/>
  <c r="HB88" i="1"/>
  <c r="HC88" i="1"/>
  <c r="HD88" i="1"/>
  <c r="HE88" i="1"/>
  <c r="HF88" i="1"/>
  <c r="HG88" i="1"/>
  <c r="HH88" i="1"/>
  <c r="HI88" i="1"/>
  <c r="HJ88" i="1"/>
  <c r="HK88" i="1"/>
  <c r="HL88" i="1"/>
  <c r="HM88" i="1"/>
  <c r="HN88" i="1"/>
  <c r="HO88" i="1"/>
  <c r="HP88" i="1"/>
  <c r="HQ88" i="1"/>
  <c r="HR88" i="1"/>
  <c r="HS88" i="1"/>
  <c r="HT88" i="1"/>
  <c r="HU88" i="1"/>
  <c r="HV88" i="1"/>
  <c r="HW88" i="1"/>
  <c r="HX88" i="1"/>
  <c r="HY88" i="1"/>
  <c r="HZ88" i="1"/>
  <c r="IA88" i="1"/>
  <c r="IB88" i="1"/>
  <c r="IC88" i="1"/>
  <c r="ID88" i="1"/>
  <c r="IE88" i="1"/>
  <c r="IF88" i="1"/>
  <c r="IG88" i="1"/>
  <c r="IH88" i="1"/>
  <c r="H89" i="1"/>
  <c r="I89" i="1"/>
  <c r="L89" i="1"/>
  <c r="O89" i="1"/>
  <c r="R89" i="1"/>
  <c r="S89" i="1"/>
  <c r="T89" i="1"/>
  <c r="U89" i="1"/>
  <c r="W89" i="1"/>
  <c r="X89" i="1"/>
  <c r="Y89" i="1"/>
  <c r="Z89" i="1"/>
  <c r="AA89" i="1"/>
  <c r="AB89" i="1"/>
  <c r="AP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D89" i="1"/>
  <c r="CE89" i="1"/>
  <c r="CF89" i="1"/>
  <c r="CG89" i="1"/>
  <c r="CH89" i="1"/>
  <c r="CI89" i="1"/>
  <c r="CJ89" i="1"/>
  <c r="CK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E89" i="1"/>
  <c r="DH89" i="1"/>
  <c r="DK89" i="1"/>
  <c r="DL89" i="1"/>
  <c r="DM89" i="1"/>
  <c r="DN89" i="1"/>
  <c r="DP89" i="1"/>
  <c r="DS89" i="1"/>
  <c r="DV89" i="1"/>
  <c r="DX89" i="1"/>
  <c r="DY89" i="1"/>
  <c r="EA89" i="1"/>
  <c r="EB89" i="1"/>
  <c r="EC89" i="1"/>
  <c r="ED89" i="1"/>
  <c r="EE89" i="1"/>
  <c r="EF89" i="1"/>
  <c r="EG89" i="1"/>
  <c r="EH89" i="1"/>
  <c r="EI89" i="1"/>
  <c r="EJ89" i="1"/>
  <c r="EK89" i="1"/>
  <c r="EX89" i="1"/>
  <c r="EY89" i="1"/>
  <c r="EZ89" i="1"/>
  <c r="FA89" i="1"/>
  <c r="FB89" i="1"/>
  <c r="FD89" i="1"/>
  <c r="FE89" i="1"/>
  <c r="FF89" i="1"/>
  <c r="FG89" i="1"/>
  <c r="FH89" i="1"/>
  <c r="FI89" i="1"/>
  <c r="FJ89" i="1"/>
  <c r="FK89" i="1"/>
  <c r="FL89" i="1"/>
  <c r="FO89" i="1"/>
  <c r="FP89" i="1"/>
  <c r="FQ89" i="1"/>
  <c r="FR89" i="1"/>
  <c r="FS89" i="1"/>
  <c r="FT89" i="1"/>
  <c r="FU89" i="1"/>
  <c r="FV89" i="1"/>
  <c r="FW89" i="1"/>
  <c r="FX89" i="1"/>
  <c r="FY89" i="1"/>
  <c r="FZ89" i="1"/>
  <c r="GA89" i="1"/>
  <c r="GB89" i="1"/>
  <c r="GC89" i="1"/>
  <c r="GD89" i="1"/>
  <c r="GE89" i="1"/>
  <c r="GF89" i="1"/>
  <c r="GG89" i="1"/>
  <c r="GH89" i="1"/>
  <c r="GI89" i="1"/>
  <c r="GJ89" i="1"/>
  <c r="GK89" i="1"/>
  <c r="GL89" i="1"/>
  <c r="GM89" i="1"/>
  <c r="GN89" i="1"/>
  <c r="GO89" i="1"/>
  <c r="GP89" i="1"/>
  <c r="GQ89" i="1"/>
  <c r="GR89" i="1"/>
  <c r="GS89" i="1"/>
  <c r="GT89" i="1"/>
  <c r="GU89" i="1"/>
  <c r="GV89" i="1"/>
  <c r="GW89" i="1"/>
  <c r="GX89" i="1"/>
  <c r="GY89" i="1"/>
  <c r="GZ89" i="1"/>
  <c r="HA89" i="1"/>
  <c r="HB89" i="1"/>
  <c r="HC89" i="1"/>
  <c r="HD89" i="1"/>
  <c r="HE89" i="1"/>
  <c r="HF89" i="1"/>
  <c r="HG89" i="1"/>
  <c r="HH89" i="1"/>
  <c r="HI89" i="1"/>
  <c r="HJ89" i="1"/>
  <c r="HK89" i="1"/>
  <c r="HL89" i="1"/>
  <c r="HM89" i="1"/>
  <c r="HN89" i="1"/>
  <c r="HO89" i="1"/>
  <c r="HP89" i="1"/>
  <c r="HQ89" i="1"/>
  <c r="HR89" i="1"/>
  <c r="HS89" i="1"/>
  <c r="HT89" i="1"/>
  <c r="HU89" i="1"/>
  <c r="HV89" i="1"/>
  <c r="HW89" i="1"/>
  <c r="HX89" i="1"/>
  <c r="HY89" i="1"/>
  <c r="HZ89" i="1"/>
  <c r="IA89" i="1"/>
  <c r="IB89" i="1"/>
  <c r="IC89" i="1"/>
  <c r="ID89" i="1"/>
  <c r="IE89" i="1"/>
  <c r="IF89" i="1"/>
  <c r="IG89" i="1"/>
  <c r="IH89" i="1"/>
  <c r="H90" i="1"/>
  <c r="I90" i="1"/>
  <c r="L90" i="1"/>
  <c r="O90" i="1"/>
  <c r="R90" i="1"/>
  <c r="S90" i="1"/>
  <c r="T90" i="1"/>
  <c r="U90" i="1"/>
  <c r="W90" i="1"/>
  <c r="X90" i="1"/>
  <c r="Y90" i="1"/>
  <c r="Z90" i="1"/>
  <c r="AA90" i="1"/>
  <c r="AB90" i="1"/>
  <c r="AP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D90" i="1"/>
  <c r="CE90" i="1"/>
  <c r="CF90" i="1"/>
  <c r="CG90" i="1"/>
  <c r="CH90" i="1"/>
  <c r="CI90" i="1"/>
  <c r="CJ90" i="1"/>
  <c r="CK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E90" i="1"/>
  <c r="DH90" i="1"/>
  <c r="DK90" i="1"/>
  <c r="DL90" i="1"/>
  <c r="DM90" i="1"/>
  <c r="DN90" i="1"/>
  <c r="DP90" i="1"/>
  <c r="DS90" i="1"/>
  <c r="DV90" i="1"/>
  <c r="DX90" i="1"/>
  <c r="DY90" i="1"/>
  <c r="EA90" i="1"/>
  <c r="EB90" i="1"/>
  <c r="EC90" i="1"/>
  <c r="ED90" i="1"/>
  <c r="EE90" i="1"/>
  <c r="EF90" i="1"/>
  <c r="EG90" i="1"/>
  <c r="EH90" i="1"/>
  <c r="EI90" i="1"/>
  <c r="EJ90" i="1"/>
  <c r="EK90" i="1"/>
  <c r="EX90" i="1"/>
  <c r="EY90" i="1"/>
  <c r="EZ90" i="1"/>
  <c r="FA90" i="1"/>
  <c r="FB90" i="1"/>
  <c r="FD90" i="1"/>
  <c r="FE90" i="1"/>
  <c r="FF90" i="1"/>
  <c r="FG90" i="1"/>
  <c r="FH90" i="1"/>
  <c r="FI90" i="1"/>
  <c r="FJ90" i="1"/>
  <c r="FK90" i="1"/>
  <c r="FL90" i="1"/>
  <c r="FO90" i="1"/>
  <c r="FP90" i="1"/>
  <c r="FQ90" i="1"/>
  <c r="FR90" i="1"/>
  <c r="FS90" i="1"/>
  <c r="FT90" i="1"/>
  <c r="FU90" i="1"/>
  <c r="FV90" i="1"/>
  <c r="FW90" i="1"/>
  <c r="FX90" i="1"/>
  <c r="FY90" i="1"/>
  <c r="FZ90" i="1"/>
  <c r="GA90" i="1"/>
  <c r="GB90" i="1"/>
  <c r="GC90" i="1"/>
  <c r="GD90" i="1"/>
  <c r="GE90" i="1"/>
  <c r="GF90" i="1"/>
  <c r="GG90" i="1"/>
  <c r="GH90" i="1"/>
  <c r="GI90" i="1"/>
  <c r="GJ90" i="1"/>
  <c r="GK90" i="1"/>
  <c r="GL90" i="1"/>
  <c r="GM90" i="1"/>
  <c r="GN90" i="1"/>
  <c r="GO90" i="1"/>
  <c r="GP90" i="1"/>
  <c r="GQ90" i="1"/>
  <c r="GR90" i="1"/>
  <c r="GS90" i="1"/>
  <c r="GT90" i="1"/>
  <c r="GU90" i="1"/>
  <c r="GV90" i="1"/>
  <c r="GW90" i="1"/>
  <c r="GX90" i="1"/>
  <c r="GY90" i="1"/>
  <c r="GZ90" i="1"/>
  <c r="HA90" i="1"/>
  <c r="HB90" i="1"/>
  <c r="HC90" i="1"/>
  <c r="HD90" i="1"/>
  <c r="HE90" i="1"/>
  <c r="HF90" i="1"/>
  <c r="HG90" i="1"/>
  <c r="HH90" i="1"/>
  <c r="HI90" i="1"/>
  <c r="HJ90" i="1"/>
  <c r="HK90" i="1"/>
  <c r="HL90" i="1"/>
  <c r="HM90" i="1"/>
  <c r="HN90" i="1"/>
  <c r="HO90" i="1"/>
  <c r="HP90" i="1"/>
  <c r="HQ90" i="1"/>
  <c r="HR90" i="1"/>
  <c r="HS90" i="1"/>
  <c r="HT90" i="1"/>
  <c r="HU90" i="1"/>
  <c r="HV90" i="1"/>
  <c r="HW90" i="1"/>
  <c r="HX90" i="1"/>
  <c r="HY90" i="1"/>
  <c r="HZ90" i="1"/>
  <c r="IA90" i="1"/>
  <c r="IB90" i="1"/>
  <c r="IC90" i="1"/>
  <c r="ID90" i="1"/>
  <c r="IE90" i="1"/>
  <c r="IF90" i="1"/>
  <c r="IG90" i="1"/>
  <c r="IH90" i="1"/>
  <c r="H91" i="1"/>
  <c r="I91" i="1"/>
  <c r="L91" i="1"/>
  <c r="O91" i="1"/>
  <c r="R91" i="1"/>
  <c r="S91" i="1"/>
  <c r="T91" i="1"/>
  <c r="U91" i="1"/>
  <c r="W91" i="1"/>
  <c r="X91" i="1"/>
  <c r="Y91" i="1"/>
  <c r="Z91" i="1"/>
  <c r="AA91" i="1"/>
  <c r="AB91" i="1"/>
  <c r="AP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D91" i="1"/>
  <c r="CE91" i="1"/>
  <c r="CF91" i="1"/>
  <c r="CG91" i="1"/>
  <c r="CH91" i="1"/>
  <c r="CI91" i="1"/>
  <c r="CJ91" i="1"/>
  <c r="CK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E91" i="1"/>
  <c r="DH91" i="1"/>
  <c r="DK91" i="1"/>
  <c r="DL91" i="1"/>
  <c r="DM91" i="1"/>
  <c r="DN91" i="1"/>
  <c r="DP91" i="1"/>
  <c r="DS91" i="1"/>
  <c r="DV91" i="1"/>
  <c r="DX91" i="1"/>
  <c r="DY91" i="1"/>
  <c r="EA91" i="1"/>
  <c r="EB91" i="1"/>
  <c r="EC91" i="1"/>
  <c r="ED91" i="1"/>
  <c r="EE91" i="1"/>
  <c r="EF91" i="1"/>
  <c r="EG91" i="1"/>
  <c r="EH91" i="1"/>
  <c r="EI91" i="1"/>
  <c r="EJ91" i="1"/>
  <c r="EK91" i="1"/>
  <c r="EX91" i="1"/>
  <c r="EY91" i="1"/>
  <c r="EZ91" i="1"/>
  <c r="FA91" i="1"/>
  <c r="FB91" i="1"/>
  <c r="FD91" i="1"/>
  <c r="FE91" i="1"/>
  <c r="FF91" i="1"/>
  <c r="FG91" i="1"/>
  <c r="FH91" i="1"/>
  <c r="FI91" i="1"/>
  <c r="FJ91" i="1"/>
  <c r="FK91" i="1"/>
  <c r="FL91" i="1"/>
  <c r="FO91" i="1"/>
  <c r="FP91" i="1"/>
  <c r="FQ91" i="1"/>
  <c r="FR91" i="1"/>
  <c r="FS91" i="1"/>
  <c r="FT91" i="1"/>
  <c r="FU91" i="1"/>
  <c r="FV91" i="1"/>
  <c r="FW91" i="1"/>
  <c r="FX91" i="1"/>
  <c r="FY91" i="1"/>
  <c r="FZ91" i="1"/>
  <c r="GA91" i="1"/>
  <c r="GB91" i="1"/>
  <c r="GC91" i="1"/>
  <c r="GD91" i="1"/>
  <c r="GE91" i="1"/>
  <c r="GF91" i="1"/>
  <c r="GG91" i="1"/>
  <c r="GH91" i="1"/>
  <c r="GI91" i="1"/>
  <c r="GJ91" i="1"/>
  <c r="GK91" i="1"/>
  <c r="GL91" i="1"/>
  <c r="GM91" i="1"/>
  <c r="GN91" i="1"/>
  <c r="GO91" i="1"/>
  <c r="GP91" i="1"/>
  <c r="GQ91" i="1"/>
  <c r="GR91" i="1"/>
  <c r="GS91" i="1"/>
  <c r="GT91" i="1"/>
  <c r="GU91" i="1"/>
  <c r="GV91" i="1"/>
  <c r="GW91" i="1"/>
  <c r="GX91" i="1"/>
  <c r="GY91" i="1"/>
  <c r="GZ91" i="1"/>
  <c r="HA91" i="1"/>
  <c r="HB91" i="1"/>
  <c r="HC91" i="1"/>
  <c r="HD91" i="1"/>
  <c r="HE91" i="1"/>
  <c r="HF91" i="1"/>
  <c r="HG91" i="1"/>
  <c r="HH91" i="1"/>
  <c r="HI91" i="1"/>
  <c r="HJ91" i="1"/>
  <c r="HK91" i="1"/>
  <c r="HL91" i="1"/>
  <c r="HM91" i="1"/>
  <c r="HN91" i="1"/>
  <c r="HO91" i="1"/>
  <c r="HP91" i="1"/>
  <c r="HQ91" i="1"/>
  <c r="HR91" i="1"/>
  <c r="HS91" i="1"/>
  <c r="HT91" i="1"/>
  <c r="HU91" i="1"/>
  <c r="HV91" i="1"/>
  <c r="HW91" i="1"/>
  <c r="HX91" i="1"/>
  <c r="HY91" i="1"/>
  <c r="HZ91" i="1"/>
  <c r="IA91" i="1"/>
  <c r="IB91" i="1"/>
  <c r="IC91" i="1"/>
  <c r="ID91" i="1"/>
  <c r="IE91" i="1"/>
  <c r="IF91" i="1"/>
  <c r="IG91" i="1"/>
  <c r="IH91" i="1"/>
  <c r="H92" i="1"/>
  <c r="I92" i="1"/>
  <c r="L92" i="1"/>
  <c r="O92" i="1"/>
  <c r="R92" i="1"/>
  <c r="S92" i="1"/>
  <c r="T92" i="1"/>
  <c r="U92" i="1"/>
  <c r="W92" i="1"/>
  <c r="X92" i="1"/>
  <c r="Y92" i="1"/>
  <c r="Z92" i="1"/>
  <c r="AA92" i="1"/>
  <c r="AB92" i="1"/>
  <c r="AP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D92" i="1"/>
  <c r="CE92" i="1"/>
  <c r="CF92" i="1"/>
  <c r="CG92" i="1"/>
  <c r="CH92" i="1"/>
  <c r="CI92" i="1"/>
  <c r="CJ92" i="1"/>
  <c r="CK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E92" i="1"/>
  <c r="DH92" i="1"/>
  <c r="DK92" i="1"/>
  <c r="DL92" i="1"/>
  <c r="DM92" i="1"/>
  <c r="DN92" i="1"/>
  <c r="DP92" i="1"/>
  <c r="DS92" i="1"/>
  <c r="DV92" i="1"/>
  <c r="DX92" i="1"/>
  <c r="DY92" i="1"/>
  <c r="EA92" i="1"/>
  <c r="EB92" i="1"/>
  <c r="EC92" i="1"/>
  <c r="ED92" i="1"/>
  <c r="EE92" i="1"/>
  <c r="EF92" i="1"/>
  <c r="EG92" i="1"/>
  <c r="EH92" i="1"/>
  <c r="EI92" i="1"/>
  <c r="EJ92" i="1"/>
  <c r="EK92" i="1"/>
  <c r="EX92" i="1"/>
  <c r="EY92" i="1"/>
  <c r="H93" i="1"/>
  <c r="I93" i="1"/>
  <c r="L93" i="1"/>
  <c r="O93" i="1"/>
  <c r="R93" i="1"/>
  <c r="S93" i="1"/>
  <c r="T93" i="1"/>
  <c r="U93" i="1"/>
  <c r="W93" i="1"/>
  <c r="X93" i="1"/>
  <c r="Y93" i="1"/>
  <c r="Z93" i="1"/>
  <c r="AA93" i="1"/>
  <c r="AB93" i="1"/>
  <c r="AP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D93" i="1"/>
  <c r="CE93" i="1"/>
  <c r="CF93" i="1"/>
  <c r="CG93" i="1"/>
  <c r="CH93" i="1"/>
  <c r="CI93" i="1"/>
  <c r="CJ93" i="1"/>
  <c r="CK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E93" i="1"/>
  <c r="DH93" i="1"/>
  <c r="DK93" i="1"/>
  <c r="DL93" i="1"/>
  <c r="DM93" i="1"/>
  <c r="DN93" i="1"/>
  <c r="DP93" i="1"/>
  <c r="DS93" i="1"/>
  <c r="DV93" i="1"/>
  <c r="DX93" i="1"/>
  <c r="DY93" i="1"/>
  <c r="EA93" i="1"/>
  <c r="EB93" i="1"/>
  <c r="EC93" i="1"/>
  <c r="ED93" i="1"/>
  <c r="EE93" i="1"/>
  <c r="EF93" i="1"/>
  <c r="EG93" i="1"/>
  <c r="EH93" i="1"/>
  <c r="EI93" i="1"/>
  <c r="EJ93" i="1"/>
  <c r="EK93" i="1"/>
  <c r="EX93" i="1"/>
  <c r="EY93" i="1"/>
  <c r="H94" i="1"/>
  <c r="I94" i="1"/>
  <c r="L94" i="1"/>
  <c r="O94" i="1"/>
  <c r="R94" i="1"/>
  <c r="S94" i="1"/>
  <c r="T94" i="1"/>
  <c r="U94" i="1"/>
  <c r="W94" i="1"/>
  <c r="X94" i="1"/>
  <c r="Y94" i="1"/>
  <c r="Z94" i="1"/>
  <c r="AA94" i="1"/>
  <c r="AB94" i="1"/>
  <c r="AP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D94" i="1"/>
  <c r="CE94" i="1"/>
  <c r="CF94" i="1"/>
  <c r="CG94" i="1"/>
  <c r="CH94" i="1"/>
  <c r="CI94" i="1"/>
  <c r="CJ94" i="1"/>
  <c r="CK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E94" i="1"/>
  <c r="DH94" i="1"/>
  <c r="DK94" i="1"/>
  <c r="DL94" i="1"/>
  <c r="DM94" i="1"/>
  <c r="DN94" i="1"/>
  <c r="DP94" i="1"/>
  <c r="DS94" i="1"/>
  <c r="DV94" i="1"/>
  <c r="DX94" i="1"/>
  <c r="DY94" i="1"/>
  <c r="EA94" i="1"/>
  <c r="EB94" i="1"/>
  <c r="EC94" i="1"/>
  <c r="ED94" i="1"/>
  <c r="EE94" i="1"/>
  <c r="EF94" i="1"/>
  <c r="EG94" i="1"/>
  <c r="EH94" i="1"/>
  <c r="EI94" i="1"/>
  <c r="EJ94" i="1"/>
  <c r="EK94" i="1"/>
  <c r="H95" i="1"/>
  <c r="I95" i="1"/>
  <c r="L95" i="1"/>
  <c r="O95" i="1"/>
  <c r="R95" i="1"/>
  <c r="S95" i="1"/>
  <c r="T95" i="1"/>
  <c r="U95" i="1"/>
  <c r="W95" i="1"/>
  <c r="X95" i="1"/>
  <c r="Y95" i="1"/>
  <c r="Z95" i="1"/>
  <c r="AA95" i="1"/>
  <c r="AB95" i="1"/>
  <c r="AP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D95" i="1"/>
  <c r="CE95" i="1"/>
  <c r="CF95" i="1"/>
  <c r="CG95" i="1"/>
  <c r="CH95" i="1"/>
  <c r="CI95" i="1"/>
  <c r="CJ95" i="1"/>
  <c r="CK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E95" i="1"/>
  <c r="DH95" i="1"/>
  <c r="DK95" i="1"/>
  <c r="DL95" i="1"/>
  <c r="DM95" i="1"/>
  <c r="DN95" i="1"/>
  <c r="DP95" i="1"/>
  <c r="DS95" i="1"/>
  <c r="DV95" i="1"/>
  <c r="DX95" i="1"/>
  <c r="DY95" i="1"/>
  <c r="ED95" i="1"/>
  <c r="EE95" i="1"/>
  <c r="EF95" i="1"/>
  <c r="EG95" i="1"/>
  <c r="EH95" i="1"/>
  <c r="EI95" i="1"/>
  <c r="EJ95" i="1"/>
  <c r="EK95" i="1"/>
  <c r="FO95" i="1"/>
  <c r="FP95" i="1"/>
  <c r="FQ95" i="1"/>
  <c r="FR95" i="1"/>
  <c r="FS95" i="1"/>
  <c r="FT95" i="1"/>
  <c r="FU95" i="1"/>
  <c r="FV95" i="1"/>
  <c r="FW95" i="1"/>
  <c r="FX95" i="1"/>
  <c r="FY95" i="1"/>
  <c r="FZ95" i="1"/>
  <c r="GA95" i="1"/>
  <c r="GB95" i="1"/>
  <c r="GC95" i="1"/>
  <c r="GD95" i="1"/>
  <c r="GE95" i="1"/>
  <c r="GF95" i="1"/>
  <c r="GG95" i="1"/>
  <c r="GH95" i="1"/>
  <c r="GI95" i="1"/>
  <c r="GJ95" i="1"/>
  <c r="GK95" i="1"/>
  <c r="GL95" i="1"/>
  <c r="GM95" i="1"/>
  <c r="GN95" i="1"/>
  <c r="GO95" i="1"/>
  <c r="GP95" i="1"/>
  <c r="GQ95" i="1"/>
  <c r="GR95" i="1"/>
  <c r="GS95" i="1"/>
  <c r="GT95" i="1"/>
  <c r="GU95" i="1"/>
  <c r="GV95" i="1"/>
  <c r="GW95" i="1"/>
  <c r="GX95" i="1"/>
  <c r="GY95" i="1"/>
  <c r="GZ95" i="1"/>
  <c r="HA95" i="1"/>
  <c r="HB95" i="1"/>
  <c r="HC95" i="1"/>
  <c r="HD95" i="1"/>
  <c r="HE95" i="1"/>
  <c r="HF95" i="1"/>
  <c r="HG95" i="1"/>
  <c r="HH95" i="1"/>
  <c r="HI95" i="1"/>
  <c r="HJ95" i="1"/>
  <c r="HK95" i="1"/>
  <c r="HL95" i="1"/>
  <c r="HM95" i="1"/>
  <c r="HN95" i="1"/>
  <c r="HO95" i="1"/>
  <c r="HP95" i="1"/>
  <c r="HQ95" i="1"/>
  <c r="HR95" i="1"/>
  <c r="HS95" i="1"/>
  <c r="HT95" i="1"/>
  <c r="HU95" i="1"/>
  <c r="HV95" i="1"/>
  <c r="HW95" i="1"/>
  <c r="HX95" i="1"/>
  <c r="HY95" i="1"/>
  <c r="HZ95" i="1"/>
  <c r="IA95" i="1"/>
  <c r="IB95" i="1"/>
  <c r="IC95" i="1"/>
  <c r="ID95" i="1"/>
  <c r="IE95" i="1"/>
  <c r="IF95" i="1"/>
  <c r="IG95" i="1"/>
  <c r="IH95" i="1"/>
  <c r="H96" i="1"/>
  <c r="I96" i="1"/>
  <c r="L96" i="1"/>
  <c r="O96" i="1"/>
  <c r="R96" i="1"/>
  <c r="S96" i="1"/>
  <c r="T96" i="1"/>
  <c r="U96" i="1"/>
  <c r="W96" i="1"/>
  <c r="X96" i="1"/>
  <c r="Y96" i="1"/>
  <c r="Z96" i="1"/>
  <c r="AA96" i="1"/>
  <c r="AB96" i="1"/>
  <c r="AP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D96" i="1"/>
  <c r="CE96" i="1"/>
  <c r="CF96" i="1"/>
  <c r="CG96" i="1"/>
  <c r="CH96" i="1"/>
  <c r="CI96" i="1"/>
  <c r="CJ96" i="1"/>
  <c r="CK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E96" i="1"/>
  <c r="DH96" i="1"/>
  <c r="DK96" i="1"/>
  <c r="DL96" i="1"/>
  <c r="DM96" i="1"/>
  <c r="DN96" i="1"/>
  <c r="DP96" i="1"/>
  <c r="DS96" i="1"/>
  <c r="DV96" i="1"/>
  <c r="DX96" i="1"/>
  <c r="DY96" i="1"/>
  <c r="ED96" i="1"/>
  <c r="EE96" i="1"/>
  <c r="EF96" i="1"/>
  <c r="EG96" i="1"/>
  <c r="EH96" i="1"/>
  <c r="EI96" i="1"/>
  <c r="EJ96" i="1"/>
  <c r="EK96" i="1"/>
  <c r="FO96" i="1"/>
  <c r="FP96" i="1"/>
  <c r="FQ96" i="1"/>
  <c r="FR96" i="1"/>
  <c r="FS96" i="1"/>
  <c r="FT96" i="1"/>
  <c r="FU96" i="1"/>
  <c r="FV96" i="1"/>
  <c r="FW96" i="1"/>
  <c r="FX96" i="1"/>
  <c r="FY96" i="1"/>
  <c r="FZ96" i="1"/>
  <c r="GA96" i="1"/>
  <c r="GB96" i="1"/>
  <c r="GC96" i="1"/>
  <c r="GD96" i="1"/>
  <c r="GE96" i="1"/>
  <c r="GF96" i="1"/>
  <c r="GG96" i="1"/>
  <c r="GH96" i="1"/>
  <c r="GI96" i="1"/>
  <c r="GJ96" i="1"/>
  <c r="GK96" i="1"/>
  <c r="GL96" i="1"/>
  <c r="GM96" i="1"/>
  <c r="GN96" i="1"/>
  <c r="GO96" i="1"/>
  <c r="GP96" i="1"/>
  <c r="GQ96" i="1"/>
  <c r="GR96" i="1"/>
  <c r="GS96" i="1"/>
  <c r="GT96" i="1"/>
  <c r="GU96" i="1"/>
  <c r="GV96" i="1"/>
  <c r="GW96" i="1"/>
  <c r="GX96" i="1"/>
  <c r="GY96" i="1"/>
  <c r="GZ96" i="1"/>
  <c r="HA96" i="1"/>
  <c r="HB96" i="1"/>
  <c r="HC96" i="1"/>
  <c r="HD96" i="1"/>
  <c r="HE96" i="1"/>
  <c r="HF96" i="1"/>
  <c r="HG96" i="1"/>
  <c r="HH96" i="1"/>
  <c r="HI96" i="1"/>
  <c r="HJ96" i="1"/>
  <c r="HK96" i="1"/>
  <c r="HL96" i="1"/>
  <c r="HM96" i="1"/>
  <c r="HN96" i="1"/>
  <c r="HO96" i="1"/>
  <c r="HP96" i="1"/>
  <c r="HQ96" i="1"/>
  <c r="HR96" i="1"/>
  <c r="HS96" i="1"/>
  <c r="HT96" i="1"/>
  <c r="HU96" i="1"/>
  <c r="HV96" i="1"/>
  <c r="HW96" i="1"/>
  <c r="HX96" i="1"/>
  <c r="HY96" i="1"/>
  <c r="HZ96" i="1"/>
  <c r="IA96" i="1"/>
  <c r="IB96" i="1"/>
  <c r="IC96" i="1"/>
  <c r="ID96" i="1"/>
  <c r="IE96" i="1"/>
  <c r="IF96" i="1"/>
  <c r="IG96" i="1"/>
  <c r="IH96" i="1"/>
  <c r="H97" i="1"/>
  <c r="I97" i="1"/>
  <c r="L97" i="1"/>
  <c r="O97" i="1"/>
  <c r="R97" i="1"/>
  <c r="S97" i="1"/>
  <c r="T97" i="1"/>
  <c r="U97" i="1"/>
  <c r="W97" i="1"/>
  <c r="X97" i="1"/>
  <c r="Y97" i="1"/>
  <c r="Z97" i="1"/>
  <c r="AA97" i="1"/>
  <c r="AB97" i="1"/>
  <c r="AP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D97" i="1"/>
  <c r="CE97" i="1"/>
  <c r="CF97" i="1"/>
  <c r="CG97" i="1"/>
  <c r="CH97" i="1"/>
  <c r="CI97" i="1"/>
  <c r="CJ97" i="1"/>
  <c r="CK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E97" i="1"/>
  <c r="DH97" i="1"/>
  <c r="DK97" i="1"/>
  <c r="DL97" i="1"/>
  <c r="DM97" i="1"/>
  <c r="DN97" i="1"/>
  <c r="DP97" i="1"/>
  <c r="DS97" i="1"/>
  <c r="DV97" i="1"/>
  <c r="DX97" i="1"/>
  <c r="DY97" i="1"/>
  <c r="ED97" i="1"/>
  <c r="EE97" i="1"/>
  <c r="EF97" i="1"/>
  <c r="EG97" i="1"/>
  <c r="EH97" i="1"/>
  <c r="EI97" i="1"/>
  <c r="EJ97" i="1"/>
  <c r="EK97" i="1"/>
  <c r="FO97" i="1"/>
  <c r="FP97" i="1"/>
  <c r="FQ97" i="1"/>
  <c r="FR97" i="1"/>
  <c r="FS97" i="1"/>
  <c r="FT97" i="1"/>
  <c r="FU97" i="1"/>
  <c r="FV97" i="1"/>
  <c r="FW97" i="1"/>
  <c r="FX97" i="1"/>
  <c r="FY97" i="1"/>
  <c r="FZ97" i="1"/>
  <c r="GA97" i="1"/>
  <c r="GB97" i="1"/>
  <c r="GC97" i="1"/>
  <c r="GD97" i="1"/>
  <c r="GE97" i="1"/>
  <c r="GF97" i="1"/>
  <c r="GG97" i="1"/>
  <c r="GH97" i="1"/>
  <c r="GI97" i="1"/>
  <c r="GJ97" i="1"/>
  <c r="GK97" i="1"/>
  <c r="GL97" i="1"/>
  <c r="GM97" i="1"/>
  <c r="GN97" i="1"/>
  <c r="GO97" i="1"/>
  <c r="GP97" i="1"/>
  <c r="GQ97" i="1"/>
  <c r="GR97" i="1"/>
  <c r="GS97" i="1"/>
  <c r="GT97" i="1"/>
  <c r="GU97" i="1"/>
  <c r="GV97" i="1"/>
  <c r="GW97" i="1"/>
  <c r="GX97" i="1"/>
  <c r="GY97" i="1"/>
  <c r="GZ97" i="1"/>
  <c r="HA97" i="1"/>
  <c r="HB97" i="1"/>
  <c r="HC97" i="1"/>
  <c r="HD97" i="1"/>
  <c r="HE97" i="1"/>
  <c r="HF97" i="1"/>
  <c r="HG97" i="1"/>
  <c r="HH97" i="1"/>
  <c r="HI97" i="1"/>
  <c r="HJ97" i="1"/>
  <c r="HK97" i="1"/>
  <c r="HL97" i="1"/>
  <c r="HM97" i="1"/>
  <c r="HN97" i="1"/>
  <c r="HO97" i="1"/>
  <c r="HP97" i="1"/>
  <c r="HQ97" i="1"/>
  <c r="HR97" i="1"/>
  <c r="HS97" i="1"/>
  <c r="HT97" i="1"/>
  <c r="HU97" i="1"/>
  <c r="HV97" i="1"/>
  <c r="HW97" i="1"/>
  <c r="HX97" i="1"/>
  <c r="HY97" i="1"/>
  <c r="HZ97" i="1"/>
  <c r="IA97" i="1"/>
  <c r="IB97" i="1"/>
  <c r="IC97" i="1"/>
  <c r="ID97" i="1"/>
  <c r="IE97" i="1"/>
  <c r="IF97" i="1"/>
  <c r="IG97" i="1"/>
  <c r="IH97" i="1"/>
  <c r="H98" i="1"/>
  <c r="I98" i="1"/>
  <c r="L98" i="1"/>
  <c r="O98" i="1"/>
  <c r="R98" i="1"/>
  <c r="S98" i="1"/>
  <c r="T98" i="1"/>
  <c r="U98" i="1"/>
  <c r="W98" i="1"/>
  <c r="X98" i="1"/>
  <c r="Y98" i="1"/>
  <c r="Z98" i="1"/>
  <c r="AA98" i="1"/>
  <c r="AB98" i="1"/>
  <c r="AP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D98" i="1"/>
  <c r="CE98" i="1"/>
  <c r="CF98" i="1"/>
  <c r="CG98" i="1"/>
  <c r="CH98" i="1"/>
  <c r="CI98" i="1"/>
  <c r="CJ98" i="1"/>
  <c r="CK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E98" i="1"/>
  <c r="DH98" i="1"/>
  <c r="DK98" i="1"/>
  <c r="DL98" i="1"/>
  <c r="DM98" i="1"/>
  <c r="DN98" i="1"/>
  <c r="DP98" i="1"/>
  <c r="DS98" i="1"/>
  <c r="DV98" i="1"/>
  <c r="DX98" i="1"/>
  <c r="DY98" i="1"/>
  <c r="ED98" i="1"/>
  <c r="EE98" i="1"/>
  <c r="EF98" i="1"/>
  <c r="EG98" i="1"/>
  <c r="EH98" i="1"/>
  <c r="EI98" i="1"/>
  <c r="EJ98" i="1"/>
  <c r="EK98" i="1"/>
  <c r="FO98" i="1"/>
  <c r="FP98" i="1"/>
  <c r="FQ98" i="1"/>
  <c r="FR98" i="1"/>
  <c r="FS98" i="1"/>
  <c r="FT98" i="1"/>
  <c r="FU98" i="1"/>
  <c r="FV98" i="1"/>
  <c r="FW98" i="1"/>
  <c r="FX98" i="1"/>
  <c r="FY98" i="1"/>
  <c r="FZ98" i="1"/>
  <c r="GA98" i="1"/>
  <c r="GB98" i="1"/>
  <c r="GC98" i="1"/>
  <c r="GD98" i="1"/>
  <c r="GE98" i="1"/>
  <c r="GF98" i="1"/>
  <c r="GG98" i="1"/>
  <c r="GH98" i="1"/>
  <c r="GI98" i="1"/>
  <c r="GJ98" i="1"/>
  <c r="GK98" i="1"/>
  <c r="GL98" i="1"/>
  <c r="GM98" i="1"/>
  <c r="GN98" i="1"/>
  <c r="GO98" i="1"/>
  <c r="GP98" i="1"/>
  <c r="GQ98" i="1"/>
  <c r="GR98" i="1"/>
  <c r="GS98" i="1"/>
  <c r="GT98" i="1"/>
  <c r="GU98" i="1"/>
  <c r="GV98" i="1"/>
  <c r="GW98" i="1"/>
  <c r="GX98" i="1"/>
  <c r="GY98" i="1"/>
  <c r="GZ98" i="1"/>
  <c r="HA98" i="1"/>
  <c r="HB98" i="1"/>
  <c r="HC98" i="1"/>
  <c r="HD98" i="1"/>
  <c r="HE98" i="1"/>
  <c r="HF98" i="1"/>
  <c r="HG98" i="1"/>
  <c r="HH98" i="1"/>
  <c r="HI98" i="1"/>
  <c r="HJ98" i="1"/>
  <c r="HK98" i="1"/>
  <c r="HL98" i="1"/>
  <c r="HM98" i="1"/>
  <c r="HN98" i="1"/>
  <c r="HO98" i="1"/>
  <c r="HP98" i="1"/>
  <c r="HQ98" i="1"/>
  <c r="HR98" i="1"/>
  <c r="HS98" i="1"/>
  <c r="HT98" i="1"/>
  <c r="HU98" i="1"/>
  <c r="HV98" i="1"/>
  <c r="HW98" i="1"/>
  <c r="HX98" i="1"/>
  <c r="HY98" i="1"/>
  <c r="HZ98" i="1"/>
  <c r="IA98" i="1"/>
  <c r="IB98" i="1"/>
  <c r="IC98" i="1"/>
  <c r="ID98" i="1"/>
  <c r="IE98" i="1"/>
  <c r="IF98" i="1"/>
  <c r="IG98" i="1"/>
  <c r="IH98" i="1"/>
  <c r="H99" i="1"/>
  <c r="I99" i="1"/>
  <c r="L99" i="1"/>
  <c r="O99" i="1"/>
  <c r="R99" i="1"/>
  <c r="S99" i="1"/>
  <c r="T99" i="1"/>
  <c r="U99" i="1"/>
  <c r="W99" i="1"/>
  <c r="X99" i="1"/>
  <c r="Y99" i="1"/>
  <c r="Z99" i="1"/>
  <c r="AA99" i="1"/>
  <c r="AB99" i="1"/>
  <c r="AP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D99" i="1"/>
  <c r="CE99" i="1"/>
  <c r="CF99" i="1"/>
  <c r="CG99" i="1"/>
  <c r="CH99" i="1"/>
  <c r="CI99" i="1"/>
  <c r="CJ99" i="1"/>
  <c r="CK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E99" i="1"/>
  <c r="DH99" i="1"/>
  <c r="DK99" i="1"/>
  <c r="DL99" i="1"/>
  <c r="DM99" i="1"/>
  <c r="DN99" i="1"/>
  <c r="DP99" i="1"/>
  <c r="DS99" i="1"/>
  <c r="DV99" i="1"/>
  <c r="DX99" i="1"/>
  <c r="DY99" i="1"/>
  <c r="ED99" i="1"/>
  <c r="EE99" i="1"/>
  <c r="EF99" i="1"/>
  <c r="EG99" i="1"/>
  <c r="EH99" i="1"/>
  <c r="EI99" i="1"/>
  <c r="EJ99" i="1"/>
  <c r="EK99" i="1"/>
  <c r="FO99" i="1"/>
  <c r="FP99" i="1"/>
  <c r="FQ99" i="1"/>
  <c r="FR99" i="1"/>
  <c r="FS99" i="1"/>
  <c r="FT99" i="1"/>
  <c r="FU99" i="1"/>
  <c r="FV99" i="1"/>
  <c r="FW99" i="1"/>
  <c r="FX99" i="1"/>
  <c r="FY99" i="1"/>
  <c r="FZ99" i="1"/>
  <c r="GA99" i="1"/>
  <c r="GB99" i="1"/>
  <c r="GC99" i="1"/>
  <c r="GD99" i="1"/>
  <c r="GE99" i="1"/>
  <c r="GF99" i="1"/>
  <c r="GG99" i="1"/>
  <c r="GH99" i="1"/>
  <c r="GI99" i="1"/>
  <c r="GJ99" i="1"/>
  <c r="GK99" i="1"/>
  <c r="GL99" i="1"/>
  <c r="GM99" i="1"/>
  <c r="GN99" i="1"/>
  <c r="GO99" i="1"/>
  <c r="GP99" i="1"/>
  <c r="GQ99" i="1"/>
  <c r="GR99" i="1"/>
  <c r="GS99" i="1"/>
  <c r="GT99" i="1"/>
  <c r="GU99" i="1"/>
  <c r="GV99" i="1"/>
  <c r="GW99" i="1"/>
  <c r="GX99" i="1"/>
  <c r="GY99" i="1"/>
  <c r="GZ99" i="1"/>
  <c r="HA99" i="1"/>
  <c r="HB99" i="1"/>
  <c r="HC99" i="1"/>
  <c r="HD99" i="1"/>
  <c r="HE99" i="1"/>
  <c r="HF99" i="1"/>
  <c r="HG99" i="1"/>
  <c r="HH99" i="1"/>
  <c r="HI99" i="1"/>
  <c r="HJ99" i="1"/>
  <c r="HK99" i="1"/>
  <c r="HL99" i="1"/>
  <c r="HM99" i="1"/>
  <c r="HN99" i="1"/>
  <c r="HO99" i="1"/>
  <c r="HP99" i="1"/>
  <c r="HQ99" i="1"/>
  <c r="HR99" i="1"/>
  <c r="HS99" i="1"/>
  <c r="HT99" i="1"/>
  <c r="HU99" i="1"/>
  <c r="HV99" i="1"/>
  <c r="HW99" i="1"/>
  <c r="HX99" i="1"/>
  <c r="HY99" i="1"/>
  <c r="HZ99" i="1"/>
  <c r="IA99" i="1"/>
  <c r="IB99" i="1"/>
  <c r="IC99" i="1"/>
  <c r="ID99" i="1"/>
  <c r="IE99" i="1"/>
  <c r="IF99" i="1"/>
  <c r="IG99" i="1"/>
  <c r="IH99" i="1"/>
  <c r="H100" i="1"/>
  <c r="I100" i="1"/>
  <c r="L100" i="1"/>
  <c r="O100" i="1"/>
  <c r="R100" i="1"/>
  <c r="S100" i="1"/>
  <c r="T100" i="1"/>
  <c r="U100" i="1"/>
  <c r="W100" i="1"/>
  <c r="X100" i="1"/>
  <c r="Y100" i="1"/>
  <c r="Z100" i="1"/>
  <c r="AA100" i="1"/>
  <c r="AB100" i="1"/>
  <c r="AP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D100" i="1"/>
  <c r="CE100" i="1"/>
  <c r="CF100" i="1"/>
  <c r="CG100" i="1"/>
  <c r="CH100" i="1"/>
  <c r="CI100" i="1"/>
  <c r="CJ100" i="1"/>
  <c r="CK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E100" i="1"/>
  <c r="DH100" i="1"/>
  <c r="DK100" i="1"/>
  <c r="DL100" i="1"/>
  <c r="DM100" i="1"/>
  <c r="DN100" i="1"/>
  <c r="DP100" i="1"/>
  <c r="DS100" i="1"/>
  <c r="DV100" i="1"/>
  <c r="DX100" i="1"/>
  <c r="DY100" i="1"/>
  <c r="ED100" i="1"/>
  <c r="EE100" i="1"/>
  <c r="EF100" i="1"/>
  <c r="EG100" i="1"/>
  <c r="EH100" i="1"/>
  <c r="EI100" i="1"/>
  <c r="EJ100" i="1"/>
  <c r="EK100" i="1"/>
  <c r="FO100" i="1"/>
  <c r="FP100" i="1"/>
  <c r="FQ100" i="1"/>
  <c r="FR100" i="1"/>
  <c r="FS100" i="1"/>
  <c r="FT100" i="1"/>
  <c r="FU100" i="1"/>
  <c r="FV100" i="1"/>
  <c r="FW100" i="1"/>
  <c r="FX100" i="1"/>
  <c r="FY100" i="1"/>
  <c r="FZ100" i="1"/>
  <c r="GA100" i="1"/>
  <c r="GB100" i="1"/>
  <c r="GC100" i="1"/>
  <c r="GD100" i="1"/>
  <c r="GE100" i="1"/>
  <c r="GF100" i="1"/>
  <c r="GG100" i="1"/>
  <c r="GH100" i="1"/>
  <c r="GI100" i="1"/>
  <c r="GJ100" i="1"/>
  <c r="GK100" i="1"/>
  <c r="GL100" i="1"/>
  <c r="GM100" i="1"/>
  <c r="GN100" i="1"/>
  <c r="GO100" i="1"/>
  <c r="GP100" i="1"/>
  <c r="GQ100" i="1"/>
  <c r="GR100" i="1"/>
  <c r="GS100" i="1"/>
  <c r="GT100" i="1"/>
  <c r="GU100" i="1"/>
  <c r="GV100" i="1"/>
  <c r="GW100" i="1"/>
  <c r="GX100" i="1"/>
  <c r="GY100" i="1"/>
  <c r="GZ100" i="1"/>
  <c r="HA100" i="1"/>
  <c r="HB100" i="1"/>
  <c r="HC100" i="1"/>
  <c r="HD100" i="1"/>
  <c r="HE100" i="1"/>
  <c r="HF100" i="1"/>
  <c r="HG100" i="1"/>
  <c r="HH100" i="1"/>
  <c r="HI100" i="1"/>
  <c r="HJ100" i="1"/>
  <c r="HK100" i="1"/>
  <c r="HL100" i="1"/>
  <c r="HM100" i="1"/>
  <c r="HN100" i="1"/>
  <c r="HO100" i="1"/>
  <c r="HP100" i="1"/>
  <c r="HQ100" i="1"/>
  <c r="HR100" i="1"/>
  <c r="HS100" i="1"/>
  <c r="HT100" i="1"/>
  <c r="HU100" i="1"/>
  <c r="HV100" i="1"/>
  <c r="HW100" i="1"/>
  <c r="HX100" i="1"/>
  <c r="HY100" i="1"/>
  <c r="HZ100" i="1"/>
  <c r="IA100" i="1"/>
  <c r="IB100" i="1"/>
  <c r="IC100" i="1"/>
  <c r="ID100" i="1"/>
  <c r="IE100" i="1"/>
  <c r="IF100" i="1"/>
  <c r="IG100" i="1"/>
  <c r="IH100" i="1"/>
  <c r="H101" i="1"/>
  <c r="I101" i="1"/>
  <c r="L101" i="1"/>
  <c r="O101" i="1"/>
  <c r="R101" i="1"/>
  <c r="S101" i="1"/>
  <c r="T101" i="1"/>
  <c r="U101" i="1"/>
  <c r="W101" i="1"/>
  <c r="X101" i="1"/>
  <c r="Y101" i="1"/>
  <c r="Z101" i="1"/>
  <c r="AA101" i="1"/>
  <c r="AB101" i="1"/>
  <c r="AP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D101" i="1"/>
  <c r="CE101" i="1"/>
  <c r="CF101" i="1"/>
  <c r="CG101" i="1"/>
  <c r="CH101" i="1"/>
  <c r="CI101" i="1"/>
  <c r="CJ101" i="1"/>
  <c r="CK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E101" i="1"/>
  <c r="DH101" i="1"/>
  <c r="DK101" i="1"/>
  <c r="DL101" i="1"/>
  <c r="DM101" i="1"/>
  <c r="DN101" i="1"/>
  <c r="DP101" i="1"/>
  <c r="DS101" i="1"/>
  <c r="DV101" i="1"/>
  <c r="DX101" i="1"/>
  <c r="DY101" i="1"/>
  <c r="ED101" i="1"/>
  <c r="EE101" i="1"/>
  <c r="EF101" i="1"/>
  <c r="EG101" i="1"/>
  <c r="EH101" i="1"/>
  <c r="EI101" i="1"/>
  <c r="EJ101" i="1"/>
  <c r="EK101" i="1"/>
  <c r="FO101" i="1"/>
  <c r="FP101" i="1"/>
  <c r="FQ101" i="1"/>
  <c r="FR101" i="1"/>
  <c r="FS101" i="1"/>
  <c r="FT101" i="1"/>
  <c r="FU101" i="1"/>
  <c r="FV101" i="1"/>
  <c r="FW101" i="1"/>
  <c r="FX101" i="1"/>
  <c r="FY101" i="1"/>
  <c r="FZ101" i="1"/>
  <c r="GA101" i="1"/>
  <c r="GB101" i="1"/>
  <c r="GC101" i="1"/>
  <c r="GD101" i="1"/>
  <c r="GE101" i="1"/>
  <c r="GF101" i="1"/>
  <c r="GG101" i="1"/>
  <c r="GH101" i="1"/>
  <c r="GI101" i="1"/>
  <c r="GJ101" i="1"/>
  <c r="GK101" i="1"/>
  <c r="GL101" i="1"/>
  <c r="GM101" i="1"/>
  <c r="GN101" i="1"/>
  <c r="GO101" i="1"/>
  <c r="GP101" i="1"/>
  <c r="GQ101" i="1"/>
  <c r="GR101" i="1"/>
  <c r="GS101" i="1"/>
  <c r="GT101" i="1"/>
  <c r="GU101" i="1"/>
  <c r="GV101" i="1"/>
  <c r="GW101" i="1"/>
  <c r="GX101" i="1"/>
  <c r="GY101" i="1"/>
  <c r="GZ101" i="1"/>
  <c r="HA101" i="1"/>
  <c r="HB101" i="1"/>
  <c r="HC101" i="1"/>
  <c r="HD101" i="1"/>
  <c r="HE101" i="1"/>
  <c r="HF101" i="1"/>
  <c r="HG101" i="1"/>
  <c r="HH101" i="1"/>
  <c r="HI101" i="1"/>
  <c r="HJ101" i="1"/>
  <c r="HK101" i="1"/>
  <c r="HL101" i="1"/>
  <c r="HM101" i="1"/>
  <c r="HN101" i="1"/>
  <c r="HO101" i="1"/>
  <c r="HP101" i="1"/>
  <c r="HQ101" i="1"/>
  <c r="HR101" i="1"/>
  <c r="HS101" i="1"/>
  <c r="HT101" i="1"/>
  <c r="HU101" i="1"/>
  <c r="HV101" i="1"/>
  <c r="HW101" i="1"/>
  <c r="HX101" i="1"/>
  <c r="HY101" i="1"/>
  <c r="HZ101" i="1"/>
  <c r="IA101" i="1"/>
  <c r="IB101" i="1"/>
  <c r="IC101" i="1"/>
  <c r="ID101" i="1"/>
  <c r="IE101" i="1"/>
  <c r="IF101" i="1"/>
  <c r="IG101" i="1"/>
  <c r="IH101" i="1"/>
  <c r="H102" i="1"/>
  <c r="I102" i="1"/>
  <c r="L102" i="1"/>
  <c r="O102" i="1"/>
  <c r="R102" i="1"/>
  <c r="S102" i="1"/>
  <c r="T102" i="1"/>
  <c r="U102" i="1"/>
  <c r="W102" i="1"/>
  <c r="X102" i="1"/>
  <c r="Y102" i="1"/>
  <c r="Z102" i="1"/>
  <c r="AA102" i="1"/>
  <c r="AB102" i="1"/>
  <c r="AP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D102" i="1"/>
  <c r="CE102" i="1"/>
  <c r="CF102" i="1"/>
  <c r="CG102" i="1"/>
  <c r="CH102" i="1"/>
  <c r="CI102" i="1"/>
  <c r="CJ102" i="1"/>
  <c r="CK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E102" i="1"/>
  <c r="DH102" i="1"/>
  <c r="DK102" i="1"/>
  <c r="DL102" i="1"/>
  <c r="DM102" i="1"/>
  <c r="DN102" i="1"/>
  <c r="DP102" i="1"/>
  <c r="DS102" i="1"/>
  <c r="DV102" i="1"/>
  <c r="DX102" i="1"/>
  <c r="DY102" i="1"/>
  <c r="ED102" i="1"/>
  <c r="EE102" i="1"/>
  <c r="EF102" i="1"/>
  <c r="EG102" i="1"/>
  <c r="EH102" i="1"/>
  <c r="EI102" i="1"/>
  <c r="EJ102" i="1"/>
  <c r="EK102" i="1"/>
  <c r="FO102" i="1"/>
  <c r="FP102" i="1"/>
  <c r="FQ102" i="1"/>
  <c r="FR102" i="1"/>
  <c r="FS102" i="1"/>
  <c r="FT102" i="1"/>
  <c r="FU102" i="1"/>
  <c r="FV102" i="1"/>
  <c r="FW102" i="1"/>
  <c r="FX102" i="1"/>
  <c r="FY102" i="1"/>
  <c r="FZ102" i="1"/>
  <c r="GA102" i="1"/>
  <c r="GB102" i="1"/>
  <c r="GC102" i="1"/>
  <c r="GD102" i="1"/>
  <c r="GE102" i="1"/>
  <c r="GF102" i="1"/>
  <c r="GG102" i="1"/>
  <c r="GH102" i="1"/>
  <c r="GI102" i="1"/>
  <c r="GJ102" i="1"/>
  <c r="GK102" i="1"/>
  <c r="GL102" i="1"/>
  <c r="GM102" i="1"/>
  <c r="GN102" i="1"/>
  <c r="GO102" i="1"/>
  <c r="GP102" i="1"/>
  <c r="GQ102" i="1"/>
  <c r="GR102" i="1"/>
  <c r="GS102" i="1"/>
  <c r="GT102" i="1"/>
  <c r="GU102" i="1"/>
  <c r="GV102" i="1"/>
  <c r="GW102" i="1"/>
  <c r="GX102" i="1"/>
  <c r="GY102" i="1"/>
  <c r="GZ102" i="1"/>
  <c r="HA102" i="1"/>
  <c r="HB102" i="1"/>
  <c r="HC102" i="1"/>
  <c r="HD102" i="1"/>
  <c r="HE102" i="1"/>
  <c r="HF102" i="1"/>
  <c r="HG102" i="1"/>
  <c r="HH102" i="1"/>
  <c r="HI102" i="1"/>
  <c r="HJ102" i="1"/>
  <c r="HK102" i="1"/>
  <c r="HL102" i="1"/>
  <c r="HM102" i="1"/>
  <c r="HN102" i="1"/>
  <c r="HO102" i="1"/>
  <c r="HP102" i="1"/>
  <c r="HQ102" i="1"/>
  <c r="HR102" i="1"/>
  <c r="HS102" i="1"/>
  <c r="HT102" i="1"/>
  <c r="HU102" i="1"/>
  <c r="HV102" i="1"/>
  <c r="HW102" i="1"/>
  <c r="HX102" i="1"/>
  <c r="HY102" i="1"/>
  <c r="HZ102" i="1"/>
  <c r="IA102" i="1"/>
  <c r="IB102" i="1"/>
  <c r="IC102" i="1"/>
  <c r="ID102" i="1"/>
  <c r="IE102" i="1"/>
  <c r="IF102" i="1"/>
  <c r="IG102" i="1"/>
  <c r="IH102" i="1"/>
  <c r="H103" i="1"/>
  <c r="I103" i="1"/>
  <c r="L103" i="1"/>
  <c r="O103" i="1"/>
  <c r="R103" i="1"/>
  <c r="S103" i="1"/>
  <c r="T103" i="1"/>
  <c r="U103" i="1"/>
  <c r="W103" i="1"/>
  <c r="X103" i="1"/>
  <c r="Y103" i="1"/>
  <c r="Z103" i="1"/>
  <c r="AA103" i="1"/>
  <c r="AB103" i="1"/>
  <c r="AP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D103" i="1"/>
  <c r="CE103" i="1"/>
  <c r="CF103" i="1"/>
  <c r="CG103" i="1"/>
  <c r="CH103" i="1"/>
  <c r="CI103" i="1"/>
  <c r="CJ103" i="1"/>
  <c r="CK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E103" i="1"/>
  <c r="DH103" i="1"/>
  <c r="DK103" i="1"/>
  <c r="DL103" i="1"/>
  <c r="DM103" i="1"/>
  <c r="DN103" i="1"/>
  <c r="DP103" i="1"/>
  <c r="DS103" i="1"/>
  <c r="DV103" i="1"/>
  <c r="DX103" i="1"/>
  <c r="DY103" i="1"/>
  <c r="ED103" i="1"/>
  <c r="EE103" i="1"/>
  <c r="EF103" i="1"/>
  <c r="EG103" i="1"/>
  <c r="EH103" i="1"/>
  <c r="EI103" i="1"/>
  <c r="EJ103" i="1"/>
  <c r="EK103" i="1"/>
  <c r="FO103" i="1"/>
  <c r="FP103" i="1"/>
  <c r="FQ103" i="1"/>
  <c r="FR103" i="1"/>
  <c r="FS103" i="1"/>
  <c r="FT103" i="1"/>
  <c r="FU103" i="1"/>
  <c r="FV103" i="1"/>
  <c r="FW103" i="1"/>
  <c r="FX103" i="1"/>
  <c r="FY103" i="1"/>
  <c r="FZ103" i="1"/>
  <c r="GA103" i="1"/>
  <c r="GB103" i="1"/>
  <c r="GC103" i="1"/>
  <c r="GD103" i="1"/>
  <c r="GE103" i="1"/>
  <c r="GF103" i="1"/>
  <c r="GG103" i="1"/>
  <c r="GH103" i="1"/>
  <c r="GI103" i="1"/>
  <c r="GJ103" i="1"/>
  <c r="GK103" i="1"/>
  <c r="GL103" i="1"/>
  <c r="GM103" i="1"/>
  <c r="GN103" i="1"/>
  <c r="GO103" i="1"/>
  <c r="GP103" i="1"/>
  <c r="GQ103" i="1"/>
  <c r="GR103" i="1"/>
  <c r="GS103" i="1"/>
  <c r="GT103" i="1"/>
  <c r="GU103" i="1"/>
  <c r="GV103" i="1"/>
  <c r="GW103" i="1"/>
  <c r="GX103" i="1"/>
  <c r="GY103" i="1"/>
  <c r="GZ103" i="1"/>
  <c r="HA103" i="1"/>
  <c r="HB103" i="1"/>
  <c r="HC103" i="1"/>
  <c r="HD103" i="1"/>
  <c r="HE103" i="1"/>
  <c r="HF103" i="1"/>
  <c r="HG103" i="1"/>
  <c r="HH103" i="1"/>
  <c r="HI103" i="1"/>
  <c r="HJ103" i="1"/>
  <c r="HK103" i="1"/>
  <c r="HL103" i="1"/>
  <c r="HM103" i="1"/>
  <c r="HN103" i="1"/>
  <c r="HO103" i="1"/>
  <c r="HP103" i="1"/>
  <c r="HQ103" i="1"/>
  <c r="HR103" i="1"/>
  <c r="HS103" i="1"/>
  <c r="HT103" i="1"/>
  <c r="HU103" i="1"/>
  <c r="HV103" i="1"/>
  <c r="HW103" i="1"/>
  <c r="HX103" i="1"/>
  <c r="HY103" i="1"/>
  <c r="HZ103" i="1"/>
  <c r="IA103" i="1"/>
  <c r="IB103" i="1"/>
  <c r="IC103" i="1"/>
  <c r="ID103" i="1"/>
  <c r="IE103" i="1"/>
  <c r="IF103" i="1"/>
  <c r="IG103" i="1"/>
  <c r="IH103" i="1"/>
  <c r="H104" i="1"/>
  <c r="I104" i="1"/>
  <c r="L104" i="1"/>
  <c r="O104" i="1"/>
  <c r="R104" i="1"/>
  <c r="S104" i="1"/>
  <c r="T104" i="1"/>
  <c r="U104" i="1"/>
  <c r="W104" i="1"/>
  <c r="X104" i="1"/>
  <c r="Y104" i="1"/>
  <c r="Z104" i="1"/>
  <c r="AA104" i="1"/>
  <c r="AB104" i="1"/>
  <c r="AP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D104" i="1"/>
  <c r="CE104" i="1"/>
  <c r="CF104" i="1"/>
  <c r="CG104" i="1"/>
  <c r="CH104" i="1"/>
  <c r="CI104" i="1"/>
  <c r="CJ104" i="1"/>
  <c r="CK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E104" i="1"/>
  <c r="DH104" i="1"/>
  <c r="DK104" i="1"/>
  <c r="DL104" i="1"/>
  <c r="DM104" i="1"/>
  <c r="DN104" i="1"/>
  <c r="DP104" i="1"/>
  <c r="DS104" i="1"/>
  <c r="DV104" i="1"/>
  <c r="DX104" i="1"/>
  <c r="DY104" i="1"/>
  <c r="ED104" i="1"/>
  <c r="EE104" i="1"/>
  <c r="EF104" i="1"/>
  <c r="EG104" i="1"/>
  <c r="EH104" i="1"/>
  <c r="EI104" i="1"/>
  <c r="EJ104" i="1"/>
  <c r="EK104" i="1"/>
  <c r="FO104" i="1"/>
  <c r="FP104" i="1"/>
  <c r="FQ104" i="1"/>
  <c r="FR104" i="1"/>
  <c r="FS104" i="1"/>
  <c r="FT104" i="1"/>
  <c r="FU104" i="1"/>
  <c r="FV104" i="1"/>
  <c r="FW104" i="1"/>
  <c r="FX104" i="1"/>
  <c r="FY104" i="1"/>
  <c r="FZ104" i="1"/>
  <c r="GA104" i="1"/>
  <c r="GB104" i="1"/>
  <c r="GC104" i="1"/>
  <c r="GD104" i="1"/>
  <c r="GE104" i="1"/>
  <c r="GF104" i="1"/>
  <c r="GG104" i="1"/>
  <c r="GH104" i="1"/>
  <c r="GI104" i="1"/>
  <c r="GJ104" i="1"/>
  <c r="GK104" i="1"/>
  <c r="GL104" i="1"/>
  <c r="GM104" i="1"/>
  <c r="GN104" i="1"/>
  <c r="GO104" i="1"/>
  <c r="GP104" i="1"/>
  <c r="GQ104" i="1"/>
  <c r="GR104" i="1"/>
  <c r="GS104" i="1"/>
  <c r="GT104" i="1"/>
  <c r="GU104" i="1"/>
  <c r="GV104" i="1"/>
  <c r="GW104" i="1"/>
  <c r="GX104" i="1"/>
  <c r="GY104" i="1"/>
  <c r="GZ104" i="1"/>
  <c r="HA104" i="1"/>
  <c r="HB104" i="1"/>
  <c r="HC104" i="1"/>
  <c r="HD104" i="1"/>
  <c r="HE104" i="1"/>
  <c r="HF104" i="1"/>
  <c r="HG104" i="1"/>
  <c r="HH104" i="1"/>
  <c r="HI104" i="1"/>
  <c r="HJ104" i="1"/>
  <c r="HK104" i="1"/>
  <c r="HL104" i="1"/>
  <c r="HM104" i="1"/>
  <c r="HN104" i="1"/>
  <c r="HO104" i="1"/>
  <c r="HP104" i="1"/>
  <c r="HQ104" i="1"/>
  <c r="HR104" i="1"/>
  <c r="HS104" i="1"/>
  <c r="HT104" i="1"/>
  <c r="HU104" i="1"/>
  <c r="HV104" i="1"/>
  <c r="HW104" i="1"/>
  <c r="HX104" i="1"/>
  <c r="HY104" i="1"/>
  <c r="HZ104" i="1"/>
  <c r="IA104" i="1"/>
  <c r="IB104" i="1"/>
  <c r="IC104" i="1"/>
  <c r="ID104" i="1"/>
  <c r="IE104" i="1"/>
  <c r="IF104" i="1"/>
  <c r="IG104" i="1"/>
  <c r="IH104" i="1"/>
  <c r="H105" i="1"/>
  <c r="I105" i="1"/>
  <c r="L105" i="1"/>
  <c r="O105" i="1"/>
  <c r="R105" i="1"/>
  <c r="S105" i="1"/>
  <c r="T105" i="1"/>
  <c r="U105" i="1"/>
  <c r="W105" i="1"/>
  <c r="X105" i="1"/>
  <c r="Y105" i="1"/>
  <c r="Z105" i="1"/>
  <c r="AA105" i="1"/>
  <c r="AB105" i="1"/>
  <c r="AP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D105" i="1"/>
  <c r="CE105" i="1"/>
  <c r="CF105" i="1"/>
  <c r="CG105" i="1"/>
  <c r="CH105" i="1"/>
  <c r="CI105" i="1"/>
  <c r="CJ105" i="1"/>
  <c r="CK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E105" i="1"/>
  <c r="DH105" i="1"/>
  <c r="DK105" i="1"/>
  <c r="DL105" i="1"/>
  <c r="DM105" i="1"/>
  <c r="DN105" i="1"/>
  <c r="DP105" i="1"/>
  <c r="DS105" i="1"/>
  <c r="DV105" i="1"/>
  <c r="DX105" i="1"/>
  <c r="DY105" i="1"/>
  <c r="ED105" i="1"/>
  <c r="EE105" i="1"/>
  <c r="EF105" i="1"/>
  <c r="EG105" i="1"/>
  <c r="EH105" i="1"/>
  <c r="EI105" i="1"/>
  <c r="EJ105" i="1"/>
  <c r="EK105" i="1"/>
  <c r="FO105" i="1"/>
  <c r="FP105" i="1"/>
  <c r="FQ105" i="1"/>
  <c r="FR105" i="1"/>
  <c r="FS105" i="1"/>
  <c r="FT105" i="1"/>
  <c r="FU105" i="1"/>
  <c r="FV105" i="1"/>
  <c r="FW105" i="1"/>
  <c r="FX105" i="1"/>
  <c r="FY105" i="1"/>
  <c r="FZ105" i="1"/>
  <c r="GA105" i="1"/>
  <c r="GB105" i="1"/>
  <c r="GC105" i="1"/>
  <c r="GD105" i="1"/>
  <c r="GE105" i="1"/>
  <c r="GF105" i="1"/>
  <c r="GG105" i="1"/>
  <c r="GH105" i="1"/>
  <c r="GI105" i="1"/>
  <c r="GJ105" i="1"/>
  <c r="GK105" i="1"/>
  <c r="GL105" i="1"/>
  <c r="GM105" i="1"/>
  <c r="GN105" i="1"/>
  <c r="GO105" i="1"/>
  <c r="GP105" i="1"/>
  <c r="GQ105" i="1"/>
  <c r="GR105" i="1"/>
  <c r="GS105" i="1"/>
  <c r="GT105" i="1"/>
  <c r="GU105" i="1"/>
  <c r="GV105" i="1"/>
  <c r="GW105" i="1"/>
  <c r="GX105" i="1"/>
  <c r="GY105" i="1"/>
  <c r="GZ105" i="1"/>
  <c r="HA105" i="1"/>
  <c r="HB105" i="1"/>
  <c r="HC105" i="1"/>
  <c r="HD105" i="1"/>
  <c r="HE105" i="1"/>
  <c r="HF105" i="1"/>
  <c r="HG105" i="1"/>
  <c r="HH105" i="1"/>
  <c r="HI105" i="1"/>
  <c r="HJ105" i="1"/>
  <c r="HK105" i="1"/>
  <c r="HL105" i="1"/>
  <c r="HM105" i="1"/>
  <c r="HN105" i="1"/>
  <c r="HO105" i="1"/>
  <c r="HP105" i="1"/>
  <c r="HQ105" i="1"/>
  <c r="HR105" i="1"/>
  <c r="HS105" i="1"/>
  <c r="HT105" i="1"/>
  <c r="HU105" i="1"/>
  <c r="HV105" i="1"/>
  <c r="HW105" i="1"/>
  <c r="HX105" i="1"/>
  <c r="HY105" i="1"/>
  <c r="HZ105" i="1"/>
  <c r="IA105" i="1"/>
  <c r="IB105" i="1"/>
  <c r="IC105" i="1"/>
  <c r="ID105" i="1"/>
  <c r="IE105" i="1"/>
  <c r="IF105" i="1"/>
  <c r="IG105" i="1"/>
  <c r="IH105" i="1"/>
  <c r="H106" i="1"/>
  <c r="I106" i="1"/>
  <c r="L106" i="1"/>
  <c r="O106" i="1"/>
  <c r="R106" i="1"/>
  <c r="S106" i="1"/>
  <c r="T106" i="1"/>
  <c r="U106" i="1"/>
  <c r="W106" i="1"/>
  <c r="X106" i="1"/>
  <c r="Y106" i="1"/>
  <c r="Z106" i="1"/>
  <c r="AA106" i="1"/>
  <c r="AB106" i="1"/>
  <c r="AP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D106" i="1"/>
  <c r="CE106" i="1"/>
  <c r="CF106" i="1"/>
  <c r="CG106" i="1"/>
  <c r="CH106" i="1"/>
  <c r="CI106" i="1"/>
  <c r="CJ106" i="1"/>
  <c r="CK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E106" i="1"/>
  <c r="DH106" i="1"/>
  <c r="DK106" i="1"/>
  <c r="DL106" i="1"/>
  <c r="DM106" i="1"/>
  <c r="DN106" i="1"/>
  <c r="DP106" i="1"/>
  <c r="DS106" i="1"/>
  <c r="DV106" i="1"/>
  <c r="DX106" i="1"/>
  <c r="DY106" i="1"/>
  <c r="ED106" i="1"/>
  <c r="EE106" i="1"/>
  <c r="EF106" i="1"/>
  <c r="EG106" i="1"/>
  <c r="EH106" i="1"/>
  <c r="EI106" i="1"/>
  <c r="EJ106" i="1"/>
  <c r="EK106" i="1"/>
  <c r="FO106" i="1"/>
  <c r="FP106" i="1"/>
  <c r="FQ106" i="1"/>
  <c r="FR106" i="1"/>
  <c r="FS106" i="1"/>
  <c r="FT106" i="1"/>
  <c r="FU106" i="1"/>
  <c r="FV106" i="1"/>
  <c r="FW106" i="1"/>
  <c r="FX106" i="1"/>
  <c r="FY106" i="1"/>
  <c r="FZ106" i="1"/>
  <c r="GA106" i="1"/>
  <c r="GB106" i="1"/>
  <c r="GC106" i="1"/>
  <c r="GD106" i="1"/>
  <c r="GE106" i="1"/>
  <c r="GF106" i="1"/>
  <c r="GG106" i="1"/>
  <c r="GH106" i="1"/>
  <c r="GI106" i="1"/>
  <c r="GJ106" i="1"/>
  <c r="GK106" i="1"/>
  <c r="GL106" i="1"/>
  <c r="GM106" i="1"/>
  <c r="GN106" i="1"/>
  <c r="GO106" i="1"/>
  <c r="GP106" i="1"/>
  <c r="GQ106" i="1"/>
  <c r="GR106" i="1"/>
  <c r="GS106" i="1"/>
  <c r="GT106" i="1"/>
  <c r="GU106" i="1"/>
  <c r="GV106" i="1"/>
  <c r="GW106" i="1"/>
  <c r="GX106" i="1"/>
  <c r="GY106" i="1"/>
  <c r="GZ106" i="1"/>
  <c r="HA106" i="1"/>
  <c r="HB106" i="1"/>
  <c r="HC106" i="1"/>
  <c r="HD106" i="1"/>
  <c r="HE106" i="1"/>
  <c r="HF106" i="1"/>
  <c r="HG106" i="1"/>
  <c r="HH106" i="1"/>
  <c r="HI106" i="1"/>
  <c r="HJ106" i="1"/>
  <c r="HK106" i="1"/>
  <c r="HL106" i="1"/>
  <c r="HM106" i="1"/>
  <c r="HN106" i="1"/>
  <c r="HO106" i="1"/>
  <c r="HP106" i="1"/>
  <c r="HQ106" i="1"/>
  <c r="HR106" i="1"/>
  <c r="HS106" i="1"/>
  <c r="HT106" i="1"/>
  <c r="HU106" i="1"/>
  <c r="HV106" i="1"/>
  <c r="HW106" i="1"/>
  <c r="HX106" i="1"/>
  <c r="HY106" i="1"/>
  <c r="HZ106" i="1"/>
  <c r="IA106" i="1"/>
  <c r="IB106" i="1"/>
  <c r="IC106" i="1"/>
  <c r="ID106" i="1"/>
  <c r="IE106" i="1"/>
  <c r="IF106" i="1"/>
  <c r="IG106" i="1"/>
  <c r="IH106" i="1"/>
  <c r="H107" i="1"/>
  <c r="I107" i="1"/>
  <c r="L107" i="1"/>
  <c r="O107" i="1"/>
  <c r="R107" i="1"/>
  <c r="S107" i="1"/>
  <c r="T107" i="1"/>
  <c r="U107" i="1"/>
  <c r="W107" i="1"/>
  <c r="X107" i="1"/>
  <c r="Y107" i="1"/>
  <c r="Z107" i="1"/>
  <c r="AA107" i="1"/>
  <c r="AB107" i="1"/>
  <c r="AP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D107" i="1"/>
  <c r="CE107" i="1"/>
  <c r="CF107" i="1"/>
  <c r="CG107" i="1"/>
  <c r="CH107" i="1"/>
  <c r="CI107" i="1"/>
  <c r="CJ107" i="1"/>
  <c r="CK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E107" i="1"/>
  <c r="DH107" i="1"/>
  <c r="DK107" i="1"/>
  <c r="DL107" i="1"/>
  <c r="DM107" i="1"/>
  <c r="DN107" i="1"/>
  <c r="DP107" i="1"/>
  <c r="DS107" i="1"/>
  <c r="DV107" i="1"/>
  <c r="DX107" i="1"/>
  <c r="DY107" i="1"/>
  <c r="ED107" i="1"/>
  <c r="EE107" i="1"/>
  <c r="EF107" i="1"/>
  <c r="EG107" i="1"/>
  <c r="EH107" i="1"/>
  <c r="EI107" i="1"/>
  <c r="EJ107" i="1"/>
  <c r="EK107" i="1"/>
  <c r="FO107" i="1"/>
  <c r="FP107" i="1"/>
  <c r="FQ107" i="1"/>
  <c r="FR107" i="1"/>
  <c r="FS107" i="1"/>
  <c r="FT107" i="1"/>
  <c r="FU107" i="1"/>
  <c r="FV107" i="1"/>
  <c r="FW107" i="1"/>
  <c r="FX107" i="1"/>
  <c r="FY107" i="1"/>
  <c r="FZ107" i="1"/>
  <c r="GA107" i="1"/>
  <c r="GB107" i="1"/>
  <c r="GC107" i="1"/>
  <c r="GD107" i="1"/>
  <c r="GE107" i="1"/>
  <c r="GF107" i="1"/>
  <c r="GG107" i="1"/>
  <c r="GH107" i="1"/>
  <c r="GI107" i="1"/>
  <c r="GJ107" i="1"/>
  <c r="GK107" i="1"/>
  <c r="GL107" i="1"/>
  <c r="GM107" i="1"/>
  <c r="GN107" i="1"/>
  <c r="GO107" i="1"/>
  <c r="GP107" i="1"/>
  <c r="GQ107" i="1"/>
  <c r="GR107" i="1"/>
  <c r="GS107" i="1"/>
  <c r="GT107" i="1"/>
  <c r="GU107" i="1"/>
  <c r="GV107" i="1"/>
  <c r="GW107" i="1"/>
  <c r="GX107" i="1"/>
  <c r="GY107" i="1"/>
  <c r="GZ107" i="1"/>
  <c r="HA107" i="1"/>
  <c r="HB107" i="1"/>
  <c r="HC107" i="1"/>
  <c r="HD107" i="1"/>
  <c r="HE107" i="1"/>
  <c r="HF107" i="1"/>
  <c r="HG107" i="1"/>
  <c r="HH107" i="1"/>
  <c r="HI107" i="1"/>
  <c r="HJ107" i="1"/>
  <c r="HK107" i="1"/>
  <c r="HL107" i="1"/>
  <c r="HM107" i="1"/>
  <c r="HN107" i="1"/>
  <c r="HO107" i="1"/>
  <c r="HP107" i="1"/>
  <c r="HQ107" i="1"/>
  <c r="HR107" i="1"/>
  <c r="HS107" i="1"/>
  <c r="HT107" i="1"/>
  <c r="HU107" i="1"/>
  <c r="HV107" i="1"/>
  <c r="HW107" i="1"/>
  <c r="HX107" i="1"/>
  <c r="HY107" i="1"/>
  <c r="HZ107" i="1"/>
  <c r="IA107" i="1"/>
  <c r="IB107" i="1"/>
  <c r="IC107" i="1"/>
  <c r="ID107" i="1"/>
  <c r="IE107" i="1"/>
  <c r="IF107" i="1"/>
  <c r="IG107" i="1"/>
  <c r="IH107" i="1"/>
  <c r="H108" i="1"/>
  <c r="I108" i="1"/>
  <c r="L108" i="1"/>
  <c r="O108" i="1"/>
  <c r="R108" i="1"/>
  <c r="S108" i="1"/>
  <c r="T108" i="1"/>
  <c r="U108" i="1"/>
  <c r="W108" i="1"/>
  <c r="X108" i="1"/>
  <c r="Y108" i="1"/>
  <c r="Z108" i="1"/>
  <c r="AA108" i="1"/>
  <c r="AB108" i="1"/>
  <c r="AP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D108" i="1"/>
  <c r="CE108" i="1"/>
  <c r="CF108" i="1"/>
  <c r="CG108" i="1"/>
  <c r="CH108" i="1"/>
  <c r="CI108" i="1"/>
  <c r="CJ108" i="1"/>
  <c r="CK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E108" i="1"/>
  <c r="DH108" i="1"/>
  <c r="DK108" i="1"/>
  <c r="DL108" i="1"/>
  <c r="DM108" i="1"/>
  <c r="DN108" i="1"/>
  <c r="DP108" i="1"/>
  <c r="DS108" i="1"/>
  <c r="DV108" i="1"/>
  <c r="DX108" i="1"/>
  <c r="DY108" i="1"/>
  <c r="ED108" i="1"/>
  <c r="EE108" i="1"/>
  <c r="EF108" i="1"/>
  <c r="EG108" i="1"/>
  <c r="EH108" i="1"/>
  <c r="EI108" i="1"/>
  <c r="EJ108" i="1"/>
  <c r="EK108" i="1"/>
  <c r="FO108" i="1"/>
  <c r="FP108" i="1"/>
  <c r="FQ108" i="1"/>
  <c r="FR108" i="1"/>
  <c r="FS108" i="1"/>
  <c r="FT108" i="1"/>
  <c r="FU108" i="1"/>
  <c r="FV108" i="1"/>
  <c r="FW108" i="1"/>
  <c r="FX108" i="1"/>
  <c r="FY108" i="1"/>
  <c r="FZ108" i="1"/>
  <c r="GA108" i="1"/>
  <c r="GB108" i="1"/>
  <c r="GC108" i="1"/>
  <c r="GD108" i="1"/>
  <c r="GE108" i="1"/>
  <c r="GF108" i="1"/>
  <c r="GG108" i="1"/>
  <c r="GH108" i="1"/>
  <c r="GI108" i="1"/>
  <c r="GJ108" i="1"/>
  <c r="GK108" i="1"/>
  <c r="GL108" i="1"/>
  <c r="GM108" i="1"/>
  <c r="GN108" i="1"/>
  <c r="GO108" i="1"/>
  <c r="GP108" i="1"/>
  <c r="GQ108" i="1"/>
  <c r="GR108" i="1"/>
  <c r="GS108" i="1"/>
  <c r="GT108" i="1"/>
  <c r="GU108" i="1"/>
  <c r="GV108" i="1"/>
  <c r="GW108" i="1"/>
  <c r="GX108" i="1"/>
  <c r="GY108" i="1"/>
  <c r="GZ108" i="1"/>
  <c r="HA108" i="1"/>
  <c r="HB108" i="1"/>
  <c r="HC108" i="1"/>
  <c r="HD108" i="1"/>
  <c r="HE108" i="1"/>
  <c r="HF108" i="1"/>
  <c r="HG108" i="1"/>
  <c r="HH108" i="1"/>
  <c r="HI108" i="1"/>
  <c r="HJ108" i="1"/>
  <c r="HK108" i="1"/>
  <c r="HL108" i="1"/>
  <c r="HM108" i="1"/>
  <c r="HN108" i="1"/>
  <c r="HO108" i="1"/>
  <c r="HP108" i="1"/>
  <c r="HQ108" i="1"/>
  <c r="HR108" i="1"/>
  <c r="HS108" i="1"/>
  <c r="HT108" i="1"/>
  <c r="HU108" i="1"/>
  <c r="HV108" i="1"/>
  <c r="HW108" i="1"/>
  <c r="HX108" i="1"/>
  <c r="HY108" i="1"/>
  <c r="HZ108" i="1"/>
  <c r="IA108" i="1"/>
  <c r="IB108" i="1"/>
  <c r="IC108" i="1"/>
  <c r="ID108" i="1"/>
  <c r="IE108" i="1"/>
  <c r="IF108" i="1"/>
  <c r="IG108" i="1"/>
  <c r="IH108" i="1"/>
  <c r="H109" i="1"/>
  <c r="I109" i="1"/>
  <c r="L109" i="1"/>
  <c r="O109" i="1"/>
  <c r="R109" i="1"/>
  <c r="S109" i="1"/>
  <c r="T109" i="1"/>
  <c r="U109" i="1"/>
  <c r="W109" i="1"/>
  <c r="X109" i="1"/>
  <c r="Y109" i="1"/>
  <c r="Z109" i="1"/>
  <c r="AA109" i="1"/>
  <c r="AB109" i="1"/>
  <c r="AP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D109" i="1"/>
  <c r="CE109" i="1"/>
  <c r="CF109" i="1"/>
  <c r="CG109" i="1"/>
  <c r="CH109" i="1"/>
  <c r="CI109" i="1"/>
  <c r="CJ109" i="1"/>
  <c r="CK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E109" i="1"/>
  <c r="DH109" i="1"/>
  <c r="DK109" i="1"/>
  <c r="DL109" i="1"/>
  <c r="DM109" i="1"/>
  <c r="DN109" i="1"/>
  <c r="DP109" i="1"/>
  <c r="DS109" i="1"/>
  <c r="DV109" i="1"/>
  <c r="DX109" i="1"/>
  <c r="DY109" i="1"/>
  <c r="ED109" i="1"/>
  <c r="EE109" i="1"/>
  <c r="EF109" i="1"/>
  <c r="EG109" i="1"/>
  <c r="EH109" i="1"/>
  <c r="EI109" i="1"/>
  <c r="EJ109" i="1"/>
  <c r="EK109" i="1"/>
  <c r="FO109" i="1"/>
  <c r="FP109" i="1"/>
  <c r="FQ109" i="1"/>
  <c r="FR109" i="1"/>
  <c r="FS109" i="1"/>
  <c r="FT109" i="1"/>
  <c r="FU109" i="1"/>
  <c r="FV109" i="1"/>
  <c r="FW109" i="1"/>
  <c r="FX109" i="1"/>
  <c r="FY109" i="1"/>
  <c r="FZ109" i="1"/>
  <c r="GA109" i="1"/>
  <c r="GB109" i="1"/>
  <c r="GC109" i="1"/>
  <c r="GD109" i="1"/>
  <c r="GE109" i="1"/>
  <c r="GF109" i="1"/>
  <c r="GG109" i="1"/>
  <c r="GH109" i="1"/>
  <c r="GI109" i="1"/>
  <c r="GJ109" i="1"/>
  <c r="GK109" i="1"/>
  <c r="GL109" i="1"/>
  <c r="GM109" i="1"/>
  <c r="GN109" i="1"/>
  <c r="GO109" i="1"/>
  <c r="GP109" i="1"/>
  <c r="GQ109" i="1"/>
  <c r="GR109" i="1"/>
  <c r="GS109" i="1"/>
  <c r="GT109" i="1"/>
  <c r="GU109" i="1"/>
  <c r="GV109" i="1"/>
  <c r="GW109" i="1"/>
  <c r="GX109" i="1"/>
  <c r="GY109" i="1"/>
  <c r="GZ109" i="1"/>
  <c r="HA109" i="1"/>
  <c r="HB109" i="1"/>
  <c r="HC109" i="1"/>
  <c r="HD109" i="1"/>
  <c r="HE109" i="1"/>
  <c r="HF109" i="1"/>
  <c r="HG109" i="1"/>
  <c r="HH109" i="1"/>
  <c r="HI109" i="1"/>
  <c r="HJ109" i="1"/>
  <c r="HK109" i="1"/>
  <c r="HL109" i="1"/>
  <c r="HM109" i="1"/>
  <c r="HN109" i="1"/>
  <c r="HO109" i="1"/>
  <c r="HP109" i="1"/>
  <c r="HQ109" i="1"/>
  <c r="HR109" i="1"/>
  <c r="HS109" i="1"/>
  <c r="HT109" i="1"/>
  <c r="HU109" i="1"/>
  <c r="HV109" i="1"/>
  <c r="HW109" i="1"/>
  <c r="HX109" i="1"/>
  <c r="HY109" i="1"/>
  <c r="HZ109" i="1"/>
  <c r="IA109" i="1"/>
  <c r="IB109" i="1"/>
  <c r="IC109" i="1"/>
  <c r="ID109" i="1"/>
  <c r="IE109" i="1"/>
  <c r="IF109" i="1"/>
  <c r="IG109" i="1"/>
  <c r="IH109" i="1"/>
  <c r="H110" i="1"/>
  <c r="I110" i="1"/>
  <c r="L110" i="1"/>
  <c r="O110" i="1"/>
  <c r="R110" i="1"/>
  <c r="S110" i="1"/>
  <c r="T110" i="1"/>
  <c r="U110" i="1"/>
  <c r="W110" i="1"/>
  <c r="X110" i="1"/>
  <c r="Y110" i="1"/>
  <c r="Z110" i="1"/>
  <c r="AA110" i="1"/>
  <c r="AB110" i="1"/>
  <c r="AP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D110" i="1"/>
  <c r="CE110" i="1"/>
  <c r="CF110" i="1"/>
  <c r="CG110" i="1"/>
  <c r="CH110" i="1"/>
  <c r="CI110" i="1"/>
  <c r="CJ110" i="1"/>
  <c r="CK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E110" i="1"/>
  <c r="DH110" i="1"/>
  <c r="DK110" i="1"/>
  <c r="DL110" i="1"/>
  <c r="DM110" i="1"/>
  <c r="DN110" i="1"/>
  <c r="DP110" i="1"/>
  <c r="DS110" i="1"/>
  <c r="DV110" i="1"/>
  <c r="DX110" i="1"/>
  <c r="DY110" i="1"/>
  <c r="ED110" i="1"/>
  <c r="EE110" i="1"/>
  <c r="EF110" i="1"/>
  <c r="EG110" i="1"/>
  <c r="EH110" i="1"/>
  <c r="EI110" i="1"/>
  <c r="EJ110" i="1"/>
  <c r="EK110" i="1"/>
  <c r="FO110" i="1"/>
  <c r="FP110" i="1"/>
  <c r="FQ110" i="1"/>
  <c r="FR110" i="1"/>
  <c r="FS110" i="1"/>
  <c r="FT110" i="1"/>
  <c r="FU110" i="1"/>
  <c r="FV110" i="1"/>
  <c r="FW110" i="1"/>
  <c r="FX110" i="1"/>
  <c r="FY110" i="1"/>
  <c r="FZ110" i="1"/>
  <c r="GA110" i="1"/>
  <c r="GB110" i="1"/>
  <c r="GC110" i="1"/>
  <c r="GD110" i="1"/>
  <c r="GE110" i="1"/>
  <c r="GF110" i="1"/>
  <c r="GG110" i="1"/>
  <c r="GH110" i="1"/>
  <c r="GI110" i="1"/>
  <c r="GJ110" i="1"/>
  <c r="GK110" i="1"/>
  <c r="GL110" i="1"/>
  <c r="GM110" i="1"/>
  <c r="GN110" i="1"/>
  <c r="GO110" i="1"/>
  <c r="GP110" i="1"/>
  <c r="GQ110" i="1"/>
  <c r="GR110" i="1"/>
  <c r="GS110" i="1"/>
  <c r="GT110" i="1"/>
  <c r="GU110" i="1"/>
  <c r="GV110" i="1"/>
  <c r="GW110" i="1"/>
  <c r="GX110" i="1"/>
  <c r="GY110" i="1"/>
  <c r="GZ110" i="1"/>
  <c r="HA110" i="1"/>
  <c r="HB110" i="1"/>
  <c r="HC110" i="1"/>
  <c r="HD110" i="1"/>
  <c r="HE110" i="1"/>
  <c r="HF110" i="1"/>
  <c r="HG110" i="1"/>
  <c r="HH110" i="1"/>
  <c r="HI110" i="1"/>
  <c r="HJ110" i="1"/>
  <c r="HK110" i="1"/>
  <c r="HL110" i="1"/>
  <c r="HM110" i="1"/>
  <c r="HN110" i="1"/>
  <c r="HO110" i="1"/>
  <c r="HP110" i="1"/>
  <c r="HQ110" i="1"/>
  <c r="HR110" i="1"/>
  <c r="HS110" i="1"/>
  <c r="HT110" i="1"/>
  <c r="HU110" i="1"/>
  <c r="HV110" i="1"/>
  <c r="HW110" i="1"/>
  <c r="HX110" i="1"/>
  <c r="HY110" i="1"/>
  <c r="HZ110" i="1"/>
  <c r="IA110" i="1"/>
  <c r="IB110" i="1"/>
  <c r="IC110" i="1"/>
  <c r="ID110" i="1"/>
  <c r="IE110" i="1"/>
  <c r="IF110" i="1"/>
  <c r="IG110" i="1"/>
  <c r="IH110" i="1"/>
  <c r="H111" i="1"/>
  <c r="I111" i="1"/>
  <c r="L111" i="1"/>
  <c r="O111" i="1"/>
  <c r="R111" i="1"/>
  <c r="S111" i="1"/>
  <c r="T111" i="1"/>
  <c r="U111" i="1"/>
  <c r="W111" i="1"/>
  <c r="X111" i="1"/>
  <c r="Y111" i="1"/>
  <c r="Z111" i="1"/>
  <c r="AA111" i="1"/>
  <c r="AB111" i="1"/>
  <c r="AP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D111" i="1"/>
  <c r="CE111" i="1"/>
  <c r="CF111" i="1"/>
  <c r="CG111" i="1"/>
  <c r="CH111" i="1"/>
  <c r="CI111" i="1"/>
  <c r="CJ111" i="1"/>
  <c r="CK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E111" i="1"/>
  <c r="DH111" i="1"/>
  <c r="DK111" i="1"/>
  <c r="DL111" i="1"/>
  <c r="DM111" i="1"/>
  <c r="DN111" i="1"/>
  <c r="DP111" i="1"/>
  <c r="DS111" i="1"/>
  <c r="DV111" i="1"/>
  <c r="DX111" i="1"/>
  <c r="DY111" i="1"/>
  <c r="ED111" i="1"/>
  <c r="EE111" i="1"/>
  <c r="EF111" i="1"/>
  <c r="EG111" i="1"/>
  <c r="EH111" i="1"/>
  <c r="EI111" i="1"/>
  <c r="EJ111" i="1"/>
  <c r="EK111" i="1"/>
  <c r="FO111" i="1"/>
  <c r="FP111" i="1"/>
  <c r="FQ111" i="1"/>
  <c r="FR111" i="1"/>
  <c r="FS111" i="1"/>
  <c r="FT111" i="1"/>
  <c r="FU111" i="1"/>
  <c r="FV111" i="1"/>
  <c r="FW111" i="1"/>
  <c r="FX111" i="1"/>
  <c r="FY111" i="1"/>
  <c r="FZ111" i="1"/>
  <c r="GA111" i="1"/>
  <c r="GB111" i="1"/>
  <c r="GC111" i="1"/>
  <c r="GD111" i="1"/>
  <c r="GE111" i="1"/>
  <c r="GF111" i="1"/>
  <c r="GG111" i="1"/>
  <c r="GH111" i="1"/>
  <c r="GI111" i="1"/>
  <c r="GJ111" i="1"/>
  <c r="GK111" i="1"/>
  <c r="GL111" i="1"/>
  <c r="GM111" i="1"/>
  <c r="GN111" i="1"/>
  <c r="GO111" i="1"/>
  <c r="GP111" i="1"/>
  <c r="GQ111" i="1"/>
  <c r="GR111" i="1"/>
  <c r="GS111" i="1"/>
  <c r="GT111" i="1"/>
  <c r="GU111" i="1"/>
  <c r="GV111" i="1"/>
  <c r="GW111" i="1"/>
  <c r="GX111" i="1"/>
  <c r="GY111" i="1"/>
  <c r="GZ111" i="1"/>
  <c r="HA111" i="1"/>
  <c r="HB111" i="1"/>
  <c r="HC111" i="1"/>
  <c r="HD111" i="1"/>
  <c r="HE111" i="1"/>
  <c r="HF111" i="1"/>
  <c r="HG111" i="1"/>
  <c r="HH111" i="1"/>
  <c r="HI111" i="1"/>
  <c r="HJ111" i="1"/>
  <c r="HK111" i="1"/>
  <c r="HL111" i="1"/>
  <c r="HM111" i="1"/>
  <c r="HN111" i="1"/>
  <c r="HO111" i="1"/>
  <c r="HP111" i="1"/>
  <c r="HQ111" i="1"/>
  <c r="HR111" i="1"/>
  <c r="HS111" i="1"/>
  <c r="HT111" i="1"/>
  <c r="HU111" i="1"/>
  <c r="HV111" i="1"/>
  <c r="HW111" i="1"/>
  <c r="HX111" i="1"/>
  <c r="HY111" i="1"/>
  <c r="HZ111" i="1"/>
  <c r="IA111" i="1"/>
  <c r="IB111" i="1"/>
  <c r="IC111" i="1"/>
  <c r="ID111" i="1"/>
  <c r="IE111" i="1"/>
  <c r="IF111" i="1"/>
  <c r="IG111" i="1"/>
  <c r="IH111" i="1"/>
  <c r="H112" i="1"/>
  <c r="I112" i="1"/>
  <c r="L112" i="1"/>
  <c r="O112" i="1"/>
  <c r="R112" i="1"/>
  <c r="S112" i="1"/>
  <c r="T112" i="1"/>
  <c r="U112" i="1"/>
  <c r="W112" i="1"/>
  <c r="X112" i="1"/>
  <c r="Y112" i="1"/>
  <c r="Z112" i="1"/>
  <c r="AA112" i="1"/>
  <c r="AB112" i="1"/>
  <c r="AP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D112" i="1"/>
  <c r="CE112" i="1"/>
  <c r="CF112" i="1"/>
  <c r="CG112" i="1"/>
  <c r="CH112" i="1"/>
  <c r="CI112" i="1"/>
  <c r="CJ112" i="1"/>
  <c r="CK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E112" i="1"/>
  <c r="DH112" i="1"/>
  <c r="DK112" i="1"/>
  <c r="DL112" i="1"/>
  <c r="DM112" i="1"/>
  <c r="DN112" i="1"/>
  <c r="DP112" i="1"/>
  <c r="DS112" i="1"/>
  <c r="DV112" i="1"/>
  <c r="DX112" i="1"/>
  <c r="DY112" i="1"/>
  <c r="ED112" i="1"/>
  <c r="EE112" i="1"/>
  <c r="EF112" i="1"/>
  <c r="EG112" i="1"/>
  <c r="EH112" i="1"/>
  <c r="EI112" i="1"/>
  <c r="EJ112" i="1"/>
  <c r="EK112" i="1"/>
  <c r="FO112" i="1"/>
  <c r="FP112" i="1"/>
  <c r="FQ112" i="1"/>
  <c r="FR112" i="1"/>
  <c r="FS112" i="1"/>
  <c r="FT112" i="1"/>
  <c r="FU112" i="1"/>
  <c r="FV112" i="1"/>
  <c r="FW112" i="1"/>
  <c r="FX112" i="1"/>
  <c r="FY112" i="1"/>
  <c r="FZ112" i="1"/>
  <c r="GA112" i="1"/>
  <c r="GB112" i="1"/>
  <c r="GC112" i="1"/>
  <c r="GD112" i="1"/>
  <c r="GE112" i="1"/>
  <c r="GF112" i="1"/>
  <c r="GG112" i="1"/>
  <c r="GH112" i="1"/>
  <c r="GI112" i="1"/>
  <c r="GJ112" i="1"/>
  <c r="GK112" i="1"/>
  <c r="GL112" i="1"/>
  <c r="GM112" i="1"/>
  <c r="GN112" i="1"/>
  <c r="GO112" i="1"/>
  <c r="GP112" i="1"/>
  <c r="GQ112" i="1"/>
  <c r="GR112" i="1"/>
  <c r="GS112" i="1"/>
  <c r="GT112" i="1"/>
  <c r="GU112" i="1"/>
  <c r="GV112" i="1"/>
  <c r="GW112" i="1"/>
  <c r="GX112" i="1"/>
  <c r="GY112" i="1"/>
  <c r="GZ112" i="1"/>
  <c r="HA112" i="1"/>
  <c r="HB112" i="1"/>
  <c r="HC112" i="1"/>
  <c r="HD112" i="1"/>
  <c r="HE112" i="1"/>
  <c r="HF112" i="1"/>
  <c r="HG112" i="1"/>
  <c r="HH112" i="1"/>
  <c r="HI112" i="1"/>
  <c r="HJ112" i="1"/>
  <c r="HK112" i="1"/>
  <c r="HL112" i="1"/>
  <c r="HM112" i="1"/>
  <c r="HN112" i="1"/>
  <c r="HO112" i="1"/>
  <c r="HP112" i="1"/>
  <c r="HQ112" i="1"/>
  <c r="HR112" i="1"/>
  <c r="HS112" i="1"/>
  <c r="HT112" i="1"/>
  <c r="HU112" i="1"/>
  <c r="HV112" i="1"/>
  <c r="HW112" i="1"/>
  <c r="HX112" i="1"/>
  <c r="HY112" i="1"/>
  <c r="HZ112" i="1"/>
  <c r="IA112" i="1"/>
  <c r="IB112" i="1"/>
  <c r="IC112" i="1"/>
  <c r="ID112" i="1"/>
  <c r="IE112" i="1"/>
  <c r="IF112" i="1"/>
  <c r="IG112" i="1"/>
  <c r="IH112" i="1"/>
  <c r="H113" i="1"/>
  <c r="I113" i="1"/>
  <c r="L113" i="1"/>
  <c r="O113" i="1"/>
  <c r="R113" i="1"/>
  <c r="S113" i="1"/>
  <c r="T113" i="1"/>
  <c r="U113" i="1"/>
  <c r="W113" i="1"/>
  <c r="X113" i="1"/>
  <c r="Y113" i="1"/>
  <c r="Z113" i="1"/>
  <c r="AA113" i="1"/>
  <c r="AB113" i="1"/>
  <c r="AP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D113" i="1"/>
  <c r="CE113" i="1"/>
  <c r="CF113" i="1"/>
  <c r="CG113" i="1"/>
  <c r="CH113" i="1"/>
  <c r="CI113" i="1"/>
  <c r="CJ113" i="1"/>
  <c r="CK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E113" i="1"/>
  <c r="DH113" i="1"/>
  <c r="DK113" i="1"/>
  <c r="DL113" i="1"/>
  <c r="DM113" i="1"/>
  <c r="DN113" i="1"/>
  <c r="DP113" i="1"/>
  <c r="DS113" i="1"/>
  <c r="DV113" i="1"/>
  <c r="DX113" i="1"/>
  <c r="DY113" i="1"/>
  <c r="ED113" i="1"/>
  <c r="EE113" i="1"/>
  <c r="EF113" i="1"/>
  <c r="EG113" i="1"/>
  <c r="EH113" i="1"/>
  <c r="EI113" i="1"/>
  <c r="EJ113" i="1"/>
  <c r="EK113" i="1"/>
  <c r="FO113" i="1"/>
  <c r="FP113" i="1"/>
  <c r="FQ113" i="1"/>
  <c r="FR113" i="1"/>
  <c r="FS113" i="1"/>
  <c r="FT113" i="1"/>
  <c r="FU113" i="1"/>
  <c r="FV113" i="1"/>
  <c r="FW113" i="1"/>
  <c r="FX113" i="1"/>
  <c r="FY113" i="1"/>
  <c r="FZ113" i="1"/>
  <c r="GA113" i="1"/>
  <c r="GB113" i="1"/>
  <c r="GC113" i="1"/>
  <c r="GD113" i="1"/>
  <c r="GE113" i="1"/>
  <c r="GF113" i="1"/>
  <c r="GG113" i="1"/>
  <c r="GH113" i="1"/>
  <c r="GI113" i="1"/>
  <c r="GJ113" i="1"/>
  <c r="GK113" i="1"/>
  <c r="GL113" i="1"/>
  <c r="GM113" i="1"/>
  <c r="GN113" i="1"/>
  <c r="GO113" i="1"/>
  <c r="GP113" i="1"/>
  <c r="GQ113" i="1"/>
  <c r="GR113" i="1"/>
  <c r="GS113" i="1"/>
  <c r="GT113" i="1"/>
  <c r="GU113" i="1"/>
  <c r="GV113" i="1"/>
  <c r="GW113" i="1"/>
  <c r="GX113" i="1"/>
  <c r="GY113" i="1"/>
  <c r="GZ113" i="1"/>
  <c r="HA113" i="1"/>
  <c r="HB113" i="1"/>
  <c r="HC113" i="1"/>
  <c r="HD113" i="1"/>
  <c r="HE113" i="1"/>
  <c r="HF113" i="1"/>
  <c r="HG113" i="1"/>
  <c r="HH113" i="1"/>
  <c r="HI113" i="1"/>
  <c r="HJ113" i="1"/>
  <c r="HK113" i="1"/>
  <c r="HL113" i="1"/>
  <c r="HM113" i="1"/>
  <c r="HN113" i="1"/>
  <c r="HO113" i="1"/>
  <c r="HP113" i="1"/>
  <c r="HQ113" i="1"/>
  <c r="HR113" i="1"/>
  <c r="HS113" i="1"/>
  <c r="HT113" i="1"/>
  <c r="HU113" i="1"/>
  <c r="HV113" i="1"/>
  <c r="HW113" i="1"/>
  <c r="HX113" i="1"/>
  <c r="HY113" i="1"/>
  <c r="HZ113" i="1"/>
  <c r="IA113" i="1"/>
  <c r="IB113" i="1"/>
  <c r="IC113" i="1"/>
  <c r="ID113" i="1"/>
  <c r="IE113" i="1"/>
  <c r="IF113" i="1"/>
  <c r="IG113" i="1"/>
  <c r="IH113" i="1"/>
  <c r="H114" i="1"/>
  <c r="I114" i="1"/>
  <c r="L114" i="1"/>
  <c r="O114" i="1"/>
  <c r="R114" i="1"/>
  <c r="S114" i="1"/>
  <c r="T114" i="1"/>
  <c r="U114" i="1"/>
  <c r="W114" i="1"/>
  <c r="X114" i="1"/>
  <c r="Y114" i="1"/>
  <c r="Z114" i="1"/>
  <c r="AA114" i="1"/>
  <c r="AB114" i="1"/>
  <c r="AP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D114" i="1"/>
  <c r="CE114" i="1"/>
  <c r="CF114" i="1"/>
  <c r="CG114" i="1"/>
  <c r="CH114" i="1"/>
  <c r="CI114" i="1"/>
  <c r="CJ114" i="1"/>
  <c r="CK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E114" i="1"/>
  <c r="DH114" i="1"/>
  <c r="DK114" i="1"/>
  <c r="DL114" i="1"/>
  <c r="DM114" i="1"/>
  <c r="DN114" i="1"/>
  <c r="DP114" i="1"/>
  <c r="DS114" i="1"/>
  <c r="DV114" i="1"/>
  <c r="DX114" i="1"/>
  <c r="DY114" i="1"/>
  <c r="ED114" i="1"/>
  <c r="EE114" i="1"/>
  <c r="EF114" i="1"/>
  <c r="EG114" i="1"/>
  <c r="EH114" i="1"/>
  <c r="EI114" i="1"/>
  <c r="EJ114" i="1"/>
  <c r="EK114" i="1"/>
  <c r="FO114" i="1"/>
  <c r="FP114" i="1"/>
  <c r="FQ114" i="1"/>
  <c r="FR114" i="1"/>
  <c r="FS114" i="1"/>
  <c r="FT114" i="1"/>
  <c r="FU114" i="1"/>
  <c r="FV114" i="1"/>
  <c r="FW114" i="1"/>
  <c r="FX114" i="1"/>
  <c r="FY114" i="1"/>
  <c r="FZ114" i="1"/>
  <c r="GA114" i="1"/>
  <c r="GB114" i="1"/>
  <c r="GC114" i="1"/>
  <c r="GD114" i="1"/>
  <c r="GE114" i="1"/>
  <c r="GF114" i="1"/>
  <c r="GG114" i="1"/>
  <c r="GH114" i="1"/>
  <c r="GI114" i="1"/>
  <c r="GJ114" i="1"/>
  <c r="GK114" i="1"/>
  <c r="GL114" i="1"/>
  <c r="GM114" i="1"/>
  <c r="GN114" i="1"/>
  <c r="GO114" i="1"/>
  <c r="GP114" i="1"/>
  <c r="GQ114" i="1"/>
  <c r="GR114" i="1"/>
  <c r="GS114" i="1"/>
  <c r="GT114" i="1"/>
  <c r="GU114" i="1"/>
  <c r="GV114" i="1"/>
  <c r="GW114" i="1"/>
  <c r="GX114" i="1"/>
  <c r="GY114" i="1"/>
  <c r="GZ114" i="1"/>
  <c r="HA114" i="1"/>
  <c r="HB114" i="1"/>
  <c r="HC114" i="1"/>
  <c r="HD114" i="1"/>
  <c r="HE114" i="1"/>
  <c r="HF114" i="1"/>
  <c r="HG114" i="1"/>
  <c r="HH114" i="1"/>
  <c r="HI114" i="1"/>
  <c r="HJ114" i="1"/>
  <c r="HK114" i="1"/>
  <c r="HL114" i="1"/>
  <c r="HM114" i="1"/>
  <c r="HN114" i="1"/>
  <c r="HO114" i="1"/>
  <c r="HP114" i="1"/>
  <c r="HQ114" i="1"/>
  <c r="HR114" i="1"/>
  <c r="HS114" i="1"/>
  <c r="HT114" i="1"/>
  <c r="HU114" i="1"/>
  <c r="HV114" i="1"/>
  <c r="HW114" i="1"/>
  <c r="HX114" i="1"/>
  <c r="HY114" i="1"/>
  <c r="HZ114" i="1"/>
  <c r="IA114" i="1"/>
  <c r="IB114" i="1"/>
  <c r="IC114" i="1"/>
  <c r="ID114" i="1"/>
  <c r="IE114" i="1"/>
  <c r="IF114" i="1"/>
  <c r="IG114" i="1"/>
  <c r="IH114" i="1"/>
  <c r="H115" i="1"/>
  <c r="I115" i="1"/>
  <c r="L115" i="1"/>
  <c r="O115" i="1"/>
  <c r="R115" i="1"/>
  <c r="S115" i="1"/>
  <c r="T115" i="1"/>
  <c r="U115" i="1"/>
  <c r="W115" i="1"/>
  <c r="X115" i="1"/>
  <c r="Y115" i="1"/>
  <c r="Z115" i="1"/>
  <c r="AA115" i="1"/>
  <c r="AB115" i="1"/>
  <c r="AP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D115" i="1"/>
  <c r="CE115" i="1"/>
  <c r="CF115" i="1"/>
  <c r="CG115" i="1"/>
  <c r="CH115" i="1"/>
  <c r="CI115" i="1"/>
  <c r="CJ115" i="1"/>
  <c r="CK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E115" i="1"/>
  <c r="DH115" i="1"/>
  <c r="DK115" i="1"/>
  <c r="DL115" i="1"/>
  <c r="DM115" i="1"/>
  <c r="DN115" i="1"/>
  <c r="DP115" i="1"/>
  <c r="DS115" i="1"/>
  <c r="DV115" i="1"/>
  <c r="DX115" i="1"/>
  <c r="DY115" i="1"/>
  <c r="ED115" i="1"/>
  <c r="EE115" i="1"/>
  <c r="EF115" i="1"/>
  <c r="EG115" i="1"/>
  <c r="EH115" i="1"/>
  <c r="EI115" i="1"/>
  <c r="EJ115" i="1"/>
  <c r="EK115" i="1"/>
  <c r="FO115" i="1"/>
  <c r="FP115" i="1"/>
  <c r="FQ115" i="1"/>
  <c r="FR115" i="1"/>
  <c r="FS115" i="1"/>
  <c r="FT115" i="1"/>
  <c r="FU115" i="1"/>
  <c r="FV115" i="1"/>
  <c r="FW115" i="1"/>
  <c r="FX115" i="1"/>
  <c r="FY115" i="1"/>
  <c r="FZ115" i="1"/>
  <c r="GA115" i="1"/>
  <c r="GB115" i="1"/>
  <c r="GC115" i="1"/>
  <c r="GD115" i="1"/>
  <c r="GE115" i="1"/>
  <c r="GF115" i="1"/>
  <c r="GG115" i="1"/>
  <c r="GH115" i="1"/>
  <c r="GI115" i="1"/>
  <c r="GJ115" i="1"/>
  <c r="GK115" i="1"/>
  <c r="GL115" i="1"/>
  <c r="GM115" i="1"/>
  <c r="GN115" i="1"/>
  <c r="GO115" i="1"/>
  <c r="GP115" i="1"/>
  <c r="GQ115" i="1"/>
  <c r="GR115" i="1"/>
  <c r="GS115" i="1"/>
  <c r="GT115" i="1"/>
  <c r="GU115" i="1"/>
  <c r="GV115" i="1"/>
  <c r="GW115" i="1"/>
  <c r="GX115" i="1"/>
  <c r="GY115" i="1"/>
  <c r="GZ115" i="1"/>
  <c r="HA115" i="1"/>
  <c r="HB115" i="1"/>
  <c r="HC115" i="1"/>
  <c r="HD115" i="1"/>
  <c r="HE115" i="1"/>
  <c r="HF115" i="1"/>
  <c r="HG115" i="1"/>
  <c r="HH115" i="1"/>
  <c r="HI115" i="1"/>
  <c r="HJ115" i="1"/>
  <c r="HK115" i="1"/>
  <c r="HL115" i="1"/>
  <c r="HM115" i="1"/>
  <c r="HN115" i="1"/>
  <c r="HO115" i="1"/>
  <c r="HP115" i="1"/>
  <c r="HQ115" i="1"/>
  <c r="HR115" i="1"/>
  <c r="HS115" i="1"/>
  <c r="HT115" i="1"/>
  <c r="HU115" i="1"/>
  <c r="HV115" i="1"/>
  <c r="HW115" i="1"/>
  <c r="HX115" i="1"/>
  <c r="HY115" i="1"/>
  <c r="HZ115" i="1"/>
  <c r="IA115" i="1"/>
  <c r="IB115" i="1"/>
  <c r="IC115" i="1"/>
  <c r="ID115" i="1"/>
  <c r="IE115" i="1"/>
  <c r="IF115" i="1"/>
  <c r="IG115" i="1"/>
  <c r="IH115" i="1"/>
  <c r="H116" i="1"/>
  <c r="I116" i="1"/>
  <c r="L116" i="1"/>
  <c r="O116" i="1"/>
  <c r="R116" i="1"/>
  <c r="S116" i="1"/>
  <c r="T116" i="1"/>
  <c r="U116" i="1"/>
  <c r="W116" i="1"/>
  <c r="X116" i="1"/>
  <c r="Y116" i="1"/>
  <c r="Z116" i="1"/>
  <c r="AA116" i="1"/>
  <c r="AB116" i="1"/>
  <c r="AP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D116" i="1"/>
  <c r="CE116" i="1"/>
  <c r="CF116" i="1"/>
  <c r="CG116" i="1"/>
  <c r="CH116" i="1"/>
  <c r="CI116" i="1"/>
  <c r="CJ116" i="1"/>
  <c r="CK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E116" i="1"/>
  <c r="DH116" i="1"/>
  <c r="DK116" i="1"/>
  <c r="DL116" i="1"/>
  <c r="DM116" i="1"/>
  <c r="DN116" i="1"/>
  <c r="DP116" i="1"/>
  <c r="DS116" i="1"/>
  <c r="DV116" i="1"/>
  <c r="DX116" i="1"/>
  <c r="DY116" i="1"/>
  <c r="ED116" i="1"/>
  <c r="EE116" i="1"/>
  <c r="EF116" i="1"/>
  <c r="EG116" i="1"/>
  <c r="EH116" i="1"/>
  <c r="EI116" i="1"/>
  <c r="EJ116" i="1"/>
  <c r="EK116" i="1"/>
  <c r="FO116" i="1"/>
  <c r="FP116" i="1"/>
  <c r="FQ116" i="1"/>
  <c r="FR116" i="1"/>
  <c r="FS116" i="1"/>
  <c r="FT116" i="1"/>
  <c r="FU116" i="1"/>
  <c r="FV116" i="1"/>
  <c r="FW116" i="1"/>
  <c r="FX116" i="1"/>
  <c r="FY116" i="1"/>
  <c r="FZ116" i="1"/>
  <c r="GA116" i="1"/>
  <c r="GB116" i="1"/>
  <c r="GC116" i="1"/>
  <c r="GD116" i="1"/>
  <c r="GE116" i="1"/>
  <c r="GF116" i="1"/>
  <c r="GG116" i="1"/>
  <c r="GH116" i="1"/>
  <c r="GI116" i="1"/>
  <c r="GJ116" i="1"/>
  <c r="GK116" i="1"/>
  <c r="GL116" i="1"/>
  <c r="GM116" i="1"/>
  <c r="GN116" i="1"/>
  <c r="GO116" i="1"/>
  <c r="GP116" i="1"/>
  <c r="GQ116" i="1"/>
  <c r="GR116" i="1"/>
  <c r="GS116" i="1"/>
  <c r="GT116" i="1"/>
  <c r="GU116" i="1"/>
  <c r="GV116" i="1"/>
  <c r="GW116" i="1"/>
  <c r="GX116" i="1"/>
  <c r="GY116" i="1"/>
  <c r="GZ116" i="1"/>
  <c r="HA116" i="1"/>
  <c r="HB116" i="1"/>
  <c r="HC116" i="1"/>
  <c r="HD116" i="1"/>
  <c r="HE116" i="1"/>
  <c r="HF116" i="1"/>
  <c r="HG116" i="1"/>
  <c r="HH116" i="1"/>
  <c r="HI116" i="1"/>
  <c r="HJ116" i="1"/>
  <c r="HK116" i="1"/>
  <c r="HL116" i="1"/>
  <c r="HM116" i="1"/>
  <c r="HN116" i="1"/>
  <c r="HO116" i="1"/>
  <c r="HP116" i="1"/>
  <c r="HQ116" i="1"/>
  <c r="HR116" i="1"/>
  <c r="HS116" i="1"/>
  <c r="HT116" i="1"/>
  <c r="HU116" i="1"/>
  <c r="HV116" i="1"/>
  <c r="HW116" i="1"/>
  <c r="HX116" i="1"/>
  <c r="HY116" i="1"/>
  <c r="HZ116" i="1"/>
  <c r="IA116" i="1"/>
  <c r="IB116" i="1"/>
  <c r="IC116" i="1"/>
  <c r="ID116" i="1"/>
  <c r="IE116" i="1"/>
  <c r="IF116" i="1"/>
  <c r="IG116" i="1"/>
  <c r="IH116" i="1"/>
  <c r="H117" i="1"/>
  <c r="I117" i="1"/>
  <c r="L117" i="1"/>
  <c r="O117" i="1"/>
  <c r="R117" i="1"/>
  <c r="S117" i="1"/>
  <c r="T117" i="1"/>
  <c r="U117" i="1"/>
  <c r="W117" i="1"/>
  <c r="X117" i="1"/>
  <c r="Y117" i="1"/>
  <c r="Z117" i="1"/>
  <c r="AA117" i="1"/>
  <c r="AB117" i="1"/>
  <c r="AP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D117" i="1"/>
  <c r="CE117" i="1"/>
  <c r="CF117" i="1"/>
  <c r="CG117" i="1"/>
  <c r="CH117" i="1"/>
  <c r="CI117" i="1"/>
  <c r="CJ117" i="1"/>
  <c r="CK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E117" i="1"/>
  <c r="DH117" i="1"/>
  <c r="DK117" i="1"/>
  <c r="DL117" i="1"/>
  <c r="DM117" i="1"/>
  <c r="DN117" i="1"/>
  <c r="DP117" i="1"/>
  <c r="DS117" i="1"/>
  <c r="DV117" i="1"/>
  <c r="DX117" i="1"/>
  <c r="DY117" i="1"/>
  <c r="ED117" i="1"/>
  <c r="EE117" i="1"/>
  <c r="EF117" i="1"/>
  <c r="EG117" i="1"/>
  <c r="EH117" i="1"/>
  <c r="EI117" i="1"/>
  <c r="EJ117" i="1"/>
  <c r="EK117" i="1"/>
  <c r="FO117" i="1"/>
  <c r="FP117" i="1"/>
  <c r="FQ117" i="1"/>
  <c r="FR117" i="1"/>
  <c r="FS117" i="1"/>
  <c r="FT117" i="1"/>
  <c r="FU117" i="1"/>
  <c r="FV117" i="1"/>
  <c r="FW117" i="1"/>
  <c r="FX117" i="1"/>
  <c r="FY117" i="1"/>
  <c r="FZ117" i="1"/>
  <c r="GA117" i="1"/>
  <c r="GB117" i="1"/>
  <c r="GC117" i="1"/>
  <c r="GD117" i="1"/>
  <c r="GE117" i="1"/>
  <c r="GF117" i="1"/>
  <c r="GG117" i="1"/>
  <c r="GH117" i="1"/>
  <c r="GI117" i="1"/>
  <c r="GJ117" i="1"/>
  <c r="GK117" i="1"/>
  <c r="GL117" i="1"/>
  <c r="GM117" i="1"/>
  <c r="GN117" i="1"/>
  <c r="GO117" i="1"/>
  <c r="GP117" i="1"/>
  <c r="GQ117" i="1"/>
  <c r="GR117" i="1"/>
  <c r="GS117" i="1"/>
  <c r="GT117" i="1"/>
  <c r="GU117" i="1"/>
  <c r="GV117" i="1"/>
  <c r="GW117" i="1"/>
  <c r="GX117" i="1"/>
  <c r="GY117" i="1"/>
  <c r="GZ117" i="1"/>
  <c r="HA117" i="1"/>
  <c r="HB117" i="1"/>
  <c r="HC117" i="1"/>
  <c r="HD117" i="1"/>
  <c r="HE117" i="1"/>
  <c r="HF117" i="1"/>
  <c r="HG117" i="1"/>
  <c r="HH117" i="1"/>
  <c r="HI117" i="1"/>
  <c r="HJ117" i="1"/>
  <c r="HK117" i="1"/>
  <c r="HL117" i="1"/>
  <c r="HM117" i="1"/>
  <c r="HN117" i="1"/>
  <c r="HO117" i="1"/>
  <c r="HP117" i="1"/>
  <c r="HQ117" i="1"/>
  <c r="HR117" i="1"/>
  <c r="HS117" i="1"/>
  <c r="HT117" i="1"/>
  <c r="HU117" i="1"/>
  <c r="HV117" i="1"/>
  <c r="HW117" i="1"/>
  <c r="HX117" i="1"/>
  <c r="HY117" i="1"/>
  <c r="HZ117" i="1"/>
  <c r="IA117" i="1"/>
  <c r="IB117" i="1"/>
  <c r="IC117" i="1"/>
  <c r="ID117" i="1"/>
  <c r="IE117" i="1"/>
  <c r="IF117" i="1"/>
  <c r="IG117" i="1"/>
  <c r="IH117" i="1"/>
  <c r="H118" i="1"/>
  <c r="I118" i="1"/>
  <c r="L118" i="1"/>
  <c r="O118" i="1"/>
  <c r="R118" i="1"/>
  <c r="S118" i="1"/>
  <c r="T118" i="1"/>
  <c r="U118" i="1"/>
  <c r="W118" i="1"/>
  <c r="X118" i="1"/>
  <c r="Y118" i="1"/>
  <c r="Z118" i="1"/>
  <c r="AA118" i="1"/>
  <c r="AB118" i="1"/>
  <c r="AP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D118" i="1"/>
  <c r="CE118" i="1"/>
  <c r="CF118" i="1"/>
  <c r="CG118" i="1"/>
  <c r="CH118" i="1"/>
  <c r="CI118" i="1"/>
  <c r="CJ118" i="1"/>
  <c r="CK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E118" i="1"/>
  <c r="DH118" i="1"/>
  <c r="DK118" i="1"/>
  <c r="DL118" i="1"/>
  <c r="DM118" i="1"/>
  <c r="DN118" i="1"/>
  <c r="DP118" i="1"/>
  <c r="DS118" i="1"/>
  <c r="DV118" i="1"/>
  <c r="DX118" i="1"/>
  <c r="DY118" i="1"/>
  <c r="ED118" i="1"/>
  <c r="EE118" i="1"/>
  <c r="EF118" i="1"/>
  <c r="EG118" i="1"/>
  <c r="EH118" i="1"/>
  <c r="EI118" i="1"/>
  <c r="EJ118" i="1"/>
  <c r="EK118" i="1"/>
  <c r="FO118" i="1"/>
  <c r="FP118" i="1"/>
  <c r="FQ118" i="1"/>
  <c r="FR118" i="1"/>
  <c r="FS118" i="1"/>
  <c r="FT118" i="1"/>
  <c r="FU118" i="1"/>
  <c r="FV118" i="1"/>
  <c r="FW118" i="1"/>
  <c r="FX118" i="1"/>
  <c r="FY118" i="1"/>
  <c r="FZ118" i="1"/>
  <c r="GA118" i="1"/>
  <c r="GB118" i="1"/>
  <c r="GC118" i="1"/>
  <c r="GD118" i="1"/>
  <c r="GE118" i="1"/>
  <c r="GF118" i="1"/>
  <c r="GG118" i="1"/>
  <c r="GH118" i="1"/>
  <c r="GI118" i="1"/>
  <c r="GJ118" i="1"/>
  <c r="GK118" i="1"/>
  <c r="GL118" i="1"/>
  <c r="GM118" i="1"/>
  <c r="GN118" i="1"/>
  <c r="GO118" i="1"/>
  <c r="GP118" i="1"/>
  <c r="GQ118" i="1"/>
  <c r="GR118" i="1"/>
  <c r="GS118" i="1"/>
  <c r="GT118" i="1"/>
  <c r="GU118" i="1"/>
  <c r="GV118" i="1"/>
  <c r="GW118" i="1"/>
  <c r="GX118" i="1"/>
  <c r="GY118" i="1"/>
  <c r="GZ118" i="1"/>
  <c r="HA118" i="1"/>
  <c r="HB118" i="1"/>
  <c r="HC118" i="1"/>
  <c r="HD118" i="1"/>
  <c r="HE118" i="1"/>
  <c r="HF118" i="1"/>
  <c r="HG118" i="1"/>
  <c r="HH118" i="1"/>
  <c r="HI118" i="1"/>
  <c r="HJ118" i="1"/>
  <c r="HK118" i="1"/>
  <c r="HL118" i="1"/>
  <c r="HM118" i="1"/>
  <c r="HN118" i="1"/>
  <c r="HO118" i="1"/>
  <c r="HP118" i="1"/>
  <c r="HQ118" i="1"/>
  <c r="HR118" i="1"/>
  <c r="HS118" i="1"/>
  <c r="HT118" i="1"/>
  <c r="HU118" i="1"/>
  <c r="HV118" i="1"/>
  <c r="HW118" i="1"/>
  <c r="HX118" i="1"/>
  <c r="HY118" i="1"/>
  <c r="HZ118" i="1"/>
  <c r="IA118" i="1"/>
  <c r="IB118" i="1"/>
  <c r="IC118" i="1"/>
  <c r="ID118" i="1"/>
  <c r="IE118" i="1"/>
  <c r="IF118" i="1"/>
  <c r="IG118" i="1"/>
  <c r="IH118" i="1"/>
  <c r="H119" i="1"/>
  <c r="I119" i="1"/>
  <c r="L119" i="1"/>
  <c r="O119" i="1"/>
  <c r="R119" i="1"/>
  <c r="S119" i="1"/>
  <c r="T119" i="1"/>
  <c r="U119" i="1"/>
  <c r="W119" i="1"/>
  <c r="X119" i="1"/>
  <c r="Y119" i="1"/>
  <c r="Z119" i="1"/>
  <c r="AA119" i="1"/>
  <c r="AB119" i="1"/>
  <c r="AP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D119" i="1"/>
  <c r="CE119" i="1"/>
  <c r="CF119" i="1"/>
  <c r="CG119" i="1"/>
  <c r="CH119" i="1"/>
  <c r="CI119" i="1"/>
  <c r="CJ119" i="1"/>
  <c r="CK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E119" i="1"/>
  <c r="DH119" i="1"/>
  <c r="DK119" i="1"/>
  <c r="DL119" i="1"/>
  <c r="DM119" i="1"/>
  <c r="DN119" i="1"/>
  <c r="DP119" i="1"/>
  <c r="DS119" i="1"/>
  <c r="DV119" i="1"/>
  <c r="DX119" i="1"/>
  <c r="DY119" i="1"/>
  <c r="ED119" i="1"/>
  <c r="EE119" i="1"/>
  <c r="EF119" i="1"/>
  <c r="EG119" i="1"/>
  <c r="EH119" i="1"/>
  <c r="EI119" i="1"/>
  <c r="EJ119" i="1"/>
  <c r="EK119" i="1"/>
  <c r="FO119" i="1"/>
  <c r="FP119" i="1"/>
  <c r="FQ119" i="1"/>
  <c r="FR119" i="1"/>
  <c r="FS119" i="1"/>
  <c r="FT119" i="1"/>
  <c r="FU119" i="1"/>
  <c r="FV119" i="1"/>
  <c r="FW119" i="1"/>
  <c r="FX119" i="1"/>
  <c r="FY119" i="1"/>
  <c r="FZ119" i="1"/>
  <c r="GA119" i="1"/>
  <c r="GB119" i="1"/>
  <c r="GC119" i="1"/>
  <c r="GD119" i="1"/>
  <c r="GE119" i="1"/>
  <c r="GF119" i="1"/>
  <c r="GG119" i="1"/>
  <c r="GH119" i="1"/>
  <c r="GI119" i="1"/>
  <c r="GJ119" i="1"/>
  <c r="GK119" i="1"/>
  <c r="GL119" i="1"/>
  <c r="GM119" i="1"/>
  <c r="GN119" i="1"/>
  <c r="GO119" i="1"/>
  <c r="GP119" i="1"/>
  <c r="GQ119" i="1"/>
  <c r="GR119" i="1"/>
  <c r="GS119" i="1"/>
  <c r="GT119" i="1"/>
  <c r="GU119" i="1"/>
  <c r="GV119" i="1"/>
  <c r="GW119" i="1"/>
  <c r="GX119" i="1"/>
  <c r="GY119" i="1"/>
  <c r="GZ119" i="1"/>
  <c r="HA119" i="1"/>
  <c r="HB119" i="1"/>
  <c r="HC119" i="1"/>
  <c r="HD119" i="1"/>
  <c r="HE119" i="1"/>
  <c r="HF119" i="1"/>
  <c r="HG119" i="1"/>
  <c r="HH119" i="1"/>
  <c r="HI119" i="1"/>
  <c r="HJ119" i="1"/>
  <c r="HK119" i="1"/>
  <c r="HL119" i="1"/>
  <c r="HM119" i="1"/>
  <c r="HN119" i="1"/>
  <c r="HO119" i="1"/>
  <c r="HP119" i="1"/>
  <c r="HQ119" i="1"/>
  <c r="HR119" i="1"/>
  <c r="HS119" i="1"/>
  <c r="HT119" i="1"/>
  <c r="HU119" i="1"/>
  <c r="HV119" i="1"/>
  <c r="HW119" i="1"/>
  <c r="HX119" i="1"/>
  <c r="HY119" i="1"/>
  <c r="HZ119" i="1"/>
  <c r="IA119" i="1"/>
  <c r="IB119" i="1"/>
  <c r="IC119" i="1"/>
  <c r="ID119" i="1"/>
  <c r="IE119" i="1"/>
  <c r="IF119" i="1"/>
  <c r="IG119" i="1"/>
  <c r="IH119" i="1"/>
  <c r="H120" i="1"/>
  <c r="I120" i="1"/>
  <c r="L120" i="1"/>
  <c r="O120" i="1"/>
  <c r="R120" i="1"/>
  <c r="S120" i="1"/>
  <c r="T120" i="1"/>
  <c r="U120" i="1"/>
  <c r="W120" i="1"/>
  <c r="X120" i="1"/>
  <c r="Y120" i="1"/>
  <c r="Z120" i="1"/>
  <c r="AA120" i="1"/>
  <c r="AB120" i="1"/>
  <c r="AP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D120" i="1"/>
  <c r="CE120" i="1"/>
  <c r="CF120" i="1"/>
  <c r="CG120" i="1"/>
  <c r="CH120" i="1"/>
  <c r="CI120" i="1"/>
  <c r="CJ120" i="1"/>
  <c r="CK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E120" i="1"/>
  <c r="DH120" i="1"/>
  <c r="DK120" i="1"/>
  <c r="DL120" i="1"/>
  <c r="DM120" i="1"/>
  <c r="DN120" i="1"/>
  <c r="DP120" i="1"/>
  <c r="DS120" i="1"/>
  <c r="DV120" i="1"/>
  <c r="DX120" i="1"/>
  <c r="DY120" i="1"/>
  <c r="ED120" i="1"/>
  <c r="EE120" i="1"/>
  <c r="EF120" i="1"/>
  <c r="EG120" i="1"/>
  <c r="EH120" i="1"/>
  <c r="EI120" i="1"/>
  <c r="EJ120" i="1"/>
  <c r="EK120" i="1"/>
  <c r="FO120" i="1"/>
  <c r="FP120" i="1"/>
  <c r="FQ120" i="1"/>
  <c r="FR120" i="1"/>
  <c r="FS120" i="1"/>
  <c r="FT120" i="1"/>
  <c r="FU120" i="1"/>
  <c r="FV120" i="1"/>
  <c r="FW120" i="1"/>
  <c r="FX120" i="1"/>
  <c r="FY120" i="1"/>
  <c r="FZ120" i="1"/>
  <c r="GA120" i="1"/>
  <c r="GB120" i="1"/>
  <c r="GC120" i="1"/>
  <c r="GD120" i="1"/>
  <c r="GE120" i="1"/>
  <c r="GF120" i="1"/>
  <c r="GG120" i="1"/>
  <c r="GH120" i="1"/>
  <c r="GI120" i="1"/>
  <c r="GJ120" i="1"/>
  <c r="GK120" i="1"/>
  <c r="GL120" i="1"/>
  <c r="GM120" i="1"/>
  <c r="GN120" i="1"/>
  <c r="GO120" i="1"/>
  <c r="GP120" i="1"/>
  <c r="GQ120" i="1"/>
  <c r="GR120" i="1"/>
  <c r="GS120" i="1"/>
  <c r="GT120" i="1"/>
  <c r="GU120" i="1"/>
  <c r="GV120" i="1"/>
  <c r="GW120" i="1"/>
  <c r="GX120" i="1"/>
  <c r="GY120" i="1"/>
  <c r="GZ120" i="1"/>
  <c r="HA120" i="1"/>
  <c r="HB120" i="1"/>
  <c r="HC120" i="1"/>
  <c r="HD120" i="1"/>
  <c r="HE120" i="1"/>
  <c r="HF120" i="1"/>
  <c r="HG120" i="1"/>
  <c r="HH120" i="1"/>
  <c r="HI120" i="1"/>
  <c r="HJ120" i="1"/>
  <c r="HK120" i="1"/>
  <c r="HL120" i="1"/>
  <c r="HM120" i="1"/>
  <c r="HN120" i="1"/>
  <c r="HO120" i="1"/>
  <c r="HP120" i="1"/>
  <c r="HQ120" i="1"/>
  <c r="HR120" i="1"/>
  <c r="HS120" i="1"/>
  <c r="HT120" i="1"/>
  <c r="HU120" i="1"/>
  <c r="HV120" i="1"/>
  <c r="HW120" i="1"/>
  <c r="HX120" i="1"/>
  <c r="HY120" i="1"/>
  <c r="HZ120" i="1"/>
  <c r="IA120" i="1"/>
  <c r="IB120" i="1"/>
  <c r="IC120" i="1"/>
  <c r="ID120" i="1"/>
  <c r="IE120" i="1"/>
  <c r="IF120" i="1"/>
  <c r="IG120" i="1"/>
  <c r="IH120" i="1"/>
  <c r="H121" i="1"/>
  <c r="I121" i="1"/>
  <c r="L121" i="1"/>
  <c r="O121" i="1"/>
  <c r="R121" i="1"/>
  <c r="S121" i="1"/>
  <c r="T121" i="1"/>
  <c r="U121" i="1"/>
  <c r="W121" i="1"/>
  <c r="X121" i="1"/>
  <c r="Y121" i="1"/>
  <c r="Z121" i="1"/>
  <c r="AA121" i="1"/>
  <c r="AB121" i="1"/>
  <c r="AP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D121" i="1"/>
  <c r="CE121" i="1"/>
  <c r="CF121" i="1"/>
  <c r="CG121" i="1"/>
  <c r="CH121" i="1"/>
  <c r="CI121" i="1"/>
  <c r="CJ121" i="1"/>
  <c r="CK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E121" i="1"/>
  <c r="DH121" i="1"/>
  <c r="DK121" i="1"/>
  <c r="DL121" i="1"/>
  <c r="DM121" i="1"/>
  <c r="DN121" i="1"/>
  <c r="DP121" i="1"/>
  <c r="DS121" i="1"/>
  <c r="DV121" i="1"/>
  <c r="DX121" i="1"/>
  <c r="DY121" i="1"/>
  <c r="ED121" i="1"/>
  <c r="EE121" i="1"/>
  <c r="EF121" i="1"/>
  <c r="EG121" i="1"/>
  <c r="EH121" i="1"/>
  <c r="EI121" i="1"/>
  <c r="EJ121" i="1"/>
  <c r="EK121" i="1"/>
  <c r="FO121" i="1"/>
  <c r="FP121" i="1"/>
  <c r="FQ121" i="1"/>
  <c r="FR121" i="1"/>
  <c r="FS121" i="1"/>
  <c r="FT121" i="1"/>
  <c r="FU121" i="1"/>
  <c r="FV121" i="1"/>
  <c r="FW121" i="1"/>
  <c r="FX121" i="1"/>
  <c r="FY121" i="1"/>
  <c r="FZ121" i="1"/>
  <c r="GA121" i="1"/>
  <c r="GB121" i="1"/>
  <c r="GC121" i="1"/>
  <c r="GD121" i="1"/>
  <c r="GE121" i="1"/>
  <c r="GF121" i="1"/>
  <c r="GG121" i="1"/>
  <c r="GH121" i="1"/>
  <c r="GI121" i="1"/>
  <c r="GJ121" i="1"/>
  <c r="GK121" i="1"/>
  <c r="GL121" i="1"/>
  <c r="GM121" i="1"/>
  <c r="GN121" i="1"/>
  <c r="GO121" i="1"/>
  <c r="GP121" i="1"/>
  <c r="GQ121" i="1"/>
  <c r="GR121" i="1"/>
  <c r="GS121" i="1"/>
  <c r="GT121" i="1"/>
  <c r="GU121" i="1"/>
  <c r="GV121" i="1"/>
  <c r="GW121" i="1"/>
  <c r="GX121" i="1"/>
  <c r="GY121" i="1"/>
  <c r="GZ121" i="1"/>
  <c r="HA121" i="1"/>
  <c r="HB121" i="1"/>
  <c r="HC121" i="1"/>
  <c r="HD121" i="1"/>
  <c r="HE121" i="1"/>
  <c r="HF121" i="1"/>
  <c r="HG121" i="1"/>
  <c r="HH121" i="1"/>
  <c r="HI121" i="1"/>
  <c r="HJ121" i="1"/>
  <c r="HK121" i="1"/>
  <c r="HL121" i="1"/>
  <c r="HM121" i="1"/>
  <c r="HN121" i="1"/>
  <c r="HO121" i="1"/>
  <c r="HP121" i="1"/>
  <c r="HQ121" i="1"/>
  <c r="HR121" i="1"/>
  <c r="HS121" i="1"/>
  <c r="HT121" i="1"/>
  <c r="HU121" i="1"/>
  <c r="HV121" i="1"/>
  <c r="HW121" i="1"/>
  <c r="HX121" i="1"/>
  <c r="HY121" i="1"/>
  <c r="HZ121" i="1"/>
  <c r="IA121" i="1"/>
  <c r="IB121" i="1"/>
  <c r="IC121" i="1"/>
  <c r="ID121" i="1"/>
  <c r="IE121" i="1"/>
  <c r="IF121" i="1"/>
  <c r="IG121" i="1"/>
  <c r="IH121" i="1"/>
  <c r="H122" i="1"/>
  <c r="I122" i="1"/>
  <c r="L122" i="1"/>
  <c r="O122" i="1"/>
  <c r="R122" i="1"/>
  <c r="S122" i="1"/>
  <c r="T122" i="1"/>
  <c r="U122" i="1"/>
  <c r="W122" i="1"/>
  <c r="X122" i="1"/>
  <c r="Y122" i="1"/>
  <c r="Z122" i="1"/>
  <c r="AA122" i="1"/>
  <c r="AB122" i="1"/>
  <c r="AP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D122" i="1"/>
  <c r="CE122" i="1"/>
  <c r="CF122" i="1"/>
  <c r="CG122" i="1"/>
  <c r="CH122" i="1"/>
  <c r="CI122" i="1"/>
  <c r="CJ122" i="1"/>
  <c r="CK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E122" i="1"/>
  <c r="DH122" i="1"/>
  <c r="DK122" i="1"/>
  <c r="DL122" i="1"/>
  <c r="DM122" i="1"/>
  <c r="DN122" i="1"/>
  <c r="DP122" i="1"/>
  <c r="DS122" i="1"/>
  <c r="DV122" i="1"/>
  <c r="DX122" i="1"/>
  <c r="DY122" i="1"/>
  <c r="ED122" i="1"/>
  <c r="EE122" i="1"/>
  <c r="EF122" i="1"/>
  <c r="EG122" i="1"/>
  <c r="EH122" i="1"/>
  <c r="EI122" i="1"/>
  <c r="EJ122" i="1"/>
  <c r="EK122" i="1"/>
  <c r="FO122" i="1"/>
  <c r="FP122" i="1"/>
  <c r="FQ122" i="1"/>
  <c r="FR122" i="1"/>
  <c r="FS122" i="1"/>
  <c r="FT122" i="1"/>
  <c r="FU122" i="1"/>
  <c r="FV122" i="1"/>
  <c r="FW122" i="1"/>
  <c r="FX122" i="1"/>
  <c r="FY122" i="1"/>
  <c r="FZ122" i="1"/>
  <c r="GA122" i="1"/>
  <c r="GB122" i="1"/>
  <c r="GC122" i="1"/>
  <c r="GD122" i="1"/>
  <c r="GE122" i="1"/>
  <c r="GF122" i="1"/>
  <c r="GG122" i="1"/>
  <c r="GH122" i="1"/>
  <c r="GI122" i="1"/>
  <c r="GJ122" i="1"/>
  <c r="GK122" i="1"/>
  <c r="GL122" i="1"/>
  <c r="GM122" i="1"/>
  <c r="GN122" i="1"/>
  <c r="GO122" i="1"/>
  <c r="GP122" i="1"/>
  <c r="GQ122" i="1"/>
  <c r="GR122" i="1"/>
  <c r="GS122" i="1"/>
  <c r="GT122" i="1"/>
  <c r="GU122" i="1"/>
  <c r="GV122" i="1"/>
  <c r="GW122" i="1"/>
  <c r="GX122" i="1"/>
  <c r="GY122" i="1"/>
  <c r="GZ122" i="1"/>
  <c r="HA122" i="1"/>
  <c r="HB122" i="1"/>
  <c r="HC122" i="1"/>
  <c r="HD122" i="1"/>
  <c r="HE122" i="1"/>
  <c r="HF122" i="1"/>
  <c r="HG122" i="1"/>
  <c r="HH122" i="1"/>
  <c r="HI122" i="1"/>
  <c r="HJ122" i="1"/>
  <c r="HK122" i="1"/>
  <c r="HL122" i="1"/>
  <c r="HM122" i="1"/>
  <c r="HN122" i="1"/>
  <c r="HO122" i="1"/>
  <c r="HP122" i="1"/>
  <c r="HQ122" i="1"/>
  <c r="HR122" i="1"/>
  <c r="HS122" i="1"/>
  <c r="HT122" i="1"/>
  <c r="HU122" i="1"/>
  <c r="HV122" i="1"/>
  <c r="HW122" i="1"/>
  <c r="HX122" i="1"/>
  <c r="HY122" i="1"/>
  <c r="HZ122" i="1"/>
  <c r="IA122" i="1"/>
  <c r="IB122" i="1"/>
  <c r="IC122" i="1"/>
  <c r="ID122" i="1"/>
  <c r="IE122" i="1"/>
  <c r="IF122" i="1"/>
  <c r="IG122" i="1"/>
  <c r="IH122" i="1"/>
  <c r="H123" i="1"/>
  <c r="I123" i="1"/>
  <c r="L123" i="1"/>
  <c r="O123" i="1"/>
  <c r="R123" i="1"/>
  <c r="S123" i="1"/>
  <c r="T123" i="1"/>
  <c r="U123" i="1"/>
  <c r="W123" i="1"/>
  <c r="X123" i="1"/>
  <c r="Y123" i="1"/>
  <c r="Z123" i="1"/>
  <c r="AA123" i="1"/>
  <c r="AB123" i="1"/>
  <c r="AP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D123" i="1"/>
  <c r="CE123" i="1"/>
  <c r="CF123" i="1"/>
  <c r="CG123" i="1"/>
  <c r="CH123" i="1"/>
  <c r="CI123" i="1"/>
  <c r="CJ123" i="1"/>
  <c r="CK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E123" i="1"/>
  <c r="DH123" i="1"/>
  <c r="DK123" i="1"/>
  <c r="DL123" i="1"/>
  <c r="DM123" i="1"/>
  <c r="DN123" i="1"/>
  <c r="DP123" i="1"/>
  <c r="DS123" i="1"/>
  <c r="DV123" i="1"/>
  <c r="DX123" i="1"/>
  <c r="DY123" i="1"/>
  <c r="ED123" i="1"/>
  <c r="EE123" i="1"/>
  <c r="EF123" i="1"/>
  <c r="EG123" i="1"/>
  <c r="EH123" i="1"/>
  <c r="EI123" i="1"/>
  <c r="EJ123" i="1"/>
  <c r="EK123" i="1"/>
  <c r="FO123" i="1"/>
  <c r="FP123" i="1"/>
  <c r="FQ123" i="1"/>
  <c r="FR123" i="1"/>
  <c r="FS123" i="1"/>
  <c r="FT123" i="1"/>
  <c r="FU123" i="1"/>
  <c r="FV123" i="1"/>
  <c r="FW123" i="1"/>
  <c r="FX123" i="1"/>
  <c r="FY123" i="1"/>
  <c r="FZ123" i="1"/>
  <c r="GA123" i="1"/>
  <c r="GB123" i="1"/>
  <c r="GC123" i="1"/>
  <c r="GD123" i="1"/>
  <c r="GE123" i="1"/>
  <c r="GF123" i="1"/>
  <c r="GG123" i="1"/>
  <c r="GH123" i="1"/>
  <c r="GI123" i="1"/>
  <c r="GJ123" i="1"/>
  <c r="GK123" i="1"/>
  <c r="GL123" i="1"/>
  <c r="GM123" i="1"/>
  <c r="GN123" i="1"/>
  <c r="GO123" i="1"/>
  <c r="GP123" i="1"/>
  <c r="GQ123" i="1"/>
  <c r="GR123" i="1"/>
  <c r="GS123" i="1"/>
  <c r="GT123" i="1"/>
  <c r="GU123" i="1"/>
  <c r="GV123" i="1"/>
  <c r="GW123" i="1"/>
  <c r="GX123" i="1"/>
  <c r="GY123" i="1"/>
  <c r="GZ123" i="1"/>
  <c r="HA123" i="1"/>
  <c r="HB123" i="1"/>
  <c r="HC123" i="1"/>
  <c r="HD123" i="1"/>
  <c r="HE123" i="1"/>
  <c r="HF123" i="1"/>
  <c r="HG123" i="1"/>
  <c r="HH123" i="1"/>
  <c r="HI123" i="1"/>
  <c r="HJ123" i="1"/>
  <c r="HK123" i="1"/>
  <c r="HL123" i="1"/>
  <c r="HM123" i="1"/>
  <c r="HN123" i="1"/>
  <c r="HO123" i="1"/>
  <c r="HP123" i="1"/>
  <c r="HQ123" i="1"/>
  <c r="HR123" i="1"/>
  <c r="HS123" i="1"/>
  <c r="HT123" i="1"/>
  <c r="HU123" i="1"/>
  <c r="HV123" i="1"/>
  <c r="HW123" i="1"/>
  <c r="HX123" i="1"/>
  <c r="HY123" i="1"/>
  <c r="HZ123" i="1"/>
  <c r="IA123" i="1"/>
  <c r="IB123" i="1"/>
  <c r="IC123" i="1"/>
  <c r="ID123" i="1"/>
  <c r="IE123" i="1"/>
  <c r="IF123" i="1"/>
  <c r="IG123" i="1"/>
  <c r="IH123" i="1"/>
  <c r="H124" i="1"/>
  <c r="I124" i="1"/>
  <c r="L124" i="1"/>
  <c r="O124" i="1"/>
  <c r="R124" i="1"/>
  <c r="S124" i="1"/>
  <c r="T124" i="1"/>
  <c r="U124" i="1"/>
  <c r="W124" i="1"/>
  <c r="X124" i="1"/>
  <c r="Y124" i="1"/>
  <c r="Z124" i="1"/>
  <c r="AA124" i="1"/>
  <c r="AB124" i="1"/>
  <c r="AP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D124" i="1"/>
  <c r="CE124" i="1"/>
  <c r="CF124" i="1"/>
  <c r="CG124" i="1"/>
  <c r="CH124" i="1"/>
  <c r="CI124" i="1"/>
  <c r="CJ124" i="1"/>
  <c r="CK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E124" i="1"/>
  <c r="DH124" i="1"/>
  <c r="DK124" i="1"/>
  <c r="DL124" i="1"/>
  <c r="DM124" i="1"/>
  <c r="DN124" i="1"/>
  <c r="DP124" i="1"/>
  <c r="DS124" i="1"/>
  <c r="DV124" i="1"/>
  <c r="DX124" i="1"/>
  <c r="DY124" i="1"/>
  <c r="ED124" i="1"/>
  <c r="EE124" i="1"/>
  <c r="EF124" i="1"/>
  <c r="EG124" i="1"/>
  <c r="EH124" i="1"/>
  <c r="EI124" i="1"/>
  <c r="EJ124" i="1"/>
  <c r="EK124" i="1"/>
  <c r="FO124" i="1"/>
  <c r="FP124" i="1"/>
  <c r="FQ124" i="1"/>
  <c r="FR124" i="1"/>
  <c r="FS124" i="1"/>
  <c r="FT124" i="1"/>
  <c r="FU124" i="1"/>
  <c r="FV124" i="1"/>
  <c r="FW124" i="1"/>
  <c r="FX124" i="1"/>
  <c r="FY124" i="1"/>
  <c r="FZ124" i="1"/>
  <c r="GA124" i="1"/>
  <c r="GB124" i="1"/>
  <c r="GC124" i="1"/>
  <c r="GD124" i="1"/>
  <c r="GE124" i="1"/>
  <c r="GF124" i="1"/>
  <c r="GG124" i="1"/>
  <c r="GH124" i="1"/>
  <c r="GI124" i="1"/>
  <c r="GJ124" i="1"/>
  <c r="GK124" i="1"/>
  <c r="GL124" i="1"/>
  <c r="GM124" i="1"/>
  <c r="GN124" i="1"/>
  <c r="GO124" i="1"/>
  <c r="GP124" i="1"/>
  <c r="GQ124" i="1"/>
  <c r="GR124" i="1"/>
  <c r="GS124" i="1"/>
  <c r="GT124" i="1"/>
  <c r="GU124" i="1"/>
  <c r="GV124" i="1"/>
  <c r="GW124" i="1"/>
  <c r="GX124" i="1"/>
  <c r="GY124" i="1"/>
  <c r="GZ124" i="1"/>
  <c r="HA124" i="1"/>
  <c r="HB124" i="1"/>
  <c r="HC124" i="1"/>
  <c r="HD124" i="1"/>
  <c r="HE124" i="1"/>
  <c r="HF124" i="1"/>
  <c r="HG124" i="1"/>
  <c r="HH124" i="1"/>
  <c r="HI124" i="1"/>
  <c r="HJ124" i="1"/>
  <c r="HK124" i="1"/>
  <c r="HL124" i="1"/>
  <c r="HM124" i="1"/>
  <c r="HN124" i="1"/>
  <c r="HO124" i="1"/>
  <c r="HP124" i="1"/>
  <c r="HQ124" i="1"/>
  <c r="HR124" i="1"/>
  <c r="HS124" i="1"/>
  <c r="HT124" i="1"/>
  <c r="HU124" i="1"/>
  <c r="HV124" i="1"/>
  <c r="HW124" i="1"/>
  <c r="HX124" i="1"/>
  <c r="HY124" i="1"/>
  <c r="HZ124" i="1"/>
  <c r="IA124" i="1"/>
  <c r="IB124" i="1"/>
  <c r="IC124" i="1"/>
  <c r="ID124" i="1"/>
  <c r="IE124" i="1"/>
  <c r="IF124" i="1"/>
  <c r="IG124" i="1"/>
  <c r="IH124" i="1"/>
  <c r="H125" i="1"/>
  <c r="I125" i="1"/>
  <c r="L125" i="1"/>
  <c r="O125" i="1"/>
  <c r="R125" i="1"/>
  <c r="S125" i="1"/>
  <c r="T125" i="1"/>
  <c r="U125" i="1"/>
  <c r="W125" i="1"/>
  <c r="X125" i="1"/>
  <c r="Y125" i="1"/>
  <c r="Z125" i="1"/>
  <c r="AA125" i="1"/>
  <c r="AB125" i="1"/>
  <c r="AP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D125" i="1"/>
  <c r="CE125" i="1"/>
  <c r="CF125" i="1"/>
  <c r="CG125" i="1"/>
  <c r="CH125" i="1"/>
  <c r="CI125" i="1"/>
  <c r="CJ125" i="1"/>
  <c r="CK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E125" i="1"/>
  <c r="DH125" i="1"/>
  <c r="DK125" i="1"/>
  <c r="DL125" i="1"/>
  <c r="DM125" i="1"/>
  <c r="DN125" i="1"/>
  <c r="DP125" i="1"/>
  <c r="DS125" i="1"/>
  <c r="DV125" i="1"/>
  <c r="DX125" i="1"/>
  <c r="DY125" i="1"/>
  <c r="ED125" i="1"/>
  <c r="EE125" i="1"/>
  <c r="EF125" i="1"/>
  <c r="EG125" i="1"/>
  <c r="EH125" i="1"/>
  <c r="EI125" i="1"/>
  <c r="EJ125" i="1"/>
  <c r="EK125" i="1"/>
  <c r="FO125" i="1"/>
  <c r="FP125" i="1"/>
  <c r="FQ125" i="1"/>
  <c r="FR125" i="1"/>
  <c r="FS125" i="1"/>
  <c r="FT125" i="1"/>
  <c r="FU125" i="1"/>
  <c r="FV125" i="1"/>
  <c r="FW125" i="1"/>
  <c r="FX125" i="1"/>
  <c r="FY125" i="1"/>
  <c r="FZ125" i="1"/>
  <c r="GA125" i="1"/>
  <c r="GB125" i="1"/>
  <c r="GC125" i="1"/>
  <c r="GD125" i="1"/>
  <c r="GE125" i="1"/>
  <c r="GF125" i="1"/>
  <c r="GG125" i="1"/>
  <c r="GH125" i="1"/>
  <c r="GI125" i="1"/>
  <c r="GJ125" i="1"/>
  <c r="GK125" i="1"/>
  <c r="GL125" i="1"/>
  <c r="GM125" i="1"/>
  <c r="GN125" i="1"/>
  <c r="GO125" i="1"/>
  <c r="GP125" i="1"/>
  <c r="GQ125" i="1"/>
  <c r="GR125" i="1"/>
  <c r="GS125" i="1"/>
  <c r="GT125" i="1"/>
  <c r="GU125" i="1"/>
  <c r="GV125" i="1"/>
  <c r="GW125" i="1"/>
  <c r="GX125" i="1"/>
  <c r="GY125" i="1"/>
  <c r="GZ125" i="1"/>
  <c r="HA125" i="1"/>
  <c r="HB125" i="1"/>
  <c r="HC125" i="1"/>
  <c r="HD125" i="1"/>
  <c r="HE125" i="1"/>
  <c r="HF125" i="1"/>
  <c r="HG125" i="1"/>
  <c r="HH125" i="1"/>
  <c r="HI125" i="1"/>
  <c r="HJ125" i="1"/>
  <c r="HK125" i="1"/>
  <c r="HL125" i="1"/>
  <c r="HM125" i="1"/>
  <c r="HN125" i="1"/>
  <c r="HO125" i="1"/>
  <c r="HP125" i="1"/>
  <c r="HQ125" i="1"/>
  <c r="HR125" i="1"/>
  <c r="HS125" i="1"/>
  <c r="HT125" i="1"/>
  <c r="HU125" i="1"/>
  <c r="HV125" i="1"/>
  <c r="HW125" i="1"/>
  <c r="HX125" i="1"/>
  <c r="HY125" i="1"/>
  <c r="HZ125" i="1"/>
  <c r="IA125" i="1"/>
  <c r="IB125" i="1"/>
  <c r="IC125" i="1"/>
  <c r="ID125" i="1"/>
  <c r="IE125" i="1"/>
  <c r="IF125" i="1"/>
  <c r="IG125" i="1"/>
  <c r="IH125" i="1"/>
  <c r="H126" i="1"/>
  <c r="I126" i="1"/>
  <c r="L126" i="1"/>
  <c r="O126" i="1"/>
  <c r="R126" i="1"/>
  <c r="S126" i="1"/>
  <c r="T126" i="1"/>
  <c r="U126" i="1"/>
  <c r="W126" i="1"/>
  <c r="X126" i="1"/>
  <c r="Y126" i="1"/>
  <c r="Z126" i="1"/>
  <c r="AA126" i="1"/>
  <c r="AB126" i="1"/>
  <c r="AP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D126" i="1"/>
  <c r="CE126" i="1"/>
  <c r="CF126" i="1"/>
  <c r="CG126" i="1"/>
  <c r="CH126" i="1"/>
  <c r="CI126" i="1"/>
  <c r="CJ126" i="1"/>
  <c r="CK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E126" i="1"/>
  <c r="DH126" i="1"/>
  <c r="DK126" i="1"/>
  <c r="DL126" i="1"/>
  <c r="DM126" i="1"/>
  <c r="DN126" i="1"/>
  <c r="DP126" i="1"/>
  <c r="DS126" i="1"/>
  <c r="DV126" i="1"/>
  <c r="DX126" i="1"/>
  <c r="DY126" i="1"/>
  <c r="ED126" i="1"/>
  <c r="EE126" i="1"/>
  <c r="EF126" i="1"/>
  <c r="EG126" i="1"/>
  <c r="EH126" i="1"/>
  <c r="EI126" i="1"/>
  <c r="EJ126" i="1"/>
  <c r="EK126" i="1"/>
  <c r="FO126" i="1"/>
  <c r="FP126" i="1"/>
  <c r="FQ126" i="1"/>
  <c r="FR126" i="1"/>
  <c r="FS126" i="1"/>
  <c r="FT126" i="1"/>
  <c r="FU126" i="1"/>
  <c r="FV126" i="1"/>
  <c r="FW126" i="1"/>
  <c r="FX126" i="1"/>
  <c r="FY126" i="1"/>
  <c r="FZ126" i="1"/>
  <c r="GA126" i="1"/>
  <c r="GB126" i="1"/>
  <c r="GC126" i="1"/>
  <c r="GD126" i="1"/>
  <c r="GE126" i="1"/>
  <c r="GF126" i="1"/>
  <c r="GG126" i="1"/>
  <c r="GH126" i="1"/>
  <c r="GI126" i="1"/>
  <c r="GJ126" i="1"/>
  <c r="GK126" i="1"/>
  <c r="GL126" i="1"/>
  <c r="GM126" i="1"/>
  <c r="GN126" i="1"/>
  <c r="GO126" i="1"/>
  <c r="GP126" i="1"/>
  <c r="GQ126" i="1"/>
  <c r="GR126" i="1"/>
  <c r="GS126" i="1"/>
  <c r="GT126" i="1"/>
  <c r="GU126" i="1"/>
  <c r="GV126" i="1"/>
  <c r="GW126" i="1"/>
  <c r="GX126" i="1"/>
  <c r="GY126" i="1"/>
  <c r="GZ126" i="1"/>
  <c r="HA126" i="1"/>
  <c r="HB126" i="1"/>
  <c r="HC126" i="1"/>
  <c r="HD126" i="1"/>
  <c r="HE126" i="1"/>
  <c r="HF126" i="1"/>
  <c r="HG126" i="1"/>
  <c r="HH126" i="1"/>
  <c r="HI126" i="1"/>
  <c r="HJ126" i="1"/>
  <c r="HK126" i="1"/>
  <c r="HL126" i="1"/>
  <c r="HM126" i="1"/>
  <c r="HN126" i="1"/>
  <c r="HO126" i="1"/>
  <c r="HP126" i="1"/>
  <c r="HQ126" i="1"/>
  <c r="HR126" i="1"/>
  <c r="HS126" i="1"/>
  <c r="HT126" i="1"/>
  <c r="HU126" i="1"/>
  <c r="HV126" i="1"/>
  <c r="HW126" i="1"/>
  <c r="HX126" i="1"/>
  <c r="HY126" i="1"/>
  <c r="HZ126" i="1"/>
  <c r="IA126" i="1"/>
  <c r="IB126" i="1"/>
  <c r="IC126" i="1"/>
  <c r="ID126" i="1"/>
  <c r="IE126" i="1"/>
  <c r="IF126" i="1"/>
  <c r="IG126" i="1"/>
  <c r="IH126" i="1"/>
  <c r="H127" i="1"/>
  <c r="I127" i="1"/>
  <c r="L127" i="1"/>
  <c r="O127" i="1"/>
  <c r="R127" i="1"/>
  <c r="S127" i="1"/>
  <c r="T127" i="1"/>
  <c r="U127" i="1"/>
  <c r="W127" i="1"/>
  <c r="X127" i="1"/>
  <c r="Y127" i="1"/>
  <c r="Z127" i="1"/>
  <c r="AA127" i="1"/>
  <c r="AB127" i="1"/>
  <c r="AP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D127" i="1"/>
  <c r="CE127" i="1"/>
  <c r="CF127" i="1"/>
  <c r="CG127" i="1"/>
  <c r="CH127" i="1"/>
  <c r="CI127" i="1"/>
  <c r="CJ127" i="1"/>
  <c r="CK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E127" i="1"/>
  <c r="DH127" i="1"/>
  <c r="DK127" i="1"/>
  <c r="DL127" i="1"/>
  <c r="DM127" i="1"/>
  <c r="DN127" i="1"/>
  <c r="DP127" i="1"/>
  <c r="DS127" i="1"/>
  <c r="DV127" i="1"/>
  <c r="DX127" i="1"/>
  <c r="DY127" i="1"/>
  <c r="ED127" i="1"/>
  <c r="EE127" i="1"/>
  <c r="EF127" i="1"/>
  <c r="EG127" i="1"/>
  <c r="EH127" i="1"/>
  <c r="EI127" i="1"/>
  <c r="EJ127" i="1"/>
  <c r="EK127" i="1"/>
  <c r="FO127" i="1"/>
  <c r="FP127" i="1"/>
  <c r="FQ127" i="1"/>
  <c r="FR127" i="1"/>
  <c r="FS127" i="1"/>
  <c r="FT127" i="1"/>
  <c r="FU127" i="1"/>
  <c r="FV127" i="1"/>
  <c r="FW127" i="1"/>
  <c r="FX127" i="1"/>
  <c r="FY127" i="1"/>
  <c r="FZ127" i="1"/>
  <c r="GA127" i="1"/>
  <c r="GB127" i="1"/>
  <c r="GC127" i="1"/>
  <c r="GD127" i="1"/>
  <c r="GE127" i="1"/>
  <c r="GF127" i="1"/>
  <c r="GG127" i="1"/>
  <c r="GH127" i="1"/>
  <c r="GI127" i="1"/>
  <c r="GJ127" i="1"/>
  <c r="GK127" i="1"/>
  <c r="GL127" i="1"/>
  <c r="GM127" i="1"/>
  <c r="GN127" i="1"/>
  <c r="GO127" i="1"/>
  <c r="GP127" i="1"/>
  <c r="GQ127" i="1"/>
  <c r="GR127" i="1"/>
  <c r="GS127" i="1"/>
  <c r="GT127" i="1"/>
  <c r="GU127" i="1"/>
  <c r="GV127" i="1"/>
  <c r="GW127" i="1"/>
  <c r="GX127" i="1"/>
  <c r="GY127" i="1"/>
  <c r="GZ127" i="1"/>
  <c r="HA127" i="1"/>
  <c r="HB127" i="1"/>
  <c r="HC127" i="1"/>
  <c r="HD127" i="1"/>
  <c r="HE127" i="1"/>
  <c r="HF127" i="1"/>
  <c r="HG127" i="1"/>
  <c r="HH127" i="1"/>
  <c r="HI127" i="1"/>
  <c r="HJ127" i="1"/>
  <c r="HK127" i="1"/>
  <c r="HL127" i="1"/>
  <c r="HM127" i="1"/>
  <c r="HN127" i="1"/>
  <c r="HO127" i="1"/>
  <c r="HP127" i="1"/>
  <c r="HQ127" i="1"/>
  <c r="HR127" i="1"/>
  <c r="HS127" i="1"/>
  <c r="HT127" i="1"/>
  <c r="HU127" i="1"/>
  <c r="HV127" i="1"/>
  <c r="HW127" i="1"/>
  <c r="HX127" i="1"/>
  <c r="HY127" i="1"/>
  <c r="HZ127" i="1"/>
  <c r="IA127" i="1"/>
  <c r="IB127" i="1"/>
  <c r="IC127" i="1"/>
  <c r="ID127" i="1"/>
  <c r="IE127" i="1"/>
  <c r="IF127" i="1"/>
  <c r="IG127" i="1"/>
  <c r="IH127" i="1"/>
  <c r="H128" i="1"/>
  <c r="I128" i="1"/>
  <c r="L128" i="1"/>
  <c r="O128" i="1"/>
  <c r="R128" i="1"/>
  <c r="S128" i="1"/>
  <c r="T128" i="1"/>
  <c r="U128" i="1"/>
  <c r="W128" i="1"/>
  <c r="X128" i="1"/>
  <c r="Y128" i="1"/>
  <c r="Z128" i="1"/>
  <c r="AA128" i="1"/>
  <c r="AB128" i="1"/>
  <c r="AP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D128" i="1"/>
  <c r="CE128" i="1"/>
  <c r="CF128" i="1"/>
  <c r="CG128" i="1"/>
  <c r="CH128" i="1"/>
  <c r="CI128" i="1"/>
  <c r="CJ128" i="1"/>
  <c r="CK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E128" i="1"/>
  <c r="DH128" i="1"/>
  <c r="DK128" i="1"/>
  <c r="DL128" i="1"/>
  <c r="DM128" i="1"/>
  <c r="DN128" i="1"/>
  <c r="DP128" i="1"/>
  <c r="DS128" i="1"/>
  <c r="DV128" i="1"/>
  <c r="DX128" i="1"/>
  <c r="DY128" i="1"/>
  <c r="ED128" i="1"/>
  <c r="EE128" i="1"/>
  <c r="EF128" i="1"/>
  <c r="EG128" i="1"/>
  <c r="EH128" i="1"/>
  <c r="EI128" i="1"/>
  <c r="EJ128" i="1"/>
  <c r="EK128" i="1"/>
  <c r="FO128" i="1"/>
  <c r="FP128" i="1"/>
  <c r="FQ128" i="1"/>
  <c r="FR128" i="1"/>
  <c r="FS128" i="1"/>
  <c r="FT128" i="1"/>
  <c r="FU128" i="1"/>
  <c r="FV128" i="1"/>
  <c r="FW128" i="1"/>
  <c r="FX128" i="1"/>
  <c r="FY128" i="1"/>
  <c r="FZ128" i="1"/>
  <c r="GA128" i="1"/>
  <c r="GB128" i="1"/>
  <c r="GC128" i="1"/>
  <c r="GD128" i="1"/>
  <c r="GE128" i="1"/>
  <c r="GF128" i="1"/>
  <c r="GG128" i="1"/>
  <c r="GH128" i="1"/>
  <c r="GI128" i="1"/>
  <c r="GJ128" i="1"/>
  <c r="GK128" i="1"/>
  <c r="GL128" i="1"/>
  <c r="GM128" i="1"/>
  <c r="GN128" i="1"/>
  <c r="GO128" i="1"/>
  <c r="GP128" i="1"/>
  <c r="GQ128" i="1"/>
  <c r="GR128" i="1"/>
  <c r="GS128" i="1"/>
  <c r="GT128" i="1"/>
  <c r="GU128" i="1"/>
  <c r="GV128" i="1"/>
  <c r="GW128" i="1"/>
  <c r="GX128" i="1"/>
  <c r="GY128" i="1"/>
  <c r="GZ128" i="1"/>
  <c r="HA128" i="1"/>
  <c r="HB128" i="1"/>
  <c r="HC128" i="1"/>
  <c r="HD128" i="1"/>
  <c r="HE128" i="1"/>
  <c r="HF128" i="1"/>
  <c r="HG128" i="1"/>
  <c r="HH128" i="1"/>
  <c r="HI128" i="1"/>
  <c r="HJ128" i="1"/>
  <c r="HK128" i="1"/>
  <c r="HL128" i="1"/>
  <c r="HM128" i="1"/>
  <c r="HN128" i="1"/>
  <c r="HO128" i="1"/>
  <c r="HP128" i="1"/>
  <c r="HQ128" i="1"/>
  <c r="HR128" i="1"/>
  <c r="HS128" i="1"/>
  <c r="HT128" i="1"/>
  <c r="HU128" i="1"/>
  <c r="HV128" i="1"/>
  <c r="HW128" i="1"/>
  <c r="HX128" i="1"/>
  <c r="HY128" i="1"/>
  <c r="HZ128" i="1"/>
  <c r="IA128" i="1"/>
  <c r="IB128" i="1"/>
  <c r="IC128" i="1"/>
  <c r="ID128" i="1"/>
  <c r="IE128" i="1"/>
  <c r="IF128" i="1"/>
  <c r="IG128" i="1"/>
  <c r="IH128" i="1"/>
  <c r="H129" i="1"/>
  <c r="I129" i="1"/>
  <c r="L129" i="1"/>
  <c r="O129" i="1"/>
  <c r="R129" i="1"/>
  <c r="S129" i="1"/>
  <c r="T129" i="1"/>
  <c r="U129" i="1"/>
  <c r="W129" i="1"/>
  <c r="X129" i="1"/>
  <c r="Y129" i="1"/>
  <c r="Z129" i="1"/>
  <c r="AA129" i="1"/>
  <c r="AB129" i="1"/>
  <c r="AP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D129" i="1"/>
  <c r="CE129" i="1"/>
  <c r="CF129" i="1"/>
  <c r="CG129" i="1"/>
  <c r="CH129" i="1"/>
  <c r="CI129" i="1"/>
  <c r="CJ129" i="1"/>
  <c r="CK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E129" i="1"/>
  <c r="DH129" i="1"/>
  <c r="DK129" i="1"/>
  <c r="DL129" i="1"/>
  <c r="DM129" i="1"/>
  <c r="DN129" i="1"/>
  <c r="DP129" i="1"/>
  <c r="DS129" i="1"/>
  <c r="DV129" i="1"/>
  <c r="DX129" i="1"/>
  <c r="DY129" i="1"/>
  <c r="ED129" i="1"/>
  <c r="EE129" i="1"/>
  <c r="EF129" i="1"/>
  <c r="EG129" i="1"/>
  <c r="EH129" i="1"/>
  <c r="EI129" i="1"/>
  <c r="EJ129" i="1"/>
  <c r="EK129" i="1"/>
  <c r="FO129" i="1"/>
  <c r="FP129" i="1"/>
  <c r="FQ129" i="1"/>
  <c r="FR129" i="1"/>
  <c r="FS129" i="1"/>
  <c r="FT129" i="1"/>
  <c r="FU129" i="1"/>
  <c r="FV129" i="1"/>
  <c r="FW129" i="1"/>
  <c r="FX129" i="1"/>
  <c r="FY129" i="1"/>
  <c r="FZ129" i="1"/>
  <c r="GA129" i="1"/>
  <c r="GB129" i="1"/>
  <c r="GC129" i="1"/>
  <c r="GD129" i="1"/>
  <c r="GE129" i="1"/>
  <c r="GF129" i="1"/>
  <c r="GG129" i="1"/>
  <c r="GH129" i="1"/>
  <c r="GI129" i="1"/>
  <c r="GJ129" i="1"/>
  <c r="GK129" i="1"/>
  <c r="GL129" i="1"/>
  <c r="GM129" i="1"/>
  <c r="GN129" i="1"/>
  <c r="GO129" i="1"/>
  <c r="GP129" i="1"/>
  <c r="GQ129" i="1"/>
  <c r="GR129" i="1"/>
  <c r="GS129" i="1"/>
  <c r="GT129" i="1"/>
  <c r="GU129" i="1"/>
  <c r="GV129" i="1"/>
  <c r="GW129" i="1"/>
  <c r="GX129" i="1"/>
  <c r="GY129" i="1"/>
  <c r="GZ129" i="1"/>
  <c r="HA129" i="1"/>
  <c r="HB129" i="1"/>
  <c r="HC129" i="1"/>
  <c r="HD129" i="1"/>
  <c r="HE129" i="1"/>
  <c r="HF129" i="1"/>
  <c r="HG129" i="1"/>
  <c r="HH129" i="1"/>
  <c r="HI129" i="1"/>
  <c r="HJ129" i="1"/>
  <c r="HK129" i="1"/>
  <c r="HL129" i="1"/>
  <c r="HM129" i="1"/>
  <c r="HN129" i="1"/>
  <c r="HO129" i="1"/>
  <c r="HP129" i="1"/>
  <c r="HQ129" i="1"/>
  <c r="HR129" i="1"/>
  <c r="HS129" i="1"/>
  <c r="HT129" i="1"/>
  <c r="HU129" i="1"/>
  <c r="HV129" i="1"/>
  <c r="HW129" i="1"/>
  <c r="HX129" i="1"/>
  <c r="HY129" i="1"/>
  <c r="HZ129" i="1"/>
  <c r="IA129" i="1"/>
  <c r="IB129" i="1"/>
  <c r="IC129" i="1"/>
  <c r="ID129" i="1"/>
  <c r="IE129" i="1"/>
  <c r="IF129" i="1"/>
  <c r="IG129" i="1"/>
  <c r="IH129" i="1"/>
  <c r="H130" i="1"/>
  <c r="I130" i="1"/>
  <c r="L130" i="1"/>
  <c r="O130" i="1"/>
  <c r="R130" i="1"/>
  <c r="S130" i="1"/>
  <c r="T130" i="1"/>
  <c r="U130" i="1"/>
  <c r="W130" i="1"/>
  <c r="X130" i="1"/>
  <c r="Y130" i="1"/>
  <c r="Z130" i="1"/>
  <c r="AA130" i="1"/>
  <c r="AB130" i="1"/>
  <c r="AP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D130" i="1"/>
  <c r="CE130" i="1"/>
  <c r="CF130" i="1"/>
  <c r="CG130" i="1"/>
  <c r="CH130" i="1"/>
  <c r="CI130" i="1"/>
  <c r="CJ130" i="1"/>
  <c r="CK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E130" i="1"/>
  <c r="DH130" i="1"/>
  <c r="DK130" i="1"/>
  <c r="DL130" i="1"/>
  <c r="DM130" i="1"/>
  <c r="DN130" i="1"/>
  <c r="DP130" i="1"/>
  <c r="DS130" i="1"/>
  <c r="DV130" i="1"/>
  <c r="DX130" i="1"/>
  <c r="DY130" i="1"/>
  <c r="ED130" i="1"/>
  <c r="EE130" i="1"/>
  <c r="EF130" i="1"/>
  <c r="EG130" i="1"/>
  <c r="EH130" i="1"/>
  <c r="EI130" i="1"/>
  <c r="EJ130" i="1"/>
  <c r="EK130" i="1"/>
  <c r="FO130" i="1"/>
  <c r="FP130" i="1"/>
  <c r="FQ130" i="1"/>
  <c r="FR130" i="1"/>
  <c r="FS130" i="1"/>
  <c r="FT130" i="1"/>
  <c r="FU130" i="1"/>
  <c r="FV130" i="1"/>
  <c r="FW130" i="1"/>
  <c r="FX130" i="1"/>
  <c r="FY130" i="1"/>
  <c r="FZ130" i="1"/>
  <c r="GA130" i="1"/>
  <c r="GB130" i="1"/>
  <c r="GC130" i="1"/>
  <c r="GD130" i="1"/>
  <c r="GE130" i="1"/>
  <c r="GF130" i="1"/>
  <c r="GG130" i="1"/>
  <c r="GH130" i="1"/>
  <c r="GI130" i="1"/>
  <c r="GJ130" i="1"/>
  <c r="GK130" i="1"/>
  <c r="GL130" i="1"/>
  <c r="GM130" i="1"/>
  <c r="GN130" i="1"/>
  <c r="GO130" i="1"/>
  <c r="GP130" i="1"/>
  <c r="GQ130" i="1"/>
  <c r="GR130" i="1"/>
  <c r="GS130" i="1"/>
  <c r="GT130" i="1"/>
  <c r="GU130" i="1"/>
  <c r="GV130" i="1"/>
  <c r="GW130" i="1"/>
  <c r="GX130" i="1"/>
  <c r="GY130" i="1"/>
  <c r="GZ130" i="1"/>
  <c r="HA130" i="1"/>
  <c r="HB130" i="1"/>
  <c r="HC130" i="1"/>
  <c r="HD130" i="1"/>
  <c r="HE130" i="1"/>
  <c r="HF130" i="1"/>
  <c r="HG130" i="1"/>
  <c r="HH130" i="1"/>
  <c r="HI130" i="1"/>
  <c r="HJ130" i="1"/>
  <c r="HK130" i="1"/>
  <c r="HL130" i="1"/>
  <c r="HM130" i="1"/>
  <c r="HN130" i="1"/>
  <c r="HO130" i="1"/>
  <c r="HP130" i="1"/>
  <c r="HQ130" i="1"/>
  <c r="HR130" i="1"/>
  <c r="HS130" i="1"/>
  <c r="HT130" i="1"/>
  <c r="HU130" i="1"/>
  <c r="HV130" i="1"/>
  <c r="HW130" i="1"/>
  <c r="HX130" i="1"/>
  <c r="HY130" i="1"/>
  <c r="HZ130" i="1"/>
  <c r="IA130" i="1"/>
  <c r="IB130" i="1"/>
  <c r="IC130" i="1"/>
  <c r="ID130" i="1"/>
  <c r="IE130" i="1"/>
  <c r="IF130" i="1"/>
  <c r="IG130" i="1"/>
  <c r="IH130" i="1"/>
  <c r="H131" i="1"/>
  <c r="I131" i="1"/>
  <c r="L131" i="1"/>
  <c r="O131" i="1"/>
  <c r="R131" i="1"/>
  <c r="S131" i="1"/>
  <c r="T131" i="1"/>
  <c r="U131" i="1"/>
  <c r="W131" i="1"/>
  <c r="X131" i="1"/>
  <c r="Y131" i="1"/>
  <c r="Z131" i="1"/>
  <c r="AA131" i="1"/>
  <c r="AB131" i="1"/>
  <c r="AP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D131" i="1"/>
  <c r="CE131" i="1"/>
  <c r="CF131" i="1"/>
  <c r="CG131" i="1"/>
  <c r="CH131" i="1"/>
  <c r="CI131" i="1"/>
  <c r="CJ131" i="1"/>
  <c r="CK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E131" i="1"/>
  <c r="DH131" i="1"/>
  <c r="DK131" i="1"/>
  <c r="DL131" i="1"/>
  <c r="DM131" i="1"/>
  <c r="DN131" i="1"/>
  <c r="DP131" i="1"/>
  <c r="DS131" i="1"/>
  <c r="DV131" i="1"/>
  <c r="DX131" i="1"/>
  <c r="DY131" i="1"/>
  <c r="ED131" i="1"/>
  <c r="EE131" i="1"/>
  <c r="EF131" i="1"/>
  <c r="EG131" i="1"/>
  <c r="EH131" i="1"/>
  <c r="EI131" i="1"/>
  <c r="EJ131" i="1"/>
  <c r="EK131" i="1"/>
  <c r="FO131" i="1"/>
  <c r="FP131" i="1"/>
  <c r="FQ131" i="1"/>
  <c r="FR131" i="1"/>
  <c r="FS131" i="1"/>
  <c r="FT131" i="1"/>
  <c r="FU131" i="1"/>
  <c r="FV131" i="1"/>
  <c r="FW131" i="1"/>
  <c r="FX131" i="1"/>
  <c r="FY131" i="1"/>
  <c r="FZ131" i="1"/>
  <c r="GA131" i="1"/>
  <c r="GB131" i="1"/>
  <c r="GC131" i="1"/>
  <c r="GD131" i="1"/>
  <c r="GE131" i="1"/>
  <c r="GF131" i="1"/>
  <c r="GG131" i="1"/>
  <c r="GH131" i="1"/>
  <c r="GI131" i="1"/>
  <c r="GJ131" i="1"/>
  <c r="GK131" i="1"/>
  <c r="GL131" i="1"/>
  <c r="GM131" i="1"/>
  <c r="GN131" i="1"/>
  <c r="GO131" i="1"/>
  <c r="GP131" i="1"/>
  <c r="GQ131" i="1"/>
  <c r="GR131" i="1"/>
  <c r="GS131" i="1"/>
  <c r="GT131" i="1"/>
  <c r="GU131" i="1"/>
  <c r="GV131" i="1"/>
  <c r="GW131" i="1"/>
  <c r="GX131" i="1"/>
  <c r="GY131" i="1"/>
  <c r="GZ131" i="1"/>
  <c r="HA131" i="1"/>
  <c r="HB131" i="1"/>
  <c r="HC131" i="1"/>
  <c r="HD131" i="1"/>
  <c r="HE131" i="1"/>
  <c r="HF131" i="1"/>
  <c r="HG131" i="1"/>
  <c r="HH131" i="1"/>
  <c r="HI131" i="1"/>
  <c r="HJ131" i="1"/>
  <c r="HK131" i="1"/>
  <c r="HL131" i="1"/>
  <c r="HM131" i="1"/>
  <c r="HN131" i="1"/>
  <c r="HO131" i="1"/>
  <c r="HP131" i="1"/>
  <c r="HQ131" i="1"/>
  <c r="HR131" i="1"/>
  <c r="HS131" i="1"/>
  <c r="HT131" i="1"/>
  <c r="HU131" i="1"/>
  <c r="HV131" i="1"/>
  <c r="HW131" i="1"/>
  <c r="HX131" i="1"/>
  <c r="HY131" i="1"/>
  <c r="HZ131" i="1"/>
  <c r="IA131" i="1"/>
  <c r="IB131" i="1"/>
  <c r="IC131" i="1"/>
  <c r="ID131" i="1"/>
  <c r="IE131" i="1"/>
  <c r="IF131" i="1"/>
  <c r="IG131" i="1"/>
  <c r="IH131" i="1"/>
  <c r="H132" i="1"/>
  <c r="I132" i="1"/>
  <c r="L132" i="1"/>
  <c r="O132" i="1"/>
  <c r="R132" i="1"/>
  <c r="S132" i="1"/>
  <c r="T132" i="1"/>
  <c r="U132" i="1"/>
  <c r="W132" i="1"/>
  <c r="X132" i="1"/>
  <c r="Y132" i="1"/>
  <c r="Z132" i="1"/>
  <c r="AA132" i="1"/>
  <c r="AB132" i="1"/>
  <c r="AP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D132" i="1"/>
  <c r="CE132" i="1"/>
  <c r="CF132" i="1"/>
  <c r="CG132" i="1"/>
  <c r="CH132" i="1"/>
  <c r="CI132" i="1"/>
  <c r="CJ132" i="1"/>
  <c r="CK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E132" i="1"/>
  <c r="DH132" i="1"/>
  <c r="DK132" i="1"/>
  <c r="DL132" i="1"/>
  <c r="DM132" i="1"/>
  <c r="DN132" i="1"/>
  <c r="DP132" i="1"/>
  <c r="DS132" i="1"/>
  <c r="DV132" i="1"/>
  <c r="DX132" i="1"/>
  <c r="DY132" i="1"/>
  <c r="ED132" i="1"/>
  <c r="EE132" i="1"/>
  <c r="EF132" i="1"/>
  <c r="EG132" i="1"/>
  <c r="EH132" i="1"/>
  <c r="EI132" i="1"/>
  <c r="EJ132" i="1"/>
  <c r="EK132" i="1"/>
  <c r="FO132" i="1"/>
  <c r="FP132" i="1"/>
  <c r="FQ132" i="1"/>
  <c r="FR132" i="1"/>
  <c r="FS132" i="1"/>
  <c r="FT132" i="1"/>
  <c r="FU132" i="1"/>
  <c r="FV132" i="1"/>
  <c r="FW132" i="1"/>
  <c r="FX132" i="1"/>
  <c r="FY132" i="1"/>
  <c r="FZ132" i="1"/>
  <c r="GA132" i="1"/>
  <c r="GB132" i="1"/>
  <c r="GC132" i="1"/>
  <c r="GD132" i="1"/>
  <c r="GE132" i="1"/>
  <c r="GF132" i="1"/>
  <c r="GG132" i="1"/>
  <c r="GH132" i="1"/>
  <c r="GI132" i="1"/>
  <c r="GJ132" i="1"/>
  <c r="GK132" i="1"/>
  <c r="GL132" i="1"/>
  <c r="GM132" i="1"/>
  <c r="GN132" i="1"/>
  <c r="GO132" i="1"/>
  <c r="GP132" i="1"/>
  <c r="GQ132" i="1"/>
  <c r="GR132" i="1"/>
  <c r="GS132" i="1"/>
  <c r="GT132" i="1"/>
  <c r="GU132" i="1"/>
  <c r="GV132" i="1"/>
  <c r="GW132" i="1"/>
  <c r="GX132" i="1"/>
  <c r="GY132" i="1"/>
  <c r="GZ132" i="1"/>
  <c r="HA132" i="1"/>
  <c r="HB132" i="1"/>
  <c r="HC132" i="1"/>
  <c r="HD132" i="1"/>
  <c r="HE132" i="1"/>
  <c r="HF132" i="1"/>
  <c r="HG132" i="1"/>
  <c r="HH132" i="1"/>
  <c r="HI132" i="1"/>
  <c r="HJ132" i="1"/>
  <c r="HK132" i="1"/>
  <c r="HL132" i="1"/>
  <c r="HM132" i="1"/>
  <c r="HN132" i="1"/>
  <c r="HO132" i="1"/>
  <c r="HP132" i="1"/>
  <c r="HQ132" i="1"/>
  <c r="HR132" i="1"/>
  <c r="HS132" i="1"/>
  <c r="HT132" i="1"/>
  <c r="HU132" i="1"/>
  <c r="HV132" i="1"/>
  <c r="HW132" i="1"/>
  <c r="HX132" i="1"/>
  <c r="HY132" i="1"/>
  <c r="HZ132" i="1"/>
  <c r="IA132" i="1"/>
  <c r="IB132" i="1"/>
  <c r="IC132" i="1"/>
  <c r="ID132" i="1"/>
  <c r="IE132" i="1"/>
  <c r="IF132" i="1"/>
  <c r="IG132" i="1"/>
  <c r="IH132" i="1"/>
  <c r="H133" i="1"/>
  <c r="I133" i="1"/>
  <c r="L133" i="1"/>
  <c r="O133" i="1"/>
  <c r="R133" i="1"/>
  <c r="S133" i="1"/>
  <c r="T133" i="1"/>
  <c r="U133" i="1"/>
  <c r="W133" i="1"/>
  <c r="X133" i="1"/>
  <c r="Y133" i="1"/>
  <c r="Z133" i="1"/>
  <c r="AA133" i="1"/>
  <c r="AB133" i="1"/>
  <c r="AP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D133" i="1"/>
  <c r="CE133" i="1"/>
  <c r="CF133" i="1"/>
  <c r="CG133" i="1"/>
  <c r="CH133" i="1"/>
  <c r="CI133" i="1"/>
  <c r="CJ133" i="1"/>
  <c r="CK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E133" i="1"/>
  <c r="DH133" i="1"/>
  <c r="DK133" i="1"/>
  <c r="DL133" i="1"/>
  <c r="DM133" i="1"/>
  <c r="DN133" i="1"/>
  <c r="DP133" i="1"/>
  <c r="DS133" i="1"/>
  <c r="DV133" i="1"/>
  <c r="DX133" i="1"/>
  <c r="DY133" i="1"/>
  <c r="ED133" i="1"/>
  <c r="EE133" i="1"/>
  <c r="EF133" i="1"/>
  <c r="EG133" i="1"/>
  <c r="EH133" i="1"/>
  <c r="EI133" i="1"/>
  <c r="EJ133" i="1"/>
  <c r="EK133" i="1"/>
  <c r="FO133" i="1"/>
  <c r="FP133" i="1"/>
  <c r="FQ133" i="1"/>
  <c r="FR133" i="1"/>
  <c r="FS133" i="1"/>
  <c r="FT133" i="1"/>
  <c r="FU133" i="1"/>
  <c r="FV133" i="1"/>
  <c r="FW133" i="1"/>
  <c r="FX133" i="1"/>
  <c r="FY133" i="1"/>
  <c r="FZ133" i="1"/>
  <c r="GA133" i="1"/>
  <c r="GB133" i="1"/>
  <c r="GC133" i="1"/>
  <c r="GD133" i="1"/>
  <c r="GE133" i="1"/>
  <c r="GF133" i="1"/>
  <c r="GG133" i="1"/>
  <c r="GH133" i="1"/>
  <c r="GI133" i="1"/>
  <c r="GJ133" i="1"/>
  <c r="GK133" i="1"/>
  <c r="GL133" i="1"/>
  <c r="GM133" i="1"/>
  <c r="GN133" i="1"/>
  <c r="GO133" i="1"/>
  <c r="GP133" i="1"/>
  <c r="GQ133" i="1"/>
  <c r="GR133" i="1"/>
  <c r="GS133" i="1"/>
  <c r="GT133" i="1"/>
  <c r="GU133" i="1"/>
  <c r="GV133" i="1"/>
  <c r="GW133" i="1"/>
  <c r="GX133" i="1"/>
  <c r="GY133" i="1"/>
  <c r="GZ133" i="1"/>
  <c r="HA133" i="1"/>
  <c r="HB133" i="1"/>
  <c r="HC133" i="1"/>
  <c r="HD133" i="1"/>
  <c r="HE133" i="1"/>
  <c r="HF133" i="1"/>
  <c r="HG133" i="1"/>
  <c r="HH133" i="1"/>
  <c r="HI133" i="1"/>
  <c r="HJ133" i="1"/>
  <c r="HK133" i="1"/>
  <c r="HL133" i="1"/>
  <c r="HM133" i="1"/>
  <c r="HN133" i="1"/>
  <c r="HO133" i="1"/>
  <c r="HP133" i="1"/>
  <c r="HQ133" i="1"/>
  <c r="HR133" i="1"/>
  <c r="HS133" i="1"/>
  <c r="HT133" i="1"/>
  <c r="HU133" i="1"/>
  <c r="HV133" i="1"/>
  <c r="HW133" i="1"/>
  <c r="HX133" i="1"/>
  <c r="HY133" i="1"/>
  <c r="HZ133" i="1"/>
  <c r="IA133" i="1"/>
  <c r="IB133" i="1"/>
  <c r="IC133" i="1"/>
  <c r="ID133" i="1"/>
  <c r="IE133" i="1"/>
  <c r="IF133" i="1"/>
  <c r="IG133" i="1"/>
  <c r="IH133" i="1"/>
  <c r="H134" i="1"/>
  <c r="I134" i="1"/>
  <c r="L134" i="1"/>
  <c r="O134" i="1"/>
  <c r="R134" i="1"/>
  <c r="S134" i="1"/>
  <c r="T134" i="1"/>
  <c r="U134" i="1"/>
  <c r="W134" i="1"/>
  <c r="X134" i="1"/>
  <c r="Y134" i="1"/>
  <c r="Z134" i="1"/>
  <c r="AA134" i="1"/>
  <c r="AB134" i="1"/>
  <c r="AP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D134" i="1"/>
  <c r="CE134" i="1"/>
  <c r="CF134" i="1"/>
  <c r="CG134" i="1"/>
  <c r="CH134" i="1"/>
  <c r="CI134" i="1"/>
  <c r="CJ134" i="1"/>
  <c r="CK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CY134" i="1"/>
  <c r="CZ134" i="1"/>
  <c r="DA134" i="1"/>
  <c r="DB134" i="1"/>
  <c r="DC134" i="1"/>
  <c r="DE134" i="1"/>
  <c r="DH134" i="1"/>
  <c r="DK134" i="1"/>
  <c r="DL134" i="1"/>
  <c r="DM134" i="1"/>
  <c r="DN134" i="1"/>
  <c r="DP134" i="1"/>
  <c r="DS134" i="1"/>
  <c r="DV134" i="1"/>
  <c r="DX134" i="1"/>
  <c r="DY134" i="1"/>
  <c r="ED134" i="1"/>
  <c r="EE134" i="1"/>
  <c r="EF134" i="1"/>
  <c r="EG134" i="1"/>
  <c r="EH134" i="1"/>
  <c r="EI134" i="1"/>
  <c r="EJ134" i="1"/>
  <c r="EK134" i="1"/>
  <c r="FO134" i="1"/>
  <c r="FP134" i="1"/>
  <c r="FQ134" i="1"/>
  <c r="FR134" i="1"/>
  <c r="FS134" i="1"/>
  <c r="FT134" i="1"/>
  <c r="FU134" i="1"/>
  <c r="FV134" i="1"/>
  <c r="FW134" i="1"/>
  <c r="FX134" i="1"/>
  <c r="FY134" i="1"/>
  <c r="FZ134" i="1"/>
  <c r="GA134" i="1"/>
  <c r="GB134" i="1"/>
  <c r="GC134" i="1"/>
  <c r="GD134" i="1"/>
  <c r="GE134" i="1"/>
  <c r="GF134" i="1"/>
  <c r="GG134" i="1"/>
  <c r="GH134" i="1"/>
  <c r="GI134" i="1"/>
  <c r="GJ134" i="1"/>
  <c r="GK134" i="1"/>
  <c r="GL134" i="1"/>
  <c r="GM134" i="1"/>
  <c r="GN134" i="1"/>
  <c r="GO134" i="1"/>
  <c r="GP134" i="1"/>
  <c r="GQ134" i="1"/>
  <c r="GR134" i="1"/>
  <c r="GS134" i="1"/>
  <c r="GT134" i="1"/>
  <c r="GU134" i="1"/>
  <c r="GV134" i="1"/>
  <c r="GW134" i="1"/>
  <c r="GX134" i="1"/>
  <c r="GY134" i="1"/>
  <c r="GZ134" i="1"/>
  <c r="HA134" i="1"/>
  <c r="HB134" i="1"/>
  <c r="HC134" i="1"/>
  <c r="HD134" i="1"/>
  <c r="HE134" i="1"/>
  <c r="HF134" i="1"/>
  <c r="HG134" i="1"/>
  <c r="HH134" i="1"/>
  <c r="HI134" i="1"/>
  <c r="HJ134" i="1"/>
  <c r="HK134" i="1"/>
  <c r="HL134" i="1"/>
  <c r="HM134" i="1"/>
  <c r="HN134" i="1"/>
  <c r="HO134" i="1"/>
  <c r="HP134" i="1"/>
  <c r="HQ134" i="1"/>
  <c r="HR134" i="1"/>
  <c r="HS134" i="1"/>
  <c r="HT134" i="1"/>
  <c r="HU134" i="1"/>
  <c r="HV134" i="1"/>
  <c r="HW134" i="1"/>
  <c r="HX134" i="1"/>
  <c r="HY134" i="1"/>
  <c r="HZ134" i="1"/>
  <c r="IA134" i="1"/>
  <c r="IB134" i="1"/>
  <c r="IC134" i="1"/>
  <c r="ID134" i="1"/>
  <c r="IE134" i="1"/>
  <c r="IF134" i="1"/>
  <c r="IG134" i="1"/>
  <c r="IH134" i="1"/>
  <c r="H135" i="1"/>
  <c r="I135" i="1"/>
  <c r="L135" i="1"/>
  <c r="O135" i="1"/>
  <c r="R135" i="1"/>
  <c r="S135" i="1"/>
  <c r="T135" i="1"/>
  <c r="U135" i="1"/>
  <c r="W135" i="1"/>
  <c r="X135" i="1"/>
  <c r="Y135" i="1"/>
  <c r="Z135" i="1"/>
  <c r="AA135" i="1"/>
  <c r="AB135" i="1"/>
  <c r="AP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D135" i="1"/>
  <c r="CE135" i="1"/>
  <c r="CF135" i="1"/>
  <c r="CG135" i="1"/>
  <c r="CH135" i="1"/>
  <c r="CI135" i="1"/>
  <c r="CJ135" i="1"/>
  <c r="CK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CY135" i="1"/>
  <c r="CZ135" i="1"/>
  <c r="DA135" i="1"/>
  <c r="DB135" i="1"/>
  <c r="DC135" i="1"/>
  <c r="DE135" i="1"/>
  <c r="DH135" i="1"/>
  <c r="DK135" i="1"/>
  <c r="DL135" i="1"/>
  <c r="DM135" i="1"/>
  <c r="DN135" i="1"/>
  <c r="DP135" i="1"/>
  <c r="DS135" i="1"/>
  <c r="DV135" i="1"/>
  <c r="DX135" i="1"/>
  <c r="DY135" i="1"/>
  <c r="ED135" i="1"/>
  <c r="EE135" i="1"/>
  <c r="EF135" i="1"/>
  <c r="EG135" i="1"/>
  <c r="EH135" i="1"/>
  <c r="EI135" i="1"/>
  <c r="EJ135" i="1"/>
  <c r="EK135" i="1"/>
  <c r="FO135" i="1"/>
  <c r="FP135" i="1"/>
  <c r="FQ135" i="1"/>
  <c r="FR135" i="1"/>
  <c r="FS135" i="1"/>
  <c r="FT135" i="1"/>
  <c r="FU135" i="1"/>
  <c r="FV135" i="1"/>
  <c r="FW135" i="1"/>
  <c r="FX135" i="1"/>
  <c r="FY135" i="1"/>
  <c r="FZ135" i="1"/>
  <c r="GA135" i="1"/>
  <c r="GB135" i="1"/>
  <c r="GC135" i="1"/>
  <c r="GD135" i="1"/>
  <c r="GE135" i="1"/>
  <c r="GF135" i="1"/>
  <c r="GG135" i="1"/>
  <c r="GH135" i="1"/>
  <c r="GI135" i="1"/>
  <c r="GJ135" i="1"/>
  <c r="GK135" i="1"/>
  <c r="GL135" i="1"/>
  <c r="GM135" i="1"/>
  <c r="GN135" i="1"/>
  <c r="GO135" i="1"/>
  <c r="GP135" i="1"/>
  <c r="GQ135" i="1"/>
  <c r="GR135" i="1"/>
  <c r="GS135" i="1"/>
  <c r="GT135" i="1"/>
  <c r="GU135" i="1"/>
  <c r="GV135" i="1"/>
  <c r="GW135" i="1"/>
  <c r="GX135" i="1"/>
  <c r="GY135" i="1"/>
  <c r="GZ135" i="1"/>
  <c r="HA135" i="1"/>
  <c r="HB135" i="1"/>
  <c r="HC135" i="1"/>
  <c r="HD135" i="1"/>
  <c r="HE135" i="1"/>
  <c r="HF135" i="1"/>
  <c r="HG135" i="1"/>
  <c r="HH135" i="1"/>
  <c r="HI135" i="1"/>
  <c r="HJ135" i="1"/>
  <c r="HK135" i="1"/>
  <c r="HL135" i="1"/>
  <c r="HM135" i="1"/>
  <c r="HN135" i="1"/>
  <c r="HO135" i="1"/>
  <c r="HP135" i="1"/>
  <c r="HQ135" i="1"/>
  <c r="HR135" i="1"/>
  <c r="HS135" i="1"/>
  <c r="HT135" i="1"/>
  <c r="HU135" i="1"/>
  <c r="HV135" i="1"/>
  <c r="HW135" i="1"/>
  <c r="HX135" i="1"/>
  <c r="HY135" i="1"/>
  <c r="HZ135" i="1"/>
  <c r="IA135" i="1"/>
  <c r="IB135" i="1"/>
  <c r="IC135" i="1"/>
  <c r="ID135" i="1"/>
  <c r="IE135" i="1"/>
  <c r="IF135" i="1"/>
  <c r="IG135" i="1"/>
  <c r="IH135" i="1"/>
  <c r="H136" i="1"/>
  <c r="I136" i="1"/>
  <c r="L136" i="1"/>
  <c r="O136" i="1"/>
  <c r="R136" i="1"/>
  <c r="S136" i="1"/>
  <c r="T136" i="1"/>
  <c r="U136" i="1"/>
  <c r="W136" i="1"/>
  <c r="X136" i="1"/>
  <c r="Y136" i="1"/>
  <c r="Z136" i="1"/>
  <c r="AA136" i="1"/>
  <c r="AB136" i="1"/>
  <c r="AP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D136" i="1"/>
  <c r="CE136" i="1"/>
  <c r="CF136" i="1"/>
  <c r="CG136" i="1"/>
  <c r="CH136" i="1"/>
  <c r="CI136" i="1"/>
  <c r="CJ136" i="1"/>
  <c r="CK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CY136" i="1"/>
  <c r="CZ136" i="1"/>
  <c r="DA136" i="1"/>
  <c r="DB136" i="1"/>
  <c r="DC136" i="1"/>
  <c r="DE136" i="1"/>
  <c r="DH136" i="1"/>
  <c r="DK136" i="1"/>
  <c r="DL136" i="1"/>
  <c r="DM136" i="1"/>
  <c r="DN136" i="1"/>
  <c r="DP136" i="1"/>
  <c r="DS136" i="1"/>
  <c r="DV136" i="1"/>
  <c r="DX136" i="1"/>
  <c r="DY136" i="1"/>
  <c r="ED136" i="1"/>
  <c r="EE136" i="1"/>
  <c r="EF136" i="1"/>
  <c r="EG136" i="1"/>
  <c r="EH136" i="1"/>
  <c r="EI136" i="1"/>
  <c r="EJ136" i="1"/>
  <c r="EK136" i="1"/>
  <c r="FO136" i="1"/>
  <c r="FP136" i="1"/>
  <c r="FQ136" i="1"/>
  <c r="FR136" i="1"/>
  <c r="FS136" i="1"/>
  <c r="FT136" i="1"/>
  <c r="FU136" i="1"/>
  <c r="FV136" i="1"/>
  <c r="FW136" i="1"/>
  <c r="FX136" i="1"/>
  <c r="FY136" i="1"/>
  <c r="FZ136" i="1"/>
  <c r="GA136" i="1"/>
  <c r="GB136" i="1"/>
  <c r="GC136" i="1"/>
  <c r="GD136" i="1"/>
  <c r="GE136" i="1"/>
  <c r="GF136" i="1"/>
  <c r="GG136" i="1"/>
  <c r="GH136" i="1"/>
  <c r="GI136" i="1"/>
  <c r="GJ136" i="1"/>
  <c r="GK136" i="1"/>
  <c r="GL136" i="1"/>
  <c r="GM136" i="1"/>
  <c r="GN136" i="1"/>
  <c r="GO136" i="1"/>
  <c r="GP136" i="1"/>
  <c r="GQ136" i="1"/>
  <c r="GR136" i="1"/>
  <c r="GS136" i="1"/>
  <c r="GT136" i="1"/>
  <c r="GU136" i="1"/>
  <c r="GV136" i="1"/>
  <c r="GW136" i="1"/>
  <c r="GX136" i="1"/>
  <c r="GY136" i="1"/>
  <c r="GZ136" i="1"/>
  <c r="HA136" i="1"/>
  <c r="HB136" i="1"/>
  <c r="HC136" i="1"/>
  <c r="HD136" i="1"/>
  <c r="HE136" i="1"/>
  <c r="HF136" i="1"/>
  <c r="HG136" i="1"/>
  <c r="HH136" i="1"/>
  <c r="HI136" i="1"/>
  <c r="HJ136" i="1"/>
  <c r="HK136" i="1"/>
  <c r="HL136" i="1"/>
  <c r="HM136" i="1"/>
  <c r="HN136" i="1"/>
  <c r="HO136" i="1"/>
  <c r="HP136" i="1"/>
  <c r="HQ136" i="1"/>
  <c r="HR136" i="1"/>
  <c r="HS136" i="1"/>
  <c r="HT136" i="1"/>
  <c r="HU136" i="1"/>
  <c r="HV136" i="1"/>
  <c r="HW136" i="1"/>
  <c r="HX136" i="1"/>
  <c r="HY136" i="1"/>
  <c r="HZ136" i="1"/>
  <c r="IA136" i="1"/>
  <c r="IB136" i="1"/>
  <c r="IC136" i="1"/>
  <c r="ID136" i="1"/>
  <c r="IE136" i="1"/>
  <c r="IF136" i="1"/>
  <c r="IG136" i="1"/>
  <c r="IH136" i="1"/>
  <c r="H137" i="1"/>
  <c r="I137" i="1"/>
  <c r="L137" i="1"/>
  <c r="O137" i="1"/>
  <c r="R137" i="1"/>
  <c r="S137" i="1"/>
  <c r="T137" i="1"/>
  <c r="U137" i="1"/>
  <c r="W137" i="1"/>
  <c r="X137" i="1"/>
  <c r="Y137" i="1"/>
  <c r="Z137" i="1"/>
  <c r="AA137" i="1"/>
  <c r="AB137" i="1"/>
  <c r="AP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D137" i="1"/>
  <c r="CE137" i="1"/>
  <c r="CF137" i="1"/>
  <c r="CG137" i="1"/>
  <c r="CH137" i="1"/>
  <c r="CI137" i="1"/>
  <c r="CJ137" i="1"/>
  <c r="CK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CY137" i="1"/>
  <c r="CZ137" i="1"/>
  <c r="DA137" i="1"/>
  <c r="DB137" i="1"/>
  <c r="DC137" i="1"/>
  <c r="DE137" i="1"/>
  <c r="DH137" i="1"/>
  <c r="DK137" i="1"/>
  <c r="DL137" i="1"/>
  <c r="DM137" i="1"/>
  <c r="DN137" i="1"/>
  <c r="DP137" i="1"/>
  <c r="DS137" i="1"/>
  <c r="DV137" i="1"/>
  <c r="DX137" i="1"/>
  <c r="DY137" i="1"/>
  <c r="ED137" i="1"/>
  <c r="EE137" i="1"/>
  <c r="EF137" i="1"/>
  <c r="EG137" i="1"/>
  <c r="EH137" i="1"/>
  <c r="EI137" i="1"/>
  <c r="EJ137" i="1"/>
  <c r="EK137" i="1"/>
  <c r="FO137" i="1"/>
  <c r="FP137" i="1"/>
  <c r="FQ137" i="1"/>
  <c r="FR137" i="1"/>
  <c r="FS137" i="1"/>
  <c r="FT137" i="1"/>
  <c r="FU137" i="1"/>
  <c r="FV137" i="1"/>
  <c r="FW137" i="1"/>
  <c r="FX137" i="1"/>
  <c r="FY137" i="1"/>
  <c r="FZ137" i="1"/>
  <c r="GA137" i="1"/>
  <c r="GB137" i="1"/>
  <c r="GC137" i="1"/>
  <c r="GD137" i="1"/>
  <c r="GE137" i="1"/>
  <c r="GF137" i="1"/>
  <c r="GG137" i="1"/>
  <c r="GH137" i="1"/>
  <c r="GI137" i="1"/>
  <c r="GJ137" i="1"/>
  <c r="GK137" i="1"/>
  <c r="GL137" i="1"/>
  <c r="GM137" i="1"/>
  <c r="GN137" i="1"/>
  <c r="GO137" i="1"/>
  <c r="GP137" i="1"/>
  <c r="GQ137" i="1"/>
  <c r="GR137" i="1"/>
  <c r="GS137" i="1"/>
  <c r="GT137" i="1"/>
  <c r="GU137" i="1"/>
  <c r="GV137" i="1"/>
  <c r="GW137" i="1"/>
  <c r="GX137" i="1"/>
  <c r="GY137" i="1"/>
  <c r="GZ137" i="1"/>
  <c r="HA137" i="1"/>
  <c r="HB137" i="1"/>
  <c r="HC137" i="1"/>
  <c r="HD137" i="1"/>
  <c r="HE137" i="1"/>
  <c r="HF137" i="1"/>
  <c r="HG137" i="1"/>
  <c r="HH137" i="1"/>
  <c r="HI137" i="1"/>
  <c r="HJ137" i="1"/>
  <c r="HK137" i="1"/>
  <c r="HL137" i="1"/>
  <c r="HM137" i="1"/>
  <c r="HN137" i="1"/>
  <c r="HO137" i="1"/>
  <c r="HP137" i="1"/>
  <c r="HQ137" i="1"/>
  <c r="HR137" i="1"/>
  <c r="HS137" i="1"/>
  <c r="HT137" i="1"/>
  <c r="HU137" i="1"/>
  <c r="HV137" i="1"/>
  <c r="HW137" i="1"/>
  <c r="HX137" i="1"/>
  <c r="HY137" i="1"/>
  <c r="HZ137" i="1"/>
  <c r="IA137" i="1"/>
  <c r="IB137" i="1"/>
  <c r="IC137" i="1"/>
  <c r="ID137" i="1"/>
  <c r="IE137" i="1"/>
  <c r="IF137" i="1"/>
  <c r="IG137" i="1"/>
  <c r="IH137" i="1"/>
  <c r="H138" i="1"/>
  <c r="I138" i="1"/>
  <c r="L138" i="1"/>
  <c r="O138" i="1"/>
  <c r="R138" i="1"/>
  <c r="S138" i="1"/>
  <c r="T138" i="1"/>
  <c r="U138" i="1"/>
  <c r="W138" i="1"/>
  <c r="X138" i="1"/>
  <c r="Y138" i="1"/>
  <c r="Z138" i="1"/>
  <c r="AA138" i="1"/>
  <c r="AB138" i="1"/>
  <c r="AP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D138" i="1"/>
  <c r="CE138" i="1"/>
  <c r="CF138" i="1"/>
  <c r="CG138" i="1"/>
  <c r="CH138" i="1"/>
  <c r="CI138" i="1"/>
  <c r="CJ138" i="1"/>
  <c r="CK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CY138" i="1"/>
  <c r="CZ138" i="1"/>
  <c r="DA138" i="1"/>
  <c r="DB138" i="1"/>
  <c r="DC138" i="1"/>
  <c r="DE138" i="1"/>
  <c r="DH138" i="1"/>
  <c r="DK138" i="1"/>
  <c r="DL138" i="1"/>
  <c r="DM138" i="1"/>
  <c r="DN138" i="1"/>
  <c r="DP138" i="1"/>
  <c r="DS138" i="1"/>
  <c r="DV138" i="1"/>
  <c r="DX138" i="1"/>
  <c r="DY138" i="1"/>
  <c r="ED138" i="1"/>
  <c r="EE138" i="1"/>
  <c r="EF138" i="1"/>
  <c r="EG138" i="1"/>
  <c r="EH138" i="1"/>
  <c r="EI138" i="1"/>
  <c r="EJ138" i="1"/>
  <c r="EK138" i="1"/>
  <c r="FO138" i="1"/>
  <c r="FP138" i="1"/>
  <c r="FQ138" i="1"/>
  <c r="FR138" i="1"/>
  <c r="FS138" i="1"/>
  <c r="FT138" i="1"/>
  <c r="FU138" i="1"/>
  <c r="FV138" i="1"/>
  <c r="FW138" i="1"/>
  <c r="FX138" i="1"/>
  <c r="FY138" i="1"/>
  <c r="FZ138" i="1"/>
  <c r="GA138" i="1"/>
  <c r="GB138" i="1"/>
  <c r="GC138" i="1"/>
  <c r="GD138" i="1"/>
  <c r="GE138" i="1"/>
  <c r="GF138" i="1"/>
  <c r="GG138" i="1"/>
  <c r="GH138" i="1"/>
  <c r="GI138" i="1"/>
  <c r="GJ138" i="1"/>
  <c r="GK138" i="1"/>
  <c r="GL138" i="1"/>
  <c r="GM138" i="1"/>
  <c r="GN138" i="1"/>
  <c r="GO138" i="1"/>
  <c r="GP138" i="1"/>
  <c r="GQ138" i="1"/>
  <c r="GR138" i="1"/>
  <c r="GS138" i="1"/>
  <c r="GT138" i="1"/>
  <c r="GU138" i="1"/>
  <c r="GV138" i="1"/>
  <c r="GW138" i="1"/>
  <c r="GX138" i="1"/>
  <c r="GY138" i="1"/>
  <c r="GZ138" i="1"/>
  <c r="HA138" i="1"/>
  <c r="HB138" i="1"/>
  <c r="HC138" i="1"/>
  <c r="HD138" i="1"/>
  <c r="HE138" i="1"/>
  <c r="HF138" i="1"/>
  <c r="HG138" i="1"/>
  <c r="HH138" i="1"/>
  <c r="HI138" i="1"/>
  <c r="HJ138" i="1"/>
  <c r="HK138" i="1"/>
  <c r="HL138" i="1"/>
  <c r="HM138" i="1"/>
  <c r="HN138" i="1"/>
  <c r="HO138" i="1"/>
  <c r="HP138" i="1"/>
  <c r="HQ138" i="1"/>
  <c r="HR138" i="1"/>
  <c r="HS138" i="1"/>
  <c r="HT138" i="1"/>
  <c r="HU138" i="1"/>
  <c r="HV138" i="1"/>
  <c r="HW138" i="1"/>
  <c r="HX138" i="1"/>
  <c r="HY138" i="1"/>
  <c r="HZ138" i="1"/>
  <c r="IA138" i="1"/>
  <c r="IB138" i="1"/>
  <c r="IC138" i="1"/>
  <c r="ID138" i="1"/>
  <c r="IE138" i="1"/>
  <c r="IF138" i="1"/>
  <c r="IG138" i="1"/>
  <c r="IH138" i="1"/>
  <c r="H139" i="1"/>
  <c r="I139" i="1"/>
  <c r="L139" i="1"/>
  <c r="O139" i="1"/>
  <c r="R139" i="1"/>
  <c r="S139" i="1"/>
  <c r="T139" i="1"/>
  <c r="U139" i="1"/>
  <c r="W139" i="1"/>
  <c r="X139" i="1"/>
  <c r="Y139" i="1"/>
  <c r="Z139" i="1"/>
  <c r="AA139" i="1"/>
  <c r="AB139" i="1"/>
  <c r="AP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D139" i="1"/>
  <c r="CE139" i="1"/>
  <c r="CF139" i="1"/>
  <c r="CG139" i="1"/>
  <c r="CH139" i="1"/>
  <c r="CI139" i="1"/>
  <c r="CJ139" i="1"/>
  <c r="CK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CY139" i="1"/>
  <c r="CZ139" i="1"/>
  <c r="DA139" i="1"/>
  <c r="DB139" i="1"/>
  <c r="DC139" i="1"/>
  <c r="DE139" i="1"/>
  <c r="DH139" i="1"/>
  <c r="DK139" i="1"/>
  <c r="DL139" i="1"/>
  <c r="DM139" i="1"/>
  <c r="DN139" i="1"/>
  <c r="DP139" i="1"/>
  <c r="DS139" i="1"/>
  <c r="DV139" i="1"/>
  <c r="DX139" i="1"/>
  <c r="DY139" i="1"/>
  <c r="ED139" i="1"/>
  <c r="EE139" i="1"/>
  <c r="EF139" i="1"/>
  <c r="EG139" i="1"/>
  <c r="EH139" i="1"/>
  <c r="EI139" i="1"/>
  <c r="EJ139" i="1"/>
  <c r="EK139" i="1"/>
  <c r="FO139" i="1"/>
  <c r="FP139" i="1"/>
  <c r="FQ139" i="1"/>
  <c r="FR139" i="1"/>
  <c r="FS139" i="1"/>
  <c r="FT139" i="1"/>
  <c r="FU139" i="1"/>
  <c r="FV139" i="1"/>
  <c r="FW139" i="1"/>
  <c r="FX139" i="1"/>
  <c r="FY139" i="1"/>
  <c r="FZ139" i="1"/>
  <c r="GA139" i="1"/>
  <c r="GB139" i="1"/>
  <c r="GC139" i="1"/>
  <c r="GD139" i="1"/>
  <c r="GE139" i="1"/>
  <c r="GF139" i="1"/>
  <c r="GG139" i="1"/>
  <c r="GH139" i="1"/>
  <c r="GI139" i="1"/>
  <c r="GJ139" i="1"/>
  <c r="GK139" i="1"/>
  <c r="GL139" i="1"/>
  <c r="GM139" i="1"/>
  <c r="GN139" i="1"/>
  <c r="GO139" i="1"/>
  <c r="GP139" i="1"/>
  <c r="GQ139" i="1"/>
  <c r="GR139" i="1"/>
  <c r="GS139" i="1"/>
  <c r="GT139" i="1"/>
  <c r="GU139" i="1"/>
  <c r="GV139" i="1"/>
  <c r="GW139" i="1"/>
  <c r="GX139" i="1"/>
  <c r="GY139" i="1"/>
  <c r="GZ139" i="1"/>
  <c r="HA139" i="1"/>
  <c r="HB139" i="1"/>
  <c r="HC139" i="1"/>
  <c r="HD139" i="1"/>
  <c r="HE139" i="1"/>
  <c r="HF139" i="1"/>
  <c r="HG139" i="1"/>
  <c r="HH139" i="1"/>
  <c r="HI139" i="1"/>
  <c r="HJ139" i="1"/>
  <c r="HK139" i="1"/>
  <c r="HL139" i="1"/>
  <c r="HM139" i="1"/>
  <c r="HN139" i="1"/>
  <c r="HO139" i="1"/>
  <c r="HP139" i="1"/>
  <c r="HQ139" i="1"/>
  <c r="HR139" i="1"/>
  <c r="HS139" i="1"/>
  <c r="HT139" i="1"/>
  <c r="HU139" i="1"/>
  <c r="HV139" i="1"/>
  <c r="HW139" i="1"/>
  <c r="HX139" i="1"/>
  <c r="HY139" i="1"/>
  <c r="HZ139" i="1"/>
  <c r="IA139" i="1"/>
  <c r="IB139" i="1"/>
  <c r="IC139" i="1"/>
  <c r="ID139" i="1"/>
  <c r="IE139" i="1"/>
  <c r="IF139" i="1"/>
  <c r="IG139" i="1"/>
  <c r="IH139" i="1"/>
  <c r="H140" i="1"/>
  <c r="I140" i="1"/>
  <c r="L140" i="1"/>
  <c r="O140" i="1"/>
  <c r="R140" i="1"/>
  <c r="S140" i="1"/>
  <c r="T140" i="1"/>
  <c r="U140" i="1"/>
  <c r="W140" i="1"/>
  <c r="X140" i="1"/>
  <c r="Y140" i="1"/>
  <c r="Z140" i="1"/>
  <c r="AA140" i="1"/>
  <c r="AB140" i="1"/>
  <c r="AP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D140" i="1"/>
  <c r="CE140" i="1"/>
  <c r="CF140" i="1"/>
  <c r="CG140" i="1"/>
  <c r="CH140" i="1"/>
  <c r="CI140" i="1"/>
  <c r="CJ140" i="1"/>
  <c r="CK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E140" i="1"/>
  <c r="DH140" i="1"/>
  <c r="DK140" i="1"/>
  <c r="DL140" i="1"/>
  <c r="DM140" i="1"/>
  <c r="DN140" i="1"/>
  <c r="DP140" i="1"/>
  <c r="DS140" i="1"/>
  <c r="DV140" i="1"/>
  <c r="DX140" i="1"/>
  <c r="DY140" i="1"/>
  <c r="ED140" i="1"/>
  <c r="EE140" i="1"/>
  <c r="EF140" i="1"/>
  <c r="EG140" i="1"/>
  <c r="EH140" i="1"/>
  <c r="EI140" i="1"/>
  <c r="EJ140" i="1"/>
  <c r="EK140" i="1"/>
  <c r="FO140" i="1"/>
  <c r="FP140" i="1"/>
  <c r="FQ140" i="1"/>
  <c r="FR140" i="1"/>
  <c r="FS140" i="1"/>
  <c r="FT140" i="1"/>
  <c r="FU140" i="1"/>
  <c r="FV140" i="1"/>
  <c r="FW140" i="1"/>
  <c r="FX140" i="1"/>
  <c r="FY140" i="1"/>
  <c r="FZ140" i="1"/>
  <c r="GA140" i="1"/>
  <c r="GB140" i="1"/>
  <c r="GC140" i="1"/>
  <c r="GD140" i="1"/>
  <c r="GE140" i="1"/>
  <c r="GF140" i="1"/>
  <c r="GG140" i="1"/>
  <c r="GH140" i="1"/>
  <c r="GI140" i="1"/>
  <c r="GJ140" i="1"/>
  <c r="GK140" i="1"/>
  <c r="GL140" i="1"/>
  <c r="GM140" i="1"/>
  <c r="GN140" i="1"/>
  <c r="GO140" i="1"/>
  <c r="GP140" i="1"/>
  <c r="GQ140" i="1"/>
  <c r="GR140" i="1"/>
  <c r="GS140" i="1"/>
  <c r="GT140" i="1"/>
  <c r="GU140" i="1"/>
  <c r="GV140" i="1"/>
  <c r="GW140" i="1"/>
  <c r="GX140" i="1"/>
  <c r="GY140" i="1"/>
  <c r="GZ140" i="1"/>
  <c r="HA140" i="1"/>
  <c r="HB140" i="1"/>
  <c r="HC140" i="1"/>
  <c r="HD140" i="1"/>
  <c r="HE140" i="1"/>
  <c r="HF140" i="1"/>
  <c r="HG140" i="1"/>
  <c r="HH140" i="1"/>
  <c r="HI140" i="1"/>
  <c r="HJ140" i="1"/>
  <c r="HK140" i="1"/>
  <c r="HL140" i="1"/>
  <c r="HM140" i="1"/>
  <c r="HN140" i="1"/>
  <c r="HO140" i="1"/>
  <c r="HP140" i="1"/>
  <c r="HQ140" i="1"/>
  <c r="HR140" i="1"/>
  <c r="HS140" i="1"/>
  <c r="HT140" i="1"/>
  <c r="HU140" i="1"/>
  <c r="HV140" i="1"/>
  <c r="HW140" i="1"/>
  <c r="HX140" i="1"/>
  <c r="HY140" i="1"/>
  <c r="HZ140" i="1"/>
  <c r="IA140" i="1"/>
  <c r="IB140" i="1"/>
  <c r="IC140" i="1"/>
  <c r="ID140" i="1"/>
  <c r="IE140" i="1"/>
  <c r="IF140" i="1"/>
  <c r="IG140" i="1"/>
  <c r="IH140" i="1"/>
  <c r="H141" i="1"/>
  <c r="I141" i="1"/>
  <c r="L141" i="1"/>
  <c r="O141" i="1"/>
  <c r="R141" i="1"/>
  <c r="S141" i="1"/>
  <c r="T141" i="1"/>
  <c r="U141" i="1"/>
  <c r="W141" i="1"/>
  <c r="X141" i="1"/>
  <c r="Y141" i="1"/>
  <c r="Z141" i="1"/>
  <c r="AA141" i="1"/>
  <c r="AB141" i="1"/>
  <c r="AP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D141" i="1"/>
  <c r="CE141" i="1"/>
  <c r="CF141" i="1"/>
  <c r="CG141" i="1"/>
  <c r="CH141" i="1"/>
  <c r="CI141" i="1"/>
  <c r="CJ141" i="1"/>
  <c r="CK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DC141" i="1"/>
  <c r="DE141" i="1"/>
  <c r="DH141" i="1"/>
  <c r="DK141" i="1"/>
  <c r="DL141" i="1"/>
  <c r="DM141" i="1"/>
  <c r="DN141" i="1"/>
  <c r="DP141" i="1"/>
  <c r="DS141" i="1"/>
  <c r="DV141" i="1"/>
  <c r="DX141" i="1"/>
  <c r="DY141" i="1"/>
  <c r="ED141" i="1"/>
  <c r="EE141" i="1"/>
  <c r="EF141" i="1"/>
  <c r="EG141" i="1"/>
  <c r="EH141" i="1"/>
  <c r="EI141" i="1"/>
  <c r="EJ141" i="1"/>
  <c r="EK141" i="1"/>
  <c r="FO141" i="1"/>
  <c r="FP141" i="1"/>
  <c r="FQ141" i="1"/>
  <c r="FR141" i="1"/>
  <c r="FS141" i="1"/>
  <c r="FT141" i="1"/>
  <c r="FU141" i="1"/>
  <c r="FV141" i="1"/>
  <c r="FW141" i="1"/>
  <c r="FX141" i="1"/>
  <c r="FY141" i="1"/>
  <c r="FZ141" i="1"/>
  <c r="GA141" i="1"/>
  <c r="GB141" i="1"/>
  <c r="GC141" i="1"/>
  <c r="GD141" i="1"/>
  <c r="GE141" i="1"/>
  <c r="GF141" i="1"/>
  <c r="GG141" i="1"/>
  <c r="GH141" i="1"/>
  <c r="GI141" i="1"/>
  <c r="GJ141" i="1"/>
  <c r="GK141" i="1"/>
  <c r="GL141" i="1"/>
  <c r="GM141" i="1"/>
  <c r="GN141" i="1"/>
  <c r="GO141" i="1"/>
  <c r="GP141" i="1"/>
  <c r="GQ141" i="1"/>
  <c r="GR141" i="1"/>
  <c r="GS141" i="1"/>
  <c r="GT141" i="1"/>
  <c r="GU141" i="1"/>
  <c r="GV141" i="1"/>
  <c r="GW141" i="1"/>
  <c r="GX141" i="1"/>
  <c r="GY141" i="1"/>
  <c r="GZ141" i="1"/>
  <c r="HA141" i="1"/>
  <c r="HB141" i="1"/>
  <c r="HC141" i="1"/>
  <c r="HD141" i="1"/>
  <c r="HE141" i="1"/>
  <c r="HF141" i="1"/>
  <c r="HG141" i="1"/>
  <c r="HH141" i="1"/>
  <c r="HI141" i="1"/>
  <c r="HJ141" i="1"/>
  <c r="HK141" i="1"/>
  <c r="HL141" i="1"/>
  <c r="HM141" i="1"/>
  <c r="HN141" i="1"/>
  <c r="HO141" i="1"/>
  <c r="HP141" i="1"/>
  <c r="HQ141" i="1"/>
  <c r="HR141" i="1"/>
  <c r="HS141" i="1"/>
  <c r="HT141" i="1"/>
  <c r="HU141" i="1"/>
  <c r="HV141" i="1"/>
  <c r="HW141" i="1"/>
  <c r="HX141" i="1"/>
  <c r="HY141" i="1"/>
  <c r="HZ141" i="1"/>
  <c r="IA141" i="1"/>
  <c r="IB141" i="1"/>
  <c r="IC141" i="1"/>
  <c r="ID141" i="1"/>
  <c r="IE141" i="1"/>
  <c r="IF141" i="1"/>
  <c r="IG141" i="1"/>
  <c r="IH141" i="1"/>
  <c r="H142" i="1"/>
  <c r="I142" i="1"/>
  <c r="L142" i="1"/>
  <c r="O142" i="1"/>
  <c r="R142" i="1"/>
  <c r="S142" i="1"/>
  <c r="T142" i="1"/>
  <c r="U142" i="1"/>
  <c r="W142" i="1"/>
  <c r="X142" i="1"/>
  <c r="Y142" i="1"/>
  <c r="Z142" i="1"/>
  <c r="AA142" i="1"/>
  <c r="AB142" i="1"/>
  <c r="AP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D142" i="1"/>
  <c r="CE142" i="1"/>
  <c r="CF142" i="1"/>
  <c r="CG142" i="1"/>
  <c r="CH142" i="1"/>
  <c r="CI142" i="1"/>
  <c r="CJ142" i="1"/>
  <c r="CK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DC142" i="1"/>
  <c r="DE142" i="1"/>
  <c r="DH142" i="1"/>
  <c r="DK142" i="1"/>
  <c r="DL142" i="1"/>
  <c r="DM142" i="1"/>
  <c r="DN142" i="1"/>
  <c r="DP142" i="1"/>
  <c r="DS142" i="1"/>
  <c r="DV142" i="1"/>
  <c r="DX142" i="1"/>
  <c r="DY142" i="1"/>
  <c r="ED142" i="1"/>
  <c r="EE142" i="1"/>
  <c r="EF142" i="1"/>
  <c r="EG142" i="1"/>
  <c r="EH142" i="1"/>
  <c r="EI142" i="1"/>
  <c r="EJ142" i="1"/>
  <c r="EK142" i="1"/>
  <c r="FO142" i="1"/>
  <c r="FP142" i="1"/>
  <c r="FQ142" i="1"/>
  <c r="FR142" i="1"/>
  <c r="FS142" i="1"/>
  <c r="FT142" i="1"/>
  <c r="FU142" i="1"/>
  <c r="FV142" i="1"/>
  <c r="FW142" i="1"/>
  <c r="FX142" i="1"/>
  <c r="FY142" i="1"/>
  <c r="FZ142" i="1"/>
  <c r="GA142" i="1"/>
  <c r="GB142" i="1"/>
  <c r="GC142" i="1"/>
  <c r="GD142" i="1"/>
  <c r="GE142" i="1"/>
  <c r="GF142" i="1"/>
  <c r="GG142" i="1"/>
  <c r="GH142" i="1"/>
  <c r="GI142" i="1"/>
  <c r="GJ142" i="1"/>
  <c r="GK142" i="1"/>
  <c r="GL142" i="1"/>
  <c r="GM142" i="1"/>
  <c r="GN142" i="1"/>
  <c r="GO142" i="1"/>
  <c r="GP142" i="1"/>
  <c r="GQ142" i="1"/>
  <c r="GR142" i="1"/>
  <c r="GS142" i="1"/>
  <c r="GT142" i="1"/>
  <c r="GU142" i="1"/>
  <c r="GV142" i="1"/>
  <c r="GW142" i="1"/>
  <c r="GX142" i="1"/>
  <c r="GY142" i="1"/>
  <c r="GZ142" i="1"/>
  <c r="HA142" i="1"/>
  <c r="HB142" i="1"/>
  <c r="HC142" i="1"/>
  <c r="HD142" i="1"/>
  <c r="HE142" i="1"/>
  <c r="HF142" i="1"/>
  <c r="HG142" i="1"/>
  <c r="HH142" i="1"/>
  <c r="HI142" i="1"/>
  <c r="HJ142" i="1"/>
  <c r="HK142" i="1"/>
  <c r="HL142" i="1"/>
  <c r="HM142" i="1"/>
  <c r="HN142" i="1"/>
  <c r="HO142" i="1"/>
  <c r="HP142" i="1"/>
  <c r="HQ142" i="1"/>
  <c r="HR142" i="1"/>
  <c r="HS142" i="1"/>
  <c r="HT142" i="1"/>
  <c r="HU142" i="1"/>
  <c r="HV142" i="1"/>
  <c r="HW142" i="1"/>
  <c r="HX142" i="1"/>
  <c r="HY142" i="1"/>
  <c r="HZ142" i="1"/>
  <c r="IA142" i="1"/>
  <c r="IB142" i="1"/>
  <c r="IC142" i="1"/>
  <c r="ID142" i="1"/>
  <c r="IE142" i="1"/>
  <c r="IF142" i="1"/>
  <c r="IG142" i="1"/>
  <c r="IH142" i="1"/>
  <c r="H143" i="1"/>
  <c r="I143" i="1"/>
  <c r="L143" i="1"/>
  <c r="O143" i="1"/>
  <c r="R143" i="1"/>
  <c r="S143" i="1"/>
  <c r="T143" i="1"/>
  <c r="U143" i="1"/>
  <c r="W143" i="1"/>
  <c r="X143" i="1"/>
  <c r="Y143" i="1"/>
  <c r="Z143" i="1"/>
  <c r="AA143" i="1"/>
  <c r="AB143" i="1"/>
  <c r="AP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D143" i="1"/>
  <c r="CE143" i="1"/>
  <c r="CF143" i="1"/>
  <c r="CG143" i="1"/>
  <c r="CH143" i="1"/>
  <c r="CI143" i="1"/>
  <c r="CJ143" i="1"/>
  <c r="CK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Y143" i="1"/>
  <c r="CZ143" i="1"/>
  <c r="DA143" i="1"/>
  <c r="DB143" i="1"/>
  <c r="DC143" i="1"/>
  <c r="DE143" i="1"/>
  <c r="DH143" i="1"/>
  <c r="DK143" i="1"/>
  <c r="DL143" i="1"/>
  <c r="DM143" i="1"/>
  <c r="DN143" i="1"/>
  <c r="DP143" i="1"/>
  <c r="DS143" i="1"/>
  <c r="DV143" i="1"/>
  <c r="DX143" i="1"/>
  <c r="DY143" i="1"/>
  <c r="ED143" i="1"/>
  <c r="EE143" i="1"/>
  <c r="EF143" i="1"/>
  <c r="EG143" i="1"/>
  <c r="EH143" i="1"/>
  <c r="EI143" i="1"/>
  <c r="EJ143" i="1"/>
  <c r="EK143" i="1"/>
  <c r="FO143" i="1"/>
  <c r="FP143" i="1"/>
  <c r="FQ143" i="1"/>
  <c r="FR143" i="1"/>
  <c r="FS143" i="1"/>
  <c r="FT143" i="1"/>
  <c r="FU143" i="1"/>
  <c r="FV143" i="1"/>
  <c r="FW143" i="1"/>
  <c r="FX143" i="1"/>
  <c r="FY143" i="1"/>
  <c r="FZ143" i="1"/>
  <c r="GA143" i="1"/>
  <c r="GB143" i="1"/>
  <c r="GC143" i="1"/>
  <c r="GD143" i="1"/>
  <c r="GE143" i="1"/>
  <c r="GF143" i="1"/>
  <c r="GG143" i="1"/>
  <c r="GH143" i="1"/>
  <c r="GI143" i="1"/>
  <c r="GJ143" i="1"/>
  <c r="GK143" i="1"/>
  <c r="GL143" i="1"/>
  <c r="GM143" i="1"/>
  <c r="GN143" i="1"/>
  <c r="GO143" i="1"/>
  <c r="GP143" i="1"/>
  <c r="GQ143" i="1"/>
  <c r="GR143" i="1"/>
  <c r="GS143" i="1"/>
  <c r="GT143" i="1"/>
  <c r="GU143" i="1"/>
  <c r="GV143" i="1"/>
  <c r="GW143" i="1"/>
  <c r="GX143" i="1"/>
  <c r="GY143" i="1"/>
  <c r="GZ143" i="1"/>
  <c r="HA143" i="1"/>
  <c r="HB143" i="1"/>
  <c r="HC143" i="1"/>
  <c r="HD143" i="1"/>
  <c r="HE143" i="1"/>
  <c r="HF143" i="1"/>
  <c r="HG143" i="1"/>
  <c r="HH143" i="1"/>
  <c r="HI143" i="1"/>
  <c r="HJ143" i="1"/>
  <c r="HK143" i="1"/>
  <c r="HL143" i="1"/>
  <c r="HM143" i="1"/>
  <c r="HN143" i="1"/>
  <c r="HO143" i="1"/>
  <c r="HP143" i="1"/>
  <c r="HQ143" i="1"/>
  <c r="HR143" i="1"/>
  <c r="HS143" i="1"/>
  <c r="HT143" i="1"/>
  <c r="HU143" i="1"/>
  <c r="HV143" i="1"/>
  <c r="HW143" i="1"/>
  <c r="HX143" i="1"/>
  <c r="HY143" i="1"/>
  <c r="HZ143" i="1"/>
  <c r="IA143" i="1"/>
  <c r="IB143" i="1"/>
  <c r="IC143" i="1"/>
  <c r="ID143" i="1"/>
  <c r="IE143" i="1"/>
  <c r="IF143" i="1"/>
  <c r="IG143" i="1"/>
  <c r="IH143" i="1"/>
  <c r="H144" i="1"/>
  <c r="I144" i="1"/>
  <c r="L144" i="1"/>
  <c r="O144" i="1"/>
  <c r="R144" i="1"/>
  <c r="S144" i="1"/>
  <c r="T144" i="1"/>
  <c r="U144" i="1"/>
  <c r="W144" i="1"/>
  <c r="X144" i="1"/>
  <c r="Y144" i="1"/>
  <c r="Z144" i="1"/>
  <c r="AA144" i="1"/>
  <c r="AB144" i="1"/>
  <c r="AP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D144" i="1"/>
  <c r="CE144" i="1"/>
  <c r="CF144" i="1"/>
  <c r="CG144" i="1"/>
  <c r="CH144" i="1"/>
  <c r="CI144" i="1"/>
  <c r="CJ144" i="1"/>
  <c r="CK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Y144" i="1"/>
  <c r="CZ144" i="1"/>
  <c r="DA144" i="1"/>
  <c r="DB144" i="1"/>
  <c r="DC144" i="1"/>
  <c r="DE144" i="1"/>
  <c r="DH144" i="1"/>
  <c r="DK144" i="1"/>
  <c r="DL144" i="1"/>
  <c r="DM144" i="1"/>
  <c r="DN144" i="1"/>
  <c r="DP144" i="1"/>
  <c r="DS144" i="1"/>
  <c r="DV144" i="1"/>
  <c r="DX144" i="1"/>
  <c r="DY144" i="1"/>
  <c r="ED144" i="1"/>
  <c r="EE144" i="1"/>
  <c r="EF144" i="1"/>
  <c r="EG144" i="1"/>
  <c r="EH144" i="1"/>
  <c r="EI144" i="1"/>
  <c r="EJ144" i="1"/>
  <c r="EK144" i="1"/>
  <c r="FO144" i="1"/>
  <c r="FP144" i="1"/>
  <c r="FQ144" i="1"/>
  <c r="FR144" i="1"/>
  <c r="FS144" i="1"/>
  <c r="FT144" i="1"/>
  <c r="FU144" i="1"/>
  <c r="FV144" i="1"/>
  <c r="FW144" i="1"/>
  <c r="FX144" i="1"/>
  <c r="FY144" i="1"/>
  <c r="FZ144" i="1"/>
  <c r="GA144" i="1"/>
  <c r="GB144" i="1"/>
  <c r="GC144" i="1"/>
  <c r="GD144" i="1"/>
  <c r="GE144" i="1"/>
  <c r="GF144" i="1"/>
  <c r="GG144" i="1"/>
  <c r="GH144" i="1"/>
  <c r="GI144" i="1"/>
  <c r="GJ144" i="1"/>
  <c r="GK144" i="1"/>
  <c r="GL144" i="1"/>
  <c r="GM144" i="1"/>
  <c r="GN144" i="1"/>
  <c r="GO144" i="1"/>
  <c r="GP144" i="1"/>
  <c r="GQ144" i="1"/>
  <c r="GR144" i="1"/>
  <c r="GS144" i="1"/>
  <c r="GT144" i="1"/>
  <c r="GU144" i="1"/>
  <c r="GV144" i="1"/>
  <c r="GW144" i="1"/>
  <c r="GX144" i="1"/>
  <c r="GY144" i="1"/>
  <c r="GZ144" i="1"/>
  <c r="HA144" i="1"/>
  <c r="HB144" i="1"/>
  <c r="HC144" i="1"/>
  <c r="HD144" i="1"/>
  <c r="HE144" i="1"/>
  <c r="HF144" i="1"/>
  <c r="HG144" i="1"/>
  <c r="HH144" i="1"/>
  <c r="HI144" i="1"/>
  <c r="HJ144" i="1"/>
  <c r="HK144" i="1"/>
  <c r="HL144" i="1"/>
  <c r="HM144" i="1"/>
  <c r="HN144" i="1"/>
  <c r="HO144" i="1"/>
  <c r="HP144" i="1"/>
  <c r="HQ144" i="1"/>
  <c r="HR144" i="1"/>
  <c r="HS144" i="1"/>
  <c r="HT144" i="1"/>
  <c r="HU144" i="1"/>
  <c r="HV144" i="1"/>
  <c r="HW144" i="1"/>
  <c r="HX144" i="1"/>
  <c r="HY144" i="1"/>
  <c r="HZ144" i="1"/>
  <c r="IA144" i="1"/>
  <c r="IB144" i="1"/>
  <c r="IC144" i="1"/>
  <c r="ID144" i="1"/>
  <c r="IE144" i="1"/>
  <c r="IF144" i="1"/>
  <c r="IG144" i="1"/>
  <c r="IH144" i="1"/>
  <c r="H145" i="1"/>
  <c r="I145" i="1"/>
  <c r="L145" i="1"/>
  <c r="O145" i="1"/>
  <c r="R145" i="1"/>
  <c r="S145" i="1"/>
  <c r="T145" i="1"/>
  <c r="U145" i="1"/>
  <c r="W145" i="1"/>
  <c r="X145" i="1"/>
  <c r="Y145" i="1"/>
  <c r="Z145" i="1"/>
  <c r="AA145" i="1"/>
  <c r="AB145" i="1"/>
  <c r="AP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D145" i="1"/>
  <c r="CE145" i="1"/>
  <c r="CF145" i="1"/>
  <c r="CG145" i="1"/>
  <c r="CH145" i="1"/>
  <c r="CI145" i="1"/>
  <c r="CJ145" i="1"/>
  <c r="CK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Y145" i="1"/>
  <c r="CZ145" i="1"/>
  <c r="DA145" i="1"/>
  <c r="DB145" i="1"/>
  <c r="DC145" i="1"/>
  <c r="DE145" i="1"/>
  <c r="DH145" i="1"/>
  <c r="DK145" i="1"/>
  <c r="DL145" i="1"/>
  <c r="DM145" i="1"/>
  <c r="DN145" i="1"/>
  <c r="DP145" i="1"/>
  <c r="DS145" i="1"/>
  <c r="DV145" i="1"/>
  <c r="DX145" i="1"/>
  <c r="DY145" i="1"/>
  <c r="ED145" i="1"/>
  <c r="EE145" i="1"/>
  <c r="EF145" i="1"/>
  <c r="EG145" i="1"/>
  <c r="EH145" i="1"/>
  <c r="EI145" i="1"/>
  <c r="EJ145" i="1"/>
  <c r="EK145" i="1"/>
  <c r="FO145" i="1"/>
  <c r="FP145" i="1"/>
  <c r="FQ145" i="1"/>
  <c r="FR145" i="1"/>
  <c r="FS145" i="1"/>
  <c r="FT145" i="1"/>
  <c r="FU145" i="1"/>
  <c r="FV145" i="1"/>
  <c r="FW145" i="1"/>
  <c r="FX145" i="1"/>
  <c r="FY145" i="1"/>
  <c r="FZ145" i="1"/>
  <c r="GA145" i="1"/>
  <c r="GB145" i="1"/>
  <c r="GC145" i="1"/>
  <c r="GD145" i="1"/>
  <c r="GE145" i="1"/>
  <c r="GF145" i="1"/>
  <c r="GG145" i="1"/>
  <c r="GH145" i="1"/>
  <c r="GI145" i="1"/>
  <c r="GJ145" i="1"/>
  <c r="GK145" i="1"/>
  <c r="GL145" i="1"/>
  <c r="GM145" i="1"/>
  <c r="GN145" i="1"/>
  <c r="GO145" i="1"/>
  <c r="GP145" i="1"/>
  <c r="GQ145" i="1"/>
  <c r="GR145" i="1"/>
  <c r="GS145" i="1"/>
  <c r="GT145" i="1"/>
  <c r="GU145" i="1"/>
  <c r="GV145" i="1"/>
  <c r="GW145" i="1"/>
  <c r="GX145" i="1"/>
  <c r="GY145" i="1"/>
  <c r="GZ145" i="1"/>
  <c r="HA145" i="1"/>
  <c r="HB145" i="1"/>
  <c r="HC145" i="1"/>
  <c r="HD145" i="1"/>
  <c r="HE145" i="1"/>
  <c r="HF145" i="1"/>
  <c r="HG145" i="1"/>
  <c r="HH145" i="1"/>
  <c r="HI145" i="1"/>
  <c r="HJ145" i="1"/>
  <c r="HK145" i="1"/>
  <c r="HL145" i="1"/>
  <c r="HM145" i="1"/>
  <c r="HN145" i="1"/>
  <c r="HO145" i="1"/>
  <c r="HP145" i="1"/>
  <c r="HQ145" i="1"/>
  <c r="HR145" i="1"/>
  <c r="HS145" i="1"/>
  <c r="HT145" i="1"/>
  <c r="HU145" i="1"/>
  <c r="HV145" i="1"/>
  <c r="HW145" i="1"/>
  <c r="HX145" i="1"/>
  <c r="HY145" i="1"/>
  <c r="HZ145" i="1"/>
  <c r="IA145" i="1"/>
  <c r="IB145" i="1"/>
  <c r="IC145" i="1"/>
  <c r="ID145" i="1"/>
  <c r="IE145" i="1"/>
  <c r="IF145" i="1"/>
  <c r="IG145" i="1"/>
  <c r="IH145" i="1"/>
  <c r="H146" i="1"/>
  <c r="I146" i="1"/>
  <c r="L146" i="1"/>
  <c r="O146" i="1"/>
  <c r="R146" i="1"/>
  <c r="S146" i="1"/>
  <c r="T146" i="1"/>
  <c r="U146" i="1"/>
  <c r="W146" i="1"/>
  <c r="X146" i="1"/>
  <c r="Y146" i="1"/>
  <c r="Z146" i="1"/>
  <c r="AA146" i="1"/>
  <c r="AB146" i="1"/>
  <c r="AP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D146" i="1"/>
  <c r="CE146" i="1"/>
  <c r="CF146" i="1"/>
  <c r="CG146" i="1"/>
  <c r="CH146" i="1"/>
  <c r="CI146" i="1"/>
  <c r="CJ146" i="1"/>
  <c r="CK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Y146" i="1"/>
  <c r="CZ146" i="1"/>
  <c r="DA146" i="1"/>
  <c r="DB146" i="1"/>
  <c r="DC146" i="1"/>
  <c r="DE146" i="1"/>
  <c r="DH146" i="1"/>
  <c r="DK146" i="1"/>
  <c r="DL146" i="1"/>
  <c r="DM146" i="1"/>
  <c r="DN146" i="1"/>
  <c r="DP146" i="1"/>
  <c r="DS146" i="1"/>
  <c r="DV146" i="1"/>
  <c r="DX146" i="1"/>
  <c r="DY146" i="1"/>
  <c r="ED146" i="1"/>
  <c r="EE146" i="1"/>
  <c r="EF146" i="1"/>
  <c r="EG146" i="1"/>
  <c r="EH146" i="1"/>
  <c r="EI146" i="1"/>
  <c r="EJ146" i="1"/>
  <c r="EK146" i="1"/>
  <c r="FO146" i="1"/>
  <c r="FP146" i="1"/>
  <c r="FQ146" i="1"/>
  <c r="FR146" i="1"/>
  <c r="FS146" i="1"/>
  <c r="FT146" i="1"/>
  <c r="FU146" i="1"/>
  <c r="FV146" i="1"/>
  <c r="FW146" i="1"/>
  <c r="FX146" i="1"/>
  <c r="FY146" i="1"/>
  <c r="FZ146" i="1"/>
  <c r="GA146" i="1"/>
  <c r="GB146" i="1"/>
  <c r="GC146" i="1"/>
  <c r="GD146" i="1"/>
  <c r="GE146" i="1"/>
  <c r="GF146" i="1"/>
  <c r="GG146" i="1"/>
  <c r="GH146" i="1"/>
  <c r="GI146" i="1"/>
  <c r="GJ146" i="1"/>
  <c r="GK146" i="1"/>
  <c r="GL146" i="1"/>
  <c r="GM146" i="1"/>
  <c r="GN146" i="1"/>
  <c r="GO146" i="1"/>
  <c r="GP146" i="1"/>
  <c r="GQ146" i="1"/>
  <c r="GR146" i="1"/>
  <c r="GS146" i="1"/>
  <c r="GT146" i="1"/>
  <c r="GU146" i="1"/>
  <c r="GV146" i="1"/>
  <c r="GW146" i="1"/>
  <c r="GX146" i="1"/>
  <c r="GY146" i="1"/>
  <c r="GZ146" i="1"/>
  <c r="HA146" i="1"/>
  <c r="HB146" i="1"/>
  <c r="HC146" i="1"/>
  <c r="HD146" i="1"/>
  <c r="HE146" i="1"/>
  <c r="HF146" i="1"/>
  <c r="HG146" i="1"/>
  <c r="HH146" i="1"/>
  <c r="HI146" i="1"/>
  <c r="HJ146" i="1"/>
  <c r="HK146" i="1"/>
  <c r="HL146" i="1"/>
  <c r="HM146" i="1"/>
  <c r="HN146" i="1"/>
  <c r="HO146" i="1"/>
  <c r="HP146" i="1"/>
  <c r="HQ146" i="1"/>
  <c r="HR146" i="1"/>
  <c r="HS146" i="1"/>
  <c r="HT146" i="1"/>
  <c r="HU146" i="1"/>
  <c r="HV146" i="1"/>
  <c r="HW146" i="1"/>
  <c r="HX146" i="1"/>
  <c r="HY146" i="1"/>
  <c r="HZ146" i="1"/>
  <c r="IA146" i="1"/>
  <c r="IB146" i="1"/>
  <c r="IC146" i="1"/>
  <c r="ID146" i="1"/>
  <c r="IE146" i="1"/>
  <c r="IF146" i="1"/>
  <c r="IG146" i="1"/>
  <c r="IH146" i="1"/>
  <c r="H147" i="1"/>
  <c r="I147" i="1"/>
  <c r="L147" i="1"/>
  <c r="O147" i="1"/>
  <c r="R147" i="1"/>
  <c r="S147" i="1"/>
  <c r="T147" i="1"/>
  <c r="U147" i="1"/>
  <c r="W147" i="1"/>
  <c r="X147" i="1"/>
  <c r="Y147" i="1"/>
  <c r="Z147" i="1"/>
  <c r="AA147" i="1"/>
  <c r="AB147" i="1"/>
  <c r="AP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D147" i="1"/>
  <c r="CE147" i="1"/>
  <c r="CF147" i="1"/>
  <c r="CG147" i="1"/>
  <c r="CH147" i="1"/>
  <c r="CI147" i="1"/>
  <c r="CJ147" i="1"/>
  <c r="CK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E147" i="1"/>
  <c r="DH147" i="1"/>
  <c r="DK147" i="1"/>
  <c r="DL147" i="1"/>
  <c r="DM147" i="1"/>
  <c r="DN147" i="1"/>
  <c r="DP147" i="1"/>
  <c r="DS147" i="1"/>
  <c r="DV147" i="1"/>
  <c r="DX147" i="1"/>
  <c r="DY147" i="1"/>
  <c r="ED147" i="1"/>
  <c r="EE147" i="1"/>
  <c r="EF147" i="1"/>
  <c r="EG147" i="1"/>
  <c r="EH147" i="1"/>
  <c r="EI147" i="1"/>
  <c r="EJ147" i="1"/>
  <c r="EK147" i="1"/>
  <c r="FO147" i="1"/>
  <c r="FP147" i="1"/>
  <c r="FQ147" i="1"/>
  <c r="FR147" i="1"/>
  <c r="FS147" i="1"/>
  <c r="FT147" i="1"/>
  <c r="FU147" i="1"/>
  <c r="FV147" i="1"/>
  <c r="FW147" i="1"/>
  <c r="FX147" i="1"/>
  <c r="FY147" i="1"/>
  <c r="FZ147" i="1"/>
  <c r="GA147" i="1"/>
  <c r="GB147" i="1"/>
  <c r="GC147" i="1"/>
  <c r="GD147" i="1"/>
  <c r="GE147" i="1"/>
  <c r="GF147" i="1"/>
  <c r="GG147" i="1"/>
  <c r="GH147" i="1"/>
  <c r="GI147" i="1"/>
  <c r="GJ147" i="1"/>
  <c r="GK147" i="1"/>
  <c r="GL147" i="1"/>
  <c r="GM147" i="1"/>
  <c r="GN147" i="1"/>
  <c r="GO147" i="1"/>
  <c r="GP147" i="1"/>
  <c r="GQ147" i="1"/>
  <c r="GR147" i="1"/>
  <c r="GS147" i="1"/>
  <c r="GT147" i="1"/>
  <c r="GU147" i="1"/>
  <c r="GV147" i="1"/>
  <c r="GW147" i="1"/>
  <c r="GX147" i="1"/>
  <c r="GY147" i="1"/>
  <c r="GZ147" i="1"/>
  <c r="HA147" i="1"/>
  <c r="HB147" i="1"/>
  <c r="HC147" i="1"/>
  <c r="HD147" i="1"/>
  <c r="HE147" i="1"/>
  <c r="HF147" i="1"/>
  <c r="HG147" i="1"/>
  <c r="HH147" i="1"/>
  <c r="HI147" i="1"/>
  <c r="HJ147" i="1"/>
  <c r="HK147" i="1"/>
  <c r="HL147" i="1"/>
  <c r="HM147" i="1"/>
  <c r="HN147" i="1"/>
  <c r="HO147" i="1"/>
  <c r="HP147" i="1"/>
  <c r="HQ147" i="1"/>
  <c r="HR147" i="1"/>
  <c r="HS147" i="1"/>
  <c r="HT147" i="1"/>
  <c r="HU147" i="1"/>
  <c r="HV147" i="1"/>
  <c r="HW147" i="1"/>
  <c r="HX147" i="1"/>
  <c r="HY147" i="1"/>
  <c r="HZ147" i="1"/>
  <c r="IA147" i="1"/>
  <c r="IB147" i="1"/>
  <c r="IC147" i="1"/>
  <c r="ID147" i="1"/>
  <c r="IE147" i="1"/>
  <c r="IF147" i="1"/>
  <c r="IG147" i="1"/>
  <c r="IH147" i="1"/>
  <c r="H148" i="1"/>
  <c r="I148" i="1"/>
  <c r="L148" i="1"/>
  <c r="O148" i="1"/>
  <c r="R148" i="1"/>
  <c r="S148" i="1"/>
  <c r="T148" i="1"/>
  <c r="U148" i="1"/>
  <c r="W148" i="1"/>
  <c r="X148" i="1"/>
  <c r="Y148" i="1"/>
  <c r="Z148" i="1"/>
  <c r="AA148" i="1"/>
  <c r="AB148" i="1"/>
  <c r="AP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D148" i="1"/>
  <c r="CE148" i="1"/>
  <c r="CF148" i="1"/>
  <c r="CG148" i="1"/>
  <c r="CH148" i="1"/>
  <c r="CI148" i="1"/>
  <c r="CJ148" i="1"/>
  <c r="CK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Y148" i="1"/>
  <c r="CZ148" i="1"/>
  <c r="DA148" i="1"/>
  <c r="DB148" i="1"/>
  <c r="DC148" i="1"/>
  <c r="DE148" i="1"/>
  <c r="DH148" i="1"/>
  <c r="DK148" i="1"/>
  <c r="DL148" i="1"/>
  <c r="DM148" i="1"/>
  <c r="DN148" i="1"/>
  <c r="DP148" i="1"/>
  <c r="DS148" i="1"/>
  <c r="DV148" i="1"/>
  <c r="DX148" i="1"/>
  <c r="DY148" i="1"/>
  <c r="ED148" i="1"/>
  <c r="EE148" i="1"/>
  <c r="EF148" i="1"/>
  <c r="EG148" i="1"/>
  <c r="EH148" i="1"/>
  <c r="EI148" i="1"/>
  <c r="EJ148" i="1"/>
  <c r="EK148" i="1"/>
  <c r="FO148" i="1"/>
  <c r="FP148" i="1"/>
  <c r="FQ148" i="1"/>
  <c r="FR148" i="1"/>
  <c r="FS148" i="1"/>
  <c r="FT148" i="1"/>
  <c r="FU148" i="1"/>
  <c r="FV148" i="1"/>
  <c r="FW148" i="1"/>
  <c r="FX148" i="1"/>
  <c r="FY148" i="1"/>
  <c r="FZ148" i="1"/>
  <c r="GA148" i="1"/>
  <c r="GB148" i="1"/>
  <c r="GC148" i="1"/>
  <c r="GD148" i="1"/>
  <c r="GE148" i="1"/>
  <c r="GF148" i="1"/>
  <c r="GG148" i="1"/>
  <c r="GH148" i="1"/>
  <c r="GI148" i="1"/>
  <c r="GJ148" i="1"/>
  <c r="GK148" i="1"/>
  <c r="GL148" i="1"/>
  <c r="GM148" i="1"/>
  <c r="GN148" i="1"/>
  <c r="GO148" i="1"/>
  <c r="GP148" i="1"/>
  <c r="GQ148" i="1"/>
  <c r="GR148" i="1"/>
  <c r="GS148" i="1"/>
  <c r="GT148" i="1"/>
  <c r="GU148" i="1"/>
  <c r="GV148" i="1"/>
  <c r="GW148" i="1"/>
  <c r="GX148" i="1"/>
  <c r="GY148" i="1"/>
  <c r="GZ148" i="1"/>
  <c r="HA148" i="1"/>
  <c r="HB148" i="1"/>
  <c r="HC148" i="1"/>
  <c r="HD148" i="1"/>
  <c r="HE148" i="1"/>
  <c r="HF148" i="1"/>
  <c r="HG148" i="1"/>
  <c r="HH148" i="1"/>
  <c r="HI148" i="1"/>
  <c r="HJ148" i="1"/>
  <c r="HK148" i="1"/>
  <c r="HL148" i="1"/>
  <c r="HM148" i="1"/>
  <c r="HN148" i="1"/>
  <c r="HO148" i="1"/>
  <c r="HP148" i="1"/>
  <c r="HQ148" i="1"/>
  <c r="HR148" i="1"/>
  <c r="HS148" i="1"/>
  <c r="HT148" i="1"/>
  <c r="HU148" i="1"/>
  <c r="HV148" i="1"/>
  <c r="HW148" i="1"/>
  <c r="HX148" i="1"/>
  <c r="HY148" i="1"/>
  <c r="HZ148" i="1"/>
  <c r="IA148" i="1"/>
  <c r="IB148" i="1"/>
  <c r="IC148" i="1"/>
  <c r="ID148" i="1"/>
  <c r="IE148" i="1"/>
  <c r="IF148" i="1"/>
  <c r="IG148" i="1"/>
  <c r="IH148" i="1"/>
  <c r="H149" i="1"/>
  <c r="I149" i="1"/>
  <c r="L149" i="1"/>
  <c r="O149" i="1"/>
  <c r="R149" i="1"/>
  <c r="S149" i="1"/>
  <c r="T149" i="1"/>
  <c r="U149" i="1"/>
  <c r="W149" i="1"/>
  <c r="X149" i="1"/>
  <c r="Y149" i="1"/>
  <c r="Z149" i="1"/>
  <c r="AA149" i="1"/>
  <c r="AB149" i="1"/>
  <c r="AP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D149" i="1"/>
  <c r="CE149" i="1"/>
  <c r="CF149" i="1"/>
  <c r="CG149" i="1"/>
  <c r="CH149" i="1"/>
  <c r="CI149" i="1"/>
  <c r="CJ149" i="1"/>
  <c r="CK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DC149" i="1"/>
  <c r="DE149" i="1"/>
  <c r="DH149" i="1"/>
  <c r="DK149" i="1"/>
  <c r="DL149" i="1"/>
  <c r="DM149" i="1"/>
  <c r="DN149" i="1"/>
  <c r="DP149" i="1"/>
  <c r="DS149" i="1"/>
  <c r="DV149" i="1"/>
  <c r="DX149" i="1"/>
  <c r="DY149" i="1"/>
  <c r="ED149" i="1"/>
  <c r="EE149" i="1"/>
  <c r="EF149" i="1"/>
  <c r="EG149" i="1"/>
  <c r="EH149" i="1"/>
  <c r="EI149" i="1"/>
  <c r="EJ149" i="1"/>
  <c r="EK149" i="1"/>
  <c r="FO149" i="1"/>
  <c r="FP149" i="1"/>
  <c r="FQ149" i="1"/>
  <c r="FR149" i="1"/>
  <c r="FS149" i="1"/>
  <c r="FT149" i="1"/>
  <c r="FU149" i="1"/>
  <c r="FV149" i="1"/>
  <c r="FW149" i="1"/>
  <c r="FX149" i="1"/>
  <c r="FY149" i="1"/>
  <c r="FZ149" i="1"/>
  <c r="GA149" i="1"/>
  <c r="GB149" i="1"/>
  <c r="GC149" i="1"/>
  <c r="GD149" i="1"/>
  <c r="GE149" i="1"/>
  <c r="GF149" i="1"/>
  <c r="GG149" i="1"/>
  <c r="GH149" i="1"/>
  <c r="GI149" i="1"/>
  <c r="GJ149" i="1"/>
  <c r="GK149" i="1"/>
  <c r="GL149" i="1"/>
  <c r="GM149" i="1"/>
  <c r="GN149" i="1"/>
  <c r="GO149" i="1"/>
  <c r="GP149" i="1"/>
  <c r="GQ149" i="1"/>
  <c r="GR149" i="1"/>
  <c r="GS149" i="1"/>
  <c r="GT149" i="1"/>
  <c r="GU149" i="1"/>
  <c r="GV149" i="1"/>
  <c r="GW149" i="1"/>
  <c r="GX149" i="1"/>
  <c r="GY149" i="1"/>
  <c r="GZ149" i="1"/>
  <c r="HA149" i="1"/>
  <c r="HB149" i="1"/>
  <c r="HC149" i="1"/>
  <c r="HD149" i="1"/>
  <c r="HE149" i="1"/>
  <c r="HF149" i="1"/>
  <c r="HG149" i="1"/>
  <c r="HH149" i="1"/>
  <c r="HI149" i="1"/>
  <c r="HJ149" i="1"/>
  <c r="HK149" i="1"/>
  <c r="HL149" i="1"/>
  <c r="HM149" i="1"/>
  <c r="HN149" i="1"/>
  <c r="HO149" i="1"/>
  <c r="HP149" i="1"/>
  <c r="HQ149" i="1"/>
  <c r="HR149" i="1"/>
  <c r="HS149" i="1"/>
  <c r="HT149" i="1"/>
  <c r="HU149" i="1"/>
  <c r="HV149" i="1"/>
  <c r="HW149" i="1"/>
  <c r="HX149" i="1"/>
  <c r="HY149" i="1"/>
  <c r="HZ149" i="1"/>
  <c r="IA149" i="1"/>
  <c r="IB149" i="1"/>
  <c r="IC149" i="1"/>
  <c r="ID149" i="1"/>
  <c r="IE149" i="1"/>
  <c r="IF149" i="1"/>
  <c r="IG149" i="1"/>
  <c r="IH149" i="1"/>
  <c r="H150" i="1"/>
  <c r="I150" i="1"/>
  <c r="L150" i="1"/>
  <c r="O150" i="1"/>
  <c r="R150" i="1"/>
  <c r="S150" i="1"/>
  <c r="T150" i="1"/>
  <c r="U150" i="1"/>
  <c r="W150" i="1"/>
  <c r="X150" i="1"/>
  <c r="Y150" i="1"/>
  <c r="Z150" i="1"/>
  <c r="AA150" i="1"/>
  <c r="AB150" i="1"/>
  <c r="AP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D150" i="1"/>
  <c r="CE150" i="1"/>
  <c r="CF150" i="1"/>
  <c r="CG150" i="1"/>
  <c r="CH150" i="1"/>
  <c r="CI150" i="1"/>
  <c r="CJ150" i="1"/>
  <c r="CK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Y150" i="1"/>
  <c r="CZ150" i="1"/>
  <c r="DA150" i="1"/>
  <c r="DB150" i="1"/>
  <c r="DC150" i="1"/>
  <c r="DE150" i="1"/>
  <c r="DH150" i="1"/>
  <c r="DK150" i="1"/>
  <c r="DL150" i="1"/>
  <c r="DM150" i="1"/>
  <c r="DN150" i="1"/>
  <c r="DP150" i="1"/>
  <c r="DS150" i="1"/>
  <c r="DV150" i="1"/>
  <c r="DX150" i="1"/>
  <c r="DY150" i="1"/>
  <c r="ED150" i="1"/>
  <c r="EE150" i="1"/>
  <c r="EF150" i="1"/>
  <c r="EG150" i="1"/>
  <c r="EH150" i="1"/>
  <c r="EI150" i="1"/>
  <c r="EJ150" i="1"/>
  <c r="EK150" i="1"/>
  <c r="FO150" i="1"/>
  <c r="FP150" i="1"/>
  <c r="FQ150" i="1"/>
  <c r="FR150" i="1"/>
  <c r="FS150" i="1"/>
  <c r="FT150" i="1"/>
  <c r="FU150" i="1"/>
  <c r="FV150" i="1"/>
  <c r="FW150" i="1"/>
  <c r="FX150" i="1"/>
  <c r="FY150" i="1"/>
  <c r="FZ150" i="1"/>
  <c r="GA150" i="1"/>
  <c r="GB150" i="1"/>
  <c r="GC150" i="1"/>
  <c r="GD150" i="1"/>
  <c r="GE150" i="1"/>
  <c r="GF150" i="1"/>
  <c r="GG150" i="1"/>
  <c r="GH150" i="1"/>
  <c r="GI150" i="1"/>
  <c r="GJ150" i="1"/>
  <c r="GK150" i="1"/>
  <c r="GL150" i="1"/>
  <c r="GM150" i="1"/>
  <c r="GN150" i="1"/>
  <c r="GO150" i="1"/>
  <c r="GP150" i="1"/>
  <c r="GQ150" i="1"/>
  <c r="GR150" i="1"/>
  <c r="GS150" i="1"/>
  <c r="GT150" i="1"/>
  <c r="GU150" i="1"/>
  <c r="GV150" i="1"/>
  <c r="GW150" i="1"/>
  <c r="GX150" i="1"/>
  <c r="GY150" i="1"/>
  <c r="GZ150" i="1"/>
  <c r="HA150" i="1"/>
  <c r="HB150" i="1"/>
  <c r="HC150" i="1"/>
  <c r="HD150" i="1"/>
  <c r="HE150" i="1"/>
  <c r="HF150" i="1"/>
  <c r="HG150" i="1"/>
  <c r="HH150" i="1"/>
  <c r="HI150" i="1"/>
  <c r="HJ150" i="1"/>
  <c r="HK150" i="1"/>
  <c r="HL150" i="1"/>
  <c r="HM150" i="1"/>
  <c r="HN150" i="1"/>
  <c r="HO150" i="1"/>
  <c r="HP150" i="1"/>
  <c r="HQ150" i="1"/>
  <c r="HR150" i="1"/>
  <c r="HS150" i="1"/>
  <c r="HT150" i="1"/>
  <c r="HU150" i="1"/>
  <c r="HV150" i="1"/>
  <c r="HW150" i="1"/>
  <c r="HX150" i="1"/>
  <c r="HY150" i="1"/>
  <c r="HZ150" i="1"/>
  <c r="IA150" i="1"/>
  <c r="IB150" i="1"/>
  <c r="IC150" i="1"/>
  <c r="ID150" i="1"/>
  <c r="IE150" i="1"/>
  <c r="IF150" i="1"/>
  <c r="IG150" i="1"/>
  <c r="IH150" i="1"/>
  <c r="H151" i="1"/>
  <c r="I151" i="1"/>
  <c r="L151" i="1"/>
  <c r="O151" i="1"/>
  <c r="R151" i="1"/>
  <c r="S151" i="1"/>
  <c r="T151" i="1"/>
  <c r="U151" i="1"/>
  <c r="W151" i="1"/>
  <c r="X151" i="1"/>
  <c r="Y151" i="1"/>
  <c r="Z151" i="1"/>
  <c r="AA151" i="1"/>
  <c r="AB151" i="1"/>
  <c r="AP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D151" i="1"/>
  <c r="CE151" i="1"/>
  <c r="CF151" i="1"/>
  <c r="CG151" i="1"/>
  <c r="CH151" i="1"/>
  <c r="CI151" i="1"/>
  <c r="CJ151" i="1"/>
  <c r="CK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Y151" i="1"/>
  <c r="CZ151" i="1"/>
  <c r="DA151" i="1"/>
  <c r="DB151" i="1"/>
  <c r="DC151" i="1"/>
  <c r="DE151" i="1"/>
  <c r="DH151" i="1"/>
  <c r="DK151" i="1"/>
  <c r="DL151" i="1"/>
  <c r="DM151" i="1"/>
  <c r="DN151" i="1"/>
  <c r="DP151" i="1"/>
  <c r="DS151" i="1"/>
  <c r="DV151" i="1"/>
  <c r="DX151" i="1"/>
  <c r="DY151" i="1"/>
  <c r="ED151" i="1"/>
  <c r="EE151" i="1"/>
  <c r="EF151" i="1"/>
  <c r="EG151" i="1"/>
  <c r="EH151" i="1"/>
  <c r="EI151" i="1"/>
  <c r="EJ151" i="1"/>
  <c r="EK151" i="1"/>
  <c r="FO151" i="1"/>
  <c r="FP151" i="1"/>
  <c r="FQ151" i="1"/>
  <c r="FR151" i="1"/>
  <c r="FS151" i="1"/>
  <c r="FT151" i="1"/>
  <c r="FU151" i="1"/>
  <c r="FV151" i="1"/>
  <c r="FW151" i="1"/>
  <c r="FX151" i="1"/>
  <c r="FY151" i="1"/>
  <c r="FZ151" i="1"/>
  <c r="GA151" i="1"/>
  <c r="GB151" i="1"/>
  <c r="GC151" i="1"/>
  <c r="GD151" i="1"/>
  <c r="GE151" i="1"/>
  <c r="GF151" i="1"/>
  <c r="GG151" i="1"/>
  <c r="GH151" i="1"/>
  <c r="GI151" i="1"/>
  <c r="GJ151" i="1"/>
  <c r="GK151" i="1"/>
  <c r="GL151" i="1"/>
  <c r="GM151" i="1"/>
  <c r="GN151" i="1"/>
  <c r="GO151" i="1"/>
  <c r="GP151" i="1"/>
  <c r="GQ151" i="1"/>
  <c r="GR151" i="1"/>
  <c r="GS151" i="1"/>
  <c r="GT151" i="1"/>
  <c r="GU151" i="1"/>
  <c r="GV151" i="1"/>
  <c r="GW151" i="1"/>
  <c r="GX151" i="1"/>
  <c r="GY151" i="1"/>
  <c r="GZ151" i="1"/>
  <c r="HA151" i="1"/>
  <c r="HB151" i="1"/>
  <c r="HC151" i="1"/>
  <c r="HD151" i="1"/>
  <c r="HE151" i="1"/>
  <c r="HF151" i="1"/>
  <c r="HG151" i="1"/>
  <c r="HH151" i="1"/>
  <c r="HI151" i="1"/>
  <c r="HJ151" i="1"/>
  <c r="HK151" i="1"/>
  <c r="HL151" i="1"/>
  <c r="HM151" i="1"/>
  <c r="HN151" i="1"/>
  <c r="HO151" i="1"/>
  <c r="HP151" i="1"/>
  <c r="HQ151" i="1"/>
  <c r="HR151" i="1"/>
  <c r="HS151" i="1"/>
  <c r="HT151" i="1"/>
  <c r="HU151" i="1"/>
  <c r="HV151" i="1"/>
  <c r="HW151" i="1"/>
  <c r="HX151" i="1"/>
  <c r="HY151" i="1"/>
  <c r="HZ151" i="1"/>
  <c r="IA151" i="1"/>
  <c r="IB151" i="1"/>
  <c r="IC151" i="1"/>
  <c r="ID151" i="1"/>
  <c r="IE151" i="1"/>
  <c r="IF151" i="1"/>
  <c r="IG151" i="1"/>
  <c r="IH151" i="1"/>
  <c r="H152" i="1"/>
  <c r="I152" i="1"/>
  <c r="L152" i="1"/>
  <c r="O152" i="1"/>
  <c r="R152" i="1"/>
  <c r="S152" i="1"/>
  <c r="T152" i="1"/>
  <c r="U152" i="1"/>
  <c r="W152" i="1"/>
  <c r="X152" i="1"/>
  <c r="Y152" i="1"/>
  <c r="Z152" i="1"/>
  <c r="AA152" i="1"/>
  <c r="AB152" i="1"/>
  <c r="AP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D152" i="1"/>
  <c r="CE152" i="1"/>
  <c r="CF152" i="1"/>
  <c r="CG152" i="1"/>
  <c r="CH152" i="1"/>
  <c r="CI152" i="1"/>
  <c r="CJ152" i="1"/>
  <c r="CK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Y152" i="1"/>
  <c r="CZ152" i="1"/>
  <c r="DA152" i="1"/>
  <c r="DB152" i="1"/>
  <c r="DC152" i="1"/>
  <c r="DE152" i="1"/>
  <c r="DH152" i="1"/>
  <c r="DK152" i="1"/>
  <c r="DL152" i="1"/>
  <c r="DM152" i="1"/>
  <c r="DN152" i="1"/>
  <c r="DP152" i="1"/>
  <c r="DS152" i="1"/>
  <c r="DV152" i="1"/>
  <c r="DX152" i="1"/>
  <c r="DY152" i="1"/>
  <c r="ED152" i="1"/>
  <c r="EE152" i="1"/>
  <c r="EF152" i="1"/>
  <c r="EG152" i="1"/>
  <c r="EH152" i="1"/>
  <c r="EI152" i="1"/>
  <c r="EJ152" i="1"/>
  <c r="EK152" i="1"/>
  <c r="FO152" i="1"/>
  <c r="FP152" i="1"/>
  <c r="FQ152" i="1"/>
  <c r="FR152" i="1"/>
  <c r="FS152" i="1"/>
  <c r="FT152" i="1"/>
  <c r="FU152" i="1"/>
  <c r="FV152" i="1"/>
  <c r="FW152" i="1"/>
  <c r="FX152" i="1"/>
  <c r="FY152" i="1"/>
  <c r="FZ152" i="1"/>
  <c r="GA152" i="1"/>
  <c r="GB152" i="1"/>
  <c r="GC152" i="1"/>
  <c r="GD152" i="1"/>
  <c r="GE152" i="1"/>
  <c r="GF152" i="1"/>
  <c r="GG152" i="1"/>
  <c r="GH152" i="1"/>
  <c r="GI152" i="1"/>
  <c r="GJ152" i="1"/>
  <c r="GK152" i="1"/>
  <c r="GL152" i="1"/>
  <c r="GM152" i="1"/>
  <c r="GN152" i="1"/>
  <c r="GO152" i="1"/>
  <c r="GP152" i="1"/>
  <c r="GQ152" i="1"/>
  <c r="GR152" i="1"/>
  <c r="GS152" i="1"/>
  <c r="GT152" i="1"/>
  <c r="GU152" i="1"/>
  <c r="GV152" i="1"/>
  <c r="GW152" i="1"/>
  <c r="GX152" i="1"/>
  <c r="GY152" i="1"/>
  <c r="GZ152" i="1"/>
  <c r="HA152" i="1"/>
  <c r="HB152" i="1"/>
  <c r="HC152" i="1"/>
  <c r="HD152" i="1"/>
  <c r="HE152" i="1"/>
  <c r="HF152" i="1"/>
  <c r="HG152" i="1"/>
  <c r="HH152" i="1"/>
  <c r="HI152" i="1"/>
  <c r="HJ152" i="1"/>
  <c r="HK152" i="1"/>
  <c r="HL152" i="1"/>
  <c r="HM152" i="1"/>
  <c r="HN152" i="1"/>
  <c r="HO152" i="1"/>
  <c r="HP152" i="1"/>
  <c r="HQ152" i="1"/>
  <c r="HR152" i="1"/>
  <c r="HS152" i="1"/>
  <c r="HT152" i="1"/>
  <c r="HU152" i="1"/>
  <c r="HV152" i="1"/>
  <c r="HW152" i="1"/>
  <c r="HX152" i="1"/>
  <c r="HY152" i="1"/>
  <c r="HZ152" i="1"/>
  <c r="IA152" i="1"/>
  <c r="IB152" i="1"/>
  <c r="IC152" i="1"/>
  <c r="ID152" i="1"/>
  <c r="IE152" i="1"/>
  <c r="IF152" i="1"/>
  <c r="IG152" i="1"/>
  <c r="IH152" i="1"/>
  <c r="H153" i="1"/>
  <c r="I153" i="1"/>
  <c r="L153" i="1"/>
  <c r="O153" i="1"/>
  <c r="R153" i="1"/>
  <c r="S153" i="1"/>
  <c r="T153" i="1"/>
  <c r="U153" i="1"/>
  <c r="W153" i="1"/>
  <c r="X153" i="1"/>
  <c r="Y153" i="1"/>
  <c r="Z153" i="1"/>
  <c r="AA153" i="1"/>
  <c r="AB153" i="1"/>
  <c r="AP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D153" i="1"/>
  <c r="CE153" i="1"/>
  <c r="CF153" i="1"/>
  <c r="CG153" i="1"/>
  <c r="CH153" i="1"/>
  <c r="CI153" i="1"/>
  <c r="CJ153" i="1"/>
  <c r="CK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Y153" i="1"/>
  <c r="CZ153" i="1"/>
  <c r="DA153" i="1"/>
  <c r="DB153" i="1"/>
  <c r="DC153" i="1"/>
  <c r="DE153" i="1"/>
  <c r="DH153" i="1"/>
  <c r="DK153" i="1"/>
  <c r="DL153" i="1"/>
  <c r="DM153" i="1"/>
  <c r="DN153" i="1"/>
  <c r="DP153" i="1"/>
  <c r="DS153" i="1"/>
  <c r="DV153" i="1"/>
  <c r="DX153" i="1"/>
  <c r="DY153" i="1"/>
  <c r="ED153" i="1"/>
  <c r="EE153" i="1"/>
  <c r="EF153" i="1"/>
  <c r="EG153" i="1"/>
  <c r="EH153" i="1"/>
  <c r="EI153" i="1"/>
  <c r="EJ153" i="1"/>
  <c r="EK153" i="1"/>
  <c r="FO153" i="1"/>
  <c r="FP153" i="1"/>
  <c r="FQ153" i="1"/>
  <c r="FR153" i="1"/>
  <c r="FS153" i="1"/>
  <c r="FT153" i="1"/>
  <c r="FU153" i="1"/>
  <c r="FV153" i="1"/>
  <c r="FW153" i="1"/>
  <c r="FX153" i="1"/>
  <c r="FY153" i="1"/>
  <c r="FZ153" i="1"/>
  <c r="GA153" i="1"/>
  <c r="GB153" i="1"/>
  <c r="GC153" i="1"/>
  <c r="GD153" i="1"/>
  <c r="GE153" i="1"/>
  <c r="GF153" i="1"/>
  <c r="GG153" i="1"/>
  <c r="GH153" i="1"/>
  <c r="GI153" i="1"/>
  <c r="GJ153" i="1"/>
  <c r="GK153" i="1"/>
  <c r="GL153" i="1"/>
  <c r="GM153" i="1"/>
  <c r="GN153" i="1"/>
  <c r="GO153" i="1"/>
  <c r="GP153" i="1"/>
  <c r="GQ153" i="1"/>
  <c r="GR153" i="1"/>
  <c r="GS153" i="1"/>
  <c r="GT153" i="1"/>
  <c r="GU153" i="1"/>
  <c r="GV153" i="1"/>
  <c r="GW153" i="1"/>
  <c r="GX153" i="1"/>
  <c r="GY153" i="1"/>
  <c r="GZ153" i="1"/>
  <c r="HA153" i="1"/>
  <c r="HB153" i="1"/>
  <c r="HC153" i="1"/>
  <c r="HD153" i="1"/>
  <c r="HE153" i="1"/>
  <c r="HF153" i="1"/>
  <c r="HG153" i="1"/>
  <c r="HH153" i="1"/>
  <c r="HI153" i="1"/>
  <c r="HJ153" i="1"/>
  <c r="HK153" i="1"/>
  <c r="HL153" i="1"/>
  <c r="HM153" i="1"/>
  <c r="HN153" i="1"/>
  <c r="HO153" i="1"/>
  <c r="HP153" i="1"/>
  <c r="HQ153" i="1"/>
  <c r="HR153" i="1"/>
  <c r="HS153" i="1"/>
  <c r="HT153" i="1"/>
  <c r="HU153" i="1"/>
  <c r="HV153" i="1"/>
  <c r="HW153" i="1"/>
  <c r="HX153" i="1"/>
  <c r="HY153" i="1"/>
  <c r="HZ153" i="1"/>
  <c r="IA153" i="1"/>
  <c r="IB153" i="1"/>
  <c r="IC153" i="1"/>
  <c r="ID153" i="1"/>
  <c r="IE153" i="1"/>
  <c r="IF153" i="1"/>
  <c r="IG153" i="1"/>
  <c r="IH153" i="1"/>
  <c r="H154" i="1"/>
  <c r="I154" i="1"/>
  <c r="L154" i="1"/>
  <c r="O154" i="1"/>
  <c r="R154" i="1"/>
  <c r="S154" i="1"/>
  <c r="T154" i="1"/>
  <c r="U154" i="1"/>
  <c r="W154" i="1"/>
  <c r="X154" i="1"/>
  <c r="Y154" i="1"/>
  <c r="Z154" i="1"/>
  <c r="AA154" i="1"/>
  <c r="AB154" i="1"/>
  <c r="AP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D154" i="1"/>
  <c r="CE154" i="1"/>
  <c r="CF154" i="1"/>
  <c r="CG154" i="1"/>
  <c r="CH154" i="1"/>
  <c r="CI154" i="1"/>
  <c r="CJ154" i="1"/>
  <c r="CK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E154" i="1"/>
  <c r="DH154" i="1"/>
  <c r="DK154" i="1"/>
  <c r="DL154" i="1"/>
  <c r="DM154" i="1"/>
  <c r="DN154" i="1"/>
  <c r="DP154" i="1"/>
  <c r="DS154" i="1"/>
  <c r="DV154" i="1"/>
  <c r="DX154" i="1"/>
  <c r="DY154" i="1"/>
  <c r="ED154" i="1"/>
  <c r="EE154" i="1"/>
  <c r="EF154" i="1"/>
  <c r="EG154" i="1"/>
  <c r="EH154" i="1"/>
  <c r="EI154" i="1"/>
  <c r="EJ154" i="1"/>
  <c r="EK154" i="1"/>
  <c r="FO154" i="1"/>
  <c r="FP154" i="1"/>
  <c r="FQ154" i="1"/>
  <c r="FR154" i="1"/>
  <c r="FS154" i="1"/>
  <c r="FT154" i="1"/>
  <c r="FU154" i="1"/>
  <c r="FV154" i="1"/>
  <c r="FW154" i="1"/>
  <c r="FX154" i="1"/>
  <c r="FY154" i="1"/>
  <c r="FZ154" i="1"/>
  <c r="GA154" i="1"/>
  <c r="GB154" i="1"/>
  <c r="GC154" i="1"/>
  <c r="GD154" i="1"/>
  <c r="GE154" i="1"/>
  <c r="GF154" i="1"/>
  <c r="GG154" i="1"/>
  <c r="GH154" i="1"/>
  <c r="GI154" i="1"/>
  <c r="GJ154" i="1"/>
  <c r="GK154" i="1"/>
  <c r="GL154" i="1"/>
  <c r="GM154" i="1"/>
  <c r="GN154" i="1"/>
  <c r="GO154" i="1"/>
  <c r="GP154" i="1"/>
  <c r="GQ154" i="1"/>
  <c r="GR154" i="1"/>
  <c r="GS154" i="1"/>
  <c r="GT154" i="1"/>
  <c r="GU154" i="1"/>
  <c r="GV154" i="1"/>
  <c r="GW154" i="1"/>
  <c r="GX154" i="1"/>
  <c r="GY154" i="1"/>
  <c r="GZ154" i="1"/>
  <c r="HA154" i="1"/>
  <c r="HB154" i="1"/>
  <c r="HC154" i="1"/>
  <c r="HD154" i="1"/>
  <c r="HE154" i="1"/>
  <c r="HF154" i="1"/>
  <c r="HG154" i="1"/>
  <c r="HH154" i="1"/>
  <c r="HI154" i="1"/>
  <c r="HJ154" i="1"/>
  <c r="HK154" i="1"/>
  <c r="HL154" i="1"/>
  <c r="HM154" i="1"/>
  <c r="HN154" i="1"/>
  <c r="HO154" i="1"/>
  <c r="HP154" i="1"/>
  <c r="HQ154" i="1"/>
  <c r="HR154" i="1"/>
  <c r="HS154" i="1"/>
  <c r="HT154" i="1"/>
  <c r="HU154" i="1"/>
  <c r="HV154" i="1"/>
  <c r="HW154" i="1"/>
  <c r="HX154" i="1"/>
  <c r="HY154" i="1"/>
  <c r="HZ154" i="1"/>
  <c r="IA154" i="1"/>
  <c r="IB154" i="1"/>
  <c r="IC154" i="1"/>
  <c r="ID154" i="1"/>
  <c r="IE154" i="1"/>
  <c r="IF154" i="1"/>
  <c r="IG154" i="1"/>
  <c r="IH154" i="1"/>
  <c r="H155" i="1"/>
  <c r="I155" i="1"/>
  <c r="L155" i="1"/>
  <c r="O155" i="1"/>
  <c r="R155" i="1"/>
  <c r="S155" i="1"/>
  <c r="T155" i="1"/>
  <c r="U155" i="1"/>
  <c r="W155" i="1"/>
  <c r="X155" i="1"/>
  <c r="Y155" i="1"/>
  <c r="Z155" i="1"/>
  <c r="AA155" i="1"/>
  <c r="AB155" i="1"/>
  <c r="AP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D155" i="1"/>
  <c r="CE155" i="1"/>
  <c r="CF155" i="1"/>
  <c r="CG155" i="1"/>
  <c r="CH155" i="1"/>
  <c r="CI155" i="1"/>
  <c r="CJ155" i="1"/>
  <c r="CK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Y155" i="1"/>
  <c r="CZ155" i="1"/>
  <c r="DA155" i="1"/>
  <c r="DB155" i="1"/>
  <c r="DC155" i="1"/>
  <c r="DE155" i="1"/>
  <c r="DH155" i="1"/>
  <c r="DK155" i="1"/>
  <c r="DL155" i="1"/>
  <c r="DM155" i="1"/>
  <c r="DN155" i="1"/>
  <c r="DP155" i="1"/>
  <c r="DS155" i="1"/>
  <c r="DV155" i="1"/>
  <c r="DX155" i="1"/>
  <c r="DY155" i="1"/>
  <c r="ED155" i="1"/>
  <c r="EE155" i="1"/>
  <c r="EF155" i="1"/>
  <c r="EG155" i="1"/>
  <c r="EH155" i="1"/>
  <c r="EI155" i="1"/>
  <c r="EJ155" i="1"/>
  <c r="EK155" i="1"/>
  <c r="FO155" i="1"/>
  <c r="FP155" i="1"/>
  <c r="FQ155" i="1"/>
  <c r="FR155" i="1"/>
  <c r="FS155" i="1"/>
  <c r="FT155" i="1"/>
  <c r="FU155" i="1"/>
  <c r="FV155" i="1"/>
  <c r="FW155" i="1"/>
  <c r="FX155" i="1"/>
  <c r="FY155" i="1"/>
  <c r="FZ155" i="1"/>
  <c r="GA155" i="1"/>
  <c r="GB155" i="1"/>
  <c r="GC155" i="1"/>
  <c r="GD155" i="1"/>
  <c r="GE155" i="1"/>
  <c r="GF155" i="1"/>
  <c r="GG155" i="1"/>
  <c r="GH155" i="1"/>
  <c r="GI155" i="1"/>
  <c r="GJ155" i="1"/>
  <c r="GK155" i="1"/>
  <c r="GL155" i="1"/>
  <c r="GM155" i="1"/>
  <c r="GN155" i="1"/>
  <c r="GO155" i="1"/>
  <c r="GP155" i="1"/>
  <c r="GQ155" i="1"/>
  <c r="GR155" i="1"/>
  <c r="GS155" i="1"/>
  <c r="GT155" i="1"/>
  <c r="GU155" i="1"/>
  <c r="GV155" i="1"/>
  <c r="GW155" i="1"/>
  <c r="GX155" i="1"/>
  <c r="GY155" i="1"/>
  <c r="GZ155" i="1"/>
  <c r="HA155" i="1"/>
  <c r="HB155" i="1"/>
  <c r="HC155" i="1"/>
  <c r="HD155" i="1"/>
  <c r="HE155" i="1"/>
  <c r="HF155" i="1"/>
  <c r="HG155" i="1"/>
  <c r="HH155" i="1"/>
  <c r="HI155" i="1"/>
  <c r="HJ155" i="1"/>
  <c r="HK155" i="1"/>
  <c r="HL155" i="1"/>
  <c r="HM155" i="1"/>
  <c r="HN155" i="1"/>
  <c r="HO155" i="1"/>
  <c r="HP155" i="1"/>
  <c r="HQ155" i="1"/>
  <c r="HR155" i="1"/>
  <c r="HS155" i="1"/>
  <c r="HT155" i="1"/>
  <c r="HU155" i="1"/>
  <c r="HV155" i="1"/>
  <c r="HW155" i="1"/>
  <c r="HX155" i="1"/>
  <c r="HY155" i="1"/>
  <c r="HZ155" i="1"/>
  <c r="IA155" i="1"/>
  <c r="IB155" i="1"/>
  <c r="IC155" i="1"/>
  <c r="ID155" i="1"/>
  <c r="IE155" i="1"/>
  <c r="IF155" i="1"/>
  <c r="IG155" i="1"/>
  <c r="IH155" i="1"/>
  <c r="H156" i="1"/>
  <c r="I156" i="1"/>
  <c r="L156" i="1"/>
  <c r="O156" i="1"/>
  <c r="R156" i="1"/>
  <c r="S156" i="1"/>
  <c r="T156" i="1"/>
  <c r="U156" i="1"/>
  <c r="W156" i="1"/>
  <c r="X156" i="1"/>
  <c r="Y156" i="1"/>
  <c r="Z156" i="1"/>
  <c r="AA156" i="1"/>
  <c r="AB156" i="1"/>
  <c r="AP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D156" i="1"/>
  <c r="CE156" i="1"/>
  <c r="CF156" i="1"/>
  <c r="CG156" i="1"/>
  <c r="CH156" i="1"/>
  <c r="CI156" i="1"/>
  <c r="CJ156" i="1"/>
  <c r="CK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Y156" i="1"/>
  <c r="CZ156" i="1"/>
  <c r="DA156" i="1"/>
  <c r="DB156" i="1"/>
  <c r="DC156" i="1"/>
  <c r="DE156" i="1"/>
  <c r="DH156" i="1"/>
  <c r="DK156" i="1"/>
  <c r="DL156" i="1"/>
  <c r="DM156" i="1"/>
  <c r="DN156" i="1"/>
  <c r="DP156" i="1"/>
  <c r="DS156" i="1"/>
  <c r="DV156" i="1"/>
  <c r="DX156" i="1"/>
  <c r="DY156" i="1"/>
  <c r="ED156" i="1"/>
  <c r="EE156" i="1"/>
  <c r="EF156" i="1"/>
  <c r="EG156" i="1"/>
  <c r="EH156" i="1"/>
  <c r="EI156" i="1"/>
  <c r="EJ156" i="1"/>
  <c r="EK156" i="1"/>
  <c r="FO156" i="1"/>
  <c r="FP156" i="1"/>
  <c r="FQ156" i="1"/>
  <c r="FR156" i="1"/>
  <c r="FS156" i="1"/>
  <c r="FT156" i="1"/>
  <c r="FU156" i="1"/>
  <c r="FV156" i="1"/>
  <c r="FW156" i="1"/>
  <c r="FX156" i="1"/>
  <c r="FY156" i="1"/>
  <c r="FZ156" i="1"/>
  <c r="GA156" i="1"/>
  <c r="GB156" i="1"/>
  <c r="GC156" i="1"/>
  <c r="GD156" i="1"/>
  <c r="GE156" i="1"/>
  <c r="GF156" i="1"/>
  <c r="GG156" i="1"/>
  <c r="GH156" i="1"/>
  <c r="GI156" i="1"/>
  <c r="GJ156" i="1"/>
  <c r="GK156" i="1"/>
  <c r="GL156" i="1"/>
  <c r="GM156" i="1"/>
  <c r="GN156" i="1"/>
  <c r="GO156" i="1"/>
  <c r="GP156" i="1"/>
  <c r="GQ156" i="1"/>
  <c r="GR156" i="1"/>
  <c r="GS156" i="1"/>
  <c r="GT156" i="1"/>
  <c r="GU156" i="1"/>
  <c r="GV156" i="1"/>
  <c r="GW156" i="1"/>
  <c r="GX156" i="1"/>
  <c r="GY156" i="1"/>
  <c r="GZ156" i="1"/>
  <c r="HA156" i="1"/>
  <c r="HB156" i="1"/>
  <c r="HC156" i="1"/>
  <c r="HD156" i="1"/>
  <c r="HE156" i="1"/>
  <c r="HF156" i="1"/>
  <c r="HG156" i="1"/>
  <c r="HH156" i="1"/>
  <c r="HI156" i="1"/>
  <c r="HJ156" i="1"/>
  <c r="HK156" i="1"/>
  <c r="HL156" i="1"/>
  <c r="HM156" i="1"/>
  <c r="HN156" i="1"/>
  <c r="HO156" i="1"/>
  <c r="HP156" i="1"/>
  <c r="HQ156" i="1"/>
  <c r="HR156" i="1"/>
  <c r="HS156" i="1"/>
  <c r="HT156" i="1"/>
  <c r="HU156" i="1"/>
  <c r="HV156" i="1"/>
  <c r="HW156" i="1"/>
  <c r="HX156" i="1"/>
  <c r="HY156" i="1"/>
  <c r="HZ156" i="1"/>
  <c r="IA156" i="1"/>
  <c r="IB156" i="1"/>
  <c r="IC156" i="1"/>
  <c r="ID156" i="1"/>
  <c r="IE156" i="1"/>
  <c r="IF156" i="1"/>
  <c r="IG156" i="1"/>
  <c r="IH156" i="1"/>
  <c r="H157" i="1"/>
  <c r="I157" i="1"/>
  <c r="L157" i="1"/>
  <c r="O157" i="1"/>
  <c r="R157" i="1"/>
  <c r="S157" i="1"/>
  <c r="T157" i="1"/>
  <c r="U157" i="1"/>
  <c r="W157" i="1"/>
  <c r="X157" i="1"/>
  <c r="Y157" i="1"/>
  <c r="Z157" i="1"/>
  <c r="AA157" i="1"/>
  <c r="AB157" i="1"/>
  <c r="AP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D157" i="1"/>
  <c r="CE157" i="1"/>
  <c r="CF157" i="1"/>
  <c r="CG157" i="1"/>
  <c r="CH157" i="1"/>
  <c r="CI157" i="1"/>
  <c r="CJ157" i="1"/>
  <c r="CK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CY157" i="1"/>
  <c r="CZ157" i="1"/>
  <c r="DA157" i="1"/>
  <c r="DB157" i="1"/>
  <c r="DC157" i="1"/>
  <c r="DE157" i="1"/>
  <c r="DH157" i="1"/>
  <c r="DK157" i="1"/>
  <c r="DL157" i="1"/>
  <c r="DM157" i="1"/>
  <c r="DN157" i="1"/>
  <c r="DP157" i="1"/>
  <c r="DS157" i="1"/>
  <c r="DV157" i="1"/>
  <c r="DX157" i="1"/>
  <c r="DY157" i="1"/>
  <c r="ED157" i="1"/>
  <c r="EE157" i="1"/>
  <c r="EF157" i="1"/>
  <c r="EG157" i="1"/>
  <c r="EH157" i="1"/>
  <c r="EI157" i="1"/>
  <c r="EJ157" i="1"/>
  <c r="EK157" i="1"/>
  <c r="FO157" i="1"/>
  <c r="FP157" i="1"/>
  <c r="FQ157" i="1"/>
  <c r="FR157" i="1"/>
  <c r="FS157" i="1"/>
  <c r="FT157" i="1"/>
  <c r="FU157" i="1"/>
  <c r="FV157" i="1"/>
  <c r="FW157" i="1"/>
  <c r="FX157" i="1"/>
  <c r="FY157" i="1"/>
  <c r="FZ157" i="1"/>
  <c r="GA157" i="1"/>
  <c r="GB157" i="1"/>
  <c r="GC157" i="1"/>
  <c r="GD157" i="1"/>
  <c r="GE157" i="1"/>
  <c r="GF157" i="1"/>
  <c r="GG157" i="1"/>
  <c r="GH157" i="1"/>
  <c r="GI157" i="1"/>
  <c r="GJ157" i="1"/>
  <c r="GK157" i="1"/>
  <c r="GL157" i="1"/>
  <c r="GM157" i="1"/>
  <c r="GN157" i="1"/>
  <c r="GO157" i="1"/>
  <c r="GP157" i="1"/>
  <c r="GQ157" i="1"/>
  <c r="GR157" i="1"/>
  <c r="GS157" i="1"/>
  <c r="GT157" i="1"/>
  <c r="GU157" i="1"/>
  <c r="GV157" i="1"/>
  <c r="GW157" i="1"/>
  <c r="GX157" i="1"/>
  <c r="GY157" i="1"/>
  <c r="GZ157" i="1"/>
  <c r="HA157" i="1"/>
  <c r="HB157" i="1"/>
  <c r="HC157" i="1"/>
  <c r="HD157" i="1"/>
  <c r="HE157" i="1"/>
  <c r="HF157" i="1"/>
  <c r="HG157" i="1"/>
  <c r="HH157" i="1"/>
  <c r="HI157" i="1"/>
  <c r="HJ157" i="1"/>
  <c r="HK157" i="1"/>
  <c r="HL157" i="1"/>
  <c r="HM157" i="1"/>
  <c r="HN157" i="1"/>
  <c r="HO157" i="1"/>
  <c r="HP157" i="1"/>
  <c r="HQ157" i="1"/>
  <c r="HR157" i="1"/>
  <c r="HS157" i="1"/>
  <c r="HT157" i="1"/>
  <c r="HU157" i="1"/>
  <c r="HV157" i="1"/>
  <c r="HW157" i="1"/>
  <c r="HX157" i="1"/>
  <c r="HY157" i="1"/>
  <c r="HZ157" i="1"/>
  <c r="IA157" i="1"/>
  <c r="IB157" i="1"/>
  <c r="IC157" i="1"/>
  <c r="ID157" i="1"/>
  <c r="IE157" i="1"/>
  <c r="IF157" i="1"/>
  <c r="IG157" i="1"/>
  <c r="IH157" i="1"/>
  <c r="H158" i="1"/>
  <c r="I158" i="1"/>
  <c r="L158" i="1"/>
  <c r="O158" i="1"/>
  <c r="R158" i="1"/>
  <c r="S158" i="1"/>
  <c r="T158" i="1"/>
  <c r="U158" i="1"/>
  <c r="W158" i="1"/>
  <c r="X158" i="1"/>
  <c r="Y158" i="1"/>
  <c r="Z158" i="1"/>
  <c r="AA158" i="1"/>
  <c r="AB158" i="1"/>
  <c r="AP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D158" i="1"/>
  <c r="CE158" i="1"/>
  <c r="CF158" i="1"/>
  <c r="CG158" i="1"/>
  <c r="CH158" i="1"/>
  <c r="CI158" i="1"/>
  <c r="CJ158" i="1"/>
  <c r="CK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Y158" i="1"/>
  <c r="CZ158" i="1"/>
  <c r="DA158" i="1"/>
  <c r="DB158" i="1"/>
  <c r="DC158" i="1"/>
  <c r="DE158" i="1"/>
  <c r="DH158" i="1"/>
  <c r="DK158" i="1"/>
  <c r="DL158" i="1"/>
  <c r="DM158" i="1"/>
  <c r="DN158" i="1"/>
  <c r="DP158" i="1"/>
  <c r="DS158" i="1"/>
  <c r="DV158" i="1"/>
  <c r="DX158" i="1"/>
  <c r="DY158" i="1"/>
  <c r="ED158" i="1"/>
  <c r="EE158" i="1"/>
  <c r="EF158" i="1"/>
  <c r="EG158" i="1"/>
  <c r="EH158" i="1"/>
  <c r="EI158" i="1"/>
  <c r="EJ158" i="1"/>
  <c r="EK158" i="1"/>
  <c r="FO158" i="1"/>
  <c r="FP158" i="1"/>
  <c r="FQ158" i="1"/>
  <c r="FR158" i="1"/>
  <c r="FS158" i="1"/>
  <c r="FT158" i="1"/>
  <c r="FU158" i="1"/>
  <c r="FV158" i="1"/>
  <c r="FW158" i="1"/>
  <c r="FX158" i="1"/>
  <c r="FY158" i="1"/>
  <c r="FZ158" i="1"/>
  <c r="GA158" i="1"/>
  <c r="GB158" i="1"/>
  <c r="GC158" i="1"/>
  <c r="GD158" i="1"/>
  <c r="GE158" i="1"/>
  <c r="GF158" i="1"/>
  <c r="GG158" i="1"/>
  <c r="GH158" i="1"/>
  <c r="GI158" i="1"/>
  <c r="GJ158" i="1"/>
  <c r="GK158" i="1"/>
  <c r="GL158" i="1"/>
  <c r="GM158" i="1"/>
  <c r="GN158" i="1"/>
  <c r="GO158" i="1"/>
  <c r="GP158" i="1"/>
  <c r="GQ158" i="1"/>
  <c r="GR158" i="1"/>
  <c r="GS158" i="1"/>
  <c r="GT158" i="1"/>
  <c r="GU158" i="1"/>
  <c r="GV158" i="1"/>
  <c r="GW158" i="1"/>
  <c r="GX158" i="1"/>
  <c r="GY158" i="1"/>
  <c r="GZ158" i="1"/>
  <c r="HA158" i="1"/>
  <c r="HB158" i="1"/>
  <c r="HC158" i="1"/>
  <c r="HD158" i="1"/>
  <c r="HE158" i="1"/>
  <c r="HF158" i="1"/>
  <c r="HG158" i="1"/>
  <c r="HH158" i="1"/>
  <c r="HI158" i="1"/>
  <c r="HJ158" i="1"/>
  <c r="HK158" i="1"/>
  <c r="HL158" i="1"/>
  <c r="HM158" i="1"/>
  <c r="HN158" i="1"/>
  <c r="HO158" i="1"/>
  <c r="HP158" i="1"/>
  <c r="HQ158" i="1"/>
  <c r="HR158" i="1"/>
  <c r="HS158" i="1"/>
  <c r="HT158" i="1"/>
  <c r="HU158" i="1"/>
  <c r="HV158" i="1"/>
  <c r="HW158" i="1"/>
  <c r="HX158" i="1"/>
  <c r="HY158" i="1"/>
  <c r="HZ158" i="1"/>
  <c r="IA158" i="1"/>
  <c r="IB158" i="1"/>
  <c r="IC158" i="1"/>
  <c r="ID158" i="1"/>
  <c r="IE158" i="1"/>
  <c r="IF158" i="1"/>
  <c r="IG158" i="1"/>
  <c r="IH158" i="1"/>
  <c r="H159" i="1"/>
  <c r="I159" i="1"/>
  <c r="L159" i="1"/>
  <c r="O159" i="1"/>
  <c r="R159" i="1"/>
  <c r="S159" i="1"/>
  <c r="T159" i="1"/>
  <c r="U159" i="1"/>
  <c r="W159" i="1"/>
  <c r="X159" i="1"/>
  <c r="Y159" i="1"/>
  <c r="Z159" i="1"/>
  <c r="AA159" i="1"/>
  <c r="AB159" i="1"/>
  <c r="AP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D159" i="1"/>
  <c r="CE159" i="1"/>
  <c r="CF159" i="1"/>
  <c r="CG159" i="1"/>
  <c r="CH159" i="1"/>
  <c r="CI159" i="1"/>
  <c r="CJ159" i="1"/>
  <c r="CK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Y159" i="1"/>
  <c r="CZ159" i="1"/>
  <c r="DA159" i="1"/>
  <c r="DB159" i="1"/>
  <c r="DC159" i="1"/>
  <c r="DE159" i="1"/>
  <c r="DH159" i="1"/>
  <c r="DK159" i="1"/>
  <c r="DL159" i="1"/>
  <c r="DM159" i="1"/>
  <c r="DN159" i="1"/>
  <c r="DP159" i="1"/>
  <c r="DS159" i="1"/>
  <c r="DV159" i="1"/>
  <c r="DX159" i="1"/>
  <c r="DY159" i="1"/>
  <c r="ED159" i="1"/>
  <c r="EE159" i="1"/>
  <c r="EF159" i="1"/>
  <c r="EG159" i="1"/>
  <c r="EH159" i="1"/>
  <c r="EI159" i="1"/>
  <c r="EJ159" i="1"/>
  <c r="EK159" i="1"/>
  <c r="FO159" i="1"/>
  <c r="FP159" i="1"/>
  <c r="FQ159" i="1"/>
  <c r="FR159" i="1"/>
  <c r="FS159" i="1"/>
  <c r="FT159" i="1"/>
  <c r="FU159" i="1"/>
  <c r="FV159" i="1"/>
  <c r="FW159" i="1"/>
  <c r="FX159" i="1"/>
  <c r="FY159" i="1"/>
  <c r="FZ159" i="1"/>
  <c r="GA159" i="1"/>
  <c r="GB159" i="1"/>
  <c r="GC159" i="1"/>
  <c r="GD159" i="1"/>
  <c r="GE159" i="1"/>
  <c r="GF159" i="1"/>
  <c r="GG159" i="1"/>
  <c r="GH159" i="1"/>
  <c r="GI159" i="1"/>
  <c r="GJ159" i="1"/>
  <c r="GK159" i="1"/>
  <c r="GL159" i="1"/>
  <c r="GM159" i="1"/>
  <c r="GN159" i="1"/>
  <c r="GO159" i="1"/>
  <c r="GP159" i="1"/>
  <c r="GQ159" i="1"/>
  <c r="GR159" i="1"/>
  <c r="GS159" i="1"/>
  <c r="GT159" i="1"/>
  <c r="GU159" i="1"/>
  <c r="GV159" i="1"/>
  <c r="GW159" i="1"/>
  <c r="GX159" i="1"/>
  <c r="GY159" i="1"/>
  <c r="GZ159" i="1"/>
  <c r="HA159" i="1"/>
  <c r="HB159" i="1"/>
  <c r="HC159" i="1"/>
  <c r="HD159" i="1"/>
  <c r="HE159" i="1"/>
  <c r="HF159" i="1"/>
  <c r="HG159" i="1"/>
  <c r="HH159" i="1"/>
  <c r="HI159" i="1"/>
  <c r="HJ159" i="1"/>
  <c r="HK159" i="1"/>
  <c r="HL159" i="1"/>
  <c r="HM159" i="1"/>
  <c r="HN159" i="1"/>
  <c r="HO159" i="1"/>
  <c r="HP159" i="1"/>
  <c r="HQ159" i="1"/>
  <c r="HR159" i="1"/>
  <c r="HS159" i="1"/>
  <c r="HT159" i="1"/>
  <c r="HU159" i="1"/>
  <c r="HV159" i="1"/>
  <c r="HW159" i="1"/>
  <c r="HX159" i="1"/>
  <c r="HY159" i="1"/>
  <c r="HZ159" i="1"/>
  <c r="IA159" i="1"/>
  <c r="IB159" i="1"/>
  <c r="IC159" i="1"/>
  <c r="ID159" i="1"/>
  <c r="IE159" i="1"/>
  <c r="IF159" i="1"/>
  <c r="IG159" i="1"/>
  <c r="IH159" i="1"/>
  <c r="H160" i="1"/>
  <c r="I160" i="1"/>
  <c r="L160" i="1"/>
  <c r="O160" i="1"/>
  <c r="R160" i="1"/>
  <c r="S160" i="1"/>
  <c r="T160" i="1"/>
  <c r="U160" i="1"/>
  <c r="W160" i="1"/>
  <c r="X160" i="1"/>
  <c r="Y160" i="1"/>
  <c r="Z160" i="1"/>
  <c r="AA160" i="1"/>
  <c r="AB160" i="1"/>
  <c r="AP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D160" i="1"/>
  <c r="CE160" i="1"/>
  <c r="CF160" i="1"/>
  <c r="CG160" i="1"/>
  <c r="CH160" i="1"/>
  <c r="CI160" i="1"/>
  <c r="CJ160" i="1"/>
  <c r="CK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Y160" i="1"/>
  <c r="CZ160" i="1"/>
  <c r="DA160" i="1"/>
  <c r="DB160" i="1"/>
  <c r="DC160" i="1"/>
  <c r="DE160" i="1"/>
  <c r="DH160" i="1"/>
  <c r="DK160" i="1"/>
  <c r="DL160" i="1"/>
  <c r="DM160" i="1"/>
  <c r="DN160" i="1"/>
  <c r="DP160" i="1"/>
  <c r="DS160" i="1"/>
  <c r="DV160" i="1"/>
  <c r="DX160" i="1"/>
  <c r="DY160" i="1"/>
  <c r="ED160" i="1"/>
  <c r="EE160" i="1"/>
  <c r="EF160" i="1"/>
  <c r="EG160" i="1"/>
  <c r="EH160" i="1"/>
  <c r="EI160" i="1"/>
  <c r="EJ160" i="1"/>
  <c r="EK160" i="1"/>
  <c r="FO160" i="1"/>
  <c r="FP160" i="1"/>
  <c r="FQ160" i="1"/>
  <c r="FR160" i="1"/>
  <c r="FS160" i="1"/>
  <c r="FT160" i="1"/>
  <c r="FU160" i="1"/>
  <c r="FV160" i="1"/>
  <c r="FW160" i="1"/>
  <c r="FX160" i="1"/>
  <c r="FY160" i="1"/>
  <c r="FZ160" i="1"/>
  <c r="GA160" i="1"/>
  <c r="GB160" i="1"/>
  <c r="GC160" i="1"/>
  <c r="GD160" i="1"/>
  <c r="GE160" i="1"/>
  <c r="GF160" i="1"/>
  <c r="GG160" i="1"/>
  <c r="GH160" i="1"/>
  <c r="GI160" i="1"/>
  <c r="GJ160" i="1"/>
  <c r="GK160" i="1"/>
  <c r="GL160" i="1"/>
  <c r="GM160" i="1"/>
  <c r="GN160" i="1"/>
  <c r="GO160" i="1"/>
  <c r="GP160" i="1"/>
  <c r="GQ160" i="1"/>
  <c r="GR160" i="1"/>
  <c r="GS160" i="1"/>
  <c r="GT160" i="1"/>
  <c r="GU160" i="1"/>
  <c r="GV160" i="1"/>
  <c r="GW160" i="1"/>
  <c r="GX160" i="1"/>
  <c r="GY160" i="1"/>
  <c r="GZ160" i="1"/>
  <c r="HA160" i="1"/>
  <c r="HB160" i="1"/>
  <c r="HC160" i="1"/>
  <c r="HD160" i="1"/>
  <c r="HE160" i="1"/>
  <c r="HF160" i="1"/>
  <c r="HG160" i="1"/>
  <c r="HH160" i="1"/>
  <c r="HI160" i="1"/>
  <c r="HJ160" i="1"/>
  <c r="HK160" i="1"/>
  <c r="HL160" i="1"/>
  <c r="HM160" i="1"/>
  <c r="HN160" i="1"/>
  <c r="HO160" i="1"/>
  <c r="HP160" i="1"/>
  <c r="HQ160" i="1"/>
  <c r="HR160" i="1"/>
  <c r="HS160" i="1"/>
  <c r="HT160" i="1"/>
  <c r="HU160" i="1"/>
  <c r="HV160" i="1"/>
  <c r="HW160" i="1"/>
  <c r="HX160" i="1"/>
  <c r="HY160" i="1"/>
  <c r="HZ160" i="1"/>
  <c r="IA160" i="1"/>
  <c r="IB160" i="1"/>
  <c r="IC160" i="1"/>
  <c r="ID160" i="1"/>
  <c r="IE160" i="1"/>
  <c r="IF160" i="1"/>
  <c r="IG160" i="1"/>
  <c r="IH160" i="1"/>
  <c r="H161" i="1"/>
  <c r="I161" i="1"/>
  <c r="L161" i="1"/>
  <c r="O161" i="1"/>
  <c r="R161" i="1"/>
  <c r="S161" i="1"/>
  <c r="T161" i="1"/>
  <c r="U161" i="1"/>
  <c r="W161" i="1"/>
  <c r="X161" i="1"/>
  <c r="Y161" i="1"/>
  <c r="Z161" i="1"/>
  <c r="AA161" i="1"/>
  <c r="AB161" i="1"/>
  <c r="AP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D161" i="1"/>
  <c r="CE161" i="1"/>
  <c r="CF161" i="1"/>
  <c r="CG161" i="1"/>
  <c r="CH161" i="1"/>
  <c r="CI161" i="1"/>
  <c r="CJ161" i="1"/>
  <c r="CK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E161" i="1"/>
  <c r="DH161" i="1"/>
  <c r="DK161" i="1"/>
  <c r="DL161" i="1"/>
  <c r="DM161" i="1"/>
  <c r="DN161" i="1"/>
  <c r="DP161" i="1"/>
  <c r="DS161" i="1"/>
  <c r="DV161" i="1"/>
  <c r="DX161" i="1"/>
  <c r="DY161" i="1"/>
  <c r="ED161" i="1"/>
  <c r="EE161" i="1"/>
  <c r="EF161" i="1"/>
  <c r="EG161" i="1"/>
  <c r="EH161" i="1"/>
  <c r="EI161" i="1"/>
  <c r="EJ161" i="1"/>
  <c r="EK161" i="1"/>
  <c r="FO161" i="1"/>
  <c r="FP161" i="1"/>
  <c r="FQ161" i="1"/>
  <c r="FR161" i="1"/>
  <c r="FS161" i="1"/>
  <c r="FT161" i="1"/>
  <c r="FU161" i="1"/>
  <c r="FV161" i="1"/>
  <c r="FW161" i="1"/>
  <c r="FX161" i="1"/>
  <c r="FY161" i="1"/>
  <c r="FZ161" i="1"/>
  <c r="GA161" i="1"/>
  <c r="GB161" i="1"/>
  <c r="GC161" i="1"/>
  <c r="GD161" i="1"/>
  <c r="GE161" i="1"/>
  <c r="GF161" i="1"/>
  <c r="GG161" i="1"/>
  <c r="GH161" i="1"/>
  <c r="GI161" i="1"/>
  <c r="GJ161" i="1"/>
  <c r="GK161" i="1"/>
  <c r="GL161" i="1"/>
  <c r="GM161" i="1"/>
  <c r="GN161" i="1"/>
  <c r="GO161" i="1"/>
  <c r="GP161" i="1"/>
  <c r="GQ161" i="1"/>
  <c r="GR161" i="1"/>
  <c r="GS161" i="1"/>
  <c r="GT161" i="1"/>
  <c r="GU161" i="1"/>
  <c r="GV161" i="1"/>
  <c r="GW161" i="1"/>
  <c r="GX161" i="1"/>
  <c r="GY161" i="1"/>
  <c r="GZ161" i="1"/>
  <c r="HA161" i="1"/>
  <c r="HB161" i="1"/>
  <c r="HC161" i="1"/>
  <c r="HD161" i="1"/>
  <c r="HE161" i="1"/>
  <c r="HF161" i="1"/>
  <c r="HG161" i="1"/>
  <c r="HH161" i="1"/>
  <c r="HI161" i="1"/>
  <c r="HJ161" i="1"/>
  <c r="HK161" i="1"/>
  <c r="HL161" i="1"/>
  <c r="HM161" i="1"/>
  <c r="HN161" i="1"/>
  <c r="HO161" i="1"/>
  <c r="HP161" i="1"/>
  <c r="HQ161" i="1"/>
  <c r="HR161" i="1"/>
  <c r="HS161" i="1"/>
  <c r="HT161" i="1"/>
  <c r="HU161" i="1"/>
  <c r="HV161" i="1"/>
  <c r="HW161" i="1"/>
  <c r="HX161" i="1"/>
  <c r="HY161" i="1"/>
  <c r="HZ161" i="1"/>
  <c r="IA161" i="1"/>
  <c r="IB161" i="1"/>
  <c r="IC161" i="1"/>
  <c r="ID161" i="1"/>
  <c r="IE161" i="1"/>
  <c r="IF161" i="1"/>
  <c r="IG161" i="1"/>
  <c r="IH161" i="1"/>
  <c r="H162" i="1"/>
  <c r="I162" i="1"/>
  <c r="L162" i="1"/>
  <c r="O162" i="1"/>
  <c r="R162" i="1"/>
  <c r="S162" i="1"/>
  <c r="T162" i="1"/>
  <c r="U162" i="1"/>
  <c r="W162" i="1"/>
  <c r="X162" i="1"/>
  <c r="Y162" i="1"/>
  <c r="Z162" i="1"/>
  <c r="AA162" i="1"/>
  <c r="AB162" i="1"/>
  <c r="AP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D162" i="1"/>
  <c r="CE162" i="1"/>
  <c r="CF162" i="1"/>
  <c r="CG162" i="1"/>
  <c r="CH162" i="1"/>
  <c r="CI162" i="1"/>
  <c r="CJ162" i="1"/>
  <c r="CK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Y162" i="1"/>
  <c r="CZ162" i="1"/>
  <c r="DA162" i="1"/>
  <c r="DB162" i="1"/>
  <c r="DC162" i="1"/>
  <c r="DE162" i="1"/>
  <c r="DH162" i="1"/>
  <c r="DK162" i="1"/>
  <c r="DL162" i="1"/>
  <c r="DM162" i="1"/>
  <c r="DN162" i="1"/>
  <c r="DP162" i="1"/>
  <c r="DS162" i="1"/>
  <c r="DV162" i="1"/>
  <c r="DX162" i="1"/>
  <c r="DY162" i="1"/>
  <c r="ED162" i="1"/>
  <c r="EE162" i="1"/>
  <c r="EF162" i="1"/>
  <c r="EG162" i="1"/>
  <c r="EH162" i="1"/>
  <c r="EI162" i="1"/>
  <c r="EJ162" i="1"/>
  <c r="EK162" i="1"/>
  <c r="FO162" i="1"/>
  <c r="FP162" i="1"/>
  <c r="FQ162" i="1"/>
  <c r="FR162" i="1"/>
  <c r="FS162" i="1"/>
  <c r="FT162" i="1"/>
  <c r="FU162" i="1"/>
  <c r="FV162" i="1"/>
  <c r="FW162" i="1"/>
  <c r="FX162" i="1"/>
  <c r="FY162" i="1"/>
  <c r="FZ162" i="1"/>
  <c r="GA162" i="1"/>
  <c r="GB162" i="1"/>
  <c r="GC162" i="1"/>
  <c r="GD162" i="1"/>
  <c r="GE162" i="1"/>
  <c r="GF162" i="1"/>
  <c r="GG162" i="1"/>
  <c r="GH162" i="1"/>
  <c r="GI162" i="1"/>
  <c r="GJ162" i="1"/>
  <c r="GK162" i="1"/>
  <c r="GL162" i="1"/>
  <c r="GM162" i="1"/>
  <c r="GN162" i="1"/>
  <c r="GO162" i="1"/>
  <c r="GP162" i="1"/>
  <c r="GQ162" i="1"/>
  <c r="GR162" i="1"/>
  <c r="GS162" i="1"/>
  <c r="GT162" i="1"/>
  <c r="GU162" i="1"/>
  <c r="GV162" i="1"/>
  <c r="GW162" i="1"/>
  <c r="GX162" i="1"/>
  <c r="GY162" i="1"/>
  <c r="GZ162" i="1"/>
  <c r="HA162" i="1"/>
  <c r="HB162" i="1"/>
  <c r="HC162" i="1"/>
  <c r="HD162" i="1"/>
  <c r="HE162" i="1"/>
  <c r="HF162" i="1"/>
  <c r="HG162" i="1"/>
  <c r="HH162" i="1"/>
  <c r="HI162" i="1"/>
  <c r="HJ162" i="1"/>
  <c r="HK162" i="1"/>
  <c r="HL162" i="1"/>
  <c r="HM162" i="1"/>
  <c r="HN162" i="1"/>
  <c r="HO162" i="1"/>
  <c r="HP162" i="1"/>
  <c r="HQ162" i="1"/>
  <c r="HR162" i="1"/>
  <c r="HS162" i="1"/>
  <c r="HT162" i="1"/>
  <c r="HU162" i="1"/>
  <c r="HV162" i="1"/>
  <c r="HW162" i="1"/>
  <c r="HX162" i="1"/>
  <c r="HY162" i="1"/>
  <c r="HZ162" i="1"/>
  <c r="IA162" i="1"/>
  <c r="IB162" i="1"/>
  <c r="IC162" i="1"/>
  <c r="ID162" i="1"/>
  <c r="IE162" i="1"/>
  <c r="IF162" i="1"/>
  <c r="IG162" i="1"/>
  <c r="IH162" i="1"/>
  <c r="H163" i="1"/>
  <c r="I163" i="1"/>
  <c r="L163" i="1"/>
  <c r="O163" i="1"/>
  <c r="R163" i="1"/>
  <c r="S163" i="1"/>
  <c r="T163" i="1"/>
  <c r="U163" i="1"/>
  <c r="W163" i="1"/>
  <c r="X163" i="1"/>
  <c r="Y163" i="1"/>
  <c r="Z163" i="1"/>
  <c r="AA163" i="1"/>
  <c r="AB163" i="1"/>
  <c r="AP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D163" i="1"/>
  <c r="CE163" i="1"/>
  <c r="CF163" i="1"/>
  <c r="CG163" i="1"/>
  <c r="CH163" i="1"/>
  <c r="CI163" i="1"/>
  <c r="CJ163" i="1"/>
  <c r="CK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Y163" i="1"/>
  <c r="CZ163" i="1"/>
  <c r="DA163" i="1"/>
  <c r="DB163" i="1"/>
  <c r="DC163" i="1"/>
  <c r="DE163" i="1"/>
  <c r="DH163" i="1"/>
  <c r="DK163" i="1"/>
  <c r="DL163" i="1"/>
  <c r="DM163" i="1"/>
  <c r="DN163" i="1"/>
  <c r="DP163" i="1"/>
  <c r="DS163" i="1"/>
  <c r="DV163" i="1"/>
  <c r="DX163" i="1"/>
  <c r="DY163" i="1"/>
  <c r="ED163" i="1"/>
  <c r="EE163" i="1"/>
  <c r="EF163" i="1"/>
  <c r="EG163" i="1"/>
  <c r="EH163" i="1"/>
  <c r="EI163" i="1"/>
  <c r="EJ163" i="1"/>
  <c r="EK163" i="1"/>
  <c r="FO163" i="1"/>
  <c r="FP163" i="1"/>
  <c r="FQ163" i="1"/>
  <c r="FR163" i="1"/>
  <c r="FS163" i="1"/>
  <c r="FT163" i="1"/>
  <c r="FU163" i="1"/>
  <c r="FV163" i="1"/>
  <c r="FW163" i="1"/>
  <c r="FX163" i="1"/>
  <c r="FY163" i="1"/>
  <c r="FZ163" i="1"/>
  <c r="GA163" i="1"/>
  <c r="GB163" i="1"/>
  <c r="GC163" i="1"/>
  <c r="GD163" i="1"/>
  <c r="GE163" i="1"/>
  <c r="GF163" i="1"/>
  <c r="GG163" i="1"/>
  <c r="GH163" i="1"/>
  <c r="GI163" i="1"/>
  <c r="GJ163" i="1"/>
  <c r="GK163" i="1"/>
  <c r="GL163" i="1"/>
  <c r="GM163" i="1"/>
  <c r="GN163" i="1"/>
  <c r="GO163" i="1"/>
  <c r="GP163" i="1"/>
  <c r="GQ163" i="1"/>
  <c r="GR163" i="1"/>
  <c r="GS163" i="1"/>
  <c r="GT163" i="1"/>
  <c r="GU163" i="1"/>
  <c r="GV163" i="1"/>
  <c r="GW163" i="1"/>
  <c r="GX163" i="1"/>
  <c r="GY163" i="1"/>
  <c r="GZ163" i="1"/>
  <c r="HA163" i="1"/>
  <c r="HB163" i="1"/>
  <c r="HC163" i="1"/>
  <c r="HD163" i="1"/>
  <c r="HE163" i="1"/>
  <c r="HF163" i="1"/>
  <c r="HG163" i="1"/>
  <c r="HH163" i="1"/>
  <c r="HI163" i="1"/>
  <c r="HJ163" i="1"/>
  <c r="HK163" i="1"/>
  <c r="HL163" i="1"/>
  <c r="HM163" i="1"/>
  <c r="HN163" i="1"/>
  <c r="HO163" i="1"/>
  <c r="HP163" i="1"/>
  <c r="HQ163" i="1"/>
  <c r="HR163" i="1"/>
  <c r="HS163" i="1"/>
  <c r="HT163" i="1"/>
  <c r="HU163" i="1"/>
  <c r="HV163" i="1"/>
  <c r="HW163" i="1"/>
  <c r="HX163" i="1"/>
  <c r="HY163" i="1"/>
  <c r="HZ163" i="1"/>
  <c r="IA163" i="1"/>
  <c r="IB163" i="1"/>
  <c r="IC163" i="1"/>
  <c r="ID163" i="1"/>
  <c r="IE163" i="1"/>
  <c r="IF163" i="1"/>
  <c r="IG163" i="1"/>
  <c r="IH163" i="1"/>
  <c r="H164" i="1"/>
  <c r="I164" i="1"/>
  <c r="L164" i="1"/>
  <c r="O164" i="1"/>
  <c r="R164" i="1"/>
  <c r="S164" i="1"/>
  <c r="T164" i="1"/>
  <c r="U164" i="1"/>
  <c r="W164" i="1"/>
  <c r="X164" i="1"/>
  <c r="Y164" i="1"/>
  <c r="Z164" i="1"/>
  <c r="AA164" i="1"/>
  <c r="AB164" i="1"/>
  <c r="AP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D164" i="1"/>
  <c r="CE164" i="1"/>
  <c r="CF164" i="1"/>
  <c r="CG164" i="1"/>
  <c r="CH164" i="1"/>
  <c r="CI164" i="1"/>
  <c r="CJ164" i="1"/>
  <c r="CK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DC164" i="1"/>
  <c r="DE164" i="1"/>
  <c r="DH164" i="1"/>
  <c r="DK164" i="1"/>
  <c r="DL164" i="1"/>
  <c r="DM164" i="1"/>
  <c r="DN164" i="1"/>
  <c r="DP164" i="1"/>
  <c r="DS164" i="1"/>
  <c r="DV164" i="1"/>
  <c r="DX164" i="1"/>
  <c r="DY164" i="1"/>
  <c r="ED164" i="1"/>
  <c r="EE164" i="1"/>
  <c r="EF164" i="1"/>
  <c r="EG164" i="1"/>
  <c r="EH164" i="1"/>
  <c r="EI164" i="1"/>
  <c r="EJ164" i="1"/>
  <c r="EK164" i="1"/>
  <c r="FO164" i="1"/>
  <c r="FP164" i="1"/>
  <c r="FQ164" i="1"/>
  <c r="FR164" i="1"/>
  <c r="FS164" i="1"/>
  <c r="FT164" i="1"/>
  <c r="FU164" i="1"/>
  <c r="FV164" i="1"/>
  <c r="FW164" i="1"/>
  <c r="FX164" i="1"/>
  <c r="FY164" i="1"/>
  <c r="FZ164" i="1"/>
  <c r="GA164" i="1"/>
  <c r="GB164" i="1"/>
  <c r="GC164" i="1"/>
  <c r="GD164" i="1"/>
  <c r="GE164" i="1"/>
  <c r="GF164" i="1"/>
  <c r="GG164" i="1"/>
  <c r="GH164" i="1"/>
  <c r="GI164" i="1"/>
  <c r="GJ164" i="1"/>
  <c r="GK164" i="1"/>
  <c r="GL164" i="1"/>
  <c r="GM164" i="1"/>
  <c r="GN164" i="1"/>
  <c r="GO164" i="1"/>
  <c r="GP164" i="1"/>
  <c r="GQ164" i="1"/>
  <c r="GR164" i="1"/>
  <c r="GS164" i="1"/>
  <c r="GT164" i="1"/>
  <c r="GU164" i="1"/>
  <c r="GV164" i="1"/>
  <c r="GW164" i="1"/>
  <c r="GX164" i="1"/>
  <c r="GY164" i="1"/>
  <c r="GZ164" i="1"/>
  <c r="HA164" i="1"/>
  <c r="HB164" i="1"/>
  <c r="HC164" i="1"/>
  <c r="HD164" i="1"/>
  <c r="HE164" i="1"/>
  <c r="HF164" i="1"/>
  <c r="HG164" i="1"/>
  <c r="HH164" i="1"/>
  <c r="HI164" i="1"/>
  <c r="HJ164" i="1"/>
  <c r="HK164" i="1"/>
  <c r="HL164" i="1"/>
  <c r="HM164" i="1"/>
  <c r="HN164" i="1"/>
  <c r="HO164" i="1"/>
  <c r="HP164" i="1"/>
  <c r="HQ164" i="1"/>
  <c r="HR164" i="1"/>
  <c r="HS164" i="1"/>
  <c r="HT164" i="1"/>
  <c r="HU164" i="1"/>
  <c r="HV164" i="1"/>
  <c r="HW164" i="1"/>
  <c r="HX164" i="1"/>
  <c r="HY164" i="1"/>
  <c r="HZ164" i="1"/>
  <c r="IA164" i="1"/>
  <c r="IB164" i="1"/>
  <c r="IC164" i="1"/>
  <c r="ID164" i="1"/>
  <c r="IE164" i="1"/>
  <c r="IF164" i="1"/>
  <c r="IG164" i="1"/>
  <c r="IH164" i="1"/>
  <c r="H165" i="1"/>
  <c r="I165" i="1"/>
  <c r="L165" i="1"/>
  <c r="O165" i="1"/>
  <c r="R165" i="1"/>
  <c r="S165" i="1"/>
  <c r="T165" i="1"/>
  <c r="U165" i="1"/>
  <c r="W165" i="1"/>
  <c r="X165" i="1"/>
  <c r="Y165" i="1"/>
  <c r="Z165" i="1"/>
  <c r="AA165" i="1"/>
  <c r="AB165" i="1"/>
  <c r="AP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D165" i="1"/>
  <c r="CE165" i="1"/>
  <c r="CF165" i="1"/>
  <c r="CG165" i="1"/>
  <c r="CH165" i="1"/>
  <c r="CI165" i="1"/>
  <c r="CJ165" i="1"/>
  <c r="CK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DC165" i="1"/>
  <c r="DE165" i="1"/>
  <c r="DH165" i="1"/>
  <c r="DK165" i="1"/>
  <c r="DL165" i="1"/>
  <c r="DM165" i="1"/>
  <c r="DN165" i="1"/>
  <c r="DP165" i="1"/>
  <c r="DS165" i="1"/>
  <c r="DV165" i="1"/>
  <c r="DX165" i="1"/>
  <c r="DY165" i="1"/>
  <c r="ED165" i="1"/>
  <c r="EE165" i="1"/>
  <c r="EF165" i="1"/>
  <c r="EG165" i="1"/>
  <c r="EH165" i="1"/>
  <c r="EI165" i="1"/>
  <c r="EJ165" i="1"/>
  <c r="EK165" i="1"/>
  <c r="FO165" i="1"/>
  <c r="FP165" i="1"/>
  <c r="FQ165" i="1"/>
  <c r="FR165" i="1"/>
  <c r="FS165" i="1"/>
  <c r="FT165" i="1"/>
  <c r="FU165" i="1"/>
  <c r="FV165" i="1"/>
  <c r="FW165" i="1"/>
  <c r="FX165" i="1"/>
  <c r="FY165" i="1"/>
  <c r="FZ165" i="1"/>
  <c r="GA165" i="1"/>
  <c r="GB165" i="1"/>
  <c r="GC165" i="1"/>
  <c r="GD165" i="1"/>
  <c r="GE165" i="1"/>
  <c r="GF165" i="1"/>
  <c r="GG165" i="1"/>
  <c r="GH165" i="1"/>
  <c r="GI165" i="1"/>
  <c r="GJ165" i="1"/>
  <c r="GK165" i="1"/>
  <c r="GL165" i="1"/>
  <c r="GM165" i="1"/>
  <c r="GN165" i="1"/>
  <c r="GO165" i="1"/>
  <c r="GP165" i="1"/>
  <c r="GQ165" i="1"/>
  <c r="GR165" i="1"/>
  <c r="GS165" i="1"/>
  <c r="GT165" i="1"/>
  <c r="GU165" i="1"/>
  <c r="GV165" i="1"/>
  <c r="GW165" i="1"/>
  <c r="GX165" i="1"/>
  <c r="GY165" i="1"/>
  <c r="GZ165" i="1"/>
  <c r="HA165" i="1"/>
  <c r="HB165" i="1"/>
  <c r="HC165" i="1"/>
  <c r="HD165" i="1"/>
  <c r="HE165" i="1"/>
  <c r="HF165" i="1"/>
  <c r="HG165" i="1"/>
  <c r="HH165" i="1"/>
  <c r="HI165" i="1"/>
  <c r="HJ165" i="1"/>
  <c r="HK165" i="1"/>
  <c r="HL165" i="1"/>
  <c r="HM165" i="1"/>
  <c r="HN165" i="1"/>
  <c r="HO165" i="1"/>
  <c r="HP165" i="1"/>
  <c r="HQ165" i="1"/>
  <c r="HR165" i="1"/>
  <c r="HS165" i="1"/>
  <c r="HT165" i="1"/>
  <c r="HU165" i="1"/>
  <c r="HV165" i="1"/>
  <c r="HW165" i="1"/>
  <c r="HX165" i="1"/>
  <c r="HY165" i="1"/>
  <c r="HZ165" i="1"/>
  <c r="IA165" i="1"/>
  <c r="IB165" i="1"/>
  <c r="IC165" i="1"/>
  <c r="ID165" i="1"/>
  <c r="IE165" i="1"/>
  <c r="IF165" i="1"/>
  <c r="IG165" i="1"/>
  <c r="IH165" i="1"/>
  <c r="H166" i="1"/>
  <c r="I166" i="1"/>
  <c r="L166" i="1"/>
  <c r="O166" i="1"/>
  <c r="R166" i="1"/>
  <c r="S166" i="1"/>
  <c r="T166" i="1"/>
  <c r="U166" i="1"/>
  <c r="W166" i="1"/>
  <c r="X166" i="1"/>
  <c r="Y166" i="1"/>
  <c r="Z166" i="1"/>
  <c r="AA166" i="1"/>
  <c r="AB166" i="1"/>
  <c r="AP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D166" i="1"/>
  <c r="CE166" i="1"/>
  <c r="CF166" i="1"/>
  <c r="CG166" i="1"/>
  <c r="CH166" i="1"/>
  <c r="CI166" i="1"/>
  <c r="CJ166" i="1"/>
  <c r="CK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DC166" i="1"/>
  <c r="DE166" i="1"/>
  <c r="DH166" i="1"/>
  <c r="DK166" i="1"/>
  <c r="DL166" i="1"/>
  <c r="DM166" i="1"/>
  <c r="DN166" i="1"/>
  <c r="DP166" i="1"/>
  <c r="DS166" i="1"/>
  <c r="DV166" i="1"/>
  <c r="DX166" i="1"/>
  <c r="DY166" i="1"/>
  <c r="ED166" i="1"/>
  <c r="EE166" i="1"/>
  <c r="EF166" i="1"/>
  <c r="EG166" i="1"/>
  <c r="EH166" i="1"/>
  <c r="EI166" i="1"/>
  <c r="EJ166" i="1"/>
  <c r="EK166" i="1"/>
  <c r="FO166" i="1"/>
  <c r="FP166" i="1"/>
  <c r="FQ166" i="1"/>
  <c r="FR166" i="1"/>
  <c r="FS166" i="1"/>
  <c r="FT166" i="1"/>
  <c r="FU166" i="1"/>
  <c r="FV166" i="1"/>
  <c r="FW166" i="1"/>
  <c r="FX166" i="1"/>
  <c r="FY166" i="1"/>
  <c r="FZ166" i="1"/>
  <c r="GA166" i="1"/>
  <c r="GB166" i="1"/>
  <c r="GC166" i="1"/>
  <c r="GD166" i="1"/>
  <c r="GE166" i="1"/>
  <c r="GF166" i="1"/>
  <c r="GG166" i="1"/>
  <c r="GH166" i="1"/>
  <c r="GI166" i="1"/>
  <c r="GJ166" i="1"/>
  <c r="GK166" i="1"/>
  <c r="GL166" i="1"/>
  <c r="GM166" i="1"/>
  <c r="GN166" i="1"/>
  <c r="GO166" i="1"/>
  <c r="GP166" i="1"/>
  <c r="GQ166" i="1"/>
  <c r="GR166" i="1"/>
  <c r="GS166" i="1"/>
  <c r="GT166" i="1"/>
  <c r="GU166" i="1"/>
  <c r="GV166" i="1"/>
  <c r="GW166" i="1"/>
  <c r="GX166" i="1"/>
  <c r="GY166" i="1"/>
  <c r="GZ166" i="1"/>
  <c r="HA166" i="1"/>
  <c r="HB166" i="1"/>
  <c r="HC166" i="1"/>
  <c r="HD166" i="1"/>
  <c r="HE166" i="1"/>
  <c r="HF166" i="1"/>
  <c r="HG166" i="1"/>
  <c r="HH166" i="1"/>
  <c r="HI166" i="1"/>
  <c r="HJ166" i="1"/>
  <c r="HK166" i="1"/>
  <c r="HL166" i="1"/>
  <c r="HM166" i="1"/>
  <c r="HN166" i="1"/>
  <c r="HO166" i="1"/>
  <c r="HP166" i="1"/>
  <c r="HQ166" i="1"/>
  <c r="HR166" i="1"/>
  <c r="HS166" i="1"/>
  <c r="HT166" i="1"/>
  <c r="HU166" i="1"/>
  <c r="HV166" i="1"/>
  <c r="HW166" i="1"/>
  <c r="HX166" i="1"/>
  <c r="HY166" i="1"/>
  <c r="HZ166" i="1"/>
  <c r="IA166" i="1"/>
  <c r="IB166" i="1"/>
  <c r="IC166" i="1"/>
  <c r="ID166" i="1"/>
  <c r="IE166" i="1"/>
  <c r="IF166" i="1"/>
  <c r="IG166" i="1"/>
  <c r="IH166" i="1"/>
  <c r="H167" i="1"/>
  <c r="I167" i="1"/>
  <c r="L167" i="1"/>
  <c r="O167" i="1"/>
  <c r="R167" i="1"/>
  <c r="S167" i="1"/>
  <c r="T167" i="1"/>
  <c r="U167" i="1"/>
  <c r="W167" i="1"/>
  <c r="X167" i="1"/>
  <c r="Y167" i="1"/>
  <c r="Z167" i="1"/>
  <c r="AA167" i="1"/>
  <c r="AB167" i="1"/>
  <c r="AP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D167" i="1"/>
  <c r="CE167" i="1"/>
  <c r="CF167" i="1"/>
  <c r="CG167" i="1"/>
  <c r="CH167" i="1"/>
  <c r="CI167" i="1"/>
  <c r="CJ167" i="1"/>
  <c r="CK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Y167" i="1"/>
  <c r="CZ167" i="1"/>
  <c r="DA167" i="1"/>
  <c r="DB167" i="1"/>
  <c r="DC167" i="1"/>
  <c r="DE167" i="1"/>
  <c r="DH167" i="1"/>
  <c r="DK167" i="1"/>
  <c r="DL167" i="1"/>
  <c r="DM167" i="1"/>
  <c r="DN167" i="1"/>
  <c r="DP167" i="1"/>
  <c r="DS167" i="1"/>
  <c r="DV167" i="1"/>
  <c r="DX167" i="1"/>
  <c r="DY167" i="1"/>
  <c r="ED167" i="1"/>
  <c r="EE167" i="1"/>
  <c r="EF167" i="1"/>
  <c r="EG167" i="1"/>
  <c r="EH167" i="1"/>
  <c r="EI167" i="1"/>
  <c r="EJ167" i="1"/>
  <c r="EK167" i="1"/>
  <c r="H168" i="1"/>
  <c r="I168" i="1"/>
  <c r="L168" i="1"/>
  <c r="O168" i="1"/>
  <c r="R168" i="1"/>
  <c r="S168" i="1"/>
  <c r="T168" i="1"/>
  <c r="U168" i="1"/>
  <c r="W168" i="1"/>
  <c r="X168" i="1"/>
  <c r="Y168" i="1"/>
  <c r="Z168" i="1"/>
  <c r="AA168" i="1"/>
  <c r="AB168" i="1"/>
  <c r="AP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D168" i="1"/>
  <c r="CE168" i="1"/>
  <c r="CF168" i="1"/>
  <c r="CG168" i="1"/>
  <c r="CH168" i="1"/>
  <c r="CI168" i="1"/>
  <c r="CJ168" i="1"/>
  <c r="CK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E168" i="1"/>
  <c r="DH168" i="1"/>
  <c r="DK168" i="1"/>
  <c r="DL168" i="1"/>
  <c r="DM168" i="1"/>
  <c r="DN168" i="1"/>
  <c r="DP168" i="1"/>
  <c r="DS168" i="1"/>
  <c r="DV168" i="1"/>
  <c r="DX168" i="1"/>
  <c r="DY168" i="1"/>
  <c r="ED168" i="1"/>
  <c r="EE168" i="1"/>
  <c r="EF168" i="1"/>
  <c r="EG168" i="1"/>
  <c r="EH168" i="1"/>
  <c r="EI168" i="1"/>
  <c r="EJ168" i="1"/>
  <c r="EK168" i="1"/>
  <c r="H169" i="1"/>
  <c r="I169" i="1"/>
  <c r="L169" i="1"/>
  <c r="O169" i="1"/>
  <c r="R169" i="1"/>
  <c r="S169" i="1"/>
  <c r="T169" i="1"/>
  <c r="U169" i="1"/>
  <c r="W169" i="1"/>
  <c r="X169" i="1"/>
  <c r="Y169" i="1"/>
  <c r="Z169" i="1"/>
  <c r="AA169" i="1"/>
  <c r="AB169" i="1"/>
  <c r="AP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D169" i="1"/>
  <c r="CE169" i="1"/>
  <c r="CF169" i="1"/>
  <c r="CG169" i="1"/>
  <c r="CH169" i="1"/>
  <c r="CI169" i="1"/>
  <c r="CJ169" i="1"/>
  <c r="CK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DC169" i="1"/>
  <c r="DE169" i="1"/>
  <c r="DH169" i="1"/>
  <c r="DK169" i="1"/>
  <c r="DL169" i="1"/>
  <c r="DM169" i="1"/>
  <c r="DN169" i="1"/>
  <c r="DP169" i="1"/>
  <c r="DS169" i="1"/>
  <c r="DV169" i="1"/>
  <c r="DX169" i="1"/>
  <c r="DY169" i="1"/>
  <c r="ED169" i="1"/>
  <c r="EE169" i="1"/>
  <c r="EF169" i="1"/>
  <c r="EG169" i="1"/>
  <c r="EH169" i="1"/>
  <c r="EI169" i="1"/>
  <c r="EJ169" i="1"/>
  <c r="EK169" i="1"/>
  <c r="H170" i="1"/>
  <c r="I170" i="1"/>
  <c r="L170" i="1"/>
  <c r="O170" i="1"/>
  <c r="R170" i="1"/>
  <c r="S170" i="1"/>
  <c r="T170" i="1"/>
  <c r="U170" i="1"/>
  <c r="W170" i="1"/>
  <c r="X170" i="1"/>
  <c r="Y170" i="1"/>
  <c r="Z170" i="1"/>
  <c r="AA170" i="1"/>
  <c r="AB170" i="1"/>
  <c r="AP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D170" i="1"/>
  <c r="CE170" i="1"/>
  <c r="CF170" i="1"/>
  <c r="CG170" i="1"/>
  <c r="CH170" i="1"/>
  <c r="CI170" i="1"/>
  <c r="CJ170" i="1"/>
  <c r="CK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DC170" i="1"/>
  <c r="DE170" i="1"/>
  <c r="DH170" i="1"/>
  <c r="DK170" i="1"/>
  <c r="DL170" i="1"/>
  <c r="DM170" i="1"/>
  <c r="DN170" i="1"/>
  <c r="DP170" i="1"/>
  <c r="DS170" i="1"/>
  <c r="DV170" i="1"/>
  <c r="DX170" i="1"/>
  <c r="DY170" i="1"/>
  <c r="ED170" i="1"/>
  <c r="EE170" i="1"/>
  <c r="EF170" i="1"/>
  <c r="EG170" i="1"/>
  <c r="EH170" i="1"/>
  <c r="EI170" i="1"/>
  <c r="EJ170" i="1"/>
  <c r="EK170" i="1"/>
  <c r="FO170" i="1"/>
  <c r="FP170" i="1"/>
  <c r="FQ170" i="1"/>
  <c r="FR170" i="1"/>
  <c r="FS170" i="1"/>
  <c r="FT170" i="1"/>
  <c r="FU170" i="1"/>
  <c r="FV170" i="1"/>
  <c r="FW170" i="1"/>
  <c r="FX170" i="1"/>
  <c r="FY170" i="1"/>
  <c r="FZ170" i="1"/>
  <c r="GA170" i="1"/>
  <c r="GB170" i="1"/>
  <c r="GC170" i="1"/>
  <c r="GD170" i="1"/>
  <c r="GE170" i="1"/>
  <c r="GF170" i="1"/>
  <c r="GG170" i="1"/>
  <c r="GH170" i="1"/>
  <c r="GI170" i="1"/>
  <c r="GJ170" i="1"/>
  <c r="GK170" i="1"/>
  <c r="GL170" i="1"/>
  <c r="GM170" i="1"/>
  <c r="GN170" i="1"/>
  <c r="GO170" i="1"/>
  <c r="GP170" i="1"/>
  <c r="GQ170" i="1"/>
  <c r="GR170" i="1"/>
  <c r="GS170" i="1"/>
  <c r="GT170" i="1"/>
  <c r="GU170" i="1"/>
  <c r="GV170" i="1"/>
  <c r="GW170" i="1"/>
  <c r="GX170" i="1"/>
  <c r="GY170" i="1"/>
  <c r="GZ170" i="1"/>
  <c r="HA170" i="1"/>
  <c r="HB170" i="1"/>
  <c r="HC170" i="1"/>
  <c r="HD170" i="1"/>
  <c r="HE170" i="1"/>
  <c r="HF170" i="1"/>
  <c r="HG170" i="1"/>
  <c r="HH170" i="1"/>
  <c r="HI170" i="1"/>
  <c r="HJ170" i="1"/>
  <c r="HK170" i="1"/>
  <c r="HL170" i="1"/>
  <c r="HM170" i="1"/>
  <c r="HN170" i="1"/>
  <c r="HO170" i="1"/>
  <c r="HP170" i="1"/>
  <c r="HQ170" i="1"/>
  <c r="HR170" i="1"/>
  <c r="HS170" i="1"/>
  <c r="HT170" i="1"/>
  <c r="HU170" i="1"/>
  <c r="HV170" i="1"/>
  <c r="HW170" i="1"/>
  <c r="HX170" i="1"/>
  <c r="HY170" i="1"/>
  <c r="HZ170" i="1"/>
  <c r="IA170" i="1"/>
  <c r="IB170" i="1"/>
  <c r="IC170" i="1"/>
  <c r="ID170" i="1"/>
  <c r="IE170" i="1"/>
  <c r="IF170" i="1"/>
  <c r="IG170" i="1"/>
  <c r="IH170" i="1"/>
  <c r="H171" i="1"/>
  <c r="I171" i="1"/>
  <c r="L171" i="1"/>
  <c r="O171" i="1"/>
  <c r="R171" i="1"/>
  <c r="S171" i="1"/>
  <c r="T171" i="1"/>
  <c r="U171" i="1"/>
  <c r="W171" i="1"/>
  <c r="X171" i="1"/>
  <c r="Y171" i="1"/>
  <c r="Z171" i="1"/>
  <c r="AA171" i="1"/>
  <c r="AB171" i="1"/>
  <c r="AP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D171" i="1"/>
  <c r="CE171" i="1"/>
  <c r="CF171" i="1"/>
  <c r="CG171" i="1"/>
  <c r="CH171" i="1"/>
  <c r="CI171" i="1"/>
  <c r="CJ171" i="1"/>
  <c r="CK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Y171" i="1"/>
  <c r="CZ171" i="1"/>
  <c r="DA171" i="1"/>
  <c r="DB171" i="1"/>
  <c r="DC171" i="1"/>
  <c r="DE171" i="1"/>
  <c r="DH171" i="1"/>
  <c r="DK171" i="1"/>
  <c r="DL171" i="1"/>
  <c r="DM171" i="1"/>
  <c r="DN171" i="1"/>
  <c r="DP171" i="1"/>
  <c r="DS171" i="1"/>
  <c r="DV171" i="1"/>
  <c r="DX171" i="1"/>
  <c r="DY171" i="1"/>
  <c r="ED171" i="1"/>
  <c r="EE171" i="1"/>
  <c r="EF171" i="1"/>
  <c r="EG171" i="1"/>
  <c r="EH171" i="1"/>
  <c r="EI171" i="1"/>
  <c r="EJ171" i="1"/>
  <c r="EK171" i="1"/>
  <c r="FO171" i="1"/>
  <c r="FP171" i="1"/>
  <c r="FQ171" i="1"/>
  <c r="FR171" i="1"/>
  <c r="FS171" i="1"/>
  <c r="FT171" i="1"/>
  <c r="FU171" i="1"/>
  <c r="FV171" i="1"/>
  <c r="FW171" i="1"/>
  <c r="FX171" i="1"/>
  <c r="FY171" i="1"/>
  <c r="FZ171" i="1"/>
  <c r="GA171" i="1"/>
  <c r="GB171" i="1"/>
  <c r="GC171" i="1"/>
  <c r="GD171" i="1"/>
  <c r="GE171" i="1"/>
  <c r="GF171" i="1"/>
  <c r="GG171" i="1"/>
  <c r="GH171" i="1"/>
  <c r="GI171" i="1"/>
  <c r="GJ171" i="1"/>
  <c r="GK171" i="1"/>
  <c r="GL171" i="1"/>
  <c r="GM171" i="1"/>
  <c r="GN171" i="1"/>
  <c r="GO171" i="1"/>
  <c r="GP171" i="1"/>
  <c r="GQ171" i="1"/>
  <c r="GR171" i="1"/>
  <c r="GS171" i="1"/>
  <c r="GT171" i="1"/>
  <c r="GU171" i="1"/>
  <c r="GV171" i="1"/>
  <c r="GW171" i="1"/>
  <c r="GX171" i="1"/>
  <c r="GY171" i="1"/>
  <c r="GZ171" i="1"/>
  <c r="HA171" i="1"/>
  <c r="HB171" i="1"/>
  <c r="HC171" i="1"/>
  <c r="HD171" i="1"/>
  <c r="HE171" i="1"/>
  <c r="HF171" i="1"/>
  <c r="HG171" i="1"/>
  <c r="HH171" i="1"/>
  <c r="HI171" i="1"/>
  <c r="HJ171" i="1"/>
  <c r="HK171" i="1"/>
  <c r="HL171" i="1"/>
  <c r="HM171" i="1"/>
  <c r="HN171" i="1"/>
  <c r="HO171" i="1"/>
  <c r="HP171" i="1"/>
  <c r="HQ171" i="1"/>
  <c r="HR171" i="1"/>
  <c r="HS171" i="1"/>
  <c r="HT171" i="1"/>
  <c r="HU171" i="1"/>
  <c r="HV171" i="1"/>
  <c r="HW171" i="1"/>
  <c r="HX171" i="1"/>
  <c r="HY171" i="1"/>
  <c r="HZ171" i="1"/>
  <c r="IA171" i="1"/>
  <c r="IB171" i="1"/>
  <c r="IC171" i="1"/>
  <c r="ID171" i="1"/>
  <c r="IE171" i="1"/>
  <c r="IF171" i="1"/>
  <c r="IG171" i="1"/>
  <c r="IH171" i="1"/>
  <c r="H172" i="1"/>
  <c r="I172" i="1"/>
  <c r="L172" i="1"/>
  <c r="O172" i="1"/>
  <c r="R172" i="1"/>
  <c r="S172" i="1"/>
  <c r="T172" i="1"/>
  <c r="U172" i="1"/>
  <c r="W172" i="1"/>
  <c r="X172" i="1"/>
  <c r="Y172" i="1"/>
  <c r="Z172" i="1"/>
  <c r="AA172" i="1"/>
  <c r="AB172" i="1"/>
  <c r="AP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D172" i="1"/>
  <c r="CE172" i="1"/>
  <c r="CF172" i="1"/>
  <c r="CG172" i="1"/>
  <c r="CH172" i="1"/>
  <c r="CI172" i="1"/>
  <c r="CJ172" i="1"/>
  <c r="CK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Y172" i="1"/>
  <c r="CZ172" i="1"/>
  <c r="DA172" i="1"/>
  <c r="DB172" i="1"/>
  <c r="DC172" i="1"/>
  <c r="DE172" i="1"/>
  <c r="DH172" i="1"/>
  <c r="DK172" i="1"/>
  <c r="DL172" i="1"/>
  <c r="DM172" i="1"/>
  <c r="DN172" i="1"/>
  <c r="DP172" i="1"/>
  <c r="DS172" i="1"/>
  <c r="DV172" i="1"/>
  <c r="DX172" i="1"/>
  <c r="DY172" i="1"/>
  <c r="ED172" i="1"/>
  <c r="EE172" i="1"/>
  <c r="EF172" i="1"/>
  <c r="EG172" i="1"/>
  <c r="EH172" i="1"/>
  <c r="EI172" i="1"/>
  <c r="EJ172" i="1"/>
  <c r="EK172" i="1"/>
  <c r="FO172" i="1"/>
  <c r="FP172" i="1"/>
  <c r="FQ172" i="1"/>
  <c r="FR172" i="1"/>
  <c r="FS172" i="1"/>
  <c r="FT172" i="1"/>
  <c r="FU172" i="1"/>
  <c r="FV172" i="1"/>
  <c r="FW172" i="1"/>
  <c r="FX172" i="1"/>
  <c r="FY172" i="1"/>
  <c r="FZ172" i="1"/>
  <c r="GA172" i="1"/>
  <c r="GB172" i="1"/>
  <c r="GC172" i="1"/>
  <c r="GD172" i="1"/>
  <c r="GE172" i="1"/>
  <c r="GF172" i="1"/>
  <c r="GG172" i="1"/>
  <c r="GH172" i="1"/>
  <c r="GI172" i="1"/>
  <c r="GJ172" i="1"/>
  <c r="GK172" i="1"/>
  <c r="GL172" i="1"/>
  <c r="GM172" i="1"/>
  <c r="GN172" i="1"/>
  <c r="GO172" i="1"/>
  <c r="GP172" i="1"/>
  <c r="GQ172" i="1"/>
  <c r="GR172" i="1"/>
  <c r="GS172" i="1"/>
  <c r="GT172" i="1"/>
  <c r="GU172" i="1"/>
  <c r="GV172" i="1"/>
  <c r="GW172" i="1"/>
  <c r="GX172" i="1"/>
  <c r="GY172" i="1"/>
  <c r="GZ172" i="1"/>
  <c r="HA172" i="1"/>
  <c r="HB172" i="1"/>
  <c r="HC172" i="1"/>
  <c r="HD172" i="1"/>
  <c r="HE172" i="1"/>
  <c r="HF172" i="1"/>
  <c r="HG172" i="1"/>
  <c r="HH172" i="1"/>
  <c r="HI172" i="1"/>
  <c r="HJ172" i="1"/>
  <c r="HK172" i="1"/>
  <c r="HL172" i="1"/>
  <c r="HM172" i="1"/>
  <c r="HN172" i="1"/>
  <c r="HO172" i="1"/>
  <c r="HP172" i="1"/>
  <c r="HQ172" i="1"/>
  <c r="HR172" i="1"/>
  <c r="HS172" i="1"/>
  <c r="HT172" i="1"/>
  <c r="HU172" i="1"/>
  <c r="HV172" i="1"/>
  <c r="HW172" i="1"/>
  <c r="HX172" i="1"/>
  <c r="HY172" i="1"/>
  <c r="HZ172" i="1"/>
  <c r="IA172" i="1"/>
  <c r="IB172" i="1"/>
  <c r="IC172" i="1"/>
  <c r="ID172" i="1"/>
  <c r="IE172" i="1"/>
  <c r="IF172" i="1"/>
  <c r="IG172" i="1"/>
  <c r="IH172" i="1"/>
  <c r="H173" i="1"/>
  <c r="I173" i="1"/>
  <c r="L173" i="1"/>
  <c r="O173" i="1"/>
  <c r="R173" i="1"/>
  <c r="S173" i="1"/>
  <c r="T173" i="1"/>
  <c r="U173" i="1"/>
  <c r="W173" i="1"/>
  <c r="X173" i="1"/>
  <c r="Y173" i="1"/>
  <c r="Z173" i="1"/>
  <c r="AA173" i="1"/>
  <c r="AB173" i="1"/>
  <c r="AP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D173" i="1"/>
  <c r="CE173" i="1"/>
  <c r="CF173" i="1"/>
  <c r="CG173" i="1"/>
  <c r="CH173" i="1"/>
  <c r="CI173" i="1"/>
  <c r="CJ173" i="1"/>
  <c r="CK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DC173" i="1"/>
  <c r="DE173" i="1"/>
  <c r="DH173" i="1"/>
  <c r="DK173" i="1"/>
  <c r="DL173" i="1"/>
  <c r="DM173" i="1"/>
  <c r="DN173" i="1"/>
  <c r="DP173" i="1"/>
  <c r="DS173" i="1"/>
  <c r="DV173" i="1"/>
  <c r="DX173" i="1"/>
  <c r="DY173" i="1"/>
  <c r="ED173" i="1"/>
  <c r="EE173" i="1"/>
  <c r="EF173" i="1"/>
  <c r="EG173" i="1"/>
  <c r="EH173" i="1"/>
  <c r="EI173" i="1"/>
  <c r="EJ173" i="1"/>
  <c r="EK173" i="1"/>
  <c r="FO173" i="1"/>
  <c r="FP173" i="1"/>
  <c r="FQ173" i="1"/>
  <c r="FR173" i="1"/>
  <c r="FS173" i="1"/>
  <c r="FT173" i="1"/>
  <c r="FU173" i="1"/>
  <c r="FV173" i="1"/>
  <c r="FW173" i="1"/>
  <c r="FX173" i="1"/>
  <c r="FY173" i="1"/>
  <c r="FZ173" i="1"/>
  <c r="GA173" i="1"/>
  <c r="GB173" i="1"/>
  <c r="GC173" i="1"/>
  <c r="GD173" i="1"/>
  <c r="GE173" i="1"/>
  <c r="GF173" i="1"/>
  <c r="GG173" i="1"/>
  <c r="GH173" i="1"/>
  <c r="GI173" i="1"/>
  <c r="GJ173" i="1"/>
  <c r="GK173" i="1"/>
  <c r="GL173" i="1"/>
  <c r="GM173" i="1"/>
  <c r="GN173" i="1"/>
  <c r="GO173" i="1"/>
  <c r="GP173" i="1"/>
  <c r="GQ173" i="1"/>
  <c r="GR173" i="1"/>
  <c r="GS173" i="1"/>
  <c r="GT173" i="1"/>
  <c r="GU173" i="1"/>
  <c r="GV173" i="1"/>
  <c r="GW173" i="1"/>
  <c r="GX173" i="1"/>
  <c r="GY173" i="1"/>
  <c r="GZ173" i="1"/>
  <c r="HA173" i="1"/>
  <c r="HB173" i="1"/>
  <c r="HC173" i="1"/>
  <c r="HD173" i="1"/>
  <c r="HE173" i="1"/>
  <c r="HF173" i="1"/>
  <c r="HG173" i="1"/>
  <c r="HH173" i="1"/>
  <c r="HI173" i="1"/>
  <c r="HJ173" i="1"/>
  <c r="HK173" i="1"/>
  <c r="HL173" i="1"/>
  <c r="HM173" i="1"/>
  <c r="HN173" i="1"/>
  <c r="HO173" i="1"/>
  <c r="HP173" i="1"/>
  <c r="HQ173" i="1"/>
  <c r="HR173" i="1"/>
  <c r="HS173" i="1"/>
  <c r="HT173" i="1"/>
  <c r="HU173" i="1"/>
  <c r="HV173" i="1"/>
  <c r="HW173" i="1"/>
  <c r="HX173" i="1"/>
  <c r="HY173" i="1"/>
  <c r="HZ173" i="1"/>
  <c r="IA173" i="1"/>
  <c r="IB173" i="1"/>
  <c r="IC173" i="1"/>
  <c r="ID173" i="1"/>
  <c r="IE173" i="1"/>
  <c r="IF173" i="1"/>
  <c r="IG173" i="1"/>
  <c r="IH173" i="1"/>
  <c r="H174" i="1"/>
  <c r="I174" i="1"/>
  <c r="L174" i="1"/>
  <c r="O174" i="1"/>
  <c r="R174" i="1"/>
  <c r="S174" i="1"/>
  <c r="T174" i="1"/>
  <c r="U174" i="1"/>
  <c r="W174" i="1"/>
  <c r="X174" i="1"/>
  <c r="Y174" i="1"/>
  <c r="Z174" i="1"/>
  <c r="AA174" i="1"/>
  <c r="AB174" i="1"/>
  <c r="AP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D174" i="1"/>
  <c r="CE174" i="1"/>
  <c r="CF174" i="1"/>
  <c r="CG174" i="1"/>
  <c r="CH174" i="1"/>
  <c r="CI174" i="1"/>
  <c r="CJ174" i="1"/>
  <c r="CK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E174" i="1"/>
  <c r="DH174" i="1"/>
  <c r="DK174" i="1"/>
  <c r="DL174" i="1"/>
  <c r="DM174" i="1"/>
  <c r="DN174" i="1"/>
  <c r="DP174" i="1"/>
  <c r="DS174" i="1"/>
  <c r="DV174" i="1"/>
  <c r="DX174" i="1"/>
  <c r="DY174" i="1"/>
  <c r="ED174" i="1"/>
  <c r="EE174" i="1"/>
  <c r="EF174" i="1"/>
  <c r="EG174" i="1"/>
  <c r="EH174" i="1"/>
  <c r="EI174" i="1"/>
  <c r="EJ174" i="1"/>
  <c r="EK174" i="1"/>
  <c r="FO174" i="1"/>
  <c r="FP174" i="1"/>
  <c r="FQ174" i="1"/>
  <c r="FR174" i="1"/>
  <c r="FS174" i="1"/>
  <c r="FT174" i="1"/>
  <c r="FU174" i="1"/>
  <c r="FV174" i="1"/>
  <c r="FW174" i="1"/>
  <c r="FX174" i="1"/>
  <c r="FY174" i="1"/>
  <c r="FZ174" i="1"/>
  <c r="GA174" i="1"/>
  <c r="GB174" i="1"/>
  <c r="GC174" i="1"/>
  <c r="GD174" i="1"/>
  <c r="GE174" i="1"/>
  <c r="GF174" i="1"/>
  <c r="GG174" i="1"/>
  <c r="GH174" i="1"/>
  <c r="GI174" i="1"/>
  <c r="GJ174" i="1"/>
  <c r="GK174" i="1"/>
  <c r="GL174" i="1"/>
  <c r="GM174" i="1"/>
  <c r="GN174" i="1"/>
  <c r="GO174" i="1"/>
  <c r="GP174" i="1"/>
  <c r="GQ174" i="1"/>
  <c r="GR174" i="1"/>
  <c r="GS174" i="1"/>
  <c r="GT174" i="1"/>
  <c r="GU174" i="1"/>
  <c r="GV174" i="1"/>
  <c r="GW174" i="1"/>
  <c r="GX174" i="1"/>
  <c r="GY174" i="1"/>
  <c r="GZ174" i="1"/>
  <c r="HA174" i="1"/>
  <c r="HB174" i="1"/>
  <c r="HC174" i="1"/>
  <c r="HD174" i="1"/>
  <c r="HE174" i="1"/>
  <c r="HF174" i="1"/>
  <c r="HG174" i="1"/>
  <c r="HH174" i="1"/>
  <c r="HI174" i="1"/>
  <c r="HJ174" i="1"/>
  <c r="HK174" i="1"/>
  <c r="HL174" i="1"/>
  <c r="HM174" i="1"/>
  <c r="HN174" i="1"/>
  <c r="HO174" i="1"/>
  <c r="HP174" i="1"/>
  <c r="HQ174" i="1"/>
  <c r="HR174" i="1"/>
  <c r="HS174" i="1"/>
  <c r="HT174" i="1"/>
  <c r="HU174" i="1"/>
  <c r="HV174" i="1"/>
  <c r="HW174" i="1"/>
  <c r="HX174" i="1"/>
  <c r="HY174" i="1"/>
  <c r="HZ174" i="1"/>
  <c r="IA174" i="1"/>
  <c r="IB174" i="1"/>
  <c r="IC174" i="1"/>
  <c r="ID174" i="1"/>
  <c r="IE174" i="1"/>
  <c r="IF174" i="1"/>
  <c r="IG174" i="1"/>
  <c r="IH174" i="1"/>
  <c r="H175" i="1"/>
  <c r="I175" i="1"/>
  <c r="L175" i="1"/>
  <c r="O175" i="1"/>
  <c r="R175" i="1"/>
  <c r="S175" i="1"/>
  <c r="T175" i="1"/>
  <c r="U175" i="1"/>
  <c r="W175" i="1"/>
  <c r="X175" i="1"/>
  <c r="Y175" i="1"/>
  <c r="Z175" i="1"/>
  <c r="AA175" i="1"/>
  <c r="AB175" i="1"/>
  <c r="AP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D175" i="1"/>
  <c r="CE175" i="1"/>
  <c r="CF175" i="1"/>
  <c r="CG175" i="1"/>
  <c r="CH175" i="1"/>
  <c r="CI175" i="1"/>
  <c r="CJ175" i="1"/>
  <c r="CK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Y175" i="1"/>
  <c r="CZ175" i="1"/>
  <c r="DA175" i="1"/>
  <c r="DB175" i="1"/>
  <c r="DC175" i="1"/>
  <c r="DE175" i="1"/>
  <c r="DH175" i="1"/>
  <c r="DK175" i="1"/>
  <c r="DL175" i="1"/>
  <c r="DM175" i="1"/>
  <c r="DN175" i="1"/>
  <c r="DP175" i="1"/>
  <c r="DS175" i="1"/>
  <c r="DV175" i="1"/>
  <c r="DX175" i="1"/>
  <c r="DY175" i="1"/>
  <c r="ED175" i="1"/>
  <c r="EE175" i="1"/>
  <c r="EF175" i="1"/>
  <c r="EG175" i="1"/>
  <c r="EH175" i="1"/>
  <c r="EI175" i="1"/>
  <c r="EJ175" i="1"/>
  <c r="EK175" i="1"/>
  <c r="FO175" i="1"/>
  <c r="FP175" i="1"/>
  <c r="FQ175" i="1"/>
  <c r="FR175" i="1"/>
  <c r="FS175" i="1"/>
  <c r="FT175" i="1"/>
  <c r="FU175" i="1"/>
  <c r="FV175" i="1"/>
  <c r="FW175" i="1"/>
  <c r="FX175" i="1"/>
  <c r="FY175" i="1"/>
  <c r="FZ175" i="1"/>
  <c r="GA175" i="1"/>
  <c r="GB175" i="1"/>
  <c r="GC175" i="1"/>
  <c r="GD175" i="1"/>
  <c r="GE175" i="1"/>
  <c r="GF175" i="1"/>
  <c r="GG175" i="1"/>
  <c r="GH175" i="1"/>
  <c r="GI175" i="1"/>
  <c r="GJ175" i="1"/>
  <c r="GK175" i="1"/>
  <c r="GL175" i="1"/>
  <c r="GM175" i="1"/>
  <c r="GN175" i="1"/>
  <c r="GO175" i="1"/>
  <c r="GP175" i="1"/>
  <c r="GQ175" i="1"/>
  <c r="GR175" i="1"/>
  <c r="GS175" i="1"/>
  <c r="GT175" i="1"/>
  <c r="GU175" i="1"/>
  <c r="GV175" i="1"/>
  <c r="GW175" i="1"/>
  <c r="GX175" i="1"/>
  <c r="GY175" i="1"/>
  <c r="GZ175" i="1"/>
  <c r="HA175" i="1"/>
  <c r="HB175" i="1"/>
  <c r="HC175" i="1"/>
  <c r="HD175" i="1"/>
  <c r="HE175" i="1"/>
  <c r="HF175" i="1"/>
  <c r="HG175" i="1"/>
  <c r="HH175" i="1"/>
  <c r="HI175" i="1"/>
  <c r="HJ175" i="1"/>
  <c r="HK175" i="1"/>
  <c r="HL175" i="1"/>
  <c r="HM175" i="1"/>
  <c r="HN175" i="1"/>
  <c r="HO175" i="1"/>
  <c r="HP175" i="1"/>
  <c r="HQ175" i="1"/>
  <c r="HR175" i="1"/>
  <c r="HS175" i="1"/>
  <c r="HT175" i="1"/>
  <c r="HU175" i="1"/>
  <c r="HV175" i="1"/>
  <c r="HW175" i="1"/>
  <c r="HX175" i="1"/>
  <c r="HY175" i="1"/>
  <c r="HZ175" i="1"/>
  <c r="IA175" i="1"/>
  <c r="IB175" i="1"/>
  <c r="IC175" i="1"/>
  <c r="ID175" i="1"/>
  <c r="IE175" i="1"/>
  <c r="IF175" i="1"/>
  <c r="IG175" i="1"/>
  <c r="IH175" i="1"/>
  <c r="H176" i="1"/>
  <c r="I176" i="1"/>
  <c r="L176" i="1"/>
  <c r="O176" i="1"/>
  <c r="R176" i="1"/>
  <c r="S176" i="1"/>
  <c r="T176" i="1"/>
  <c r="U176" i="1"/>
  <c r="W176" i="1"/>
  <c r="X176" i="1"/>
  <c r="Y176" i="1"/>
  <c r="Z176" i="1"/>
  <c r="AA176" i="1"/>
  <c r="AB176" i="1"/>
  <c r="AP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D176" i="1"/>
  <c r="CE176" i="1"/>
  <c r="CF176" i="1"/>
  <c r="CG176" i="1"/>
  <c r="CH176" i="1"/>
  <c r="CI176" i="1"/>
  <c r="CJ176" i="1"/>
  <c r="CK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Y176" i="1"/>
  <c r="CZ176" i="1"/>
  <c r="DA176" i="1"/>
  <c r="DB176" i="1"/>
  <c r="DC176" i="1"/>
  <c r="DE176" i="1"/>
  <c r="DH176" i="1"/>
  <c r="DK176" i="1"/>
  <c r="DL176" i="1"/>
  <c r="DM176" i="1"/>
  <c r="DN176" i="1"/>
  <c r="DP176" i="1"/>
  <c r="DS176" i="1"/>
  <c r="DV176" i="1"/>
  <c r="DX176" i="1"/>
  <c r="DY176" i="1"/>
  <c r="ED176" i="1"/>
  <c r="EE176" i="1"/>
  <c r="EF176" i="1"/>
  <c r="EG176" i="1"/>
  <c r="EH176" i="1"/>
  <c r="EI176" i="1"/>
  <c r="EJ176" i="1"/>
  <c r="EK176" i="1"/>
  <c r="FO176" i="1"/>
  <c r="FP176" i="1"/>
  <c r="FQ176" i="1"/>
  <c r="FR176" i="1"/>
  <c r="FS176" i="1"/>
  <c r="FT176" i="1"/>
  <c r="FU176" i="1"/>
  <c r="FV176" i="1"/>
  <c r="FW176" i="1"/>
  <c r="FX176" i="1"/>
  <c r="FY176" i="1"/>
  <c r="FZ176" i="1"/>
  <c r="GA176" i="1"/>
  <c r="GB176" i="1"/>
  <c r="GC176" i="1"/>
  <c r="GD176" i="1"/>
  <c r="GE176" i="1"/>
  <c r="GF176" i="1"/>
  <c r="GG176" i="1"/>
  <c r="GH176" i="1"/>
  <c r="GI176" i="1"/>
  <c r="GJ176" i="1"/>
  <c r="GK176" i="1"/>
  <c r="GL176" i="1"/>
  <c r="GM176" i="1"/>
  <c r="GN176" i="1"/>
  <c r="GO176" i="1"/>
  <c r="GP176" i="1"/>
  <c r="GQ176" i="1"/>
  <c r="GR176" i="1"/>
  <c r="GS176" i="1"/>
  <c r="GT176" i="1"/>
  <c r="GU176" i="1"/>
  <c r="GV176" i="1"/>
  <c r="GW176" i="1"/>
  <c r="GX176" i="1"/>
  <c r="GY176" i="1"/>
  <c r="GZ176" i="1"/>
  <c r="HA176" i="1"/>
  <c r="HB176" i="1"/>
  <c r="HC176" i="1"/>
  <c r="HD176" i="1"/>
  <c r="HE176" i="1"/>
  <c r="HF176" i="1"/>
  <c r="HG176" i="1"/>
  <c r="HH176" i="1"/>
  <c r="HI176" i="1"/>
  <c r="HJ176" i="1"/>
  <c r="HK176" i="1"/>
  <c r="HL176" i="1"/>
  <c r="HM176" i="1"/>
  <c r="HN176" i="1"/>
  <c r="HO176" i="1"/>
  <c r="HP176" i="1"/>
  <c r="HQ176" i="1"/>
  <c r="HR176" i="1"/>
  <c r="HS176" i="1"/>
  <c r="HT176" i="1"/>
  <c r="HU176" i="1"/>
  <c r="HV176" i="1"/>
  <c r="HW176" i="1"/>
  <c r="HX176" i="1"/>
  <c r="HY176" i="1"/>
  <c r="HZ176" i="1"/>
  <c r="IA176" i="1"/>
  <c r="IB176" i="1"/>
  <c r="IC176" i="1"/>
  <c r="ID176" i="1"/>
  <c r="IE176" i="1"/>
  <c r="IF176" i="1"/>
  <c r="IG176" i="1"/>
  <c r="IH176" i="1"/>
  <c r="H177" i="1"/>
  <c r="I177" i="1"/>
  <c r="L177" i="1"/>
  <c r="O177" i="1"/>
  <c r="R177" i="1"/>
  <c r="S177" i="1"/>
  <c r="T177" i="1"/>
  <c r="U177" i="1"/>
  <c r="W177" i="1"/>
  <c r="X177" i="1"/>
  <c r="Y177" i="1"/>
  <c r="Z177" i="1"/>
  <c r="AA177" i="1"/>
  <c r="AB177" i="1"/>
  <c r="AP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D177" i="1"/>
  <c r="CE177" i="1"/>
  <c r="CF177" i="1"/>
  <c r="CG177" i="1"/>
  <c r="CH177" i="1"/>
  <c r="CI177" i="1"/>
  <c r="CJ177" i="1"/>
  <c r="CK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E177" i="1"/>
  <c r="DH177" i="1"/>
  <c r="DK177" i="1"/>
  <c r="DL177" i="1"/>
  <c r="DM177" i="1"/>
  <c r="DN177" i="1"/>
  <c r="DP177" i="1"/>
  <c r="DS177" i="1"/>
  <c r="DV177" i="1"/>
  <c r="DX177" i="1"/>
  <c r="DY177" i="1"/>
  <c r="ED177" i="1"/>
  <c r="EE177" i="1"/>
  <c r="EF177" i="1"/>
  <c r="EG177" i="1"/>
  <c r="EH177" i="1"/>
  <c r="EI177" i="1"/>
  <c r="EJ177" i="1"/>
  <c r="EK177" i="1"/>
  <c r="FO177" i="1"/>
  <c r="FP177" i="1"/>
  <c r="FQ177" i="1"/>
  <c r="FR177" i="1"/>
  <c r="FS177" i="1"/>
  <c r="FT177" i="1"/>
  <c r="FU177" i="1"/>
  <c r="FV177" i="1"/>
  <c r="FW177" i="1"/>
  <c r="FX177" i="1"/>
  <c r="FY177" i="1"/>
  <c r="FZ177" i="1"/>
  <c r="GA177" i="1"/>
  <c r="GB177" i="1"/>
  <c r="GC177" i="1"/>
  <c r="GD177" i="1"/>
  <c r="GE177" i="1"/>
  <c r="GF177" i="1"/>
  <c r="GG177" i="1"/>
  <c r="GH177" i="1"/>
  <c r="GI177" i="1"/>
  <c r="GJ177" i="1"/>
  <c r="GK177" i="1"/>
  <c r="GL177" i="1"/>
  <c r="GM177" i="1"/>
  <c r="GN177" i="1"/>
  <c r="GO177" i="1"/>
  <c r="GP177" i="1"/>
  <c r="GQ177" i="1"/>
  <c r="GR177" i="1"/>
  <c r="GS177" i="1"/>
  <c r="GT177" i="1"/>
  <c r="GU177" i="1"/>
  <c r="GV177" i="1"/>
  <c r="GW177" i="1"/>
  <c r="GX177" i="1"/>
  <c r="GY177" i="1"/>
  <c r="GZ177" i="1"/>
  <c r="HA177" i="1"/>
  <c r="HB177" i="1"/>
  <c r="HC177" i="1"/>
  <c r="HD177" i="1"/>
  <c r="HE177" i="1"/>
  <c r="HF177" i="1"/>
  <c r="HG177" i="1"/>
  <c r="HH177" i="1"/>
  <c r="HI177" i="1"/>
  <c r="HJ177" i="1"/>
  <c r="HK177" i="1"/>
  <c r="HL177" i="1"/>
  <c r="HM177" i="1"/>
  <c r="HN177" i="1"/>
  <c r="HO177" i="1"/>
  <c r="HP177" i="1"/>
  <c r="HQ177" i="1"/>
  <c r="HR177" i="1"/>
  <c r="HS177" i="1"/>
  <c r="HT177" i="1"/>
  <c r="HU177" i="1"/>
  <c r="HV177" i="1"/>
  <c r="HW177" i="1"/>
  <c r="HX177" i="1"/>
  <c r="HY177" i="1"/>
  <c r="HZ177" i="1"/>
  <c r="IA177" i="1"/>
  <c r="IB177" i="1"/>
  <c r="IC177" i="1"/>
  <c r="ID177" i="1"/>
  <c r="IE177" i="1"/>
  <c r="IF177" i="1"/>
  <c r="IG177" i="1"/>
  <c r="IH177" i="1"/>
  <c r="H178" i="1"/>
  <c r="I178" i="1"/>
  <c r="L178" i="1"/>
  <c r="O178" i="1"/>
  <c r="R178" i="1"/>
  <c r="S178" i="1"/>
  <c r="T178" i="1"/>
  <c r="U178" i="1"/>
  <c r="W178" i="1"/>
  <c r="X178" i="1"/>
  <c r="Y178" i="1"/>
  <c r="Z178" i="1"/>
  <c r="AA178" i="1"/>
  <c r="AB178" i="1"/>
  <c r="AP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D178" i="1"/>
  <c r="CE178" i="1"/>
  <c r="CF178" i="1"/>
  <c r="CG178" i="1"/>
  <c r="CH178" i="1"/>
  <c r="CI178" i="1"/>
  <c r="CJ178" i="1"/>
  <c r="CK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DC178" i="1"/>
  <c r="DE178" i="1"/>
  <c r="DH178" i="1"/>
  <c r="DK178" i="1"/>
  <c r="DL178" i="1"/>
  <c r="DM178" i="1"/>
  <c r="DN178" i="1"/>
  <c r="DP178" i="1"/>
  <c r="DS178" i="1"/>
  <c r="DV178" i="1"/>
  <c r="DX178" i="1"/>
  <c r="DY178" i="1"/>
  <c r="ED178" i="1"/>
  <c r="EE178" i="1"/>
  <c r="EF178" i="1"/>
  <c r="EG178" i="1"/>
  <c r="EH178" i="1"/>
  <c r="EI178" i="1"/>
  <c r="EJ178" i="1"/>
  <c r="EK178" i="1"/>
  <c r="FO178" i="1"/>
  <c r="FP178" i="1"/>
  <c r="FQ178" i="1"/>
  <c r="FR178" i="1"/>
  <c r="FS178" i="1"/>
  <c r="FT178" i="1"/>
  <c r="FU178" i="1"/>
  <c r="FV178" i="1"/>
  <c r="FW178" i="1"/>
  <c r="FX178" i="1"/>
  <c r="FY178" i="1"/>
  <c r="FZ178" i="1"/>
  <c r="GA178" i="1"/>
  <c r="GB178" i="1"/>
  <c r="GC178" i="1"/>
  <c r="GD178" i="1"/>
  <c r="GE178" i="1"/>
  <c r="GF178" i="1"/>
  <c r="GG178" i="1"/>
  <c r="GH178" i="1"/>
  <c r="GI178" i="1"/>
  <c r="GJ178" i="1"/>
  <c r="GK178" i="1"/>
  <c r="GL178" i="1"/>
  <c r="GM178" i="1"/>
  <c r="GN178" i="1"/>
  <c r="GO178" i="1"/>
  <c r="GP178" i="1"/>
  <c r="GQ178" i="1"/>
  <c r="GR178" i="1"/>
  <c r="GS178" i="1"/>
  <c r="GT178" i="1"/>
  <c r="GU178" i="1"/>
  <c r="GV178" i="1"/>
  <c r="GW178" i="1"/>
  <c r="GX178" i="1"/>
  <c r="GY178" i="1"/>
  <c r="GZ178" i="1"/>
  <c r="HA178" i="1"/>
  <c r="HB178" i="1"/>
  <c r="HC178" i="1"/>
  <c r="HD178" i="1"/>
  <c r="HE178" i="1"/>
  <c r="HF178" i="1"/>
  <c r="HG178" i="1"/>
  <c r="HH178" i="1"/>
  <c r="HI178" i="1"/>
  <c r="HJ178" i="1"/>
  <c r="HK178" i="1"/>
  <c r="HL178" i="1"/>
  <c r="HM178" i="1"/>
  <c r="HN178" i="1"/>
  <c r="HO178" i="1"/>
  <c r="HP178" i="1"/>
  <c r="HQ178" i="1"/>
  <c r="HR178" i="1"/>
  <c r="HS178" i="1"/>
  <c r="HT178" i="1"/>
  <c r="HU178" i="1"/>
  <c r="HV178" i="1"/>
  <c r="HW178" i="1"/>
  <c r="HX178" i="1"/>
  <c r="HY178" i="1"/>
  <c r="HZ178" i="1"/>
  <c r="IA178" i="1"/>
  <c r="IB178" i="1"/>
  <c r="IC178" i="1"/>
  <c r="ID178" i="1"/>
  <c r="IE178" i="1"/>
  <c r="IF178" i="1"/>
  <c r="IG178" i="1"/>
  <c r="IH178" i="1"/>
  <c r="H179" i="1"/>
  <c r="I179" i="1"/>
  <c r="L179" i="1"/>
  <c r="O179" i="1"/>
  <c r="R179" i="1"/>
  <c r="S179" i="1"/>
  <c r="T179" i="1"/>
  <c r="U179" i="1"/>
  <c r="W179" i="1"/>
  <c r="X179" i="1"/>
  <c r="Y179" i="1"/>
  <c r="Z179" i="1"/>
  <c r="AA179" i="1"/>
  <c r="AB179" i="1"/>
  <c r="AP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D179" i="1"/>
  <c r="CE179" i="1"/>
  <c r="CF179" i="1"/>
  <c r="CG179" i="1"/>
  <c r="CH179" i="1"/>
  <c r="CI179" i="1"/>
  <c r="CJ179" i="1"/>
  <c r="CK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DC179" i="1"/>
  <c r="DE179" i="1"/>
  <c r="DH179" i="1"/>
  <c r="DK179" i="1"/>
  <c r="DL179" i="1"/>
  <c r="DM179" i="1"/>
  <c r="DN179" i="1"/>
  <c r="DP179" i="1"/>
  <c r="DS179" i="1"/>
  <c r="DV179" i="1"/>
  <c r="DX179" i="1"/>
  <c r="DY179" i="1"/>
  <c r="ED179" i="1"/>
  <c r="EE179" i="1"/>
  <c r="EF179" i="1"/>
  <c r="EG179" i="1"/>
  <c r="EH179" i="1"/>
  <c r="EI179" i="1"/>
  <c r="EJ179" i="1"/>
  <c r="EK179" i="1"/>
  <c r="FO179" i="1"/>
  <c r="FP179" i="1"/>
  <c r="FQ179" i="1"/>
  <c r="FR179" i="1"/>
  <c r="FS179" i="1"/>
  <c r="FT179" i="1"/>
  <c r="FU179" i="1"/>
  <c r="FV179" i="1"/>
  <c r="FW179" i="1"/>
  <c r="FX179" i="1"/>
  <c r="FY179" i="1"/>
  <c r="FZ179" i="1"/>
  <c r="GA179" i="1"/>
  <c r="GB179" i="1"/>
  <c r="GC179" i="1"/>
  <c r="GD179" i="1"/>
  <c r="GE179" i="1"/>
  <c r="GF179" i="1"/>
  <c r="GG179" i="1"/>
  <c r="GH179" i="1"/>
  <c r="GI179" i="1"/>
  <c r="GJ179" i="1"/>
  <c r="GK179" i="1"/>
  <c r="GL179" i="1"/>
  <c r="GM179" i="1"/>
  <c r="GN179" i="1"/>
  <c r="GO179" i="1"/>
  <c r="GP179" i="1"/>
  <c r="GQ179" i="1"/>
  <c r="GR179" i="1"/>
  <c r="GS179" i="1"/>
  <c r="GT179" i="1"/>
  <c r="GU179" i="1"/>
  <c r="GV179" i="1"/>
  <c r="GW179" i="1"/>
  <c r="GX179" i="1"/>
  <c r="GY179" i="1"/>
  <c r="GZ179" i="1"/>
  <c r="HA179" i="1"/>
  <c r="HB179" i="1"/>
  <c r="HC179" i="1"/>
  <c r="HD179" i="1"/>
  <c r="HE179" i="1"/>
  <c r="HF179" i="1"/>
  <c r="HG179" i="1"/>
  <c r="HH179" i="1"/>
  <c r="HI179" i="1"/>
  <c r="HJ179" i="1"/>
  <c r="HK179" i="1"/>
  <c r="HL179" i="1"/>
  <c r="HM179" i="1"/>
  <c r="HN179" i="1"/>
  <c r="HO179" i="1"/>
  <c r="HP179" i="1"/>
  <c r="HQ179" i="1"/>
  <c r="HR179" i="1"/>
  <c r="HS179" i="1"/>
  <c r="HT179" i="1"/>
  <c r="HU179" i="1"/>
  <c r="HV179" i="1"/>
  <c r="HW179" i="1"/>
  <c r="HX179" i="1"/>
  <c r="HY179" i="1"/>
  <c r="HZ179" i="1"/>
  <c r="IA179" i="1"/>
  <c r="IB179" i="1"/>
  <c r="IC179" i="1"/>
  <c r="ID179" i="1"/>
  <c r="IE179" i="1"/>
  <c r="IF179" i="1"/>
  <c r="IG179" i="1"/>
  <c r="IH179" i="1"/>
  <c r="H180" i="1"/>
  <c r="I180" i="1"/>
  <c r="L180" i="1"/>
  <c r="O180" i="1"/>
  <c r="R180" i="1"/>
  <c r="S180" i="1"/>
  <c r="T180" i="1"/>
  <c r="U180" i="1"/>
  <c r="W180" i="1"/>
  <c r="X180" i="1"/>
  <c r="Y180" i="1"/>
  <c r="Z180" i="1"/>
  <c r="AA180" i="1"/>
  <c r="AB180" i="1"/>
  <c r="AP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D180" i="1"/>
  <c r="CE180" i="1"/>
  <c r="CF180" i="1"/>
  <c r="CG180" i="1"/>
  <c r="CH180" i="1"/>
  <c r="CI180" i="1"/>
  <c r="CJ180" i="1"/>
  <c r="CK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DC180" i="1"/>
  <c r="DE180" i="1"/>
  <c r="DH180" i="1"/>
  <c r="DK180" i="1"/>
  <c r="DL180" i="1"/>
  <c r="DM180" i="1"/>
  <c r="DN180" i="1"/>
  <c r="DP180" i="1"/>
  <c r="DS180" i="1"/>
  <c r="DV180" i="1"/>
  <c r="DX180" i="1"/>
  <c r="DY180" i="1"/>
  <c r="ED180" i="1"/>
  <c r="EE180" i="1"/>
  <c r="EF180" i="1"/>
  <c r="EG180" i="1"/>
  <c r="EH180" i="1"/>
  <c r="EI180" i="1"/>
  <c r="EJ180" i="1"/>
  <c r="EK180" i="1"/>
  <c r="FO180" i="1"/>
  <c r="FP180" i="1"/>
  <c r="FQ180" i="1"/>
  <c r="FR180" i="1"/>
  <c r="FS180" i="1"/>
  <c r="FT180" i="1"/>
  <c r="FU180" i="1"/>
  <c r="FV180" i="1"/>
  <c r="FW180" i="1"/>
  <c r="FX180" i="1"/>
  <c r="FY180" i="1"/>
  <c r="FZ180" i="1"/>
  <c r="GA180" i="1"/>
  <c r="GB180" i="1"/>
  <c r="GC180" i="1"/>
  <c r="GD180" i="1"/>
  <c r="GE180" i="1"/>
  <c r="GF180" i="1"/>
  <c r="GG180" i="1"/>
  <c r="GH180" i="1"/>
  <c r="GI180" i="1"/>
  <c r="GJ180" i="1"/>
  <c r="GK180" i="1"/>
  <c r="GL180" i="1"/>
  <c r="GM180" i="1"/>
  <c r="GN180" i="1"/>
  <c r="GO180" i="1"/>
  <c r="GP180" i="1"/>
  <c r="GQ180" i="1"/>
  <c r="GR180" i="1"/>
  <c r="GS180" i="1"/>
  <c r="GT180" i="1"/>
  <c r="GU180" i="1"/>
  <c r="GV180" i="1"/>
  <c r="GW180" i="1"/>
  <c r="GX180" i="1"/>
  <c r="GY180" i="1"/>
  <c r="GZ180" i="1"/>
  <c r="HA180" i="1"/>
  <c r="HB180" i="1"/>
  <c r="HC180" i="1"/>
  <c r="HD180" i="1"/>
  <c r="HE180" i="1"/>
  <c r="HF180" i="1"/>
  <c r="HG180" i="1"/>
  <c r="HH180" i="1"/>
  <c r="HI180" i="1"/>
  <c r="HJ180" i="1"/>
  <c r="HK180" i="1"/>
  <c r="HL180" i="1"/>
  <c r="HM180" i="1"/>
  <c r="HN180" i="1"/>
  <c r="HO180" i="1"/>
  <c r="HP180" i="1"/>
  <c r="HQ180" i="1"/>
  <c r="HR180" i="1"/>
  <c r="HS180" i="1"/>
  <c r="HT180" i="1"/>
  <c r="HU180" i="1"/>
  <c r="HV180" i="1"/>
  <c r="HW180" i="1"/>
  <c r="HX180" i="1"/>
  <c r="HY180" i="1"/>
  <c r="HZ180" i="1"/>
  <c r="IA180" i="1"/>
  <c r="IB180" i="1"/>
  <c r="IC180" i="1"/>
  <c r="ID180" i="1"/>
  <c r="IE180" i="1"/>
  <c r="IF180" i="1"/>
  <c r="IG180" i="1"/>
  <c r="IH180" i="1"/>
  <c r="H181" i="1"/>
  <c r="I181" i="1"/>
  <c r="L181" i="1"/>
  <c r="O181" i="1"/>
  <c r="R181" i="1"/>
  <c r="S181" i="1"/>
  <c r="T181" i="1"/>
  <c r="U181" i="1"/>
  <c r="W181" i="1"/>
  <c r="X181" i="1"/>
  <c r="Y181" i="1"/>
  <c r="Z181" i="1"/>
  <c r="AA181" i="1"/>
  <c r="AB181" i="1"/>
  <c r="AP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D181" i="1"/>
  <c r="CE181" i="1"/>
  <c r="CF181" i="1"/>
  <c r="CG181" i="1"/>
  <c r="CH181" i="1"/>
  <c r="CI181" i="1"/>
  <c r="CJ181" i="1"/>
  <c r="CK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E181" i="1"/>
  <c r="DH181" i="1"/>
  <c r="DK181" i="1"/>
  <c r="DL181" i="1"/>
  <c r="DM181" i="1"/>
  <c r="DN181" i="1"/>
  <c r="DP181" i="1"/>
  <c r="DS181" i="1"/>
  <c r="DV181" i="1"/>
  <c r="DX181" i="1"/>
  <c r="DY181" i="1"/>
  <c r="ED181" i="1"/>
  <c r="EE181" i="1"/>
  <c r="EF181" i="1"/>
  <c r="EG181" i="1"/>
  <c r="EH181" i="1"/>
  <c r="EI181" i="1"/>
  <c r="EJ181" i="1"/>
  <c r="EK181" i="1"/>
  <c r="FO181" i="1"/>
  <c r="FP181" i="1"/>
  <c r="FQ181" i="1"/>
  <c r="FR181" i="1"/>
  <c r="FS181" i="1"/>
  <c r="FT181" i="1"/>
  <c r="FU181" i="1"/>
  <c r="FV181" i="1"/>
  <c r="FW181" i="1"/>
  <c r="FX181" i="1"/>
  <c r="FY181" i="1"/>
  <c r="FZ181" i="1"/>
  <c r="GA181" i="1"/>
  <c r="GB181" i="1"/>
  <c r="GC181" i="1"/>
  <c r="GD181" i="1"/>
  <c r="GE181" i="1"/>
  <c r="GF181" i="1"/>
  <c r="GG181" i="1"/>
  <c r="GH181" i="1"/>
  <c r="GI181" i="1"/>
  <c r="GJ181" i="1"/>
  <c r="GK181" i="1"/>
  <c r="GL181" i="1"/>
  <c r="GM181" i="1"/>
  <c r="GN181" i="1"/>
  <c r="GO181" i="1"/>
  <c r="GP181" i="1"/>
  <c r="GQ181" i="1"/>
  <c r="GR181" i="1"/>
  <c r="GS181" i="1"/>
  <c r="GT181" i="1"/>
  <c r="GU181" i="1"/>
  <c r="GV181" i="1"/>
  <c r="GW181" i="1"/>
  <c r="GX181" i="1"/>
  <c r="GY181" i="1"/>
  <c r="GZ181" i="1"/>
  <c r="HA181" i="1"/>
  <c r="HB181" i="1"/>
  <c r="HC181" i="1"/>
  <c r="HD181" i="1"/>
  <c r="HE181" i="1"/>
  <c r="HF181" i="1"/>
  <c r="HG181" i="1"/>
  <c r="HH181" i="1"/>
  <c r="HI181" i="1"/>
  <c r="HJ181" i="1"/>
  <c r="HK181" i="1"/>
  <c r="HL181" i="1"/>
  <c r="HM181" i="1"/>
  <c r="HN181" i="1"/>
  <c r="HO181" i="1"/>
  <c r="HP181" i="1"/>
  <c r="HQ181" i="1"/>
  <c r="HR181" i="1"/>
  <c r="HS181" i="1"/>
  <c r="HT181" i="1"/>
  <c r="HU181" i="1"/>
  <c r="HV181" i="1"/>
  <c r="HW181" i="1"/>
  <c r="HX181" i="1"/>
  <c r="HY181" i="1"/>
  <c r="HZ181" i="1"/>
  <c r="IA181" i="1"/>
  <c r="IB181" i="1"/>
  <c r="IC181" i="1"/>
  <c r="ID181" i="1"/>
  <c r="IE181" i="1"/>
  <c r="IF181" i="1"/>
  <c r="IG181" i="1"/>
  <c r="IH181" i="1"/>
  <c r="H182" i="1"/>
  <c r="I182" i="1"/>
  <c r="L182" i="1"/>
  <c r="O182" i="1"/>
  <c r="R182" i="1"/>
  <c r="S182" i="1"/>
  <c r="T182" i="1"/>
  <c r="U182" i="1"/>
  <c r="W182" i="1"/>
  <c r="X182" i="1"/>
  <c r="Y182" i="1"/>
  <c r="Z182" i="1"/>
  <c r="AA182" i="1"/>
  <c r="AB182" i="1"/>
  <c r="AP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D182" i="1"/>
  <c r="CE182" i="1"/>
  <c r="CF182" i="1"/>
  <c r="CG182" i="1"/>
  <c r="CH182" i="1"/>
  <c r="CI182" i="1"/>
  <c r="CJ182" i="1"/>
  <c r="CK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DC182" i="1"/>
  <c r="DE182" i="1"/>
  <c r="DH182" i="1"/>
  <c r="DK182" i="1"/>
  <c r="DL182" i="1"/>
  <c r="DM182" i="1"/>
  <c r="DN182" i="1"/>
  <c r="DP182" i="1"/>
  <c r="DS182" i="1"/>
  <c r="DV182" i="1"/>
  <c r="DX182" i="1"/>
  <c r="DY182" i="1"/>
  <c r="ED182" i="1"/>
  <c r="EE182" i="1"/>
  <c r="EF182" i="1"/>
  <c r="EG182" i="1"/>
  <c r="EH182" i="1"/>
  <c r="EI182" i="1"/>
  <c r="EJ182" i="1"/>
  <c r="EK182" i="1"/>
  <c r="FO182" i="1"/>
  <c r="FP182" i="1"/>
  <c r="FQ182" i="1"/>
  <c r="FR182" i="1"/>
  <c r="FS182" i="1"/>
  <c r="FT182" i="1"/>
  <c r="FU182" i="1"/>
  <c r="FV182" i="1"/>
  <c r="FW182" i="1"/>
  <c r="FX182" i="1"/>
  <c r="FY182" i="1"/>
  <c r="FZ182" i="1"/>
  <c r="GA182" i="1"/>
  <c r="GB182" i="1"/>
  <c r="GC182" i="1"/>
  <c r="GD182" i="1"/>
  <c r="GE182" i="1"/>
  <c r="GF182" i="1"/>
  <c r="GG182" i="1"/>
  <c r="GH182" i="1"/>
  <c r="GI182" i="1"/>
  <c r="GJ182" i="1"/>
  <c r="GK182" i="1"/>
  <c r="GL182" i="1"/>
  <c r="GM182" i="1"/>
  <c r="GN182" i="1"/>
  <c r="GO182" i="1"/>
  <c r="GP182" i="1"/>
  <c r="GQ182" i="1"/>
  <c r="GR182" i="1"/>
  <c r="GS182" i="1"/>
  <c r="GT182" i="1"/>
  <c r="GU182" i="1"/>
  <c r="GV182" i="1"/>
  <c r="GW182" i="1"/>
  <c r="GX182" i="1"/>
  <c r="GY182" i="1"/>
  <c r="GZ182" i="1"/>
  <c r="HA182" i="1"/>
  <c r="HB182" i="1"/>
  <c r="HC182" i="1"/>
  <c r="HD182" i="1"/>
  <c r="HE182" i="1"/>
  <c r="HF182" i="1"/>
  <c r="HG182" i="1"/>
  <c r="HH182" i="1"/>
  <c r="HI182" i="1"/>
  <c r="HJ182" i="1"/>
  <c r="HK182" i="1"/>
  <c r="HL182" i="1"/>
  <c r="HM182" i="1"/>
  <c r="HN182" i="1"/>
  <c r="HO182" i="1"/>
  <c r="HP182" i="1"/>
  <c r="HQ182" i="1"/>
  <c r="HR182" i="1"/>
  <c r="HS182" i="1"/>
  <c r="HT182" i="1"/>
  <c r="HU182" i="1"/>
  <c r="HV182" i="1"/>
  <c r="HW182" i="1"/>
  <c r="HX182" i="1"/>
  <c r="HY182" i="1"/>
  <c r="HZ182" i="1"/>
  <c r="IA182" i="1"/>
  <c r="IB182" i="1"/>
  <c r="IC182" i="1"/>
  <c r="ID182" i="1"/>
  <c r="IE182" i="1"/>
  <c r="IF182" i="1"/>
  <c r="IG182" i="1"/>
  <c r="IH182" i="1"/>
  <c r="H183" i="1"/>
  <c r="I183" i="1"/>
  <c r="L183" i="1"/>
  <c r="O183" i="1"/>
  <c r="R183" i="1"/>
  <c r="S183" i="1"/>
  <c r="T183" i="1"/>
  <c r="U183" i="1"/>
  <c r="W183" i="1"/>
  <c r="X183" i="1"/>
  <c r="Y183" i="1"/>
  <c r="Z183" i="1"/>
  <c r="AA183" i="1"/>
  <c r="AB183" i="1"/>
  <c r="AP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D183" i="1"/>
  <c r="CE183" i="1"/>
  <c r="CF183" i="1"/>
  <c r="CG183" i="1"/>
  <c r="CH183" i="1"/>
  <c r="CI183" i="1"/>
  <c r="CJ183" i="1"/>
  <c r="CK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Y183" i="1"/>
  <c r="CZ183" i="1"/>
  <c r="DA183" i="1"/>
  <c r="DB183" i="1"/>
  <c r="DC183" i="1"/>
  <c r="DE183" i="1"/>
  <c r="DH183" i="1"/>
  <c r="DK183" i="1"/>
  <c r="DL183" i="1"/>
  <c r="DM183" i="1"/>
  <c r="DN183" i="1"/>
  <c r="DP183" i="1"/>
  <c r="DS183" i="1"/>
  <c r="DV183" i="1"/>
  <c r="DX183" i="1"/>
  <c r="DY183" i="1"/>
  <c r="ED183" i="1"/>
  <c r="EE183" i="1"/>
  <c r="EF183" i="1"/>
  <c r="EG183" i="1"/>
  <c r="EH183" i="1"/>
  <c r="EI183" i="1"/>
  <c r="EJ183" i="1"/>
  <c r="EK183" i="1"/>
  <c r="FO183" i="1"/>
  <c r="FP183" i="1"/>
  <c r="FQ183" i="1"/>
  <c r="FR183" i="1"/>
  <c r="FS183" i="1"/>
  <c r="FT183" i="1"/>
  <c r="FU183" i="1"/>
  <c r="FV183" i="1"/>
  <c r="FW183" i="1"/>
  <c r="FX183" i="1"/>
  <c r="FY183" i="1"/>
  <c r="FZ183" i="1"/>
  <c r="GA183" i="1"/>
  <c r="GB183" i="1"/>
  <c r="GC183" i="1"/>
  <c r="GD183" i="1"/>
  <c r="GE183" i="1"/>
  <c r="GF183" i="1"/>
  <c r="GG183" i="1"/>
  <c r="GH183" i="1"/>
  <c r="GI183" i="1"/>
  <c r="GJ183" i="1"/>
  <c r="GK183" i="1"/>
  <c r="GL183" i="1"/>
  <c r="GM183" i="1"/>
  <c r="GN183" i="1"/>
  <c r="GO183" i="1"/>
  <c r="GP183" i="1"/>
  <c r="GQ183" i="1"/>
  <c r="GR183" i="1"/>
  <c r="GS183" i="1"/>
  <c r="GT183" i="1"/>
  <c r="GU183" i="1"/>
  <c r="GV183" i="1"/>
  <c r="GW183" i="1"/>
  <c r="GX183" i="1"/>
  <c r="GY183" i="1"/>
  <c r="GZ183" i="1"/>
  <c r="HA183" i="1"/>
  <c r="HB183" i="1"/>
  <c r="HC183" i="1"/>
  <c r="HD183" i="1"/>
  <c r="HE183" i="1"/>
  <c r="HF183" i="1"/>
  <c r="HG183" i="1"/>
  <c r="HH183" i="1"/>
  <c r="HI183" i="1"/>
  <c r="HJ183" i="1"/>
  <c r="HK183" i="1"/>
  <c r="HL183" i="1"/>
  <c r="HM183" i="1"/>
  <c r="HN183" i="1"/>
  <c r="HO183" i="1"/>
  <c r="HP183" i="1"/>
  <c r="HQ183" i="1"/>
  <c r="HR183" i="1"/>
  <c r="HS183" i="1"/>
  <c r="HT183" i="1"/>
  <c r="HU183" i="1"/>
  <c r="HV183" i="1"/>
  <c r="HW183" i="1"/>
  <c r="HX183" i="1"/>
  <c r="HY183" i="1"/>
  <c r="HZ183" i="1"/>
  <c r="IA183" i="1"/>
  <c r="IB183" i="1"/>
  <c r="IC183" i="1"/>
  <c r="ID183" i="1"/>
  <c r="IE183" i="1"/>
  <c r="IF183" i="1"/>
  <c r="IG183" i="1"/>
  <c r="IH183" i="1"/>
  <c r="H184" i="1"/>
  <c r="I184" i="1"/>
  <c r="L184" i="1"/>
  <c r="O184" i="1"/>
  <c r="R184" i="1"/>
  <c r="S184" i="1"/>
  <c r="T184" i="1"/>
  <c r="U184" i="1"/>
  <c r="W184" i="1"/>
  <c r="X184" i="1"/>
  <c r="Y184" i="1"/>
  <c r="Z184" i="1"/>
  <c r="AA184" i="1"/>
  <c r="AB184" i="1"/>
  <c r="AP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D184" i="1"/>
  <c r="CE184" i="1"/>
  <c r="CF184" i="1"/>
  <c r="CG184" i="1"/>
  <c r="CH184" i="1"/>
  <c r="CI184" i="1"/>
  <c r="CJ184" i="1"/>
  <c r="CK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Y184" i="1"/>
  <c r="CZ184" i="1"/>
  <c r="DA184" i="1"/>
  <c r="DB184" i="1"/>
  <c r="DC184" i="1"/>
  <c r="DE184" i="1"/>
  <c r="DH184" i="1"/>
  <c r="DK184" i="1"/>
  <c r="DL184" i="1"/>
  <c r="DM184" i="1"/>
  <c r="DN184" i="1"/>
  <c r="DP184" i="1"/>
  <c r="DS184" i="1"/>
  <c r="DV184" i="1"/>
  <c r="DX184" i="1"/>
  <c r="DY184" i="1"/>
  <c r="ED184" i="1"/>
  <c r="EE184" i="1"/>
  <c r="EF184" i="1"/>
  <c r="EG184" i="1"/>
  <c r="EH184" i="1"/>
  <c r="EI184" i="1"/>
  <c r="EJ184" i="1"/>
  <c r="EK184" i="1"/>
  <c r="FO184" i="1"/>
  <c r="FP184" i="1"/>
  <c r="FQ184" i="1"/>
  <c r="FR184" i="1"/>
  <c r="FS184" i="1"/>
  <c r="FT184" i="1"/>
  <c r="FU184" i="1"/>
  <c r="FV184" i="1"/>
  <c r="FW184" i="1"/>
  <c r="FX184" i="1"/>
  <c r="FY184" i="1"/>
  <c r="FZ184" i="1"/>
  <c r="GA184" i="1"/>
  <c r="GB184" i="1"/>
  <c r="GC184" i="1"/>
  <c r="GD184" i="1"/>
  <c r="GE184" i="1"/>
  <c r="GF184" i="1"/>
  <c r="GG184" i="1"/>
  <c r="GH184" i="1"/>
  <c r="GI184" i="1"/>
  <c r="GJ184" i="1"/>
  <c r="GK184" i="1"/>
  <c r="GL184" i="1"/>
  <c r="GM184" i="1"/>
  <c r="GN184" i="1"/>
  <c r="GO184" i="1"/>
  <c r="GP184" i="1"/>
  <c r="GQ184" i="1"/>
  <c r="GR184" i="1"/>
  <c r="GS184" i="1"/>
  <c r="GT184" i="1"/>
  <c r="GU184" i="1"/>
  <c r="GV184" i="1"/>
  <c r="GW184" i="1"/>
  <c r="GX184" i="1"/>
  <c r="GY184" i="1"/>
  <c r="GZ184" i="1"/>
  <c r="HA184" i="1"/>
  <c r="HB184" i="1"/>
  <c r="HC184" i="1"/>
  <c r="HD184" i="1"/>
  <c r="HE184" i="1"/>
  <c r="HF184" i="1"/>
  <c r="HG184" i="1"/>
  <c r="HH184" i="1"/>
  <c r="HI184" i="1"/>
  <c r="HJ184" i="1"/>
  <c r="HK184" i="1"/>
  <c r="HL184" i="1"/>
  <c r="HM184" i="1"/>
  <c r="HN184" i="1"/>
  <c r="HO184" i="1"/>
  <c r="HP184" i="1"/>
  <c r="HQ184" i="1"/>
  <c r="HR184" i="1"/>
  <c r="HS184" i="1"/>
  <c r="HT184" i="1"/>
  <c r="HU184" i="1"/>
  <c r="HV184" i="1"/>
  <c r="HW184" i="1"/>
  <c r="HX184" i="1"/>
  <c r="HY184" i="1"/>
  <c r="HZ184" i="1"/>
  <c r="IA184" i="1"/>
  <c r="IB184" i="1"/>
  <c r="IC184" i="1"/>
  <c r="ID184" i="1"/>
  <c r="IE184" i="1"/>
  <c r="IF184" i="1"/>
  <c r="IG184" i="1"/>
  <c r="IH184" i="1"/>
  <c r="H185" i="1"/>
  <c r="I185" i="1"/>
  <c r="L185" i="1"/>
  <c r="O185" i="1"/>
  <c r="R185" i="1"/>
  <c r="S185" i="1"/>
  <c r="T185" i="1"/>
  <c r="U185" i="1"/>
  <c r="W185" i="1"/>
  <c r="X185" i="1"/>
  <c r="Y185" i="1"/>
  <c r="Z185" i="1"/>
  <c r="AA185" i="1"/>
  <c r="AB185" i="1"/>
  <c r="AP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D185" i="1"/>
  <c r="CE185" i="1"/>
  <c r="CF185" i="1"/>
  <c r="CG185" i="1"/>
  <c r="CH185" i="1"/>
  <c r="CI185" i="1"/>
  <c r="CJ185" i="1"/>
  <c r="CK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E185" i="1"/>
  <c r="DH185" i="1"/>
  <c r="DK185" i="1"/>
  <c r="DL185" i="1"/>
  <c r="DM185" i="1"/>
  <c r="DN185" i="1"/>
  <c r="DP185" i="1"/>
  <c r="DS185" i="1"/>
  <c r="DV185" i="1"/>
  <c r="DX185" i="1"/>
  <c r="DY185" i="1"/>
  <c r="ED185" i="1"/>
  <c r="EE185" i="1"/>
  <c r="EF185" i="1"/>
  <c r="EG185" i="1"/>
  <c r="EH185" i="1"/>
  <c r="EI185" i="1"/>
  <c r="EJ185" i="1"/>
  <c r="EK185" i="1"/>
  <c r="FO185" i="1"/>
  <c r="FP185" i="1"/>
  <c r="FQ185" i="1"/>
  <c r="FR185" i="1"/>
  <c r="FS185" i="1"/>
  <c r="FT185" i="1"/>
  <c r="FU185" i="1"/>
  <c r="FV185" i="1"/>
  <c r="FW185" i="1"/>
  <c r="FX185" i="1"/>
  <c r="FY185" i="1"/>
  <c r="FZ185" i="1"/>
  <c r="GA185" i="1"/>
  <c r="GB185" i="1"/>
  <c r="GC185" i="1"/>
  <c r="GD185" i="1"/>
  <c r="GE185" i="1"/>
  <c r="GF185" i="1"/>
  <c r="GG185" i="1"/>
  <c r="GH185" i="1"/>
  <c r="GI185" i="1"/>
  <c r="GJ185" i="1"/>
  <c r="GK185" i="1"/>
  <c r="GL185" i="1"/>
  <c r="GM185" i="1"/>
  <c r="GN185" i="1"/>
  <c r="GO185" i="1"/>
  <c r="GP185" i="1"/>
  <c r="GQ185" i="1"/>
  <c r="GR185" i="1"/>
  <c r="GS185" i="1"/>
  <c r="GT185" i="1"/>
  <c r="GU185" i="1"/>
  <c r="GV185" i="1"/>
  <c r="GW185" i="1"/>
  <c r="GX185" i="1"/>
  <c r="GY185" i="1"/>
  <c r="GZ185" i="1"/>
  <c r="HA185" i="1"/>
  <c r="HB185" i="1"/>
  <c r="HC185" i="1"/>
  <c r="HD185" i="1"/>
  <c r="HE185" i="1"/>
  <c r="HF185" i="1"/>
  <c r="HG185" i="1"/>
  <c r="HH185" i="1"/>
  <c r="HI185" i="1"/>
  <c r="HJ185" i="1"/>
  <c r="HK185" i="1"/>
  <c r="HL185" i="1"/>
  <c r="HM185" i="1"/>
  <c r="HN185" i="1"/>
  <c r="HO185" i="1"/>
  <c r="HP185" i="1"/>
  <c r="HQ185" i="1"/>
  <c r="HR185" i="1"/>
  <c r="HS185" i="1"/>
  <c r="HT185" i="1"/>
  <c r="HU185" i="1"/>
  <c r="HV185" i="1"/>
  <c r="HW185" i="1"/>
  <c r="HX185" i="1"/>
  <c r="HY185" i="1"/>
  <c r="HZ185" i="1"/>
  <c r="IA185" i="1"/>
  <c r="IB185" i="1"/>
  <c r="IC185" i="1"/>
  <c r="ID185" i="1"/>
  <c r="IE185" i="1"/>
  <c r="IF185" i="1"/>
  <c r="IG185" i="1"/>
  <c r="IH185" i="1"/>
  <c r="H186" i="1"/>
  <c r="I186" i="1"/>
  <c r="L186" i="1"/>
  <c r="O186" i="1"/>
  <c r="R186" i="1"/>
  <c r="S186" i="1"/>
  <c r="T186" i="1"/>
  <c r="U186" i="1"/>
  <c r="W186" i="1"/>
  <c r="X186" i="1"/>
  <c r="Y186" i="1"/>
  <c r="Z186" i="1"/>
  <c r="AA186" i="1"/>
  <c r="AB186" i="1"/>
  <c r="AP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D186" i="1"/>
  <c r="CE186" i="1"/>
  <c r="CF186" i="1"/>
  <c r="CG186" i="1"/>
  <c r="CH186" i="1"/>
  <c r="CI186" i="1"/>
  <c r="CJ186" i="1"/>
  <c r="CK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Y186" i="1"/>
  <c r="CZ186" i="1"/>
  <c r="DA186" i="1"/>
  <c r="DB186" i="1"/>
  <c r="DC186" i="1"/>
  <c r="DE186" i="1"/>
  <c r="DH186" i="1"/>
  <c r="DK186" i="1"/>
  <c r="DL186" i="1"/>
  <c r="DM186" i="1"/>
  <c r="DN186" i="1"/>
  <c r="DP186" i="1"/>
  <c r="DS186" i="1"/>
  <c r="DV186" i="1"/>
  <c r="DX186" i="1"/>
  <c r="DY186" i="1"/>
  <c r="ED186" i="1"/>
  <c r="EE186" i="1"/>
  <c r="EF186" i="1"/>
  <c r="EG186" i="1"/>
  <c r="EH186" i="1"/>
  <c r="EI186" i="1"/>
  <c r="EJ186" i="1"/>
  <c r="EK186" i="1"/>
  <c r="FO186" i="1"/>
  <c r="FP186" i="1"/>
  <c r="FQ186" i="1"/>
  <c r="FR186" i="1"/>
  <c r="FS186" i="1"/>
  <c r="FT186" i="1"/>
  <c r="FU186" i="1"/>
  <c r="FV186" i="1"/>
  <c r="FW186" i="1"/>
  <c r="FX186" i="1"/>
  <c r="FY186" i="1"/>
  <c r="FZ186" i="1"/>
  <c r="GA186" i="1"/>
  <c r="GB186" i="1"/>
  <c r="GC186" i="1"/>
  <c r="GD186" i="1"/>
  <c r="GE186" i="1"/>
  <c r="GF186" i="1"/>
  <c r="GG186" i="1"/>
  <c r="GH186" i="1"/>
  <c r="GI186" i="1"/>
  <c r="GJ186" i="1"/>
  <c r="GK186" i="1"/>
  <c r="GL186" i="1"/>
  <c r="GM186" i="1"/>
  <c r="GN186" i="1"/>
  <c r="GO186" i="1"/>
  <c r="GP186" i="1"/>
  <c r="GQ186" i="1"/>
  <c r="GR186" i="1"/>
  <c r="GS186" i="1"/>
  <c r="GT186" i="1"/>
  <c r="GU186" i="1"/>
  <c r="GV186" i="1"/>
  <c r="GW186" i="1"/>
  <c r="GX186" i="1"/>
  <c r="GY186" i="1"/>
  <c r="GZ186" i="1"/>
  <c r="HA186" i="1"/>
  <c r="HB186" i="1"/>
  <c r="HC186" i="1"/>
  <c r="HD186" i="1"/>
  <c r="HE186" i="1"/>
  <c r="HF186" i="1"/>
  <c r="HG186" i="1"/>
  <c r="HH186" i="1"/>
  <c r="HI186" i="1"/>
  <c r="HJ186" i="1"/>
  <c r="HK186" i="1"/>
  <c r="HL186" i="1"/>
  <c r="HM186" i="1"/>
  <c r="HN186" i="1"/>
  <c r="HO186" i="1"/>
  <c r="HP186" i="1"/>
  <c r="HQ186" i="1"/>
  <c r="HR186" i="1"/>
  <c r="HS186" i="1"/>
  <c r="HT186" i="1"/>
  <c r="HU186" i="1"/>
  <c r="HV186" i="1"/>
  <c r="HW186" i="1"/>
  <c r="HX186" i="1"/>
  <c r="HY186" i="1"/>
  <c r="HZ186" i="1"/>
  <c r="IA186" i="1"/>
  <c r="IB186" i="1"/>
  <c r="IC186" i="1"/>
  <c r="ID186" i="1"/>
  <c r="IE186" i="1"/>
  <c r="IF186" i="1"/>
  <c r="IG186" i="1"/>
  <c r="IH186" i="1"/>
  <c r="H187" i="1"/>
  <c r="I187" i="1"/>
  <c r="L187" i="1"/>
  <c r="O187" i="1"/>
  <c r="R187" i="1"/>
  <c r="S187" i="1"/>
  <c r="T187" i="1"/>
  <c r="U187" i="1"/>
  <c r="W187" i="1"/>
  <c r="X187" i="1"/>
  <c r="Y187" i="1"/>
  <c r="Z187" i="1"/>
  <c r="AA187" i="1"/>
  <c r="AB187" i="1"/>
  <c r="AP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D187" i="1"/>
  <c r="CE187" i="1"/>
  <c r="CF187" i="1"/>
  <c r="CG187" i="1"/>
  <c r="CH187" i="1"/>
  <c r="CI187" i="1"/>
  <c r="CJ187" i="1"/>
  <c r="CK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Y187" i="1"/>
  <c r="CZ187" i="1"/>
  <c r="DA187" i="1"/>
  <c r="DB187" i="1"/>
  <c r="DC187" i="1"/>
  <c r="DE187" i="1"/>
  <c r="DH187" i="1"/>
  <c r="DK187" i="1"/>
  <c r="DL187" i="1"/>
  <c r="DM187" i="1"/>
  <c r="DN187" i="1"/>
  <c r="DP187" i="1"/>
  <c r="DS187" i="1"/>
  <c r="DV187" i="1"/>
  <c r="DX187" i="1"/>
  <c r="DY187" i="1"/>
  <c r="ED187" i="1"/>
  <c r="EE187" i="1"/>
  <c r="EF187" i="1"/>
  <c r="EG187" i="1"/>
  <c r="EH187" i="1"/>
  <c r="EI187" i="1"/>
  <c r="EJ187" i="1"/>
  <c r="EK187" i="1"/>
  <c r="FO187" i="1"/>
  <c r="FP187" i="1"/>
  <c r="FQ187" i="1"/>
  <c r="FR187" i="1"/>
  <c r="FS187" i="1"/>
  <c r="FT187" i="1"/>
  <c r="FU187" i="1"/>
  <c r="FV187" i="1"/>
  <c r="FW187" i="1"/>
  <c r="FX187" i="1"/>
  <c r="FY187" i="1"/>
  <c r="FZ187" i="1"/>
  <c r="GA187" i="1"/>
  <c r="GB187" i="1"/>
  <c r="GC187" i="1"/>
  <c r="GD187" i="1"/>
  <c r="GE187" i="1"/>
  <c r="GF187" i="1"/>
  <c r="GG187" i="1"/>
  <c r="GH187" i="1"/>
  <c r="GI187" i="1"/>
  <c r="GJ187" i="1"/>
  <c r="GK187" i="1"/>
  <c r="GL187" i="1"/>
  <c r="GM187" i="1"/>
  <c r="GN187" i="1"/>
  <c r="GO187" i="1"/>
  <c r="GP187" i="1"/>
  <c r="GQ187" i="1"/>
  <c r="GR187" i="1"/>
  <c r="GS187" i="1"/>
  <c r="GT187" i="1"/>
  <c r="GU187" i="1"/>
  <c r="GV187" i="1"/>
  <c r="GW187" i="1"/>
  <c r="GX187" i="1"/>
  <c r="GY187" i="1"/>
  <c r="GZ187" i="1"/>
  <c r="HA187" i="1"/>
  <c r="HB187" i="1"/>
  <c r="HC187" i="1"/>
  <c r="HD187" i="1"/>
  <c r="HE187" i="1"/>
  <c r="HF187" i="1"/>
  <c r="HG187" i="1"/>
  <c r="HH187" i="1"/>
  <c r="HI187" i="1"/>
  <c r="HJ187" i="1"/>
  <c r="HK187" i="1"/>
  <c r="HL187" i="1"/>
  <c r="HM187" i="1"/>
  <c r="HN187" i="1"/>
  <c r="HO187" i="1"/>
  <c r="HP187" i="1"/>
  <c r="HQ187" i="1"/>
  <c r="HR187" i="1"/>
  <c r="HS187" i="1"/>
  <c r="HT187" i="1"/>
  <c r="HU187" i="1"/>
  <c r="HV187" i="1"/>
  <c r="HW187" i="1"/>
  <c r="HX187" i="1"/>
  <c r="HY187" i="1"/>
  <c r="HZ187" i="1"/>
  <c r="IA187" i="1"/>
  <c r="IB187" i="1"/>
  <c r="IC187" i="1"/>
  <c r="ID187" i="1"/>
  <c r="IE187" i="1"/>
  <c r="IF187" i="1"/>
  <c r="IG187" i="1"/>
  <c r="IH187" i="1"/>
  <c r="H188" i="1"/>
  <c r="I188" i="1"/>
  <c r="L188" i="1"/>
  <c r="O188" i="1"/>
  <c r="R188" i="1"/>
  <c r="S188" i="1"/>
  <c r="T188" i="1"/>
  <c r="U188" i="1"/>
  <c r="W188" i="1"/>
  <c r="X188" i="1"/>
  <c r="Y188" i="1"/>
  <c r="Z188" i="1"/>
  <c r="AA188" i="1"/>
  <c r="AB188" i="1"/>
  <c r="AP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D188" i="1"/>
  <c r="CE188" i="1"/>
  <c r="CF188" i="1"/>
  <c r="CG188" i="1"/>
  <c r="CH188" i="1"/>
  <c r="CI188" i="1"/>
  <c r="CJ188" i="1"/>
  <c r="CK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Y188" i="1"/>
  <c r="CZ188" i="1"/>
  <c r="DA188" i="1"/>
  <c r="DB188" i="1"/>
  <c r="DC188" i="1"/>
  <c r="DE188" i="1"/>
  <c r="DH188" i="1"/>
  <c r="DK188" i="1"/>
  <c r="DL188" i="1"/>
  <c r="DM188" i="1"/>
  <c r="DN188" i="1"/>
  <c r="DP188" i="1"/>
  <c r="DS188" i="1"/>
  <c r="DV188" i="1"/>
  <c r="DX188" i="1"/>
  <c r="DY188" i="1"/>
  <c r="ED188" i="1"/>
  <c r="EE188" i="1"/>
  <c r="EF188" i="1"/>
  <c r="EG188" i="1"/>
  <c r="EH188" i="1"/>
  <c r="EI188" i="1"/>
  <c r="EJ188" i="1"/>
  <c r="EK188" i="1"/>
  <c r="FO188" i="1"/>
  <c r="FP188" i="1"/>
  <c r="FQ188" i="1"/>
  <c r="FR188" i="1"/>
  <c r="FS188" i="1"/>
  <c r="FT188" i="1"/>
  <c r="FU188" i="1"/>
  <c r="FV188" i="1"/>
  <c r="FW188" i="1"/>
  <c r="FX188" i="1"/>
  <c r="FY188" i="1"/>
  <c r="FZ188" i="1"/>
  <c r="GA188" i="1"/>
  <c r="GB188" i="1"/>
  <c r="GC188" i="1"/>
  <c r="GD188" i="1"/>
  <c r="GE188" i="1"/>
  <c r="GF188" i="1"/>
  <c r="GG188" i="1"/>
  <c r="GH188" i="1"/>
  <c r="GI188" i="1"/>
  <c r="GJ188" i="1"/>
  <c r="GK188" i="1"/>
  <c r="GL188" i="1"/>
  <c r="GM188" i="1"/>
  <c r="GN188" i="1"/>
  <c r="GO188" i="1"/>
  <c r="GP188" i="1"/>
  <c r="GQ188" i="1"/>
  <c r="GR188" i="1"/>
  <c r="GS188" i="1"/>
  <c r="GT188" i="1"/>
  <c r="GU188" i="1"/>
  <c r="GV188" i="1"/>
  <c r="GW188" i="1"/>
  <c r="GX188" i="1"/>
  <c r="GY188" i="1"/>
  <c r="GZ188" i="1"/>
  <c r="HA188" i="1"/>
  <c r="HB188" i="1"/>
  <c r="HC188" i="1"/>
  <c r="HD188" i="1"/>
  <c r="HE188" i="1"/>
  <c r="HF188" i="1"/>
  <c r="HG188" i="1"/>
  <c r="HH188" i="1"/>
  <c r="HI188" i="1"/>
  <c r="HJ188" i="1"/>
  <c r="HK188" i="1"/>
  <c r="HL188" i="1"/>
  <c r="HM188" i="1"/>
  <c r="HN188" i="1"/>
  <c r="HO188" i="1"/>
  <c r="HP188" i="1"/>
  <c r="HQ188" i="1"/>
  <c r="HR188" i="1"/>
  <c r="HS188" i="1"/>
  <c r="HT188" i="1"/>
  <c r="HU188" i="1"/>
  <c r="HV188" i="1"/>
  <c r="HW188" i="1"/>
  <c r="HX188" i="1"/>
  <c r="HY188" i="1"/>
  <c r="HZ188" i="1"/>
  <c r="IA188" i="1"/>
  <c r="IB188" i="1"/>
  <c r="IC188" i="1"/>
  <c r="ID188" i="1"/>
  <c r="IE188" i="1"/>
  <c r="IF188" i="1"/>
  <c r="IG188" i="1"/>
  <c r="IH188" i="1"/>
  <c r="H189" i="1"/>
  <c r="I189" i="1"/>
  <c r="L189" i="1"/>
  <c r="O189" i="1"/>
  <c r="R189" i="1"/>
  <c r="S189" i="1"/>
  <c r="T189" i="1"/>
  <c r="U189" i="1"/>
  <c r="W189" i="1"/>
  <c r="X189" i="1"/>
  <c r="Y189" i="1"/>
  <c r="Z189" i="1"/>
  <c r="AA189" i="1"/>
  <c r="AB189" i="1"/>
  <c r="AP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D189" i="1"/>
  <c r="CE189" i="1"/>
  <c r="CF189" i="1"/>
  <c r="CG189" i="1"/>
  <c r="CH189" i="1"/>
  <c r="CI189" i="1"/>
  <c r="CJ189" i="1"/>
  <c r="CK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E189" i="1"/>
  <c r="DH189" i="1"/>
  <c r="DK189" i="1"/>
  <c r="DL189" i="1"/>
  <c r="DM189" i="1"/>
  <c r="DN189" i="1"/>
  <c r="DP189" i="1"/>
  <c r="DS189" i="1"/>
  <c r="DV189" i="1"/>
  <c r="DX189" i="1"/>
  <c r="DY189" i="1"/>
  <c r="ED189" i="1"/>
  <c r="EE189" i="1"/>
  <c r="EF189" i="1"/>
  <c r="EG189" i="1"/>
  <c r="EH189" i="1"/>
  <c r="EI189" i="1"/>
  <c r="EJ189" i="1"/>
  <c r="EK189" i="1"/>
  <c r="FO189" i="1"/>
  <c r="FP189" i="1"/>
  <c r="FQ189" i="1"/>
  <c r="FR189" i="1"/>
  <c r="FS189" i="1"/>
  <c r="FT189" i="1"/>
  <c r="FU189" i="1"/>
  <c r="FV189" i="1"/>
  <c r="FW189" i="1"/>
  <c r="FX189" i="1"/>
  <c r="FY189" i="1"/>
  <c r="FZ189" i="1"/>
  <c r="GA189" i="1"/>
  <c r="GB189" i="1"/>
  <c r="GC189" i="1"/>
  <c r="GD189" i="1"/>
  <c r="GE189" i="1"/>
  <c r="GF189" i="1"/>
  <c r="GG189" i="1"/>
  <c r="GH189" i="1"/>
  <c r="GI189" i="1"/>
  <c r="GJ189" i="1"/>
  <c r="GK189" i="1"/>
  <c r="GL189" i="1"/>
  <c r="GM189" i="1"/>
  <c r="GN189" i="1"/>
  <c r="GO189" i="1"/>
  <c r="GP189" i="1"/>
  <c r="GQ189" i="1"/>
  <c r="GR189" i="1"/>
  <c r="GS189" i="1"/>
  <c r="GT189" i="1"/>
  <c r="GU189" i="1"/>
  <c r="GV189" i="1"/>
  <c r="GW189" i="1"/>
  <c r="GX189" i="1"/>
  <c r="GY189" i="1"/>
  <c r="GZ189" i="1"/>
  <c r="HA189" i="1"/>
  <c r="HB189" i="1"/>
  <c r="HC189" i="1"/>
  <c r="HD189" i="1"/>
  <c r="HE189" i="1"/>
  <c r="HF189" i="1"/>
  <c r="HG189" i="1"/>
  <c r="HH189" i="1"/>
  <c r="HI189" i="1"/>
  <c r="HJ189" i="1"/>
  <c r="HK189" i="1"/>
  <c r="HL189" i="1"/>
  <c r="HM189" i="1"/>
  <c r="HN189" i="1"/>
  <c r="HO189" i="1"/>
  <c r="HP189" i="1"/>
  <c r="HQ189" i="1"/>
  <c r="HR189" i="1"/>
  <c r="HS189" i="1"/>
  <c r="HT189" i="1"/>
  <c r="HU189" i="1"/>
  <c r="HV189" i="1"/>
  <c r="HW189" i="1"/>
  <c r="HX189" i="1"/>
  <c r="HY189" i="1"/>
  <c r="HZ189" i="1"/>
  <c r="IA189" i="1"/>
  <c r="IB189" i="1"/>
  <c r="IC189" i="1"/>
  <c r="ID189" i="1"/>
  <c r="IE189" i="1"/>
  <c r="IF189" i="1"/>
  <c r="IG189" i="1"/>
  <c r="IH189" i="1"/>
  <c r="H190" i="1"/>
  <c r="I190" i="1"/>
  <c r="L190" i="1"/>
  <c r="O190" i="1"/>
  <c r="R190" i="1"/>
  <c r="S190" i="1"/>
  <c r="T190" i="1"/>
  <c r="U190" i="1"/>
  <c r="W190" i="1"/>
  <c r="X190" i="1"/>
  <c r="Y190" i="1"/>
  <c r="Z190" i="1"/>
  <c r="AA190" i="1"/>
  <c r="AB190" i="1"/>
  <c r="AP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D190" i="1"/>
  <c r="CE190" i="1"/>
  <c r="CF190" i="1"/>
  <c r="CG190" i="1"/>
  <c r="CH190" i="1"/>
  <c r="CI190" i="1"/>
  <c r="CJ190" i="1"/>
  <c r="CK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Y190" i="1"/>
  <c r="CZ190" i="1"/>
  <c r="DA190" i="1"/>
  <c r="DB190" i="1"/>
  <c r="DC190" i="1"/>
  <c r="DE190" i="1"/>
  <c r="DH190" i="1"/>
  <c r="DK190" i="1"/>
  <c r="DL190" i="1"/>
  <c r="DM190" i="1"/>
  <c r="DN190" i="1"/>
  <c r="DP190" i="1"/>
  <c r="DS190" i="1"/>
  <c r="DV190" i="1"/>
  <c r="DX190" i="1"/>
  <c r="DY190" i="1"/>
  <c r="ED190" i="1"/>
  <c r="EE190" i="1"/>
  <c r="EF190" i="1"/>
  <c r="EG190" i="1"/>
  <c r="EH190" i="1"/>
  <c r="EI190" i="1"/>
  <c r="EJ190" i="1"/>
  <c r="EK190" i="1"/>
  <c r="FO190" i="1"/>
  <c r="FP190" i="1"/>
  <c r="FQ190" i="1"/>
  <c r="FR190" i="1"/>
  <c r="FS190" i="1"/>
  <c r="FT190" i="1"/>
  <c r="FU190" i="1"/>
  <c r="FV190" i="1"/>
  <c r="FW190" i="1"/>
  <c r="FX190" i="1"/>
  <c r="FY190" i="1"/>
  <c r="FZ190" i="1"/>
  <c r="GA190" i="1"/>
  <c r="GB190" i="1"/>
  <c r="GC190" i="1"/>
  <c r="GD190" i="1"/>
  <c r="GE190" i="1"/>
  <c r="GF190" i="1"/>
  <c r="GG190" i="1"/>
  <c r="GH190" i="1"/>
  <c r="GI190" i="1"/>
  <c r="GJ190" i="1"/>
  <c r="GK190" i="1"/>
  <c r="GL190" i="1"/>
  <c r="GM190" i="1"/>
  <c r="GN190" i="1"/>
  <c r="GO190" i="1"/>
  <c r="GP190" i="1"/>
  <c r="GQ190" i="1"/>
  <c r="GR190" i="1"/>
  <c r="GS190" i="1"/>
  <c r="GT190" i="1"/>
  <c r="GU190" i="1"/>
  <c r="GV190" i="1"/>
  <c r="GW190" i="1"/>
  <c r="GX190" i="1"/>
  <c r="GY190" i="1"/>
  <c r="GZ190" i="1"/>
  <c r="HA190" i="1"/>
  <c r="HB190" i="1"/>
  <c r="HC190" i="1"/>
  <c r="HD190" i="1"/>
  <c r="HE190" i="1"/>
  <c r="HF190" i="1"/>
  <c r="HG190" i="1"/>
  <c r="HH190" i="1"/>
  <c r="HI190" i="1"/>
  <c r="HJ190" i="1"/>
  <c r="HK190" i="1"/>
  <c r="HL190" i="1"/>
  <c r="HM190" i="1"/>
  <c r="HN190" i="1"/>
  <c r="HO190" i="1"/>
  <c r="HP190" i="1"/>
  <c r="HQ190" i="1"/>
  <c r="HR190" i="1"/>
  <c r="HS190" i="1"/>
  <c r="HT190" i="1"/>
  <c r="HU190" i="1"/>
  <c r="HV190" i="1"/>
  <c r="HW190" i="1"/>
  <c r="HX190" i="1"/>
  <c r="HY190" i="1"/>
  <c r="HZ190" i="1"/>
  <c r="IA190" i="1"/>
  <c r="IB190" i="1"/>
  <c r="IC190" i="1"/>
  <c r="ID190" i="1"/>
  <c r="IE190" i="1"/>
  <c r="IF190" i="1"/>
  <c r="IG190" i="1"/>
  <c r="IH190" i="1"/>
  <c r="H191" i="1"/>
  <c r="I191" i="1"/>
  <c r="L191" i="1"/>
  <c r="O191" i="1"/>
  <c r="R191" i="1"/>
  <c r="S191" i="1"/>
  <c r="T191" i="1"/>
  <c r="U191" i="1"/>
  <c r="W191" i="1"/>
  <c r="X191" i="1"/>
  <c r="Y191" i="1"/>
  <c r="Z191" i="1"/>
  <c r="AA191" i="1"/>
  <c r="AB191" i="1"/>
  <c r="AP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D191" i="1"/>
  <c r="CE191" i="1"/>
  <c r="CF191" i="1"/>
  <c r="CG191" i="1"/>
  <c r="CH191" i="1"/>
  <c r="CI191" i="1"/>
  <c r="CJ191" i="1"/>
  <c r="CK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Y191" i="1"/>
  <c r="CZ191" i="1"/>
  <c r="DA191" i="1"/>
  <c r="DB191" i="1"/>
  <c r="DC191" i="1"/>
  <c r="DE191" i="1"/>
  <c r="DH191" i="1"/>
  <c r="DK191" i="1"/>
  <c r="DL191" i="1"/>
  <c r="DM191" i="1"/>
  <c r="DN191" i="1"/>
  <c r="DP191" i="1"/>
  <c r="DS191" i="1"/>
  <c r="DV191" i="1"/>
  <c r="DX191" i="1"/>
  <c r="DY191" i="1"/>
  <c r="ED191" i="1"/>
  <c r="EE191" i="1"/>
  <c r="EF191" i="1"/>
  <c r="EG191" i="1"/>
  <c r="EH191" i="1"/>
  <c r="EI191" i="1"/>
  <c r="EJ191" i="1"/>
  <c r="EK191" i="1"/>
  <c r="FO191" i="1"/>
  <c r="FP191" i="1"/>
  <c r="FQ191" i="1"/>
  <c r="FR191" i="1"/>
  <c r="FS191" i="1"/>
  <c r="FT191" i="1"/>
  <c r="FU191" i="1"/>
  <c r="FV191" i="1"/>
  <c r="FW191" i="1"/>
  <c r="FX191" i="1"/>
  <c r="FY191" i="1"/>
  <c r="FZ191" i="1"/>
  <c r="GA191" i="1"/>
  <c r="GB191" i="1"/>
  <c r="GC191" i="1"/>
  <c r="GD191" i="1"/>
  <c r="GE191" i="1"/>
  <c r="GF191" i="1"/>
  <c r="GG191" i="1"/>
  <c r="GH191" i="1"/>
  <c r="GI191" i="1"/>
  <c r="GJ191" i="1"/>
  <c r="GK191" i="1"/>
  <c r="GL191" i="1"/>
  <c r="GM191" i="1"/>
  <c r="GN191" i="1"/>
  <c r="GO191" i="1"/>
  <c r="GP191" i="1"/>
  <c r="GQ191" i="1"/>
  <c r="GR191" i="1"/>
  <c r="GS191" i="1"/>
  <c r="GT191" i="1"/>
  <c r="GU191" i="1"/>
  <c r="GV191" i="1"/>
  <c r="GW191" i="1"/>
  <c r="GX191" i="1"/>
  <c r="GY191" i="1"/>
  <c r="GZ191" i="1"/>
  <c r="HA191" i="1"/>
  <c r="HB191" i="1"/>
  <c r="HC191" i="1"/>
  <c r="HD191" i="1"/>
  <c r="HE191" i="1"/>
  <c r="HF191" i="1"/>
  <c r="HG191" i="1"/>
  <c r="HH191" i="1"/>
  <c r="HI191" i="1"/>
  <c r="HJ191" i="1"/>
  <c r="HK191" i="1"/>
  <c r="HL191" i="1"/>
  <c r="HM191" i="1"/>
  <c r="HN191" i="1"/>
  <c r="HO191" i="1"/>
  <c r="HP191" i="1"/>
  <c r="HQ191" i="1"/>
  <c r="HR191" i="1"/>
  <c r="HS191" i="1"/>
  <c r="HT191" i="1"/>
  <c r="HU191" i="1"/>
  <c r="HV191" i="1"/>
  <c r="HW191" i="1"/>
  <c r="HX191" i="1"/>
  <c r="HY191" i="1"/>
  <c r="HZ191" i="1"/>
  <c r="IA191" i="1"/>
  <c r="IB191" i="1"/>
  <c r="IC191" i="1"/>
  <c r="ID191" i="1"/>
  <c r="IE191" i="1"/>
  <c r="IF191" i="1"/>
  <c r="IG191" i="1"/>
  <c r="IH191" i="1"/>
  <c r="H192" i="1"/>
  <c r="I192" i="1"/>
  <c r="L192" i="1"/>
  <c r="O192" i="1"/>
  <c r="R192" i="1"/>
  <c r="S192" i="1"/>
  <c r="T192" i="1"/>
  <c r="U192" i="1"/>
  <c r="W192" i="1"/>
  <c r="X192" i="1"/>
  <c r="Y192" i="1"/>
  <c r="Z192" i="1"/>
  <c r="AA192" i="1"/>
  <c r="AB192" i="1"/>
  <c r="AP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D192" i="1"/>
  <c r="CE192" i="1"/>
  <c r="CF192" i="1"/>
  <c r="CG192" i="1"/>
  <c r="CH192" i="1"/>
  <c r="CI192" i="1"/>
  <c r="CJ192" i="1"/>
  <c r="CK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Y192" i="1"/>
  <c r="CZ192" i="1"/>
  <c r="DA192" i="1"/>
  <c r="DB192" i="1"/>
  <c r="DC192" i="1"/>
  <c r="DE192" i="1"/>
  <c r="DH192" i="1"/>
  <c r="DK192" i="1"/>
  <c r="DL192" i="1"/>
  <c r="DM192" i="1"/>
  <c r="DN192" i="1"/>
  <c r="DP192" i="1"/>
  <c r="DS192" i="1"/>
  <c r="DV192" i="1"/>
  <c r="DX192" i="1"/>
  <c r="DY192" i="1"/>
  <c r="ED192" i="1"/>
  <c r="EE192" i="1"/>
  <c r="EF192" i="1"/>
  <c r="EG192" i="1"/>
  <c r="EH192" i="1"/>
  <c r="EI192" i="1"/>
  <c r="EJ192" i="1"/>
  <c r="EK192" i="1"/>
  <c r="FO192" i="1"/>
  <c r="FP192" i="1"/>
  <c r="FQ192" i="1"/>
  <c r="FR192" i="1"/>
  <c r="FS192" i="1"/>
  <c r="FT192" i="1"/>
  <c r="FU192" i="1"/>
  <c r="FV192" i="1"/>
  <c r="FW192" i="1"/>
  <c r="FX192" i="1"/>
  <c r="FY192" i="1"/>
  <c r="FZ192" i="1"/>
  <c r="GA192" i="1"/>
  <c r="GB192" i="1"/>
  <c r="GC192" i="1"/>
  <c r="GD192" i="1"/>
  <c r="GE192" i="1"/>
  <c r="GF192" i="1"/>
  <c r="GG192" i="1"/>
  <c r="GH192" i="1"/>
  <c r="GI192" i="1"/>
  <c r="GJ192" i="1"/>
  <c r="GK192" i="1"/>
  <c r="GL192" i="1"/>
  <c r="GM192" i="1"/>
  <c r="GN192" i="1"/>
  <c r="GO192" i="1"/>
  <c r="GP192" i="1"/>
  <c r="GQ192" i="1"/>
  <c r="GR192" i="1"/>
  <c r="GS192" i="1"/>
  <c r="GT192" i="1"/>
  <c r="GU192" i="1"/>
  <c r="GV192" i="1"/>
  <c r="GW192" i="1"/>
  <c r="GX192" i="1"/>
  <c r="GY192" i="1"/>
  <c r="GZ192" i="1"/>
  <c r="HA192" i="1"/>
  <c r="HB192" i="1"/>
  <c r="HC192" i="1"/>
  <c r="HD192" i="1"/>
  <c r="HE192" i="1"/>
  <c r="HF192" i="1"/>
  <c r="HG192" i="1"/>
  <c r="HH192" i="1"/>
  <c r="HI192" i="1"/>
  <c r="HJ192" i="1"/>
  <c r="HK192" i="1"/>
  <c r="HL192" i="1"/>
  <c r="HM192" i="1"/>
  <c r="HN192" i="1"/>
  <c r="HO192" i="1"/>
  <c r="HP192" i="1"/>
  <c r="HQ192" i="1"/>
  <c r="HR192" i="1"/>
  <c r="HS192" i="1"/>
  <c r="HT192" i="1"/>
  <c r="HU192" i="1"/>
  <c r="HV192" i="1"/>
  <c r="HW192" i="1"/>
  <c r="HX192" i="1"/>
  <c r="HY192" i="1"/>
  <c r="HZ192" i="1"/>
  <c r="IA192" i="1"/>
  <c r="IB192" i="1"/>
  <c r="IC192" i="1"/>
  <c r="ID192" i="1"/>
  <c r="IE192" i="1"/>
  <c r="IF192" i="1"/>
  <c r="IG192" i="1"/>
  <c r="IH192" i="1"/>
  <c r="H193" i="1"/>
  <c r="I193" i="1"/>
  <c r="L193" i="1"/>
  <c r="O193" i="1"/>
  <c r="R193" i="1"/>
  <c r="S193" i="1"/>
  <c r="T193" i="1"/>
  <c r="U193" i="1"/>
  <c r="W193" i="1"/>
  <c r="X193" i="1"/>
  <c r="Y193" i="1"/>
  <c r="Z193" i="1"/>
  <c r="AA193" i="1"/>
  <c r="AB193" i="1"/>
  <c r="AP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D193" i="1"/>
  <c r="CE193" i="1"/>
  <c r="CF193" i="1"/>
  <c r="CG193" i="1"/>
  <c r="CH193" i="1"/>
  <c r="CI193" i="1"/>
  <c r="CJ193" i="1"/>
  <c r="CK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E193" i="1"/>
  <c r="DH193" i="1"/>
  <c r="DK193" i="1"/>
  <c r="DL193" i="1"/>
  <c r="DM193" i="1"/>
  <c r="DN193" i="1"/>
  <c r="DP193" i="1"/>
  <c r="DS193" i="1"/>
  <c r="DV193" i="1"/>
  <c r="DX193" i="1"/>
  <c r="DY193" i="1"/>
  <c r="ED193" i="1"/>
  <c r="EE193" i="1"/>
  <c r="EF193" i="1"/>
  <c r="EG193" i="1"/>
  <c r="EH193" i="1"/>
  <c r="EI193" i="1"/>
  <c r="EJ193" i="1"/>
  <c r="EK193" i="1"/>
  <c r="FO193" i="1"/>
  <c r="FP193" i="1"/>
  <c r="FQ193" i="1"/>
  <c r="FR193" i="1"/>
  <c r="FS193" i="1"/>
  <c r="FT193" i="1"/>
  <c r="FU193" i="1"/>
  <c r="FV193" i="1"/>
  <c r="FW193" i="1"/>
  <c r="FX193" i="1"/>
  <c r="FY193" i="1"/>
  <c r="FZ193" i="1"/>
  <c r="GA193" i="1"/>
  <c r="GB193" i="1"/>
  <c r="GC193" i="1"/>
  <c r="GD193" i="1"/>
  <c r="GE193" i="1"/>
  <c r="GF193" i="1"/>
  <c r="GG193" i="1"/>
  <c r="GH193" i="1"/>
  <c r="GI193" i="1"/>
  <c r="GJ193" i="1"/>
  <c r="GK193" i="1"/>
  <c r="GL193" i="1"/>
  <c r="GM193" i="1"/>
  <c r="GN193" i="1"/>
  <c r="GO193" i="1"/>
  <c r="GP193" i="1"/>
  <c r="GQ193" i="1"/>
  <c r="GR193" i="1"/>
  <c r="GS193" i="1"/>
  <c r="GT193" i="1"/>
  <c r="GU193" i="1"/>
  <c r="GV193" i="1"/>
  <c r="GW193" i="1"/>
  <c r="GX193" i="1"/>
  <c r="GY193" i="1"/>
  <c r="GZ193" i="1"/>
  <c r="HA193" i="1"/>
  <c r="HB193" i="1"/>
  <c r="HC193" i="1"/>
  <c r="HD193" i="1"/>
  <c r="HE193" i="1"/>
  <c r="HF193" i="1"/>
  <c r="HG193" i="1"/>
  <c r="HH193" i="1"/>
  <c r="HI193" i="1"/>
  <c r="HJ193" i="1"/>
  <c r="HK193" i="1"/>
  <c r="HL193" i="1"/>
  <c r="HM193" i="1"/>
  <c r="HN193" i="1"/>
  <c r="HO193" i="1"/>
  <c r="HP193" i="1"/>
  <c r="HQ193" i="1"/>
  <c r="HR193" i="1"/>
  <c r="HS193" i="1"/>
  <c r="HT193" i="1"/>
  <c r="HU193" i="1"/>
  <c r="HV193" i="1"/>
  <c r="HW193" i="1"/>
  <c r="HX193" i="1"/>
  <c r="HY193" i="1"/>
  <c r="HZ193" i="1"/>
  <c r="IA193" i="1"/>
  <c r="IB193" i="1"/>
  <c r="IC193" i="1"/>
  <c r="ID193" i="1"/>
  <c r="IE193" i="1"/>
  <c r="IF193" i="1"/>
  <c r="IG193" i="1"/>
  <c r="IH193" i="1"/>
  <c r="H194" i="1"/>
  <c r="I194" i="1"/>
  <c r="L194" i="1"/>
  <c r="O194" i="1"/>
  <c r="R194" i="1"/>
  <c r="S194" i="1"/>
  <c r="T194" i="1"/>
  <c r="U194" i="1"/>
  <c r="W194" i="1"/>
  <c r="X194" i="1"/>
  <c r="Y194" i="1"/>
  <c r="Z194" i="1"/>
  <c r="AA194" i="1"/>
  <c r="AB194" i="1"/>
  <c r="AP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D194" i="1"/>
  <c r="CE194" i="1"/>
  <c r="CF194" i="1"/>
  <c r="CG194" i="1"/>
  <c r="CH194" i="1"/>
  <c r="CI194" i="1"/>
  <c r="CJ194" i="1"/>
  <c r="CK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CY194" i="1"/>
  <c r="CZ194" i="1"/>
  <c r="DA194" i="1"/>
  <c r="DB194" i="1"/>
  <c r="DC194" i="1"/>
  <c r="DE194" i="1"/>
  <c r="DH194" i="1"/>
  <c r="DK194" i="1"/>
  <c r="DL194" i="1"/>
  <c r="DM194" i="1"/>
  <c r="DN194" i="1"/>
  <c r="DP194" i="1"/>
  <c r="DS194" i="1"/>
  <c r="DV194" i="1"/>
  <c r="DX194" i="1"/>
  <c r="DY194" i="1"/>
  <c r="ED194" i="1"/>
  <c r="EE194" i="1"/>
  <c r="EF194" i="1"/>
  <c r="EG194" i="1"/>
  <c r="EH194" i="1"/>
  <c r="EI194" i="1"/>
  <c r="EJ194" i="1"/>
  <c r="EK194" i="1"/>
  <c r="FO194" i="1"/>
  <c r="FP194" i="1"/>
  <c r="FQ194" i="1"/>
  <c r="FR194" i="1"/>
  <c r="FS194" i="1"/>
  <c r="FT194" i="1"/>
  <c r="FU194" i="1"/>
  <c r="FV194" i="1"/>
  <c r="FW194" i="1"/>
  <c r="FX194" i="1"/>
  <c r="FY194" i="1"/>
  <c r="FZ194" i="1"/>
  <c r="GA194" i="1"/>
  <c r="GB194" i="1"/>
  <c r="GC194" i="1"/>
  <c r="GD194" i="1"/>
  <c r="GE194" i="1"/>
  <c r="GF194" i="1"/>
  <c r="GG194" i="1"/>
  <c r="GH194" i="1"/>
  <c r="GI194" i="1"/>
  <c r="GJ194" i="1"/>
  <c r="GK194" i="1"/>
  <c r="GL194" i="1"/>
  <c r="GM194" i="1"/>
  <c r="GN194" i="1"/>
  <c r="GO194" i="1"/>
  <c r="GP194" i="1"/>
  <c r="GQ194" i="1"/>
  <c r="GR194" i="1"/>
  <c r="GS194" i="1"/>
  <c r="GT194" i="1"/>
  <c r="GU194" i="1"/>
  <c r="GV194" i="1"/>
  <c r="GW194" i="1"/>
  <c r="GX194" i="1"/>
  <c r="GY194" i="1"/>
  <c r="GZ194" i="1"/>
  <c r="HA194" i="1"/>
  <c r="HB194" i="1"/>
  <c r="HC194" i="1"/>
  <c r="HD194" i="1"/>
  <c r="HE194" i="1"/>
  <c r="HF194" i="1"/>
  <c r="HG194" i="1"/>
  <c r="HH194" i="1"/>
  <c r="HI194" i="1"/>
  <c r="HJ194" i="1"/>
  <c r="HK194" i="1"/>
  <c r="HL194" i="1"/>
  <c r="HM194" i="1"/>
  <c r="HN194" i="1"/>
  <c r="HO194" i="1"/>
  <c r="HP194" i="1"/>
  <c r="HQ194" i="1"/>
  <c r="HR194" i="1"/>
  <c r="HS194" i="1"/>
  <c r="HT194" i="1"/>
  <c r="HU194" i="1"/>
  <c r="HV194" i="1"/>
  <c r="HW194" i="1"/>
  <c r="HX194" i="1"/>
  <c r="HY194" i="1"/>
  <c r="HZ194" i="1"/>
  <c r="IA194" i="1"/>
  <c r="IB194" i="1"/>
  <c r="IC194" i="1"/>
  <c r="ID194" i="1"/>
  <c r="IE194" i="1"/>
  <c r="IF194" i="1"/>
  <c r="IG194" i="1"/>
  <c r="IH194" i="1"/>
  <c r="H195" i="1"/>
  <c r="I195" i="1"/>
  <c r="L195" i="1"/>
  <c r="O195" i="1"/>
  <c r="R195" i="1"/>
  <c r="S195" i="1"/>
  <c r="T195" i="1"/>
  <c r="U195" i="1"/>
  <c r="W195" i="1"/>
  <c r="X195" i="1"/>
  <c r="Y195" i="1"/>
  <c r="Z195" i="1"/>
  <c r="AA195" i="1"/>
  <c r="AB195" i="1"/>
  <c r="AP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D195" i="1"/>
  <c r="CE195" i="1"/>
  <c r="CF195" i="1"/>
  <c r="CG195" i="1"/>
  <c r="CH195" i="1"/>
  <c r="CI195" i="1"/>
  <c r="CJ195" i="1"/>
  <c r="CK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CY195" i="1"/>
  <c r="CZ195" i="1"/>
  <c r="DA195" i="1"/>
  <c r="DB195" i="1"/>
  <c r="DC195" i="1"/>
  <c r="DE195" i="1"/>
  <c r="DH195" i="1"/>
  <c r="DK195" i="1"/>
  <c r="DL195" i="1"/>
  <c r="DM195" i="1"/>
  <c r="DN195" i="1"/>
  <c r="DP195" i="1"/>
  <c r="DS195" i="1"/>
  <c r="DV195" i="1"/>
  <c r="DX195" i="1"/>
  <c r="DY195" i="1"/>
  <c r="ED195" i="1"/>
  <c r="EE195" i="1"/>
  <c r="EF195" i="1"/>
  <c r="EG195" i="1"/>
  <c r="EH195" i="1"/>
  <c r="EI195" i="1"/>
  <c r="EJ195" i="1"/>
  <c r="EK195" i="1"/>
  <c r="FO195" i="1"/>
  <c r="FP195" i="1"/>
  <c r="FQ195" i="1"/>
  <c r="FR195" i="1"/>
  <c r="FS195" i="1"/>
  <c r="FT195" i="1"/>
  <c r="FU195" i="1"/>
  <c r="FV195" i="1"/>
  <c r="FW195" i="1"/>
  <c r="FX195" i="1"/>
  <c r="FY195" i="1"/>
  <c r="FZ195" i="1"/>
  <c r="GA195" i="1"/>
  <c r="GB195" i="1"/>
  <c r="GC195" i="1"/>
  <c r="GD195" i="1"/>
  <c r="GE195" i="1"/>
  <c r="GF195" i="1"/>
  <c r="GG195" i="1"/>
  <c r="GH195" i="1"/>
  <c r="GI195" i="1"/>
  <c r="GJ195" i="1"/>
  <c r="GK195" i="1"/>
  <c r="GL195" i="1"/>
  <c r="GM195" i="1"/>
  <c r="GN195" i="1"/>
  <c r="GO195" i="1"/>
  <c r="GP195" i="1"/>
  <c r="GQ195" i="1"/>
  <c r="GR195" i="1"/>
  <c r="GS195" i="1"/>
  <c r="GT195" i="1"/>
  <c r="GU195" i="1"/>
  <c r="GV195" i="1"/>
  <c r="GW195" i="1"/>
  <c r="GX195" i="1"/>
  <c r="GY195" i="1"/>
  <c r="GZ195" i="1"/>
  <c r="HA195" i="1"/>
  <c r="HB195" i="1"/>
  <c r="HC195" i="1"/>
  <c r="HD195" i="1"/>
  <c r="HE195" i="1"/>
  <c r="HF195" i="1"/>
  <c r="HG195" i="1"/>
  <c r="HH195" i="1"/>
  <c r="HI195" i="1"/>
  <c r="HJ195" i="1"/>
  <c r="HK195" i="1"/>
  <c r="HL195" i="1"/>
  <c r="HM195" i="1"/>
  <c r="HN195" i="1"/>
  <c r="HO195" i="1"/>
  <c r="HP195" i="1"/>
  <c r="HQ195" i="1"/>
  <c r="HR195" i="1"/>
  <c r="HS195" i="1"/>
  <c r="HT195" i="1"/>
  <c r="HU195" i="1"/>
  <c r="HV195" i="1"/>
  <c r="HW195" i="1"/>
  <c r="HX195" i="1"/>
  <c r="HY195" i="1"/>
  <c r="HZ195" i="1"/>
  <c r="IA195" i="1"/>
  <c r="IB195" i="1"/>
  <c r="IC195" i="1"/>
  <c r="ID195" i="1"/>
  <c r="IE195" i="1"/>
  <c r="IF195" i="1"/>
  <c r="IG195" i="1"/>
  <c r="IH195" i="1"/>
  <c r="H196" i="1"/>
  <c r="I196" i="1"/>
  <c r="L196" i="1"/>
  <c r="O196" i="1"/>
  <c r="R196" i="1"/>
  <c r="S196" i="1"/>
  <c r="T196" i="1"/>
  <c r="U196" i="1"/>
  <c r="W196" i="1"/>
  <c r="X196" i="1"/>
  <c r="Y196" i="1"/>
  <c r="Z196" i="1"/>
  <c r="AA196" i="1"/>
  <c r="AB196" i="1"/>
  <c r="AP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D196" i="1"/>
  <c r="CE196" i="1"/>
  <c r="CF196" i="1"/>
  <c r="CG196" i="1"/>
  <c r="CH196" i="1"/>
  <c r="CI196" i="1"/>
  <c r="CJ196" i="1"/>
  <c r="CK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CY196" i="1"/>
  <c r="CZ196" i="1"/>
  <c r="DA196" i="1"/>
  <c r="DB196" i="1"/>
  <c r="DC196" i="1"/>
  <c r="DE196" i="1"/>
  <c r="DH196" i="1"/>
  <c r="DK196" i="1"/>
  <c r="DL196" i="1"/>
  <c r="DM196" i="1"/>
  <c r="DN196" i="1"/>
  <c r="DP196" i="1"/>
  <c r="DS196" i="1"/>
  <c r="DV196" i="1"/>
  <c r="DX196" i="1"/>
  <c r="DY196" i="1"/>
  <c r="ED196" i="1"/>
  <c r="EE196" i="1"/>
  <c r="EF196" i="1"/>
  <c r="EG196" i="1"/>
  <c r="EH196" i="1"/>
  <c r="EI196" i="1"/>
  <c r="EJ196" i="1"/>
  <c r="EK196" i="1"/>
  <c r="FO196" i="1"/>
  <c r="FP196" i="1"/>
  <c r="FQ196" i="1"/>
  <c r="FR196" i="1"/>
  <c r="FS196" i="1"/>
  <c r="FT196" i="1"/>
  <c r="FU196" i="1"/>
  <c r="FV196" i="1"/>
  <c r="FW196" i="1"/>
  <c r="FX196" i="1"/>
  <c r="FY196" i="1"/>
  <c r="FZ196" i="1"/>
  <c r="GA196" i="1"/>
  <c r="GB196" i="1"/>
  <c r="GC196" i="1"/>
  <c r="GD196" i="1"/>
  <c r="GE196" i="1"/>
  <c r="GF196" i="1"/>
  <c r="GG196" i="1"/>
  <c r="GH196" i="1"/>
  <c r="GI196" i="1"/>
  <c r="GJ196" i="1"/>
  <c r="GK196" i="1"/>
  <c r="GL196" i="1"/>
  <c r="GM196" i="1"/>
  <c r="GN196" i="1"/>
  <c r="GO196" i="1"/>
  <c r="GP196" i="1"/>
  <c r="GQ196" i="1"/>
  <c r="GR196" i="1"/>
  <c r="GS196" i="1"/>
  <c r="GT196" i="1"/>
  <c r="GU196" i="1"/>
  <c r="GV196" i="1"/>
  <c r="GW196" i="1"/>
  <c r="GX196" i="1"/>
  <c r="GY196" i="1"/>
  <c r="GZ196" i="1"/>
  <c r="HA196" i="1"/>
  <c r="HB196" i="1"/>
  <c r="HC196" i="1"/>
  <c r="HD196" i="1"/>
  <c r="HE196" i="1"/>
  <c r="HF196" i="1"/>
  <c r="HG196" i="1"/>
  <c r="HH196" i="1"/>
  <c r="HI196" i="1"/>
  <c r="HJ196" i="1"/>
  <c r="HK196" i="1"/>
  <c r="HL196" i="1"/>
  <c r="HM196" i="1"/>
  <c r="HN196" i="1"/>
  <c r="HO196" i="1"/>
  <c r="HP196" i="1"/>
  <c r="HQ196" i="1"/>
  <c r="HR196" i="1"/>
  <c r="HS196" i="1"/>
  <c r="HT196" i="1"/>
  <c r="HU196" i="1"/>
  <c r="HV196" i="1"/>
  <c r="HW196" i="1"/>
  <c r="HX196" i="1"/>
  <c r="HY196" i="1"/>
  <c r="HZ196" i="1"/>
  <c r="IA196" i="1"/>
  <c r="IB196" i="1"/>
  <c r="IC196" i="1"/>
  <c r="ID196" i="1"/>
  <c r="IE196" i="1"/>
  <c r="IF196" i="1"/>
  <c r="IG196" i="1"/>
  <c r="IH196" i="1"/>
  <c r="H197" i="1"/>
  <c r="I197" i="1"/>
  <c r="L197" i="1"/>
  <c r="O197" i="1"/>
  <c r="R197" i="1"/>
  <c r="S197" i="1"/>
  <c r="T197" i="1"/>
  <c r="U197" i="1"/>
  <c r="W197" i="1"/>
  <c r="X197" i="1"/>
  <c r="Y197" i="1"/>
  <c r="Z197" i="1"/>
  <c r="AA197" i="1"/>
  <c r="AB197" i="1"/>
  <c r="AP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D197" i="1"/>
  <c r="CE197" i="1"/>
  <c r="CF197" i="1"/>
  <c r="CG197" i="1"/>
  <c r="CH197" i="1"/>
  <c r="CI197" i="1"/>
  <c r="CJ197" i="1"/>
  <c r="CK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CY197" i="1"/>
  <c r="CZ197" i="1"/>
  <c r="DA197" i="1"/>
  <c r="DB197" i="1"/>
  <c r="DC197" i="1"/>
  <c r="DE197" i="1"/>
  <c r="DH197" i="1"/>
  <c r="DK197" i="1"/>
  <c r="DL197" i="1"/>
  <c r="DM197" i="1"/>
  <c r="DN197" i="1"/>
  <c r="DP197" i="1"/>
  <c r="DS197" i="1"/>
  <c r="DV197" i="1"/>
  <c r="DX197" i="1"/>
  <c r="DY197" i="1"/>
  <c r="ED197" i="1"/>
  <c r="EE197" i="1"/>
  <c r="EF197" i="1"/>
  <c r="EG197" i="1"/>
  <c r="EH197" i="1"/>
  <c r="EI197" i="1"/>
  <c r="EJ197" i="1"/>
  <c r="EK197" i="1"/>
  <c r="FO197" i="1"/>
  <c r="FP197" i="1"/>
  <c r="FQ197" i="1"/>
  <c r="FR197" i="1"/>
  <c r="FS197" i="1"/>
  <c r="FT197" i="1"/>
  <c r="FU197" i="1"/>
  <c r="FV197" i="1"/>
  <c r="FW197" i="1"/>
  <c r="FX197" i="1"/>
  <c r="FY197" i="1"/>
  <c r="FZ197" i="1"/>
  <c r="GA197" i="1"/>
  <c r="GB197" i="1"/>
  <c r="GC197" i="1"/>
  <c r="GD197" i="1"/>
  <c r="GE197" i="1"/>
  <c r="GF197" i="1"/>
  <c r="GG197" i="1"/>
  <c r="GH197" i="1"/>
  <c r="GI197" i="1"/>
  <c r="GJ197" i="1"/>
  <c r="GK197" i="1"/>
  <c r="GL197" i="1"/>
  <c r="GM197" i="1"/>
  <c r="GN197" i="1"/>
  <c r="GO197" i="1"/>
  <c r="GP197" i="1"/>
  <c r="GQ197" i="1"/>
  <c r="GR197" i="1"/>
  <c r="GS197" i="1"/>
  <c r="GT197" i="1"/>
  <c r="GU197" i="1"/>
  <c r="GV197" i="1"/>
  <c r="GW197" i="1"/>
  <c r="GX197" i="1"/>
  <c r="GY197" i="1"/>
  <c r="GZ197" i="1"/>
  <c r="HA197" i="1"/>
  <c r="HB197" i="1"/>
  <c r="HC197" i="1"/>
  <c r="HD197" i="1"/>
  <c r="HE197" i="1"/>
  <c r="HF197" i="1"/>
  <c r="HG197" i="1"/>
  <c r="HH197" i="1"/>
  <c r="HI197" i="1"/>
  <c r="HJ197" i="1"/>
  <c r="HK197" i="1"/>
  <c r="HL197" i="1"/>
  <c r="HM197" i="1"/>
  <c r="HN197" i="1"/>
  <c r="HO197" i="1"/>
  <c r="HP197" i="1"/>
  <c r="HQ197" i="1"/>
  <c r="HR197" i="1"/>
  <c r="HS197" i="1"/>
  <c r="HT197" i="1"/>
  <c r="HU197" i="1"/>
  <c r="HV197" i="1"/>
  <c r="HW197" i="1"/>
  <c r="HX197" i="1"/>
  <c r="HY197" i="1"/>
  <c r="HZ197" i="1"/>
  <c r="IA197" i="1"/>
  <c r="IB197" i="1"/>
  <c r="IC197" i="1"/>
  <c r="ID197" i="1"/>
  <c r="IE197" i="1"/>
  <c r="IF197" i="1"/>
  <c r="IG197" i="1"/>
  <c r="IH197" i="1"/>
  <c r="H198" i="1"/>
  <c r="I198" i="1"/>
  <c r="L198" i="1"/>
  <c r="O198" i="1"/>
  <c r="R198" i="1"/>
  <c r="S198" i="1"/>
  <c r="T198" i="1"/>
  <c r="U198" i="1"/>
  <c r="W198" i="1"/>
  <c r="X198" i="1"/>
  <c r="Y198" i="1"/>
  <c r="Z198" i="1"/>
  <c r="AA198" i="1"/>
  <c r="AB198" i="1"/>
  <c r="AP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D198" i="1"/>
  <c r="CE198" i="1"/>
  <c r="CF198" i="1"/>
  <c r="CG198" i="1"/>
  <c r="CH198" i="1"/>
  <c r="CI198" i="1"/>
  <c r="CJ198" i="1"/>
  <c r="CK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CY198" i="1"/>
  <c r="CZ198" i="1"/>
  <c r="DA198" i="1"/>
  <c r="DB198" i="1"/>
  <c r="DC198" i="1"/>
  <c r="DE198" i="1"/>
  <c r="DH198" i="1"/>
  <c r="DK198" i="1"/>
  <c r="DL198" i="1"/>
  <c r="DM198" i="1"/>
  <c r="DN198" i="1"/>
  <c r="DP198" i="1"/>
  <c r="DS198" i="1"/>
  <c r="DV198" i="1"/>
  <c r="DX198" i="1"/>
  <c r="DY198" i="1"/>
  <c r="ED198" i="1"/>
  <c r="EE198" i="1"/>
  <c r="EF198" i="1"/>
  <c r="EG198" i="1"/>
  <c r="EH198" i="1"/>
  <c r="EI198" i="1"/>
  <c r="EJ198" i="1"/>
  <c r="EK198" i="1"/>
  <c r="FO198" i="1"/>
  <c r="FP198" i="1"/>
  <c r="FQ198" i="1"/>
  <c r="FR198" i="1"/>
  <c r="FS198" i="1"/>
  <c r="FT198" i="1"/>
  <c r="FU198" i="1"/>
  <c r="FV198" i="1"/>
  <c r="FW198" i="1"/>
  <c r="FX198" i="1"/>
  <c r="FY198" i="1"/>
  <c r="FZ198" i="1"/>
  <c r="GA198" i="1"/>
  <c r="GB198" i="1"/>
  <c r="GC198" i="1"/>
  <c r="GD198" i="1"/>
  <c r="GE198" i="1"/>
  <c r="GF198" i="1"/>
  <c r="GG198" i="1"/>
  <c r="GH198" i="1"/>
  <c r="GI198" i="1"/>
  <c r="GJ198" i="1"/>
  <c r="GK198" i="1"/>
  <c r="GL198" i="1"/>
  <c r="GM198" i="1"/>
  <c r="GN198" i="1"/>
  <c r="GO198" i="1"/>
  <c r="GP198" i="1"/>
  <c r="GQ198" i="1"/>
  <c r="GR198" i="1"/>
  <c r="GS198" i="1"/>
  <c r="GT198" i="1"/>
  <c r="GU198" i="1"/>
  <c r="GV198" i="1"/>
  <c r="GW198" i="1"/>
  <c r="GX198" i="1"/>
  <c r="GY198" i="1"/>
  <c r="GZ198" i="1"/>
  <c r="HA198" i="1"/>
  <c r="HB198" i="1"/>
  <c r="HC198" i="1"/>
  <c r="HD198" i="1"/>
  <c r="HE198" i="1"/>
  <c r="HF198" i="1"/>
  <c r="HG198" i="1"/>
  <c r="HH198" i="1"/>
  <c r="HI198" i="1"/>
  <c r="HJ198" i="1"/>
  <c r="HK198" i="1"/>
  <c r="HL198" i="1"/>
  <c r="HM198" i="1"/>
  <c r="HN198" i="1"/>
  <c r="HO198" i="1"/>
  <c r="HP198" i="1"/>
  <c r="HQ198" i="1"/>
  <c r="HR198" i="1"/>
  <c r="HS198" i="1"/>
  <c r="HT198" i="1"/>
  <c r="HU198" i="1"/>
  <c r="HV198" i="1"/>
  <c r="HW198" i="1"/>
  <c r="HX198" i="1"/>
  <c r="HY198" i="1"/>
  <c r="HZ198" i="1"/>
  <c r="IA198" i="1"/>
  <c r="IB198" i="1"/>
  <c r="IC198" i="1"/>
  <c r="ID198" i="1"/>
  <c r="IE198" i="1"/>
  <c r="IF198" i="1"/>
  <c r="IG198" i="1"/>
  <c r="IH198" i="1"/>
  <c r="H199" i="1"/>
  <c r="I199" i="1"/>
  <c r="L199" i="1"/>
  <c r="O199" i="1"/>
  <c r="R199" i="1"/>
  <c r="S199" i="1"/>
  <c r="T199" i="1"/>
  <c r="U199" i="1"/>
  <c r="W199" i="1"/>
  <c r="X199" i="1"/>
  <c r="Y199" i="1"/>
  <c r="Z199" i="1"/>
  <c r="AA199" i="1"/>
  <c r="AB199" i="1"/>
  <c r="AP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D199" i="1"/>
  <c r="CE199" i="1"/>
  <c r="CF199" i="1"/>
  <c r="CG199" i="1"/>
  <c r="CH199" i="1"/>
  <c r="CI199" i="1"/>
  <c r="CJ199" i="1"/>
  <c r="CK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CY199" i="1"/>
  <c r="CZ199" i="1"/>
  <c r="DA199" i="1"/>
  <c r="DB199" i="1"/>
  <c r="DC199" i="1"/>
  <c r="DE199" i="1"/>
  <c r="DH199" i="1"/>
  <c r="DK199" i="1"/>
  <c r="DL199" i="1"/>
  <c r="DM199" i="1"/>
  <c r="DN199" i="1"/>
  <c r="DP199" i="1"/>
  <c r="DS199" i="1"/>
  <c r="DV199" i="1"/>
  <c r="DX199" i="1"/>
  <c r="DY199" i="1"/>
  <c r="ED199" i="1"/>
  <c r="EE199" i="1"/>
  <c r="EF199" i="1"/>
  <c r="EG199" i="1"/>
  <c r="EH199" i="1"/>
  <c r="EI199" i="1"/>
  <c r="EJ199" i="1"/>
  <c r="EK199" i="1"/>
  <c r="FO199" i="1"/>
  <c r="FP199" i="1"/>
  <c r="FQ199" i="1"/>
  <c r="FR199" i="1"/>
  <c r="FS199" i="1"/>
  <c r="FT199" i="1"/>
  <c r="FU199" i="1"/>
  <c r="FV199" i="1"/>
  <c r="FW199" i="1"/>
  <c r="FX199" i="1"/>
  <c r="FY199" i="1"/>
  <c r="FZ199" i="1"/>
  <c r="GA199" i="1"/>
  <c r="GB199" i="1"/>
  <c r="GC199" i="1"/>
  <c r="GD199" i="1"/>
  <c r="GE199" i="1"/>
  <c r="GF199" i="1"/>
  <c r="GG199" i="1"/>
  <c r="GH199" i="1"/>
  <c r="GI199" i="1"/>
  <c r="GJ199" i="1"/>
  <c r="GK199" i="1"/>
  <c r="GL199" i="1"/>
  <c r="GM199" i="1"/>
  <c r="GN199" i="1"/>
  <c r="GO199" i="1"/>
  <c r="GP199" i="1"/>
  <c r="GQ199" i="1"/>
  <c r="GR199" i="1"/>
  <c r="GS199" i="1"/>
  <c r="GT199" i="1"/>
  <c r="GU199" i="1"/>
  <c r="GV199" i="1"/>
  <c r="GW199" i="1"/>
  <c r="GX199" i="1"/>
  <c r="GY199" i="1"/>
  <c r="GZ199" i="1"/>
  <c r="HA199" i="1"/>
  <c r="HB199" i="1"/>
  <c r="HC199" i="1"/>
  <c r="HD199" i="1"/>
  <c r="HE199" i="1"/>
  <c r="HF199" i="1"/>
  <c r="HG199" i="1"/>
  <c r="HH199" i="1"/>
  <c r="HI199" i="1"/>
  <c r="HJ199" i="1"/>
  <c r="HK199" i="1"/>
  <c r="HL199" i="1"/>
  <c r="HM199" i="1"/>
  <c r="HN199" i="1"/>
  <c r="HO199" i="1"/>
  <c r="HP199" i="1"/>
  <c r="HQ199" i="1"/>
  <c r="HR199" i="1"/>
  <c r="HS199" i="1"/>
  <c r="HT199" i="1"/>
  <c r="HU199" i="1"/>
  <c r="HV199" i="1"/>
  <c r="HW199" i="1"/>
  <c r="HX199" i="1"/>
  <c r="HY199" i="1"/>
  <c r="HZ199" i="1"/>
  <c r="IA199" i="1"/>
  <c r="IB199" i="1"/>
  <c r="IC199" i="1"/>
  <c r="ID199" i="1"/>
  <c r="IE199" i="1"/>
  <c r="IF199" i="1"/>
  <c r="IG199" i="1"/>
  <c r="IH199" i="1"/>
  <c r="H200" i="1"/>
  <c r="I200" i="1"/>
  <c r="L200" i="1"/>
  <c r="O200" i="1"/>
  <c r="R200" i="1"/>
  <c r="S200" i="1"/>
  <c r="T200" i="1"/>
  <c r="U200" i="1"/>
  <c r="W200" i="1"/>
  <c r="X200" i="1"/>
  <c r="Y200" i="1"/>
  <c r="Z200" i="1"/>
  <c r="AA200" i="1"/>
  <c r="AB200" i="1"/>
  <c r="AP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D200" i="1"/>
  <c r="CE200" i="1"/>
  <c r="CF200" i="1"/>
  <c r="CG200" i="1"/>
  <c r="CH200" i="1"/>
  <c r="CI200" i="1"/>
  <c r="CJ200" i="1"/>
  <c r="CK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CY200" i="1"/>
  <c r="CZ200" i="1"/>
  <c r="DA200" i="1"/>
  <c r="DB200" i="1"/>
  <c r="DC200" i="1"/>
  <c r="DE200" i="1"/>
  <c r="DH200" i="1"/>
  <c r="DK200" i="1"/>
  <c r="DL200" i="1"/>
  <c r="DM200" i="1"/>
  <c r="DN200" i="1"/>
  <c r="DP200" i="1"/>
  <c r="DS200" i="1"/>
  <c r="DV200" i="1"/>
  <c r="DX200" i="1"/>
  <c r="DY200" i="1"/>
  <c r="ED200" i="1"/>
  <c r="EE200" i="1"/>
  <c r="EF200" i="1"/>
  <c r="EG200" i="1"/>
  <c r="EH200" i="1"/>
  <c r="EI200" i="1"/>
  <c r="EJ200" i="1"/>
  <c r="EK200" i="1"/>
  <c r="FO200" i="1"/>
  <c r="FP200" i="1"/>
  <c r="FQ200" i="1"/>
  <c r="FR200" i="1"/>
  <c r="FS200" i="1"/>
  <c r="FT200" i="1"/>
  <c r="FU200" i="1"/>
  <c r="FV200" i="1"/>
  <c r="FW200" i="1"/>
  <c r="FX200" i="1"/>
  <c r="FY200" i="1"/>
  <c r="FZ200" i="1"/>
  <c r="GA200" i="1"/>
  <c r="GB200" i="1"/>
  <c r="GC200" i="1"/>
  <c r="GD200" i="1"/>
  <c r="GE200" i="1"/>
  <c r="GF200" i="1"/>
  <c r="GG200" i="1"/>
  <c r="GH200" i="1"/>
  <c r="GI200" i="1"/>
  <c r="GJ200" i="1"/>
  <c r="GK200" i="1"/>
  <c r="GL200" i="1"/>
  <c r="GM200" i="1"/>
  <c r="GN200" i="1"/>
  <c r="GO200" i="1"/>
  <c r="GP200" i="1"/>
  <c r="GQ200" i="1"/>
  <c r="GR200" i="1"/>
  <c r="GS200" i="1"/>
  <c r="GT200" i="1"/>
  <c r="GU200" i="1"/>
  <c r="GV200" i="1"/>
  <c r="GW200" i="1"/>
  <c r="GX200" i="1"/>
  <c r="GY200" i="1"/>
  <c r="GZ200" i="1"/>
  <c r="HA200" i="1"/>
  <c r="HB200" i="1"/>
  <c r="HC200" i="1"/>
  <c r="HD200" i="1"/>
  <c r="HE200" i="1"/>
  <c r="HF200" i="1"/>
  <c r="HG200" i="1"/>
  <c r="HH200" i="1"/>
  <c r="HI200" i="1"/>
  <c r="HJ200" i="1"/>
  <c r="HK200" i="1"/>
  <c r="HL200" i="1"/>
  <c r="HM200" i="1"/>
  <c r="HN200" i="1"/>
  <c r="HO200" i="1"/>
  <c r="HP200" i="1"/>
  <c r="HQ200" i="1"/>
  <c r="HR200" i="1"/>
  <c r="HS200" i="1"/>
  <c r="HT200" i="1"/>
  <c r="HU200" i="1"/>
  <c r="HV200" i="1"/>
  <c r="HW200" i="1"/>
  <c r="HX200" i="1"/>
  <c r="HY200" i="1"/>
  <c r="HZ200" i="1"/>
  <c r="IA200" i="1"/>
  <c r="IB200" i="1"/>
  <c r="IC200" i="1"/>
  <c r="ID200" i="1"/>
  <c r="IE200" i="1"/>
  <c r="IF200" i="1"/>
  <c r="IG200" i="1"/>
  <c r="IH200" i="1"/>
  <c r="H201" i="1"/>
  <c r="I201" i="1"/>
  <c r="L201" i="1"/>
  <c r="O201" i="1"/>
  <c r="R201" i="1"/>
  <c r="S201" i="1"/>
  <c r="T201" i="1"/>
  <c r="U201" i="1"/>
  <c r="W201" i="1"/>
  <c r="X201" i="1"/>
  <c r="Y201" i="1"/>
  <c r="Z201" i="1"/>
  <c r="AA201" i="1"/>
  <c r="AB201" i="1"/>
  <c r="AP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D201" i="1"/>
  <c r="CE201" i="1"/>
  <c r="CF201" i="1"/>
  <c r="CG201" i="1"/>
  <c r="CH201" i="1"/>
  <c r="CI201" i="1"/>
  <c r="CJ201" i="1"/>
  <c r="CK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CY201" i="1"/>
  <c r="CZ201" i="1"/>
  <c r="DA201" i="1"/>
  <c r="DB201" i="1"/>
  <c r="DC201" i="1"/>
  <c r="DE201" i="1"/>
  <c r="DH201" i="1"/>
  <c r="DK201" i="1"/>
  <c r="DL201" i="1"/>
  <c r="DM201" i="1"/>
  <c r="DN201" i="1"/>
  <c r="DP201" i="1"/>
  <c r="DS201" i="1"/>
  <c r="DV201" i="1"/>
  <c r="DX201" i="1"/>
  <c r="DY201" i="1"/>
  <c r="ED201" i="1"/>
  <c r="EE201" i="1"/>
  <c r="EF201" i="1"/>
  <c r="EG201" i="1"/>
  <c r="EH201" i="1"/>
  <c r="EI201" i="1"/>
  <c r="EJ201" i="1"/>
  <c r="EK201" i="1"/>
  <c r="FO201" i="1"/>
  <c r="FP201" i="1"/>
  <c r="FQ201" i="1"/>
  <c r="FR201" i="1"/>
  <c r="FS201" i="1"/>
  <c r="FT201" i="1"/>
  <c r="FU201" i="1"/>
  <c r="FV201" i="1"/>
  <c r="FW201" i="1"/>
  <c r="FX201" i="1"/>
  <c r="FY201" i="1"/>
  <c r="FZ201" i="1"/>
  <c r="GA201" i="1"/>
  <c r="GB201" i="1"/>
  <c r="GC201" i="1"/>
  <c r="GD201" i="1"/>
  <c r="GE201" i="1"/>
  <c r="GF201" i="1"/>
  <c r="GG201" i="1"/>
  <c r="GH201" i="1"/>
  <c r="GI201" i="1"/>
  <c r="GJ201" i="1"/>
  <c r="GK201" i="1"/>
  <c r="GL201" i="1"/>
  <c r="GM201" i="1"/>
  <c r="GN201" i="1"/>
  <c r="GO201" i="1"/>
  <c r="GP201" i="1"/>
  <c r="GQ201" i="1"/>
  <c r="GR201" i="1"/>
  <c r="GS201" i="1"/>
  <c r="GT201" i="1"/>
  <c r="GU201" i="1"/>
  <c r="GV201" i="1"/>
  <c r="GW201" i="1"/>
  <c r="GX201" i="1"/>
  <c r="GY201" i="1"/>
  <c r="GZ201" i="1"/>
  <c r="HA201" i="1"/>
  <c r="HB201" i="1"/>
  <c r="HC201" i="1"/>
  <c r="HD201" i="1"/>
  <c r="HE201" i="1"/>
  <c r="HF201" i="1"/>
  <c r="HG201" i="1"/>
  <c r="HH201" i="1"/>
  <c r="HI201" i="1"/>
  <c r="HJ201" i="1"/>
  <c r="HK201" i="1"/>
  <c r="HL201" i="1"/>
  <c r="HM201" i="1"/>
  <c r="HN201" i="1"/>
  <c r="HO201" i="1"/>
  <c r="HP201" i="1"/>
  <c r="HQ201" i="1"/>
  <c r="HR201" i="1"/>
  <c r="HS201" i="1"/>
  <c r="HT201" i="1"/>
  <c r="HU201" i="1"/>
  <c r="HV201" i="1"/>
  <c r="HW201" i="1"/>
  <c r="HX201" i="1"/>
  <c r="HY201" i="1"/>
  <c r="HZ201" i="1"/>
  <c r="IA201" i="1"/>
  <c r="IB201" i="1"/>
  <c r="IC201" i="1"/>
  <c r="ID201" i="1"/>
  <c r="IE201" i="1"/>
  <c r="IF201" i="1"/>
  <c r="IG201" i="1"/>
  <c r="IH201" i="1"/>
  <c r="H202" i="1"/>
  <c r="I202" i="1"/>
  <c r="L202" i="1"/>
  <c r="O202" i="1"/>
  <c r="R202" i="1"/>
  <c r="S202" i="1"/>
  <c r="T202" i="1"/>
  <c r="U202" i="1"/>
  <c r="W202" i="1"/>
  <c r="X202" i="1"/>
  <c r="Y202" i="1"/>
  <c r="Z202" i="1"/>
  <c r="AA202" i="1"/>
  <c r="AB202" i="1"/>
  <c r="AP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D202" i="1"/>
  <c r="CE202" i="1"/>
  <c r="CF202" i="1"/>
  <c r="CG202" i="1"/>
  <c r="CH202" i="1"/>
  <c r="CI202" i="1"/>
  <c r="CJ202" i="1"/>
  <c r="CK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CY202" i="1"/>
  <c r="CZ202" i="1"/>
  <c r="DA202" i="1"/>
  <c r="DB202" i="1"/>
  <c r="DC202" i="1"/>
  <c r="DE202" i="1"/>
  <c r="DH202" i="1"/>
  <c r="DK202" i="1"/>
  <c r="DL202" i="1"/>
  <c r="DM202" i="1"/>
  <c r="DN202" i="1"/>
  <c r="DP202" i="1"/>
  <c r="DS202" i="1"/>
  <c r="DV202" i="1"/>
  <c r="DX202" i="1"/>
  <c r="DY202" i="1"/>
  <c r="ED202" i="1"/>
  <c r="EE202" i="1"/>
  <c r="EF202" i="1"/>
  <c r="EG202" i="1"/>
  <c r="EH202" i="1"/>
  <c r="EI202" i="1"/>
  <c r="EJ202" i="1"/>
  <c r="EK202" i="1"/>
  <c r="FO202" i="1"/>
  <c r="FP202" i="1"/>
  <c r="FQ202" i="1"/>
  <c r="FR202" i="1"/>
  <c r="FS202" i="1"/>
  <c r="FT202" i="1"/>
  <c r="FU202" i="1"/>
  <c r="FV202" i="1"/>
  <c r="FW202" i="1"/>
  <c r="FX202" i="1"/>
  <c r="FY202" i="1"/>
  <c r="FZ202" i="1"/>
  <c r="GA202" i="1"/>
  <c r="GB202" i="1"/>
  <c r="GC202" i="1"/>
  <c r="GD202" i="1"/>
  <c r="GE202" i="1"/>
  <c r="GF202" i="1"/>
  <c r="GG202" i="1"/>
  <c r="GH202" i="1"/>
  <c r="GI202" i="1"/>
  <c r="GJ202" i="1"/>
  <c r="GK202" i="1"/>
  <c r="GL202" i="1"/>
  <c r="GM202" i="1"/>
  <c r="GN202" i="1"/>
  <c r="GO202" i="1"/>
  <c r="GP202" i="1"/>
  <c r="GQ202" i="1"/>
  <c r="GR202" i="1"/>
  <c r="GS202" i="1"/>
  <c r="GT202" i="1"/>
  <c r="GU202" i="1"/>
  <c r="GV202" i="1"/>
  <c r="GW202" i="1"/>
  <c r="GX202" i="1"/>
  <c r="GY202" i="1"/>
  <c r="GZ202" i="1"/>
  <c r="HA202" i="1"/>
  <c r="HB202" i="1"/>
  <c r="HC202" i="1"/>
  <c r="HD202" i="1"/>
  <c r="HE202" i="1"/>
  <c r="HF202" i="1"/>
  <c r="HG202" i="1"/>
  <c r="HH202" i="1"/>
  <c r="HI202" i="1"/>
  <c r="HJ202" i="1"/>
  <c r="HK202" i="1"/>
  <c r="HL202" i="1"/>
  <c r="HM202" i="1"/>
  <c r="HN202" i="1"/>
  <c r="HO202" i="1"/>
  <c r="HP202" i="1"/>
  <c r="HQ202" i="1"/>
  <c r="HR202" i="1"/>
  <c r="HS202" i="1"/>
  <c r="HT202" i="1"/>
  <c r="HU202" i="1"/>
  <c r="HV202" i="1"/>
  <c r="HW202" i="1"/>
  <c r="HX202" i="1"/>
  <c r="HY202" i="1"/>
  <c r="HZ202" i="1"/>
  <c r="IA202" i="1"/>
  <c r="IB202" i="1"/>
  <c r="IC202" i="1"/>
  <c r="ID202" i="1"/>
  <c r="IE202" i="1"/>
  <c r="IF202" i="1"/>
  <c r="IG202" i="1"/>
  <c r="IH202" i="1"/>
  <c r="H203" i="1"/>
  <c r="I203" i="1"/>
  <c r="L203" i="1"/>
  <c r="O203" i="1"/>
  <c r="R203" i="1"/>
  <c r="S203" i="1"/>
  <c r="T203" i="1"/>
  <c r="U203" i="1"/>
  <c r="W203" i="1"/>
  <c r="X203" i="1"/>
  <c r="Y203" i="1"/>
  <c r="Z203" i="1"/>
  <c r="AA203" i="1"/>
  <c r="AB203" i="1"/>
  <c r="AP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D203" i="1"/>
  <c r="CE203" i="1"/>
  <c r="CF203" i="1"/>
  <c r="CG203" i="1"/>
  <c r="CH203" i="1"/>
  <c r="CI203" i="1"/>
  <c r="CJ203" i="1"/>
  <c r="CK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CY203" i="1"/>
  <c r="CZ203" i="1"/>
  <c r="DA203" i="1"/>
  <c r="DB203" i="1"/>
  <c r="DC203" i="1"/>
  <c r="DE203" i="1"/>
  <c r="DH203" i="1"/>
  <c r="DK203" i="1"/>
  <c r="DL203" i="1"/>
  <c r="DM203" i="1"/>
  <c r="DN203" i="1"/>
  <c r="DP203" i="1"/>
  <c r="DS203" i="1"/>
  <c r="DV203" i="1"/>
  <c r="DX203" i="1"/>
  <c r="DY203" i="1"/>
  <c r="ED203" i="1"/>
  <c r="EE203" i="1"/>
  <c r="EF203" i="1"/>
  <c r="EG203" i="1"/>
  <c r="EH203" i="1"/>
  <c r="EI203" i="1"/>
  <c r="EJ203" i="1"/>
  <c r="EK203" i="1"/>
  <c r="FO203" i="1"/>
  <c r="FP203" i="1"/>
  <c r="FQ203" i="1"/>
  <c r="FR203" i="1"/>
  <c r="FS203" i="1"/>
  <c r="FT203" i="1"/>
  <c r="FU203" i="1"/>
  <c r="FV203" i="1"/>
  <c r="FW203" i="1"/>
  <c r="FX203" i="1"/>
  <c r="FY203" i="1"/>
  <c r="FZ203" i="1"/>
  <c r="GA203" i="1"/>
  <c r="GB203" i="1"/>
  <c r="GC203" i="1"/>
  <c r="GD203" i="1"/>
  <c r="GE203" i="1"/>
  <c r="GF203" i="1"/>
  <c r="GG203" i="1"/>
  <c r="GH203" i="1"/>
  <c r="GI203" i="1"/>
  <c r="GJ203" i="1"/>
  <c r="GK203" i="1"/>
  <c r="GL203" i="1"/>
  <c r="GM203" i="1"/>
  <c r="GN203" i="1"/>
  <c r="GO203" i="1"/>
  <c r="GP203" i="1"/>
  <c r="GQ203" i="1"/>
  <c r="GR203" i="1"/>
  <c r="GS203" i="1"/>
  <c r="GT203" i="1"/>
  <c r="GU203" i="1"/>
  <c r="GV203" i="1"/>
  <c r="GW203" i="1"/>
  <c r="GX203" i="1"/>
  <c r="GY203" i="1"/>
  <c r="GZ203" i="1"/>
  <c r="HA203" i="1"/>
  <c r="HB203" i="1"/>
  <c r="HC203" i="1"/>
  <c r="HD203" i="1"/>
  <c r="HE203" i="1"/>
  <c r="HF203" i="1"/>
  <c r="HG203" i="1"/>
  <c r="HH203" i="1"/>
  <c r="HI203" i="1"/>
  <c r="HJ203" i="1"/>
  <c r="HK203" i="1"/>
  <c r="HL203" i="1"/>
  <c r="HM203" i="1"/>
  <c r="HN203" i="1"/>
  <c r="HO203" i="1"/>
  <c r="HP203" i="1"/>
  <c r="HQ203" i="1"/>
  <c r="HR203" i="1"/>
  <c r="HS203" i="1"/>
  <c r="HT203" i="1"/>
  <c r="HU203" i="1"/>
  <c r="HV203" i="1"/>
  <c r="HW203" i="1"/>
  <c r="HX203" i="1"/>
  <c r="HY203" i="1"/>
  <c r="HZ203" i="1"/>
  <c r="IA203" i="1"/>
  <c r="IB203" i="1"/>
  <c r="IC203" i="1"/>
  <c r="ID203" i="1"/>
  <c r="IE203" i="1"/>
  <c r="IF203" i="1"/>
  <c r="IG203" i="1"/>
  <c r="IH203" i="1"/>
  <c r="H204" i="1"/>
  <c r="I204" i="1"/>
  <c r="L204" i="1"/>
  <c r="O204" i="1"/>
  <c r="R204" i="1"/>
  <c r="S204" i="1"/>
  <c r="T204" i="1"/>
  <c r="U204" i="1"/>
  <c r="W204" i="1"/>
  <c r="X204" i="1"/>
  <c r="Y204" i="1"/>
  <c r="Z204" i="1"/>
  <c r="AA204" i="1"/>
  <c r="AB204" i="1"/>
  <c r="AP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D204" i="1"/>
  <c r="CE204" i="1"/>
  <c r="CF204" i="1"/>
  <c r="CG204" i="1"/>
  <c r="CH204" i="1"/>
  <c r="CI204" i="1"/>
  <c r="CJ204" i="1"/>
  <c r="CK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E204" i="1"/>
  <c r="DH204" i="1"/>
  <c r="DK204" i="1"/>
  <c r="DL204" i="1"/>
  <c r="DM204" i="1"/>
  <c r="DN204" i="1"/>
  <c r="DP204" i="1"/>
  <c r="DS204" i="1"/>
  <c r="DV204" i="1"/>
  <c r="DX204" i="1"/>
  <c r="DY204" i="1"/>
  <c r="ED204" i="1"/>
  <c r="EE204" i="1"/>
  <c r="EF204" i="1"/>
  <c r="EG204" i="1"/>
  <c r="EH204" i="1"/>
  <c r="EI204" i="1"/>
  <c r="EJ204" i="1"/>
  <c r="EK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GU204" i="1"/>
  <c r="GV204" i="1"/>
  <c r="GW204" i="1"/>
  <c r="GX204" i="1"/>
  <c r="GY204" i="1"/>
  <c r="GZ204" i="1"/>
  <c r="HA204" i="1"/>
  <c r="HB204" i="1"/>
  <c r="HC204" i="1"/>
  <c r="HD204" i="1"/>
  <c r="HE204" i="1"/>
  <c r="HF204" i="1"/>
  <c r="HG204" i="1"/>
  <c r="HH204" i="1"/>
  <c r="HI204" i="1"/>
  <c r="HJ204" i="1"/>
  <c r="HK204" i="1"/>
  <c r="HL204" i="1"/>
  <c r="HM204" i="1"/>
  <c r="HN204" i="1"/>
  <c r="HO204" i="1"/>
  <c r="HP204" i="1"/>
  <c r="HQ204" i="1"/>
  <c r="HR204" i="1"/>
  <c r="HS204" i="1"/>
  <c r="HT204" i="1"/>
  <c r="HU204" i="1"/>
  <c r="HV204" i="1"/>
  <c r="HW204" i="1"/>
  <c r="HX204" i="1"/>
  <c r="HY204" i="1"/>
  <c r="HZ204" i="1"/>
  <c r="IA204" i="1"/>
  <c r="IB204" i="1"/>
  <c r="IC204" i="1"/>
  <c r="ID204" i="1"/>
  <c r="IE204" i="1"/>
  <c r="IF204" i="1"/>
  <c r="IG204" i="1"/>
  <c r="IH204" i="1"/>
  <c r="H205" i="1"/>
  <c r="I205" i="1"/>
  <c r="L205" i="1"/>
  <c r="O205" i="1"/>
  <c r="R205" i="1"/>
  <c r="S205" i="1"/>
  <c r="T205" i="1"/>
  <c r="U205" i="1"/>
  <c r="W205" i="1"/>
  <c r="X205" i="1"/>
  <c r="Y205" i="1"/>
  <c r="Z205" i="1"/>
  <c r="AA205" i="1"/>
  <c r="AB205" i="1"/>
  <c r="AP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D205" i="1"/>
  <c r="CE205" i="1"/>
  <c r="CF205" i="1"/>
  <c r="CG205" i="1"/>
  <c r="CH205" i="1"/>
  <c r="CI205" i="1"/>
  <c r="CJ205" i="1"/>
  <c r="CK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CY205" i="1"/>
  <c r="CZ205" i="1"/>
  <c r="DA205" i="1"/>
  <c r="DB205" i="1"/>
  <c r="DC205" i="1"/>
  <c r="DE205" i="1"/>
  <c r="DH205" i="1"/>
  <c r="DK205" i="1"/>
  <c r="DL205" i="1"/>
  <c r="DM205" i="1"/>
  <c r="DN205" i="1"/>
  <c r="DP205" i="1"/>
  <c r="DS205" i="1"/>
  <c r="DV205" i="1"/>
  <c r="DX205" i="1"/>
  <c r="DY205" i="1"/>
  <c r="ED205" i="1"/>
  <c r="EE205" i="1"/>
  <c r="EF205" i="1"/>
  <c r="EG205" i="1"/>
  <c r="EH205" i="1"/>
  <c r="EI205" i="1"/>
  <c r="EJ205" i="1"/>
  <c r="EK205" i="1"/>
  <c r="FO205" i="1"/>
  <c r="FP205" i="1"/>
  <c r="FQ205" i="1"/>
  <c r="FR205" i="1"/>
  <c r="FS205" i="1"/>
  <c r="FT205" i="1"/>
  <c r="FU205" i="1"/>
  <c r="FV205" i="1"/>
  <c r="FW205" i="1"/>
  <c r="FX205" i="1"/>
  <c r="FY205" i="1"/>
  <c r="FZ205" i="1"/>
  <c r="GA205" i="1"/>
  <c r="GB205" i="1"/>
  <c r="GC205" i="1"/>
  <c r="GD205" i="1"/>
  <c r="GE205" i="1"/>
  <c r="GF205" i="1"/>
  <c r="GG205" i="1"/>
  <c r="GH205" i="1"/>
  <c r="GI205" i="1"/>
  <c r="GJ205" i="1"/>
  <c r="GK205" i="1"/>
  <c r="GL205" i="1"/>
  <c r="GM205" i="1"/>
  <c r="GN205" i="1"/>
  <c r="GO205" i="1"/>
  <c r="GP205" i="1"/>
  <c r="GQ205" i="1"/>
  <c r="GR205" i="1"/>
  <c r="GS205" i="1"/>
  <c r="GT205" i="1"/>
  <c r="GU205" i="1"/>
  <c r="GV205" i="1"/>
  <c r="GW205" i="1"/>
  <c r="GX205" i="1"/>
  <c r="GY205" i="1"/>
  <c r="GZ205" i="1"/>
  <c r="HA205" i="1"/>
  <c r="HB205" i="1"/>
  <c r="HC205" i="1"/>
  <c r="HD205" i="1"/>
  <c r="HE205" i="1"/>
  <c r="HF205" i="1"/>
  <c r="HG205" i="1"/>
  <c r="HH205" i="1"/>
  <c r="HI205" i="1"/>
  <c r="HJ205" i="1"/>
  <c r="HK205" i="1"/>
  <c r="HL205" i="1"/>
  <c r="HM205" i="1"/>
  <c r="HN205" i="1"/>
  <c r="HO205" i="1"/>
  <c r="HP205" i="1"/>
  <c r="HQ205" i="1"/>
  <c r="HR205" i="1"/>
  <c r="HS205" i="1"/>
  <c r="HT205" i="1"/>
  <c r="HU205" i="1"/>
  <c r="HV205" i="1"/>
  <c r="HW205" i="1"/>
  <c r="HX205" i="1"/>
  <c r="HY205" i="1"/>
  <c r="HZ205" i="1"/>
  <c r="IA205" i="1"/>
  <c r="IB205" i="1"/>
  <c r="IC205" i="1"/>
  <c r="ID205" i="1"/>
  <c r="IE205" i="1"/>
  <c r="IF205" i="1"/>
  <c r="IG205" i="1"/>
  <c r="IH205" i="1"/>
  <c r="H206" i="1"/>
  <c r="I206" i="1"/>
  <c r="L206" i="1"/>
  <c r="O206" i="1"/>
  <c r="R206" i="1"/>
  <c r="S206" i="1"/>
  <c r="T206" i="1"/>
  <c r="U206" i="1"/>
  <c r="W206" i="1"/>
  <c r="X206" i="1"/>
  <c r="Y206" i="1"/>
  <c r="Z206" i="1"/>
  <c r="AA206" i="1"/>
  <c r="AB206" i="1"/>
  <c r="AP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D206" i="1"/>
  <c r="CE206" i="1"/>
  <c r="CF206" i="1"/>
  <c r="CG206" i="1"/>
  <c r="CH206" i="1"/>
  <c r="CI206" i="1"/>
  <c r="CJ206" i="1"/>
  <c r="CK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DC206" i="1"/>
  <c r="DE206" i="1"/>
  <c r="DH206" i="1"/>
  <c r="DK206" i="1"/>
  <c r="DL206" i="1"/>
  <c r="DM206" i="1"/>
  <c r="DN206" i="1"/>
  <c r="DP206" i="1"/>
  <c r="DS206" i="1"/>
  <c r="DV206" i="1"/>
  <c r="DX206" i="1"/>
  <c r="DY206" i="1"/>
  <c r="ED206" i="1"/>
  <c r="EE206" i="1"/>
  <c r="EF206" i="1"/>
  <c r="EG206" i="1"/>
  <c r="EH206" i="1"/>
  <c r="EI206" i="1"/>
  <c r="EJ206" i="1"/>
  <c r="EK206" i="1"/>
  <c r="FO206" i="1"/>
  <c r="FP206" i="1"/>
  <c r="FQ206" i="1"/>
  <c r="FR206" i="1"/>
  <c r="FS206" i="1"/>
  <c r="FT206" i="1"/>
  <c r="FU206" i="1"/>
  <c r="FV206" i="1"/>
  <c r="FW206" i="1"/>
  <c r="FX206" i="1"/>
  <c r="FY206" i="1"/>
  <c r="FZ206" i="1"/>
  <c r="GA206" i="1"/>
  <c r="GB206" i="1"/>
  <c r="GC206" i="1"/>
  <c r="GD206" i="1"/>
  <c r="GE206" i="1"/>
  <c r="GF206" i="1"/>
  <c r="GG206" i="1"/>
  <c r="GH206" i="1"/>
  <c r="GI206" i="1"/>
  <c r="GJ206" i="1"/>
  <c r="GK206" i="1"/>
  <c r="GL206" i="1"/>
  <c r="GM206" i="1"/>
  <c r="GN206" i="1"/>
  <c r="GO206" i="1"/>
  <c r="GP206" i="1"/>
  <c r="GQ206" i="1"/>
  <c r="GR206" i="1"/>
  <c r="GS206" i="1"/>
  <c r="GT206" i="1"/>
  <c r="GU206" i="1"/>
  <c r="GV206" i="1"/>
  <c r="GW206" i="1"/>
  <c r="GX206" i="1"/>
  <c r="GY206" i="1"/>
  <c r="GZ206" i="1"/>
  <c r="HA206" i="1"/>
  <c r="HB206" i="1"/>
  <c r="HC206" i="1"/>
  <c r="HD206" i="1"/>
  <c r="HE206" i="1"/>
  <c r="HF206" i="1"/>
  <c r="HG206" i="1"/>
  <c r="HH206" i="1"/>
  <c r="HI206" i="1"/>
  <c r="HJ206" i="1"/>
  <c r="HK206" i="1"/>
  <c r="HL206" i="1"/>
  <c r="HM206" i="1"/>
  <c r="HN206" i="1"/>
  <c r="HO206" i="1"/>
  <c r="HP206" i="1"/>
  <c r="HQ206" i="1"/>
  <c r="HR206" i="1"/>
  <c r="HS206" i="1"/>
  <c r="HT206" i="1"/>
  <c r="HU206" i="1"/>
  <c r="HV206" i="1"/>
  <c r="HW206" i="1"/>
  <c r="HX206" i="1"/>
  <c r="HY206" i="1"/>
  <c r="HZ206" i="1"/>
  <c r="IA206" i="1"/>
  <c r="IB206" i="1"/>
  <c r="IC206" i="1"/>
  <c r="ID206" i="1"/>
  <c r="IE206" i="1"/>
  <c r="IF206" i="1"/>
  <c r="IG206" i="1"/>
  <c r="IH206" i="1"/>
  <c r="H207" i="1"/>
  <c r="I207" i="1"/>
  <c r="L207" i="1"/>
  <c r="O207" i="1"/>
  <c r="R207" i="1"/>
  <c r="S207" i="1"/>
  <c r="T207" i="1"/>
  <c r="U207" i="1"/>
  <c r="W207" i="1"/>
  <c r="X207" i="1"/>
  <c r="Y207" i="1"/>
  <c r="Z207" i="1"/>
  <c r="AA207" i="1"/>
  <c r="AB207" i="1"/>
  <c r="AP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D207" i="1"/>
  <c r="CE207" i="1"/>
  <c r="CF207" i="1"/>
  <c r="CG207" i="1"/>
  <c r="CH207" i="1"/>
  <c r="CI207" i="1"/>
  <c r="CJ207" i="1"/>
  <c r="CK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CY207" i="1"/>
  <c r="CZ207" i="1"/>
  <c r="DA207" i="1"/>
  <c r="DB207" i="1"/>
  <c r="DC207" i="1"/>
  <c r="DE207" i="1"/>
  <c r="DH207" i="1"/>
  <c r="DK207" i="1"/>
  <c r="DL207" i="1"/>
  <c r="DM207" i="1"/>
  <c r="DN207" i="1"/>
  <c r="DP207" i="1"/>
  <c r="DS207" i="1"/>
  <c r="DV207" i="1"/>
  <c r="DX207" i="1"/>
  <c r="DY207" i="1"/>
  <c r="ED207" i="1"/>
  <c r="EE207" i="1"/>
  <c r="EF207" i="1"/>
  <c r="EG207" i="1"/>
  <c r="EH207" i="1"/>
  <c r="EI207" i="1"/>
  <c r="EJ207" i="1"/>
  <c r="EK207" i="1"/>
  <c r="FO207" i="1"/>
  <c r="FP207" i="1"/>
  <c r="FQ207" i="1"/>
  <c r="FR207" i="1"/>
  <c r="FS207" i="1"/>
  <c r="FT207" i="1"/>
  <c r="FU207" i="1"/>
  <c r="FV207" i="1"/>
  <c r="FW207" i="1"/>
  <c r="FX207" i="1"/>
  <c r="FY207" i="1"/>
  <c r="FZ207" i="1"/>
  <c r="GA207" i="1"/>
  <c r="GB207" i="1"/>
  <c r="GC207" i="1"/>
  <c r="GD207" i="1"/>
  <c r="GE207" i="1"/>
  <c r="GF207" i="1"/>
  <c r="GG207" i="1"/>
  <c r="GH207" i="1"/>
  <c r="GI207" i="1"/>
  <c r="GJ207" i="1"/>
  <c r="GK207" i="1"/>
  <c r="GL207" i="1"/>
  <c r="GM207" i="1"/>
  <c r="GN207" i="1"/>
  <c r="GO207" i="1"/>
  <c r="GP207" i="1"/>
  <c r="GQ207" i="1"/>
  <c r="GR207" i="1"/>
  <c r="GS207" i="1"/>
  <c r="GT207" i="1"/>
  <c r="GU207" i="1"/>
  <c r="GV207" i="1"/>
  <c r="GW207" i="1"/>
  <c r="GX207" i="1"/>
  <c r="GY207" i="1"/>
  <c r="GZ207" i="1"/>
  <c r="HA207" i="1"/>
  <c r="HB207" i="1"/>
  <c r="HC207" i="1"/>
  <c r="HD207" i="1"/>
  <c r="HE207" i="1"/>
  <c r="HF207" i="1"/>
  <c r="HG207" i="1"/>
  <c r="HH207" i="1"/>
  <c r="HI207" i="1"/>
  <c r="HJ207" i="1"/>
  <c r="HK207" i="1"/>
  <c r="HL207" i="1"/>
  <c r="HM207" i="1"/>
  <c r="HN207" i="1"/>
  <c r="HO207" i="1"/>
  <c r="HP207" i="1"/>
  <c r="HQ207" i="1"/>
  <c r="HR207" i="1"/>
  <c r="HS207" i="1"/>
  <c r="HT207" i="1"/>
  <c r="HU207" i="1"/>
  <c r="HV207" i="1"/>
  <c r="HW207" i="1"/>
  <c r="HX207" i="1"/>
  <c r="HY207" i="1"/>
  <c r="HZ207" i="1"/>
  <c r="IA207" i="1"/>
  <c r="IB207" i="1"/>
  <c r="IC207" i="1"/>
  <c r="ID207" i="1"/>
  <c r="IE207" i="1"/>
  <c r="IF207" i="1"/>
  <c r="IG207" i="1"/>
  <c r="IH207" i="1"/>
  <c r="H208" i="1"/>
  <c r="I208" i="1"/>
  <c r="L208" i="1"/>
  <c r="O208" i="1"/>
  <c r="R208" i="1"/>
  <c r="S208" i="1"/>
  <c r="T208" i="1"/>
  <c r="U208" i="1"/>
  <c r="W208" i="1"/>
  <c r="X208" i="1"/>
  <c r="Y208" i="1"/>
  <c r="Z208" i="1"/>
  <c r="AA208" i="1"/>
  <c r="AB208" i="1"/>
  <c r="AP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D208" i="1"/>
  <c r="CE208" i="1"/>
  <c r="CF208" i="1"/>
  <c r="CG208" i="1"/>
  <c r="CH208" i="1"/>
  <c r="CI208" i="1"/>
  <c r="CJ208" i="1"/>
  <c r="CK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CY208" i="1"/>
  <c r="CZ208" i="1"/>
  <c r="DA208" i="1"/>
  <c r="DB208" i="1"/>
  <c r="DC208" i="1"/>
  <c r="DE208" i="1"/>
  <c r="DH208" i="1"/>
  <c r="DK208" i="1"/>
  <c r="DL208" i="1"/>
  <c r="DM208" i="1"/>
  <c r="DN208" i="1"/>
  <c r="DP208" i="1"/>
  <c r="DS208" i="1"/>
  <c r="DV208" i="1"/>
  <c r="DX208" i="1"/>
  <c r="DY208" i="1"/>
  <c r="ED208" i="1"/>
  <c r="EE208" i="1"/>
  <c r="EF208" i="1"/>
  <c r="EG208" i="1"/>
  <c r="EH208" i="1"/>
  <c r="EI208" i="1"/>
  <c r="EJ208" i="1"/>
  <c r="EK208" i="1"/>
  <c r="FO208" i="1"/>
  <c r="FP208" i="1"/>
  <c r="FQ208" i="1"/>
  <c r="FR208" i="1"/>
  <c r="FS208" i="1"/>
  <c r="FT208" i="1"/>
  <c r="FU208" i="1"/>
  <c r="FV208" i="1"/>
  <c r="FW208" i="1"/>
  <c r="FX208" i="1"/>
  <c r="FY208" i="1"/>
  <c r="FZ208" i="1"/>
  <c r="GA208" i="1"/>
  <c r="GB208" i="1"/>
  <c r="GC208" i="1"/>
  <c r="GD208" i="1"/>
  <c r="GE208" i="1"/>
  <c r="GF208" i="1"/>
  <c r="GG208" i="1"/>
  <c r="GH208" i="1"/>
  <c r="GI208" i="1"/>
  <c r="GJ208" i="1"/>
  <c r="GK208" i="1"/>
  <c r="GL208" i="1"/>
  <c r="GM208" i="1"/>
  <c r="GN208" i="1"/>
  <c r="GO208" i="1"/>
  <c r="GP208" i="1"/>
  <c r="GQ208" i="1"/>
  <c r="GR208" i="1"/>
  <c r="GS208" i="1"/>
  <c r="GT208" i="1"/>
  <c r="GU208" i="1"/>
  <c r="GV208" i="1"/>
  <c r="GW208" i="1"/>
  <c r="GX208" i="1"/>
  <c r="GY208" i="1"/>
  <c r="GZ208" i="1"/>
  <c r="HA208" i="1"/>
  <c r="HB208" i="1"/>
  <c r="HC208" i="1"/>
  <c r="HD208" i="1"/>
  <c r="HE208" i="1"/>
  <c r="HF208" i="1"/>
  <c r="HG208" i="1"/>
  <c r="HH208" i="1"/>
  <c r="HI208" i="1"/>
  <c r="HJ208" i="1"/>
  <c r="HK208" i="1"/>
  <c r="HL208" i="1"/>
  <c r="HM208" i="1"/>
  <c r="HN208" i="1"/>
  <c r="HO208" i="1"/>
  <c r="HP208" i="1"/>
  <c r="HQ208" i="1"/>
  <c r="HR208" i="1"/>
  <c r="HS208" i="1"/>
  <c r="HT208" i="1"/>
  <c r="HU208" i="1"/>
  <c r="HV208" i="1"/>
  <c r="HW208" i="1"/>
  <c r="HX208" i="1"/>
  <c r="HY208" i="1"/>
  <c r="HZ208" i="1"/>
  <c r="IA208" i="1"/>
  <c r="IB208" i="1"/>
  <c r="IC208" i="1"/>
  <c r="ID208" i="1"/>
  <c r="IE208" i="1"/>
  <c r="IF208" i="1"/>
  <c r="IG208" i="1"/>
  <c r="IH208" i="1"/>
  <c r="H209" i="1"/>
  <c r="I209" i="1"/>
  <c r="L209" i="1"/>
  <c r="O209" i="1"/>
  <c r="R209" i="1"/>
  <c r="S209" i="1"/>
  <c r="T209" i="1"/>
  <c r="U209" i="1"/>
  <c r="W209" i="1"/>
  <c r="X209" i="1"/>
  <c r="Y209" i="1"/>
  <c r="Z209" i="1"/>
  <c r="AA209" i="1"/>
  <c r="AB209" i="1"/>
  <c r="AP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D209" i="1"/>
  <c r="CE209" i="1"/>
  <c r="CF209" i="1"/>
  <c r="CG209" i="1"/>
  <c r="CH209" i="1"/>
  <c r="CI209" i="1"/>
  <c r="CJ209" i="1"/>
  <c r="CK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CY209" i="1"/>
  <c r="CZ209" i="1"/>
  <c r="DA209" i="1"/>
  <c r="DB209" i="1"/>
  <c r="DC209" i="1"/>
  <c r="DE209" i="1"/>
  <c r="DH209" i="1"/>
  <c r="DK209" i="1"/>
  <c r="DL209" i="1"/>
  <c r="DM209" i="1"/>
  <c r="DN209" i="1"/>
  <c r="DP209" i="1"/>
  <c r="DS209" i="1"/>
  <c r="DV209" i="1"/>
  <c r="DX209" i="1"/>
  <c r="DY209" i="1"/>
  <c r="ED209" i="1"/>
  <c r="EE209" i="1"/>
  <c r="EF209" i="1"/>
  <c r="EG209" i="1"/>
  <c r="EH209" i="1"/>
  <c r="EI209" i="1"/>
  <c r="EJ209" i="1"/>
  <c r="EK209" i="1"/>
  <c r="FO209" i="1"/>
  <c r="FP209" i="1"/>
  <c r="FQ209" i="1"/>
  <c r="FR209" i="1"/>
  <c r="FS209" i="1"/>
  <c r="FT209" i="1"/>
  <c r="FU209" i="1"/>
  <c r="FV209" i="1"/>
  <c r="FW209" i="1"/>
  <c r="FX209" i="1"/>
  <c r="FY209" i="1"/>
  <c r="FZ209" i="1"/>
  <c r="GA209" i="1"/>
  <c r="GB209" i="1"/>
  <c r="GC209" i="1"/>
  <c r="GD209" i="1"/>
  <c r="GE209" i="1"/>
  <c r="GF209" i="1"/>
  <c r="GG209" i="1"/>
  <c r="GH209" i="1"/>
  <c r="GI209" i="1"/>
  <c r="GJ209" i="1"/>
  <c r="GK209" i="1"/>
  <c r="GL209" i="1"/>
  <c r="GM209" i="1"/>
  <c r="GN209" i="1"/>
  <c r="GO209" i="1"/>
  <c r="GP209" i="1"/>
  <c r="GQ209" i="1"/>
  <c r="GR209" i="1"/>
  <c r="GS209" i="1"/>
  <c r="GT209" i="1"/>
  <c r="GU209" i="1"/>
  <c r="GV209" i="1"/>
  <c r="GW209" i="1"/>
  <c r="GX209" i="1"/>
  <c r="GY209" i="1"/>
  <c r="GZ209" i="1"/>
  <c r="HA209" i="1"/>
  <c r="HB209" i="1"/>
  <c r="HC209" i="1"/>
  <c r="HD209" i="1"/>
  <c r="HE209" i="1"/>
  <c r="HF209" i="1"/>
  <c r="HG209" i="1"/>
  <c r="HH209" i="1"/>
  <c r="HI209" i="1"/>
  <c r="HJ209" i="1"/>
  <c r="HK209" i="1"/>
  <c r="HL209" i="1"/>
  <c r="HM209" i="1"/>
  <c r="HN209" i="1"/>
  <c r="HO209" i="1"/>
  <c r="HP209" i="1"/>
  <c r="HQ209" i="1"/>
  <c r="HR209" i="1"/>
  <c r="HS209" i="1"/>
  <c r="HT209" i="1"/>
  <c r="HU209" i="1"/>
  <c r="HV209" i="1"/>
  <c r="HW209" i="1"/>
  <c r="HX209" i="1"/>
  <c r="HY209" i="1"/>
  <c r="HZ209" i="1"/>
  <c r="IA209" i="1"/>
  <c r="IB209" i="1"/>
  <c r="IC209" i="1"/>
  <c r="ID209" i="1"/>
  <c r="IE209" i="1"/>
  <c r="IF209" i="1"/>
  <c r="IG209" i="1"/>
  <c r="IH209" i="1"/>
  <c r="H210" i="1"/>
  <c r="I210" i="1"/>
  <c r="L210" i="1"/>
  <c r="O210" i="1"/>
  <c r="R210" i="1"/>
  <c r="S210" i="1"/>
  <c r="T210" i="1"/>
  <c r="U210" i="1"/>
  <c r="W210" i="1"/>
  <c r="X210" i="1"/>
  <c r="Y210" i="1"/>
  <c r="Z210" i="1"/>
  <c r="AA210" i="1"/>
  <c r="AB210" i="1"/>
  <c r="AP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D210" i="1"/>
  <c r="CE210" i="1"/>
  <c r="CF210" i="1"/>
  <c r="CG210" i="1"/>
  <c r="CH210" i="1"/>
  <c r="CI210" i="1"/>
  <c r="CJ210" i="1"/>
  <c r="CK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CY210" i="1"/>
  <c r="CZ210" i="1"/>
  <c r="DA210" i="1"/>
  <c r="DB210" i="1"/>
  <c r="DC210" i="1"/>
  <c r="DE210" i="1"/>
  <c r="DH210" i="1"/>
  <c r="DK210" i="1"/>
  <c r="DL210" i="1"/>
  <c r="DM210" i="1"/>
  <c r="DN210" i="1"/>
  <c r="DP210" i="1"/>
  <c r="DS210" i="1"/>
  <c r="DV210" i="1"/>
  <c r="DX210" i="1"/>
  <c r="DY210" i="1"/>
  <c r="ED210" i="1"/>
  <c r="EE210" i="1"/>
  <c r="EF210" i="1"/>
  <c r="EG210" i="1"/>
  <c r="EH210" i="1"/>
  <c r="EI210" i="1"/>
  <c r="EJ210" i="1"/>
  <c r="EK210" i="1"/>
  <c r="FO210" i="1"/>
  <c r="FP210" i="1"/>
  <c r="FQ210" i="1"/>
  <c r="FR210" i="1"/>
  <c r="FS210" i="1"/>
  <c r="FT210" i="1"/>
  <c r="FU210" i="1"/>
  <c r="FV210" i="1"/>
  <c r="FW210" i="1"/>
  <c r="FX210" i="1"/>
  <c r="FY210" i="1"/>
  <c r="FZ210" i="1"/>
  <c r="GA210" i="1"/>
  <c r="GB210" i="1"/>
  <c r="GC210" i="1"/>
  <c r="GD210" i="1"/>
  <c r="GE210" i="1"/>
  <c r="GF210" i="1"/>
  <c r="GG210" i="1"/>
  <c r="GH210" i="1"/>
  <c r="GI210" i="1"/>
  <c r="GJ210" i="1"/>
  <c r="GK210" i="1"/>
  <c r="GL210" i="1"/>
  <c r="GM210" i="1"/>
  <c r="GN210" i="1"/>
  <c r="GO210" i="1"/>
  <c r="GP210" i="1"/>
  <c r="GQ210" i="1"/>
  <c r="GR210" i="1"/>
  <c r="GS210" i="1"/>
  <c r="GT210" i="1"/>
  <c r="GU210" i="1"/>
  <c r="GV210" i="1"/>
  <c r="GW210" i="1"/>
  <c r="GX210" i="1"/>
  <c r="GY210" i="1"/>
  <c r="GZ210" i="1"/>
  <c r="HA210" i="1"/>
  <c r="HB210" i="1"/>
  <c r="HC210" i="1"/>
  <c r="HD210" i="1"/>
  <c r="HE210" i="1"/>
  <c r="HF210" i="1"/>
  <c r="HG210" i="1"/>
  <c r="HH210" i="1"/>
  <c r="HI210" i="1"/>
  <c r="HJ210" i="1"/>
  <c r="HK210" i="1"/>
  <c r="HL210" i="1"/>
  <c r="HM210" i="1"/>
  <c r="HN210" i="1"/>
  <c r="HO210" i="1"/>
  <c r="HP210" i="1"/>
  <c r="HQ210" i="1"/>
  <c r="HR210" i="1"/>
  <c r="HS210" i="1"/>
  <c r="HT210" i="1"/>
  <c r="HU210" i="1"/>
  <c r="HV210" i="1"/>
  <c r="HW210" i="1"/>
  <c r="HX210" i="1"/>
  <c r="HY210" i="1"/>
  <c r="HZ210" i="1"/>
  <c r="IA210" i="1"/>
  <c r="IB210" i="1"/>
  <c r="IC210" i="1"/>
  <c r="ID210" i="1"/>
  <c r="IE210" i="1"/>
  <c r="IF210" i="1"/>
  <c r="IG210" i="1"/>
  <c r="IH210" i="1"/>
  <c r="H211" i="1"/>
  <c r="I211" i="1"/>
  <c r="L211" i="1"/>
  <c r="O211" i="1"/>
  <c r="R211" i="1"/>
  <c r="S211" i="1"/>
  <c r="T211" i="1"/>
  <c r="U211" i="1"/>
  <c r="W211" i="1"/>
  <c r="X211" i="1"/>
  <c r="Y211" i="1"/>
  <c r="Z211" i="1"/>
  <c r="AA211" i="1"/>
  <c r="AB211" i="1"/>
  <c r="AP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D211" i="1"/>
  <c r="CE211" i="1"/>
  <c r="CF211" i="1"/>
  <c r="CG211" i="1"/>
  <c r="CH211" i="1"/>
  <c r="CI211" i="1"/>
  <c r="CJ211" i="1"/>
  <c r="CK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CY211" i="1"/>
  <c r="CZ211" i="1"/>
  <c r="DA211" i="1"/>
  <c r="DB211" i="1"/>
  <c r="DC211" i="1"/>
  <c r="DE211" i="1"/>
  <c r="DH211" i="1"/>
  <c r="DK211" i="1"/>
  <c r="DL211" i="1"/>
  <c r="DM211" i="1"/>
  <c r="DN211" i="1"/>
  <c r="DP211" i="1"/>
  <c r="DS211" i="1"/>
  <c r="DV211" i="1"/>
  <c r="DX211" i="1"/>
  <c r="DY211" i="1"/>
  <c r="ED211" i="1"/>
  <c r="EE211" i="1"/>
  <c r="EF211" i="1"/>
  <c r="EG211" i="1"/>
  <c r="EH211" i="1"/>
  <c r="EI211" i="1"/>
  <c r="EJ211" i="1"/>
  <c r="EK211" i="1"/>
  <c r="FO211" i="1"/>
  <c r="FP211" i="1"/>
  <c r="FQ211" i="1"/>
  <c r="FR211" i="1"/>
  <c r="FS211" i="1"/>
  <c r="FT211" i="1"/>
  <c r="FU211" i="1"/>
  <c r="FV211" i="1"/>
  <c r="FW211" i="1"/>
  <c r="FX211" i="1"/>
  <c r="FY211" i="1"/>
  <c r="FZ211" i="1"/>
  <c r="GA211" i="1"/>
  <c r="GB211" i="1"/>
  <c r="GC211" i="1"/>
  <c r="GD211" i="1"/>
  <c r="GE211" i="1"/>
  <c r="GF211" i="1"/>
  <c r="GG211" i="1"/>
  <c r="GH211" i="1"/>
  <c r="GI211" i="1"/>
  <c r="GJ211" i="1"/>
  <c r="GK211" i="1"/>
  <c r="GL211" i="1"/>
  <c r="GM211" i="1"/>
  <c r="GN211" i="1"/>
  <c r="GO211" i="1"/>
  <c r="GP211" i="1"/>
  <c r="GQ211" i="1"/>
  <c r="GR211" i="1"/>
  <c r="GS211" i="1"/>
  <c r="GT211" i="1"/>
  <c r="GU211" i="1"/>
  <c r="GV211" i="1"/>
  <c r="GW211" i="1"/>
  <c r="GX211" i="1"/>
  <c r="GY211" i="1"/>
  <c r="GZ211" i="1"/>
  <c r="HA211" i="1"/>
  <c r="HB211" i="1"/>
  <c r="HC211" i="1"/>
  <c r="HD211" i="1"/>
  <c r="HE211" i="1"/>
  <c r="HF211" i="1"/>
  <c r="HG211" i="1"/>
  <c r="HH211" i="1"/>
  <c r="HI211" i="1"/>
  <c r="HJ211" i="1"/>
  <c r="HK211" i="1"/>
  <c r="HL211" i="1"/>
  <c r="HM211" i="1"/>
  <c r="HN211" i="1"/>
  <c r="HO211" i="1"/>
  <c r="HP211" i="1"/>
  <c r="HQ211" i="1"/>
  <c r="HR211" i="1"/>
  <c r="HS211" i="1"/>
  <c r="HT211" i="1"/>
  <c r="HU211" i="1"/>
  <c r="HV211" i="1"/>
  <c r="HW211" i="1"/>
  <c r="HX211" i="1"/>
  <c r="HY211" i="1"/>
  <c r="HZ211" i="1"/>
  <c r="IA211" i="1"/>
  <c r="IB211" i="1"/>
  <c r="IC211" i="1"/>
  <c r="ID211" i="1"/>
  <c r="IE211" i="1"/>
  <c r="IF211" i="1"/>
  <c r="IG211" i="1"/>
  <c r="IH211" i="1"/>
  <c r="H212" i="1"/>
  <c r="I212" i="1"/>
  <c r="L212" i="1"/>
  <c r="O212" i="1"/>
  <c r="R212" i="1"/>
  <c r="S212" i="1"/>
  <c r="T212" i="1"/>
  <c r="U212" i="1"/>
  <c r="W212" i="1"/>
  <c r="X212" i="1"/>
  <c r="Y212" i="1"/>
  <c r="Z212" i="1"/>
  <c r="AA212" i="1"/>
  <c r="AB212" i="1"/>
  <c r="AP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D212" i="1"/>
  <c r="CE212" i="1"/>
  <c r="CF212" i="1"/>
  <c r="CG212" i="1"/>
  <c r="CH212" i="1"/>
  <c r="CI212" i="1"/>
  <c r="CJ212" i="1"/>
  <c r="CK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CY212" i="1"/>
  <c r="CZ212" i="1"/>
  <c r="DA212" i="1"/>
  <c r="DB212" i="1"/>
  <c r="DC212" i="1"/>
  <c r="DE212" i="1"/>
  <c r="DH212" i="1"/>
  <c r="DK212" i="1"/>
  <c r="DL212" i="1"/>
  <c r="DM212" i="1"/>
  <c r="DN212" i="1"/>
  <c r="DP212" i="1"/>
  <c r="DS212" i="1"/>
  <c r="DV212" i="1"/>
  <c r="DX212" i="1"/>
  <c r="DY212" i="1"/>
  <c r="ED212" i="1"/>
  <c r="EE212" i="1"/>
  <c r="EF212" i="1"/>
  <c r="EG212" i="1"/>
  <c r="EH212" i="1"/>
  <c r="EI212" i="1"/>
  <c r="EJ212" i="1"/>
  <c r="EK212" i="1"/>
  <c r="FO212" i="1"/>
  <c r="FP212" i="1"/>
  <c r="FQ212" i="1"/>
  <c r="FR212" i="1"/>
  <c r="FS212" i="1"/>
  <c r="FT212" i="1"/>
  <c r="FU212" i="1"/>
  <c r="FV212" i="1"/>
  <c r="FW212" i="1"/>
  <c r="FX212" i="1"/>
  <c r="FY212" i="1"/>
  <c r="FZ212" i="1"/>
  <c r="GA212" i="1"/>
  <c r="GB212" i="1"/>
  <c r="GC212" i="1"/>
  <c r="GD212" i="1"/>
  <c r="GE212" i="1"/>
  <c r="GF212" i="1"/>
  <c r="GG212" i="1"/>
  <c r="GH212" i="1"/>
  <c r="GI212" i="1"/>
  <c r="GJ212" i="1"/>
  <c r="GK212" i="1"/>
  <c r="GL212" i="1"/>
  <c r="GM212" i="1"/>
  <c r="GN212" i="1"/>
  <c r="GO212" i="1"/>
  <c r="GP212" i="1"/>
  <c r="GQ212" i="1"/>
  <c r="GR212" i="1"/>
  <c r="GS212" i="1"/>
  <c r="GT212" i="1"/>
  <c r="GU212" i="1"/>
  <c r="GV212" i="1"/>
  <c r="GW212" i="1"/>
  <c r="GX212" i="1"/>
  <c r="GY212" i="1"/>
  <c r="GZ212" i="1"/>
  <c r="HA212" i="1"/>
  <c r="HB212" i="1"/>
  <c r="HC212" i="1"/>
  <c r="HD212" i="1"/>
  <c r="HE212" i="1"/>
  <c r="HF212" i="1"/>
  <c r="HG212" i="1"/>
  <c r="HH212" i="1"/>
  <c r="HI212" i="1"/>
  <c r="HJ212" i="1"/>
  <c r="HK212" i="1"/>
  <c r="HL212" i="1"/>
  <c r="HM212" i="1"/>
  <c r="HN212" i="1"/>
  <c r="HO212" i="1"/>
  <c r="HP212" i="1"/>
  <c r="HQ212" i="1"/>
  <c r="HR212" i="1"/>
  <c r="HS212" i="1"/>
  <c r="HT212" i="1"/>
  <c r="HU212" i="1"/>
  <c r="HV212" i="1"/>
  <c r="HW212" i="1"/>
  <c r="HX212" i="1"/>
  <c r="HY212" i="1"/>
  <c r="HZ212" i="1"/>
  <c r="IA212" i="1"/>
  <c r="IB212" i="1"/>
  <c r="IC212" i="1"/>
  <c r="ID212" i="1"/>
  <c r="IE212" i="1"/>
  <c r="IF212" i="1"/>
  <c r="IG212" i="1"/>
  <c r="IH212" i="1"/>
  <c r="H213" i="1"/>
  <c r="I213" i="1"/>
  <c r="L213" i="1"/>
  <c r="O213" i="1"/>
  <c r="R213" i="1"/>
  <c r="S213" i="1"/>
  <c r="T213" i="1"/>
  <c r="U213" i="1"/>
  <c r="W213" i="1"/>
  <c r="X213" i="1"/>
  <c r="Y213" i="1"/>
  <c r="Z213" i="1"/>
  <c r="AA213" i="1"/>
  <c r="AB213" i="1"/>
  <c r="AP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D213" i="1"/>
  <c r="CE213" i="1"/>
  <c r="CF213" i="1"/>
  <c r="CG213" i="1"/>
  <c r="CH213" i="1"/>
  <c r="CI213" i="1"/>
  <c r="CJ213" i="1"/>
  <c r="CK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CY213" i="1"/>
  <c r="CZ213" i="1"/>
  <c r="DA213" i="1"/>
  <c r="DB213" i="1"/>
  <c r="DC213" i="1"/>
  <c r="DE213" i="1"/>
  <c r="DH213" i="1"/>
  <c r="DK213" i="1"/>
  <c r="DL213" i="1"/>
  <c r="DM213" i="1"/>
  <c r="DN213" i="1"/>
  <c r="DP213" i="1"/>
  <c r="DS213" i="1"/>
  <c r="DV213" i="1"/>
  <c r="DX213" i="1"/>
  <c r="DY213" i="1"/>
  <c r="ED213" i="1"/>
  <c r="EE213" i="1"/>
  <c r="EF213" i="1"/>
  <c r="EG213" i="1"/>
  <c r="EH213" i="1"/>
  <c r="EI213" i="1"/>
  <c r="EJ213" i="1"/>
  <c r="EK213" i="1"/>
  <c r="FO213" i="1"/>
  <c r="FP213" i="1"/>
  <c r="FQ213" i="1"/>
  <c r="FR213" i="1"/>
  <c r="FS213" i="1"/>
  <c r="FT213" i="1"/>
  <c r="FU213" i="1"/>
  <c r="FV213" i="1"/>
  <c r="FW213" i="1"/>
  <c r="FX213" i="1"/>
  <c r="FY213" i="1"/>
  <c r="FZ213" i="1"/>
  <c r="GA213" i="1"/>
  <c r="GB213" i="1"/>
  <c r="GC213" i="1"/>
  <c r="GD213" i="1"/>
  <c r="GE213" i="1"/>
  <c r="GF213" i="1"/>
  <c r="GG213" i="1"/>
  <c r="GH213" i="1"/>
  <c r="GI213" i="1"/>
  <c r="GJ213" i="1"/>
  <c r="GK213" i="1"/>
  <c r="GL213" i="1"/>
  <c r="GM213" i="1"/>
  <c r="GN213" i="1"/>
  <c r="GO213" i="1"/>
  <c r="GP213" i="1"/>
  <c r="GQ213" i="1"/>
  <c r="GR213" i="1"/>
  <c r="GS213" i="1"/>
  <c r="GT213" i="1"/>
  <c r="GU213" i="1"/>
  <c r="GV213" i="1"/>
  <c r="GW213" i="1"/>
  <c r="GX213" i="1"/>
  <c r="GY213" i="1"/>
  <c r="GZ213" i="1"/>
  <c r="HA213" i="1"/>
  <c r="HB213" i="1"/>
  <c r="HC213" i="1"/>
  <c r="HD213" i="1"/>
  <c r="HE213" i="1"/>
  <c r="HF213" i="1"/>
  <c r="HG213" i="1"/>
  <c r="HH213" i="1"/>
  <c r="HI213" i="1"/>
  <c r="HJ213" i="1"/>
  <c r="HK213" i="1"/>
  <c r="HL213" i="1"/>
  <c r="HM213" i="1"/>
  <c r="HN213" i="1"/>
  <c r="HO213" i="1"/>
  <c r="HP213" i="1"/>
  <c r="HQ213" i="1"/>
  <c r="HR213" i="1"/>
  <c r="HS213" i="1"/>
  <c r="HT213" i="1"/>
  <c r="HU213" i="1"/>
  <c r="HV213" i="1"/>
  <c r="HW213" i="1"/>
  <c r="HX213" i="1"/>
  <c r="HY213" i="1"/>
  <c r="HZ213" i="1"/>
  <c r="IA213" i="1"/>
  <c r="IB213" i="1"/>
  <c r="IC213" i="1"/>
  <c r="ID213" i="1"/>
  <c r="IE213" i="1"/>
  <c r="IF213" i="1"/>
  <c r="IG213" i="1"/>
  <c r="IH213" i="1"/>
  <c r="H214" i="1"/>
  <c r="I214" i="1"/>
  <c r="L214" i="1"/>
  <c r="O214" i="1"/>
  <c r="R214" i="1"/>
  <c r="S214" i="1"/>
  <c r="T214" i="1"/>
  <c r="U214" i="1"/>
  <c r="W214" i="1"/>
  <c r="X214" i="1"/>
  <c r="Y214" i="1"/>
  <c r="Z214" i="1"/>
  <c r="AA214" i="1"/>
  <c r="AB214" i="1"/>
  <c r="AP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D214" i="1"/>
  <c r="CE214" i="1"/>
  <c r="CF214" i="1"/>
  <c r="CG214" i="1"/>
  <c r="CH214" i="1"/>
  <c r="CI214" i="1"/>
  <c r="CJ214" i="1"/>
  <c r="CK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CY214" i="1"/>
  <c r="CZ214" i="1"/>
  <c r="DA214" i="1"/>
  <c r="DB214" i="1"/>
  <c r="DC214" i="1"/>
  <c r="DE214" i="1"/>
  <c r="DH214" i="1"/>
  <c r="DK214" i="1"/>
  <c r="DL214" i="1"/>
  <c r="DM214" i="1"/>
  <c r="DN214" i="1"/>
  <c r="DP214" i="1"/>
  <c r="DS214" i="1"/>
  <c r="DV214" i="1"/>
  <c r="DX214" i="1"/>
  <c r="DY214" i="1"/>
  <c r="ED214" i="1"/>
  <c r="EE214" i="1"/>
  <c r="EF214" i="1"/>
  <c r="EG214" i="1"/>
  <c r="EH214" i="1"/>
  <c r="EI214" i="1"/>
  <c r="EJ214" i="1"/>
  <c r="EK214" i="1"/>
  <c r="FO214" i="1"/>
  <c r="FP214" i="1"/>
  <c r="FQ214" i="1"/>
  <c r="FR214" i="1"/>
  <c r="FS214" i="1"/>
  <c r="FT214" i="1"/>
  <c r="FU214" i="1"/>
  <c r="FV214" i="1"/>
  <c r="FW214" i="1"/>
  <c r="FX214" i="1"/>
  <c r="FY214" i="1"/>
  <c r="FZ214" i="1"/>
  <c r="GA214" i="1"/>
  <c r="GB214" i="1"/>
  <c r="GC214" i="1"/>
  <c r="GD214" i="1"/>
  <c r="GE214" i="1"/>
  <c r="GF214" i="1"/>
  <c r="GG214" i="1"/>
  <c r="GH214" i="1"/>
  <c r="GI214" i="1"/>
  <c r="GJ214" i="1"/>
  <c r="GK214" i="1"/>
  <c r="GL214" i="1"/>
  <c r="GM214" i="1"/>
  <c r="GN214" i="1"/>
  <c r="GO214" i="1"/>
  <c r="GP214" i="1"/>
  <c r="GQ214" i="1"/>
  <c r="GR214" i="1"/>
  <c r="GS214" i="1"/>
  <c r="GT214" i="1"/>
  <c r="GU214" i="1"/>
  <c r="GV214" i="1"/>
  <c r="GW214" i="1"/>
  <c r="GX214" i="1"/>
  <c r="GY214" i="1"/>
  <c r="GZ214" i="1"/>
  <c r="HA214" i="1"/>
  <c r="HB214" i="1"/>
  <c r="HC214" i="1"/>
  <c r="HD214" i="1"/>
  <c r="HE214" i="1"/>
  <c r="HF214" i="1"/>
  <c r="HG214" i="1"/>
  <c r="HH214" i="1"/>
  <c r="HI214" i="1"/>
  <c r="HJ214" i="1"/>
  <c r="HK214" i="1"/>
  <c r="HL214" i="1"/>
  <c r="HM214" i="1"/>
  <c r="HN214" i="1"/>
  <c r="HO214" i="1"/>
  <c r="HP214" i="1"/>
  <c r="HQ214" i="1"/>
  <c r="HR214" i="1"/>
  <c r="HS214" i="1"/>
  <c r="HT214" i="1"/>
  <c r="HU214" i="1"/>
  <c r="HV214" i="1"/>
  <c r="HW214" i="1"/>
  <c r="HX214" i="1"/>
  <c r="HY214" i="1"/>
  <c r="HZ214" i="1"/>
  <c r="IA214" i="1"/>
  <c r="IB214" i="1"/>
  <c r="IC214" i="1"/>
  <c r="ID214" i="1"/>
  <c r="IE214" i="1"/>
  <c r="IF214" i="1"/>
  <c r="IG214" i="1"/>
  <c r="IH214" i="1"/>
  <c r="H215" i="1"/>
  <c r="I215" i="1"/>
  <c r="L215" i="1"/>
  <c r="O215" i="1"/>
  <c r="R215" i="1"/>
  <c r="S215" i="1"/>
  <c r="T215" i="1"/>
  <c r="U215" i="1"/>
  <c r="W215" i="1"/>
  <c r="X215" i="1"/>
  <c r="Y215" i="1"/>
  <c r="Z215" i="1"/>
  <c r="AA215" i="1"/>
  <c r="AB215" i="1"/>
  <c r="AP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D215" i="1"/>
  <c r="CE215" i="1"/>
  <c r="CF215" i="1"/>
  <c r="CG215" i="1"/>
  <c r="CH215" i="1"/>
  <c r="CI215" i="1"/>
  <c r="CJ215" i="1"/>
  <c r="CK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CY215" i="1"/>
  <c r="CZ215" i="1"/>
  <c r="DA215" i="1"/>
  <c r="DB215" i="1"/>
  <c r="DC215" i="1"/>
  <c r="DE215" i="1"/>
  <c r="DH215" i="1"/>
  <c r="DK215" i="1"/>
  <c r="DL215" i="1"/>
  <c r="DM215" i="1"/>
  <c r="DN215" i="1"/>
  <c r="DP215" i="1"/>
  <c r="DS215" i="1"/>
  <c r="DV215" i="1"/>
  <c r="DX215" i="1"/>
  <c r="DY215" i="1"/>
  <c r="ED215" i="1"/>
  <c r="EE215" i="1"/>
  <c r="EF215" i="1"/>
  <c r="EG215" i="1"/>
  <c r="EH215" i="1"/>
  <c r="EI215" i="1"/>
  <c r="EJ215" i="1"/>
  <c r="EK215" i="1"/>
  <c r="FO215" i="1"/>
  <c r="FP215" i="1"/>
  <c r="FQ215" i="1"/>
  <c r="FR215" i="1"/>
  <c r="FS215" i="1"/>
  <c r="FT215" i="1"/>
  <c r="FU215" i="1"/>
  <c r="FV215" i="1"/>
  <c r="FW215" i="1"/>
  <c r="FX215" i="1"/>
  <c r="FY215" i="1"/>
  <c r="FZ215" i="1"/>
  <c r="GA215" i="1"/>
  <c r="GB215" i="1"/>
  <c r="GC215" i="1"/>
  <c r="GD215" i="1"/>
  <c r="GE215" i="1"/>
  <c r="GF215" i="1"/>
  <c r="GG215" i="1"/>
  <c r="GH215" i="1"/>
  <c r="GI215" i="1"/>
  <c r="GJ215" i="1"/>
  <c r="GK215" i="1"/>
  <c r="GL215" i="1"/>
  <c r="GM215" i="1"/>
  <c r="GN215" i="1"/>
  <c r="GO215" i="1"/>
  <c r="GP215" i="1"/>
  <c r="GQ215" i="1"/>
  <c r="GR215" i="1"/>
  <c r="GS215" i="1"/>
  <c r="GT215" i="1"/>
  <c r="GU215" i="1"/>
  <c r="GV215" i="1"/>
  <c r="GW215" i="1"/>
  <c r="GX215" i="1"/>
  <c r="GY215" i="1"/>
  <c r="GZ215" i="1"/>
  <c r="HA215" i="1"/>
  <c r="HB215" i="1"/>
  <c r="HC215" i="1"/>
  <c r="HD215" i="1"/>
  <c r="HE215" i="1"/>
  <c r="HF215" i="1"/>
  <c r="HG215" i="1"/>
  <c r="HH215" i="1"/>
  <c r="HI215" i="1"/>
  <c r="HJ215" i="1"/>
  <c r="HK215" i="1"/>
  <c r="HL215" i="1"/>
  <c r="HM215" i="1"/>
  <c r="HN215" i="1"/>
  <c r="HO215" i="1"/>
  <c r="HP215" i="1"/>
  <c r="HQ215" i="1"/>
  <c r="HR215" i="1"/>
  <c r="HS215" i="1"/>
  <c r="HT215" i="1"/>
  <c r="HU215" i="1"/>
  <c r="HV215" i="1"/>
  <c r="HW215" i="1"/>
  <c r="HX215" i="1"/>
  <c r="HY215" i="1"/>
  <c r="HZ215" i="1"/>
  <c r="IA215" i="1"/>
  <c r="IB215" i="1"/>
  <c r="IC215" i="1"/>
  <c r="ID215" i="1"/>
  <c r="IE215" i="1"/>
  <c r="IF215" i="1"/>
  <c r="IG215" i="1"/>
  <c r="IH215" i="1"/>
  <c r="H216" i="1"/>
  <c r="I216" i="1"/>
  <c r="L216" i="1"/>
  <c r="O216" i="1"/>
  <c r="R216" i="1"/>
  <c r="S216" i="1"/>
  <c r="T216" i="1"/>
  <c r="U216" i="1"/>
  <c r="W216" i="1"/>
  <c r="X216" i="1"/>
  <c r="Y216" i="1"/>
  <c r="Z216" i="1"/>
  <c r="AA216" i="1"/>
  <c r="AB216" i="1"/>
  <c r="AP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D216" i="1"/>
  <c r="CE216" i="1"/>
  <c r="CF216" i="1"/>
  <c r="CG216" i="1"/>
  <c r="CH216" i="1"/>
  <c r="CI216" i="1"/>
  <c r="CJ216" i="1"/>
  <c r="CK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CY216" i="1"/>
  <c r="CZ216" i="1"/>
  <c r="DA216" i="1"/>
  <c r="DB216" i="1"/>
  <c r="DC216" i="1"/>
  <c r="DE216" i="1"/>
  <c r="DH216" i="1"/>
  <c r="DK216" i="1"/>
  <c r="DL216" i="1"/>
  <c r="DM216" i="1"/>
  <c r="DN216" i="1"/>
  <c r="DP216" i="1"/>
  <c r="DS216" i="1"/>
  <c r="DV216" i="1"/>
  <c r="DX216" i="1"/>
  <c r="DY216" i="1"/>
  <c r="ED216" i="1"/>
  <c r="EE216" i="1"/>
  <c r="EF216" i="1"/>
  <c r="EG216" i="1"/>
  <c r="EH216" i="1"/>
  <c r="EI216" i="1"/>
  <c r="EJ216" i="1"/>
  <c r="EK216" i="1"/>
  <c r="FO216" i="1"/>
  <c r="FP216" i="1"/>
  <c r="FQ216" i="1"/>
  <c r="FR216" i="1"/>
  <c r="FS216" i="1"/>
  <c r="FT216" i="1"/>
  <c r="FU216" i="1"/>
  <c r="FV216" i="1"/>
  <c r="FW216" i="1"/>
  <c r="FX216" i="1"/>
  <c r="FY216" i="1"/>
  <c r="FZ216" i="1"/>
  <c r="GA216" i="1"/>
  <c r="GB216" i="1"/>
  <c r="GC216" i="1"/>
  <c r="GD216" i="1"/>
  <c r="GE216" i="1"/>
  <c r="GF216" i="1"/>
  <c r="GG216" i="1"/>
  <c r="GH216" i="1"/>
  <c r="GI216" i="1"/>
  <c r="GJ216" i="1"/>
  <c r="GK216" i="1"/>
  <c r="GL216" i="1"/>
  <c r="GM216" i="1"/>
  <c r="GN216" i="1"/>
  <c r="GO216" i="1"/>
  <c r="GP216" i="1"/>
  <c r="GQ216" i="1"/>
  <c r="GR216" i="1"/>
  <c r="GS216" i="1"/>
  <c r="GT216" i="1"/>
  <c r="GU216" i="1"/>
  <c r="GV216" i="1"/>
  <c r="GW216" i="1"/>
  <c r="GX216" i="1"/>
  <c r="GY216" i="1"/>
  <c r="GZ216" i="1"/>
  <c r="HA216" i="1"/>
  <c r="HB216" i="1"/>
  <c r="HC216" i="1"/>
  <c r="HD216" i="1"/>
  <c r="HE216" i="1"/>
  <c r="HF216" i="1"/>
  <c r="HG216" i="1"/>
  <c r="HH216" i="1"/>
  <c r="HI216" i="1"/>
  <c r="HJ216" i="1"/>
  <c r="HK216" i="1"/>
  <c r="HL216" i="1"/>
  <c r="HM216" i="1"/>
  <c r="HN216" i="1"/>
  <c r="HO216" i="1"/>
  <c r="HP216" i="1"/>
  <c r="HQ216" i="1"/>
  <c r="HR216" i="1"/>
  <c r="HS216" i="1"/>
  <c r="HT216" i="1"/>
  <c r="HU216" i="1"/>
  <c r="HV216" i="1"/>
  <c r="HW216" i="1"/>
  <c r="HX216" i="1"/>
  <c r="HY216" i="1"/>
  <c r="HZ216" i="1"/>
  <c r="IA216" i="1"/>
  <c r="IB216" i="1"/>
  <c r="IC216" i="1"/>
  <c r="ID216" i="1"/>
  <c r="IE216" i="1"/>
  <c r="IF216" i="1"/>
  <c r="IG216" i="1"/>
  <c r="IH216" i="1"/>
  <c r="H217" i="1"/>
  <c r="I217" i="1"/>
  <c r="L217" i="1"/>
  <c r="O217" i="1"/>
  <c r="R217" i="1"/>
  <c r="S217" i="1"/>
  <c r="T217" i="1"/>
  <c r="U217" i="1"/>
  <c r="W217" i="1"/>
  <c r="X217" i="1"/>
  <c r="Y217" i="1"/>
  <c r="Z217" i="1"/>
  <c r="AA217" i="1"/>
  <c r="AB217" i="1"/>
  <c r="AP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D217" i="1"/>
  <c r="CE217" i="1"/>
  <c r="CF217" i="1"/>
  <c r="CG217" i="1"/>
  <c r="CH217" i="1"/>
  <c r="CI217" i="1"/>
  <c r="CJ217" i="1"/>
  <c r="CK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Y217" i="1"/>
  <c r="CZ217" i="1"/>
  <c r="DA217" i="1"/>
  <c r="DB217" i="1"/>
  <c r="DC217" i="1"/>
  <c r="DE217" i="1"/>
  <c r="DH217" i="1"/>
  <c r="DK217" i="1"/>
  <c r="DL217" i="1"/>
  <c r="DM217" i="1"/>
  <c r="DN217" i="1"/>
  <c r="DP217" i="1"/>
  <c r="DS217" i="1"/>
  <c r="DV217" i="1"/>
  <c r="DX217" i="1"/>
  <c r="DY217" i="1"/>
  <c r="ED217" i="1"/>
  <c r="EE217" i="1"/>
  <c r="EF217" i="1"/>
  <c r="EG217" i="1"/>
  <c r="EH217" i="1"/>
  <c r="EI217" i="1"/>
  <c r="EJ217" i="1"/>
  <c r="EK217" i="1"/>
  <c r="FO217" i="1"/>
  <c r="FP217" i="1"/>
  <c r="FQ217" i="1"/>
  <c r="FR217" i="1"/>
  <c r="FS217" i="1"/>
  <c r="FT217" i="1"/>
  <c r="FU217" i="1"/>
  <c r="FV217" i="1"/>
  <c r="FW217" i="1"/>
  <c r="FX217" i="1"/>
  <c r="FY217" i="1"/>
  <c r="FZ217" i="1"/>
  <c r="GA217" i="1"/>
  <c r="GB217" i="1"/>
  <c r="GC217" i="1"/>
  <c r="GD217" i="1"/>
  <c r="GE217" i="1"/>
  <c r="GF217" i="1"/>
  <c r="GG217" i="1"/>
  <c r="GH217" i="1"/>
  <c r="GI217" i="1"/>
  <c r="GJ217" i="1"/>
  <c r="GK217" i="1"/>
  <c r="GL217" i="1"/>
  <c r="GM217" i="1"/>
  <c r="GN217" i="1"/>
  <c r="GO217" i="1"/>
  <c r="GP217" i="1"/>
  <c r="GQ217" i="1"/>
  <c r="GR217" i="1"/>
  <c r="GS217" i="1"/>
  <c r="GT217" i="1"/>
  <c r="GU217" i="1"/>
  <c r="GV217" i="1"/>
  <c r="GW217" i="1"/>
  <c r="GX217" i="1"/>
  <c r="GY217" i="1"/>
  <c r="GZ217" i="1"/>
  <c r="HA217" i="1"/>
  <c r="HB217" i="1"/>
  <c r="HC217" i="1"/>
  <c r="HD217" i="1"/>
  <c r="HE217" i="1"/>
  <c r="HF217" i="1"/>
  <c r="HG217" i="1"/>
  <c r="HH217" i="1"/>
  <c r="HI217" i="1"/>
  <c r="HJ217" i="1"/>
  <c r="HK217" i="1"/>
  <c r="HL217" i="1"/>
  <c r="HM217" i="1"/>
  <c r="HN217" i="1"/>
  <c r="HO217" i="1"/>
  <c r="HP217" i="1"/>
  <c r="HQ217" i="1"/>
  <c r="HR217" i="1"/>
  <c r="HS217" i="1"/>
  <c r="HT217" i="1"/>
  <c r="HU217" i="1"/>
  <c r="HV217" i="1"/>
  <c r="HW217" i="1"/>
  <c r="HX217" i="1"/>
  <c r="HY217" i="1"/>
  <c r="HZ217" i="1"/>
  <c r="IA217" i="1"/>
  <c r="IB217" i="1"/>
  <c r="IC217" i="1"/>
  <c r="ID217" i="1"/>
  <c r="IE217" i="1"/>
  <c r="IF217" i="1"/>
  <c r="IG217" i="1"/>
  <c r="IH217" i="1"/>
  <c r="H218" i="1"/>
  <c r="I218" i="1"/>
  <c r="L218" i="1"/>
  <c r="O218" i="1"/>
  <c r="R218" i="1"/>
  <c r="S218" i="1"/>
  <c r="T218" i="1"/>
  <c r="U218" i="1"/>
  <c r="W218" i="1"/>
  <c r="X218" i="1"/>
  <c r="Y218" i="1"/>
  <c r="Z218" i="1"/>
  <c r="AA218" i="1"/>
  <c r="AB218" i="1"/>
  <c r="AP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D218" i="1"/>
  <c r="CE218" i="1"/>
  <c r="CF218" i="1"/>
  <c r="CG218" i="1"/>
  <c r="CH218" i="1"/>
  <c r="CI218" i="1"/>
  <c r="CJ218" i="1"/>
  <c r="CK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CY218" i="1"/>
  <c r="CZ218" i="1"/>
  <c r="DA218" i="1"/>
  <c r="DB218" i="1"/>
  <c r="DC218" i="1"/>
  <c r="DE218" i="1"/>
  <c r="DH218" i="1"/>
  <c r="DK218" i="1"/>
  <c r="DL218" i="1"/>
  <c r="DM218" i="1"/>
  <c r="DN218" i="1"/>
  <c r="DP218" i="1"/>
  <c r="DS218" i="1"/>
  <c r="DV218" i="1"/>
  <c r="DX218" i="1"/>
  <c r="DY218" i="1"/>
  <c r="ED218" i="1"/>
  <c r="EE218" i="1"/>
  <c r="EF218" i="1"/>
  <c r="EG218" i="1"/>
  <c r="EH218" i="1"/>
  <c r="EI218" i="1"/>
  <c r="EJ218" i="1"/>
  <c r="EK218" i="1"/>
  <c r="FO218" i="1"/>
  <c r="FP218" i="1"/>
  <c r="FQ218" i="1"/>
  <c r="FR218" i="1"/>
  <c r="FS218" i="1"/>
  <c r="FT218" i="1"/>
  <c r="FU218" i="1"/>
  <c r="FV218" i="1"/>
  <c r="FW218" i="1"/>
  <c r="FX218" i="1"/>
  <c r="FY218" i="1"/>
  <c r="FZ218" i="1"/>
  <c r="GA218" i="1"/>
  <c r="GB218" i="1"/>
  <c r="GC218" i="1"/>
  <c r="GD218" i="1"/>
  <c r="GE218" i="1"/>
  <c r="GF218" i="1"/>
  <c r="GG218" i="1"/>
  <c r="GH218" i="1"/>
  <c r="GI218" i="1"/>
  <c r="GJ218" i="1"/>
  <c r="GK218" i="1"/>
  <c r="GL218" i="1"/>
  <c r="GM218" i="1"/>
  <c r="GN218" i="1"/>
  <c r="GO218" i="1"/>
  <c r="GP218" i="1"/>
  <c r="GQ218" i="1"/>
  <c r="GR218" i="1"/>
  <c r="GS218" i="1"/>
  <c r="GT218" i="1"/>
  <c r="GU218" i="1"/>
  <c r="GV218" i="1"/>
  <c r="GW218" i="1"/>
  <c r="GX218" i="1"/>
  <c r="GY218" i="1"/>
  <c r="GZ218" i="1"/>
  <c r="HA218" i="1"/>
  <c r="HB218" i="1"/>
  <c r="HC218" i="1"/>
  <c r="HD218" i="1"/>
  <c r="HE218" i="1"/>
  <c r="HF218" i="1"/>
  <c r="HG218" i="1"/>
  <c r="HH218" i="1"/>
  <c r="HI218" i="1"/>
  <c r="HJ218" i="1"/>
  <c r="HK218" i="1"/>
  <c r="HL218" i="1"/>
  <c r="HM218" i="1"/>
  <c r="HN218" i="1"/>
  <c r="HO218" i="1"/>
  <c r="HP218" i="1"/>
  <c r="HQ218" i="1"/>
  <c r="HR218" i="1"/>
  <c r="HS218" i="1"/>
  <c r="HT218" i="1"/>
  <c r="HU218" i="1"/>
  <c r="HV218" i="1"/>
  <c r="HW218" i="1"/>
  <c r="HX218" i="1"/>
  <c r="HY218" i="1"/>
  <c r="HZ218" i="1"/>
  <c r="IA218" i="1"/>
  <c r="IB218" i="1"/>
  <c r="IC218" i="1"/>
  <c r="ID218" i="1"/>
  <c r="IE218" i="1"/>
  <c r="IF218" i="1"/>
  <c r="IG218" i="1"/>
  <c r="IH218" i="1"/>
  <c r="H219" i="1"/>
  <c r="I219" i="1"/>
  <c r="L219" i="1"/>
  <c r="O219" i="1"/>
  <c r="R219" i="1"/>
  <c r="S219" i="1"/>
  <c r="T219" i="1"/>
  <c r="U219" i="1"/>
  <c r="W219" i="1"/>
  <c r="X219" i="1"/>
  <c r="Y219" i="1"/>
  <c r="Z219" i="1"/>
  <c r="AA219" i="1"/>
  <c r="AB219" i="1"/>
  <c r="AP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D219" i="1"/>
  <c r="CE219" i="1"/>
  <c r="CF219" i="1"/>
  <c r="CG219" i="1"/>
  <c r="CH219" i="1"/>
  <c r="CI219" i="1"/>
  <c r="CJ219" i="1"/>
  <c r="CK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CY219" i="1"/>
  <c r="CZ219" i="1"/>
  <c r="DA219" i="1"/>
  <c r="DB219" i="1"/>
  <c r="DC219" i="1"/>
  <c r="DE219" i="1"/>
  <c r="DH219" i="1"/>
  <c r="DK219" i="1"/>
  <c r="DL219" i="1"/>
  <c r="DM219" i="1"/>
  <c r="DN219" i="1"/>
  <c r="DP219" i="1"/>
  <c r="DS219" i="1"/>
  <c r="DV219" i="1"/>
  <c r="DX219" i="1"/>
  <c r="DY219" i="1"/>
  <c r="ED219" i="1"/>
  <c r="EE219" i="1"/>
  <c r="EF219" i="1"/>
  <c r="EG219" i="1"/>
  <c r="EH219" i="1"/>
  <c r="EI219" i="1"/>
  <c r="EJ219" i="1"/>
  <c r="EK219" i="1"/>
  <c r="FO219" i="1"/>
  <c r="FP219" i="1"/>
  <c r="FQ219" i="1"/>
  <c r="FR219" i="1"/>
  <c r="FS219" i="1"/>
  <c r="FT219" i="1"/>
  <c r="FU219" i="1"/>
  <c r="FV219" i="1"/>
  <c r="FW219" i="1"/>
  <c r="FX219" i="1"/>
  <c r="FY219" i="1"/>
  <c r="FZ219" i="1"/>
  <c r="GA219" i="1"/>
  <c r="GB219" i="1"/>
  <c r="GC219" i="1"/>
  <c r="GD219" i="1"/>
  <c r="GE219" i="1"/>
  <c r="GF219" i="1"/>
  <c r="GG219" i="1"/>
  <c r="GH219" i="1"/>
  <c r="GI219" i="1"/>
  <c r="GJ219" i="1"/>
  <c r="GK219" i="1"/>
  <c r="GL219" i="1"/>
  <c r="GM219" i="1"/>
  <c r="GN219" i="1"/>
  <c r="GO219" i="1"/>
  <c r="GP219" i="1"/>
  <c r="GQ219" i="1"/>
  <c r="GR219" i="1"/>
  <c r="GS219" i="1"/>
  <c r="GT219" i="1"/>
  <c r="GU219" i="1"/>
  <c r="GV219" i="1"/>
  <c r="GW219" i="1"/>
  <c r="GX219" i="1"/>
  <c r="GY219" i="1"/>
  <c r="GZ219" i="1"/>
  <c r="HA219" i="1"/>
  <c r="HB219" i="1"/>
  <c r="HC219" i="1"/>
  <c r="HD219" i="1"/>
  <c r="HE219" i="1"/>
  <c r="HF219" i="1"/>
  <c r="HG219" i="1"/>
  <c r="HH219" i="1"/>
  <c r="HI219" i="1"/>
  <c r="HJ219" i="1"/>
  <c r="HK219" i="1"/>
  <c r="HL219" i="1"/>
  <c r="HM219" i="1"/>
  <c r="HN219" i="1"/>
  <c r="HO219" i="1"/>
  <c r="HP219" i="1"/>
  <c r="HQ219" i="1"/>
  <c r="HR219" i="1"/>
  <c r="HS219" i="1"/>
  <c r="HT219" i="1"/>
  <c r="HU219" i="1"/>
  <c r="HV219" i="1"/>
  <c r="HW219" i="1"/>
  <c r="HX219" i="1"/>
  <c r="HY219" i="1"/>
  <c r="HZ219" i="1"/>
  <c r="IA219" i="1"/>
  <c r="IB219" i="1"/>
  <c r="IC219" i="1"/>
  <c r="ID219" i="1"/>
  <c r="IE219" i="1"/>
  <c r="IF219" i="1"/>
  <c r="IG219" i="1"/>
  <c r="IH219" i="1"/>
  <c r="H220" i="1"/>
  <c r="I220" i="1"/>
  <c r="L220" i="1"/>
  <c r="O220" i="1"/>
  <c r="R220" i="1"/>
  <c r="S220" i="1"/>
  <c r="T220" i="1"/>
  <c r="U220" i="1"/>
  <c r="W220" i="1"/>
  <c r="X220" i="1"/>
  <c r="Y220" i="1"/>
  <c r="Z220" i="1"/>
  <c r="AA220" i="1"/>
  <c r="AB220" i="1"/>
  <c r="AP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D220" i="1"/>
  <c r="CE220" i="1"/>
  <c r="CF220" i="1"/>
  <c r="CG220" i="1"/>
  <c r="CH220" i="1"/>
  <c r="CI220" i="1"/>
  <c r="CJ220" i="1"/>
  <c r="CK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CY220" i="1"/>
  <c r="CZ220" i="1"/>
  <c r="DA220" i="1"/>
  <c r="DB220" i="1"/>
  <c r="DC220" i="1"/>
  <c r="DE220" i="1"/>
  <c r="DH220" i="1"/>
  <c r="DK220" i="1"/>
  <c r="DL220" i="1"/>
  <c r="DM220" i="1"/>
  <c r="DN220" i="1"/>
  <c r="DP220" i="1"/>
  <c r="DS220" i="1"/>
  <c r="DV220" i="1"/>
  <c r="DX220" i="1"/>
  <c r="DY220" i="1"/>
  <c r="ED220" i="1"/>
  <c r="EE220" i="1"/>
  <c r="EF220" i="1"/>
  <c r="EG220" i="1"/>
  <c r="EH220" i="1"/>
  <c r="EI220" i="1"/>
  <c r="EJ220" i="1"/>
  <c r="EK220" i="1"/>
  <c r="FO220" i="1"/>
  <c r="FP220" i="1"/>
  <c r="FQ220" i="1"/>
  <c r="FR220" i="1"/>
  <c r="FS220" i="1"/>
  <c r="FT220" i="1"/>
  <c r="FU220" i="1"/>
  <c r="FV220" i="1"/>
  <c r="FW220" i="1"/>
  <c r="FX220" i="1"/>
  <c r="FY220" i="1"/>
  <c r="FZ220" i="1"/>
  <c r="GA220" i="1"/>
  <c r="GB220" i="1"/>
  <c r="GC220" i="1"/>
  <c r="GD220" i="1"/>
  <c r="GE220" i="1"/>
  <c r="GF220" i="1"/>
  <c r="GG220" i="1"/>
  <c r="GH220" i="1"/>
  <c r="GI220" i="1"/>
  <c r="GJ220" i="1"/>
  <c r="GK220" i="1"/>
  <c r="GL220" i="1"/>
  <c r="GM220" i="1"/>
  <c r="GN220" i="1"/>
  <c r="GO220" i="1"/>
  <c r="GP220" i="1"/>
  <c r="GQ220" i="1"/>
  <c r="GR220" i="1"/>
  <c r="GS220" i="1"/>
  <c r="GT220" i="1"/>
  <c r="GU220" i="1"/>
  <c r="GV220" i="1"/>
  <c r="GW220" i="1"/>
  <c r="GX220" i="1"/>
  <c r="GY220" i="1"/>
  <c r="GZ220" i="1"/>
  <c r="HA220" i="1"/>
  <c r="HB220" i="1"/>
  <c r="HC220" i="1"/>
  <c r="HD220" i="1"/>
  <c r="HE220" i="1"/>
  <c r="HF220" i="1"/>
  <c r="HG220" i="1"/>
  <c r="HH220" i="1"/>
  <c r="HI220" i="1"/>
  <c r="HJ220" i="1"/>
  <c r="HK220" i="1"/>
  <c r="HL220" i="1"/>
  <c r="HM220" i="1"/>
  <c r="HN220" i="1"/>
  <c r="HO220" i="1"/>
  <c r="HP220" i="1"/>
  <c r="HQ220" i="1"/>
  <c r="HR220" i="1"/>
  <c r="HS220" i="1"/>
  <c r="HT220" i="1"/>
  <c r="HU220" i="1"/>
  <c r="HV220" i="1"/>
  <c r="HW220" i="1"/>
  <c r="HX220" i="1"/>
  <c r="HY220" i="1"/>
  <c r="HZ220" i="1"/>
  <c r="IA220" i="1"/>
  <c r="IB220" i="1"/>
  <c r="IC220" i="1"/>
  <c r="ID220" i="1"/>
  <c r="IE220" i="1"/>
  <c r="IF220" i="1"/>
  <c r="IG220" i="1"/>
  <c r="IH220" i="1"/>
  <c r="H221" i="1"/>
  <c r="I221" i="1"/>
  <c r="L221" i="1"/>
  <c r="O221" i="1"/>
  <c r="R221" i="1"/>
  <c r="S221" i="1"/>
  <c r="T221" i="1"/>
  <c r="U221" i="1"/>
  <c r="W221" i="1"/>
  <c r="X221" i="1"/>
  <c r="Y221" i="1"/>
  <c r="Z221" i="1"/>
  <c r="AA221" i="1"/>
  <c r="AB221" i="1"/>
  <c r="AP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D221" i="1"/>
  <c r="CE221" i="1"/>
  <c r="CF221" i="1"/>
  <c r="CG221" i="1"/>
  <c r="CH221" i="1"/>
  <c r="CI221" i="1"/>
  <c r="CJ221" i="1"/>
  <c r="CK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CY221" i="1"/>
  <c r="CZ221" i="1"/>
  <c r="DA221" i="1"/>
  <c r="DB221" i="1"/>
  <c r="DC221" i="1"/>
  <c r="DE221" i="1"/>
  <c r="DH221" i="1"/>
  <c r="DK221" i="1"/>
  <c r="DL221" i="1"/>
  <c r="DM221" i="1"/>
  <c r="DN221" i="1"/>
  <c r="DP221" i="1"/>
  <c r="DS221" i="1"/>
  <c r="DV221" i="1"/>
  <c r="DX221" i="1"/>
  <c r="DY221" i="1"/>
  <c r="ED221" i="1"/>
  <c r="EE221" i="1"/>
  <c r="EF221" i="1"/>
  <c r="EG221" i="1"/>
  <c r="EH221" i="1"/>
  <c r="EI221" i="1"/>
  <c r="EJ221" i="1"/>
  <c r="EK221" i="1"/>
  <c r="FO221" i="1"/>
  <c r="FP221" i="1"/>
  <c r="FQ221" i="1"/>
  <c r="FR221" i="1"/>
  <c r="FS221" i="1"/>
  <c r="FT221" i="1"/>
  <c r="FU221" i="1"/>
  <c r="FV221" i="1"/>
  <c r="FW221" i="1"/>
  <c r="FX221" i="1"/>
  <c r="FY221" i="1"/>
  <c r="FZ221" i="1"/>
  <c r="GA221" i="1"/>
  <c r="GB221" i="1"/>
  <c r="GC221" i="1"/>
  <c r="GD221" i="1"/>
  <c r="GE221" i="1"/>
  <c r="GF221" i="1"/>
  <c r="GG221" i="1"/>
  <c r="GH221" i="1"/>
  <c r="GI221" i="1"/>
  <c r="GJ221" i="1"/>
  <c r="GK221" i="1"/>
  <c r="GL221" i="1"/>
  <c r="GM221" i="1"/>
  <c r="GN221" i="1"/>
  <c r="GO221" i="1"/>
  <c r="GP221" i="1"/>
  <c r="GQ221" i="1"/>
  <c r="GR221" i="1"/>
  <c r="GS221" i="1"/>
  <c r="GT221" i="1"/>
  <c r="GU221" i="1"/>
  <c r="GV221" i="1"/>
  <c r="GW221" i="1"/>
  <c r="GX221" i="1"/>
  <c r="GY221" i="1"/>
  <c r="GZ221" i="1"/>
  <c r="HA221" i="1"/>
  <c r="HB221" i="1"/>
  <c r="HC221" i="1"/>
  <c r="HD221" i="1"/>
  <c r="HE221" i="1"/>
  <c r="HF221" i="1"/>
  <c r="HG221" i="1"/>
  <c r="HH221" i="1"/>
  <c r="HI221" i="1"/>
  <c r="HJ221" i="1"/>
  <c r="HK221" i="1"/>
  <c r="HL221" i="1"/>
  <c r="HM221" i="1"/>
  <c r="HN221" i="1"/>
  <c r="HO221" i="1"/>
  <c r="HP221" i="1"/>
  <c r="HQ221" i="1"/>
  <c r="HR221" i="1"/>
  <c r="HS221" i="1"/>
  <c r="HT221" i="1"/>
  <c r="HU221" i="1"/>
  <c r="HV221" i="1"/>
  <c r="HW221" i="1"/>
  <c r="HX221" i="1"/>
  <c r="HY221" i="1"/>
  <c r="HZ221" i="1"/>
  <c r="IA221" i="1"/>
  <c r="IB221" i="1"/>
  <c r="IC221" i="1"/>
  <c r="ID221" i="1"/>
  <c r="IE221" i="1"/>
  <c r="IF221" i="1"/>
  <c r="IG221" i="1"/>
  <c r="IH221" i="1"/>
  <c r="H222" i="1"/>
  <c r="I222" i="1"/>
  <c r="L222" i="1"/>
  <c r="O222" i="1"/>
  <c r="R222" i="1"/>
  <c r="S222" i="1"/>
  <c r="T222" i="1"/>
  <c r="U222" i="1"/>
  <c r="W222" i="1"/>
  <c r="X222" i="1"/>
  <c r="Y222" i="1"/>
  <c r="Z222" i="1"/>
  <c r="AA222" i="1"/>
  <c r="AB222" i="1"/>
  <c r="AP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D222" i="1"/>
  <c r="CE222" i="1"/>
  <c r="CF222" i="1"/>
  <c r="CG222" i="1"/>
  <c r="CH222" i="1"/>
  <c r="CI222" i="1"/>
  <c r="CJ222" i="1"/>
  <c r="CK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CY222" i="1"/>
  <c r="CZ222" i="1"/>
  <c r="DA222" i="1"/>
  <c r="DB222" i="1"/>
  <c r="DC222" i="1"/>
  <c r="DE222" i="1"/>
  <c r="DH222" i="1"/>
  <c r="DK222" i="1"/>
  <c r="DL222" i="1"/>
  <c r="DM222" i="1"/>
  <c r="DN222" i="1"/>
  <c r="DP222" i="1"/>
  <c r="DS222" i="1"/>
  <c r="DV222" i="1"/>
  <c r="DX222" i="1"/>
  <c r="DY222" i="1"/>
  <c r="ED222" i="1"/>
  <c r="EE222" i="1"/>
  <c r="EF222" i="1"/>
  <c r="EG222" i="1"/>
  <c r="EH222" i="1"/>
  <c r="EI222" i="1"/>
  <c r="EJ222" i="1"/>
  <c r="EK222" i="1"/>
  <c r="FO222" i="1"/>
  <c r="FP222" i="1"/>
  <c r="FQ222" i="1"/>
  <c r="FR222" i="1"/>
  <c r="FS222" i="1"/>
  <c r="FT222" i="1"/>
  <c r="FU222" i="1"/>
  <c r="FV222" i="1"/>
  <c r="FW222" i="1"/>
  <c r="FX222" i="1"/>
  <c r="FY222" i="1"/>
  <c r="FZ222" i="1"/>
  <c r="GA222" i="1"/>
  <c r="GB222" i="1"/>
  <c r="GC222" i="1"/>
  <c r="GD222" i="1"/>
  <c r="GE222" i="1"/>
  <c r="GF222" i="1"/>
  <c r="GG222" i="1"/>
  <c r="GH222" i="1"/>
  <c r="GI222" i="1"/>
  <c r="GJ222" i="1"/>
  <c r="GK222" i="1"/>
  <c r="GL222" i="1"/>
  <c r="GM222" i="1"/>
  <c r="GN222" i="1"/>
  <c r="GO222" i="1"/>
  <c r="GP222" i="1"/>
  <c r="GQ222" i="1"/>
  <c r="GR222" i="1"/>
  <c r="GS222" i="1"/>
  <c r="GT222" i="1"/>
  <c r="GU222" i="1"/>
  <c r="GV222" i="1"/>
  <c r="GW222" i="1"/>
  <c r="GX222" i="1"/>
  <c r="GY222" i="1"/>
  <c r="GZ222" i="1"/>
  <c r="HA222" i="1"/>
  <c r="HB222" i="1"/>
  <c r="HC222" i="1"/>
  <c r="HD222" i="1"/>
  <c r="HE222" i="1"/>
  <c r="HF222" i="1"/>
  <c r="HG222" i="1"/>
  <c r="HH222" i="1"/>
  <c r="HI222" i="1"/>
  <c r="HJ222" i="1"/>
  <c r="HK222" i="1"/>
  <c r="HL222" i="1"/>
  <c r="HM222" i="1"/>
  <c r="HN222" i="1"/>
  <c r="HO222" i="1"/>
  <c r="HP222" i="1"/>
  <c r="HQ222" i="1"/>
  <c r="HR222" i="1"/>
  <c r="HS222" i="1"/>
  <c r="HT222" i="1"/>
  <c r="HU222" i="1"/>
  <c r="HV222" i="1"/>
  <c r="HW222" i="1"/>
  <c r="HX222" i="1"/>
  <c r="HY222" i="1"/>
  <c r="HZ222" i="1"/>
  <c r="IA222" i="1"/>
  <c r="IB222" i="1"/>
  <c r="IC222" i="1"/>
  <c r="ID222" i="1"/>
  <c r="IE222" i="1"/>
  <c r="IF222" i="1"/>
  <c r="IG222" i="1"/>
  <c r="IH222" i="1"/>
  <c r="H223" i="1"/>
  <c r="I223" i="1"/>
  <c r="L223" i="1"/>
  <c r="O223" i="1"/>
  <c r="R223" i="1"/>
  <c r="S223" i="1"/>
  <c r="T223" i="1"/>
  <c r="U223" i="1"/>
  <c r="W223" i="1"/>
  <c r="X223" i="1"/>
  <c r="Y223" i="1"/>
  <c r="Z223" i="1"/>
  <c r="AA223" i="1"/>
  <c r="AB223" i="1"/>
  <c r="AP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D223" i="1"/>
  <c r="CE223" i="1"/>
  <c r="CF223" i="1"/>
  <c r="CG223" i="1"/>
  <c r="CH223" i="1"/>
  <c r="CI223" i="1"/>
  <c r="CJ223" i="1"/>
  <c r="CK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CY223" i="1"/>
  <c r="CZ223" i="1"/>
  <c r="DA223" i="1"/>
  <c r="DB223" i="1"/>
  <c r="DC223" i="1"/>
  <c r="DE223" i="1"/>
  <c r="DH223" i="1"/>
  <c r="DK223" i="1"/>
  <c r="DL223" i="1"/>
  <c r="DM223" i="1"/>
  <c r="DN223" i="1"/>
  <c r="DP223" i="1"/>
  <c r="DS223" i="1"/>
  <c r="DV223" i="1"/>
  <c r="DX223" i="1"/>
  <c r="DY223" i="1"/>
  <c r="ED223" i="1"/>
  <c r="EE223" i="1"/>
  <c r="EF223" i="1"/>
  <c r="EG223" i="1"/>
  <c r="EH223" i="1"/>
  <c r="EI223" i="1"/>
  <c r="EJ223" i="1"/>
  <c r="EK223" i="1"/>
  <c r="FO223" i="1"/>
  <c r="FP223" i="1"/>
  <c r="FQ223" i="1"/>
  <c r="FR223" i="1"/>
  <c r="FS223" i="1"/>
  <c r="FT223" i="1"/>
  <c r="FU223" i="1"/>
  <c r="FV223" i="1"/>
  <c r="FW223" i="1"/>
  <c r="FX223" i="1"/>
  <c r="FY223" i="1"/>
  <c r="FZ223" i="1"/>
  <c r="GA223" i="1"/>
  <c r="GB223" i="1"/>
  <c r="GC223" i="1"/>
  <c r="GD223" i="1"/>
  <c r="GE223" i="1"/>
  <c r="GF223" i="1"/>
  <c r="GG223" i="1"/>
  <c r="GH223" i="1"/>
  <c r="GI223" i="1"/>
  <c r="GJ223" i="1"/>
  <c r="GK223" i="1"/>
  <c r="GL223" i="1"/>
  <c r="GM223" i="1"/>
  <c r="GN223" i="1"/>
  <c r="GO223" i="1"/>
  <c r="GP223" i="1"/>
  <c r="GQ223" i="1"/>
  <c r="GR223" i="1"/>
  <c r="GS223" i="1"/>
  <c r="GT223" i="1"/>
  <c r="GU223" i="1"/>
  <c r="GV223" i="1"/>
  <c r="GW223" i="1"/>
  <c r="GX223" i="1"/>
  <c r="GY223" i="1"/>
  <c r="GZ223" i="1"/>
  <c r="HA223" i="1"/>
  <c r="HB223" i="1"/>
  <c r="HC223" i="1"/>
  <c r="HD223" i="1"/>
  <c r="HE223" i="1"/>
  <c r="HF223" i="1"/>
  <c r="HG223" i="1"/>
  <c r="HH223" i="1"/>
  <c r="HI223" i="1"/>
  <c r="HJ223" i="1"/>
  <c r="HK223" i="1"/>
  <c r="HL223" i="1"/>
  <c r="HM223" i="1"/>
  <c r="HN223" i="1"/>
  <c r="HO223" i="1"/>
  <c r="HP223" i="1"/>
  <c r="HQ223" i="1"/>
  <c r="HR223" i="1"/>
  <c r="HS223" i="1"/>
  <c r="HT223" i="1"/>
  <c r="HU223" i="1"/>
  <c r="HV223" i="1"/>
  <c r="HW223" i="1"/>
  <c r="HX223" i="1"/>
  <c r="HY223" i="1"/>
  <c r="HZ223" i="1"/>
  <c r="IA223" i="1"/>
  <c r="IB223" i="1"/>
  <c r="IC223" i="1"/>
  <c r="ID223" i="1"/>
  <c r="IE223" i="1"/>
  <c r="IF223" i="1"/>
  <c r="IG223" i="1"/>
  <c r="IH223" i="1"/>
  <c r="H224" i="1"/>
  <c r="I224" i="1"/>
  <c r="L224" i="1"/>
  <c r="O224" i="1"/>
  <c r="R224" i="1"/>
  <c r="S224" i="1"/>
  <c r="T224" i="1"/>
  <c r="U224" i="1"/>
  <c r="W224" i="1"/>
  <c r="X224" i="1"/>
  <c r="Y224" i="1"/>
  <c r="Z224" i="1"/>
  <c r="AA224" i="1"/>
  <c r="AB224" i="1"/>
  <c r="AP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D224" i="1"/>
  <c r="CE224" i="1"/>
  <c r="CF224" i="1"/>
  <c r="CG224" i="1"/>
  <c r="CH224" i="1"/>
  <c r="CI224" i="1"/>
  <c r="CJ224" i="1"/>
  <c r="CK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CY224" i="1"/>
  <c r="CZ224" i="1"/>
  <c r="DA224" i="1"/>
  <c r="DB224" i="1"/>
  <c r="DC224" i="1"/>
  <c r="DE224" i="1"/>
  <c r="DH224" i="1"/>
  <c r="DK224" i="1"/>
  <c r="DL224" i="1"/>
  <c r="DM224" i="1"/>
  <c r="DN224" i="1"/>
  <c r="DP224" i="1"/>
  <c r="DS224" i="1"/>
  <c r="DV224" i="1"/>
  <c r="DX224" i="1"/>
  <c r="DY224" i="1"/>
  <c r="ED224" i="1"/>
  <c r="EE224" i="1"/>
  <c r="EF224" i="1"/>
  <c r="EG224" i="1"/>
  <c r="EH224" i="1"/>
  <c r="EI224" i="1"/>
  <c r="EJ224" i="1"/>
  <c r="EK224" i="1"/>
  <c r="FO224" i="1"/>
  <c r="FP224" i="1"/>
  <c r="FQ224" i="1"/>
  <c r="FR224" i="1"/>
  <c r="FS224" i="1"/>
  <c r="FT224" i="1"/>
  <c r="FU224" i="1"/>
  <c r="FV224" i="1"/>
  <c r="FW224" i="1"/>
  <c r="FX224" i="1"/>
  <c r="FY224" i="1"/>
  <c r="FZ224" i="1"/>
  <c r="GA224" i="1"/>
  <c r="GB224" i="1"/>
  <c r="GC224" i="1"/>
  <c r="GD224" i="1"/>
  <c r="GE224" i="1"/>
  <c r="GF224" i="1"/>
  <c r="GG224" i="1"/>
  <c r="GH224" i="1"/>
  <c r="GI224" i="1"/>
  <c r="GJ224" i="1"/>
  <c r="GK224" i="1"/>
  <c r="GL224" i="1"/>
  <c r="GM224" i="1"/>
  <c r="GN224" i="1"/>
  <c r="GO224" i="1"/>
  <c r="GP224" i="1"/>
  <c r="GQ224" i="1"/>
  <c r="GR224" i="1"/>
  <c r="GS224" i="1"/>
  <c r="GT224" i="1"/>
  <c r="GU224" i="1"/>
  <c r="GV224" i="1"/>
  <c r="GW224" i="1"/>
  <c r="GX224" i="1"/>
  <c r="GY224" i="1"/>
  <c r="GZ224" i="1"/>
  <c r="HA224" i="1"/>
  <c r="HB224" i="1"/>
  <c r="HC224" i="1"/>
  <c r="HD224" i="1"/>
  <c r="HE224" i="1"/>
  <c r="HF224" i="1"/>
  <c r="HG224" i="1"/>
  <c r="HH224" i="1"/>
  <c r="HI224" i="1"/>
  <c r="HJ224" i="1"/>
  <c r="HK224" i="1"/>
  <c r="HL224" i="1"/>
  <c r="HM224" i="1"/>
  <c r="HN224" i="1"/>
  <c r="HO224" i="1"/>
  <c r="HP224" i="1"/>
  <c r="HQ224" i="1"/>
  <c r="HR224" i="1"/>
  <c r="HS224" i="1"/>
  <c r="HT224" i="1"/>
  <c r="HU224" i="1"/>
  <c r="HV224" i="1"/>
  <c r="HW224" i="1"/>
  <c r="HX224" i="1"/>
  <c r="HY224" i="1"/>
  <c r="HZ224" i="1"/>
  <c r="IA224" i="1"/>
  <c r="IB224" i="1"/>
  <c r="IC224" i="1"/>
  <c r="ID224" i="1"/>
  <c r="IE224" i="1"/>
  <c r="IF224" i="1"/>
  <c r="IG224" i="1"/>
  <c r="IH224" i="1"/>
  <c r="H225" i="1"/>
  <c r="I225" i="1"/>
  <c r="L225" i="1"/>
  <c r="O225" i="1"/>
  <c r="R225" i="1"/>
  <c r="S225" i="1"/>
  <c r="T225" i="1"/>
  <c r="U225" i="1"/>
  <c r="W225" i="1"/>
  <c r="X225" i="1"/>
  <c r="Y225" i="1"/>
  <c r="Z225" i="1"/>
  <c r="AA225" i="1"/>
  <c r="AB225" i="1"/>
  <c r="AP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D225" i="1"/>
  <c r="CE225" i="1"/>
  <c r="CF225" i="1"/>
  <c r="CG225" i="1"/>
  <c r="CH225" i="1"/>
  <c r="CI225" i="1"/>
  <c r="CJ225" i="1"/>
  <c r="CK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CY225" i="1"/>
  <c r="CZ225" i="1"/>
  <c r="DA225" i="1"/>
  <c r="DB225" i="1"/>
  <c r="DC225" i="1"/>
  <c r="DE225" i="1"/>
  <c r="DH225" i="1"/>
  <c r="DK225" i="1"/>
  <c r="DL225" i="1"/>
  <c r="DM225" i="1"/>
  <c r="DN225" i="1"/>
  <c r="DP225" i="1"/>
  <c r="DS225" i="1"/>
  <c r="DV225" i="1"/>
  <c r="DX225" i="1"/>
  <c r="DY225" i="1"/>
  <c r="ED225" i="1"/>
  <c r="EE225" i="1"/>
  <c r="EF225" i="1"/>
  <c r="EG225" i="1"/>
  <c r="EH225" i="1"/>
  <c r="EI225" i="1"/>
  <c r="EJ225" i="1"/>
  <c r="EK225" i="1"/>
  <c r="FO225" i="1"/>
  <c r="FP225" i="1"/>
  <c r="FQ225" i="1"/>
  <c r="FR225" i="1"/>
  <c r="FS225" i="1"/>
  <c r="FT225" i="1"/>
  <c r="FU225" i="1"/>
  <c r="FV225" i="1"/>
  <c r="FW225" i="1"/>
  <c r="FX225" i="1"/>
  <c r="FY225" i="1"/>
  <c r="FZ225" i="1"/>
  <c r="GA225" i="1"/>
  <c r="GB225" i="1"/>
  <c r="GC225" i="1"/>
  <c r="GD225" i="1"/>
  <c r="GE225" i="1"/>
  <c r="GF225" i="1"/>
  <c r="GG225" i="1"/>
  <c r="GH225" i="1"/>
  <c r="GI225" i="1"/>
  <c r="GJ225" i="1"/>
  <c r="GK225" i="1"/>
  <c r="GL225" i="1"/>
  <c r="GM225" i="1"/>
  <c r="GN225" i="1"/>
  <c r="GO225" i="1"/>
  <c r="GP225" i="1"/>
  <c r="GQ225" i="1"/>
  <c r="GR225" i="1"/>
  <c r="GS225" i="1"/>
  <c r="GT225" i="1"/>
  <c r="GU225" i="1"/>
  <c r="GV225" i="1"/>
  <c r="GW225" i="1"/>
  <c r="GX225" i="1"/>
  <c r="GY225" i="1"/>
  <c r="GZ225" i="1"/>
  <c r="HA225" i="1"/>
  <c r="HB225" i="1"/>
  <c r="HC225" i="1"/>
  <c r="HD225" i="1"/>
  <c r="HE225" i="1"/>
  <c r="HF225" i="1"/>
  <c r="HG225" i="1"/>
  <c r="HH225" i="1"/>
  <c r="HI225" i="1"/>
  <c r="HJ225" i="1"/>
  <c r="HK225" i="1"/>
  <c r="HL225" i="1"/>
  <c r="HM225" i="1"/>
  <c r="HN225" i="1"/>
  <c r="HO225" i="1"/>
  <c r="HP225" i="1"/>
  <c r="HQ225" i="1"/>
  <c r="HR225" i="1"/>
  <c r="HS225" i="1"/>
  <c r="HT225" i="1"/>
  <c r="HU225" i="1"/>
  <c r="HV225" i="1"/>
  <c r="HW225" i="1"/>
  <c r="HX225" i="1"/>
  <c r="HY225" i="1"/>
  <c r="HZ225" i="1"/>
  <c r="IA225" i="1"/>
  <c r="IB225" i="1"/>
  <c r="IC225" i="1"/>
  <c r="ID225" i="1"/>
  <c r="IE225" i="1"/>
  <c r="IF225" i="1"/>
  <c r="IG225" i="1"/>
  <c r="IH225" i="1"/>
  <c r="H226" i="1"/>
  <c r="I226" i="1"/>
  <c r="L226" i="1"/>
  <c r="O226" i="1"/>
  <c r="R226" i="1"/>
  <c r="S226" i="1"/>
  <c r="T226" i="1"/>
  <c r="U226" i="1"/>
  <c r="W226" i="1"/>
  <c r="X226" i="1"/>
  <c r="Y226" i="1"/>
  <c r="Z226" i="1"/>
  <c r="AA226" i="1"/>
  <c r="AB226" i="1"/>
  <c r="AP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D226" i="1"/>
  <c r="CE226" i="1"/>
  <c r="CF226" i="1"/>
  <c r="CG226" i="1"/>
  <c r="CH226" i="1"/>
  <c r="CI226" i="1"/>
  <c r="CJ226" i="1"/>
  <c r="CK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CY226" i="1"/>
  <c r="CZ226" i="1"/>
  <c r="DA226" i="1"/>
  <c r="DB226" i="1"/>
  <c r="DC226" i="1"/>
  <c r="DE226" i="1"/>
  <c r="DH226" i="1"/>
  <c r="DK226" i="1"/>
  <c r="DL226" i="1"/>
  <c r="DM226" i="1"/>
  <c r="DN226" i="1"/>
  <c r="DP226" i="1"/>
  <c r="DS226" i="1"/>
  <c r="DV226" i="1"/>
  <c r="DX226" i="1"/>
  <c r="DY226" i="1"/>
  <c r="ED226" i="1"/>
  <c r="EE226" i="1"/>
  <c r="EF226" i="1"/>
  <c r="EG226" i="1"/>
  <c r="EH226" i="1"/>
  <c r="EI226" i="1"/>
  <c r="EJ226" i="1"/>
  <c r="EK226" i="1"/>
  <c r="FO226" i="1"/>
  <c r="FP226" i="1"/>
  <c r="FQ226" i="1"/>
  <c r="FR226" i="1"/>
  <c r="FS226" i="1"/>
  <c r="FT226" i="1"/>
  <c r="FU226" i="1"/>
  <c r="FV226" i="1"/>
  <c r="FW226" i="1"/>
  <c r="FX226" i="1"/>
  <c r="FY226" i="1"/>
  <c r="FZ226" i="1"/>
  <c r="GA226" i="1"/>
  <c r="GB226" i="1"/>
  <c r="GC226" i="1"/>
  <c r="GD226" i="1"/>
  <c r="GE226" i="1"/>
  <c r="GF226" i="1"/>
  <c r="GG226" i="1"/>
  <c r="GH226" i="1"/>
  <c r="GI226" i="1"/>
  <c r="GJ226" i="1"/>
  <c r="GK226" i="1"/>
  <c r="GL226" i="1"/>
  <c r="GM226" i="1"/>
  <c r="GN226" i="1"/>
  <c r="GO226" i="1"/>
  <c r="GP226" i="1"/>
  <c r="GQ226" i="1"/>
  <c r="GR226" i="1"/>
  <c r="GS226" i="1"/>
  <c r="GT226" i="1"/>
  <c r="GU226" i="1"/>
  <c r="GV226" i="1"/>
  <c r="GW226" i="1"/>
  <c r="GX226" i="1"/>
  <c r="GY226" i="1"/>
  <c r="GZ226" i="1"/>
  <c r="HA226" i="1"/>
  <c r="HB226" i="1"/>
  <c r="HC226" i="1"/>
  <c r="HD226" i="1"/>
  <c r="HE226" i="1"/>
  <c r="HF226" i="1"/>
  <c r="HG226" i="1"/>
  <c r="HH226" i="1"/>
  <c r="HI226" i="1"/>
  <c r="HJ226" i="1"/>
  <c r="HK226" i="1"/>
  <c r="HL226" i="1"/>
  <c r="HM226" i="1"/>
  <c r="HN226" i="1"/>
  <c r="HO226" i="1"/>
  <c r="HP226" i="1"/>
  <c r="HQ226" i="1"/>
  <c r="HR226" i="1"/>
  <c r="HS226" i="1"/>
  <c r="HT226" i="1"/>
  <c r="HU226" i="1"/>
  <c r="HV226" i="1"/>
  <c r="HW226" i="1"/>
  <c r="HX226" i="1"/>
  <c r="HY226" i="1"/>
  <c r="HZ226" i="1"/>
  <c r="IA226" i="1"/>
  <c r="IB226" i="1"/>
  <c r="IC226" i="1"/>
  <c r="ID226" i="1"/>
  <c r="IE226" i="1"/>
  <c r="IF226" i="1"/>
  <c r="IG226" i="1"/>
  <c r="IH226" i="1"/>
  <c r="H227" i="1"/>
  <c r="I227" i="1"/>
  <c r="L227" i="1"/>
  <c r="O227" i="1"/>
  <c r="R227" i="1"/>
  <c r="S227" i="1"/>
  <c r="T227" i="1"/>
  <c r="U227" i="1"/>
  <c r="W227" i="1"/>
  <c r="X227" i="1"/>
  <c r="Y227" i="1"/>
  <c r="Z227" i="1"/>
  <c r="AA227" i="1"/>
  <c r="AB227" i="1"/>
  <c r="AP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D227" i="1"/>
  <c r="CE227" i="1"/>
  <c r="CF227" i="1"/>
  <c r="CG227" i="1"/>
  <c r="CH227" i="1"/>
  <c r="CI227" i="1"/>
  <c r="CJ227" i="1"/>
  <c r="CK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CY227" i="1"/>
  <c r="CZ227" i="1"/>
  <c r="DA227" i="1"/>
  <c r="DB227" i="1"/>
  <c r="DC227" i="1"/>
  <c r="DE227" i="1"/>
  <c r="DH227" i="1"/>
  <c r="DK227" i="1"/>
  <c r="DL227" i="1"/>
  <c r="DM227" i="1"/>
  <c r="DN227" i="1"/>
  <c r="DP227" i="1"/>
  <c r="DS227" i="1"/>
  <c r="DV227" i="1"/>
  <c r="DX227" i="1"/>
  <c r="DY227" i="1"/>
  <c r="ED227" i="1"/>
  <c r="EE227" i="1"/>
  <c r="EF227" i="1"/>
  <c r="EG227" i="1"/>
  <c r="EH227" i="1"/>
  <c r="EI227" i="1"/>
  <c r="EJ227" i="1"/>
  <c r="EK227" i="1"/>
  <c r="FO227" i="1"/>
  <c r="FP227" i="1"/>
  <c r="FQ227" i="1"/>
  <c r="FR227" i="1"/>
  <c r="FS227" i="1"/>
  <c r="FT227" i="1"/>
  <c r="FU227" i="1"/>
  <c r="FV227" i="1"/>
  <c r="FW227" i="1"/>
  <c r="FX227" i="1"/>
  <c r="FY227" i="1"/>
  <c r="FZ227" i="1"/>
  <c r="GA227" i="1"/>
  <c r="GB227" i="1"/>
  <c r="GC227" i="1"/>
  <c r="GD227" i="1"/>
  <c r="GE227" i="1"/>
  <c r="GF227" i="1"/>
  <c r="GG227" i="1"/>
  <c r="GH227" i="1"/>
  <c r="GI227" i="1"/>
  <c r="GJ227" i="1"/>
  <c r="GK227" i="1"/>
  <c r="GL227" i="1"/>
  <c r="GM227" i="1"/>
  <c r="GN227" i="1"/>
  <c r="GO227" i="1"/>
  <c r="GP227" i="1"/>
  <c r="GQ227" i="1"/>
  <c r="GR227" i="1"/>
  <c r="GS227" i="1"/>
  <c r="GT227" i="1"/>
  <c r="GU227" i="1"/>
  <c r="GV227" i="1"/>
  <c r="GW227" i="1"/>
  <c r="GX227" i="1"/>
  <c r="GY227" i="1"/>
  <c r="GZ227" i="1"/>
  <c r="HA227" i="1"/>
  <c r="HB227" i="1"/>
  <c r="HC227" i="1"/>
  <c r="HD227" i="1"/>
  <c r="HE227" i="1"/>
  <c r="HF227" i="1"/>
  <c r="HG227" i="1"/>
  <c r="HH227" i="1"/>
  <c r="HI227" i="1"/>
  <c r="HJ227" i="1"/>
  <c r="HK227" i="1"/>
  <c r="HL227" i="1"/>
  <c r="HM227" i="1"/>
  <c r="HN227" i="1"/>
  <c r="HO227" i="1"/>
  <c r="HP227" i="1"/>
  <c r="HQ227" i="1"/>
  <c r="HR227" i="1"/>
  <c r="HS227" i="1"/>
  <c r="HT227" i="1"/>
  <c r="HU227" i="1"/>
  <c r="HV227" i="1"/>
  <c r="HW227" i="1"/>
  <c r="HX227" i="1"/>
  <c r="HY227" i="1"/>
  <c r="HZ227" i="1"/>
  <c r="IA227" i="1"/>
  <c r="IB227" i="1"/>
  <c r="IC227" i="1"/>
  <c r="ID227" i="1"/>
  <c r="IE227" i="1"/>
  <c r="IF227" i="1"/>
  <c r="IG227" i="1"/>
  <c r="IH227" i="1"/>
  <c r="H228" i="1"/>
  <c r="I228" i="1"/>
  <c r="L228" i="1"/>
  <c r="O228" i="1"/>
  <c r="R228" i="1"/>
  <c r="S228" i="1"/>
  <c r="T228" i="1"/>
  <c r="U228" i="1"/>
  <c r="W228" i="1"/>
  <c r="X228" i="1"/>
  <c r="Y228" i="1"/>
  <c r="Z228" i="1"/>
  <c r="AA228" i="1"/>
  <c r="AB228" i="1"/>
  <c r="AP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D228" i="1"/>
  <c r="CE228" i="1"/>
  <c r="CF228" i="1"/>
  <c r="CG228" i="1"/>
  <c r="CH228" i="1"/>
  <c r="CI228" i="1"/>
  <c r="CJ228" i="1"/>
  <c r="CK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CY228" i="1"/>
  <c r="CZ228" i="1"/>
  <c r="DA228" i="1"/>
  <c r="DB228" i="1"/>
  <c r="DC228" i="1"/>
  <c r="DE228" i="1"/>
  <c r="DH228" i="1"/>
  <c r="DK228" i="1"/>
  <c r="DL228" i="1"/>
  <c r="DM228" i="1"/>
  <c r="DN228" i="1"/>
  <c r="DP228" i="1"/>
  <c r="DS228" i="1"/>
  <c r="DV228" i="1"/>
  <c r="DX228" i="1"/>
  <c r="DY228" i="1"/>
  <c r="ED228" i="1"/>
  <c r="EE228" i="1"/>
  <c r="EF228" i="1"/>
  <c r="EG228" i="1"/>
  <c r="EH228" i="1"/>
  <c r="EI228" i="1"/>
  <c r="EJ228" i="1"/>
  <c r="EK228" i="1"/>
  <c r="FO228" i="1"/>
  <c r="FP228" i="1"/>
  <c r="FQ228" i="1"/>
  <c r="FR228" i="1"/>
  <c r="FS228" i="1"/>
  <c r="FT228" i="1"/>
  <c r="FU228" i="1"/>
  <c r="FV228" i="1"/>
  <c r="FW228" i="1"/>
  <c r="FX228" i="1"/>
  <c r="FY228" i="1"/>
  <c r="FZ228" i="1"/>
  <c r="GA228" i="1"/>
  <c r="GB228" i="1"/>
  <c r="GC228" i="1"/>
  <c r="GD228" i="1"/>
  <c r="GE228" i="1"/>
  <c r="GF228" i="1"/>
  <c r="GG228" i="1"/>
  <c r="GH228" i="1"/>
  <c r="GI228" i="1"/>
  <c r="GJ228" i="1"/>
  <c r="GK228" i="1"/>
  <c r="GL228" i="1"/>
  <c r="GM228" i="1"/>
  <c r="GN228" i="1"/>
  <c r="GO228" i="1"/>
  <c r="GP228" i="1"/>
  <c r="GQ228" i="1"/>
  <c r="GR228" i="1"/>
  <c r="GS228" i="1"/>
  <c r="GT228" i="1"/>
  <c r="GU228" i="1"/>
  <c r="GV228" i="1"/>
  <c r="GW228" i="1"/>
  <c r="GX228" i="1"/>
  <c r="GY228" i="1"/>
  <c r="GZ228" i="1"/>
  <c r="HA228" i="1"/>
  <c r="HB228" i="1"/>
  <c r="HC228" i="1"/>
  <c r="HD228" i="1"/>
  <c r="HE228" i="1"/>
  <c r="HF228" i="1"/>
  <c r="HG228" i="1"/>
  <c r="HH228" i="1"/>
  <c r="HI228" i="1"/>
  <c r="HJ228" i="1"/>
  <c r="HK228" i="1"/>
  <c r="HL228" i="1"/>
  <c r="HM228" i="1"/>
  <c r="HN228" i="1"/>
  <c r="HO228" i="1"/>
  <c r="HP228" i="1"/>
  <c r="HQ228" i="1"/>
  <c r="HR228" i="1"/>
  <c r="HS228" i="1"/>
  <c r="HT228" i="1"/>
  <c r="HU228" i="1"/>
  <c r="HV228" i="1"/>
  <c r="HW228" i="1"/>
  <c r="HX228" i="1"/>
  <c r="HY228" i="1"/>
  <c r="HZ228" i="1"/>
  <c r="IA228" i="1"/>
  <c r="IB228" i="1"/>
  <c r="IC228" i="1"/>
  <c r="ID228" i="1"/>
  <c r="IE228" i="1"/>
  <c r="IF228" i="1"/>
  <c r="IG228" i="1"/>
  <c r="IH228" i="1"/>
  <c r="H229" i="1"/>
  <c r="I229" i="1"/>
  <c r="L229" i="1"/>
  <c r="O229" i="1"/>
  <c r="R229" i="1"/>
  <c r="S229" i="1"/>
  <c r="T229" i="1"/>
  <c r="U229" i="1"/>
  <c r="W229" i="1"/>
  <c r="X229" i="1"/>
  <c r="Y229" i="1"/>
  <c r="Z229" i="1"/>
  <c r="AA229" i="1"/>
  <c r="AB229" i="1"/>
  <c r="AP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D229" i="1"/>
  <c r="CE229" i="1"/>
  <c r="CF229" i="1"/>
  <c r="CG229" i="1"/>
  <c r="CH229" i="1"/>
  <c r="CI229" i="1"/>
  <c r="CJ229" i="1"/>
  <c r="CK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CY229" i="1"/>
  <c r="CZ229" i="1"/>
  <c r="DA229" i="1"/>
  <c r="DB229" i="1"/>
  <c r="DC229" i="1"/>
  <c r="DE229" i="1"/>
  <c r="DH229" i="1"/>
  <c r="DK229" i="1"/>
  <c r="DL229" i="1"/>
  <c r="DM229" i="1"/>
  <c r="DN229" i="1"/>
  <c r="DP229" i="1"/>
  <c r="DS229" i="1"/>
  <c r="DV229" i="1"/>
  <c r="DX229" i="1"/>
  <c r="DY229" i="1"/>
  <c r="ED229" i="1"/>
  <c r="EE229" i="1"/>
  <c r="EF229" i="1"/>
  <c r="EG229" i="1"/>
  <c r="EH229" i="1"/>
  <c r="EI229" i="1"/>
  <c r="EJ229" i="1"/>
  <c r="EK229" i="1"/>
  <c r="FO229" i="1"/>
  <c r="FP229" i="1"/>
  <c r="FQ229" i="1"/>
  <c r="FR229" i="1"/>
  <c r="FS229" i="1"/>
  <c r="FT229" i="1"/>
  <c r="FU229" i="1"/>
  <c r="FV229" i="1"/>
  <c r="FW229" i="1"/>
  <c r="FX229" i="1"/>
  <c r="FY229" i="1"/>
  <c r="FZ229" i="1"/>
  <c r="GA229" i="1"/>
  <c r="GB229" i="1"/>
  <c r="GC229" i="1"/>
  <c r="GD229" i="1"/>
  <c r="GE229" i="1"/>
  <c r="GF229" i="1"/>
  <c r="GG229" i="1"/>
  <c r="GH229" i="1"/>
  <c r="GI229" i="1"/>
  <c r="GJ229" i="1"/>
  <c r="GK229" i="1"/>
  <c r="GL229" i="1"/>
  <c r="GM229" i="1"/>
  <c r="GN229" i="1"/>
  <c r="GO229" i="1"/>
  <c r="GP229" i="1"/>
  <c r="GQ229" i="1"/>
  <c r="GR229" i="1"/>
  <c r="GS229" i="1"/>
  <c r="GT229" i="1"/>
  <c r="GU229" i="1"/>
  <c r="GV229" i="1"/>
  <c r="GW229" i="1"/>
  <c r="GX229" i="1"/>
  <c r="GY229" i="1"/>
  <c r="GZ229" i="1"/>
  <c r="HA229" i="1"/>
  <c r="HB229" i="1"/>
  <c r="HC229" i="1"/>
  <c r="HD229" i="1"/>
  <c r="HE229" i="1"/>
  <c r="HF229" i="1"/>
  <c r="HG229" i="1"/>
  <c r="HH229" i="1"/>
  <c r="HI229" i="1"/>
  <c r="HJ229" i="1"/>
  <c r="HK229" i="1"/>
  <c r="HL229" i="1"/>
  <c r="HM229" i="1"/>
  <c r="HN229" i="1"/>
  <c r="HO229" i="1"/>
  <c r="HP229" i="1"/>
  <c r="HQ229" i="1"/>
  <c r="HR229" i="1"/>
  <c r="HS229" i="1"/>
  <c r="HT229" i="1"/>
  <c r="HU229" i="1"/>
  <c r="HV229" i="1"/>
  <c r="HW229" i="1"/>
  <c r="HX229" i="1"/>
  <c r="HY229" i="1"/>
  <c r="HZ229" i="1"/>
  <c r="IA229" i="1"/>
  <c r="IB229" i="1"/>
  <c r="IC229" i="1"/>
  <c r="ID229" i="1"/>
  <c r="IE229" i="1"/>
  <c r="IF229" i="1"/>
  <c r="IG229" i="1"/>
  <c r="IH229" i="1"/>
  <c r="H230" i="1"/>
  <c r="I230" i="1"/>
  <c r="L230" i="1"/>
  <c r="O230" i="1"/>
  <c r="R230" i="1"/>
  <c r="S230" i="1"/>
  <c r="T230" i="1"/>
  <c r="U230" i="1"/>
  <c r="W230" i="1"/>
  <c r="X230" i="1"/>
  <c r="Y230" i="1"/>
  <c r="Z230" i="1"/>
  <c r="AA230" i="1"/>
  <c r="AB230" i="1"/>
  <c r="AP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D230" i="1"/>
  <c r="CE230" i="1"/>
  <c r="CF230" i="1"/>
  <c r="CG230" i="1"/>
  <c r="CH230" i="1"/>
  <c r="CI230" i="1"/>
  <c r="CJ230" i="1"/>
  <c r="CK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CY230" i="1"/>
  <c r="CZ230" i="1"/>
  <c r="DA230" i="1"/>
  <c r="DB230" i="1"/>
  <c r="DC230" i="1"/>
  <c r="DE230" i="1"/>
  <c r="DH230" i="1"/>
  <c r="DK230" i="1"/>
  <c r="DL230" i="1"/>
  <c r="DM230" i="1"/>
  <c r="DN230" i="1"/>
  <c r="DP230" i="1"/>
  <c r="DS230" i="1"/>
  <c r="DV230" i="1"/>
  <c r="DX230" i="1"/>
  <c r="DY230" i="1"/>
  <c r="ED230" i="1"/>
  <c r="EE230" i="1"/>
  <c r="EF230" i="1"/>
  <c r="EG230" i="1"/>
  <c r="EH230" i="1"/>
  <c r="EI230" i="1"/>
  <c r="EJ230" i="1"/>
  <c r="EK230" i="1"/>
  <c r="FO230" i="1"/>
  <c r="FP230" i="1"/>
  <c r="FQ230" i="1"/>
  <c r="FR230" i="1"/>
  <c r="FS230" i="1"/>
  <c r="FT230" i="1"/>
  <c r="FU230" i="1"/>
  <c r="FV230" i="1"/>
  <c r="FW230" i="1"/>
  <c r="FX230" i="1"/>
  <c r="FY230" i="1"/>
  <c r="FZ230" i="1"/>
  <c r="GA230" i="1"/>
  <c r="GB230" i="1"/>
  <c r="GC230" i="1"/>
  <c r="GD230" i="1"/>
  <c r="GE230" i="1"/>
  <c r="GF230" i="1"/>
  <c r="GG230" i="1"/>
  <c r="GH230" i="1"/>
  <c r="GI230" i="1"/>
  <c r="GJ230" i="1"/>
  <c r="GK230" i="1"/>
  <c r="GL230" i="1"/>
  <c r="GM230" i="1"/>
  <c r="GN230" i="1"/>
  <c r="GO230" i="1"/>
  <c r="GP230" i="1"/>
  <c r="GQ230" i="1"/>
  <c r="GR230" i="1"/>
  <c r="GS230" i="1"/>
  <c r="GT230" i="1"/>
  <c r="GU230" i="1"/>
  <c r="GV230" i="1"/>
  <c r="GW230" i="1"/>
  <c r="GX230" i="1"/>
  <c r="GY230" i="1"/>
  <c r="GZ230" i="1"/>
  <c r="HA230" i="1"/>
  <c r="HB230" i="1"/>
  <c r="HC230" i="1"/>
  <c r="HD230" i="1"/>
  <c r="HE230" i="1"/>
  <c r="HF230" i="1"/>
  <c r="HG230" i="1"/>
  <c r="HH230" i="1"/>
  <c r="HI230" i="1"/>
  <c r="HJ230" i="1"/>
  <c r="HK230" i="1"/>
  <c r="HL230" i="1"/>
  <c r="HM230" i="1"/>
  <c r="HN230" i="1"/>
  <c r="HO230" i="1"/>
  <c r="HP230" i="1"/>
  <c r="HQ230" i="1"/>
  <c r="HR230" i="1"/>
  <c r="HS230" i="1"/>
  <c r="HT230" i="1"/>
  <c r="HU230" i="1"/>
  <c r="HV230" i="1"/>
  <c r="HW230" i="1"/>
  <c r="HX230" i="1"/>
  <c r="HY230" i="1"/>
  <c r="HZ230" i="1"/>
  <c r="IA230" i="1"/>
  <c r="IB230" i="1"/>
  <c r="IC230" i="1"/>
  <c r="ID230" i="1"/>
  <c r="IE230" i="1"/>
  <c r="IF230" i="1"/>
  <c r="IG230" i="1"/>
  <c r="IH230" i="1"/>
  <c r="H231" i="1"/>
  <c r="I231" i="1"/>
  <c r="L231" i="1"/>
  <c r="O231" i="1"/>
  <c r="R231" i="1"/>
  <c r="S231" i="1"/>
  <c r="T231" i="1"/>
  <c r="U231" i="1"/>
  <c r="W231" i="1"/>
  <c r="X231" i="1"/>
  <c r="Y231" i="1"/>
  <c r="Z231" i="1"/>
  <c r="AA231" i="1"/>
  <c r="AB231" i="1"/>
  <c r="AP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D231" i="1"/>
  <c r="CE231" i="1"/>
  <c r="CF231" i="1"/>
  <c r="CG231" i="1"/>
  <c r="CH231" i="1"/>
  <c r="CI231" i="1"/>
  <c r="CJ231" i="1"/>
  <c r="CK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CY231" i="1"/>
  <c r="CZ231" i="1"/>
  <c r="DA231" i="1"/>
  <c r="DB231" i="1"/>
  <c r="DC231" i="1"/>
  <c r="DE231" i="1"/>
  <c r="DH231" i="1"/>
  <c r="DK231" i="1"/>
  <c r="DL231" i="1"/>
  <c r="DM231" i="1"/>
  <c r="DN231" i="1"/>
  <c r="DP231" i="1"/>
  <c r="DS231" i="1"/>
  <c r="DV231" i="1"/>
  <c r="DX231" i="1"/>
  <c r="DY231" i="1"/>
  <c r="ED231" i="1"/>
  <c r="EE231" i="1"/>
  <c r="EF231" i="1"/>
  <c r="EG231" i="1"/>
  <c r="EH231" i="1"/>
  <c r="EI231" i="1"/>
  <c r="EJ231" i="1"/>
  <c r="EK231" i="1"/>
  <c r="FO231" i="1"/>
  <c r="FP231" i="1"/>
  <c r="FQ231" i="1"/>
  <c r="FR231" i="1"/>
  <c r="FS231" i="1"/>
  <c r="FT231" i="1"/>
  <c r="FU231" i="1"/>
  <c r="FV231" i="1"/>
  <c r="FW231" i="1"/>
  <c r="FX231" i="1"/>
  <c r="FY231" i="1"/>
  <c r="FZ231" i="1"/>
  <c r="GA231" i="1"/>
  <c r="GB231" i="1"/>
  <c r="GC231" i="1"/>
  <c r="GD231" i="1"/>
  <c r="GE231" i="1"/>
  <c r="GF231" i="1"/>
  <c r="GG231" i="1"/>
  <c r="GH231" i="1"/>
  <c r="GI231" i="1"/>
  <c r="GJ231" i="1"/>
  <c r="GK231" i="1"/>
  <c r="GL231" i="1"/>
  <c r="GM231" i="1"/>
  <c r="GN231" i="1"/>
  <c r="GO231" i="1"/>
  <c r="GP231" i="1"/>
  <c r="GQ231" i="1"/>
  <c r="GR231" i="1"/>
  <c r="GS231" i="1"/>
  <c r="GT231" i="1"/>
  <c r="GU231" i="1"/>
  <c r="GV231" i="1"/>
  <c r="GW231" i="1"/>
  <c r="GX231" i="1"/>
  <c r="GY231" i="1"/>
  <c r="GZ231" i="1"/>
  <c r="HA231" i="1"/>
  <c r="HB231" i="1"/>
  <c r="HC231" i="1"/>
  <c r="HD231" i="1"/>
  <c r="HE231" i="1"/>
  <c r="HF231" i="1"/>
  <c r="HG231" i="1"/>
  <c r="HH231" i="1"/>
  <c r="HI231" i="1"/>
  <c r="HJ231" i="1"/>
  <c r="HK231" i="1"/>
  <c r="HL231" i="1"/>
  <c r="HM231" i="1"/>
  <c r="HN231" i="1"/>
  <c r="HO231" i="1"/>
  <c r="HP231" i="1"/>
  <c r="HQ231" i="1"/>
  <c r="HR231" i="1"/>
  <c r="HS231" i="1"/>
  <c r="HT231" i="1"/>
  <c r="HU231" i="1"/>
  <c r="HV231" i="1"/>
  <c r="HW231" i="1"/>
  <c r="HX231" i="1"/>
  <c r="HY231" i="1"/>
  <c r="HZ231" i="1"/>
  <c r="IA231" i="1"/>
  <c r="IB231" i="1"/>
  <c r="IC231" i="1"/>
  <c r="ID231" i="1"/>
  <c r="IE231" i="1"/>
  <c r="IF231" i="1"/>
  <c r="IG231" i="1"/>
  <c r="IH231" i="1"/>
  <c r="H232" i="1"/>
  <c r="I232" i="1"/>
  <c r="L232" i="1"/>
  <c r="O232" i="1"/>
  <c r="R232" i="1"/>
  <c r="S232" i="1"/>
  <c r="T232" i="1"/>
  <c r="U232" i="1"/>
  <c r="W232" i="1"/>
  <c r="X232" i="1"/>
  <c r="Y232" i="1"/>
  <c r="Z232" i="1"/>
  <c r="AA232" i="1"/>
  <c r="AB232" i="1"/>
  <c r="AP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D232" i="1"/>
  <c r="CE232" i="1"/>
  <c r="CF232" i="1"/>
  <c r="CG232" i="1"/>
  <c r="CH232" i="1"/>
  <c r="CI232" i="1"/>
  <c r="CJ232" i="1"/>
  <c r="CK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CY232" i="1"/>
  <c r="CZ232" i="1"/>
  <c r="DA232" i="1"/>
  <c r="DB232" i="1"/>
  <c r="DC232" i="1"/>
  <c r="DE232" i="1"/>
  <c r="DH232" i="1"/>
  <c r="DK232" i="1"/>
  <c r="DL232" i="1"/>
  <c r="DM232" i="1"/>
  <c r="DN232" i="1"/>
  <c r="DP232" i="1"/>
  <c r="DS232" i="1"/>
  <c r="DV232" i="1"/>
  <c r="DX232" i="1"/>
  <c r="DY232" i="1"/>
  <c r="ED232" i="1"/>
  <c r="EE232" i="1"/>
  <c r="EF232" i="1"/>
  <c r="EG232" i="1"/>
  <c r="EH232" i="1"/>
  <c r="EI232" i="1"/>
  <c r="EJ232" i="1"/>
  <c r="EK232" i="1"/>
  <c r="FO232" i="1"/>
  <c r="FP232" i="1"/>
  <c r="FQ232" i="1"/>
  <c r="FR232" i="1"/>
  <c r="FS232" i="1"/>
  <c r="FT232" i="1"/>
  <c r="FU232" i="1"/>
  <c r="FV232" i="1"/>
  <c r="FW232" i="1"/>
  <c r="FX232" i="1"/>
  <c r="FY232" i="1"/>
  <c r="FZ232" i="1"/>
  <c r="GA232" i="1"/>
  <c r="GB232" i="1"/>
  <c r="GC232" i="1"/>
  <c r="GD232" i="1"/>
  <c r="GE232" i="1"/>
  <c r="GF232" i="1"/>
  <c r="GG232" i="1"/>
  <c r="GH232" i="1"/>
  <c r="GI232" i="1"/>
  <c r="GJ232" i="1"/>
  <c r="GK232" i="1"/>
  <c r="GL232" i="1"/>
  <c r="GM232" i="1"/>
  <c r="GN232" i="1"/>
  <c r="GO232" i="1"/>
  <c r="GP232" i="1"/>
  <c r="GQ232" i="1"/>
  <c r="GR232" i="1"/>
  <c r="GS232" i="1"/>
  <c r="GT232" i="1"/>
  <c r="GU232" i="1"/>
  <c r="GV232" i="1"/>
  <c r="GW232" i="1"/>
  <c r="GX232" i="1"/>
  <c r="GY232" i="1"/>
  <c r="GZ232" i="1"/>
  <c r="HA232" i="1"/>
  <c r="HB232" i="1"/>
  <c r="HC232" i="1"/>
  <c r="HD232" i="1"/>
  <c r="HE232" i="1"/>
  <c r="HF232" i="1"/>
  <c r="HG232" i="1"/>
  <c r="HH232" i="1"/>
  <c r="HI232" i="1"/>
  <c r="HJ232" i="1"/>
  <c r="HK232" i="1"/>
  <c r="HL232" i="1"/>
  <c r="HM232" i="1"/>
  <c r="HN232" i="1"/>
  <c r="HO232" i="1"/>
  <c r="HP232" i="1"/>
  <c r="HQ232" i="1"/>
  <c r="HR232" i="1"/>
  <c r="HS232" i="1"/>
  <c r="HT232" i="1"/>
  <c r="HU232" i="1"/>
  <c r="HV232" i="1"/>
  <c r="HW232" i="1"/>
  <c r="HX232" i="1"/>
  <c r="HY232" i="1"/>
  <c r="HZ232" i="1"/>
  <c r="IA232" i="1"/>
  <c r="IB232" i="1"/>
  <c r="IC232" i="1"/>
  <c r="ID232" i="1"/>
  <c r="IE232" i="1"/>
  <c r="IF232" i="1"/>
  <c r="IG232" i="1"/>
  <c r="IH232" i="1"/>
  <c r="H233" i="1"/>
  <c r="I233" i="1"/>
  <c r="L233" i="1"/>
  <c r="O233" i="1"/>
  <c r="R233" i="1"/>
  <c r="S233" i="1"/>
  <c r="T233" i="1"/>
  <c r="U233" i="1"/>
  <c r="W233" i="1"/>
  <c r="X233" i="1"/>
  <c r="Y233" i="1"/>
  <c r="Z233" i="1"/>
  <c r="AA233" i="1"/>
  <c r="AB233" i="1"/>
  <c r="AP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D233" i="1"/>
  <c r="CE233" i="1"/>
  <c r="CF233" i="1"/>
  <c r="CG233" i="1"/>
  <c r="CH233" i="1"/>
  <c r="CI233" i="1"/>
  <c r="CJ233" i="1"/>
  <c r="CK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CY233" i="1"/>
  <c r="CZ233" i="1"/>
  <c r="DA233" i="1"/>
  <c r="DB233" i="1"/>
  <c r="DC233" i="1"/>
  <c r="DE233" i="1"/>
  <c r="DH233" i="1"/>
  <c r="DK233" i="1"/>
  <c r="DL233" i="1"/>
  <c r="DM233" i="1"/>
  <c r="DN233" i="1"/>
  <c r="DP233" i="1"/>
  <c r="DS233" i="1"/>
  <c r="DV233" i="1"/>
  <c r="DX233" i="1"/>
  <c r="DY233" i="1"/>
  <c r="ED233" i="1"/>
  <c r="EE233" i="1"/>
  <c r="EF233" i="1"/>
  <c r="EG233" i="1"/>
  <c r="EH233" i="1"/>
  <c r="EI233" i="1"/>
  <c r="EJ233" i="1"/>
  <c r="EK233" i="1"/>
  <c r="FO233" i="1"/>
  <c r="FP233" i="1"/>
  <c r="FQ233" i="1"/>
  <c r="FR233" i="1"/>
  <c r="FS233" i="1"/>
  <c r="FT233" i="1"/>
  <c r="FU233" i="1"/>
  <c r="FV233" i="1"/>
  <c r="FW233" i="1"/>
  <c r="FX233" i="1"/>
  <c r="FY233" i="1"/>
  <c r="FZ233" i="1"/>
  <c r="GA233" i="1"/>
  <c r="GB233" i="1"/>
  <c r="GC233" i="1"/>
  <c r="GD233" i="1"/>
  <c r="GE233" i="1"/>
  <c r="GF233" i="1"/>
  <c r="GG233" i="1"/>
  <c r="GH233" i="1"/>
  <c r="GI233" i="1"/>
  <c r="GJ233" i="1"/>
  <c r="GK233" i="1"/>
  <c r="GL233" i="1"/>
  <c r="GM233" i="1"/>
  <c r="GN233" i="1"/>
  <c r="GO233" i="1"/>
  <c r="GP233" i="1"/>
  <c r="GQ233" i="1"/>
  <c r="GR233" i="1"/>
  <c r="GS233" i="1"/>
  <c r="GT233" i="1"/>
  <c r="GU233" i="1"/>
  <c r="GV233" i="1"/>
  <c r="GW233" i="1"/>
  <c r="GX233" i="1"/>
  <c r="GY233" i="1"/>
  <c r="GZ233" i="1"/>
  <c r="HA233" i="1"/>
  <c r="HB233" i="1"/>
  <c r="HC233" i="1"/>
  <c r="HD233" i="1"/>
  <c r="HE233" i="1"/>
  <c r="HF233" i="1"/>
  <c r="HG233" i="1"/>
  <c r="HH233" i="1"/>
  <c r="HI233" i="1"/>
  <c r="HJ233" i="1"/>
  <c r="HK233" i="1"/>
  <c r="HL233" i="1"/>
  <c r="HM233" i="1"/>
  <c r="HN233" i="1"/>
  <c r="HO233" i="1"/>
  <c r="HP233" i="1"/>
  <c r="HQ233" i="1"/>
  <c r="HR233" i="1"/>
  <c r="HS233" i="1"/>
  <c r="HT233" i="1"/>
  <c r="HU233" i="1"/>
  <c r="HV233" i="1"/>
  <c r="HW233" i="1"/>
  <c r="HX233" i="1"/>
  <c r="HY233" i="1"/>
  <c r="HZ233" i="1"/>
  <c r="IA233" i="1"/>
  <c r="IB233" i="1"/>
  <c r="IC233" i="1"/>
  <c r="ID233" i="1"/>
  <c r="IE233" i="1"/>
  <c r="IF233" i="1"/>
  <c r="IG233" i="1"/>
  <c r="IH233" i="1"/>
  <c r="H234" i="1"/>
  <c r="I234" i="1"/>
  <c r="L234" i="1"/>
  <c r="O234" i="1"/>
  <c r="R234" i="1"/>
  <c r="S234" i="1"/>
  <c r="T234" i="1"/>
  <c r="U234" i="1"/>
  <c r="W234" i="1"/>
  <c r="X234" i="1"/>
  <c r="Y234" i="1"/>
  <c r="Z234" i="1"/>
  <c r="AA234" i="1"/>
  <c r="AB234" i="1"/>
  <c r="AP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D234" i="1"/>
  <c r="CE234" i="1"/>
  <c r="CF234" i="1"/>
  <c r="CG234" i="1"/>
  <c r="CH234" i="1"/>
  <c r="CI234" i="1"/>
  <c r="CJ234" i="1"/>
  <c r="CK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CY234" i="1"/>
  <c r="CZ234" i="1"/>
  <c r="DA234" i="1"/>
  <c r="DB234" i="1"/>
  <c r="DC234" i="1"/>
  <c r="DE234" i="1"/>
  <c r="DH234" i="1"/>
  <c r="DK234" i="1"/>
  <c r="DL234" i="1"/>
  <c r="DM234" i="1"/>
  <c r="DN234" i="1"/>
  <c r="DP234" i="1"/>
  <c r="DS234" i="1"/>
  <c r="DV234" i="1"/>
  <c r="DX234" i="1"/>
  <c r="DY234" i="1"/>
  <c r="ED234" i="1"/>
  <c r="EE234" i="1"/>
  <c r="EF234" i="1"/>
  <c r="EG234" i="1"/>
  <c r="EH234" i="1"/>
  <c r="EI234" i="1"/>
  <c r="EJ234" i="1"/>
  <c r="EK234" i="1"/>
  <c r="FO234" i="1"/>
  <c r="FP234" i="1"/>
  <c r="FQ234" i="1"/>
  <c r="FR234" i="1"/>
  <c r="FS234" i="1"/>
  <c r="FT234" i="1"/>
  <c r="FU234" i="1"/>
  <c r="FV234" i="1"/>
  <c r="FW234" i="1"/>
  <c r="FX234" i="1"/>
  <c r="FY234" i="1"/>
  <c r="FZ234" i="1"/>
  <c r="GA234" i="1"/>
  <c r="GB234" i="1"/>
  <c r="GC234" i="1"/>
  <c r="GD234" i="1"/>
  <c r="GE234" i="1"/>
  <c r="GF234" i="1"/>
  <c r="GG234" i="1"/>
  <c r="GH234" i="1"/>
  <c r="GI234" i="1"/>
  <c r="GJ234" i="1"/>
  <c r="GK234" i="1"/>
  <c r="GL234" i="1"/>
  <c r="GM234" i="1"/>
  <c r="GN234" i="1"/>
  <c r="GO234" i="1"/>
  <c r="GP234" i="1"/>
  <c r="GQ234" i="1"/>
  <c r="GR234" i="1"/>
  <c r="GS234" i="1"/>
  <c r="GT234" i="1"/>
  <c r="GU234" i="1"/>
  <c r="GV234" i="1"/>
  <c r="GW234" i="1"/>
  <c r="GX234" i="1"/>
  <c r="GY234" i="1"/>
  <c r="GZ234" i="1"/>
  <c r="HA234" i="1"/>
  <c r="HB234" i="1"/>
  <c r="HC234" i="1"/>
  <c r="HD234" i="1"/>
  <c r="HE234" i="1"/>
  <c r="HF234" i="1"/>
  <c r="HG234" i="1"/>
  <c r="HH234" i="1"/>
  <c r="HI234" i="1"/>
  <c r="HJ234" i="1"/>
  <c r="HK234" i="1"/>
  <c r="HL234" i="1"/>
  <c r="HM234" i="1"/>
  <c r="HN234" i="1"/>
  <c r="HO234" i="1"/>
  <c r="HP234" i="1"/>
  <c r="HQ234" i="1"/>
  <c r="HR234" i="1"/>
  <c r="HS234" i="1"/>
  <c r="HT234" i="1"/>
  <c r="HU234" i="1"/>
  <c r="HV234" i="1"/>
  <c r="HW234" i="1"/>
  <c r="HX234" i="1"/>
  <c r="HY234" i="1"/>
  <c r="HZ234" i="1"/>
  <c r="IA234" i="1"/>
  <c r="IB234" i="1"/>
  <c r="IC234" i="1"/>
  <c r="ID234" i="1"/>
  <c r="IE234" i="1"/>
  <c r="IF234" i="1"/>
  <c r="IG234" i="1"/>
  <c r="IH234" i="1"/>
  <c r="H235" i="1"/>
  <c r="I235" i="1"/>
  <c r="L235" i="1"/>
  <c r="O235" i="1"/>
  <c r="R235" i="1"/>
  <c r="S235" i="1"/>
  <c r="T235" i="1"/>
  <c r="U235" i="1"/>
  <c r="W235" i="1"/>
  <c r="X235" i="1"/>
  <c r="Y235" i="1"/>
  <c r="Z235" i="1"/>
  <c r="AA235" i="1"/>
  <c r="AB235" i="1"/>
  <c r="AP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D235" i="1"/>
  <c r="CE235" i="1"/>
  <c r="CF235" i="1"/>
  <c r="CG235" i="1"/>
  <c r="CH235" i="1"/>
  <c r="CI235" i="1"/>
  <c r="CJ235" i="1"/>
  <c r="CK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CY235" i="1"/>
  <c r="CZ235" i="1"/>
  <c r="DA235" i="1"/>
  <c r="DB235" i="1"/>
  <c r="DC235" i="1"/>
  <c r="DE235" i="1"/>
  <c r="DH235" i="1"/>
  <c r="DK235" i="1"/>
  <c r="DL235" i="1"/>
  <c r="DM235" i="1"/>
  <c r="DN235" i="1"/>
  <c r="DP235" i="1"/>
  <c r="DS235" i="1"/>
  <c r="DV235" i="1"/>
  <c r="DX235" i="1"/>
  <c r="DY235" i="1"/>
  <c r="ED235" i="1"/>
  <c r="EE235" i="1"/>
  <c r="EF235" i="1"/>
  <c r="EG235" i="1"/>
  <c r="EH235" i="1"/>
  <c r="EI235" i="1"/>
  <c r="EJ235" i="1"/>
  <c r="EK235" i="1"/>
  <c r="FO235" i="1"/>
  <c r="FP235" i="1"/>
  <c r="FQ235" i="1"/>
  <c r="FR235" i="1"/>
  <c r="FS235" i="1"/>
  <c r="FT235" i="1"/>
  <c r="FU235" i="1"/>
  <c r="FV235" i="1"/>
  <c r="FW235" i="1"/>
  <c r="FX235" i="1"/>
  <c r="FY235" i="1"/>
  <c r="FZ235" i="1"/>
  <c r="GA235" i="1"/>
  <c r="GB235" i="1"/>
  <c r="GC235" i="1"/>
  <c r="GD235" i="1"/>
  <c r="GE235" i="1"/>
  <c r="GF235" i="1"/>
  <c r="GG235" i="1"/>
  <c r="GH235" i="1"/>
  <c r="GI235" i="1"/>
  <c r="GJ235" i="1"/>
  <c r="GK235" i="1"/>
  <c r="GL235" i="1"/>
  <c r="GM235" i="1"/>
  <c r="GN235" i="1"/>
  <c r="GO235" i="1"/>
  <c r="GP235" i="1"/>
  <c r="GQ235" i="1"/>
  <c r="GR235" i="1"/>
  <c r="GS235" i="1"/>
  <c r="GT235" i="1"/>
  <c r="GU235" i="1"/>
  <c r="GV235" i="1"/>
  <c r="GW235" i="1"/>
  <c r="GX235" i="1"/>
  <c r="GY235" i="1"/>
  <c r="GZ235" i="1"/>
  <c r="HA235" i="1"/>
  <c r="HB235" i="1"/>
  <c r="HC235" i="1"/>
  <c r="HD235" i="1"/>
  <c r="HE235" i="1"/>
  <c r="HF235" i="1"/>
  <c r="HG235" i="1"/>
  <c r="HH235" i="1"/>
  <c r="HI235" i="1"/>
  <c r="HJ235" i="1"/>
  <c r="HK235" i="1"/>
  <c r="HL235" i="1"/>
  <c r="HM235" i="1"/>
  <c r="HN235" i="1"/>
  <c r="HO235" i="1"/>
  <c r="HP235" i="1"/>
  <c r="HQ235" i="1"/>
  <c r="HR235" i="1"/>
  <c r="HS235" i="1"/>
  <c r="HT235" i="1"/>
  <c r="HU235" i="1"/>
  <c r="HV235" i="1"/>
  <c r="HW235" i="1"/>
  <c r="HX235" i="1"/>
  <c r="HY235" i="1"/>
  <c r="HZ235" i="1"/>
  <c r="IA235" i="1"/>
  <c r="IB235" i="1"/>
  <c r="IC235" i="1"/>
  <c r="ID235" i="1"/>
  <c r="IE235" i="1"/>
  <c r="IF235" i="1"/>
  <c r="IG235" i="1"/>
  <c r="IH235" i="1"/>
  <c r="H236" i="1"/>
  <c r="I236" i="1"/>
  <c r="L236" i="1"/>
  <c r="O236" i="1"/>
  <c r="R236" i="1"/>
  <c r="S236" i="1"/>
  <c r="T236" i="1"/>
  <c r="U236" i="1"/>
  <c r="W236" i="1"/>
  <c r="X236" i="1"/>
  <c r="Y236" i="1"/>
  <c r="Z236" i="1"/>
  <c r="AA236" i="1"/>
  <c r="AB236" i="1"/>
  <c r="AP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D236" i="1"/>
  <c r="CE236" i="1"/>
  <c r="CF236" i="1"/>
  <c r="CG236" i="1"/>
  <c r="CH236" i="1"/>
  <c r="CI236" i="1"/>
  <c r="CJ236" i="1"/>
  <c r="CK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CY236" i="1"/>
  <c r="CZ236" i="1"/>
  <c r="DA236" i="1"/>
  <c r="DB236" i="1"/>
  <c r="DC236" i="1"/>
  <c r="DE236" i="1"/>
  <c r="DH236" i="1"/>
  <c r="DK236" i="1"/>
  <c r="DL236" i="1"/>
  <c r="DM236" i="1"/>
  <c r="DN236" i="1"/>
  <c r="DP236" i="1"/>
  <c r="DS236" i="1"/>
  <c r="DV236" i="1"/>
  <c r="DX236" i="1"/>
  <c r="DY236" i="1"/>
  <c r="ED236" i="1"/>
  <c r="EE236" i="1"/>
  <c r="EF236" i="1"/>
  <c r="EG236" i="1"/>
  <c r="EH236" i="1"/>
  <c r="EI236" i="1"/>
  <c r="EJ236" i="1"/>
  <c r="EK236" i="1"/>
  <c r="FO236" i="1"/>
  <c r="FP236" i="1"/>
  <c r="FQ236" i="1"/>
  <c r="FR236" i="1"/>
  <c r="FS236" i="1"/>
  <c r="FT236" i="1"/>
  <c r="FU236" i="1"/>
  <c r="FV236" i="1"/>
  <c r="FW236" i="1"/>
  <c r="FX236" i="1"/>
  <c r="FY236" i="1"/>
  <c r="FZ236" i="1"/>
  <c r="GA236" i="1"/>
  <c r="GB236" i="1"/>
  <c r="GC236" i="1"/>
  <c r="GD236" i="1"/>
  <c r="GE236" i="1"/>
  <c r="GF236" i="1"/>
  <c r="GG236" i="1"/>
  <c r="GH236" i="1"/>
  <c r="GI236" i="1"/>
  <c r="GJ236" i="1"/>
  <c r="GK236" i="1"/>
  <c r="GL236" i="1"/>
  <c r="GM236" i="1"/>
  <c r="GN236" i="1"/>
  <c r="GO236" i="1"/>
  <c r="GP236" i="1"/>
  <c r="GQ236" i="1"/>
  <c r="GR236" i="1"/>
  <c r="GS236" i="1"/>
  <c r="GT236" i="1"/>
  <c r="GU236" i="1"/>
  <c r="GV236" i="1"/>
  <c r="GW236" i="1"/>
  <c r="GX236" i="1"/>
  <c r="GY236" i="1"/>
  <c r="GZ236" i="1"/>
  <c r="HA236" i="1"/>
  <c r="HB236" i="1"/>
  <c r="HC236" i="1"/>
  <c r="HD236" i="1"/>
  <c r="HE236" i="1"/>
  <c r="HF236" i="1"/>
  <c r="HG236" i="1"/>
  <c r="HH236" i="1"/>
  <c r="HI236" i="1"/>
  <c r="HJ236" i="1"/>
  <c r="HK236" i="1"/>
  <c r="HL236" i="1"/>
  <c r="HM236" i="1"/>
  <c r="HN236" i="1"/>
  <c r="HO236" i="1"/>
  <c r="HP236" i="1"/>
  <c r="HQ236" i="1"/>
  <c r="HR236" i="1"/>
  <c r="HS236" i="1"/>
  <c r="HT236" i="1"/>
  <c r="HU236" i="1"/>
  <c r="HV236" i="1"/>
  <c r="HW236" i="1"/>
  <c r="HX236" i="1"/>
  <c r="HY236" i="1"/>
  <c r="HZ236" i="1"/>
  <c r="IA236" i="1"/>
  <c r="IB236" i="1"/>
  <c r="IC236" i="1"/>
  <c r="ID236" i="1"/>
  <c r="IE236" i="1"/>
  <c r="IF236" i="1"/>
  <c r="IG236" i="1"/>
  <c r="IH236" i="1"/>
  <c r="H237" i="1"/>
  <c r="I237" i="1"/>
  <c r="L237" i="1"/>
  <c r="O237" i="1"/>
  <c r="R237" i="1"/>
  <c r="S237" i="1"/>
  <c r="T237" i="1"/>
  <c r="U237" i="1"/>
  <c r="W237" i="1"/>
  <c r="X237" i="1"/>
  <c r="Y237" i="1"/>
  <c r="Z237" i="1"/>
  <c r="AA237" i="1"/>
  <c r="AB237" i="1"/>
  <c r="AP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D237" i="1"/>
  <c r="CE237" i="1"/>
  <c r="CF237" i="1"/>
  <c r="CG237" i="1"/>
  <c r="CH237" i="1"/>
  <c r="CI237" i="1"/>
  <c r="CJ237" i="1"/>
  <c r="CK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CY237" i="1"/>
  <c r="CZ237" i="1"/>
  <c r="DA237" i="1"/>
  <c r="DB237" i="1"/>
  <c r="DC237" i="1"/>
  <c r="DE237" i="1"/>
  <c r="DH237" i="1"/>
  <c r="DK237" i="1"/>
  <c r="DL237" i="1"/>
  <c r="DM237" i="1"/>
  <c r="DN237" i="1"/>
  <c r="DP237" i="1"/>
  <c r="DS237" i="1"/>
  <c r="DV237" i="1"/>
  <c r="DX237" i="1"/>
  <c r="DY237" i="1"/>
  <c r="ED237" i="1"/>
  <c r="EE237" i="1"/>
  <c r="EF237" i="1"/>
  <c r="EG237" i="1"/>
  <c r="EH237" i="1"/>
  <c r="EI237" i="1"/>
  <c r="EJ237" i="1"/>
  <c r="EK237" i="1"/>
  <c r="FO237" i="1"/>
  <c r="FP237" i="1"/>
  <c r="FQ237" i="1"/>
  <c r="FR237" i="1"/>
  <c r="FS237" i="1"/>
  <c r="FT237" i="1"/>
  <c r="FU237" i="1"/>
  <c r="FV237" i="1"/>
  <c r="FW237" i="1"/>
  <c r="FX237" i="1"/>
  <c r="FY237" i="1"/>
  <c r="FZ237" i="1"/>
  <c r="GA237" i="1"/>
  <c r="GB237" i="1"/>
  <c r="GC237" i="1"/>
  <c r="GD237" i="1"/>
  <c r="GE237" i="1"/>
  <c r="GF237" i="1"/>
  <c r="GG237" i="1"/>
  <c r="GH237" i="1"/>
  <c r="GI237" i="1"/>
  <c r="GJ237" i="1"/>
  <c r="GK237" i="1"/>
  <c r="GL237" i="1"/>
  <c r="GM237" i="1"/>
  <c r="GN237" i="1"/>
  <c r="GO237" i="1"/>
  <c r="GP237" i="1"/>
  <c r="GQ237" i="1"/>
  <c r="GR237" i="1"/>
  <c r="GS237" i="1"/>
  <c r="GT237" i="1"/>
  <c r="GU237" i="1"/>
  <c r="GV237" i="1"/>
  <c r="GW237" i="1"/>
  <c r="GX237" i="1"/>
  <c r="GY237" i="1"/>
  <c r="GZ237" i="1"/>
  <c r="HA237" i="1"/>
  <c r="HB237" i="1"/>
  <c r="HC237" i="1"/>
  <c r="HD237" i="1"/>
  <c r="HE237" i="1"/>
  <c r="HF237" i="1"/>
  <c r="HG237" i="1"/>
  <c r="HH237" i="1"/>
  <c r="HI237" i="1"/>
  <c r="HJ237" i="1"/>
  <c r="HK237" i="1"/>
  <c r="HL237" i="1"/>
  <c r="HM237" i="1"/>
  <c r="HN237" i="1"/>
  <c r="HO237" i="1"/>
  <c r="HP237" i="1"/>
  <c r="HQ237" i="1"/>
  <c r="HR237" i="1"/>
  <c r="HS237" i="1"/>
  <c r="HT237" i="1"/>
  <c r="HU237" i="1"/>
  <c r="HV237" i="1"/>
  <c r="HW237" i="1"/>
  <c r="HX237" i="1"/>
  <c r="HY237" i="1"/>
  <c r="HZ237" i="1"/>
  <c r="IA237" i="1"/>
  <c r="IB237" i="1"/>
  <c r="IC237" i="1"/>
  <c r="ID237" i="1"/>
  <c r="IE237" i="1"/>
  <c r="IF237" i="1"/>
  <c r="IG237" i="1"/>
  <c r="IH237" i="1"/>
  <c r="H238" i="1"/>
  <c r="I238" i="1"/>
  <c r="L238" i="1"/>
  <c r="O238" i="1"/>
  <c r="R238" i="1"/>
  <c r="S238" i="1"/>
  <c r="T238" i="1"/>
  <c r="U238" i="1"/>
  <c r="W238" i="1"/>
  <c r="X238" i="1"/>
  <c r="Y238" i="1"/>
  <c r="Z238" i="1"/>
  <c r="AA238" i="1"/>
  <c r="AB238" i="1"/>
  <c r="AP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D238" i="1"/>
  <c r="CE238" i="1"/>
  <c r="CF238" i="1"/>
  <c r="CG238" i="1"/>
  <c r="CH238" i="1"/>
  <c r="CI238" i="1"/>
  <c r="CJ238" i="1"/>
  <c r="CK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CY238" i="1"/>
  <c r="CZ238" i="1"/>
  <c r="DA238" i="1"/>
  <c r="DB238" i="1"/>
  <c r="DC238" i="1"/>
  <c r="DE238" i="1"/>
  <c r="DH238" i="1"/>
  <c r="DK238" i="1"/>
  <c r="DL238" i="1"/>
  <c r="DM238" i="1"/>
  <c r="DN238" i="1"/>
  <c r="DP238" i="1"/>
  <c r="DS238" i="1"/>
  <c r="DV238" i="1"/>
  <c r="DX238" i="1"/>
  <c r="DY238" i="1"/>
  <c r="ED238" i="1"/>
  <c r="EE238" i="1"/>
  <c r="EF238" i="1"/>
  <c r="EG238" i="1"/>
  <c r="EH238" i="1"/>
  <c r="EI238" i="1"/>
  <c r="EJ238" i="1"/>
  <c r="EK238" i="1"/>
  <c r="FO238" i="1"/>
  <c r="FP238" i="1"/>
  <c r="FQ238" i="1"/>
  <c r="FR238" i="1"/>
  <c r="FS238" i="1"/>
  <c r="FT238" i="1"/>
  <c r="FU238" i="1"/>
  <c r="FV238" i="1"/>
  <c r="FW238" i="1"/>
  <c r="FX238" i="1"/>
  <c r="FY238" i="1"/>
  <c r="FZ238" i="1"/>
  <c r="GA238" i="1"/>
  <c r="GB238" i="1"/>
  <c r="GC238" i="1"/>
  <c r="GD238" i="1"/>
  <c r="GE238" i="1"/>
  <c r="GF238" i="1"/>
  <c r="GG238" i="1"/>
  <c r="GH238" i="1"/>
  <c r="GI238" i="1"/>
  <c r="GJ238" i="1"/>
  <c r="GK238" i="1"/>
  <c r="GL238" i="1"/>
  <c r="GM238" i="1"/>
  <c r="GN238" i="1"/>
  <c r="GO238" i="1"/>
  <c r="GP238" i="1"/>
  <c r="GQ238" i="1"/>
  <c r="GR238" i="1"/>
  <c r="GS238" i="1"/>
  <c r="GT238" i="1"/>
  <c r="GU238" i="1"/>
  <c r="GV238" i="1"/>
  <c r="GW238" i="1"/>
  <c r="GX238" i="1"/>
  <c r="GY238" i="1"/>
  <c r="GZ238" i="1"/>
  <c r="HA238" i="1"/>
  <c r="HB238" i="1"/>
  <c r="HC238" i="1"/>
  <c r="HD238" i="1"/>
  <c r="HE238" i="1"/>
  <c r="HF238" i="1"/>
  <c r="HG238" i="1"/>
  <c r="HH238" i="1"/>
  <c r="HI238" i="1"/>
  <c r="HJ238" i="1"/>
  <c r="HK238" i="1"/>
  <c r="HL238" i="1"/>
  <c r="HM238" i="1"/>
  <c r="HN238" i="1"/>
  <c r="HO238" i="1"/>
  <c r="HP238" i="1"/>
  <c r="HQ238" i="1"/>
  <c r="HR238" i="1"/>
  <c r="HS238" i="1"/>
  <c r="HT238" i="1"/>
  <c r="HU238" i="1"/>
  <c r="HV238" i="1"/>
  <c r="HW238" i="1"/>
  <c r="HX238" i="1"/>
  <c r="HY238" i="1"/>
  <c r="HZ238" i="1"/>
  <c r="IA238" i="1"/>
  <c r="IB238" i="1"/>
  <c r="IC238" i="1"/>
  <c r="ID238" i="1"/>
  <c r="IE238" i="1"/>
  <c r="IF238" i="1"/>
  <c r="IG238" i="1"/>
  <c r="IH238" i="1"/>
  <c r="H239" i="1"/>
  <c r="I239" i="1"/>
  <c r="L239" i="1"/>
  <c r="O239" i="1"/>
  <c r="R239" i="1"/>
  <c r="S239" i="1"/>
  <c r="T239" i="1"/>
  <c r="U239" i="1"/>
  <c r="W239" i="1"/>
  <c r="X239" i="1"/>
  <c r="Y239" i="1"/>
  <c r="Z239" i="1"/>
  <c r="AA239" i="1"/>
  <c r="AB239" i="1"/>
  <c r="AP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D239" i="1"/>
  <c r="CE239" i="1"/>
  <c r="CF239" i="1"/>
  <c r="CG239" i="1"/>
  <c r="CH239" i="1"/>
  <c r="CI239" i="1"/>
  <c r="CJ239" i="1"/>
  <c r="CK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CY239" i="1"/>
  <c r="CZ239" i="1"/>
  <c r="DA239" i="1"/>
  <c r="DB239" i="1"/>
  <c r="DC239" i="1"/>
  <c r="DE239" i="1"/>
  <c r="DH239" i="1"/>
  <c r="DK239" i="1"/>
  <c r="DL239" i="1"/>
  <c r="DM239" i="1"/>
  <c r="DN239" i="1"/>
  <c r="DP239" i="1"/>
  <c r="DS239" i="1"/>
  <c r="DV239" i="1"/>
  <c r="DX239" i="1"/>
  <c r="DY239" i="1"/>
  <c r="ED239" i="1"/>
  <c r="EE239" i="1"/>
  <c r="EF239" i="1"/>
  <c r="EG239" i="1"/>
  <c r="EH239" i="1"/>
  <c r="EI239" i="1"/>
  <c r="EJ239" i="1"/>
  <c r="EK239" i="1"/>
  <c r="FO239" i="1"/>
  <c r="FP239" i="1"/>
  <c r="FQ239" i="1"/>
  <c r="FR239" i="1"/>
  <c r="FS239" i="1"/>
  <c r="FT239" i="1"/>
  <c r="FU239" i="1"/>
  <c r="FV239" i="1"/>
  <c r="FW239" i="1"/>
  <c r="FX239" i="1"/>
  <c r="FY239" i="1"/>
  <c r="FZ239" i="1"/>
  <c r="GA239" i="1"/>
  <c r="GB239" i="1"/>
  <c r="GC239" i="1"/>
  <c r="GD239" i="1"/>
  <c r="GE239" i="1"/>
  <c r="GF239" i="1"/>
  <c r="GG239" i="1"/>
  <c r="GH239" i="1"/>
  <c r="GI239" i="1"/>
  <c r="GJ239" i="1"/>
  <c r="GK239" i="1"/>
  <c r="GL239" i="1"/>
  <c r="GM239" i="1"/>
  <c r="GN239" i="1"/>
  <c r="GO239" i="1"/>
  <c r="GP239" i="1"/>
  <c r="GQ239" i="1"/>
  <c r="GR239" i="1"/>
  <c r="GS239" i="1"/>
  <c r="GT239" i="1"/>
  <c r="GU239" i="1"/>
  <c r="GV239" i="1"/>
  <c r="GW239" i="1"/>
  <c r="GX239" i="1"/>
  <c r="GY239" i="1"/>
  <c r="GZ239" i="1"/>
  <c r="HA239" i="1"/>
  <c r="HB239" i="1"/>
  <c r="HC239" i="1"/>
  <c r="HD239" i="1"/>
  <c r="HE239" i="1"/>
  <c r="HF239" i="1"/>
  <c r="HG239" i="1"/>
  <c r="HH239" i="1"/>
  <c r="HI239" i="1"/>
  <c r="HJ239" i="1"/>
  <c r="HK239" i="1"/>
  <c r="HL239" i="1"/>
  <c r="HM239" i="1"/>
  <c r="HN239" i="1"/>
  <c r="HO239" i="1"/>
  <c r="HP239" i="1"/>
  <c r="HQ239" i="1"/>
  <c r="HR239" i="1"/>
  <c r="HS239" i="1"/>
  <c r="HT239" i="1"/>
  <c r="HU239" i="1"/>
  <c r="HV239" i="1"/>
  <c r="HW239" i="1"/>
  <c r="HX239" i="1"/>
  <c r="HY239" i="1"/>
  <c r="HZ239" i="1"/>
  <c r="IA239" i="1"/>
  <c r="IB239" i="1"/>
  <c r="IC239" i="1"/>
  <c r="ID239" i="1"/>
  <c r="IE239" i="1"/>
  <c r="IF239" i="1"/>
  <c r="IG239" i="1"/>
  <c r="IH239" i="1"/>
  <c r="H240" i="1"/>
  <c r="I240" i="1"/>
  <c r="L240" i="1"/>
  <c r="O240" i="1"/>
  <c r="R240" i="1"/>
  <c r="S240" i="1"/>
  <c r="T240" i="1"/>
  <c r="U240" i="1"/>
  <c r="W240" i="1"/>
  <c r="X240" i="1"/>
  <c r="Y240" i="1"/>
  <c r="Z240" i="1"/>
  <c r="AA240" i="1"/>
  <c r="AB240" i="1"/>
  <c r="AP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D240" i="1"/>
  <c r="CE240" i="1"/>
  <c r="CF240" i="1"/>
  <c r="CG240" i="1"/>
  <c r="CH240" i="1"/>
  <c r="CI240" i="1"/>
  <c r="CJ240" i="1"/>
  <c r="CK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CY240" i="1"/>
  <c r="CZ240" i="1"/>
  <c r="DA240" i="1"/>
  <c r="DB240" i="1"/>
  <c r="DC240" i="1"/>
  <c r="DE240" i="1"/>
  <c r="DH240" i="1"/>
  <c r="DK240" i="1"/>
  <c r="DL240" i="1"/>
  <c r="DM240" i="1"/>
  <c r="DN240" i="1"/>
  <c r="DP240" i="1"/>
  <c r="DS240" i="1"/>
  <c r="DV240" i="1"/>
  <c r="DX240" i="1"/>
  <c r="DY240" i="1"/>
  <c r="ED240" i="1"/>
  <c r="EE240" i="1"/>
  <c r="EF240" i="1"/>
  <c r="EG240" i="1"/>
  <c r="EH240" i="1"/>
  <c r="EI240" i="1"/>
  <c r="EJ240" i="1"/>
  <c r="EK240" i="1"/>
  <c r="FO240" i="1"/>
  <c r="FP240" i="1"/>
  <c r="FQ240" i="1"/>
  <c r="FR240" i="1"/>
  <c r="FS240" i="1"/>
  <c r="FT240" i="1"/>
  <c r="FU240" i="1"/>
  <c r="FV240" i="1"/>
  <c r="FW240" i="1"/>
  <c r="FX240" i="1"/>
  <c r="FY240" i="1"/>
  <c r="FZ240" i="1"/>
  <c r="GA240" i="1"/>
  <c r="GB240" i="1"/>
  <c r="GC240" i="1"/>
  <c r="GD240" i="1"/>
  <c r="GE240" i="1"/>
  <c r="GF240" i="1"/>
  <c r="GG240" i="1"/>
  <c r="GH240" i="1"/>
  <c r="GI240" i="1"/>
  <c r="GJ240" i="1"/>
  <c r="GK240" i="1"/>
  <c r="GL240" i="1"/>
  <c r="GM240" i="1"/>
  <c r="GN240" i="1"/>
  <c r="GO240" i="1"/>
  <c r="GP240" i="1"/>
  <c r="GQ240" i="1"/>
  <c r="GR240" i="1"/>
  <c r="GS240" i="1"/>
  <c r="GT240" i="1"/>
  <c r="GU240" i="1"/>
  <c r="GV240" i="1"/>
  <c r="GW240" i="1"/>
  <c r="GX240" i="1"/>
  <c r="GY240" i="1"/>
  <c r="GZ240" i="1"/>
  <c r="HA240" i="1"/>
  <c r="HB240" i="1"/>
  <c r="HC240" i="1"/>
  <c r="HD240" i="1"/>
  <c r="HE240" i="1"/>
  <c r="HF240" i="1"/>
  <c r="HG240" i="1"/>
  <c r="HH240" i="1"/>
  <c r="HI240" i="1"/>
  <c r="HJ240" i="1"/>
  <c r="HK240" i="1"/>
  <c r="HL240" i="1"/>
  <c r="HM240" i="1"/>
  <c r="HN240" i="1"/>
  <c r="HO240" i="1"/>
  <c r="HP240" i="1"/>
  <c r="HQ240" i="1"/>
  <c r="HR240" i="1"/>
  <c r="HS240" i="1"/>
  <c r="HT240" i="1"/>
  <c r="HU240" i="1"/>
  <c r="HV240" i="1"/>
  <c r="HW240" i="1"/>
  <c r="HX240" i="1"/>
  <c r="HY240" i="1"/>
  <c r="HZ240" i="1"/>
  <c r="IA240" i="1"/>
  <c r="IB240" i="1"/>
  <c r="IC240" i="1"/>
  <c r="ID240" i="1"/>
  <c r="IE240" i="1"/>
  <c r="IF240" i="1"/>
  <c r="IG240" i="1"/>
  <c r="IH240" i="1"/>
  <c r="H241" i="1"/>
  <c r="I241" i="1"/>
  <c r="L241" i="1"/>
  <c r="O241" i="1"/>
  <c r="R241" i="1"/>
  <c r="S241" i="1"/>
  <c r="T241" i="1"/>
  <c r="U241" i="1"/>
  <c r="W241" i="1"/>
  <c r="X241" i="1"/>
  <c r="Y241" i="1"/>
  <c r="Z241" i="1"/>
  <c r="AA241" i="1"/>
  <c r="AB241" i="1"/>
  <c r="AP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D241" i="1"/>
  <c r="CE241" i="1"/>
  <c r="CF241" i="1"/>
  <c r="CG241" i="1"/>
  <c r="CH241" i="1"/>
  <c r="CI241" i="1"/>
  <c r="CJ241" i="1"/>
  <c r="CK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CY241" i="1"/>
  <c r="CZ241" i="1"/>
  <c r="DA241" i="1"/>
  <c r="DB241" i="1"/>
  <c r="DC241" i="1"/>
  <c r="DE241" i="1"/>
  <c r="DH241" i="1"/>
  <c r="DK241" i="1"/>
  <c r="DL241" i="1"/>
  <c r="DM241" i="1"/>
  <c r="DN241" i="1"/>
  <c r="DP241" i="1"/>
  <c r="DS241" i="1"/>
  <c r="DV241" i="1"/>
  <c r="DX241" i="1"/>
  <c r="DY241" i="1"/>
  <c r="ED241" i="1"/>
  <c r="EE241" i="1"/>
  <c r="EF241" i="1"/>
  <c r="EG241" i="1"/>
  <c r="EH241" i="1"/>
  <c r="EI241" i="1"/>
  <c r="EJ241" i="1"/>
  <c r="EK241" i="1"/>
  <c r="FO241" i="1"/>
  <c r="FP241" i="1"/>
  <c r="FQ241" i="1"/>
  <c r="FR241" i="1"/>
  <c r="FS241" i="1"/>
  <c r="FT241" i="1"/>
  <c r="FU241" i="1"/>
  <c r="FV241" i="1"/>
  <c r="FW241" i="1"/>
  <c r="FX241" i="1"/>
  <c r="FY241" i="1"/>
  <c r="FZ241" i="1"/>
  <c r="GA241" i="1"/>
  <c r="GB241" i="1"/>
  <c r="GC241" i="1"/>
  <c r="GD241" i="1"/>
  <c r="GE241" i="1"/>
  <c r="GF241" i="1"/>
  <c r="GG241" i="1"/>
  <c r="GH241" i="1"/>
  <c r="GI241" i="1"/>
  <c r="GJ241" i="1"/>
  <c r="GK241" i="1"/>
  <c r="GL241" i="1"/>
  <c r="GM241" i="1"/>
  <c r="GN241" i="1"/>
  <c r="GO241" i="1"/>
  <c r="GP241" i="1"/>
  <c r="GQ241" i="1"/>
  <c r="GR241" i="1"/>
  <c r="GS241" i="1"/>
  <c r="GT241" i="1"/>
  <c r="GU241" i="1"/>
  <c r="GV241" i="1"/>
  <c r="GW241" i="1"/>
  <c r="GX241" i="1"/>
  <c r="GY241" i="1"/>
  <c r="GZ241" i="1"/>
  <c r="HA241" i="1"/>
  <c r="HB241" i="1"/>
  <c r="HC241" i="1"/>
  <c r="HD241" i="1"/>
  <c r="HE241" i="1"/>
  <c r="HF241" i="1"/>
  <c r="HG241" i="1"/>
  <c r="HH241" i="1"/>
  <c r="HI241" i="1"/>
  <c r="HJ241" i="1"/>
  <c r="HK241" i="1"/>
  <c r="HL241" i="1"/>
  <c r="HM241" i="1"/>
  <c r="HN241" i="1"/>
  <c r="HO241" i="1"/>
  <c r="HP241" i="1"/>
  <c r="HQ241" i="1"/>
  <c r="HR241" i="1"/>
  <c r="HS241" i="1"/>
  <c r="HT241" i="1"/>
  <c r="HU241" i="1"/>
  <c r="HV241" i="1"/>
  <c r="HW241" i="1"/>
  <c r="HX241" i="1"/>
  <c r="HY241" i="1"/>
  <c r="HZ241" i="1"/>
  <c r="IA241" i="1"/>
  <c r="IB241" i="1"/>
  <c r="IC241" i="1"/>
  <c r="ID241" i="1"/>
  <c r="IE241" i="1"/>
  <c r="IF241" i="1"/>
  <c r="IG241" i="1"/>
  <c r="IH241" i="1"/>
  <c r="H242" i="1"/>
  <c r="I242" i="1"/>
  <c r="L242" i="1"/>
  <c r="O242" i="1"/>
  <c r="R242" i="1"/>
  <c r="S242" i="1"/>
  <c r="T242" i="1"/>
  <c r="U242" i="1"/>
  <c r="W242" i="1"/>
  <c r="X242" i="1"/>
  <c r="Y242" i="1"/>
  <c r="Z242" i="1"/>
  <c r="AA242" i="1"/>
  <c r="AB242" i="1"/>
  <c r="AP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D242" i="1"/>
  <c r="CE242" i="1"/>
  <c r="CF242" i="1"/>
  <c r="CG242" i="1"/>
  <c r="CH242" i="1"/>
  <c r="CI242" i="1"/>
  <c r="CJ242" i="1"/>
  <c r="CK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CY242" i="1"/>
  <c r="CZ242" i="1"/>
  <c r="DA242" i="1"/>
  <c r="DB242" i="1"/>
  <c r="DC242" i="1"/>
  <c r="DE242" i="1"/>
  <c r="DH242" i="1"/>
  <c r="DK242" i="1"/>
  <c r="DL242" i="1"/>
  <c r="DM242" i="1"/>
  <c r="DN242" i="1"/>
  <c r="DP242" i="1"/>
  <c r="DS242" i="1"/>
  <c r="DV242" i="1"/>
  <c r="DX242" i="1"/>
  <c r="DY242" i="1"/>
  <c r="ED242" i="1"/>
  <c r="EE242" i="1"/>
  <c r="EF242" i="1"/>
  <c r="EG242" i="1"/>
  <c r="EH242" i="1"/>
  <c r="EI242" i="1"/>
  <c r="EJ242" i="1"/>
  <c r="EK242" i="1"/>
  <c r="H243" i="1"/>
  <c r="I243" i="1"/>
  <c r="L243" i="1"/>
  <c r="O243" i="1"/>
  <c r="R243" i="1"/>
  <c r="S243" i="1"/>
  <c r="T243" i="1"/>
  <c r="U243" i="1"/>
  <c r="W243" i="1"/>
  <c r="X243" i="1"/>
  <c r="Y243" i="1"/>
  <c r="Z243" i="1"/>
  <c r="AA243" i="1"/>
  <c r="AB243" i="1"/>
  <c r="AP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D243" i="1"/>
  <c r="CE243" i="1"/>
  <c r="CF243" i="1"/>
  <c r="CG243" i="1"/>
  <c r="CH243" i="1"/>
  <c r="CI243" i="1"/>
  <c r="CJ243" i="1"/>
  <c r="CK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CY243" i="1"/>
  <c r="CZ243" i="1"/>
  <c r="DA243" i="1"/>
  <c r="DB243" i="1"/>
  <c r="DC243" i="1"/>
  <c r="DE243" i="1"/>
  <c r="DH243" i="1"/>
  <c r="DK243" i="1"/>
  <c r="DL243" i="1"/>
  <c r="DM243" i="1"/>
  <c r="DN243" i="1"/>
  <c r="DP243" i="1"/>
  <c r="DS243" i="1"/>
  <c r="DV243" i="1"/>
  <c r="DX243" i="1"/>
  <c r="DY243" i="1"/>
  <c r="ED243" i="1"/>
  <c r="EE243" i="1"/>
  <c r="EF243" i="1"/>
  <c r="EG243" i="1"/>
  <c r="EH243" i="1"/>
  <c r="EI243" i="1"/>
  <c r="EJ243" i="1"/>
  <c r="EK243" i="1"/>
  <c r="H244" i="1"/>
  <c r="I244" i="1"/>
  <c r="L244" i="1"/>
  <c r="O244" i="1"/>
  <c r="R244" i="1"/>
  <c r="S244" i="1"/>
  <c r="T244" i="1"/>
  <c r="U244" i="1"/>
  <c r="W244" i="1"/>
  <c r="X244" i="1"/>
  <c r="Y244" i="1"/>
  <c r="Z244" i="1"/>
  <c r="AA244" i="1"/>
  <c r="AB244" i="1"/>
  <c r="AP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D244" i="1"/>
  <c r="CE244" i="1"/>
  <c r="CF244" i="1"/>
  <c r="CG244" i="1"/>
  <c r="CH244" i="1"/>
  <c r="CI244" i="1"/>
  <c r="CJ244" i="1"/>
  <c r="CK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CY244" i="1"/>
  <c r="CZ244" i="1"/>
  <c r="DA244" i="1"/>
  <c r="DB244" i="1"/>
  <c r="DC244" i="1"/>
  <c r="DE244" i="1"/>
  <c r="DH244" i="1"/>
  <c r="DK244" i="1"/>
  <c r="DL244" i="1"/>
  <c r="DM244" i="1"/>
  <c r="DN244" i="1"/>
  <c r="DP244" i="1"/>
  <c r="DS244" i="1"/>
  <c r="DV244" i="1"/>
  <c r="DX244" i="1"/>
  <c r="DY244" i="1"/>
  <c r="ED244" i="1"/>
  <c r="EE244" i="1"/>
  <c r="EF244" i="1"/>
  <c r="EG244" i="1"/>
  <c r="EH244" i="1"/>
  <c r="EI244" i="1"/>
  <c r="EJ244" i="1"/>
  <c r="EK244" i="1"/>
  <c r="H245" i="1"/>
  <c r="I245" i="1"/>
  <c r="L245" i="1"/>
  <c r="O245" i="1"/>
  <c r="R245" i="1"/>
  <c r="S245" i="1"/>
  <c r="T245" i="1"/>
  <c r="U245" i="1"/>
  <c r="W245" i="1"/>
  <c r="X245" i="1"/>
  <c r="Y245" i="1"/>
  <c r="Z245" i="1"/>
  <c r="AA245" i="1"/>
  <c r="AB245" i="1"/>
  <c r="AP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D245" i="1"/>
  <c r="CE245" i="1"/>
  <c r="CF245" i="1"/>
  <c r="CG245" i="1"/>
  <c r="CH245" i="1"/>
  <c r="CI245" i="1"/>
  <c r="CJ245" i="1"/>
  <c r="CK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Y245" i="1"/>
  <c r="CZ245" i="1"/>
  <c r="DA245" i="1"/>
  <c r="DB245" i="1"/>
  <c r="DC245" i="1"/>
  <c r="DE245" i="1"/>
  <c r="DH245" i="1"/>
  <c r="DK245" i="1"/>
  <c r="DL245" i="1"/>
  <c r="DM245" i="1"/>
  <c r="DN245" i="1"/>
  <c r="DP245" i="1"/>
  <c r="DS245" i="1"/>
  <c r="DV245" i="1"/>
  <c r="DX245" i="1"/>
  <c r="DY245" i="1"/>
  <c r="ED245" i="1"/>
  <c r="EE245" i="1"/>
  <c r="EF245" i="1"/>
  <c r="EG245" i="1"/>
  <c r="EH245" i="1"/>
  <c r="EI245" i="1"/>
  <c r="EJ245" i="1"/>
  <c r="EK245" i="1"/>
  <c r="FO245" i="1"/>
  <c r="FP245" i="1"/>
  <c r="FQ245" i="1"/>
  <c r="FR245" i="1"/>
  <c r="FS245" i="1"/>
  <c r="FT245" i="1"/>
  <c r="FU245" i="1"/>
  <c r="FV245" i="1"/>
  <c r="FW245" i="1"/>
  <c r="FX245" i="1"/>
  <c r="FY245" i="1"/>
  <c r="FZ245" i="1"/>
  <c r="GA245" i="1"/>
  <c r="GB245" i="1"/>
  <c r="GC245" i="1"/>
  <c r="GD245" i="1"/>
  <c r="GE245" i="1"/>
  <c r="GF245" i="1"/>
  <c r="GG245" i="1"/>
  <c r="GH245" i="1"/>
  <c r="GI245" i="1"/>
  <c r="GJ245" i="1"/>
  <c r="GK245" i="1"/>
  <c r="GL245" i="1"/>
  <c r="GM245" i="1"/>
  <c r="GN245" i="1"/>
  <c r="GO245" i="1"/>
  <c r="GP245" i="1"/>
  <c r="GQ245" i="1"/>
  <c r="GR245" i="1"/>
  <c r="GS245" i="1"/>
  <c r="GT245" i="1"/>
  <c r="GU245" i="1"/>
  <c r="GV245" i="1"/>
  <c r="GW245" i="1"/>
  <c r="GX245" i="1"/>
  <c r="GY245" i="1"/>
  <c r="GZ245" i="1"/>
  <c r="HA245" i="1"/>
  <c r="HB245" i="1"/>
  <c r="HC245" i="1"/>
  <c r="HD245" i="1"/>
  <c r="HE245" i="1"/>
  <c r="HF245" i="1"/>
  <c r="HG245" i="1"/>
  <c r="HH245" i="1"/>
  <c r="HI245" i="1"/>
  <c r="HJ245" i="1"/>
  <c r="HK245" i="1"/>
  <c r="HL245" i="1"/>
  <c r="HM245" i="1"/>
  <c r="HN245" i="1"/>
  <c r="HO245" i="1"/>
  <c r="HP245" i="1"/>
  <c r="HQ245" i="1"/>
  <c r="HR245" i="1"/>
  <c r="HS245" i="1"/>
  <c r="HT245" i="1"/>
  <c r="HU245" i="1"/>
  <c r="HV245" i="1"/>
  <c r="HW245" i="1"/>
  <c r="HX245" i="1"/>
  <c r="HY245" i="1"/>
  <c r="HZ245" i="1"/>
  <c r="IA245" i="1"/>
  <c r="IB245" i="1"/>
  <c r="IC245" i="1"/>
  <c r="ID245" i="1"/>
  <c r="IE245" i="1"/>
  <c r="IF245" i="1"/>
  <c r="IG245" i="1"/>
  <c r="IH245" i="1"/>
  <c r="H246" i="1"/>
  <c r="I246" i="1"/>
  <c r="L246" i="1"/>
  <c r="O246" i="1"/>
  <c r="R246" i="1"/>
  <c r="S246" i="1"/>
  <c r="T246" i="1"/>
  <c r="U246" i="1"/>
  <c r="W246" i="1"/>
  <c r="X246" i="1"/>
  <c r="Y246" i="1"/>
  <c r="Z246" i="1"/>
  <c r="AA246" i="1"/>
  <c r="AB246" i="1"/>
  <c r="AP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D246" i="1"/>
  <c r="CE246" i="1"/>
  <c r="CF246" i="1"/>
  <c r="CG246" i="1"/>
  <c r="CH246" i="1"/>
  <c r="CI246" i="1"/>
  <c r="CJ246" i="1"/>
  <c r="CK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CY246" i="1"/>
  <c r="CZ246" i="1"/>
  <c r="DA246" i="1"/>
  <c r="DB246" i="1"/>
  <c r="DC246" i="1"/>
  <c r="DE246" i="1"/>
  <c r="DH246" i="1"/>
  <c r="DK246" i="1"/>
  <c r="DL246" i="1"/>
  <c r="DM246" i="1"/>
  <c r="DN246" i="1"/>
  <c r="DP246" i="1"/>
  <c r="DS246" i="1"/>
  <c r="DV246" i="1"/>
  <c r="DX246" i="1"/>
  <c r="DY246" i="1"/>
  <c r="ED246" i="1"/>
  <c r="EE246" i="1"/>
  <c r="EF246" i="1"/>
  <c r="EG246" i="1"/>
  <c r="EH246" i="1"/>
  <c r="EI246" i="1"/>
  <c r="EJ246" i="1"/>
  <c r="EK246" i="1"/>
  <c r="FO246" i="1"/>
  <c r="FP246" i="1"/>
  <c r="FQ246" i="1"/>
  <c r="FR246" i="1"/>
  <c r="FS246" i="1"/>
  <c r="FT246" i="1"/>
  <c r="FU246" i="1"/>
  <c r="FV246" i="1"/>
  <c r="FW246" i="1"/>
  <c r="FX246" i="1"/>
  <c r="FY246" i="1"/>
  <c r="FZ246" i="1"/>
  <c r="GA246" i="1"/>
  <c r="GB246" i="1"/>
  <c r="GC246" i="1"/>
  <c r="GD246" i="1"/>
  <c r="GE246" i="1"/>
  <c r="GF246" i="1"/>
  <c r="GG246" i="1"/>
  <c r="GH246" i="1"/>
  <c r="GI246" i="1"/>
  <c r="GJ246" i="1"/>
  <c r="GK246" i="1"/>
  <c r="GL246" i="1"/>
  <c r="GM246" i="1"/>
  <c r="GN246" i="1"/>
  <c r="GO246" i="1"/>
  <c r="GP246" i="1"/>
  <c r="GQ246" i="1"/>
  <c r="GR246" i="1"/>
  <c r="GS246" i="1"/>
  <c r="GT246" i="1"/>
  <c r="GU246" i="1"/>
  <c r="GV246" i="1"/>
  <c r="GW246" i="1"/>
  <c r="GX246" i="1"/>
  <c r="GY246" i="1"/>
  <c r="GZ246" i="1"/>
  <c r="HA246" i="1"/>
  <c r="HB246" i="1"/>
  <c r="HC246" i="1"/>
  <c r="HD246" i="1"/>
  <c r="HE246" i="1"/>
  <c r="HF246" i="1"/>
  <c r="HG246" i="1"/>
  <c r="HH246" i="1"/>
  <c r="HI246" i="1"/>
  <c r="HJ246" i="1"/>
  <c r="HK246" i="1"/>
  <c r="HL246" i="1"/>
  <c r="HM246" i="1"/>
  <c r="HN246" i="1"/>
  <c r="HO246" i="1"/>
  <c r="HP246" i="1"/>
  <c r="HQ246" i="1"/>
  <c r="HR246" i="1"/>
  <c r="HS246" i="1"/>
  <c r="HT246" i="1"/>
  <c r="HU246" i="1"/>
  <c r="HV246" i="1"/>
  <c r="HW246" i="1"/>
  <c r="HX246" i="1"/>
  <c r="HY246" i="1"/>
  <c r="HZ246" i="1"/>
  <c r="IA246" i="1"/>
  <c r="IB246" i="1"/>
  <c r="IC246" i="1"/>
  <c r="ID246" i="1"/>
  <c r="IE246" i="1"/>
  <c r="IF246" i="1"/>
  <c r="IG246" i="1"/>
  <c r="IH246" i="1"/>
  <c r="H247" i="1"/>
  <c r="I247" i="1"/>
  <c r="L247" i="1"/>
  <c r="O247" i="1"/>
  <c r="R247" i="1"/>
  <c r="S247" i="1"/>
  <c r="T247" i="1"/>
  <c r="U247" i="1"/>
  <c r="W247" i="1"/>
  <c r="X247" i="1"/>
  <c r="Y247" i="1"/>
  <c r="Z247" i="1"/>
  <c r="AA247" i="1"/>
  <c r="AB247" i="1"/>
  <c r="AP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D247" i="1"/>
  <c r="CE247" i="1"/>
  <c r="CF247" i="1"/>
  <c r="CG247" i="1"/>
  <c r="CH247" i="1"/>
  <c r="CI247" i="1"/>
  <c r="CJ247" i="1"/>
  <c r="CK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CY247" i="1"/>
  <c r="CZ247" i="1"/>
  <c r="DA247" i="1"/>
  <c r="DB247" i="1"/>
  <c r="DC247" i="1"/>
  <c r="DE247" i="1"/>
  <c r="DH247" i="1"/>
  <c r="DK247" i="1"/>
  <c r="DL247" i="1"/>
  <c r="DM247" i="1"/>
  <c r="DN247" i="1"/>
  <c r="DP247" i="1"/>
  <c r="DS247" i="1"/>
  <c r="DV247" i="1"/>
  <c r="DX247" i="1"/>
  <c r="DY247" i="1"/>
  <c r="ED247" i="1"/>
  <c r="EE247" i="1"/>
  <c r="EF247" i="1"/>
  <c r="EG247" i="1"/>
  <c r="EH247" i="1"/>
  <c r="EI247" i="1"/>
  <c r="EJ247" i="1"/>
  <c r="EK247" i="1"/>
  <c r="FO247" i="1"/>
  <c r="FP247" i="1"/>
  <c r="FQ247" i="1"/>
  <c r="FR247" i="1"/>
  <c r="FS247" i="1"/>
  <c r="FT247" i="1"/>
  <c r="FU247" i="1"/>
  <c r="FV247" i="1"/>
  <c r="FW247" i="1"/>
  <c r="FX247" i="1"/>
  <c r="FY247" i="1"/>
  <c r="FZ247" i="1"/>
  <c r="GA247" i="1"/>
  <c r="GB247" i="1"/>
  <c r="GC247" i="1"/>
  <c r="GD247" i="1"/>
  <c r="GE247" i="1"/>
  <c r="GF247" i="1"/>
  <c r="GG247" i="1"/>
  <c r="GH247" i="1"/>
  <c r="GI247" i="1"/>
  <c r="GJ247" i="1"/>
  <c r="GK247" i="1"/>
  <c r="GL247" i="1"/>
  <c r="GM247" i="1"/>
  <c r="GN247" i="1"/>
  <c r="GO247" i="1"/>
  <c r="GP247" i="1"/>
  <c r="GQ247" i="1"/>
  <c r="GR247" i="1"/>
  <c r="GS247" i="1"/>
  <c r="GT247" i="1"/>
  <c r="GU247" i="1"/>
  <c r="GV247" i="1"/>
  <c r="GW247" i="1"/>
  <c r="GX247" i="1"/>
  <c r="GY247" i="1"/>
  <c r="GZ247" i="1"/>
  <c r="HA247" i="1"/>
  <c r="HB247" i="1"/>
  <c r="HC247" i="1"/>
  <c r="HD247" i="1"/>
  <c r="HE247" i="1"/>
  <c r="HF247" i="1"/>
  <c r="HG247" i="1"/>
  <c r="HH247" i="1"/>
  <c r="HI247" i="1"/>
  <c r="HJ247" i="1"/>
  <c r="HK247" i="1"/>
  <c r="HL247" i="1"/>
  <c r="HM247" i="1"/>
  <c r="HN247" i="1"/>
  <c r="HO247" i="1"/>
  <c r="HP247" i="1"/>
  <c r="HQ247" i="1"/>
  <c r="HR247" i="1"/>
  <c r="HS247" i="1"/>
  <c r="HT247" i="1"/>
  <c r="HU247" i="1"/>
  <c r="HV247" i="1"/>
  <c r="HW247" i="1"/>
  <c r="HX247" i="1"/>
  <c r="HY247" i="1"/>
  <c r="HZ247" i="1"/>
  <c r="IA247" i="1"/>
  <c r="IB247" i="1"/>
  <c r="IC247" i="1"/>
  <c r="ID247" i="1"/>
  <c r="IE247" i="1"/>
  <c r="IF247" i="1"/>
  <c r="IG247" i="1"/>
  <c r="IH247" i="1"/>
  <c r="H248" i="1"/>
  <c r="I248" i="1"/>
  <c r="L248" i="1"/>
  <c r="O248" i="1"/>
  <c r="R248" i="1"/>
  <c r="S248" i="1"/>
  <c r="T248" i="1"/>
  <c r="U248" i="1"/>
  <c r="W248" i="1"/>
  <c r="X248" i="1"/>
  <c r="Y248" i="1"/>
  <c r="Z248" i="1"/>
  <c r="AA248" i="1"/>
  <c r="AB248" i="1"/>
  <c r="AP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D248" i="1"/>
  <c r="CE248" i="1"/>
  <c r="CF248" i="1"/>
  <c r="CG248" i="1"/>
  <c r="CH248" i="1"/>
  <c r="CI248" i="1"/>
  <c r="CJ248" i="1"/>
  <c r="CK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CY248" i="1"/>
  <c r="CZ248" i="1"/>
  <c r="DA248" i="1"/>
  <c r="DB248" i="1"/>
  <c r="DC248" i="1"/>
  <c r="DE248" i="1"/>
  <c r="DH248" i="1"/>
  <c r="DK248" i="1"/>
  <c r="DL248" i="1"/>
  <c r="DM248" i="1"/>
  <c r="DN248" i="1"/>
  <c r="DP248" i="1"/>
  <c r="DS248" i="1"/>
  <c r="DV248" i="1"/>
  <c r="DX248" i="1"/>
  <c r="DY248" i="1"/>
  <c r="ED248" i="1"/>
  <c r="EE248" i="1"/>
  <c r="EF248" i="1"/>
  <c r="EG248" i="1"/>
  <c r="EH248" i="1"/>
  <c r="EI248" i="1"/>
  <c r="EJ248" i="1"/>
  <c r="EK248" i="1"/>
  <c r="FO248" i="1"/>
  <c r="FP248" i="1"/>
  <c r="FQ248" i="1"/>
  <c r="FR248" i="1"/>
  <c r="FS248" i="1"/>
  <c r="FT248" i="1"/>
  <c r="FU248" i="1"/>
  <c r="FV248" i="1"/>
  <c r="FW248" i="1"/>
  <c r="FX248" i="1"/>
  <c r="FY248" i="1"/>
  <c r="FZ248" i="1"/>
  <c r="GA248" i="1"/>
  <c r="GB248" i="1"/>
  <c r="GC248" i="1"/>
  <c r="GD248" i="1"/>
  <c r="GE248" i="1"/>
  <c r="GF248" i="1"/>
  <c r="GG248" i="1"/>
  <c r="GH248" i="1"/>
  <c r="GI248" i="1"/>
  <c r="GJ248" i="1"/>
  <c r="GK248" i="1"/>
  <c r="GL248" i="1"/>
  <c r="GM248" i="1"/>
  <c r="GN248" i="1"/>
  <c r="GO248" i="1"/>
  <c r="GP248" i="1"/>
  <c r="GQ248" i="1"/>
  <c r="GR248" i="1"/>
  <c r="GS248" i="1"/>
  <c r="GT248" i="1"/>
  <c r="GU248" i="1"/>
  <c r="GV248" i="1"/>
  <c r="GW248" i="1"/>
  <c r="GX248" i="1"/>
  <c r="GY248" i="1"/>
  <c r="GZ248" i="1"/>
  <c r="HA248" i="1"/>
  <c r="HB248" i="1"/>
  <c r="HC248" i="1"/>
  <c r="HD248" i="1"/>
  <c r="HE248" i="1"/>
  <c r="HF248" i="1"/>
  <c r="HG248" i="1"/>
  <c r="HH248" i="1"/>
  <c r="HI248" i="1"/>
  <c r="HJ248" i="1"/>
  <c r="HK248" i="1"/>
  <c r="HL248" i="1"/>
  <c r="HM248" i="1"/>
  <c r="HN248" i="1"/>
  <c r="HO248" i="1"/>
  <c r="HP248" i="1"/>
  <c r="HQ248" i="1"/>
  <c r="HR248" i="1"/>
  <c r="HS248" i="1"/>
  <c r="HT248" i="1"/>
  <c r="HU248" i="1"/>
  <c r="HV248" i="1"/>
  <c r="HW248" i="1"/>
  <c r="HX248" i="1"/>
  <c r="HY248" i="1"/>
  <c r="HZ248" i="1"/>
  <c r="IA248" i="1"/>
  <c r="IB248" i="1"/>
  <c r="IC248" i="1"/>
  <c r="ID248" i="1"/>
  <c r="IE248" i="1"/>
  <c r="IF248" i="1"/>
  <c r="IG248" i="1"/>
  <c r="IH248" i="1"/>
  <c r="H249" i="1"/>
  <c r="I249" i="1"/>
  <c r="L249" i="1"/>
  <c r="O249" i="1"/>
  <c r="R249" i="1"/>
  <c r="S249" i="1"/>
  <c r="T249" i="1"/>
  <c r="U249" i="1"/>
  <c r="W249" i="1"/>
  <c r="X249" i="1"/>
  <c r="Y249" i="1"/>
  <c r="Z249" i="1"/>
  <c r="AA249" i="1"/>
  <c r="AB249" i="1"/>
  <c r="AP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D249" i="1"/>
  <c r="CE249" i="1"/>
  <c r="CF249" i="1"/>
  <c r="CG249" i="1"/>
  <c r="CH249" i="1"/>
  <c r="CI249" i="1"/>
  <c r="CJ249" i="1"/>
  <c r="CK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CY249" i="1"/>
  <c r="CZ249" i="1"/>
  <c r="DA249" i="1"/>
  <c r="DB249" i="1"/>
  <c r="DC249" i="1"/>
  <c r="DE249" i="1"/>
  <c r="DH249" i="1"/>
  <c r="DK249" i="1"/>
  <c r="DL249" i="1"/>
  <c r="DM249" i="1"/>
  <c r="DN249" i="1"/>
  <c r="DP249" i="1"/>
  <c r="DS249" i="1"/>
  <c r="DV249" i="1"/>
  <c r="DX249" i="1"/>
  <c r="DY249" i="1"/>
  <c r="ED249" i="1"/>
  <c r="EE249" i="1"/>
  <c r="EF249" i="1"/>
  <c r="EG249" i="1"/>
  <c r="EH249" i="1"/>
  <c r="EI249" i="1"/>
  <c r="EJ249" i="1"/>
  <c r="EK249" i="1"/>
  <c r="FO249" i="1"/>
  <c r="FP249" i="1"/>
  <c r="FQ249" i="1"/>
  <c r="FR249" i="1"/>
  <c r="FS249" i="1"/>
  <c r="FT249" i="1"/>
  <c r="FU249" i="1"/>
  <c r="FV249" i="1"/>
  <c r="FW249" i="1"/>
  <c r="FX249" i="1"/>
  <c r="FY249" i="1"/>
  <c r="FZ249" i="1"/>
  <c r="GA249" i="1"/>
  <c r="GB249" i="1"/>
  <c r="GC249" i="1"/>
  <c r="GD249" i="1"/>
  <c r="GE249" i="1"/>
  <c r="GF249" i="1"/>
  <c r="GG249" i="1"/>
  <c r="GH249" i="1"/>
  <c r="GI249" i="1"/>
  <c r="GJ249" i="1"/>
  <c r="GK249" i="1"/>
  <c r="GL249" i="1"/>
  <c r="GM249" i="1"/>
  <c r="GN249" i="1"/>
  <c r="GO249" i="1"/>
  <c r="GP249" i="1"/>
  <c r="GQ249" i="1"/>
  <c r="GR249" i="1"/>
  <c r="GS249" i="1"/>
  <c r="GT249" i="1"/>
  <c r="GU249" i="1"/>
  <c r="GV249" i="1"/>
  <c r="GW249" i="1"/>
  <c r="GX249" i="1"/>
  <c r="GY249" i="1"/>
  <c r="GZ249" i="1"/>
  <c r="HA249" i="1"/>
  <c r="HB249" i="1"/>
  <c r="HC249" i="1"/>
  <c r="HD249" i="1"/>
  <c r="HE249" i="1"/>
  <c r="HF249" i="1"/>
  <c r="HG249" i="1"/>
  <c r="HH249" i="1"/>
  <c r="HI249" i="1"/>
  <c r="HJ249" i="1"/>
  <c r="HK249" i="1"/>
  <c r="HL249" i="1"/>
  <c r="HM249" i="1"/>
  <c r="HN249" i="1"/>
  <c r="HO249" i="1"/>
  <c r="HP249" i="1"/>
  <c r="HQ249" i="1"/>
  <c r="HR249" i="1"/>
  <c r="HS249" i="1"/>
  <c r="HT249" i="1"/>
  <c r="HU249" i="1"/>
  <c r="HV249" i="1"/>
  <c r="HW249" i="1"/>
  <c r="HX249" i="1"/>
  <c r="HY249" i="1"/>
  <c r="HZ249" i="1"/>
  <c r="IA249" i="1"/>
  <c r="IB249" i="1"/>
  <c r="IC249" i="1"/>
  <c r="ID249" i="1"/>
  <c r="IE249" i="1"/>
  <c r="IF249" i="1"/>
  <c r="IG249" i="1"/>
  <c r="IH249" i="1"/>
  <c r="H250" i="1"/>
  <c r="I250" i="1"/>
  <c r="L250" i="1"/>
  <c r="O250" i="1"/>
  <c r="R250" i="1"/>
  <c r="S250" i="1"/>
  <c r="T250" i="1"/>
  <c r="U250" i="1"/>
  <c r="W250" i="1"/>
  <c r="X250" i="1"/>
  <c r="Y250" i="1"/>
  <c r="Z250" i="1"/>
  <c r="AA250" i="1"/>
  <c r="AB250" i="1"/>
  <c r="AP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D250" i="1"/>
  <c r="CE250" i="1"/>
  <c r="CF250" i="1"/>
  <c r="CG250" i="1"/>
  <c r="CH250" i="1"/>
  <c r="CI250" i="1"/>
  <c r="CJ250" i="1"/>
  <c r="CK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CY250" i="1"/>
  <c r="CZ250" i="1"/>
  <c r="DA250" i="1"/>
  <c r="DB250" i="1"/>
  <c r="DC250" i="1"/>
  <c r="DE250" i="1"/>
  <c r="DH250" i="1"/>
  <c r="DK250" i="1"/>
  <c r="DL250" i="1"/>
  <c r="DM250" i="1"/>
  <c r="DN250" i="1"/>
  <c r="DP250" i="1"/>
  <c r="DS250" i="1"/>
  <c r="DV250" i="1"/>
  <c r="DX250" i="1"/>
  <c r="DY250" i="1"/>
  <c r="ED250" i="1"/>
  <c r="EE250" i="1"/>
  <c r="EF250" i="1"/>
  <c r="EG250" i="1"/>
  <c r="EH250" i="1"/>
  <c r="EI250" i="1"/>
  <c r="EJ250" i="1"/>
  <c r="EK250" i="1"/>
  <c r="FO250" i="1"/>
  <c r="FP250" i="1"/>
  <c r="FQ250" i="1"/>
  <c r="FR250" i="1"/>
  <c r="FS250" i="1"/>
  <c r="FT250" i="1"/>
  <c r="FU250" i="1"/>
  <c r="FV250" i="1"/>
  <c r="FW250" i="1"/>
  <c r="FX250" i="1"/>
  <c r="FY250" i="1"/>
  <c r="FZ250" i="1"/>
  <c r="GA250" i="1"/>
  <c r="GB250" i="1"/>
  <c r="GC250" i="1"/>
  <c r="GD250" i="1"/>
  <c r="GE250" i="1"/>
  <c r="GF250" i="1"/>
  <c r="GG250" i="1"/>
  <c r="GH250" i="1"/>
  <c r="GI250" i="1"/>
  <c r="GJ250" i="1"/>
  <c r="GK250" i="1"/>
  <c r="GL250" i="1"/>
  <c r="GM250" i="1"/>
  <c r="GN250" i="1"/>
  <c r="GO250" i="1"/>
  <c r="GP250" i="1"/>
  <c r="GQ250" i="1"/>
  <c r="GR250" i="1"/>
  <c r="GS250" i="1"/>
  <c r="GT250" i="1"/>
  <c r="GU250" i="1"/>
  <c r="GV250" i="1"/>
  <c r="GW250" i="1"/>
  <c r="GX250" i="1"/>
  <c r="GY250" i="1"/>
  <c r="GZ250" i="1"/>
  <c r="HA250" i="1"/>
  <c r="HB250" i="1"/>
  <c r="HC250" i="1"/>
  <c r="HD250" i="1"/>
  <c r="HE250" i="1"/>
  <c r="HF250" i="1"/>
  <c r="HG250" i="1"/>
  <c r="HH250" i="1"/>
  <c r="HI250" i="1"/>
  <c r="HJ250" i="1"/>
  <c r="HK250" i="1"/>
  <c r="HL250" i="1"/>
  <c r="HM250" i="1"/>
  <c r="HN250" i="1"/>
  <c r="HO250" i="1"/>
  <c r="HP250" i="1"/>
  <c r="HQ250" i="1"/>
  <c r="HR250" i="1"/>
  <c r="HS250" i="1"/>
  <c r="HT250" i="1"/>
  <c r="HU250" i="1"/>
  <c r="HV250" i="1"/>
  <c r="HW250" i="1"/>
  <c r="HX250" i="1"/>
  <c r="HY250" i="1"/>
  <c r="HZ250" i="1"/>
  <c r="IA250" i="1"/>
  <c r="IB250" i="1"/>
  <c r="IC250" i="1"/>
  <c r="ID250" i="1"/>
  <c r="IE250" i="1"/>
  <c r="IF250" i="1"/>
  <c r="IG250" i="1"/>
  <c r="IH250" i="1"/>
  <c r="H251" i="1"/>
  <c r="I251" i="1"/>
  <c r="L251" i="1"/>
  <c r="O251" i="1"/>
  <c r="R251" i="1"/>
  <c r="S251" i="1"/>
  <c r="T251" i="1"/>
  <c r="U251" i="1"/>
  <c r="W251" i="1"/>
  <c r="X251" i="1"/>
  <c r="Y251" i="1"/>
  <c r="Z251" i="1"/>
  <c r="AA251" i="1"/>
  <c r="AB251" i="1"/>
  <c r="AP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D251" i="1"/>
  <c r="CE251" i="1"/>
  <c r="CF251" i="1"/>
  <c r="CG251" i="1"/>
  <c r="CH251" i="1"/>
  <c r="CI251" i="1"/>
  <c r="CJ251" i="1"/>
  <c r="CK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CY251" i="1"/>
  <c r="CZ251" i="1"/>
  <c r="DA251" i="1"/>
  <c r="DB251" i="1"/>
  <c r="DC251" i="1"/>
  <c r="DE251" i="1"/>
  <c r="DH251" i="1"/>
  <c r="DK251" i="1"/>
  <c r="DL251" i="1"/>
  <c r="DM251" i="1"/>
  <c r="DN251" i="1"/>
  <c r="DP251" i="1"/>
  <c r="DS251" i="1"/>
  <c r="DV251" i="1"/>
  <c r="DX251" i="1"/>
  <c r="DY251" i="1"/>
  <c r="ED251" i="1"/>
  <c r="EE251" i="1"/>
  <c r="EF251" i="1"/>
  <c r="EG251" i="1"/>
  <c r="EH251" i="1"/>
  <c r="EI251" i="1"/>
  <c r="EJ251" i="1"/>
  <c r="EK251" i="1"/>
  <c r="FO251" i="1"/>
  <c r="FP251" i="1"/>
  <c r="FQ251" i="1"/>
  <c r="FR251" i="1"/>
  <c r="FS251" i="1"/>
  <c r="FT251" i="1"/>
  <c r="FU251" i="1"/>
  <c r="FV251" i="1"/>
  <c r="FW251" i="1"/>
  <c r="FX251" i="1"/>
  <c r="FY251" i="1"/>
  <c r="FZ251" i="1"/>
  <c r="GA251" i="1"/>
  <c r="GB251" i="1"/>
  <c r="GC251" i="1"/>
  <c r="GD251" i="1"/>
  <c r="GE251" i="1"/>
  <c r="GF251" i="1"/>
  <c r="GG251" i="1"/>
  <c r="GH251" i="1"/>
  <c r="GI251" i="1"/>
  <c r="GJ251" i="1"/>
  <c r="GK251" i="1"/>
  <c r="GL251" i="1"/>
  <c r="GM251" i="1"/>
  <c r="GN251" i="1"/>
  <c r="GO251" i="1"/>
  <c r="GP251" i="1"/>
  <c r="GQ251" i="1"/>
  <c r="GR251" i="1"/>
  <c r="GS251" i="1"/>
  <c r="GT251" i="1"/>
  <c r="GU251" i="1"/>
  <c r="GV251" i="1"/>
  <c r="GW251" i="1"/>
  <c r="GX251" i="1"/>
  <c r="GY251" i="1"/>
  <c r="GZ251" i="1"/>
  <c r="HA251" i="1"/>
  <c r="HB251" i="1"/>
  <c r="HC251" i="1"/>
  <c r="HD251" i="1"/>
  <c r="HE251" i="1"/>
  <c r="HF251" i="1"/>
  <c r="HG251" i="1"/>
  <c r="HH251" i="1"/>
  <c r="HI251" i="1"/>
  <c r="HJ251" i="1"/>
  <c r="HK251" i="1"/>
  <c r="HL251" i="1"/>
  <c r="HM251" i="1"/>
  <c r="HN251" i="1"/>
  <c r="HO251" i="1"/>
  <c r="HP251" i="1"/>
  <c r="HQ251" i="1"/>
  <c r="HR251" i="1"/>
  <c r="HS251" i="1"/>
  <c r="HT251" i="1"/>
  <c r="HU251" i="1"/>
  <c r="HV251" i="1"/>
  <c r="HW251" i="1"/>
  <c r="HX251" i="1"/>
  <c r="HY251" i="1"/>
  <c r="HZ251" i="1"/>
  <c r="IA251" i="1"/>
  <c r="IB251" i="1"/>
  <c r="IC251" i="1"/>
  <c r="ID251" i="1"/>
  <c r="IE251" i="1"/>
  <c r="IF251" i="1"/>
  <c r="IG251" i="1"/>
  <c r="IH251" i="1"/>
  <c r="H252" i="1"/>
  <c r="I252" i="1"/>
  <c r="L252" i="1"/>
  <c r="O252" i="1"/>
  <c r="R252" i="1"/>
  <c r="S252" i="1"/>
  <c r="T252" i="1"/>
  <c r="U252" i="1"/>
  <c r="W252" i="1"/>
  <c r="X252" i="1"/>
  <c r="Y252" i="1"/>
  <c r="Z252" i="1"/>
  <c r="AA252" i="1"/>
  <c r="AB252" i="1"/>
  <c r="AP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D252" i="1"/>
  <c r="CE252" i="1"/>
  <c r="CF252" i="1"/>
  <c r="CG252" i="1"/>
  <c r="CH252" i="1"/>
  <c r="CI252" i="1"/>
  <c r="CJ252" i="1"/>
  <c r="CK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CY252" i="1"/>
  <c r="CZ252" i="1"/>
  <c r="DA252" i="1"/>
  <c r="DB252" i="1"/>
  <c r="DC252" i="1"/>
  <c r="DE252" i="1"/>
  <c r="DH252" i="1"/>
  <c r="DK252" i="1"/>
  <c r="DL252" i="1"/>
  <c r="DM252" i="1"/>
  <c r="DN252" i="1"/>
  <c r="DP252" i="1"/>
  <c r="DS252" i="1"/>
  <c r="DV252" i="1"/>
  <c r="DX252" i="1"/>
  <c r="DY252" i="1"/>
  <c r="ED252" i="1"/>
  <c r="EE252" i="1"/>
  <c r="EF252" i="1"/>
  <c r="EG252" i="1"/>
  <c r="EH252" i="1"/>
  <c r="EI252" i="1"/>
  <c r="EJ252" i="1"/>
  <c r="EK252" i="1"/>
  <c r="FO252" i="1"/>
  <c r="FP252" i="1"/>
  <c r="FQ252" i="1"/>
  <c r="FR252" i="1"/>
  <c r="FS252" i="1"/>
  <c r="FT252" i="1"/>
  <c r="FU252" i="1"/>
  <c r="FV252" i="1"/>
  <c r="FW252" i="1"/>
  <c r="FX252" i="1"/>
  <c r="FY252" i="1"/>
  <c r="FZ252" i="1"/>
  <c r="GA252" i="1"/>
  <c r="GB252" i="1"/>
  <c r="GC252" i="1"/>
  <c r="GD252" i="1"/>
  <c r="GE252" i="1"/>
  <c r="GF252" i="1"/>
  <c r="GG252" i="1"/>
  <c r="GH252" i="1"/>
  <c r="GI252" i="1"/>
  <c r="GJ252" i="1"/>
  <c r="GK252" i="1"/>
  <c r="GL252" i="1"/>
  <c r="GM252" i="1"/>
  <c r="GN252" i="1"/>
  <c r="GO252" i="1"/>
  <c r="GP252" i="1"/>
  <c r="GQ252" i="1"/>
  <c r="GR252" i="1"/>
  <c r="GS252" i="1"/>
  <c r="GT252" i="1"/>
  <c r="GU252" i="1"/>
  <c r="GV252" i="1"/>
  <c r="GW252" i="1"/>
  <c r="GX252" i="1"/>
  <c r="GY252" i="1"/>
  <c r="GZ252" i="1"/>
  <c r="HA252" i="1"/>
  <c r="HB252" i="1"/>
  <c r="HC252" i="1"/>
  <c r="HD252" i="1"/>
  <c r="HE252" i="1"/>
  <c r="HF252" i="1"/>
  <c r="HG252" i="1"/>
  <c r="HH252" i="1"/>
  <c r="HI252" i="1"/>
  <c r="HJ252" i="1"/>
  <c r="HK252" i="1"/>
  <c r="HL252" i="1"/>
  <c r="HM252" i="1"/>
  <c r="HN252" i="1"/>
  <c r="HO252" i="1"/>
  <c r="HP252" i="1"/>
  <c r="HQ252" i="1"/>
  <c r="HR252" i="1"/>
  <c r="HS252" i="1"/>
  <c r="HT252" i="1"/>
  <c r="HU252" i="1"/>
  <c r="HV252" i="1"/>
  <c r="HW252" i="1"/>
  <c r="HX252" i="1"/>
  <c r="HY252" i="1"/>
  <c r="HZ252" i="1"/>
  <c r="IA252" i="1"/>
  <c r="IB252" i="1"/>
  <c r="IC252" i="1"/>
  <c r="ID252" i="1"/>
  <c r="IE252" i="1"/>
  <c r="IF252" i="1"/>
  <c r="IG252" i="1"/>
  <c r="IH252" i="1"/>
  <c r="H253" i="1"/>
  <c r="I253" i="1"/>
  <c r="L253" i="1"/>
  <c r="O253" i="1"/>
  <c r="R253" i="1"/>
  <c r="S253" i="1"/>
  <c r="T253" i="1"/>
  <c r="U253" i="1"/>
  <c r="W253" i="1"/>
  <c r="X253" i="1"/>
  <c r="Y253" i="1"/>
  <c r="Z253" i="1"/>
  <c r="AA253" i="1"/>
  <c r="AB253" i="1"/>
  <c r="AP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D253" i="1"/>
  <c r="CE253" i="1"/>
  <c r="CF253" i="1"/>
  <c r="CG253" i="1"/>
  <c r="CH253" i="1"/>
  <c r="CI253" i="1"/>
  <c r="CJ253" i="1"/>
  <c r="CK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CY253" i="1"/>
  <c r="CZ253" i="1"/>
  <c r="DA253" i="1"/>
  <c r="DB253" i="1"/>
  <c r="DC253" i="1"/>
  <c r="DE253" i="1"/>
  <c r="DH253" i="1"/>
  <c r="DK253" i="1"/>
  <c r="DL253" i="1"/>
  <c r="DM253" i="1"/>
  <c r="DN253" i="1"/>
  <c r="DP253" i="1"/>
  <c r="DS253" i="1"/>
  <c r="DV253" i="1"/>
  <c r="DX253" i="1"/>
  <c r="DY253" i="1"/>
  <c r="ED253" i="1"/>
  <c r="EE253" i="1"/>
  <c r="EF253" i="1"/>
  <c r="EG253" i="1"/>
  <c r="EH253" i="1"/>
  <c r="EI253" i="1"/>
  <c r="EJ253" i="1"/>
  <c r="EK253" i="1"/>
  <c r="FO253" i="1"/>
  <c r="FP253" i="1"/>
  <c r="FQ253" i="1"/>
  <c r="FR253" i="1"/>
  <c r="FS253" i="1"/>
  <c r="FT253" i="1"/>
  <c r="FU253" i="1"/>
  <c r="FV253" i="1"/>
  <c r="FW253" i="1"/>
  <c r="FX253" i="1"/>
  <c r="FY253" i="1"/>
  <c r="FZ253" i="1"/>
  <c r="GA253" i="1"/>
  <c r="GB253" i="1"/>
  <c r="GC253" i="1"/>
  <c r="GD253" i="1"/>
  <c r="GE253" i="1"/>
  <c r="GF253" i="1"/>
  <c r="GG253" i="1"/>
  <c r="GH253" i="1"/>
  <c r="GI253" i="1"/>
  <c r="GJ253" i="1"/>
  <c r="GK253" i="1"/>
  <c r="GL253" i="1"/>
  <c r="GM253" i="1"/>
  <c r="GN253" i="1"/>
  <c r="GO253" i="1"/>
  <c r="GP253" i="1"/>
  <c r="GQ253" i="1"/>
  <c r="GR253" i="1"/>
  <c r="GS253" i="1"/>
  <c r="GT253" i="1"/>
  <c r="GU253" i="1"/>
  <c r="GV253" i="1"/>
  <c r="GW253" i="1"/>
  <c r="GX253" i="1"/>
  <c r="GY253" i="1"/>
  <c r="GZ253" i="1"/>
  <c r="HA253" i="1"/>
  <c r="HB253" i="1"/>
  <c r="HC253" i="1"/>
  <c r="HD253" i="1"/>
  <c r="HE253" i="1"/>
  <c r="HF253" i="1"/>
  <c r="HG253" i="1"/>
  <c r="HH253" i="1"/>
  <c r="HI253" i="1"/>
  <c r="HJ253" i="1"/>
  <c r="HK253" i="1"/>
  <c r="HL253" i="1"/>
  <c r="HM253" i="1"/>
  <c r="HN253" i="1"/>
  <c r="HO253" i="1"/>
  <c r="HP253" i="1"/>
  <c r="HQ253" i="1"/>
  <c r="HR253" i="1"/>
  <c r="HS253" i="1"/>
  <c r="HT253" i="1"/>
  <c r="HU253" i="1"/>
  <c r="HV253" i="1"/>
  <c r="HW253" i="1"/>
  <c r="HX253" i="1"/>
  <c r="HY253" i="1"/>
  <c r="HZ253" i="1"/>
  <c r="IA253" i="1"/>
  <c r="IB253" i="1"/>
  <c r="IC253" i="1"/>
  <c r="ID253" i="1"/>
  <c r="IE253" i="1"/>
  <c r="IF253" i="1"/>
  <c r="IG253" i="1"/>
  <c r="IH253" i="1"/>
  <c r="H254" i="1"/>
  <c r="I254" i="1"/>
  <c r="L254" i="1"/>
  <c r="O254" i="1"/>
  <c r="R254" i="1"/>
  <c r="S254" i="1"/>
  <c r="T254" i="1"/>
  <c r="U254" i="1"/>
  <c r="W254" i="1"/>
  <c r="X254" i="1"/>
  <c r="Y254" i="1"/>
  <c r="Z254" i="1"/>
  <c r="AA254" i="1"/>
  <c r="AB254" i="1"/>
  <c r="AP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D254" i="1"/>
  <c r="CE254" i="1"/>
  <c r="CF254" i="1"/>
  <c r="CG254" i="1"/>
  <c r="CH254" i="1"/>
  <c r="CI254" i="1"/>
  <c r="CJ254" i="1"/>
  <c r="CK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CY254" i="1"/>
  <c r="CZ254" i="1"/>
  <c r="DA254" i="1"/>
  <c r="DB254" i="1"/>
  <c r="DC254" i="1"/>
  <c r="DE254" i="1"/>
  <c r="DH254" i="1"/>
  <c r="DK254" i="1"/>
  <c r="DL254" i="1"/>
  <c r="DM254" i="1"/>
  <c r="DN254" i="1"/>
  <c r="DP254" i="1"/>
  <c r="DS254" i="1"/>
  <c r="DV254" i="1"/>
  <c r="DX254" i="1"/>
  <c r="DY254" i="1"/>
  <c r="ED254" i="1"/>
  <c r="EE254" i="1"/>
  <c r="EF254" i="1"/>
  <c r="EG254" i="1"/>
  <c r="EH254" i="1"/>
  <c r="EI254" i="1"/>
  <c r="EJ254" i="1"/>
  <c r="EK254" i="1"/>
  <c r="FO254" i="1"/>
  <c r="FP254" i="1"/>
  <c r="FQ254" i="1"/>
  <c r="FR254" i="1"/>
  <c r="FS254" i="1"/>
  <c r="FT254" i="1"/>
  <c r="FU254" i="1"/>
  <c r="FV254" i="1"/>
  <c r="FW254" i="1"/>
  <c r="FX254" i="1"/>
  <c r="FY254" i="1"/>
  <c r="FZ254" i="1"/>
  <c r="GA254" i="1"/>
  <c r="GB254" i="1"/>
  <c r="GC254" i="1"/>
  <c r="GD254" i="1"/>
  <c r="GE254" i="1"/>
  <c r="GF254" i="1"/>
  <c r="GG254" i="1"/>
  <c r="GH254" i="1"/>
  <c r="GI254" i="1"/>
  <c r="GJ254" i="1"/>
  <c r="GK254" i="1"/>
  <c r="GL254" i="1"/>
  <c r="GM254" i="1"/>
  <c r="GN254" i="1"/>
  <c r="GO254" i="1"/>
  <c r="GP254" i="1"/>
  <c r="GQ254" i="1"/>
  <c r="GR254" i="1"/>
  <c r="GS254" i="1"/>
  <c r="GT254" i="1"/>
  <c r="GU254" i="1"/>
  <c r="GV254" i="1"/>
  <c r="GW254" i="1"/>
  <c r="GX254" i="1"/>
  <c r="GY254" i="1"/>
  <c r="GZ254" i="1"/>
  <c r="HA254" i="1"/>
  <c r="HB254" i="1"/>
  <c r="HC254" i="1"/>
  <c r="HD254" i="1"/>
  <c r="HE254" i="1"/>
  <c r="HF254" i="1"/>
  <c r="HG254" i="1"/>
  <c r="HH254" i="1"/>
  <c r="HI254" i="1"/>
  <c r="HJ254" i="1"/>
  <c r="HK254" i="1"/>
  <c r="HL254" i="1"/>
  <c r="HM254" i="1"/>
  <c r="HN254" i="1"/>
  <c r="HO254" i="1"/>
  <c r="HP254" i="1"/>
  <c r="HQ254" i="1"/>
  <c r="HR254" i="1"/>
  <c r="HS254" i="1"/>
  <c r="HT254" i="1"/>
  <c r="HU254" i="1"/>
  <c r="HV254" i="1"/>
  <c r="HW254" i="1"/>
  <c r="HX254" i="1"/>
  <c r="HY254" i="1"/>
  <c r="HZ254" i="1"/>
  <c r="IA254" i="1"/>
  <c r="IB254" i="1"/>
  <c r="IC254" i="1"/>
  <c r="ID254" i="1"/>
  <c r="IE254" i="1"/>
  <c r="IF254" i="1"/>
  <c r="IG254" i="1"/>
  <c r="IH254" i="1"/>
  <c r="H255" i="1"/>
  <c r="I255" i="1"/>
  <c r="L255" i="1"/>
  <c r="O255" i="1"/>
  <c r="R255" i="1"/>
  <c r="S255" i="1"/>
  <c r="T255" i="1"/>
  <c r="U255" i="1"/>
  <c r="W255" i="1"/>
  <c r="X255" i="1"/>
  <c r="Y255" i="1"/>
  <c r="Z255" i="1"/>
  <c r="AA255" i="1"/>
  <c r="AB255" i="1"/>
  <c r="AP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D255" i="1"/>
  <c r="CE255" i="1"/>
  <c r="CF255" i="1"/>
  <c r="CG255" i="1"/>
  <c r="CH255" i="1"/>
  <c r="CI255" i="1"/>
  <c r="CJ255" i="1"/>
  <c r="CK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CY255" i="1"/>
  <c r="CZ255" i="1"/>
  <c r="DA255" i="1"/>
  <c r="DB255" i="1"/>
  <c r="DC255" i="1"/>
  <c r="DE255" i="1"/>
  <c r="DH255" i="1"/>
  <c r="DK255" i="1"/>
  <c r="DL255" i="1"/>
  <c r="DM255" i="1"/>
  <c r="DN255" i="1"/>
  <c r="DP255" i="1"/>
  <c r="DS255" i="1"/>
  <c r="DV255" i="1"/>
  <c r="DX255" i="1"/>
  <c r="DY255" i="1"/>
  <c r="ED255" i="1"/>
  <c r="EE255" i="1"/>
  <c r="EF255" i="1"/>
  <c r="EG255" i="1"/>
  <c r="EH255" i="1"/>
  <c r="EI255" i="1"/>
  <c r="EJ255" i="1"/>
  <c r="EK255" i="1"/>
  <c r="FO255" i="1"/>
  <c r="FP255" i="1"/>
  <c r="FQ255" i="1"/>
  <c r="FR255" i="1"/>
  <c r="FS255" i="1"/>
  <c r="FT255" i="1"/>
  <c r="FU255" i="1"/>
  <c r="FV255" i="1"/>
  <c r="FW255" i="1"/>
  <c r="FX255" i="1"/>
  <c r="FY255" i="1"/>
  <c r="FZ255" i="1"/>
  <c r="GA255" i="1"/>
  <c r="GB255" i="1"/>
  <c r="GC255" i="1"/>
  <c r="GD255" i="1"/>
  <c r="GE255" i="1"/>
  <c r="GF255" i="1"/>
  <c r="GG255" i="1"/>
  <c r="GH255" i="1"/>
  <c r="GI255" i="1"/>
  <c r="GJ255" i="1"/>
  <c r="GK255" i="1"/>
  <c r="GL255" i="1"/>
  <c r="GM255" i="1"/>
  <c r="GN255" i="1"/>
  <c r="GO255" i="1"/>
  <c r="GP255" i="1"/>
  <c r="GQ255" i="1"/>
  <c r="GR255" i="1"/>
  <c r="GS255" i="1"/>
  <c r="GT255" i="1"/>
  <c r="GU255" i="1"/>
  <c r="GV255" i="1"/>
  <c r="GW255" i="1"/>
  <c r="GX255" i="1"/>
  <c r="GY255" i="1"/>
  <c r="GZ255" i="1"/>
  <c r="HA255" i="1"/>
  <c r="HB255" i="1"/>
  <c r="HC255" i="1"/>
  <c r="HD255" i="1"/>
  <c r="HE255" i="1"/>
  <c r="HF255" i="1"/>
  <c r="HG255" i="1"/>
  <c r="HH255" i="1"/>
  <c r="HI255" i="1"/>
  <c r="HJ255" i="1"/>
  <c r="HK255" i="1"/>
  <c r="HL255" i="1"/>
  <c r="HM255" i="1"/>
  <c r="HN255" i="1"/>
  <c r="HO255" i="1"/>
  <c r="HP255" i="1"/>
  <c r="HQ255" i="1"/>
  <c r="HR255" i="1"/>
  <c r="HS255" i="1"/>
  <c r="HT255" i="1"/>
  <c r="HU255" i="1"/>
  <c r="HV255" i="1"/>
  <c r="HW255" i="1"/>
  <c r="HX255" i="1"/>
  <c r="HY255" i="1"/>
  <c r="HZ255" i="1"/>
  <c r="IA255" i="1"/>
  <c r="IB255" i="1"/>
  <c r="IC255" i="1"/>
  <c r="ID255" i="1"/>
  <c r="IE255" i="1"/>
  <c r="IF255" i="1"/>
  <c r="IG255" i="1"/>
  <c r="IH255" i="1"/>
  <c r="H256" i="1"/>
  <c r="I256" i="1"/>
  <c r="L256" i="1"/>
  <c r="O256" i="1"/>
  <c r="R256" i="1"/>
  <c r="S256" i="1"/>
  <c r="T256" i="1"/>
  <c r="U256" i="1"/>
  <c r="W256" i="1"/>
  <c r="X256" i="1"/>
  <c r="Y256" i="1"/>
  <c r="Z256" i="1"/>
  <c r="AA256" i="1"/>
  <c r="AB256" i="1"/>
  <c r="AP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D256" i="1"/>
  <c r="CE256" i="1"/>
  <c r="CF256" i="1"/>
  <c r="CG256" i="1"/>
  <c r="CH256" i="1"/>
  <c r="CI256" i="1"/>
  <c r="CJ256" i="1"/>
  <c r="CK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CY256" i="1"/>
  <c r="CZ256" i="1"/>
  <c r="DA256" i="1"/>
  <c r="DB256" i="1"/>
  <c r="DC256" i="1"/>
  <c r="DE256" i="1"/>
  <c r="DH256" i="1"/>
  <c r="DK256" i="1"/>
  <c r="DL256" i="1"/>
  <c r="DM256" i="1"/>
  <c r="DN256" i="1"/>
  <c r="DP256" i="1"/>
  <c r="DS256" i="1"/>
  <c r="DV256" i="1"/>
  <c r="DX256" i="1"/>
  <c r="DY256" i="1"/>
  <c r="ED256" i="1"/>
  <c r="EE256" i="1"/>
  <c r="EF256" i="1"/>
  <c r="EG256" i="1"/>
  <c r="EH256" i="1"/>
  <c r="EI256" i="1"/>
  <c r="EJ256" i="1"/>
  <c r="EK256" i="1"/>
  <c r="FO256" i="1"/>
  <c r="FP256" i="1"/>
  <c r="FQ256" i="1"/>
  <c r="FR256" i="1"/>
  <c r="FS256" i="1"/>
  <c r="FT256" i="1"/>
  <c r="FU256" i="1"/>
  <c r="FV256" i="1"/>
  <c r="FW256" i="1"/>
  <c r="FX256" i="1"/>
  <c r="FY256" i="1"/>
  <c r="FZ256" i="1"/>
  <c r="GA256" i="1"/>
  <c r="GB256" i="1"/>
  <c r="GC256" i="1"/>
  <c r="GD256" i="1"/>
  <c r="GE256" i="1"/>
  <c r="GF256" i="1"/>
  <c r="GG256" i="1"/>
  <c r="GH256" i="1"/>
  <c r="GI256" i="1"/>
  <c r="GJ256" i="1"/>
  <c r="GK256" i="1"/>
  <c r="GL256" i="1"/>
  <c r="GM256" i="1"/>
  <c r="GN256" i="1"/>
  <c r="GO256" i="1"/>
  <c r="GP256" i="1"/>
  <c r="GQ256" i="1"/>
  <c r="GR256" i="1"/>
  <c r="GS256" i="1"/>
  <c r="GT256" i="1"/>
  <c r="GU256" i="1"/>
  <c r="GV256" i="1"/>
  <c r="GW256" i="1"/>
  <c r="GX256" i="1"/>
  <c r="GY256" i="1"/>
  <c r="GZ256" i="1"/>
  <c r="HA256" i="1"/>
  <c r="HB256" i="1"/>
  <c r="HC256" i="1"/>
  <c r="HD256" i="1"/>
  <c r="HE256" i="1"/>
  <c r="HF256" i="1"/>
  <c r="HG256" i="1"/>
  <c r="HH256" i="1"/>
  <c r="HI256" i="1"/>
  <c r="HJ256" i="1"/>
  <c r="HK256" i="1"/>
  <c r="HL256" i="1"/>
  <c r="HM256" i="1"/>
  <c r="HN256" i="1"/>
  <c r="HO256" i="1"/>
  <c r="HP256" i="1"/>
  <c r="HQ256" i="1"/>
  <c r="HR256" i="1"/>
  <c r="HS256" i="1"/>
  <c r="HT256" i="1"/>
  <c r="HU256" i="1"/>
  <c r="HV256" i="1"/>
  <c r="HW256" i="1"/>
  <c r="HX256" i="1"/>
  <c r="HY256" i="1"/>
  <c r="HZ256" i="1"/>
  <c r="IA256" i="1"/>
  <c r="IB256" i="1"/>
  <c r="IC256" i="1"/>
  <c r="ID256" i="1"/>
  <c r="IE256" i="1"/>
  <c r="IF256" i="1"/>
  <c r="IG256" i="1"/>
  <c r="IH256" i="1"/>
  <c r="H257" i="1"/>
  <c r="I257" i="1"/>
  <c r="L257" i="1"/>
  <c r="O257" i="1"/>
  <c r="R257" i="1"/>
  <c r="S257" i="1"/>
  <c r="T257" i="1"/>
  <c r="U257" i="1"/>
  <c r="W257" i="1"/>
  <c r="X257" i="1"/>
  <c r="Y257" i="1"/>
  <c r="Z257" i="1"/>
  <c r="AA257" i="1"/>
  <c r="AB257" i="1"/>
  <c r="AP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D257" i="1"/>
  <c r="CE257" i="1"/>
  <c r="CF257" i="1"/>
  <c r="CG257" i="1"/>
  <c r="CH257" i="1"/>
  <c r="CI257" i="1"/>
  <c r="CJ257" i="1"/>
  <c r="CK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CY257" i="1"/>
  <c r="CZ257" i="1"/>
  <c r="DA257" i="1"/>
  <c r="DB257" i="1"/>
  <c r="DC257" i="1"/>
  <c r="DE257" i="1"/>
  <c r="DH257" i="1"/>
  <c r="DK257" i="1"/>
  <c r="DL257" i="1"/>
  <c r="DM257" i="1"/>
  <c r="DN257" i="1"/>
  <c r="DP257" i="1"/>
  <c r="DS257" i="1"/>
  <c r="DV257" i="1"/>
  <c r="DX257" i="1"/>
  <c r="DY257" i="1"/>
  <c r="ED257" i="1"/>
  <c r="EE257" i="1"/>
  <c r="EF257" i="1"/>
  <c r="EG257" i="1"/>
  <c r="EH257" i="1"/>
  <c r="EI257" i="1"/>
  <c r="EJ257" i="1"/>
  <c r="EK257" i="1"/>
  <c r="FO257" i="1"/>
  <c r="FP257" i="1"/>
  <c r="FQ257" i="1"/>
  <c r="FR257" i="1"/>
  <c r="FS257" i="1"/>
  <c r="FT257" i="1"/>
  <c r="FU257" i="1"/>
  <c r="FV257" i="1"/>
  <c r="FW257" i="1"/>
  <c r="FX257" i="1"/>
  <c r="FY257" i="1"/>
  <c r="FZ257" i="1"/>
  <c r="GA257" i="1"/>
  <c r="GB257" i="1"/>
  <c r="GC257" i="1"/>
  <c r="GD257" i="1"/>
  <c r="GE257" i="1"/>
  <c r="GF257" i="1"/>
  <c r="GG257" i="1"/>
  <c r="GH257" i="1"/>
  <c r="GI257" i="1"/>
  <c r="GJ257" i="1"/>
  <c r="GK257" i="1"/>
  <c r="GL257" i="1"/>
  <c r="GM257" i="1"/>
  <c r="GN257" i="1"/>
  <c r="GO257" i="1"/>
  <c r="GP257" i="1"/>
  <c r="GQ257" i="1"/>
  <c r="GR257" i="1"/>
  <c r="GS257" i="1"/>
  <c r="GT257" i="1"/>
  <c r="GU257" i="1"/>
  <c r="GV257" i="1"/>
  <c r="GW257" i="1"/>
  <c r="GX257" i="1"/>
  <c r="GY257" i="1"/>
  <c r="GZ257" i="1"/>
  <c r="HA257" i="1"/>
  <c r="HB257" i="1"/>
  <c r="HC257" i="1"/>
  <c r="HD257" i="1"/>
  <c r="HE257" i="1"/>
  <c r="HF257" i="1"/>
  <c r="HG257" i="1"/>
  <c r="HH257" i="1"/>
  <c r="HI257" i="1"/>
  <c r="HJ257" i="1"/>
  <c r="HK257" i="1"/>
  <c r="HL257" i="1"/>
  <c r="HM257" i="1"/>
  <c r="HN257" i="1"/>
  <c r="HO257" i="1"/>
  <c r="HP257" i="1"/>
  <c r="HQ257" i="1"/>
  <c r="HR257" i="1"/>
  <c r="HS257" i="1"/>
  <c r="HT257" i="1"/>
  <c r="HU257" i="1"/>
  <c r="HV257" i="1"/>
  <c r="HW257" i="1"/>
  <c r="HX257" i="1"/>
  <c r="HY257" i="1"/>
  <c r="HZ257" i="1"/>
  <c r="IA257" i="1"/>
  <c r="IB257" i="1"/>
  <c r="IC257" i="1"/>
  <c r="ID257" i="1"/>
  <c r="IE257" i="1"/>
  <c r="IF257" i="1"/>
  <c r="IG257" i="1"/>
  <c r="IH257" i="1"/>
  <c r="H258" i="1"/>
  <c r="I258" i="1"/>
  <c r="L258" i="1"/>
  <c r="O258" i="1"/>
  <c r="R258" i="1"/>
  <c r="S258" i="1"/>
  <c r="T258" i="1"/>
  <c r="U258" i="1"/>
  <c r="W258" i="1"/>
  <c r="X258" i="1"/>
  <c r="Y258" i="1"/>
  <c r="Z258" i="1"/>
  <c r="AA258" i="1"/>
  <c r="AB258" i="1"/>
  <c r="AP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D258" i="1"/>
  <c r="CE258" i="1"/>
  <c r="CF258" i="1"/>
  <c r="CG258" i="1"/>
  <c r="CH258" i="1"/>
  <c r="CI258" i="1"/>
  <c r="CJ258" i="1"/>
  <c r="CK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CY258" i="1"/>
  <c r="CZ258" i="1"/>
  <c r="DA258" i="1"/>
  <c r="DB258" i="1"/>
  <c r="DC258" i="1"/>
  <c r="DE258" i="1"/>
  <c r="DH258" i="1"/>
  <c r="DK258" i="1"/>
  <c r="DL258" i="1"/>
  <c r="DM258" i="1"/>
  <c r="DN258" i="1"/>
  <c r="DP258" i="1"/>
  <c r="DS258" i="1"/>
  <c r="DV258" i="1"/>
  <c r="DX258" i="1"/>
  <c r="DY258" i="1"/>
  <c r="ED258" i="1"/>
  <c r="EE258" i="1"/>
  <c r="EF258" i="1"/>
  <c r="EG258" i="1"/>
  <c r="EH258" i="1"/>
  <c r="EI258" i="1"/>
  <c r="EJ258" i="1"/>
  <c r="EK258" i="1"/>
  <c r="FO258" i="1"/>
  <c r="FP258" i="1"/>
  <c r="FQ258" i="1"/>
  <c r="FR258" i="1"/>
  <c r="FS258" i="1"/>
  <c r="FT258" i="1"/>
  <c r="FU258" i="1"/>
  <c r="FV258" i="1"/>
  <c r="FW258" i="1"/>
  <c r="FX258" i="1"/>
  <c r="FY258" i="1"/>
  <c r="FZ258" i="1"/>
  <c r="GA258" i="1"/>
  <c r="GB258" i="1"/>
  <c r="GC258" i="1"/>
  <c r="GD258" i="1"/>
  <c r="GE258" i="1"/>
  <c r="GF258" i="1"/>
  <c r="GG258" i="1"/>
  <c r="GH258" i="1"/>
  <c r="GI258" i="1"/>
  <c r="GJ258" i="1"/>
  <c r="GK258" i="1"/>
  <c r="GL258" i="1"/>
  <c r="GM258" i="1"/>
  <c r="GN258" i="1"/>
  <c r="GO258" i="1"/>
  <c r="GP258" i="1"/>
  <c r="GQ258" i="1"/>
  <c r="GR258" i="1"/>
  <c r="GS258" i="1"/>
  <c r="GT258" i="1"/>
  <c r="GU258" i="1"/>
  <c r="GV258" i="1"/>
  <c r="GW258" i="1"/>
  <c r="GX258" i="1"/>
  <c r="GY258" i="1"/>
  <c r="GZ258" i="1"/>
  <c r="HA258" i="1"/>
  <c r="HB258" i="1"/>
  <c r="HC258" i="1"/>
  <c r="HD258" i="1"/>
  <c r="HE258" i="1"/>
  <c r="HF258" i="1"/>
  <c r="HG258" i="1"/>
  <c r="HH258" i="1"/>
  <c r="HI258" i="1"/>
  <c r="HJ258" i="1"/>
  <c r="HK258" i="1"/>
  <c r="HL258" i="1"/>
  <c r="HM258" i="1"/>
  <c r="HN258" i="1"/>
  <c r="HO258" i="1"/>
  <c r="HP258" i="1"/>
  <c r="HQ258" i="1"/>
  <c r="HR258" i="1"/>
  <c r="HS258" i="1"/>
  <c r="HT258" i="1"/>
  <c r="HU258" i="1"/>
  <c r="HV258" i="1"/>
  <c r="HW258" i="1"/>
  <c r="HX258" i="1"/>
  <c r="HY258" i="1"/>
  <c r="HZ258" i="1"/>
  <c r="IA258" i="1"/>
  <c r="IB258" i="1"/>
  <c r="IC258" i="1"/>
  <c r="ID258" i="1"/>
  <c r="IE258" i="1"/>
  <c r="IF258" i="1"/>
  <c r="IG258" i="1"/>
  <c r="IH258" i="1"/>
  <c r="H259" i="1"/>
  <c r="I259" i="1"/>
  <c r="L259" i="1"/>
  <c r="O259" i="1"/>
  <c r="R259" i="1"/>
  <c r="S259" i="1"/>
  <c r="T259" i="1"/>
  <c r="U259" i="1"/>
  <c r="AP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D259" i="1"/>
  <c r="CE259" i="1"/>
  <c r="CF259" i="1"/>
  <c r="CG259" i="1"/>
  <c r="CH259" i="1"/>
  <c r="CI259" i="1"/>
  <c r="CJ259" i="1"/>
  <c r="CK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CY259" i="1"/>
  <c r="CZ259" i="1"/>
  <c r="DA259" i="1"/>
  <c r="DB259" i="1"/>
  <c r="DC259" i="1"/>
  <c r="DE259" i="1"/>
  <c r="DH259" i="1"/>
  <c r="DK259" i="1"/>
  <c r="DL259" i="1"/>
  <c r="DM259" i="1"/>
  <c r="DN259" i="1"/>
  <c r="DP259" i="1"/>
  <c r="DS259" i="1"/>
  <c r="DV259" i="1"/>
  <c r="DX259" i="1"/>
  <c r="DY259" i="1"/>
  <c r="ED259" i="1"/>
  <c r="EE259" i="1"/>
  <c r="EF259" i="1"/>
  <c r="EG259" i="1"/>
  <c r="EH259" i="1"/>
  <c r="EI259" i="1"/>
  <c r="EJ259" i="1"/>
  <c r="EK259" i="1"/>
  <c r="FO259" i="1"/>
  <c r="FP259" i="1"/>
  <c r="FQ259" i="1"/>
  <c r="FR259" i="1"/>
  <c r="FS259" i="1"/>
  <c r="FT259" i="1"/>
  <c r="FU259" i="1"/>
  <c r="FV259" i="1"/>
  <c r="FW259" i="1"/>
  <c r="FX259" i="1"/>
  <c r="FY259" i="1"/>
  <c r="FZ259" i="1"/>
  <c r="GA259" i="1"/>
  <c r="GB259" i="1"/>
  <c r="GC259" i="1"/>
  <c r="GD259" i="1"/>
  <c r="GE259" i="1"/>
  <c r="GF259" i="1"/>
  <c r="GG259" i="1"/>
  <c r="GH259" i="1"/>
  <c r="GI259" i="1"/>
  <c r="GJ259" i="1"/>
  <c r="GK259" i="1"/>
  <c r="GL259" i="1"/>
  <c r="GM259" i="1"/>
  <c r="GN259" i="1"/>
  <c r="GO259" i="1"/>
  <c r="GP259" i="1"/>
  <c r="GQ259" i="1"/>
  <c r="GR259" i="1"/>
  <c r="GS259" i="1"/>
  <c r="GT259" i="1"/>
  <c r="GU259" i="1"/>
  <c r="GV259" i="1"/>
  <c r="GW259" i="1"/>
  <c r="GX259" i="1"/>
  <c r="GY259" i="1"/>
  <c r="GZ259" i="1"/>
  <c r="HA259" i="1"/>
  <c r="HB259" i="1"/>
  <c r="HC259" i="1"/>
  <c r="HD259" i="1"/>
  <c r="HE259" i="1"/>
  <c r="HF259" i="1"/>
  <c r="HG259" i="1"/>
  <c r="HH259" i="1"/>
  <c r="HI259" i="1"/>
  <c r="HJ259" i="1"/>
  <c r="HK259" i="1"/>
  <c r="HL259" i="1"/>
  <c r="HM259" i="1"/>
  <c r="HN259" i="1"/>
  <c r="HO259" i="1"/>
  <c r="HP259" i="1"/>
  <c r="HQ259" i="1"/>
  <c r="HR259" i="1"/>
  <c r="HS259" i="1"/>
  <c r="HT259" i="1"/>
  <c r="HU259" i="1"/>
  <c r="HV259" i="1"/>
  <c r="HW259" i="1"/>
  <c r="HX259" i="1"/>
  <c r="HY259" i="1"/>
  <c r="HZ259" i="1"/>
  <c r="IA259" i="1"/>
  <c r="IB259" i="1"/>
  <c r="IC259" i="1"/>
  <c r="ID259" i="1"/>
  <c r="IE259" i="1"/>
  <c r="IF259" i="1"/>
  <c r="IG259" i="1"/>
  <c r="IH259" i="1"/>
  <c r="H260" i="1"/>
  <c r="I260" i="1"/>
  <c r="L260" i="1"/>
  <c r="O260" i="1"/>
  <c r="R260" i="1"/>
  <c r="S260" i="1"/>
  <c r="T260" i="1"/>
  <c r="U260" i="1"/>
  <c r="AP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D260" i="1"/>
  <c r="CE260" i="1"/>
  <c r="CF260" i="1"/>
  <c r="CG260" i="1"/>
  <c r="CH260" i="1"/>
  <c r="CI260" i="1"/>
  <c r="CJ260" i="1"/>
  <c r="CK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CY260" i="1"/>
  <c r="CZ260" i="1"/>
  <c r="DA260" i="1"/>
  <c r="DB260" i="1"/>
  <c r="DC260" i="1"/>
  <c r="DE260" i="1"/>
  <c r="DH260" i="1"/>
  <c r="DK260" i="1"/>
  <c r="DL260" i="1"/>
  <c r="DM260" i="1"/>
  <c r="DN260" i="1"/>
  <c r="DP260" i="1"/>
  <c r="DS260" i="1"/>
  <c r="DV260" i="1"/>
  <c r="DX260" i="1"/>
  <c r="DY260" i="1"/>
  <c r="ED260" i="1"/>
  <c r="EE260" i="1"/>
  <c r="EF260" i="1"/>
  <c r="EG260" i="1"/>
  <c r="EH260" i="1"/>
  <c r="EI260" i="1"/>
  <c r="EJ260" i="1"/>
  <c r="EK260" i="1"/>
  <c r="FO260" i="1"/>
  <c r="FP260" i="1"/>
  <c r="FQ260" i="1"/>
  <c r="FR260" i="1"/>
  <c r="FS260" i="1"/>
  <c r="FT260" i="1"/>
  <c r="FU260" i="1"/>
  <c r="FV260" i="1"/>
  <c r="FW260" i="1"/>
  <c r="FX260" i="1"/>
  <c r="FY260" i="1"/>
  <c r="FZ260" i="1"/>
  <c r="GA260" i="1"/>
  <c r="GB260" i="1"/>
  <c r="GC260" i="1"/>
  <c r="GD260" i="1"/>
  <c r="GE260" i="1"/>
  <c r="GF260" i="1"/>
  <c r="GG260" i="1"/>
  <c r="GH260" i="1"/>
  <c r="GI260" i="1"/>
  <c r="GJ260" i="1"/>
  <c r="GK260" i="1"/>
  <c r="GL260" i="1"/>
  <c r="GM260" i="1"/>
  <c r="GN260" i="1"/>
  <c r="GO260" i="1"/>
  <c r="GP260" i="1"/>
  <c r="GQ260" i="1"/>
  <c r="GR260" i="1"/>
  <c r="GS260" i="1"/>
  <c r="GT260" i="1"/>
  <c r="GU260" i="1"/>
  <c r="GV260" i="1"/>
  <c r="GW260" i="1"/>
  <c r="GX260" i="1"/>
  <c r="GY260" i="1"/>
  <c r="GZ260" i="1"/>
  <c r="HA260" i="1"/>
  <c r="HB260" i="1"/>
  <c r="HC260" i="1"/>
  <c r="HD260" i="1"/>
  <c r="HE260" i="1"/>
  <c r="HF260" i="1"/>
  <c r="HG260" i="1"/>
  <c r="HH260" i="1"/>
  <c r="HI260" i="1"/>
  <c r="HJ260" i="1"/>
  <c r="HK260" i="1"/>
  <c r="HL260" i="1"/>
  <c r="HM260" i="1"/>
  <c r="HN260" i="1"/>
  <c r="HO260" i="1"/>
  <c r="HP260" i="1"/>
  <c r="HQ260" i="1"/>
  <c r="HR260" i="1"/>
  <c r="HS260" i="1"/>
  <c r="HT260" i="1"/>
  <c r="HU260" i="1"/>
  <c r="HV260" i="1"/>
  <c r="HW260" i="1"/>
  <c r="HX260" i="1"/>
  <c r="HY260" i="1"/>
  <c r="HZ260" i="1"/>
  <c r="IA260" i="1"/>
  <c r="IB260" i="1"/>
  <c r="IC260" i="1"/>
  <c r="ID260" i="1"/>
  <c r="IE260" i="1"/>
  <c r="IF260" i="1"/>
  <c r="IG260" i="1"/>
  <c r="IH260" i="1"/>
  <c r="I261" i="1"/>
  <c r="FO261" i="1"/>
  <c r="FP261" i="1"/>
  <c r="FQ261" i="1"/>
  <c r="FR261" i="1"/>
  <c r="FS261" i="1"/>
  <c r="FT261" i="1"/>
  <c r="FU261" i="1"/>
  <c r="FV261" i="1"/>
  <c r="FW261" i="1"/>
  <c r="FX261" i="1"/>
  <c r="FY261" i="1"/>
  <c r="FZ261" i="1"/>
  <c r="GA261" i="1"/>
  <c r="GB261" i="1"/>
  <c r="GC261" i="1"/>
  <c r="GD261" i="1"/>
  <c r="GE261" i="1"/>
  <c r="GF261" i="1"/>
  <c r="GG261" i="1"/>
  <c r="GH261" i="1"/>
  <c r="GI261" i="1"/>
  <c r="GJ261" i="1"/>
  <c r="GK261" i="1"/>
  <c r="GL261" i="1"/>
  <c r="GM261" i="1"/>
  <c r="GN261" i="1"/>
  <c r="GO261" i="1"/>
  <c r="GP261" i="1"/>
  <c r="GQ261" i="1"/>
  <c r="GR261" i="1"/>
  <c r="GS261" i="1"/>
  <c r="GT261" i="1"/>
  <c r="GU261" i="1"/>
  <c r="GV261" i="1"/>
  <c r="GW261" i="1"/>
  <c r="GX261" i="1"/>
  <c r="GY261" i="1"/>
  <c r="GZ261" i="1"/>
  <c r="HA261" i="1"/>
  <c r="HB261" i="1"/>
  <c r="HC261" i="1"/>
  <c r="HD261" i="1"/>
  <c r="HE261" i="1"/>
  <c r="HF261" i="1"/>
  <c r="HG261" i="1"/>
  <c r="HH261" i="1"/>
  <c r="HI261" i="1"/>
  <c r="HJ261" i="1"/>
  <c r="HK261" i="1"/>
  <c r="HL261" i="1"/>
  <c r="HM261" i="1"/>
  <c r="HN261" i="1"/>
  <c r="HO261" i="1"/>
  <c r="HP261" i="1"/>
  <c r="HQ261" i="1"/>
  <c r="HR261" i="1"/>
  <c r="HS261" i="1"/>
  <c r="HT261" i="1"/>
  <c r="HU261" i="1"/>
  <c r="HV261" i="1"/>
  <c r="HW261" i="1"/>
  <c r="HX261" i="1"/>
  <c r="HY261" i="1"/>
  <c r="HZ261" i="1"/>
  <c r="IA261" i="1"/>
  <c r="IB261" i="1"/>
  <c r="IC261" i="1"/>
  <c r="ID261" i="1"/>
  <c r="IE261" i="1"/>
  <c r="IF261" i="1"/>
  <c r="IG261" i="1"/>
  <c r="IH261" i="1"/>
  <c r="FO262" i="1"/>
  <c r="FP262" i="1"/>
  <c r="FQ262" i="1"/>
  <c r="FR262" i="1"/>
  <c r="FS262" i="1"/>
  <c r="FT262" i="1"/>
  <c r="FU262" i="1"/>
  <c r="FV262" i="1"/>
  <c r="FW262" i="1"/>
  <c r="FX262" i="1"/>
  <c r="FY262" i="1"/>
  <c r="FZ262" i="1"/>
  <c r="GA262" i="1"/>
  <c r="GB262" i="1"/>
  <c r="GC262" i="1"/>
  <c r="GD262" i="1"/>
  <c r="GE262" i="1"/>
  <c r="GF262" i="1"/>
  <c r="GG262" i="1"/>
  <c r="GH262" i="1"/>
  <c r="GI262" i="1"/>
  <c r="GJ262" i="1"/>
  <c r="GK262" i="1"/>
  <c r="GL262" i="1"/>
  <c r="GM262" i="1"/>
  <c r="GN262" i="1"/>
  <c r="GO262" i="1"/>
  <c r="GP262" i="1"/>
  <c r="GQ262" i="1"/>
  <c r="GR262" i="1"/>
  <c r="GS262" i="1"/>
  <c r="GT262" i="1"/>
  <c r="GU262" i="1"/>
  <c r="GV262" i="1"/>
  <c r="GW262" i="1"/>
  <c r="GX262" i="1"/>
  <c r="GY262" i="1"/>
  <c r="GZ262" i="1"/>
  <c r="HA262" i="1"/>
  <c r="HB262" i="1"/>
  <c r="HC262" i="1"/>
  <c r="HD262" i="1"/>
  <c r="HE262" i="1"/>
  <c r="HF262" i="1"/>
  <c r="HG262" i="1"/>
  <c r="HH262" i="1"/>
  <c r="HI262" i="1"/>
  <c r="HJ262" i="1"/>
  <c r="HK262" i="1"/>
  <c r="HL262" i="1"/>
  <c r="HM262" i="1"/>
  <c r="HN262" i="1"/>
  <c r="HO262" i="1"/>
  <c r="HP262" i="1"/>
  <c r="HQ262" i="1"/>
  <c r="HR262" i="1"/>
  <c r="HS262" i="1"/>
  <c r="HT262" i="1"/>
  <c r="HU262" i="1"/>
  <c r="HV262" i="1"/>
  <c r="HW262" i="1"/>
  <c r="HX262" i="1"/>
  <c r="HY262" i="1"/>
  <c r="HZ262" i="1"/>
  <c r="IA262" i="1"/>
  <c r="IB262" i="1"/>
  <c r="IC262" i="1"/>
  <c r="ID262" i="1"/>
  <c r="IE262" i="1"/>
  <c r="IF262" i="1"/>
  <c r="IG262" i="1"/>
  <c r="IH262" i="1"/>
  <c r="FO263" i="1"/>
  <c r="FP263" i="1"/>
  <c r="FQ263" i="1"/>
  <c r="FR263" i="1"/>
  <c r="FS263" i="1"/>
  <c r="FT263" i="1"/>
  <c r="FU263" i="1"/>
  <c r="FV263" i="1"/>
  <c r="FW263" i="1"/>
  <c r="FX263" i="1"/>
  <c r="FY263" i="1"/>
  <c r="FZ263" i="1"/>
  <c r="GA263" i="1"/>
  <c r="GB263" i="1"/>
  <c r="GC263" i="1"/>
  <c r="GD263" i="1"/>
  <c r="GE263" i="1"/>
  <c r="GF263" i="1"/>
  <c r="GG263" i="1"/>
  <c r="GH263" i="1"/>
  <c r="GI263" i="1"/>
  <c r="GJ263" i="1"/>
  <c r="GK263" i="1"/>
  <c r="GL263" i="1"/>
  <c r="GM263" i="1"/>
  <c r="GN263" i="1"/>
  <c r="GO263" i="1"/>
  <c r="GP263" i="1"/>
  <c r="GQ263" i="1"/>
  <c r="GR263" i="1"/>
  <c r="GS263" i="1"/>
  <c r="GT263" i="1"/>
  <c r="GU263" i="1"/>
  <c r="GV263" i="1"/>
  <c r="GW263" i="1"/>
  <c r="GX263" i="1"/>
  <c r="GY263" i="1"/>
  <c r="GZ263" i="1"/>
  <c r="HA263" i="1"/>
  <c r="HB263" i="1"/>
  <c r="HC263" i="1"/>
  <c r="HD263" i="1"/>
  <c r="HE263" i="1"/>
  <c r="HF263" i="1"/>
  <c r="HG263" i="1"/>
  <c r="HH263" i="1"/>
  <c r="HI263" i="1"/>
  <c r="HJ263" i="1"/>
  <c r="HK263" i="1"/>
  <c r="HL263" i="1"/>
  <c r="HM263" i="1"/>
  <c r="HN263" i="1"/>
  <c r="HO263" i="1"/>
  <c r="HP263" i="1"/>
  <c r="HQ263" i="1"/>
  <c r="HR263" i="1"/>
  <c r="HS263" i="1"/>
  <c r="HT263" i="1"/>
  <c r="HU263" i="1"/>
  <c r="HV263" i="1"/>
  <c r="HW263" i="1"/>
  <c r="HX263" i="1"/>
  <c r="HY263" i="1"/>
  <c r="HZ263" i="1"/>
  <c r="IA263" i="1"/>
  <c r="IB263" i="1"/>
  <c r="IC263" i="1"/>
  <c r="ID263" i="1"/>
  <c r="IE263" i="1"/>
  <c r="IF263" i="1"/>
  <c r="IG263" i="1"/>
  <c r="IH263" i="1"/>
  <c r="FO264" i="1"/>
  <c r="FP264" i="1"/>
  <c r="FQ264" i="1"/>
  <c r="FR264" i="1"/>
  <c r="FS264" i="1"/>
  <c r="FT264" i="1"/>
  <c r="FU264" i="1"/>
  <c r="FV264" i="1"/>
  <c r="FW264" i="1"/>
  <c r="FX264" i="1"/>
  <c r="FY264" i="1"/>
  <c r="FZ264" i="1"/>
  <c r="GA264" i="1"/>
  <c r="GB264" i="1"/>
  <c r="GC264" i="1"/>
  <c r="GD264" i="1"/>
  <c r="GE264" i="1"/>
  <c r="GF264" i="1"/>
  <c r="GG264" i="1"/>
  <c r="GH264" i="1"/>
  <c r="GI264" i="1"/>
  <c r="GJ264" i="1"/>
  <c r="GK264" i="1"/>
  <c r="GL264" i="1"/>
  <c r="GM264" i="1"/>
  <c r="GN264" i="1"/>
  <c r="GO264" i="1"/>
  <c r="GP264" i="1"/>
  <c r="GQ264" i="1"/>
  <c r="GR264" i="1"/>
  <c r="GS264" i="1"/>
  <c r="GT264" i="1"/>
  <c r="GU264" i="1"/>
  <c r="GV264" i="1"/>
  <c r="GW264" i="1"/>
  <c r="GX264" i="1"/>
  <c r="GY264" i="1"/>
  <c r="GZ264" i="1"/>
  <c r="HA264" i="1"/>
  <c r="HB264" i="1"/>
  <c r="HC264" i="1"/>
  <c r="HD264" i="1"/>
  <c r="HE264" i="1"/>
  <c r="HF264" i="1"/>
  <c r="HG264" i="1"/>
  <c r="HH264" i="1"/>
  <c r="HI264" i="1"/>
  <c r="HJ264" i="1"/>
  <c r="HK264" i="1"/>
  <c r="HL264" i="1"/>
  <c r="HM264" i="1"/>
  <c r="HN264" i="1"/>
  <c r="HO264" i="1"/>
  <c r="HP264" i="1"/>
  <c r="HQ264" i="1"/>
  <c r="HR264" i="1"/>
  <c r="HS264" i="1"/>
  <c r="HT264" i="1"/>
  <c r="HU264" i="1"/>
  <c r="HV264" i="1"/>
  <c r="HW264" i="1"/>
  <c r="HX264" i="1"/>
  <c r="HY264" i="1"/>
  <c r="HZ264" i="1"/>
  <c r="IA264" i="1"/>
  <c r="IB264" i="1"/>
  <c r="IC264" i="1"/>
  <c r="ID264" i="1"/>
  <c r="IE264" i="1"/>
  <c r="IF264" i="1"/>
  <c r="IG264" i="1"/>
  <c r="IH264" i="1"/>
  <c r="FO265" i="1"/>
  <c r="FP265" i="1"/>
  <c r="FQ265" i="1"/>
  <c r="FR265" i="1"/>
  <c r="FS265" i="1"/>
  <c r="FT265" i="1"/>
  <c r="FU265" i="1"/>
  <c r="FV265" i="1"/>
  <c r="FW265" i="1"/>
  <c r="FX265" i="1"/>
  <c r="FY265" i="1"/>
  <c r="FZ265" i="1"/>
  <c r="GA265" i="1"/>
  <c r="GB265" i="1"/>
  <c r="GC265" i="1"/>
  <c r="GD265" i="1"/>
  <c r="GE265" i="1"/>
  <c r="GF265" i="1"/>
  <c r="GG265" i="1"/>
  <c r="GH265" i="1"/>
  <c r="GI265" i="1"/>
  <c r="GJ265" i="1"/>
  <c r="GK265" i="1"/>
  <c r="GL265" i="1"/>
  <c r="GM265" i="1"/>
  <c r="GN265" i="1"/>
  <c r="GO265" i="1"/>
  <c r="GP265" i="1"/>
  <c r="GQ265" i="1"/>
  <c r="GR265" i="1"/>
  <c r="GS265" i="1"/>
  <c r="GT265" i="1"/>
  <c r="GU265" i="1"/>
  <c r="GV265" i="1"/>
  <c r="GW265" i="1"/>
  <c r="GX265" i="1"/>
  <c r="GY265" i="1"/>
  <c r="GZ265" i="1"/>
  <c r="HA265" i="1"/>
  <c r="HB265" i="1"/>
  <c r="HC265" i="1"/>
  <c r="HD265" i="1"/>
  <c r="HE265" i="1"/>
  <c r="HF265" i="1"/>
  <c r="HG265" i="1"/>
  <c r="HH265" i="1"/>
  <c r="HI265" i="1"/>
  <c r="HJ265" i="1"/>
  <c r="HK265" i="1"/>
  <c r="HL265" i="1"/>
  <c r="HM265" i="1"/>
  <c r="HN265" i="1"/>
  <c r="HO265" i="1"/>
  <c r="HP265" i="1"/>
  <c r="HQ265" i="1"/>
  <c r="HR265" i="1"/>
  <c r="HS265" i="1"/>
  <c r="HT265" i="1"/>
  <c r="HU265" i="1"/>
  <c r="HV265" i="1"/>
  <c r="HW265" i="1"/>
  <c r="HX265" i="1"/>
  <c r="HY265" i="1"/>
  <c r="HZ265" i="1"/>
  <c r="IA265" i="1"/>
  <c r="IB265" i="1"/>
  <c r="IC265" i="1"/>
  <c r="ID265" i="1"/>
  <c r="IE265" i="1"/>
  <c r="IF265" i="1"/>
  <c r="IG265" i="1"/>
  <c r="IH265" i="1"/>
  <c r="FO266" i="1"/>
  <c r="FP266" i="1"/>
  <c r="FQ266" i="1"/>
  <c r="FR266" i="1"/>
  <c r="FS266" i="1"/>
  <c r="FT266" i="1"/>
  <c r="FU266" i="1"/>
  <c r="FV266" i="1"/>
  <c r="FW266" i="1"/>
  <c r="FX266" i="1"/>
  <c r="FY266" i="1"/>
  <c r="FZ266" i="1"/>
  <c r="GA266" i="1"/>
  <c r="GB266" i="1"/>
  <c r="GC266" i="1"/>
  <c r="GD266" i="1"/>
  <c r="GE266" i="1"/>
  <c r="GF266" i="1"/>
  <c r="GG266" i="1"/>
  <c r="GH266" i="1"/>
  <c r="GI266" i="1"/>
  <c r="GJ266" i="1"/>
  <c r="GK266" i="1"/>
  <c r="GL266" i="1"/>
  <c r="GM266" i="1"/>
  <c r="GN266" i="1"/>
  <c r="GO266" i="1"/>
  <c r="GP266" i="1"/>
  <c r="GQ266" i="1"/>
  <c r="GR266" i="1"/>
  <c r="GS266" i="1"/>
  <c r="GT266" i="1"/>
  <c r="GU266" i="1"/>
  <c r="GV266" i="1"/>
  <c r="GW266" i="1"/>
  <c r="GX266" i="1"/>
  <c r="GY266" i="1"/>
  <c r="GZ266" i="1"/>
  <c r="HA266" i="1"/>
  <c r="HB266" i="1"/>
  <c r="HC266" i="1"/>
  <c r="HD266" i="1"/>
  <c r="HE266" i="1"/>
  <c r="HF266" i="1"/>
  <c r="HG266" i="1"/>
  <c r="HH266" i="1"/>
  <c r="HI266" i="1"/>
  <c r="HJ266" i="1"/>
  <c r="HK266" i="1"/>
  <c r="HL266" i="1"/>
  <c r="HM266" i="1"/>
  <c r="HN266" i="1"/>
  <c r="HO266" i="1"/>
  <c r="HP266" i="1"/>
  <c r="HQ266" i="1"/>
  <c r="HR266" i="1"/>
  <c r="HS266" i="1"/>
  <c r="HT266" i="1"/>
  <c r="HU266" i="1"/>
  <c r="HV266" i="1"/>
  <c r="HW266" i="1"/>
  <c r="HX266" i="1"/>
  <c r="HY266" i="1"/>
  <c r="HZ266" i="1"/>
  <c r="IA266" i="1"/>
  <c r="IB266" i="1"/>
  <c r="IC266" i="1"/>
  <c r="ID266" i="1"/>
  <c r="IE266" i="1"/>
  <c r="IF266" i="1"/>
  <c r="IG266" i="1"/>
  <c r="IH266" i="1"/>
  <c r="FO267" i="1"/>
  <c r="FP267" i="1"/>
  <c r="FQ267" i="1"/>
  <c r="FR267" i="1"/>
  <c r="FS267" i="1"/>
  <c r="FT267" i="1"/>
  <c r="FU267" i="1"/>
  <c r="FV267" i="1"/>
  <c r="FW267" i="1"/>
  <c r="FX267" i="1"/>
  <c r="FY267" i="1"/>
  <c r="FZ267" i="1"/>
  <c r="GA267" i="1"/>
  <c r="GB267" i="1"/>
  <c r="GC267" i="1"/>
  <c r="GD267" i="1"/>
  <c r="GE267" i="1"/>
  <c r="GF267" i="1"/>
  <c r="GG267" i="1"/>
  <c r="GH267" i="1"/>
  <c r="GI267" i="1"/>
  <c r="GJ267" i="1"/>
  <c r="GK267" i="1"/>
  <c r="GL267" i="1"/>
  <c r="GM267" i="1"/>
  <c r="GN267" i="1"/>
  <c r="GO267" i="1"/>
  <c r="GP267" i="1"/>
  <c r="GQ267" i="1"/>
  <c r="GR267" i="1"/>
  <c r="GS267" i="1"/>
  <c r="GT267" i="1"/>
  <c r="GU267" i="1"/>
  <c r="GV267" i="1"/>
  <c r="GW267" i="1"/>
  <c r="GX267" i="1"/>
  <c r="GY267" i="1"/>
  <c r="GZ267" i="1"/>
  <c r="HA267" i="1"/>
  <c r="HB267" i="1"/>
  <c r="HC267" i="1"/>
  <c r="HD267" i="1"/>
  <c r="HE267" i="1"/>
  <c r="HF267" i="1"/>
  <c r="HG267" i="1"/>
  <c r="HH267" i="1"/>
  <c r="HI267" i="1"/>
  <c r="HJ267" i="1"/>
  <c r="HK267" i="1"/>
  <c r="HL267" i="1"/>
  <c r="HM267" i="1"/>
  <c r="HN267" i="1"/>
  <c r="HO267" i="1"/>
  <c r="HP267" i="1"/>
  <c r="HQ267" i="1"/>
  <c r="HR267" i="1"/>
  <c r="HS267" i="1"/>
  <c r="HT267" i="1"/>
  <c r="HU267" i="1"/>
  <c r="HV267" i="1"/>
  <c r="HW267" i="1"/>
  <c r="HX267" i="1"/>
  <c r="HY267" i="1"/>
  <c r="HZ267" i="1"/>
  <c r="IA267" i="1"/>
  <c r="IB267" i="1"/>
  <c r="IC267" i="1"/>
  <c r="ID267" i="1"/>
  <c r="IE267" i="1"/>
  <c r="IF267" i="1"/>
  <c r="IG267" i="1"/>
  <c r="IH267" i="1"/>
  <c r="FO268" i="1"/>
  <c r="FP268" i="1"/>
  <c r="FQ268" i="1"/>
  <c r="FR268" i="1"/>
  <c r="FS268" i="1"/>
  <c r="FT268" i="1"/>
  <c r="FU268" i="1"/>
  <c r="FV268" i="1"/>
  <c r="FW268" i="1"/>
  <c r="FX268" i="1"/>
  <c r="FY268" i="1"/>
  <c r="FZ268" i="1"/>
  <c r="GA268" i="1"/>
  <c r="GB268" i="1"/>
  <c r="GC268" i="1"/>
  <c r="GD268" i="1"/>
  <c r="GE268" i="1"/>
  <c r="GF268" i="1"/>
  <c r="GG268" i="1"/>
  <c r="GH268" i="1"/>
  <c r="GI268" i="1"/>
  <c r="GJ268" i="1"/>
  <c r="GK268" i="1"/>
  <c r="GL268" i="1"/>
  <c r="GM268" i="1"/>
  <c r="GN268" i="1"/>
  <c r="GO268" i="1"/>
  <c r="GP268" i="1"/>
  <c r="GQ268" i="1"/>
  <c r="GR268" i="1"/>
  <c r="GS268" i="1"/>
  <c r="GT268" i="1"/>
  <c r="GU268" i="1"/>
  <c r="GV268" i="1"/>
  <c r="GW268" i="1"/>
  <c r="GX268" i="1"/>
  <c r="GY268" i="1"/>
  <c r="GZ268" i="1"/>
  <c r="HA268" i="1"/>
  <c r="HB268" i="1"/>
  <c r="HC268" i="1"/>
  <c r="HD268" i="1"/>
  <c r="HE268" i="1"/>
  <c r="HF268" i="1"/>
  <c r="HG268" i="1"/>
  <c r="HH268" i="1"/>
  <c r="HI268" i="1"/>
  <c r="HJ268" i="1"/>
  <c r="HK268" i="1"/>
  <c r="HL268" i="1"/>
  <c r="HM268" i="1"/>
  <c r="HN268" i="1"/>
  <c r="HO268" i="1"/>
  <c r="HP268" i="1"/>
  <c r="HQ268" i="1"/>
  <c r="HR268" i="1"/>
  <c r="HS268" i="1"/>
  <c r="HT268" i="1"/>
  <c r="HU268" i="1"/>
  <c r="HV268" i="1"/>
  <c r="HW268" i="1"/>
  <c r="HX268" i="1"/>
  <c r="HY268" i="1"/>
  <c r="HZ268" i="1"/>
  <c r="IA268" i="1"/>
  <c r="IB268" i="1"/>
  <c r="IC268" i="1"/>
  <c r="ID268" i="1"/>
  <c r="IE268" i="1"/>
  <c r="IF268" i="1"/>
  <c r="IG268" i="1"/>
  <c r="IH268" i="1"/>
  <c r="FO269" i="1"/>
  <c r="FP269" i="1"/>
  <c r="FQ269" i="1"/>
  <c r="FR269" i="1"/>
  <c r="FS269" i="1"/>
  <c r="FT269" i="1"/>
  <c r="FU269" i="1"/>
  <c r="FV269" i="1"/>
  <c r="FW269" i="1"/>
  <c r="FX269" i="1"/>
  <c r="FY269" i="1"/>
  <c r="FZ269" i="1"/>
  <c r="GA269" i="1"/>
  <c r="GB269" i="1"/>
  <c r="GC269" i="1"/>
  <c r="GD269" i="1"/>
  <c r="GE269" i="1"/>
  <c r="GF269" i="1"/>
  <c r="GG269" i="1"/>
  <c r="GH269" i="1"/>
  <c r="GI269" i="1"/>
  <c r="GJ269" i="1"/>
  <c r="GK269" i="1"/>
  <c r="GL269" i="1"/>
  <c r="GM269" i="1"/>
  <c r="GN269" i="1"/>
  <c r="GO269" i="1"/>
  <c r="GP269" i="1"/>
  <c r="GQ269" i="1"/>
  <c r="GR269" i="1"/>
  <c r="GS269" i="1"/>
  <c r="GT269" i="1"/>
  <c r="GU269" i="1"/>
  <c r="GV269" i="1"/>
  <c r="GW269" i="1"/>
  <c r="GX269" i="1"/>
  <c r="GY269" i="1"/>
  <c r="GZ269" i="1"/>
  <c r="HA269" i="1"/>
  <c r="HB269" i="1"/>
  <c r="HC269" i="1"/>
  <c r="HD269" i="1"/>
  <c r="HE269" i="1"/>
  <c r="HF269" i="1"/>
  <c r="HG269" i="1"/>
  <c r="HH269" i="1"/>
  <c r="HI269" i="1"/>
  <c r="HJ269" i="1"/>
  <c r="HK269" i="1"/>
  <c r="HL269" i="1"/>
  <c r="HM269" i="1"/>
  <c r="HN269" i="1"/>
  <c r="HO269" i="1"/>
  <c r="HP269" i="1"/>
  <c r="HQ269" i="1"/>
  <c r="HR269" i="1"/>
  <c r="HS269" i="1"/>
  <c r="HT269" i="1"/>
  <c r="HU269" i="1"/>
  <c r="HV269" i="1"/>
  <c r="HW269" i="1"/>
  <c r="HX269" i="1"/>
  <c r="HY269" i="1"/>
  <c r="HZ269" i="1"/>
  <c r="IA269" i="1"/>
  <c r="IB269" i="1"/>
  <c r="IC269" i="1"/>
  <c r="ID269" i="1"/>
  <c r="IE269" i="1"/>
  <c r="IF269" i="1"/>
  <c r="IG269" i="1"/>
  <c r="IH269" i="1"/>
  <c r="FO270" i="1"/>
  <c r="FP270" i="1"/>
  <c r="FQ270" i="1"/>
  <c r="FR270" i="1"/>
  <c r="FS270" i="1"/>
  <c r="FT270" i="1"/>
  <c r="FU270" i="1"/>
  <c r="FV270" i="1"/>
  <c r="FW270" i="1"/>
  <c r="FX270" i="1"/>
  <c r="FY270" i="1"/>
  <c r="FZ270" i="1"/>
  <c r="GA270" i="1"/>
  <c r="GB270" i="1"/>
  <c r="GC270" i="1"/>
  <c r="GD270" i="1"/>
  <c r="GE270" i="1"/>
  <c r="GF270" i="1"/>
  <c r="GG270" i="1"/>
  <c r="GH270" i="1"/>
  <c r="GI270" i="1"/>
  <c r="GJ270" i="1"/>
  <c r="GK270" i="1"/>
  <c r="GL270" i="1"/>
  <c r="GM270" i="1"/>
  <c r="GN270" i="1"/>
  <c r="GO270" i="1"/>
  <c r="GP270" i="1"/>
  <c r="GQ270" i="1"/>
  <c r="GR270" i="1"/>
  <c r="GS270" i="1"/>
  <c r="GT270" i="1"/>
  <c r="GU270" i="1"/>
  <c r="GV270" i="1"/>
  <c r="GW270" i="1"/>
  <c r="GX270" i="1"/>
  <c r="GY270" i="1"/>
  <c r="GZ270" i="1"/>
  <c r="HA270" i="1"/>
  <c r="HB270" i="1"/>
  <c r="HC270" i="1"/>
  <c r="HD270" i="1"/>
  <c r="HE270" i="1"/>
  <c r="HF270" i="1"/>
  <c r="HG270" i="1"/>
  <c r="HH270" i="1"/>
  <c r="HI270" i="1"/>
  <c r="HJ270" i="1"/>
  <c r="HK270" i="1"/>
  <c r="HL270" i="1"/>
  <c r="HM270" i="1"/>
  <c r="HN270" i="1"/>
  <c r="HO270" i="1"/>
  <c r="HP270" i="1"/>
  <c r="HQ270" i="1"/>
  <c r="HR270" i="1"/>
  <c r="HS270" i="1"/>
  <c r="HT270" i="1"/>
  <c r="HU270" i="1"/>
  <c r="HV270" i="1"/>
  <c r="HW270" i="1"/>
  <c r="HX270" i="1"/>
  <c r="HY270" i="1"/>
  <c r="HZ270" i="1"/>
  <c r="IA270" i="1"/>
  <c r="IB270" i="1"/>
  <c r="IC270" i="1"/>
  <c r="ID270" i="1"/>
  <c r="IE270" i="1"/>
  <c r="IF270" i="1"/>
  <c r="IG270" i="1"/>
  <c r="IH270" i="1"/>
  <c r="FO271" i="1"/>
  <c r="FP271" i="1"/>
  <c r="FQ271" i="1"/>
  <c r="FR271" i="1"/>
  <c r="FS271" i="1"/>
  <c r="FT271" i="1"/>
  <c r="FU271" i="1"/>
  <c r="FV271" i="1"/>
  <c r="FW271" i="1"/>
  <c r="FX271" i="1"/>
  <c r="FY271" i="1"/>
  <c r="FZ271" i="1"/>
  <c r="GA271" i="1"/>
  <c r="GB271" i="1"/>
  <c r="GC271" i="1"/>
  <c r="GD271" i="1"/>
  <c r="GE271" i="1"/>
  <c r="GF271" i="1"/>
  <c r="GG271" i="1"/>
  <c r="GH271" i="1"/>
  <c r="GI271" i="1"/>
  <c r="GJ271" i="1"/>
  <c r="GK271" i="1"/>
  <c r="GL271" i="1"/>
  <c r="GM271" i="1"/>
  <c r="GN271" i="1"/>
  <c r="GO271" i="1"/>
  <c r="GP271" i="1"/>
  <c r="GQ271" i="1"/>
  <c r="GR271" i="1"/>
  <c r="GS271" i="1"/>
  <c r="GT271" i="1"/>
  <c r="GU271" i="1"/>
  <c r="GV271" i="1"/>
  <c r="GW271" i="1"/>
  <c r="GX271" i="1"/>
  <c r="GY271" i="1"/>
  <c r="GZ271" i="1"/>
  <c r="HA271" i="1"/>
  <c r="HB271" i="1"/>
  <c r="HC271" i="1"/>
  <c r="HD271" i="1"/>
  <c r="HE271" i="1"/>
  <c r="HF271" i="1"/>
  <c r="HG271" i="1"/>
  <c r="HH271" i="1"/>
  <c r="HI271" i="1"/>
  <c r="HJ271" i="1"/>
  <c r="HK271" i="1"/>
  <c r="HL271" i="1"/>
  <c r="HM271" i="1"/>
  <c r="HN271" i="1"/>
  <c r="HO271" i="1"/>
  <c r="HP271" i="1"/>
  <c r="HQ271" i="1"/>
  <c r="HR271" i="1"/>
  <c r="HS271" i="1"/>
  <c r="HT271" i="1"/>
  <c r="HU271" i="1"/>
  <c r="HV271" i="1"/>
  <c r="HW271" i="1"/>
  <c r="HX271" i="1"/>
  <c r="HY271" i="1"/>
  <c r="HZ271" i="1"/>
  <c r="IA271" i="1"/>
  <c r="IB271" i="1"/>
  <c r="IC271" i="1"/>
  <c r="ID271" i="1"/>
  <c r="IE271" i="1"/>
  <c r="IF271" i="1"/>
  <c r="IG271" i="1"/>
  <c r="IH271" i="1"/>
  <c r="FO272" i="1"/>
  <c r="FP272" i="1"/>
  <c r="FQ272" i="1"/>
  <c r="FR272" i="1"/>
  <c r="FS272" i="1"/>
  <c r="FT272" i="1"/>
  <c r="FU272" i="1"/>
  <c r="FV272" i="1"/>
  <c r="FW272" i="1"/>
  <c r="FX272" i="1"/>
  <c r="FY272" i="1"/>
  <c r="FZ272" i="1"/>
  <c r="GA272" i="1"/>
  <c r="GB272" i="1"/>
  <c r="GC272" i="1"/>
  <c r="GD272" i="1"/>
  <c r="GE272" i="1"/>
  <c r="GF272" i="1"/>
  <c r="GG272" i="1"/>
  <c r="GH272" i="1"/>
  <c r="GI272" i="1"/>
  <c r="GJ272" i="1"/>
  <c r="GK272" i="1"/>
  <c r="GL272" i="1"/>
  <c r="GM272" i="1"/>
  <c r="GN272" i="1"/>
  <c r="GO272" i="1"/>
  <c r="GP272" i="1"/>
  <c r="GQ272" i="1"/>
  <c r="GR272" i="1"/>
  <c r="GS272" i="1"/>
  <c r="GT272" i="1"/>
  <c r="GU272" i="1"/>
  <c r="GV272" i="1"/>
  <c r="GW272" i="1"/>
  <c r="GX272" i="1"/>
  <c r="GY272" i="1"/>
  <c r="GZ272" i="1"/>
  <c r="HA272" i="1"/>
  <c r="HB272" i="1"/>
  <c r="HC272" i="1"/>
  <c r="HD272" i="1"/>
  <c r="HE272" i="1"/>
  <c r="HF272" i="1"/>
  <c r="HG272" i="1"/>
  <c r="HH272" i="1"/>
  <c r="HI272" i="1"/>
  <c r="HJ272" i="1"/>
  <c r="HK272" i="1"/>
  <c r="HL272" i="1"/>
  <c r="HM272" i="1"/>
  <c r="HN272" i="1"/>
  <c r="HO272" i="1"/>
  <c r="HP272" i="1"/>
  <c r="HQ272" i="1"/>
  <c r="HR272" i="1"/>
  <c r="HS272" i="1"/>
  <c r="HT272" i="1"/>
  <c r="HU272" i="1"/>
  <c r="HV272" i="1"/>
  <c r="HW272" i="1"/>
  <c r="HX272" i="1"/>
  <c r="HY272" i="1"/>
  <c r="HZ272" i="1"/>
  <c r="IA272" i="1"/>
  <c r="IB272" i="1"/>
  <c r="IC272" i="1"/>
  <c r="ID272" i="1"/>
  <c r="IE272" i="1"/>
  <c r="IF272" i="1"/>
  <c r="IG272" i="1"/>
  <c r="IH272" i="1"/>
  <c r="FO273" i="1"/>
  <c r="FP273" i="1"/>
  <c r="FQ273" i="1"/>
  <c r="FR273" i="1"/>
  <c r="FS273" i="1"/>
  <c r="FT273" i="1"/>
  <c r="FU273" i="1"/>
  <c r="FV273" i="1"/>
  <c r="FW273" i="1"/>
  <c r="FX273" i="1"/>
  <c r="FY273" i="1"/>
  <c r="FZ273" i="1"/>
  <c r="GA273" i="1"/>
  <c r="GB273" i="1"/>
  <c r="GC273" i="1"/>
  <c r="GD273" i="1"/>
  <c r="GE273" i="1"/>
  <c r="GF273" i="1"/>
  <c r="GG273" i="1"/>
  <c r="GH273" i="1"/>
  <c r="GI273" i="1"/>
  <c r="GJ273" i="1"/>
  <c r="GK273" i="1"/>
  <c r="GL273" i="1"/>
  <c r="GM273" i="1"/>
  <c r="GN273" i="1"/>
  <c r="GO273" i="1"/>
  <c r="GP273" i="1"/>
  <c r="GQ273" i="1"/>
  <c r="GR273" i="1"/>
  <c r="GS273" i="1"/>
  <c r="GT273" i="1"/>
  <c r="GU273" i="1"/>
  <c r="GV273" i="1"/>
  <c r="GW273" i="1"/>
  <c r="GX273" i="1"/>
  <c r="GY273" i="1"/>
  <c r="GZ273" i="1"/>
  <c r="HA273" i="1"/>
  <c r="HB273" i="1"/>
  <c r="HC273" i="1"/>
  <c r="HD273" i="1"/>
  <c r="HE273" i="1"/>
  <c r="HF273" i="1"/>
  <c r="HG273" i="1"/>
  <c r="HH273" i="1"/>
  <c r="HI273" i="1"/>
  <c r="HJ273" i="1"/>
  <c r="HK273" i="1"/>
  <c r="HL273" i="1"/>
  <c r="HM273" i="1"/>
  <c r="HN273" i="1"/>
  <c r="HO273" i="1"/>
  <c r="HP273" i="1"/>
  <c r="HQ273" i="1"/>
  <c r="HR273" i="1"/>
  <c r="HS273" i="1"/>
  <c r="HT273" i="1"/>
  <c r="HU273" i="1"/>
  <c r="HV273" i="1"/>
  <c r="HW273" i="1"/>
  <c r="HX273" i="1"/>
  <c r="HY273" i="1"/>
  <c r="HZ273" i="1"/>
  <c r="IA273" i="1"/>
  <c r="IB273" i="1"/>
  <c r="IC273" i="1"/>
  <c r="ID273" i="1"/>
  <c r="IE273" i="1"/>
  <c r="IF273" i="1"/>
  <c r="IG273" i="1"/>
  <c r="IH273" i="1"/>
  <c r="FO274" i="1"/>
  <c r="FP274" i="1"/>
  <c r="FQ274" i="1"/>
  <c r="FR274" i="1"/>
  <c r="FS274" i="1"/>
  <c r="FT274" i="1"/>
  <c r="FU274" i="1"/>
  <c r="FV274" i="1"/>
  <c r="FW274" i="1"/>
  <c r="FX274" i="1"/>
  <c r="FY274" i="1"/>
  <c r="FZ274" i="1"/>
  <c r="GA274" i="1"/>
  <c r="GB274" i="1"/>
  <c r="GC274" i="1"/>
  <c r="GD274" i="1"/>
  <c r="GE274" i="1"/>
  <c r="GF274" i="1"/>
  <c r="GG274" i="1"/>
  <c r="GH274" i="1"/>
  <c r="GI274" i="1"/>
  <c r="GJ274" i="1"/>
  <c r="GK274" i="1"/>
  <c r="GL274" i="1"/>
  <c r="GM274" i="1"/>
  <c r="GN274" i="1"/>
  <c r="GO274" i="1"/>
  <c r="GP274" i="1"/>
  <c r="GQ274" i="1"/>
  <c r="GR274" i="1"/>
  <c r="GS274" i="1"/>
  <c r="GT274" i="1"/>
  <c r="GU274" i="1"/>
  <c r="GV274" i="1"/>
  <c r="GW274" i="1"/>
  <c r="GX274" i="1"/>
  <c r="GY274" i="1"/>
  <c r="GZ274" i="1"/>
  <c r="HA274" i="1"/>
  <c r="HB274" i="1"/>
  <c r="HC274" i="1"/>
  <c r="HD274" i="1"/>
  <c r="HE274" i="1"/>
  <c r="HF274" i="1"/>
  <c r="HG274" i="1"/>
  <c r="HH274" i="1"/>
  <c r="HI274" i="1"/>
  <c r="HJ274" i="1"/>
  <c r="HK274" i="1"/>
  <c r="HL274" i="1"/>
  <c r="HM274" i="1"/>
  <c r="HN274" i="1"/>
  <c r="HO274" i="1"/>
  <c r="HP274" i="1"/>
  <c r="HQ274" i="1"/>
  <c r="HR274" i="1"/>
  <c r="HS274" i="1"/>
  <c r="HT274" i="1"/>
  <c r="HU274" i="1"/>
  <c r="HV274" i="1"/>
  <c r="HW274" i="1"/>
  <c r="HX274" i="1"/>
  <c r="HY274" i="1"/>
  <c r="HZ274" i="1"/>
  <c r="IA274" i="1"/>
  <c r="IB274" i="1"/>
  <c r="IC274" i="1"/>
  <c r="ID274" i="1"/>
  <c r="IE274" i="1"/>
  <c r="IF274" i="1"/>
  <c r="IG274" i="1"/>
  <c r="IH274" i="1"/>
  <c r="FO275" i="1"/>
  <c r="FP275" i="1"/>
  <c r="FQ275" i="1"/>
  <c r="FR275" i="1"/>
  <c r="FS275" i="1"/>
  <c r="FT275" i="1"/>
  <c r="FU275" i="1"/>
  <c r="FV275" i="1"/>
  <c r="FW275" i="1"/>
  <c r="FX275" i="1"/>
  <c r="FY275" i="1"/>
  <c r="FZ275" i="1"/>
  <c r="GA275" i="1"/>
  <c r="GB275" i="1"/>
  <c r="GC275" i="1"/>
  <c r="GD275" i="1"/>
  <c r="GE275" i="1"/>
  <c r="GF275" i="1"/>
  <c r="GG275" i="1"/>
  <c r="GH275" i="1"/>
  <c r="GI275" i="1"/>
  <c r="GJ275" i="1"/>
  <c r="GK275" i="1"/>
  <c r="GL275" i="1"/>
  <c r="GM275" i="1"/>
  <c r="GN275" i="1"/>
  <c r="GO275" i="1"/>
  <c r="GP275" i="1"/>
  <c r="GQ275" i="1"/>
  <c r="GR275" i="1"/>
  <c r="GS275" i="1"/>
  <c r="GT275" i="1"/>
  <c r="GU275" i="1"/>
  <c r="GV275" i="1"/>
  <c r="GW275" i="1"/>
  <c r="GX275" i="1"/>
  <c r="GY275" i="1"/>
  <c r="GZ275" i="1"/>
  <c r="HA275" i="1"/>
  <c r="HB275" i="1"/>
  <c r="HC275" i="1"/>
  <c r="HD275" i="1"/>
  <c r="HE275" i="1"/>
  <c r="HF275" i="1"/>
  <c r="HG275" i="1"/>
  <c r="HH275" i="1"/>
  <c r="HI275" i="1"/>
  <c r="HJ275" i="1"/>
  <c r="HK275" i="1"/>
  <c r="HL275" i="1"/>
  <c r="HM275" i="1"/>
  <c r="HN275" i="1"/>
  <c r="HO275" i="1"/>
  <c r="HP275" i="1"/>
  <c r="HQ275" i="1"/>
  <c r="HR275" i="1"/>
  <c r="HS275" i="1"/>
  <c r="HT275" i="1"/>
  <c r="HU275" i="1"/>
  <c r="HV275" i="1"/>
  <c r="HW275" i="1"/>
  <c r="HX275" i="1"/>
  <c r="HY275" i="1"/>
  <c r="HZ275" i="1"/>
  <c r="IA275" i="1"/>
  <c r="IB275" i="1"/>
  <c r="IC275" i="1"/>
  <c r="ID275" i="1"/>
  <c r="IE275" i="1"/>
  <c r="IF275" i="1"/>
  <c r="IG275" i="1"/>
  <c r="IH275" i="1"/>
  <c r="FO276" i="1"/>
  <c r="FP276" i="1"/>
  <c r="FQ276" i="1"/>
  <c r="FR276" i="1"/>
  <c r="FS276" i="1"/>
  <c r="FT276" i="1"/>
  <c r="FU276" i="1"/>
  <c r="FV276" i="1"/>
  <c r="FW276" i="1"/>
  <c r="FX276" i="1"/>
  <c r="FY276" i="1"/>
  <c r="FZ276" i="1"/>
  <c r="GA276" i="1"/>
  <c r="GB276" i="1"/>
  <c r="GC276" i="1"/>
  <c r="GD276" i="1"/>
  <c r="GE276" i="1"/>
  <c r="GF276" i="1"/>
  <c r="GG276" i="1"/>
  <c r="GH276" i="1"/>
  <c r="GI276" i="1"/>
  <c r="GJ276" i="1"/>
  <c r="GK276" i="1"/>
  <c r="GL276" i="1"/>
  <c r="GM276" i="1"/>
  <c r="GN276" i="1"/>
  <c r="GO276" i="1"/>
  <c r="GP276" i="1"/>
  <c r="GQ276" i="1"/>
  <c r="GR276" i="1"/>
  <c r="GS276" i="1"/>
  <c r="GT276" i="1"/>
  <c r="GU276" i="1"/>
  <c r="GV276" i="1"/>
  <c r="GW276" i="1"/>
  <c r="GX276" i="1"/>
  <c r="GY276" i="1"/>
  <c r="GZ276" i="1"/>
  <c r="HA276" i="1"/>
  <c r="HB276" i="1"/>
  <c r="HC276" i="1"/>
  <c r="HD276" i="1"/>
  <c r="HE276" i="1"/>
  <c r="HF276" i="1"/>
  <c r="HG276" i="1"/>
  <c r="HH276" i="1"/>
  <c r="HI276" i="1"/>
  <c r="HJ276" i="1"/>
  <c r="HK276" i="1"/>
  <c r="HL276" i="1"/>
  <c r="HM276" i="1"/>
  <c r="HN276" i="1"/>
  <c r="HO276" i="1"/>
  <c r="HP276" i="1"/>
  <c r="HQ276" i="1"/>
  <c r="HR276" i="1"/>
  <c r="HS276" i="1"/>
  <c r="HT276" i="1"/>
  <c r="HU276" i="1"/>
  <c r="HV276" i="1"/>
  <c r="HW276" i="1"/>
  <c r="HX276" i="1"/>
  <c r="HY276" i="1"/>
  <c r="HZ276" i="1"/>
  <c r="IA276" i="1"/>
  <c r="IB276" i="1"/>
  <c r="IC276" i="1"/>
  <c r="ID276" i="1"/>
  <c r="IE276" i="1"/>
  <c r="IF276" i="1"/>
  <c r="IG276" i="1"/>
  <c r="IH276" i="1"/>
  <c r="FO277" i="1"/>
  <c r="FP277" i="1"/>
  <c r="FQ277" i="1"/>
  <c r="FR277" i="1"/>
  <c r="FS277" i="1"/>
  <c r="FT277" i="1"/>
  <c r="FU277" i="1"/>
  <c r="FV277" i="1"/>
  <c r="FW277" i="1"/>
  <c r="FX277" i="1"/>
  <c r="FY277" i="1"/>
  <c r="FZ277" i="1"/>
  <c r="GA277" i="1"/>
  <c r="GB277" i="1"/>
  <c r="GC277" i="1"/>
  <c r="GD277" i="1"/>
  <c r="GE277" i="1"/>
  <c r="GF277" i="1"/>
  <c r="GG277" i="1"/>
  <c r="GH277" i="1"/>
  <c r="GI277" i="1"/>
  <c r="GJ277" i="1"/>
  <c r="GK277" i="1"/>
  <c r="GL277" i="1"/>
  <c r="GM277" i="1"/>
  <c r="GN277" i="1"/>
  <c r="GO277" i="1"/>
  <c r="GP277" i="1"/>
  <c r="GQ277" i="1"/>
  <c r="GR277" i="1"/>
  <c r="GS277" i="1"/>
  <c r="GT277" i="1"/>
  <c r="GU277" i="1"/>
  <c r="GV277" i="1"/>
  <c r="GW277" i="1"/>
  <c r="GX277" i="1"/>
  <c r="GY277" i="1"/>
  <c r="GZ277" i="1"/>
  <c r="HA277" i="1"/>
  <c r="HB277" i="1"/>
  <c r="HC277" i="1"/>
  <c r="HD277" i="1"/>
  <c r="HE277" i="1"/>
  <c r="HF277" i="1"/>
  <c r="HG277" i="1"/>
  <c r="HH277" i="1"/>
  <c r="HI277" i="1"/>
  <c r="HJ277" i="1"/>
  <c r="HK277" i="1"/>
  <c r="HL277" i="1"/>
  <c r="HM277" i="1"/>
  <c r="HN277" i="1"/>
  <c r="HO277" i="1"/>
  <c r="HP277" i="1"/>
  <c r="HQ277" i="1"/>
  <c r="HR277" i="1"/>
  <c r="HS277" i="1"/>
  <c r="HT277" i="1"/>
  <c r="HU277" i="1"/>
  <c r="HV277" i="1"/>
  <c r="HW277" i="1"/>
  <c r="HX277" i="1"/>
  <c r="HY277" i="1"/>
  <c r="HZ277" i="1"/>
  <c r="IA277" i="1"/>
  <c r="IB277" i="1"/>
  <c r="IC277" i="1"/>
  <c r="ID277" i="1"/>
  <c r="IE277" i="1"/>
  <c r="IF277" i="1"/>
  <c r="IG277" i="1"/>
  <c r="IH277" i="1"/>
  <c r="FO278" i="1"/>
  <c r="FP278" i="1"/>
  <c r="FQ278" i="1"/>
  <c r="FR278" i="1"/>
  <c r="FS278" i="1"/>
  <c r="FT278" i="1"/>
  <c r="FU278" i="1"/>
  <c r="FV278" i="1"/>
  <c r="FW278" i="1"/>
  <c r="FX278" i="1"/>
  <c r="FY278" i="1"/>
  <c r="FZ278" i="1"/>
  <c r="GA278" i="1"/>
  <c r="GB278" i="1"/>
  <c r="GC278" i="1"/>
  <c r="GD278" i="1"/>
  <c r="GE278" i="1"/>
  <c r="GF278" i="1"/>
  <c r="GG278" i="1"/>
  <c r="GH278" i="1"/>
  <c r="GI278" i="1"/>
  <c r="GJ278" i="1"/>
  <c r="GK278" i="1"/>
  <c r="GL278" i="1"/>
  <c r="GM278" i="1"/>
  <c r="GN278" i="1"/>
  <c r="GO278" i="1"/>
  <c r="GP278" i="1"/>
  <c r="GQ278" i="1"/>
  <c r="GR278" i="1"/>
  <c r="GS278" i="1"/>
  <c r="GT278" i="1"/>
  <c r="GU278" i="1"/>
  <c r="GV278" i="1"/>
  <c r="GW278" i="1"/>
  <c r="GX278" i="1"/>
  <c r="GY278" i="1"/>
  <c r="GZ278" i="1"/>
  <c r="HA278" i="1"/>
  <c r="HB278" i="1"/>
  <c r="HC278" i="1"/>
  <c r="HD278" i="1"/>
  <c r="HE278" i="1"/>
  <c r="HF278" i="1"/>
  <c r="HG278" i="1"/>
  <c r="HH278" i="1"/>
  <c r="HI278" i="1"/>
  <c r="HJ278" i="1"/>
  <c r="HK278" i="1"/>
  <c r="HL278" i="1"/>
  <c r="HM278" i="1"/>
  <c r="HN278" i="1"/>
  <c r="HO278" i="1"/>
  <c r="HP278" i="1"/>
  <c r="HQ278" i="1"/>
  <c r="HR278" i="1"/>
  <c r="HS278" i="1"/>
  <c r="HT278" i="1"/>
  <c r="HU278" i="1"/>
  <c r="HV278" i="1"/>
  <c r="HW278" i="1"/>
  <c r="HX278" i="1"/>
  <c r="HY278" i="1"/>
  <c r="HZ278" i="1"/>
  <c r="IA278" i="1"/>
  <c r="IB278" i="1"/>
  <c r="IC278" i="1"/>
  <c r="ID278" i="1"/>
  <c r="IE278" i="1"/>
  <c r="IF278" i="1"/>
  <c r="IG278" i="1"/>
  <c r="IH278" i="1"/>
  <c r="FO279" i="1"/>
  <c r="FP279" i="1"/>
  <c r="FQ279" i="1"/>
  <c r="FR279" i="1"/>
  <c r="FS279" i="1"/>
  <c r="FT279" i="1"/>
  <c r="FU279" i="1"/>
  <c r="FV279" i="1"/>
  <c r="FW279" i="1"/>
  <c r="FX279" i="1"/>
  <c r="FY279" i="1"/>
  <c r="FZ279" i="1"/>
  <c r="GA279" i="1"/>
  <c r="GB279" i="1"/>
  <c r="GC279" i="1"/>
  <c r="GD279" i="1"/>
  <c r="GE279" i="1"/>
  <c r="GF279" i="1"/>
  <c r="GG279" i="1"/>
  <c r="GH279" i="1"/>
  <c r="GI279" i="1"/>
  <c r="GJ279" i="1"/>
  <c r="GK279" i="1"/>
  <c r="GL279" i="1"/>
  <c r="GM279" i="1"/>
  <c r="GN279" i="1"/>
  <c r="GO279" i="1"/>
  <c r="GP279" i="1"/>
  <c r="GQ279" i="1"/>
  <c r="GR279" i="1"/>
  <c r="GS279" i="1"/>
  <c r="GT279" i="1"/>
  <c r="GU279" i="1"/>
  <c r="GV279" i="1"/>
  <c r="GW279" i="1"/>
  <c r="GX279" i="1"/>
  <c r="GY279" i="1"/>
  <c r="GZ279" i="1"/>
  <c r="HA279" i="1"/>
  <c r="HB279" i="1"/>
  <c r="HC279" i="1"/>
  <c r="HD279" i="1"/>
  <c r="HE279" i="1"/>
  <c r="HF279" i="1"/>
  <c r="HG279" i="1"/>
  <c r="HH279" i="1"/>
  <c r="HI279" i="1"/>
  <c r="HJ279" i="1"/>
  <c r="HK279" i="1"/>
  <c r="HL279" i="1"/>
  <c r="HM279" i="1"/>
  <c r="HN279" i="1"/>
  <c r="HO279" i="1"/>
  <c r="HP279" i="1"/>
  <c r="HQ279" i="1"/>
  <c r="HR279" i="1"/>
  <c r="HS279" i="1"/>
  <c r="HT279" i="1"/>
  <c r="HU279" i="1"/>
  <c r="HV279" i="1"/>
  <c r="HW279" i="1"/>
  <c r="HX279" i="1"/>
  <c r="HY279" i="1"/>
  <c r="HZ279" i="1"/>
  <c r="IA279" i="1"/>
  <c r="IB279" i="1"/>
  <c r="IC279" i="1"/>
  <c r="ID279" i="1"/>
  <c r="IE279" i="1"/>
  <c r="IF279" i="1"/>
  <c r="IG279" i="1"/>
  <c r="IH279" i="1"/>
  <c r="FO280" i="1"/>
  <c r="FP280" i="1"/>
  <c r="FQ280" i="1"/>
  <c r="FR280" i="1"/>
  <c r="FS280" i="1"/>
  <c r="FT280" i="1"/>
  <c r="FU280" i="1"/>
  <c r="FV280" i="1"/>
  <c r="FW280" i="1"/>
  <c r="FX280" i="1"/>
  <c r="FY280" i="1"/>
  <c r="FZ280" i="1"/>
  <c r="GA280" i="1"/>
  <c r="GB280" i="1"/>
  <c r="GC280" i="1"/>
  <c r="GD280" i="1"/>
  <c r="GE280" i="1"/>
  <c r="GF280" i="1"/>
  <c r="GG280" i="1"/>
  <c r="GH280" i="1"/>
  <c r="GI280" i="1"/>
  <c r="GJ280" i="1"/>
  <c r="GK280" i="1"/>
  <c r="GL280" i="1"/>
  <c r="GM280" i="1"/>
  <c r="GN280" i="1"/>
  <c r="GO280" i="1"/>
  <c r="GP280" i="1"/>
  <c r="GQ280" i="1"/>
  <c r="GR280" i="1"/>
  <c r="GS280" i="1"/>
  <c r="GT280" i="1"/>
  <c r="GU280" i="1"/>
  <c r="GV280" i="1"/>
  <c r="GW280" i="1"/>
  <c r="GX280" i="1"/>
  <c r="GY280" i="1"/>
  <c r="GZ280" i="1"/>
  <c r="HA280" i="1"/>
  <c r="HB280" i="1"/>
  <c r="HC280" i="1"/>
  <c r="HD280" i="1"/>
  <c r="HE280" i="1"/>
  <c r="HF280" i="1"/>
  <c r="HG280" i="1"/>
  <c r="HH280" i="1"/>
  <c r="HI280" i="1"/>
  <c r="HJ280" i="1"/>
  <c r="HK280" i="1"/>
  <c r="HL280" i="1"/>
  <c r="HM280" i="1"/>
  <c r="HN280" i="1"/>
  <c r="HO280" i="1"/>
  <c r="HP280" i="1"/>
  <c r="HQ280" i="1"/>
  <c r="HR280" i="1"/>
  <c r="HS280" i="1"/>
  <c r="HT280" i="1"/>
  <c r="HU280" i="1"/>
  <c r="HV280" i="1"/>
  <c r="HW280" i="1"/>
  <c r="HX280" i="1"/>
  <c r="HY280" i="1"/>
  <c r="HZ280" i="1"/>
  <c r="IA280" i="1"/>
  <c r="IB280" i="1"/>
  <c r="IC280" i="1"/>
  <c r="ID280" i="1"/>
  <c r="IE280" i="1"/>
  <c r="IF280" i="1"/>
  <c r="IG280" i="1"/>
  <c r="IH280" i="1"/>
  <c r="FO281" i="1"/>
  <c r="FP281" i="1"/>
  <c r="FQ281" i="1"/>
  <c r="FR281" i="1"/>
  <c r="FS281" i="1"/>
  <c r="FT281" i="1"/>
  <c r="FU281" i="1"/>
  <c r="FV281" i="1"/>
  <c r="FW281" i="1"/>
  <c r="FX281" i="1"/>
  <c r="FY281" i="1"/>
  <c r="FZ281" i="1"/>
  <c r="GA281" i="1"/>
  <c r="GB281" i="1"/>
  <c r="GC281" i="1"/>
  <c r="GD281" i="1"/>
  <c r="GE281" i="1"/>
  <c r="GF281" i="1"/>
  <c r="GG281" i="1"/>
  <c r="GH281" i="1"/>
  <c r="GI281" i="1"/>
  <c r="GJ281" i="1"/>
  <c r="GK281" i="1"/>
  <c r="GL281" i="1"/>
  <c r="GM281" i="1"/>
  <c r="GN281" i="1"/>
  <c r="GO281" i="1"/>
  <c r="GP281" i="1"/>
  <c r="GQ281" i="1"/>
  <c r="GR281" i="1"/>
  <c r="GS281" i="1"/>
  <c r="GT281" i="1"/>
  <c r="GU281" i="1"/>
  <c r="GV281" i="1"/>
  <c r="GW281" i="1"/>
  <c r="GX281" i="1"/>
  <c r="GY281" i="1"/>
  <c r="GZ281" i="1"/>
  <c r="HA281" i="1"/>
  <c r="HB281" i="1"/>
  <c r="HC281" i="1"/>
  <c r="HD281" i="1"/>
  <c r="HE281" i="1"/>
  <c r="HF281" i="1"/>
  <c r="HG281" i="1"/>
  <c r="HH281" i="1"/>
  <c r="HI281" i="1"/>
  <c r="HJ281" i="1"/>
  <c r="HK281" i="1"/>
  <c r="HL281" i="1"/>
  <c r="HM281" i="1"/>
  <c r="HN281" i="1"/>
  <c r="HO281" i="1"/>
  <c r="HP281" i="1"/>
  <c r="HQ281" i="1"/>
  <c r="HR281" i="1"/>
  <c r="HS281" i="1"/>
  <c r="HT281" i="1"/>
  <c r="HU281" i="1"/>
  <c r="HV281" i="1"/>
  <c r="HW281" i="1"/>
  <c r="HX281" i="1"/>
  <c r="HY281" i="1"/>
  <c r="HZ281" i="1"/>
  <c r="IA281" i="1"/>
  <c r="IB281" i="1"/>
  <c r="IC281" i="1"/>
  <c r="ID281" i="1"/>
  <c r="IE281" i="1"/>
  <c r="IF281" i="1"/>
  <c r="IG281" i="1"/>
  <c r="IH281" i="1"/>
  <c r="FO282" i="1"/>
  <c r="FP282" i="1"/>
  <c r="FQ282" i="1"/>
  <c r="FR282" i="1"/>
  <c r="FS282" i="1"/>
  <c r="FT282" i="1"/>
  <c r="FU282" i="1"/>
  <c r="FV282" i="1"/>
  <c r="FW282" i="1"/>
  <c r="FX282" i="1"/>
  <c r="FY282" i="1"/>
  <c r="FZ282" i="1"/>
  <c r="GA282" i="1"/>
  <c r="GB282" i="1"/>
  <c r="GC282" i="1"/>
  <c r="GD282" i="1"/>
  <c r="GE282" i="1"/>
  <c r="GF282" i="1"/>
  <c r="GG282" i="1"/>
  <c r="GH282" i="1"/>
  <c r="GI282" i="1"/>
  <c r="GJ282" i="1"/>
  <c r="GK282" i="1"/>
  <c r="GL282" i="1"/>
  <c r="GM282" i="1"/>
  <c r="GN282" i="1"/>
  <c r="GO282" i="1"/>
  <c r="GP282" i="1"/>
  <c r="GQ282" i="1"/>
  <c r="GR282" i="1"/>
  <c r="GS282" i="1"/>
  <c r="GT282" i="1"/>
  <c r="GU282" i="1"/>
  <c r="GV282" i="1"/>
  <c r="GW282" i="1"/>
  <c r="GX282" i="1"/>
  <c r="GY282" i="1"/>
  <c r="GZ282" i="1"/>
  <c r="HA282" i="1"/>
  <c r="HB282" i="1"/>
  <c r="HC282" i="1"/>
  <c r="HD282" i="1"/>
  <c r="HE282" i="1"/>
  <c r="HF282" i="1"/>
  <c r="HG282" i="1"/>
  <c r="HH282" i="1"/>
  <c r="HI282" i="1"/>
  <c r="HJ282" i="1"/>
  <c r="HK282" i="1"/>
  <c r="HL282" i="1"/>
  <c r="HM282" i="1"/>
  <c r="HN282" i="1"/>
  <c r="HO282" i="1"/>
  <c r="HP282" i="1"/>
  <c r="HQ282" i="1"/>
  <c r="HR282" i="1"/>
  <c r="HS282" i="1"/>
  <c r="HT282" i="1"/>
  <c r="HU282" i="1"/>
  <c r="HV282" i="1"/>
  <c r="HW282" i="1"/>
  <c r="HX282" i="1"/>
  <c r="HY282" i="1"/>
  <c r="HZ282" i="1"/>
  <c r="IA282" i="1"/>
  <c r="IB282" i="1"/>
  <c r="IC282" i="1"/>
  <c r="ID282" i="1"/>
  <c r="IE282" i="1"/>
  <c r="IF282" i="1"/>
  <c r="IG282" i="1"/>
  <c r="IH282" i="1"/>
  <c r="FO283" i="1"/>
  <c r="FP283" i="1"/>
  <c r="FQ283" i="1"/>
  <c r="FR283" i="1"/>
  <c r="FS283" i="1"/>
  <c r="FT283" i="1"/>
  <c r="FU283" i="1"/>
  <c r="FV283" i="1"/>
  <c r="FW283" i="1"/>
  <c r="FX283" i="1"/>
  <c r="FY283" i="1"/>
  <c r="FZ283" i="1"/>
  <c r="GA283" i="1"/>
  <c r="GB283" i="1"/>
  <c r="GC283" i="1"/>
  <c r="GD283" i="1"/>
  <c r="GE283" i="1"/>
  <c r="GF283" i="1"/>
  <c r="GG283" i="1"/>
  <c r="GH283" i="1"/>
  <c r="GI283" i="1"/>
  <c r="GJ283" i="1"/>
  <c r="GK283" i="1"/>
  <c r="GL283" i="1"/>
  <c r="GM283" i="1"/>
  <c r="GN283" i="1"/>
  <c r="GO283" i="1"/>
  <c r="GP283" i="1"/>
  <c r="GQ283" i="1"/>
  <c r="GR283" i="1"/>
  <c r="GS283" i="1"/>
  <c r="GT283" i="1"/>
  <c r="GU283" i="1"/>
  <c r="GV283" i="1"/>
  <c r="GW283" i="1"/>
  <c r="GX283" i="1"/>
  <c r="GY283" i="1"/>
  <c r="GZ283" i="1"/>
  <c r="HA283" i="1"/>
  <c r="HB283" i="1"/>
  <c r="HC283" i="1"/>
  <c r="HD283" i="1"/>
  <c r="HE283" i="1"/>
  <c r="HF283" i="1"/>
  <c r="HG283" i="1"/>
  <c r="HH283" i="1"/>
  <c r="HI283" i="1"/>
  <c r="HJ283" i="1"/>
  <c r="HK283" i="1"/>
  <c r="HL283" i="1"/>
  <c r="HM283" i="1"/>
  <c r="HN283" i="1"/>
  <c r="HO283" i="1"/>
  <c r="HP283" i="1"/>
  <c r="HQ283" i="1"/>
  <c r="HR283" i="1"/>
  <c r="HS283" i="1"/>
  <c r="HT283" i="1"/>
  <c r="HU283" i="1"/>
  <c r="HV283" i="1"/>
  <c r="HW283" i="1"/>
  <c r="HX283" i="1"/>
  <c r="HY283" i="1"/>
  <c r="HZ283" i="1"/>
  <c r="IA283" i="1"/>
  <c r="IB283" i="1"/>
  <c r="IC283" i="1"/>
  <c r="ID283" i="1"/>
  <c r="IE283" i="1"/>
  <c r="IF283" i="1"/>
  <c r="IG283" i="1"/>
  <c r="IH283" i="1"/>
  <c r="FO284" i="1"/>
  <c r="FP284" i="1"/>
  <c r="FQ284" i="1"/>
  <c r="FR284" i="1"/>
  <c r="FS284" i="1"/>
  <c r="FT284" i="1"/>
  <c r="FU284" i="1"/>
  <c r="FV284" i="1"/>
  <c r="FW284" i="1"/>
  <c r="FX284" i="1"/>
  <c r="FY284" i="1"/>
  <c r="FZ284" i="1"/>
  <c r="GA284" i="1"/>
  <c r="GB284" i="1"/>
  <c r="GC284" i="1"/>
  <c r="GD284" i="1"/>
  <c r="GE284" i="1"/>
  <c r="GF284" i="1"/>
  <c r="GG284" i="1"/>
  <c r="GH284" i="1"/>
  <c r="GI284" i="1"/>
  <c r="GJ284" i="1"/>
  <c r="GK284" i="1"/>
  <c r="GL284" i="1"/>
  <c r="GM284" i="1"/>
  <c r="GN284" i="1"/>
  <c r="GO284" i="1"/>
  <c r="GP284" i="1"/>
  <c r="GQ284" i="1"/>
  <c r="GR284" i="1"/>
  <c r="GS284" i="1"/>
  <c r="GT284" i="1"/>
  <c r="GU284" i="1"/>
  <c r="GV284" i="1"/>
  <c r="GW284" i="1"/>
  <c r="GX284" i="1"/>
  <c r="GY284" i="1"/>
  <c r="GZ284" i="1"/>
  <c r="HA284" i="1"/>
  <c r="HB284" i="1"/>
  <c r="HC284" i="1"/>
  <c r="HD284" i="1"/>
  <c r="HE284" i="1"/>
  <c r="HF284" i="1"/>
  <c r="HG284" i="1"/>
  <c r="HH284" i="1"/>
  <c r="HI284" i="1"/>
  <c r="HJ284" i="1"/>
  <c r="HK284" i="1"/>
  <c r="HL284" i="1"/>
  <c r="HM284" i="1"/>
  <c r="HN284" i="1"/>
  <c r="HO284" i="1"/>
  <c r="HP284" i="1"/>
  <c r="HQ284" i="1"/>
  <c r="HR284" i="1"/>
  <c r="HS284" i="1"/>
  <c r="HT284" i="1"/>
  <c r="HU284" i="1"/>
  <c r="HV284" i="1"/>
  <c r="HW284" i="1"/>
  <c r="HX284" i="1"/>
  <c r="HY284" i="1"/>
  <c r="HZ284" i="1"/>
  <c r="IA284" i="1"/>
  <c r="IB284" i="1"/>
  <c r="IC284" i="1"/>
  <c r="ID284" i="1"/>
  <c r="IE284" i="1"/>
  <c r="IF284" i="1"/>
  <c r="IG284" i="1"/>
  <c r="IH284" i="1"/>
  <c r="FO285" i="1"/>
  <c r="FP285" i="1"/>
  <c r="FQ285" i="1"/>
  <c r="FR285" i="1"/>
  <c r="FS285" i="1"/>
  <c r="FT285" i="1"/>
  <c r="FU285" i="1"/>
  <c r="FV285" i="1"/>
  <c r="FW285" i="1"/>
  <c r="FX285" i="1"/>
  <c r="FY285" i="1"/>
  <c r="FZ285" i="1"/>
  <c r="GA285" i="1"/>
  <c r="GB285" i="1"/>
  <c r="GC285" i="1"/>
  <c r="GD285" i="1"/>
  <c r="GE285" i="1"/>
  <c r="GF285" i="1"/>
  <c r="GG285" i="1"/>
  <c r="GH285" i="1"/>
  <c r="GI285" i="1"/>
  <c r="GJ285" i="1"/>
  <c r="GK285" i="1"/>
  <c r="GL285" i="1"/>
  <c r="GM285" i="1"/>
  <c r="GN285" i="1"/>
  <c r="GO285" i="1"/>
  <c r="GP285" i="1"/>
  <c r="GQ285" i="1"/>
  <c r="GR285" i="1"/>
  <c r="GS285" i="1"/>
  <c r="GT285" i="1"/>
  <c r="GU285" i="1"/>
  <c r="GV285" i="1"/>
  <c r="GW285" i="1"/>
  <c r="GX285" i="1"/>
  <c r="GY285" i="1"/>
  <c r="GZ285" i="1"/>
  <c r="HA285" i="1"/>
  <c r="HB285" i="1"/>
  <c r="HC285" i="1"/>
  <c r="HD285" i="1"/>
  <c r="HE285" i="1"/>
  <c r="HF285" i="1"/>
  <c r="HG285" i="1"/>
  <c r="HH285" i="1"/>
  <c r="HI285" i="1"/>
  <c r="HJ285" i="1"/>
  <c r="HK285" i="1"/>
  <c r="HL285" i="1"/>
  <c r="HM285" i="1"/>
  <c r="HN285" i="1"/>
  <c r="HO285" i="1"/>
  <c r="HP285" i="1"/>
  <c r="HQ285" i="1"/>
  <c r="HR285" i="1"/>
  <c r="HS285" i="1"/>
  <c r="HT285" i="1"/>
  <c r="HU285" i="1"/>
  <c r="HV285" i="1"/>
  <c r="HW285" i="1"/>
  <c r="HX285" i="1"/>
  <c r="HY285" i="1"/>
  <c r="HZ285" i="1"/>
  <c r="IA285" i="1"/>
  <c r="IB285" i="1"/>
  <c r="IC285" i="1"/>
  <c r="ID285" i="1"/>
  <c r="IE285" i="1"/>
  <c r="IF285" i="1"/>
  <c r="IG285" i="1"/>
  <c r="IH285" i="1"/>
  <c r="FO286" i="1"/>
  <c r="FP286" i="1"/>
  <c r="FQ286" i="1"/>
  <c r="FR286" i="1"/>
  <c r="FS286" i="1"/>
  <c r="FT286" i="1"/>
  <c r="FU286" i="1"/>
  <c r="FV286" i="1"/>
  <c r="FW286" i="1"/>
  <c r="FX286" i="1"/>
  <c r="FY286" i="1"/>
  <c r="FZ286" i="1"/>
  <c r="GA286" i="1"/>
  <c r="GB286" i="1"/>
  <c r="GC286" i="1"/>
  <c r="GD286" i="1"/>
  <c r="GE286" i="1"/>
  <c r="GF286" i="1"/>
  <c r="GG286" i="1"/>
  <c r="GH286" i="1"/>
  <c r="GI286" i="1"/>
  <c r="GJ286" i="1"/>
  <c r="GK286" i="1"/>
  <c r="GL286" i="1"/>
  <c r="GM286" i="1"/>
  <c r="GN286" i="1"/>
  <c r="GO286" i="1"/>
  <c r="GP286" i="1"/>
  <c r="GQ286" i="1"/>
  <c r="GR286" i="1"/>
  <c r="GS286" i="1"/>
  <c r="GT286" i="1"/>
  <c r="GU286" i="1"/>
  <c r="GV286" i="1"/>
  <c r="GW286" i="1"/>
  <c r="GX286" i="1"/>
  <c r="GY286" i="1"/>
  <c r="GZ286" i="1"/>
  <c r="HA286" i="1"/>
  <c r="HB286" i="1"/>
  <c r="HC286" i="1"/>
  <c r="HD286" i="1"/>
  <c r="HE286" i="1"/>
  <c r="HF286" i="1"/>
  <c r="HG286" i="1"/>
  <c r="HH286" i="1"/>
  <c r="HI286" i="1"/>
  <c r="HJ286" i="1"/>
  <c r="HK286" i="1"/>
  <c r="HL286" i="1"/>
  <c r="HM286" i="1"/>
  <c r="HN286" i="1"/>
  <c r="HO286" i="1"/>
  <c r="HP286" i="1"/>
  <c r="HQ286" i="1"/>
  <c r="HR286" i="1"/>
  <c r="HS286" i="1"/>
  <c r="HT286" i="1"/>
  <c r="HU286" i="1"/>
  <c r="HV286" i="1"/>
  <c r="HW286" i="1"/>
  <c r="HX286" i="1"/>
  <c r="HY286" i="1"/>
  <c r="HZ286" i="1"/>
  <c r="IA286" i="1"/>
  <c r="IB286" i="1"/>
  <c r="IC286" i="1"/>
  <c r="ID286" i="1"/>
  <c r="IE286" i="1"/>
  <c r="IF286" i="1"/>
  <c r="IG286" i="1"/>
  <c r="IH286" i="1"/>
  <c r="FO287" i="1"/>
  <c r="FP287" i="1"/>
  <c r="FQ287" i="1"/>
  <c r="FR287" i="1"/>
  <c r="FS287" i="1"/>
  <c r="FT287" i="1"/>
  <c r="FU287" i="1"/>
  <c r="FV287" i="1"/>
  <c r="FW287" i="1"/>
  <c r="FX287" i="1"/>
  <c r="FY287" i="1"/>
  <c r="FZ287" i="1"/>
  <c r="GA287" i="1"/>
  <c r="GB287" i="1"/>
  <c r="GC287" i="1"/>
  <c r="GD287" i="1"/>
  <c r="GE287" i="1"/>
  <c r="GF287" i="1"/>
  <c r="GG287" i="1"/>
  <c r="GH287" i="1"/>
  <c r="GI287" i="1"/>
  <c r="GJ287" i="1"/>
  <c r="GK287" i="1"/>
  <c r="GL287" i="1"/>
  <c r="GM287" i="1"/>
  <c r="GN287" i="1"/>
  <c r="GO287" i="1"/>
  <c r="GP287" i="1"/>
  <c r="GQ287" i="1"/>
  <c r="GR287" i="1"/>
  <c r="GS287" i="1"/>
  <c r="GT287" i="1"/>
  <c r="GU287" i="1"/>
  <c r="GV287" i="1"/>
  <c r="GW287" i="1"/>
  <c r="GX287" i="1"/>
  <c r="GY287" i="1"/>
  <c r="GZ287" i="1"/>
  <c r="HA287" i="1"/>
  <c r="HB287" i="1"/>
  <c r="HC287" i="1"/>
  <c r="HD287" i="1"/>
  <c r="HE287" i="1"/>
  <c r="HF287" i="1"/>
  <c r="HG287" i="1"/>
  <c r="HH287" i="1"/>
  <c r="HI287" i="1"/>
  <c r="HJ287" i="1"/>
  <c r="HK287" i="1"/>
  <c r="HL287" i="1"/>
  <c r="HM287" i="1"/>
  <c r="HN287" i="1"/>
  <c r="HO287" i="1"/>
  <c r="HP287" i="1"/>
  <c r="HQ287" i="1"/>
  <c r="HR287" i="1"/>
  <c r="HS287" i="1"/>
  <c r="HT287" i="1"/>
  <c r="HU287" i="1"/>
  <c r="HV287" i="1"/>
  <c r="HW287" i="1"/>
  <c r="HX287" i="1"/>
  <c r="HY287" i="1"/>
  <c r="HZ287" i="1"/>
  <c r="IA287" i="1"/>
  <c r="IB287" i="1"/>
  <c r="IC287" i="1"/>
  <c r="ID287" i="1"/>
  <c r="IE287" i="1"/>
  <c r="IF287" i="1"/>
  <c r="IG287" i="1"/>
  <c r="IH287" i="1"/>
  <c r="FO288" i="1"/>
  <c r="FP288" i="1"/>
  <c r="FQ288" i="1"/>
  <c r="FR288" i="1"/>
  <c r="FS288" i="1"/>
  <c r="FT288" i="1"/>
  <c r="FU288" i="1"/>
  <c r="FV288" i="1"/>
  <c r="FW288" i="1"/>
  <c r="FX288" i="1"/>
  <c r="FY288" i="1"/>
  <c r="FZ288" i="1"/>
  <c r="GA288" i="1"/>
  <c r="GB288" i="1"/>
  <c r="GC288" i="1"/>
  <c r="GD288" i="1"/>
  <c r="GE288" i="1"/>
  <c r="GF288" i="1"/>
  <c r="GG288" i="1"/>
  <c r="GH288" i="1"/>
  <c r="GI288" i="1"/>
  <c r="GJ288" i="1"/>
  <c r="GK288" i="1"/>
  <c r="GL288" i="1"/>
  <c r="GM288" i="1"/>
  <c r="GN288" i="1"/>
  <c r="GO288" i="1"/>
  <c r="GP288" i="1"/>
  <c r="GQ288" i="1"/>
  <c r="GR288" i="1"/>
  <c r="GS288" i="1"/>
  <c r="GT288" i="1"/>
  <c r="GU288" i="1"/>
  <c r="GV288" i="1"/>
  <c r="GW288" i="1"/>
  <c r="GX288" i="1"/>
  <c r="GY288" i="1"/>
  <c r="GZ288" i="1"/>
  <c r="HA288" i="1"/>
  <c r="HB288" i="1"/>
  <c r="HC288" i="1"/>
  <c r="HD288" i="1"/>
  <c r="HE288" i="1"/>
  <c r="HF288" i="1"/>
  <c r="HG288" i="1"/>
  <c r="HH288" i="1"/>
  <c r="HI288" i="1"/>
  <c r="HJ288" i="1"/>
  <c r="HK288" i="1"/>
  <c r="HL288" i="1"/>
  <c r="HM288" i="1"/>
  <c r="HN288" i="1"/>
  <c r="HO288" i="1"/>
  <c r="HP288" i="1"/>
  <c r="HQ288" i="1"/>
  <c r="HR288" i="1"/>
  <c r="HS288" i="1"/>
  <c r="HT288" i="1"/>
  <c r="HU288" i="1"/>
  <c r="HV288" i="1"/>
  <c r="HW288" i="1"/>
  <c r="HX288" i="1"/>
  <c r="HY288" i="1"/>
  <c r="HZ288" i="1"/>
  <c r="IA288" i="1"/>
  <c r="IB288" i="1"/>
  <c r="IC288" i="1"/>
  <c r="ID288" i="1"/>
  <c r="IE288" i="1"/>
  <c r="IF288" i="1"/>
  <c r="IG288" i="1"/>
  <c r="IH288" i="1"/>
  <c r="FO289" i="1"/>
  <c r="FP289" i="1"/>
  <c r="FQ289" i="1"/>
  <c r="FR289" i="1"/>
  <c r="FS289" i="1"/>
  <c r="FT289" i="1"/>
  <c r="FU289" i="1"/>
  <c r="FV289" i="1"/>
  <c r="FW289" i="1"/>
  <c r="FX289" i="1"/>
  <c r="FY289" i="1"/>
  <c r="FZ289" i="1"/>
  <c r="GA289" i="1"/>
  <c r="GB289" i="1"/>
  <c r="GC289" i="1"/>
  <c r="GD289" i="1"/>
  <c r="GE289" i="1"/>
  <c r="GF289" i="1"/>
  <c r="GG289" i="1"/>
  <c r="GH289" i="1"/>
  <c r="GI289" i="1"/>
  <c r="GJ289" i="1"/>
  <c r="GK289" i="1"/>
  <c r="GL289" i="1"/>
  <c r="GM289" i="1"/>
  <c r="GN289" i="1"/>
  <c r="GO289" i="1"/>
  <c r="GP289" i="1"/>
  <c r="GQ289" i="1"/>
  <c r="GR289" i="1"/>
  <c r="GS289" i="1"/>
  <c r="GT289" i="1"/>
  <c r="GU289" i="1"/>
  <c r="GV289" i="1"/>
  <c r="GW289" i="1"/>
  <c r="GX289" i="1"/>
  <c r="GY289" i="1"/>
  <c r="GZ289" i="1"/>
  <c r="HA289" i="1"/>
  <c r="HB289" i="1"/>
  <c r="HC289" i="1"/>
  <c r="HD289" i="1"/>
  <c r="HE289" i="1"/>
  <c r="HF289" i="1"/>
  <c r="HG289" i="1"/>
  <c r="HH289" i="1"/>
  <c r="HI289" i="1"/>
  <c r="HJ289" i="1"/>
  <c r="HK289" i="1"/>
  <c r="HL289" i="1"/>
  <c r="HM289" i="1"/>
  <c r="HN289" i="1"/>
  <c r="HO289" i="1"/>
  <c r="HP289" i="1"/>
  <c r="HQ289" i="1"/>
  <c r="HR289" i="1"/>
  <c r="HS289" i="1"/>
  <c r="HT289" i="1"/>
  <c r="HU289" i="1"/>
  <c r="HV289" i="1"/>
  <c r="HW289" i="1"/>
  <c r="HX289" i="1"/>
  <c r="HY289" i="1"/>
  <c r="HZ289" i="1"/>
  <c r="IA289" i="1"/>
  <c r="IB289" i="1"/>
  <c r="IC289" i="1"/>
  <c r="ID289" i="1"/>
  <c r="IE289" i="1"/>
  <c r="IF289" i="1"/>
  <c r="IG289" i="1"/>
  <c r="IH289" i="1"/>
  <c r="FO290" i="1"/>
  <c r="FP290" i="1"/>
  <c r="FQ290" i="1"/>
  <c r="FR290" i="1"/>
  <c r="FS290" i="1"/>
  <c r="FT290" i="1"/>
  <c r="FU290" i="1"/>
  <c r="FV290" i="1"/>
  <c r="FW290" i="1"/>
  <c r="FX290" i="1"/>
  <c r="FY290" i="1"/>
  <c r="FZ290" i="1"/>
  <c r="GA290" i="1"/>
  <c r="GB290" i="1"/>
  <c r="GC290" i="1"/>
  <c r="GD290" i="1"/>
  <c r="GE290" i="1"/>
  <c r="GF290" i="1"/>
  <c r="GG290" i="1"/>
  <c r="GH290" i="1"/>
  <c r="GI290" i="1"/>
  <c r="GJ290" i="1"/>
  <c r="GK290" i="1"/>
  <c r="GL290" i="1"/>
  <c r="GM290" i="1"/>
  <c r="GN290" i="1"/>
  <c r="GO290" i="1"/>
  <c r="GP290" i="1"/>
  <c r="GQ290" i="1"/>
  <c r="GR290" i="1"/>
  <c r="GS290" i="1"/>
  <c r="GT290" i="1"/>
  <c r="GU290" i="1"/>
  <c r="GV290" i="1"/>
  <c r="GW290" i="1"/>
  <c r="GX290" i="1"/>
  <c r="GY290" i="1"/>
  <c r="GZ290" i="1"/>
  <c r="HA290" i="1"/>
  <c r="HB290" i="1"/>
  <c r="HC290" i="1"/>
  <c r="HD290" i="1"/>
  <c r="HE290" i="1"/>
  <c r="HF290" i="1"/>
  <c r="HG290" i="1"/>
  <c r="HH290" i="1"/>
  <c r="HI290" i="1"/>
  <c r="HJ290" i="1"/>
  <c r="HK290" i="1"/>
  <c r="HL290" i="1"/>
  <c r="HM290" i="1"/>
  <c r="HN290" i="1"/>
  <c r="HO290" i="1"/>
  <c r="HP290" i="1"/>
  <c r="HQ290" i="1"/>
  <c r="HR290" i="1"/>
  <c r="HS290" i="1"/>
  <c r="HT290" i="1"/>
  <c r="HU290" i="1"/>
  <c r="HV290" i="1"/>
  <c r="HW290" i="1"/>
  <c r="HX290" i="1"/>
  <c r="HY290" i="1"/>
  <c r="HZ290" i="1"/>
  <c r="IA290" i="1"/>
  <c r="IB290" i="1"/>
  <c r="IC290" i="1"/>
  <c r="ID290" i="1"/>
  <c r="IE290" i="1"/>
  <c r="IF290" i="1"/>
  <c r="IG290" i="1"/>
  <c r="IH290" i="1"/>
  <c r="FO291" i="1"/>
  <c r="FP291" i="1"/>
  <c r="FQ291" i="1"/>
  <c r="FR291" i="1"/>
  <c r="FS291" i="1"/>
  <c r="FT291" i="1"/>
  <c r="FU291" i="1"/>
  <c r="FV291" i="1"/>
  <c r="FW291" i="1"/>
  <c r="FX291" i="1"/>
  <c r="FY291" i="1"/>
  <c r="FZ291" i="1"/>
  <c r="GA291" i="1"/>
  <c r="GB291" i="1"/>
  <c r="GC291" i="1"/>
  <c r="GD291" i="1"/>
  <c r="GE291" i="1"/>
  <c r="GF291" i="1"/>
  <c r="GG291" i="1"/>
  <c r="GH291" i="1"/>
  <c r="GI291" i="1"/>
  <c r="GJ291" i="1"/>
  <c r="GK291" i="1"/>
  <c r="GL291" i="1"/>
  <c r="GM291" i="1"/>
  <c r="GN291" i="1"/>
  <c r="GO291" i="1"/>
  <c r="GP291" i="1"/>
  <c r="GQ291" i="1"/>
  <c r="GR291" i="1"/>
  <c r="GS291" i="1"/>
  <c r="GT291" i="1"/>
  <c r="GU291" i="1"/>
  <c r="GV291" i="1"/>
  <c r="GW291" i="1"/>
  <c r="GX291" i="1"/>
  <c r="GY291" i="1"/>
  <c r="GZ291" i="1"/>
  <c r="HA291" i="1"/>
  <c r="HB291" i="1"/>
  <c r="HC291" i="1"/>
  <c r="HD291" i="1"/>
  <c r="HE291" i="1"/>
  <c r="HF291" i="1"/>
  <c r="HG291" i="1"/>
  <c r="HH291" i="1"/>
  <c r="HI291" i="1"/>
  <c r="HJ291" i="1"/>
  <c r="HK291" i="1"/>
  <c r="HL291" i="1"/>
  <c r="HM291" i="1"/>
  <c r="HN291" i="1"/>
  <c r="HO291" i="1"/>
  <c r="HP291" i="1"/>
  <c r="HQ291" i="1"/>
  <c r="HR291" i="1"/>
  <c r="HS291" i="1"/>
  <c r="HT291" i="1"/>
  <c r="HU291" i="1"/>
  <c r="HV291" i="1"/>
  <c r="HW291" i="1"/>
  <c r="HX291" i="1"/>
  <c r="HY291" i="1"/>
  <c r="HZ291" i="1"/>
  <c r="IA291" i="1"/>
  <c r="IB291" i="1"/>
  <c r="IC291" i="1"/>
  <c r="ID291" i="1"/>
  <c r="IE291" i="1"/>
  <c r="IF291" i="1"/>
  <c r="IG291" i="1"/>
  <c r="IH291" i="1"/>
  <c r="FO292" i="1"/>
  <c r="FP292" i="1"/>
  <c r="FQ292" i="1"/>
  <c r="FR292" i="1"/>
  <c r="FS292" i="1"/>
  <c r="FT292" i="1"/>
  <c r="FU292" i="1"/>
  <c r="FV292" i="1"/>
  <c r="FW292" i="1"/>
  <c r="FX292" i="1"/>
  <c r="FY292" i="1"/>
  <c r="FZ292" i="1"/>
  <c r="GA292" i="1"/>
  <c r="GB292" i="1"/>
  <c r="GC292" i="1"/>
  <c r="GD292" i="1"/>
  <c r="GE292" i="1"/>
  <c r="GF292" i="1"/>
  <c r="GG292" i="1"/>
  <c r="GH292" i="1"/>
  <c r="GI292" i="1"/>
  <c r="GJ292" i="1"/>
  <c r="GK292" i="1"/>
  <c r="GL292" i="1"/>
  <c r="GM292" i="1"/>
  <c r="GN292" i="1"/>
  <c r="GO292" i="1"/>
  <c r="GP292" i="1"/>
  <c r="GQ292" i="1"/>
  <c r="GR292" i="1"/>
  <c r="GS292" i="1"/>
  <c r="GT292" i="1"/>
  <c r="GU292" i="1"/>
  <c r="GV292" i="1"/>
  <c r="GW292" i="1"/>
  <c r="GX292" i="1"/>
  <c r="GY292" i="1"/>
  <c r="GZ292" i="1"/>
  <c r="HA292" i="1"/>
  <c r="HB292" i="1"/>
  <c r="HC292" i="1"/>
  <c r="HD292" i="1"/>
  <c r="HE292" i="1"/>
  <c r="HF292" i="1"/>
  <c r="HG292" i="1"/>
  <c r="HH292" i="1"/>
  <c r="HI292" i="1"/>
  <c r="HJ292" i="1"/>
  <c r="HK292" i="1"/>
  <c r="HL292" i="1"/>
  <c r="HM292" i="1"/>
  <c r="HN292" i="1"/>
  <c r="HO292" i="1"/>
  <c r="HP292" i="1"/>
  <c r="HQ292" i="1"/>
  <c r="HR292" i="1"/>
  <c r="HS292" i="1"/>
  <c r="HT292" i="1"/>
  <c r="HU292" i="1"/>
  <c r="HV292" i="1"/>
  <c r="HW292" i="1"/>
  <c r="HX292" i="1"/>
  <c r="HY292" i="1"/>
  <c r="HZ292" i="1"/>
  <c r="IA292" i="1"/>
  <c r="IB292" i="1"/>
  <c r="IC292" i="1"/>
  <c r="ID292" i="1"/>
  <c r="IE292" i="1"/>
  <c r="IF292" i="1"/>
  <c r="IG292" i="1"/>
  <c r="IH292" i="1"/>
  <c r="FO293" i="1"/>
  <c r="FP293" i="1"/>
  <c r="FQ293" i="1"/>
  <c r="FR293" i="1"/>
  <c r="FS293" i="1"/>
  <c r="FT293" i="1"/>
  <c r="FU293" i="1"/>
  <c r="FV293" i="1"/>
  <c r="FW293" i="1"/>
  <c r="FX293" i="1"/>
  <c r="FY293" i="1"/>
  <c r="FZ293" i="1"/>
  <c r="GA293" i="1"/>
  <c r="GB293" i="1"/>
  <c r="GC293" i="1"/>
  <c r="GD293" i="1"/>
  <c r="GE293" i="1"/>
  <c r="GF293" i="1"/>
  <c r="GG293" i="1"/>
  <c r="GH293" i="1"/>
  <c r="GI293" i="1"/>
  <c r="GJ293" i="1"/>
  <c r="GK293" i="1"/>
  <c r="GL293" i="1"/>
  <c r="GM293" i="1"/>
  <c r="GN293" i="1"/>
  <c r="GO293" i="1"/>
  <c r="GP293" i="1"/>
  <c r="GQ293" i="1"/>
  <c r="GR293" i="1"/>
  <c r="GS293" i="1"/>
  <c r="GT293" i="1"/>
  <c r="GU293" i="1"/>
  <c r="GV293" i="1"/>
  <c r="GW293" i="1"/>
  <c r="GX293" i="1"/>
  <c r="GY293" i="1"/>
  <c r="GZ293" i="1"/>
  <c r="HA293" i="1"/>
  <c r="HB293" i="1"/>
  <c r="HC293" i="1"/>
  <c r="HD293" i="1"/>
  <c r="HE293" i="1"/>
  <c r="HF293" i="1"/>
  <c r="HG293" i="1"/>
  <c r="HH293" i="1"/>
  <c r="HI293" i="1"/>
  <c r="HJ293" i="1"/>
  <c r="HK293" i="1"/>
  <c r="HL293" i="1"/>
  <c r="HM293" i="1"/>
  <c r="HN293" i="1"/>
  <c r="HO293" i="1"/>
  <c r="HP293" i="1"/>
  <c r="HQ293" i="1"/>
  <c r="HR293" i="1"/>
  <c r="HS293" i="1"/>
  <c r="HT293" i="1"/>
  <c r="HU293" i="1"/>
  <c r="HV293" i="1"/>
  <c r="HW293" i="1"/>
  <c r="HX293" i="1"/>
  <c r="HY293" i="1"/>
  <c r="HZ293" i="1"/>
  <c r="IA293" i="1"/>
  <c r="IB293" i="1"/>
  <c r="IC293" i="1"/>
  <c r="ID293" i="1"/>
  <c r="IE293" i="1"/>
  <c r="IF293" i="1"/>
  <c r="IG293" i="1"/>
  <c r="IH293" i="1"/>
  <c r="FO294" i="1"/>
  <c r="FP294" i="1"/>
  <c r="FQ294" i="1"/>
  <c r="FR294" i="1"/>
  <c r="FS294" i="1"/>
  <c r="FT294" i="1"/>
  <c r="FU294" i="1"/>
  <c r="FV294" i="1"/>
  <c r="FW294" i="1"/>
  <c r="FX294" i="1"/>
  <c r="FY294" i="1"/>
  <c r="FZ294" i="1"/>
  <c r="GA294" i="1"/>
  <c r="GB294" i="1"/>
  <c r="GC294" i="1"/>
  <c r="GD294" i="1"/>
  <c r="GE294" i="1"/>
  <c r="GF294" i="1"/>
  <c r="GG294" i="1"/>
  <c r="GH294" i="1"/>
  <c r="GI294" i="1"/>
  <c r="GJ294" i="1"/>
  <c r="GK294" i="1"/>
  <c r="GL294" i="1"/>
  <c r="GM294" i="1"/>
  <c r="GN294" i="1"/>
  <c r="GO294" i="1"/>
  <c r="GP294" i="1"/>
  <c r="GQ294" i="1"/>
  <c r="GR294" i="1"/>
  <c r="GS294" i="1"/>
  <c r="GT294" i="1"/>
  <c r="GU294" i="1"/>
  <c r="GV294" i="1"/>
  <c r="GW294" i="1"/>
  <c r="GX294" i="1"/>
  <c r="GY294" i="1"/>
  <c r="GZ294" i="1"/>
  <c r="HA294" i="1"/>
  <c r="HB294" i="1"/>
  <c r="HC294" i="1"/>
  <c r="HD294" i="1"/>
  <c r="HE294" i="1"/>
  <c r="HF294" i="1"/>
  <c r="HG294" i="1"/>
  <c r="HH294" i="1"/>
  <c r="HI294" i="1"/>
  <c r="HJ294" i="1"/>
  <c r="HK294" i="1"/>
  <c r="HL294" i="1"/>
  <c r="HM294" i="1"/>
  <c r="HN294" i="1"/>
  <c r="HO294" i="1"/>
  <c r="HP294" i="1"/>
  <c r="HQ294" i="1"/>
  <c r="HR294" i="1"/>
  <c r="HS294" i="1"/>
  <c r="HT294" i="1"/>
  <c r="HU294" i="1"/>
  <c r="HV294" i="1"/>
  <c r="HW294" i="1"/>
  <c r="HX294" i="1"/>
  <c r="HY294" i="1"/>
  <c r="HZ294" i="1"/>
  <c r="IA294" i="1"/>
  <c r="IB294" i="1"/>
  <c r="IC294" i="1"/>
  <c r="ID294" i="1"/>
  <c r="IE294" i="1"/>
  <c r="IF294" i="1"/>
  <c r="IG294" i="1"/>
  <c r="IH294" i="1"/>
  <c r="FO295" i="1"/>
  <c r="FP295" i="1"/>
  <c r="FQ295" i="1"/>
  <c r="FR295" i="1"/>
  <c r="FS295" i="1"/>
  <c r="FT295" i="1"/>
  <c r="FU295" i="1"/>
  <c r="FV295" i="1"/>
  <c r="FW295" i="1"/>
  <c r="FX295" i="1"/>
  <c r="FY295" i="1"/>
  <c r="FZ295" i="1"/>
  <c r="GA295" i="1"/>
  <c r="GB295" i="1"/>
  <c r="GC295" i="1"/>
  <c r="GD295" i="1"/>
  <c r="GE295" i="1"/>
  <c r="GF295" i="1"/>
  <c r="GG295" i="1"/>
  <c r="GH295" i="1"/>
  <c r="GI295" i="1"/>
  <c r="GJ295" i="1"/>
  <c r="GK295" i="1"/>
  <c r="GL295" i="1"/>
  <c r="GM295" i="1"/>
  <c r="GN295" i="1"/>
  <c r="GO295" i="1"/>
  <c r="GP295" i="1"/>
  <c r="GQ295" i="1"/>
  <c r="GR295" i="1"/>
  <c r="GS295" i="1"/>
  <c r="GT295" i="1"/>
  <c r="GU295" i="1"/>
  <c r="GV295" i="1"/>
  <c r="GW295" i="1"/>
  <c r="GX295" i="1"/>
  <c r="GY295" i="1"/>
  <c r="GZ295" i="1"/>
  <c r="HA295" i="1"/>
  <c r="HB295" i="1"/>
  <c r="HC295" i="1"/>
  <c r="HD295" i="1"/>
  <c r="HE295" i="1"/>
  <c r="HF295" i="1"/>
  <c r="HG295" i="1"/>
  <c r="HH295" i="1"/>
  <c r="HI295" i="1"/>
  <c r="HJ295" i="1"/>
  <c r="HK295" i="1"/>
  <c r="HL295" i="1"/>
  <c r="HM295" i="1"/>
  <c r="HN295" i="1"/>
  <c r="HO295" i="1"/>
  <c r="HP295" i="1"/>
  <c r="HQ295" i="1"/>
  <c r="HR295" i="1"/>
  <c r="HS295" i="1"/>
  <c r="HT295" i="1"/>
  <c r="HU295" i="1"/>
  <c r="HV295" i="1"/>
  <c r="HW295" i="1"/>
  <c r="HX295" i="1"/>
  <c r="HY295" i="1"/>
  <c r="HZ295" i="1"/>
  <c r="IA295" i="1"/>
  <c r="IB295" i="1"/>
  <c r="IC295" i="1"/>
  <c r="ID295" i="1"/>
  <c r="IE295" i="1"/>
  <c r="IF295" i="1"/>
  <c r="IG295" i="1"/>
  <c r="IH295" i="1"/>
  <c r="FO296" i="1"/>
  <c r="FP296" i="1"/>
  <c r="FQ296" i="1"/>
  <c r="FR296" i="1"/>
  <c r="FS296" i="1"/>
  <c r="FT296" i="1"/>
  <c r="FU296" i="1"/>
  <c r="FV296" i="1"/>
  <c r="FW296" i="1"/>
  <c r="FX296" i="1"/>
  <c r="FY296" i="1"/>
  <c r="FZ296" i="1"/>
  <c r="GA296" i="1"/>
  <c r="GB296" i="1"/>
  <c r="GC296" i="1"/>
  <c r="GD296" i="1"/>
  <c r="GE296" i="1"/>
  <c r="GF296" i="1"/>
  <c r="GG296" i="1"/>
  <c r="GH296" i="1"/>
  <c r="GI296" i="1"/>
  <c r="GJ296" i="1"/>
  <c r="GK296" i="1"/>
  <c r="GL296" i="1"/>
  <c r="GM296" i="1"/>
  <c r="GN296" i="1"/>
  <c r="GO296" i="1"/>
  <c r="GP296" i="1"/>
  <c r="GQ296" i="1"/>
  <c r="GR296" i="1"/>
  <c r="GS296" i="1"/>
  <c r="GT296" i="1"/>
  <c r="GU296" i="1"/>
  <c r="GV296" i="1"/>
  <c r="GW296" i="1"/>
  <c r="GX296" i="1"/>
  <c r="GY296" i="1"/>
  <c r="GZ296" i="1"/>
  <c r="HA296" i="1"/>
  <c r="HB296" i="1"/>
  <c r="HC296" i="1"/>
  <c r="HD296" i="1"/>
  <c r="HE296" i="1"/>
  <c r="HF296" i="1"/>
  <c r="HG296" i="1"/>
  <c r="HH296" i="1"/>
  <c r="HI296" i="1"/>
  <c r="HJ296" i="1"/>
  <c r="HK296" i="1"/>
  <c r="HL296" i="1"/>
  <c r="HM296" i="1"/>
  <c r="HN296" i="1"/>
  <c r="HO296" i="1"/>
  <c r="HP296" i="1"/>
  <c r="HQ296" i="1"/>
  <c r="HR296" i="1"/>
  <c r="HS296" i="1"/>
  <c r="HT296" i="1"/>
  <c r="HU296" i="1"/>
  <c r="HV296" i="1"/>
  <c r="HW296" i="1"/>
  <c r="HX296" i="1"/>
  <c r="HY296" i="1"/>
  <c r="HZ296" i="1"/>
  <c r="IA296" i="1"/>
  <c r="IB296" i="1"/>
  <c r="IC296" i="1"/>
  <c r="ID296" i="1"/>
  <c r="IE296" i="1"/>
  <c r="IF296" i="1"/>
  <c r="IG296" i="1"/>
  <c r="IH296" i="1"/>
  <c r="FO297" i="1"/>
  <c r="FP297" i="1"/>
  <c r="FQ297" i="1"/>
  <c r="FR297" i="1"/>
  <c r="FS297" i="1"/>
  <c r="FT297" i="1"/>
  <c r="FU297" i="1"/>
  <c r="FV297" i="1"/>
  <c r="FW297" i="1"/>
  <c r="FX297" i="1"/>
  <c r="FY297" i="1"/>
  <c r="FZ297" i="1"/>
  <c r="GA297" i="1"/>
  <c r="GB297" i="1"/>
  <c r="GC297" i="1"/>
  <c r="GD297" i="1"/>
  <c r="GE297" i="1"/>
  <c r="GF297" i="1"/>
  <c r="GG297" i="1"/>
  <c r="GH297" i="1"/>
  <c r="GI297" i="1"/>
  <c r="GJ297" i="1"/>
  <c r="GK297" i="1"/>
  <c r="GL297" i="1"/>
  <c r="GM297" i="1"/>
  <c r="GN297" i="1"/>
  <c r="GO297" i="1"/>
  <c r="GP297" i="1"/>
  <c r="GQ297" i="1"/>
  <c r="GR297" i="1"/>
  <c r="GS297" i="1"/>
  <c r="GT297" i="1"/>
  <c r="GU297" i="1"/>
  <c r="GV297" i="1"/>
  <c r="GW297" i="1"/>
  <c r="GX297" i="1"/>
  <c r="GY297" i="1"/>
  <c r="GZ297" i="1"/>
  <c r="HA297" i="1"/>
  <c r="HB297" i="1"/>
  <c r="HC297" i="1"/>
  <c r="HD297" i="1"/>
  <c r="HE297" i="1"/>
  <c r="HF297" i="1"/>
  <c r="HG297" i="1"/>
  <c r="HH297" i="1"/>
  <c r="HI297" i="1"/>
  <c r="HJ297" i="1"/>
  <c r="HK297" i="1"/>
  <c r="HL297" i="1"/>
  <c r="HM297" i="1"/>
  <c r="HN297" i="1"/>
  <c r="HO297" i="1"/>
  <c r="HP297" i="1"/>
  <c r="HQ297" i="1"/>
  <c r="HR297" i="1"/>
  <c r="HS297" i="1"/>
  <c r="HT297" i="1"/>
  <c r="HU297" i="1"/>
  <c r="HV297" i="1"/>
  <c r="HW297" i="1"/>
  <c r="HX297" i="1"/>
  <c r="HY297" i="1"/>
  <c r="HZ297" i="1"/>
  <c r="IA297" i="1"/>
  <c r="IB297" i="1"/>
  <c r="IC297" i="1"/>
  <c r="ID297" i="1"/>
  <c r="IE297" i="1"/>
  <c r="IF297" i="1"/>
  <c r="IG297" i="1"/>
  <c r="IH297" i="1"/>
  <c r="FO298" i="1"/>
  <c r="FP298" i="1"/>
  <c r="FQ298" i="1"/>
  <c r="FR298" i="1"/>
  <c r="FS298" i="1"/>
  <c r="FT298" i="1"/>
  <c r="FU298" i="1"/>
  <c r="FV298" i="1"/>
  <c r="FW298" i="1"/>
  <c r="FX298" i="1"/>
  <c r="FY298" i="1"/>
  <c r="FZ298" i="1"/>
  <c r="GA298" i="1"/>
  <c r="GB298" i="1"/>
  <c r="GC298" i="1"/>
  <c r="GD298" i="1"/>
  <c r="GE298" i="1"/>
  <c r="GF298" i="1"/>
  <c r="GG298" i="1"/>
  <c r="GH298" i="1"/>
  <c r="GI298" i="1"/>
  <c r="GJ298" i="1"/>
  <c r="GK298" i="1"/>
  <c r="GL298" i="1"/>
  <c r="GM298" i="1"/>
  <c r="GN298" i="1"/>
  <c r="GO298" i="1"/>
  <c r="GP298" i="1"/>
  <c r="GQ298" i="1"/>
  <c r="GR298" i="1"/>
  <c r="GS298" i="1"/>
  <c r="GT298" i="1"/>
  <c r="GU298" i="1"/>
  <c r="GV298" i="1"/>
  <c r="GW298" i="1"/>
  <c r="GX298" i="1"/>
  <c r="GY298" i="1"/>
  <c r="GZ298" i="1"/>
  <c r="HA298" i="1"/>
  <c r="HB298" i="1"/>
  <c r="HC298" i="1"/>
  <c r="HD298" i="1"/>
  <c r="HE298" i="1"/>
  <c r="HF298" i="1"/>
  <c r="HG298" i="1"/>
  <c r="HH298" i="1"/>
  <c r="HI298" i="1"/>
  <c r="HJ298" i="1"/>
  <c r="HK298" i="1"/>
  <c r="HL298" i="1"/>
  <c r="HM298" i="1"/>
  <c r="HN298" i="1"/>
  <c r="HO298" i="1"/>
  <c r="HP298" i="1"/>
  <c r="HQ298" i="1"/>
  <c r="HR298" i="1"/>
  <c r="HS298" i="1"/>
  <c r="HT298" i="1"/>
  <c r="HU298" i="1"/>
  <c r="HV298" i="1"/>
  <c r="HW298" i="1"/>
  <c r="HX298" i="1"/>
  <c r="HY298" i="1"/>
  <c r="HZ298" i="1"/>
  <c r="IA298" i="1"/>
  <c r="IB298" i="1"/>
  <c r="IC298" i="1"/>
  <c r="ID298" i="1"/>
  <c r="IE298" i="1"/>
  <c r="IF298" i="1"/>
  <c r="IG298" i="1"/>
  <c r="IH298" i="1"/>
  <c r="FO299" i="1"/>
  <c r="FP299" i="1"/>
  <c r="FQ299" i="1"/>
  <c r="FR299" i="1"/>
  <c r="FS299" i="1"/>
  <c r="FT299" i="1"/>
  <c r="FU299" i="1"/>
  <c r="FV299" i="1"/>
  <c r="FW299" i="1"/>
  <c r="FX299" i="1"/>
  <c r="FY299" i="1"/>
  <c r="FZ299" i="1"/>
  <c r="GA299" i="1"/>
  <c r="GB299" i="1"/>
  <c r="GC299" i="1"/>
  <c r="GD299" i="1"/>
  <c r="GE299" i="1"/>
  <c r="GF299" i="1"/>
  <c r="GG299" i="1"/>
  <c r="GH299" i="1"/>
  <c r="GI299" i="1"/>
  <c r="GJ299" i="1"/>
  <c r="GK299" i="1"/>
  <c r="GL299" i="1"/>
  <c r="GM299" i="1"/>
  <c r="GN299" i="1"/>
  <c r="GO299" i="1"/>
  <c r="GP299" i="1"/>
  <c r="GQ299" i="1"/>
  <c r="GR299" i="1"/>
  <c r="GS299" i="1"/>
  <c r="GT299" i="1"/>
  <c r="GU299" i="1"/>
  <c r="GV299" i="1"/>
  <c r="GW299" i="1"/>
  <c r="GX299" i="1"/>
  <c r="GY299" i="1"/>
  <c r="GZ299" i="1"/>
  <c r="HA299" i="1"/>
  <c r="HB299" i="1"/>
  <c r="HC299" i="1"/>
  <c r="HD299" i="1"/>
  <c r="HE299" i="1"/>
  <c r="HF299" i="1"/>
  <c r="HG299" i="1"/>
  <c r="HH299" i="1"/>
  <c r="HI299" i="1"/>
  <c r="HJ299" i="1"/>
  <c r="HK299" i="1"/>
  <c r="HL299" i="1"/>
  <c r="HM299" i="1"/>
  <c r="HN299" i="1"/>
  <c r="HO299" i="1"/>
  <c r="HP299" i="1"/>
  <c r="HQ299" i="1"/>
  <c r="HR299" i="1"/>
  <c r="HS299" i="1"/>
  <c r="HT299" i="1"/>
  <c r="HU299" i="1"/>
  <c r="HV299" i="1"/>
  <c r="HW299" i="1"/>
  <c r="HX299" i="1"/>
  <c r="HY299" i="1"/>
  <c r="HZ299" i="1"/>
  <c r="IA299" i="1"/>
  <c r="IB299" i="1"/>
  <c r="IC299" i="1"/>
  <c r="ID299" i="1"/>
  <c r="IE299" i="1"/>
  <c r="IF299" i="1"/>
  <c r="IG299" i="1"/>
  <c r="IH299" i="1"/>
  <c r="FO300" i="1"/>
  <c r="FP300" i="1"/>
  <c r="FQ300" i="1"/>
  <c r="FR300" i="1"/>
  <c r="FS300" i="1"/>
  <c r="FT300" i="1"/>
  <c r="FU300" i="1"/>
  <c r="FV300" i="1"/>
  <c r="FW300" i="1"/>
  <c r="FX300" i="1"/>
  <c r="FY300" i="1"/>
  <c r="FZ300" i="1"/>
  <c r="GA300" i="1"/>
  <c r="GB300" i="1"/>
  <c r="GC300" i="1"/>
  <c r="GD300" i="1"/>
  <c r="GE300" i="1"/>
  <c r="GF300" i="1"/>
  <c r="GG300" i="1"/>
  <c r="GH300" i="1"/>
  <c r="GI300" i="1"/>
  <c r="GJ300" i="1"/>
  <c r="GK300" i="1"/>
  <c r="GL300" i="1"/>
  <c r="GM300" i="1"/>
  <c r="GN300" i="1"/>
  <c r="GO300" i="1"/>
  <c r="GP300" i="1"/>
  <c r="GQ300" i="1"/>
  <c r="GR300" i="1"/>
  <c r="GS300" i="1"/>
  <c r="GT300" i="1"/>
  <c r="GU300" i="1"/>
  <c r="GV300" i="1"/>
  <c r="GW300" i="1"/>
  <c r="GX300" i="1"/>
  <c r="GY300" i="1"/>
  <c r="GZ300" i="1"/>
  <c r="HA300" i="1"/>
  <c r="HB300" i="1"/>
  <c r="HC300" i="1"/>
  <c r="HD300" i="1"/>
  <c r="HE300" i="1"/>
  <c r="HF300" i="1"/>
  <c r="HG300" i="1"/>
  <c r="HH300" i="1"/>
  <c r="HI300" i="1"/>
  <c r="HJ300" i="1"/>
  <c r="HK300" i="1"/>
  <c r="HL300" i="1"/>
  <c r="HM300" i="1"/>
  <c r="HN300" i="1"/>
  <c r="HO300" i="1"/>
  <c r="HP300" i="1"/>
  <c r="HQ300" i="1"/>
  <c r="HR300" i="1"/>
  <c r="HS300" i="1"/>
  <c r="HT300" i="1"/>
  <c r="HU300" i="1"/>
  <c r="HV300" i="1"/>
  <c r="HW300" i="1"/>
  <c r="HX300" i="1"/>
  <c r="HY300" i="1"/>
  <c r="HZ300" i="1"/>
  <c r="IA300" i="1"/>
  <c r="IB300" i="1"/>
  <c r="IC300" i="1"/>
  <c r="ID300" i="1"/>
  <c r="IE300" i="1"/>
  <c r="IF300" i="1"/>
  <c r="IG300" i="1"/>
  <c r="IH300" i="1"/>
  <c r="FO301" i="1"/>
  <c r="FP301" i="1"/>
  <c r="FQ301" i="1"/>
  <c r="FR301" i="1"/>
  <c r="FS301" i="1"/>
  <c r="FT301" i="1"/>
  <c r="FU301" i="1"/>
  <c r="FV301" i="1"/>
  <c r="FW301" i="1"/>
  <c r="FX301" i="1"/>
  <c r="FY301" i="1"/>
  <c r="FZ301" i="1"/>
  <c r="GA301" i="1"/>
  <c r="GB301" i="1"/>
  <c r="GC301" i="1"/>
  <c r="GD301" i="1"/>
  <c r="GE301" i="1"/>
  <c r="GF301" i="1"/>
  <c r="GG301" i="1"/>
  <c r="GH301" i="1"/>
  <c r="GI301" i="1"/>
  <c r="GJ301" i="1"/>
  <c r="GK301" i="1"/>
  <c r="GL301" i="1"/>
  <c r="GM301" i="1"/>
  <c r="GN301" i="1"/>
  <c r="GO301" i="1"/>
  <c r="GP301" i="1"/>
  <c r="GQ301" i="1"/>
  <c r="GR301" i="1"/>
  <c r="GS301" i="1"/>
  <c r="GT301" i="1"/>
  <c r="GU301" i="1"/>
  <c r="GV301" i="1"/>
  <c r="GW301" i="1"/>
  <c r="GX301" i="1"/>
  <c r="GY301" i="1"/>
  <c r="GZ301" i="1"/>
  <c r="HA301" i="1"/>
  <c r="HB301" i="1"/>
  <c r="HC301" i="1"/>
  <c r="HD301" i="1"/>
  <c r="HE301" i="1"/>
  <c r="HF301" i="1"/>
  <c r="HG301" i="1"/>
  <c r="HH301" i="1"/>
  <c r="HI301" i="1"/>
  <c r="HJ301" i="1"/>
  <c r="HK301" i="1"/>
  <c r="HL301" i="1"/>
  <c r="HM301" i="1"/>
  <c r="HN301" i="1"/>
  <c r="HO301" i="1"/>
  <c r="HP301" i="1"/>
  <c r="HQ301" i="1"/>
  <c r="HR301" i="1"/>
  <c r="HS301" i="1"/>
  <c r="HT301" i="1"/>
  <c r="HU301" i="1"/>
  <c r="HV301" i="1"/>
  <c r="HW301" i="1"/>
  <c r="HX301" i="1"/>
  <c r="HY301" i="1"/>
  <c r="HZ301" i="1"/>
  <c r="IA301" i="1"/>
  <c r="IB301" i="1"/>
  <c r="IC301" i="1"/>
  <c r="ID301" i="1"/>
  <c r="IE301" i="1"/>
  <c r="IF301" i="1"/>
  <c r="IG301" i="1"/>
  <c r="IH301" i="1"/>
  <c r="FO302" i="1"/>
  <c r="FP302" i="1"/>
  <c r="FQ302" i="1"/>
  <c r="FR302" i="1"/>
  <c r="FS302" i="1"/>
  <c r="FT302" i="1"/>
  <c r="FU302" i="1"/>
  <c r="FV302" i="1"/>
  <c r="FW302" i="1"/>
  <c r="FX302" i="1"/>
  <c r="FY302" i="1"/>
  <c r="FZ302" i="1"/>
  <c r="GA302" i="1"/>
  <c r="GB302" i="1"/>
  <c r="GC302" i="1"/>
  <c r="GD302" i="1"/>
  <c r="GE302" i="1"/>
  <c r="GF302" i="1"/>
  <c r="GG302" i="1"/>
  <c r="GH302" i="1"/>
  <c r="GI302" i="1"/>
  <c r="GJ302" i="1"/>
  <c r="GK302" i="1"/>
  <c r="GL302" i="1"/>
  <c r="GM302" i="1"/>
  <c r="GN302" i="1"/>
  <c r="GO302" i="1"/>
  <c r="GP302" i="1"/>
  <c r="GQ302" i="1"/>
  <c r="GR302" i="1"/>
  <c r="GS302" i="1"/>
  <c r="GT302" i="1"/>
  <c r="GU302" i="1"/>
  <c r="GV302" i="1"/>
  <c r="GW302" i="1"/>
  <c r="GX302" i="1"/>
  <c r="GY302" i="1"/>
  <c r="GZ302" i="1"/>
  <c r="HA302" i="1"/>
  <c r="HB302" i="1"/>
  <c r="HC302" i="1"/>
  <c r="HD302" i="1"/>
  <c r="HE302" i="1"/>
  <c r="HF302" i="1"/>
  <c r="HG302" i="1"/>
  <c r="HH302" i="1"/>
  <c r="HI302" i="1"/>
  <c r="HJ302" i="1"/>
  <c r="HK302" i="1"/>
  <c r="HL302" i="1"/>
  <c r="HM302" i="1"/>
  <c r="HN302" i="1"/>
  <c r="HO302" i="1"/>
  <c r="HP302" i="1"/>
  <c r="HQ302" i="1"/>
  <c r="HR302" i="1"/>
  <c r="HS302" i="1"/>
  <c r="HT302" i="1"/>
  <c r="HU302" i="1"/>
  <c r="HV302" i="1"/>
  <c r="HW302" i="1"/>
  <c r="HX302" i="1"/>
  <c r="HY302" i="1"/>
  <c r="HZ302" i="1"/>
  <c r="IA302" i="1"/>
  <c r="IB302" i="1"/>
  <c r="IC302" i="1"/>
  <c r="ID302" i="1"/>
  <c r="IE302" i="1"/>
  <c r="IF302" i="1"/>
  <c r="IG302" i="1"/>
  <c r="IH302" i="1"/>
  <c r="FO303" i="1"/>
  <c r="FP303" i="1"/>
  <c r="FQ303" i="1"/>
  <c r="FR303" i="1"/>
  <c r="FS303" i="1"/>
  <c r="FT303" i="1"/>
  <c r="FU303" i="1"/>
  <c r="FV303" i="1"/>
  <c r="FW303" i="1"/>
  <c r="FX303" i="1"/>
  <c r="FY303" i="1"/>
  <c r="FZ303" i="1"/>
  <c r="GA303" i="1"/>
  <c r="GB303" i="1"/>
  <c r="GC303" i="1"/>
  <c r="GD303" i="1"/>
  <c r="GE303" i="1"/>
  <c r="GF303" i="1"/>
  <c r="GG303" i="1"/>
  <c r="GH303" i="1"/>
  <c r="GI303" i="1"/>
  <c r="GJ303" i="1"/>
  <c r="GK303" i="1"/>
  <c r="GL303" i="1"/>
  <c r="GM303" i="1"/>
  <c r="GN303" i="1"/>
  <c r="GO303" i="1"/>
  <c r="GP303" i="1"/>
  <c r="GQ303" i="1"/>
  <c r="GR303" i="1"/>
  <c r="GS303" i="1"/>
  <c r="GT303" i="1"/>
  <c r="GU303" i="1"/>
  <c r="GV303" i="1"/>
  <c r="GW303" i="1"/>
  <c r="GX303" i="1"/>
  <c r="GY303" i="1"/>
  <c r="GZ303" i="1"/>
  <c r="HA303" i="1"/>
  <c r="HB303" i="1"/>
  <c r="HC303" i="1"/>
  <c r="HD303" i="1"/>
  <c r="HE303" i="1"/>
  <c r="HF303" i="1"/>
  <c r="HG303" i="1"/>
  <c r="HH303" i="1"/>
  <c r="HI303" i="1"/>
  <c r="HJ303" i="1"/>
  <c r="HK303" i="1"/>
  <c r="HL303" i="1"/>
  <c r="HM303" i="1"/>
  <c r="HN303" i="1"/>
  <c r="HO303" i="1"/>
  <c r="HP303" i="1"/>
  <c r="HQ303" i="1"/>
  <c r="HR303" i="1"/>
  <c r="HS303" i="1"/>
  <c r="HT303" i="1"/>
  <c r="HU303" i="1"/>
  <c r="HV303" i="1"/>
  <c r="HW303" i="1"/>
  <c r="HX303" i="1"/>
  <c r="HY303" i="1"/>
  <c r="HZ303" i="1"/>
  <c r="IA303" i="1"/>
  <c r="IB303" i="1"/>
  <c r="IC303" i="1"/>
  <c r="ID303" i="1"/>
  <c r="IE303" i="1"/>
  <c r="IF303" i="1"/>
  <c r="IG303" i="1"/>
  <c r="IH303" i="1"/>
  <c r="FO304" i="1"/>
  <c r="FP304" i="1"/>
  <c r="FQ304" i="1"/>
  <c r="FR304" i="1"/>
  <c r="FS304" i="1"/>
  <c r="FT304" i="1"/>
  <c r="FU304" i="1"/>
  <c r="FV304" i="1"/>
  <c r="FW304" i="1"/>
  <c r="FX304" i="1"/>
  <c r="FY304" i="1"/>
  <c r="FZ304" i="1"/>
  <c r="GA304" i="1"/>
  <c r="GB304" i="1"/>
  <c r="GC304" i="1"/>
  <c r="GD304" i="1"/>
  <c r="GE304" i="1"/>
  <c r="GF304" i="1"/>
  <c r="GG304" i="1"/>
  <c r="GH304" i="1"/>
  <c r="GI304" i="1"/>
  <c r="GJ304" i="1"/>
  <c r="GK304" i="1"/>
  <c r="GL304" i="1"/>
  <c r="GM304" i="1"/>
  <c r="GN304" i="1"/>
  <c r="GO304" i="1"/>
  <c r="GP304" i="1"/>
  <c r="GQ304" i="1"/>
  <c r="GR304" i="1"/>
  <c r="GS304" i="1"/>
  <c r="GT304" i="1"/>
  <c r="GU304" i="1"/>
  <c r="GV304" i="1"/>
  <c r="GW304" i="1"/>
  <c r="GX304" i="1"/>
  <c r="GY304" i="1"/>
  <c r="GZ304" i="1"/>
  <c r="HA304" i="1"/>
  <c r="HB304" i="1"/>
  <c r="HC304" i="1"/>
  <c r="HD304" i="1"/>
  <c r="HE304" i="1"/>
  <c r="HF304" i="1"/>
  <c r="HG304" i="1"/>
  <c r="HH304" i="1"/>
  <c r="HI304" i="1"/>
  <c r="HJ304" i="1"/>
  <c r="HK304" i="1"/>
  <c r="HL304" i="1"/>
  <c r="HM304" i="1"/>
  <c r="HN304" i="1"/>
  <c r="HO304" i="1"/>
  <c r="HP304" i="1"/>
  <c r="HQ304" i="1"/>
  <c r="HR304" i="1"/>
  <c r="HS304" i="1"/>
  <c r="HT304" i="1"/>
  <c r="HU304" i="1"/>
  <c r="HV304" i="1"/>
  <c r="HW304" i="1"/>
  <c r="HX304" i="1"/>
  <c r="HY304" i="1"/>
  <c r="HZ304" i="1"/>
  <c r="IA304" i="1"/>
  <c r="IB304" i="1"/>
  <c r="IC304" i="1"/>
  <c r="ID304" i="1"/>
  <c r="IE304" i="1"/>
  <c r="IF304" i="1"/>
  <c r="IG304" i="1"/>
  <c r="IH304" i="1"/>
  <c r="FO305" i="1"/>
  <c r="FP305" i="1"/>
  <c r="FQ305" i="1"/>
  <c r="FR305" i="1"/>
  <c r="FS305" i="1"/>
  <c r="FT305" i="1"/>
  <c r="FU305" i="1"/>
  <c r="FV305" i="1"/>
  <c r="FW305" i="1"/>
  <c r="FX305" i="1"/>
  <c r="FY305" i="1"/>
  <c r="FZ305" i="1"/>
  <c r="GA305" i="1"/>
  <c r="GB305" i="1"/>
  <c r="GC305" i="1"/>
  <c r="GD305" i="1"/>
  <c r="GE305" i="1"/>
  <c r="GF305" i="1"/>
  <c r="GG305" i="1"/>
  <c r="GH305" i="1"/>
  <c r="GI305" i="1"/>
  <c r="GJ305" i="1"/>
  <c r="GK305" i="1"/>
  <c r="GL305" i="1"/>
  <c r="GM305" i="1"/>
  <c r="GN305" i="1"/>
  <c r="GO305" i="1"/>
  <c r="GP305" i="1"/>
  <c r="GQ305" i="1"/>
  <c r="GR305" i="1"/>
  <c r="GS305" i="1"/>
  <c r="GT305" i="1"/>
  <c r="GU305" i="1"/>
  <c r="GV305" i="1"/>
  <c r="GW305" i="1"/>
  <c r="GX305" i="1"/>
  <c r="GY305" i="1"/>
  <c r="GZ305" i="1"/>
  <c r="HA305" i="1"/>
  <c r="HB305" i="1"/>
  <c r="HC305" i="1"/>
  <c r="HD305" i="1"/>
  <c r="HE305" i="1"/>
  <c r="HF305" i="1"/>
  <c r="HG305" i="1"/>
  <c r="HH305" i="1"/>
  <c r="HI305" i="1"/>
  <c r="HJ305" i="1"/>
  <c r="HK305" i="1"/>
  <c r="HL305" i="1"/>
  <c r="HM305" i="1"/>
  <c r="HN305" i="1"/>
  <c r="HO305" i="1"/>
  <c r="HP305" i="1"/>
  <c r="HQ305" i="1"/>
  <c r="HR305" i="1"/>
  <c r="HS305" i="1"/>
  <c r="HT305" i="1"/>
  <c r="HU305" i="1"/>
  <c r="HV305" i="1"/>
  <c r="HW305" i="1"/>
  <c r="HX305" i="1"/>
  <c r="HY305" i="1"/>
  <c r="HZ305" i="1"/>
  <c r="IA305" i="1"/>
  <c r="IB305" i="1"/>
  <c r="IC305" i="1"/>
  <c r="ID305" i="1"/>
  <c r="IE305" i="1"/>
  <c r="IF305" i="1"/>
  <c r="IG305" i="1"/>
  <c r="IH305" i="1"/>
  <c r="FO306" i="1"/>
  <c r="FP306" i="1"/>
  <c r="FQ306" i="1"/>
  <c r="FR306" i="1"/>
  <c r="FS306" i="1"/>
  <c r="FT306" i="1"/>
  <c r="FU306" i="1"/>
  <c r="FV306" i="1"/>
  <c r="FW306" i="1"/>
  <c r="FX306" i="1"/>
  <c r="FY306" i="1"/>
  <c r="FZ306" i="1"/>
  <c r="GA306" i="1"/>
  <c r="GB306" i="1"/>
  <c r="GC306" i="1"/>
  <c r="GD306" i="1"/>
  <c r="GE306" i="1"/>
  <c r="GF306" i="1"/>
  <c r="GG306" i="1"/>
  <c r="GH306" i="1"/>
  <c r="GI306" i="1"/>
  <c r="GJ306" i="1"/>
  <c r="GK306" i="1"/>
  <c r="GL306" i="1"/>
  <c r="GM306" i="1"/>
  <c r="GN306" i="1"/>
  <c r="GO306" i="1"/>
  <c r="GP306" i="1"/>
  <c r="GQ306" i="1"/>
  <c r="GR306" i="1"/>
  <c r="GS306" i="1"/>
  <c r="GT306" i="1"/>
  <c r="GU306" i="1"/>
  <c r="GV306" i="1"/>
  <c r="GW306" i="1"/>
  <c r="GX306" i="1"/>
  <c r="GY306" i="1"/>
  <c r="GZ306" i="1"/>
  <c r="HA306" i="1"/>
  <c r="HB306" i="1"/>
  <c r="HC306" i="1"/>
  <c r="HD306" i="1"/>
  <c r="HE306" i="1"/>
  <c r="HF306" i="1"/>
  <c r="HG306" i="1"/>
  <c r="HH306" i="1"/>
  <c r="HI306" i="1"/>
  <c r="HJ306" i="1"/>
  <c r="HK306" i="1"/>
  <c r="HL306" i="1"/>
  <c r="HM306" i="1"/>
  <c r="HN306" i="1"/>
  <c r="HO306" i="1"/>
  <c r="HP306" i="1"/>
  <c r="HQ306" i="1"/>
  <c r="HR306" i="1"/>
  <c r="HS306" i="1"/>
  <c r="HT306" i="1"/>
  <c r="HU306" i="1"/>
  <c r="HV306" i="1"/>
  <c r="HW306" i="1"/>
  <c r="HX306" i="1"/>
  <c r="HY306" i="1"/>
  <c r="HZ306" i="1"/>
  <c r="IA306" i="1"/>
  <c r="IB306" i="1"/>
  <c r="IC306" i="1"/>
  <c r="ID306" i="1"/>
  <c r="IE306" i="1"/>
  <c r="IF306" i="1"/>
  <c r="IG306" i="1"/>
  <c r="IH306" i="1"/>
  <c r="FO307" i="1"/>
  <c r="FP307" i="1"/>
  <c r="FQ307" i="1"/>
  <c r="FR307" i="1"/>
  <c r="FS307" i="1"/>
  <c r="FT307" i="1"/>
  <c r="FU307" i="1"/>
  <c r="FV307" i="1"/>
  <c r="FW307" i="1"/>
  <c r="FX307" i="1"/>
  <c r="FY307" i="1"/>
  <c r="FZ307" i="1"/>
  <c r="GA307" i="1"/>
  <c r="GB307" i="1"/>
  <c r="GC307" i="1"/>
  <c r="GD307" i="1"/>
  <c r="GE307" i="1"/>
  <c r="GF307" i="1"/>
  <c r="GG307" i="1"/>
  <c r="GH307" i="1"/>
  <c r="GI307" i="1"/>
  <c r="GJ307" i="1"/>
  <c r="GK307" i="1"/>
  <c r="GL307" i="1"/>
  <c r="GM307" i="1"/>
  <c r="GN307" i="1"/>
  <c r="GO307" i="1"/>
  <c r="GP307" i="1"/>
  <c r="GQ307" i="1"/>
  <c r="GR307" i="1"/>
  <c r="GS307" i="1"/>
  <c r="GT307" i="1"/>
  <c r="GU307" i="1"/>
  <c r="GV307" i="1"/>
  <c r="GW307" i="1"/>
  <c r="GX307" i="1"/>
  <c r="GY307" i="1"/>
  <c r="GZ307" i="1"/>
  <c r="HA307" i="1"/>
  <c r="HB307" i="1"/>
  <c r="HC307" i="1"/>
  <c r="HD307" i="1"/>
  <c r="HE307" i="1"/>
  <c r="HF307" i="1"/>
  <c r="HG307" i="1"/>
  <c r="HH307" i="1"/>
  <c r="HI307" i="1"/>
  <c r="HJ307" i="1"/>
  <c r="HK307" i="1"/>
  <c r="HL307" i="1"/>
  <c r="HM307" i="1"/>
  <c r="HN307" i="1"/>
  <c r="HO307" i="1"/>
  <c r="HP307" i="1"/>
  <c r="HQ307" i="1"/>
  <c r="HR307" i="1"/>
  <c r="HS307" i="1"/>
  <c r="HT307" i="1"/>
  <c r="HU307" i="1"/>
  <c r="HV307" i="1"/>
  <c r="HW307" i="1"/>
  <c r="HX307" i="1"/>
  <c r="HY307" i="1"/>
  <c r="HZ307" i="1"/>
  <c r="IA307" i="1"/>
  <c r="IB307" i="1"/>
  <c r="IC307" i="1"/>
  <c r="ID307" i="1"/>
  <c r="IE307" i="1"/>
  <c r="IF307" i="1"/>
  <c r="IG307" i="1"/>
  <c r="IH307" i="1"/>
  <c r="FO308" i="1"/>
  <c r="FP308" i="1"/>
  <c r="FQ308" i="1"/>
  <c r="FR308" i="1"/>
  <c r="FS308" i="1"/>
  <c r="FT308" i="1"/>
  <c r="FU308" i="1"/>
  <c r="FV308" i="1"/>
  <c r="FW308" i="1"/>
  <c r="FX308" i="1"/>
  <c r="FY308" i="1"/>
  <c r="FZ308" i="1"/>
  <c r="GA308" i="1"/>
  <c r="GB308" i="1"/>
  <c r="GC308" i="1"/>
  <c r="GD308" i="1"/>
  <c r="GE308" i="1"/>
  <c r="GF308" i="1"/>
  <c r="GG308" i="1"/>
  <c r="GH308" i="1"/>
  <c r="GI308" i="1"/>
  <c r="GJ308" i="1"/>
  <c r="GK308" i="1"/>
  <c r="GL308" i="1"/>
  <c r="GM308" i="1"/>
  <c r="GN308" i="1"/>
  <c r="GO308" i="1"/>
  <c r="GP308" i="1"/>
  <c r="GQ308" i="1"/>
  <c r="GR308" i="1"/>
  <c r="GS308" i="1"/>
  <c r="GT308" i="1"/>
  <c r="GU308" i="1"/>
  <c r="GV308" i="1"/>
  <c r="GW308" i="1"/>
  <c r="GX308" i="1"/>
  <c r="GY308" i="1"/>
  <c r="GZ308" i="1"/>
  <c r="HA308" i="1"/>
  <c r="HB308" i="1"/>
  <c r="HC308" i="1"/>
  <c r="HD308" i="1"/>
  <c r="HE308" i="1"/>
  <c r="HF308" i="1"/>
  <c r="HG308" i="1"/>
  <c r="HH308" i="1"/>
  <c r="HI308" i="1"/>
  <c r="HJ308" i="1"/>
  <c r="HK308" i="1"/>
  <c r="HL308" i="1"/>
  <c r="HM308" i="1"/>
  <c r="HN308" i="1"/>
  <c r="HO308" i="1"/>
  <c r="HP308" i="1"/>
  <c r="HQ308" i="1"/>
  <c r="HR308" i="1"/>
  <c r="HS308" i="1"/>
  <c r="HT308" i="1"/>
  <c r="HU308" i="1"/>
  <c r="HV308" i="1"/>
  <c r="HW308" i="1"/>
  <c r="HX308" i="1"/>
  <c r="HY308" i="1"/>
  <c r="HZ308" i="1"/>
  <c r="IA308" i="1"/>
  <c r="IB308" i="1"/>
  <c r="IC308" i="1"/>
  <c r="ID308" i="1"/>
  <c r="IE308" i="1"/>
  <c r="IF308" i="1"/>
  <c r="IG308" i="1"/>
  <c r="IH308" i="1"/>
  <c r="FO309" i="1"/>
  <c r="FP309" i="1"/>
  <c r="FQ309" i="1"/>
  <c r="FR309" i="1"/>
  <c r="FS309" i="1"/>
  <c r="FT309" i="1"/>
  <c r="FU309" i="1"/>
  <c r="FV309" i="1"/>
  <c r="FW309" i="1"/>
  <c r="FX309" i="1"/>
  <c r="FY309" i="1"/>
  <c r="FZ309" i="1"/>
  <c r="GA309" i="1"/>
  <c r="GB309" i="1"/>
  <c r="GC309" i="1"/>
  <c r="GD309" i="1"/>
  <c r="GE309" i="1"/>
  <c r="GF309" i="1"/>
  <c r="GG309" i="1"/>
  <c r="GH309" i="1"/>
  <c r="GI309" i="1"/>
  <c r="GJ309" i="1"/>
  <c r="GK309" i="1"/>
  <c r="GL309" i="1"/>
  <c r="GM309" i="1"/>
  <c r="GN309" i="1"/>
  <c r="GO309" i="1"/>
  <c r="GP309" i="1"/>
  <c r="GQ309" i="1"/>
  <c r="GR309" i="1"/>
  <c r="GS309" i="1"/>
  <c r="GT309" i="1"/>
  <c r="GU309" i="1"/>
  <c r="GV309" i="1"/>
  <c r="GW309" i="1"/>
  <c r="GX309" i="1"/>
  <c r="GY309" i="1"/>
  <c r="GZ309" i="1"/>
  <c r="HA309" i="1"/>
  <c r="HB309" i="1"/>
  <c r="HC309" i="1"/>
  <c r="HD309" i="1"/>
  <c r="HE309" i="1"/>
  <c r="HF309" i="1"/>
  <c r="HG309" i="1"/>
  <c r="HH309" i="1"/>
  <c r="HI309" i="1"/>
  <c r="HJ309" i="1"/>
  <c r="HK309" i="1"/>
  <c r="HL309" i="1"/>
  <c r="HM309" i="1"/>
  <c r="HN309" i="1"/>
  <c r="HO309" i="1"/>
  <c r="HP309" i="1"/>
  <c r="HQ309" i="1"/>
  <c r="HR309" i="1"/>
  <c r="HS309" i="1"/>
  <c r="HT309" i="1"/>
  <c r="HU309" i="1"/>
  <c r="HV309" i="1"/>
  <c r="HW309" i="1"/>
  <c r="HX309" i="1"/>
  <c r="HY309" i="1"/>
  <c r="HZ309" i="1"/>
  <c r="IA309" i="1"/>
  <c r="IB309" i="1"/>
  <c r="IC309" i="1"/>
  <c r="ID309" i="1"/>
  <c r="IE309" i="1"/>
  <c r="IF309" i="1"/>
  <c r="IG309" i="1"/>
  <c r="IH309" i="1"/>
  <c r="FO310" i="1"/>
  <c r="FP310" i="1"/>
  <c r="FQ310" i="1"/>
  <c r="FR310" i="1"/>
  <c r="FS310" i="1"/>
  <c r="FT310" i="1"/>
  <c r="FU310" i="1"/>
  <c r="FV310" i="1"/>
  <c r="FW310" i="1"/>
  <c r="FX310" i="1"/>
  <c r="FY310" i="1"/>
  <c r="FZ310" i="1"/>
  <c r="GA310" i="1"/>
  <c r="GB310" i="1"/>
  <c r="GC310" i="1"/>
  <c r="GD310" i="1"/>
  <c r="GE310" i="1"/>
  <c r="GF310" i="1"/>
  <c r="GG310" i="1"/>
  <c r="GH310" i="1"/>
  <c r="GI310" i="1"/>
  <c r="GJ310" i="1"/>
  <c r="GK310" i="1"/>
  <c r="GL310" i="1"/>
  <c r="GM310" i="1"/>
  <c r="GN310" i="1"/>
  <c r="GO310" i="1"/>
  <c r="GP310" i="1"/>
  <c r="GQ310" i="1"/>
  <c r="GR310" i="1"/>
  <c r="GS310" i="1"/>
  <c r="GT310" i="1"/>
  <c r="GU310" i="1"/>
  <c r="GV310" i="1"/>
  <c r="GW310" i="1"/>
  <c r="GX310" i="1"/>
  <c r="GY310" i="1"/>
  <c r="GZ310" i="1"/>
  <c r="HA310" i="1"/>
  <c r="HB310" i="1"/>
  <c r="HC310" i="1"/>
  <c r="HD310" i="1"/>
  <c r="HE310" i="1"/>
  <c r="HF310" i="1"/>
  <c r="HG310" i="1"/>
  <c r="HH310" i="1"/>
  <c r="HI310" i="1"/>
  <c r="HJ310" i="1"/>
  <c r="HK310" i="1"/>
  <c r="HL310" i="1"/>
  <c r="HM310" i="1"/>
  <c r="HN310" i="1"/>
  <c r="HO310" i="1"/>
  <c r="HP310" i="1"/>
  <c r="HQ310" i="1"/>
  <c r="HR310" i="1"/>
  <c r="HS310" i="1"/>
  <c r="HT310" i="1"/>
  <c r="HU310" i="1"/>
  <c r="HV310" i="1"/>
  <c r="HW310" i="1"/>
  <c r="HX310" i="1"/>
  <c r="HY310" i="1"/>
  <c r="HZ310" i="1"/>
  <c r="IA310" i="1"/>
  <c r="IB310" i="1"/>
  <c r="IC310" i="1"/>
  <c r="ID310" i="1"/>
  <c r="IE310" i="1"/>
  <c r="IF310" i="1"/>
  <c r="IG310" i="1"/>
  <c r="IH310" i="1"/>
  <c r="FO311" i="1"/>
  <c r="FP311" i="1"/>
  <c r="FQ311" i="1"/>
  <c r="FR311" i="1"/>
  <c r="FS311" i="1"/>
  <c r="FT311" i="1"/>
  <c r="FU311" i="1"/>
  <c r="FV311" i="1"/>
  <c r="FW311" i="1"/>
  <c r="FX311" i="1"/>
  <c r="FY311" i="1"/>
  <c r="FZ311" i="1"/>
  <c r="GA311" i="1"/>
  <c r="GB311" i="1"/>
  <c r="GC311" i="1"/>
  <c r="GD311" i="1"/>
  <c r="GE311" i="1"/>
  <c r="GF311" i="1"/>
  <c r="GG311" i="1"/>
  <c r="GH311" i="1"/>
  <c r="GI311" i="1"/>
  <c r="GJ311" i="1"/>
  <c r="GK311" i="1"/>
  <c r="GL311" i="1"/>
  <c r="GM311" i="1"/>
  <c r="GN311" i="1"/>
  <c r="GO311" i="1"/>
  <c r="GP311" i="1"/>
  <c r="GQ311" i="1"/>
  <c r="GR311" i="1"/>
  <c r="GS311" i="1"/>
  <c r="GT311" i="1"/>
  <c r="GU311" i="1"/>
  <c r="GV311" i="1"/>
  <c r="GW311" i="1"/>
  <c r="GX311" i="1"/>
  <c r="GY311" i="1"/>
  <c r="GZ311" i="1"/>
  <c r="HA311" i="1"/>
  <c r="HB311" i="1"/>
  <c r="HC311" i="1"/>
  <c r="HD311" i="1"/>
  <c r="HE311" i="1"/>
  <c r="HF311" i="1"/>
  <c r="HG311" i="1"/>
  <c r="HH311" i="1"/>
  <c r="HI311" i="1"/>
  <c r="HJ311" i="1"/>
  <c r="HK311" i="1"/>
  <c r="HL311" i="1"/>
  <c r="HM311" i="1"/>
  <c r="HN311" i="1"/>
  <c r="HO311" i="1"/>
  <c r="HP311" i="1"/>
  <c r="HQ311" i="1"/>
  <c r="HR311" i="1"/>
  <c r="HS311" i="1"/>
  <c r="HT311" i="1"/>
  <c r="HU311" i="1"/>
  <c r="HV311" i="1"/>
  <c r="HW311" i="1"/>
  <c r="HX311" i="1"/>
  <c r="HY311" i="1"/>
  <c r="HZ311" i="1"/>
  <c r="IA311" i="1"/>
  <c r="IB311" i="1"/>
  <c r="IC311" i="1"/>
  <c r="ID311" i="1"/>
  <c r="IE311" i="1"/>
  <c r="IF311" i="1"/>
  <c r="IG311" i="1"/>
  <c r="IH311" i="1"/>
  <c r="FO312" i="1"/>
  <c r="FP312" i="1"/>
  <c r="FQ312" i="1"/>
  <c r="FR312" i="1"/>
  <c r="FS312" i="1"/>
  <c r="FT312" i="1"/>
  <c r="FU312" i="1"/>
  <c r="FV312" i="1"/>
  <c r="FW312" i="1"/>
  <c r="FX312" i="1"/>
  <c r="FY312" i="1"/>
  <c r="FZ312" i="1"/>
  <c r="GA312" i="1"/>
  <c r="GB312" i="1"/>
  <c r="GC312" i="1"/>
  <c r="GD312" i="1"/>
  <c r="GE312" i="1"/>
  <c r="GF312" i="1"/>
  <c r="GG312" i="1"/>
  <c r="GH312" i="1"/>
  <c r="GI312" i="1"/>
  <c r="GJ312" i="1"/>
  <c r="GK312" i="1"/>
  <c r="GL312" i="1"/>
  <c r="GM312" i="1"/>
  <c r="GN312" i="1"/>
  <c r="GO312" i="1"/>
  <c r="GP312" i="1"/>
  <c r="GQ312" i="1"/>
  <c r="GR312" i="1"/>
  <c r="GS312" i="1"/>
  <c r="GT312" i="1"/>
  <c r="GU312" i="1"/>
  <c r="GV312" i="1"/>
  <c r="GW312" i="1"/>
  <c r="GX312" i="1"/>
  <c r="GY312" i="1"/>
  <c r="GZ312" i="1"/>
  <c r="HA312" i="1"/>
  <c r="HB312" i="1"/>
  <c r="HC312" i="1"/>
  <c r="HD312" i="1"/>
  <c r="HE312" i="1"/>
  <c r="HF312" i="1"/>
  <c r="HG312" i="1"/>
  <c r="HH312" i="1"/>
  <c r="HI312" i="1"/>
  <c r="HJ312" i="1"/>
  <c r="HK312" i="1"/>
  <c r="HL312" i="1"/>
  <c r="HM312" i="1"/>
  <c r="HN312" i="1"/>
  <c r="HO312" i="1"/>
  <c r="HP312" i="1"/>
  <c r="HQ312" i="1"/>
  <c r="HR312" i="1"/>
  <c r="HS312" i="1"/>
  <c r="HT312" i="1"/>
  <c r="HU312" i="1"/>
  <c r="HV312" i="1"/>
  <c r="HW312" i="1"/>
  <c r="HX312" i="1"/>
  <c r="HY312" i="1"/>
  <c r="HZ312" i="1"/>
  <c r="IA312" i="1"/>
  <c r="IB312" i="1"/>
  <c r="IC312" i="1"/>
  <c r="ID312" i="1"/>
  <c r="IE312" i="1"/>
  <c r="IF312" i="1"/>
  <c r="IG312" i="1"/>
  <c r="IH312" i="1"/>
  <c r="FO313" i="1"/>
  <c r="FP313" i="1"/>
  <c r="FQ313" i="1"/>
  <c r="FR313" i="1"/>
  <c r="FS313" i="1"/>
  <c r="FT313" i="1"/>
  <c r="FU313" i="1"/>
  <c r="FV313" i="1"/>
  <c r="FW313" i="1"/>
  <c r="FX313" i="1"/>
  <c r="FY313" i="1"/>
  <c r="FZ313" i="1"/>
  <c r="GA313" i="1"/>
  <c r="GB313" i="1"/>
  <c r="GC313" i="1"/>
  <c r="GD313" i="1"/>
  <c r="GE313" i="1"/>
  <c r="GF313" i="1"/>
  <c r="GG313" i="1"/>
  <c r="GH313" i="1"/>
  <c r="GI313" i="1"/>
  <c r="GJ313" i="1"/>
  <c r="GK313" i="1"/>
  <c r="GL313" i="1"/>
  <c r="GM313" i="1"/>
  <c r="GN313" i="1"/>
  <c r="GO313" i="1"/>
  <c r="GP313" i="1"/>
  <c r="GQ313" i="1"/>
  <c r="GR313" i="1"/>
  <c r="GS313" i="1"/>
  <c r="GT313" i="1"/>
  <c r="GU313" i="1"/>
  <c r="GV313" i="1"/>
  <c r="GW313" i="1"/>
  <c r="GX313" i="1"/>
  <c r="GY313" i="1"/>
  <c r="GZ313" i="1"/>
  <c r="HA313" i="1"/>
  <c r="HB313" i="1"/>
  <c r="HC313" i="1"/>
  <c r="HD313" i="1"/>
  <c r="HE313" i="1"/>
  <c r="HF313" i="1"/>
  <c r="HG313" i="1"/>
  <c r="HH313" i="1"/>
  <c r="HI313" i="1"/>
  <c r="HJ313" i="1"/>
  <c r="HK313" i="1"/>
  <c r="HL313" i="1"/>
  <c r="HM313" i="1"/>
  <c r="HN313" i="1"/>
  <c r="HO313" i="1"/>
  <c r="HP313" i="1"/>
  <c r="HQ313" i="1"/>
  <c r="HR313" i="1"/>
  <c r="HS313" i="1"/>
  <c r="HT313" i="1"/>
  <c r="HU313" i="1"/>
  <c r="HV313" i="1"/>
  <c r="HW313" i="1"/>
  <c r="HX313" i="1"/>
  <c r="HY313" i="1"/>
  <c r="HZ313" i="1"/>
  <c r="IA313" i="1"/>
  <c r="IB313" i="1"/>
  <c r="IC313" i="1"/>
  <c r="ID313" i="1"/>
  <c r="IE313" i="1"/>
  <c r="IF313" i="1"/>
  <c r="IG313" i="1"/>
  <c r="IH313" i="1"/>
  <c r="FO314" i="1"/>
  <c r="FP314" i="1"/>
  <c r="FQ314" i="1"/>
  <c r="FR314" i="1"/>
  <c r="FS314" i="1"/>
  <c r="FT314" i="1"/>
  <c r="FU314" i="1"/>
  <c r="FV314" i="1"/>
  <c r="FW314" i="1"/>
  <c r="FX314" i="1"/>
  <c r="FY314" i="1"/>
  <c r="FZ314" i="1"/>
  <c r="GA314" i="1"/>
  <c r="GB314" i="1"/>
  <c r="GC314" i="1"/>
  <c r="GD314" i="1"/>
  <c r="GE314" i="1"/>
  <c r="GF314" i="1"/>
  <c r="GG314" i="1"/>
  <c r="GH314" i="1"/>
  <c r="GI314" i="1"/>
  <c r="GJ314" i="1"/>
  <c r="GK314" i="1"/>
  <c r="GL314" i="1"/>
  <c r="GM314" i="1"/>
  <c r="GN314" i="1"/>
  <c r="GO314" i="1"/>
  <c r="GP314" i="1"/>
  <c r="GQ314" i="1"/>
  <c r="GR314" i="1"/>
  <c r="GS314" i="1"/>
  <c r="GT314" i="1"/>
  <c r="GU314" i="1"/>
  <c r="GV314" i="1"/>
  <c r="GW314" i="1"/>
  <c r="GX314" i="1"/>
  <c r="GY314" i="1"/>
  <c r="GZ314" i="1"/>
  <c r="HA314" i="1"/>
  <c r="HB314" i="1"/>
  <c r="HC314" i="1"/>
  <c r="HD314" i="1"/>
  <c r="HE314" i="1"/>
  <c r="HF314" i="1"/>
  <c r="HG314" i="1"/>
  <c r="HH314" i="1"/>
  <c r="HI314" i="1"/>
  <c r="HJ314" i="1"/>
  <c r="HK314" i="1"/>
  <c r="HL314" i="1"/>
  <c r="HM314" i="1"/>
  <c r="HN314" i="1"/>
  <c r="HO314" i="1"/>
  <c r="HP314" i="1"/>
  <c r="HQ314" i="1"/>
  <c r="HR314" i="1"/>
  <c r="HS314" i="1"/>
  <c r="HT314" i="1"/>
  <c r="HU314" i="1"/>
  <c r="HV314" i="1"/>
  <c r="HW314" i="1"/>
  <c r="HX314" i="1"/>
  <c r="HY314" i="1"/>
  <c r="HZ314" i="1"/>
  <c r="IA314" i="1"/>
  <c r="IB314" i="1"/>
  <c r="IC314" i="1"/>
  <c r="ID314" i="1"/>
  <c r="IE314" i="1"/>
  <c r="IF314" i="1"/>
  <c r="IG314" i="1"/>
  <c r="IH314" i="1"/>
  <c r="FO315" i="1"/>
  <c r="FP315" i="1"/>
  <c r="FQ315" i="1"/>
  <c r="FR315" i="1"/>
  <c r="FS315" i="1"/>
  <c r="FT315" i="1"/>
  <c r="FU315" i="1"/>
  <c r="FV315" i="1"/>
  <c r="FW315" i="1"/>
  <c r="FX315" i="1"/>
  <c r="FY315" i="1"/>
  <c r="FZ315" i="1"/>
  <c r="GA315" i="1"/>
  <c r="GB315" i="1"/>
  <c r="GC315" i="1"/>
  <c r="GD315" i="1"/>
  <c r="GE315" i="1"/>
  <c r="GF315" i="1"/>
  <c r="GG315" i="1"/>
  <c r="GH315" i="1"/>
  <c r="GI315" i="1"/>
  <c r="GJ315" i="1"/>
  <c r="GK315" i="1"/>
  <c r="GL315" i="1"/>
  <c r="GM315" i="1"/>
  <c r="GN315" i="1"/>
  <c r="GO315" i="1"/>
  <c r="GP315" i="1"/>
  <c r="GQ315" i="1"/>
  <c r="GR315" i="1"/>
  <c r="GS315" i="1"/>
  <c r="GT315" i="1"/>
  <c r="GU315" i="1"/>
  <c r="GV315" i="1"/>
  <c r="GW315" i="1"/>
  <c r="GX315" i="1"/>
  <c r="GY315" i="1"/>
  <c r="GZ315" i="1"/>
  <c r="HA315" i="1"/>
  <c r="HB315" i="1"/>
  <c r="HC315" i="1"/>
  <c r="HD315" i="1"/>
  <c r="HE315" i="1"/>
  <c r="HF315" i="1"/>
  <c r="HG315" i="1"/>
  <c r="HH315" i="1"/>
  <c r="HI315" i="1"/>
  <c r="HJ315" i="1"/>
  <c r="HK315" i="1"/>
  <c r="HL315" i="1"/>
  <c r="HM315" i="1"/>
  <c r="HN315" i="1"/>
  <c r="HO315" i="1"/>
  <c r="HP315" i="1"/>
  <c r="HQ315" i="1"/>
  <c r="HR315" i="1"/>
  <c r="HS315" i="1"/>
  <c r="HT315" i="1"/>
  <c r="HU315" i="1"/>
  <c r="HV315" i="1"/>
  <c r="HW315" i="1"/>
  <c r="HX315" i="1"/>
  <c r="HY315" i="1"/>
  <c r="HZ315" i="1"/>
  <c r="IA315" i="1"/>
  <c r="IB315" i="1"/>
  <c r="IC315" i="1"/>
  <c r="ID315" i="1"/>
  <c r="IE315" i="1"/>
  <c r="IF315" i="1"/>
  <c r="IG315" i="1"/>
  <c r="IH315" i="1"/>
  <c r="FO316" i="1"/>
  <c r="FP316" i="1"/>
  <c r="FQ316" i="1"/>
  <c r="FR316" i="1"/>
  <c r="FS316" i="1"/>
  <c r="FT316" i="1"/>
  <c r="FU316" i="1"/>
  <c r="FV316" i="1"/>
  <c r="FW316" i="1"/>
  <c r="FX316" i="1"/>
  <c r="FY316" i="1"/>
  <c r="FZ316" i="1"/>
  <c r="GA316" i="1"/>
  <c r="GB316" i="1"/>
  <c r="GC316" i="1"/>
  <c r="GD316" i="1"/>
  <c r="GE316" i="1"/>
  <c r="GF316" i="1"/>
  <c r="GG316" i="1"/>
  <c r="GH316" i="1"/>
  <c r="GI316" i="1"/>
  <c r="GJ316" i="1"/>
  <c r="GK316" i="1"/>
  <c r="GL316" i="1"/>
  <c r="GM316" i="1"/>
  <c r="GN316" i="1"/>
  <c r="GO316" i="1"/>
  <c r="GP316" i="1"/>
  <c r="GQ316" i="1"/>
  <c r="GR316" i="1"/>
  <c r="GS316" i="1"/>
  <c r="GT316" i="1"/>
  <c r="GU316" i="1"/>
  <c r="GV316" i="1"/>
  <c r="GW316" i="1"/>
  <c r="GX316" i="1"/>
  <c r="GY316" i="1"/>
  <c r="GZ316" i="1"/>
  <c r="HA316" i="1"/>
  <c r="HB316" i="1"/>
  <c r="HC316" i="1"/>
  <c r="HD316" i="1"/>
  <c r="HE316" i="1"/>
  <c r="HF316" i="1"/>
  <c r="HG316" i="1"/>
  <c r="HH316" i="1"/>
  <c r="HI316" i="1"/>
  <c r="HJ316" i="1"/>
  <c r="HK316" i="1"/>
  <c r="HL316" i="1"/>
  <c r="HM316" i="1"/>
  <c r="HN316" i="1"/>
  <c r="HO316" i="1"/>
  <c r="HP316" i="1"/>
  <c r="HQ316" i="1"/>
  <c r="HR316" i="1"/>
  <c r="HS316" i="1"/>
  <c r="HT316" i="1"/>
  <c r="HU316" i="1"/>
  <c r="HV316" i="1"/>
  <c r="HW316" i="1"/>
  <c r="HX316" i="1"/>
  <c r="HY316" i="1"/>
  <c r="HZ316" i="1"/>
  <c r="IA316" i="1"/>
  <c r="IB316" i="1"/>
  <c r="IC316" i="1"/>
  <c r="ID316" i="1"/>
  <c r="IE316" i="1"/>
  <c r="IF316" i="1"/>
  <c r="IG316" i="1"/>
  <c r="IH316" i="1"/>
  <c r="FO320" i="1"/>
  <c r="FP320" i="1"/>
  <c r="FQ320" i="1"/>
  <c r="FR320" i="1"/>
  <c r="FS320" i="1"/>
  <c r="FT320" i="1"/>
  <c r="FU320" i="1"/>
  <c r="FV320" i="1"/>
  <c r="FW320" i="1"/>
  <c r="FX320" i="1"/>
  <c r="FY320" i="1"/>
  <c r="FZ320" i="1"/>
  <c r="GA320" i="1"/>
  <c r="GB320" i="1"/>
  <c r="GC320" i="1"/>
  <c r="GD320" i="1"/>
  <c r="GE320" i="1"/>
  <c r="GF320" i="1"/>
  <c r="GG320" i="1"/>
  <c r="GH320" i="1"/>
  <c r="GI320" i="1"/>
  <c r="GJ320" i="1"/>
  <c r="GK320" i="1"/>
  <c r="GL320" i="1"/>
  <c r="GM320" i="1"/>
  <c r="GN320" i="1"/>
  <c r="GO320" i="1"/>
  <c r="GP320" i="1"/>
  <c r="GQ320" i="1"/>
  <c r="GR320" i="1"/>
  <c r="GS320" i="1"/>
  <c r="GT320" i="1"/>
  <c r="GU320" i="1"/>
  <c r="GV320" i="1"/>
  <c r="GW320" i="1"/>
  <c r="GX320" i="1"/>
  <c r="GY320" i="1"/>
  <c r="GZ320" i="1"/>
  <c r="HA320" i="1"/>
  <c r="HB320" i="1"/>
  <c r="HC320" i="1"/>
  <c r="HD320" i="1"/>
  <c r="HE320" i="1"/>
  <c r="HF320" i="1"/>
  <c r="HG320" i="1"/>
  <c r="HH320" i="1"/>
  <c r="HI320" i="1"/>
  <c r="HJ320" i="1"/>
  <c r="HK320" i="1"/>
  <c r="HL320" i="1"/>
  <c r="HM320" i="1"/>
  <c r="HN320" i="1"/>
  <c r="HO320" i="1"/>
  <c r="HP320" i="1"/>
  <c r="HQ320" i="1"/>
  <c r="HR320" i="1"/>
  <c r="HS320" i="1"/>
  <c r="HT320" i="1"/>
  <c r="HU320" i="1"/>
  <c r="HV320" i="1"/>
  <c r="HW320" i="1"/>
  <c r="HX320" i="1"/>
  <c r="HY320" i="1"/>
  <c r="HZ320" i="1"/>
  <c r="IA320" i="1"/>
  <c r="IB320" i="1"/>
  <c r="IC320" i="1"/>
  <c r="ID320" i="1"/>
  <c r="IE320" i="1"/>
  <c r="IF320" i="1"/>
  <c r="IG320" i="1"/>
  <c r="IH320" i="1"/>
  <c r="FO325" i="1"/>
  <c r="FP325" i="1"/>
  <c r="FQ325" i="1"/>
  <c r="FR325" i="1"/>
  <c r="FS325" i="1"/>
  <c r="FT325" i="1"/>
  <c r="FU325" i="1"/>
  <c r="FV325" i="1"/>
  <c r="FW325" i="1"/>
  <c r="FX325" i="1"/>
  <c r="FY325" i="1"/>
  <c r="FZ325" i="1"/>
  <c r="GA325" i="1"/>
  <c r="GB325" i="1"/>
  <c r="GC325" i="1"/>
  <c r="GD325" i="1"/>
  <c r="GE325" i="1"/>
  <c r="GF325" i="1"/>
  <c r="GG325" i="1"/>
  <c r="GH325" i="1"/>
  <c r="GI325" i="1"/>
  <c r="GJ325" i="1"/>
  <c r="GK325" i="1"/>
  <c r="GL325" i="1"/>
  <c r="GM325" i="1"/>
  <c r="GN325" i="1"/>
  <c r="GO325" i="1"/>
  <c r="GP325" i="1"/>
  <c r="GQ325" i="1"/>
  <c r="GR325" i="1"/>
  <c r="GS325" i="1"/>
  <c r="GT325" i="1"/>
  <c r="GU325" i="1"/>
  <c r="GV325" i="1"/>
  <c r="GW325" i="1"/>
  <c r="GX325" i="1"/>
  <c r="GY325" i="1"/>
  <c r="GZ325" i="1"/>
  <c r="HA325" i="1"/>
  <c r="HB325" i="1"/>
  <c r="HC325" i="1"/>
  <c r="HD325" i="1"/>
  <c r="HE325" i="1"/>
  <c r="HF325" i="1"/>
  <c r="HG325" i="1"/>
  <c r="HH325" i="1"/>
  <c r="HI325" i="1"/>
  <c r="HJ325" i="1"/>
  <c r="HK325" i="1"/>
  <c r="HL325" i="1"/>
  <c r="HM325" i="1"/>
  <c r="HN325" i="1"/>
  <c r="HO325" i="1"/>
  <c r="HP325" i="1"/>
  <c r="HQ325" i="1"/>
  <c r="HR325" i="1"/>
  <c r="HS325" i="1"/>
  <c r="HT325" i="1"/>
  <c r="HU325" i="1"/>
  <c r="HV325" i="1"/>
  <c r="HW325" i="1"/>
  <c r="HX325" i="1"/>
  <c r="HY325" i="1"/>
  <c r="HZ325" i="1"/>
  <c r="IA325" i="1"/>
  <c r="IB325" i="1"/>
  <c r="IC325" i="1"/>
  <c r="ID325" i="1"/>
  <c r="IE325" i="1"/>
  <c r="IF325" i="1"/>
  <c r="IG325" i="1"/>
  <c r="IH325" i="1"/>
  <c r="FO326" i="1"/>
  <c r="FP326" i="1"/>
  <c r="FQ326" i="1"/>
  <c r="FR326" i="1"/>
  <c r="FS326" i="1"/>
  <c r="FT326" i="1"/>
  <c r="FU326" i="1"/>
  <c r="FV326" i="1"/>
  <c r="FW326" i="1"/>
  <c r="FX326" i="1"/>
  <c r="FY326" i="1"/>
  <c r="FZ326" i="1"/>
  <c r="GA326" i="1"/>
  <c r="GB326" i="1"/>
  <c r="GC326" i="1"/>
  <c r="GD326" i="1"/>
  <c r="GE326" i="1"/>
  <c r="GF326" i="1"/>
  <c r="GG326" i="1"/>
  <c r="GH326" i="1"/>
  <c r="GI326" i="1"/>
  <c r="GJ326" i="1"/>
  <c r="GK326" i="1"/>
  <c r="GL326" i="1"/>
  <c r="GM326" i="1"/>
  <c r="GN326" i="1"/>
  <c r="GO326" i="1"/>
  <c r="GP326" i="1"/>
  <c r="GQ326" i="1"/>
  <c r="GR326" i="1"/>
  <c r="GS326" i="1"/>
  <c r="GT326" i="1"/>
  <c r="GU326" i="1"/>
  <c r="GV326" i="1"/>
  <c r="GW326" i="1"/>
  <c r="GX326" i="1"/>
  <c r="GY326" i="1"/>
  <c r="GZ326" i="1"/>
  <c r="HA326" i="1"/>
  <c r="HB326" i="1"/>
  <c r="HC326" i="1"/>
  <c r="HD326" i="1"/>
  <c r="HE326" i="1"/>
  <c r="HF326" i="1"/>
  <c r="HG326" i="1"/>
  <c r="HH326" i="1"/>
  <c r="HI326" i="1"/>
  <c r="HJ326" i="1"/>
  <c r="HK326" i="1"/>
  <c r="HL326" i="1"/>
  <c r="HM326" i="1"/>
  <c r="HN326" i="1"/>
  <c r="HO326" i="1"/>
  <c r="HP326" i="1"/>
  <c r="HQ326" i="1"/>
  <c r="HR326" i="1"/>
  <c r="HS326" i="1"/>
  <c r="HT326" i="1"/>
  <c r="HU326" i="1"/>
  <c r="HV326" i="1"/>
  <c r="HW326" i="1"/>
  <c r="HX326" i="1"/>
  <c r="HY326" i="1"/>
  <c r="HZ326" i="1"/>
  <c r="IA326" i="1"/>
  <c r="IB326" i="1"/>
  <c r="IC326" i="1"/>
  <c r="ID326" i="1"/>
  <c r="IE326" i="1"/>
  <c r="IF326" i="1"/>
  <c r="IG326" i="1"/>
  <c r="IH326" i="1"/>
  <c r="FO327" i="1"/>
  <c r="FP327" i="1"/>
  <c r="FQ327" i="1"/>
  <c r="FR327" i="1"/>
  <c r="FS327" i="1"/>
  <c r="FT327" i="1"/>
  <c r="FU327" i="1"/>
  <c r="FV327" i="1"/>
  <c r="FW327" i="1"/>
  <c r="FX327" i="1"/>
  <c r="FY327" i="1"/>
  <c r="FZ327" i="1"/>
  <c r="GA327" i="1"/>
  <c r="GB327" i="1"/>
  <c r="GC327" i="1"/>
  <c r="GD327" i="1"/>
  <c r="GE327" i="1"/>
  <c r="GF327" i="1"/>
  <c r="GG327" i="1"/>
  <c r="GH327" i="1"/>
  <c r="GI327" i="1"/>
  <c r="GJ327" i="1"/>
  <c r="GK327" i="1"/>
  <c r="GL327" i="1"/>
  <c r="GM327" i="1"/>
  <c r="GN327" i="1"/>
  <c r="GO327" i="1"/>
  <c r="GP327" i="1"/>
  <c r="GQ327" i="1"/>
  <c r="GR327" i="1"/>
  <c r="GS327" i="1"/>
  <c r="GT327" i="1"/>
  <c r="GU327" i="1"/>
  <c r="GV327" i="1"/>
  <c r="GW327" i="1"/>
  <c r="GX327" i="1"/>
  <c r="GY327" i="1"/>
  <c r="GZ327" i="1"/>
  <c r="HA327" i="1"/>
  <c r="HB327" i="1"/>
  <c r="HC327" i="1"/>
  <c r="HD327" i="1"/>
  <c r="HE327" i="1"/>
  <c r="HF327" i="1"/>
  <c r="HG327" i="1"/>
  <c r="HH327" i="1"/>
  <c r="HI327" i="1"/>
  <c r="HJ327" i="1"/>
  <c r="HK327" i="1"/>
  <c r="HL327" i="1"/>
  <c r="HM327" i="1"/>
  <c r="HN327" i="1"/>
  <c r="HO327" i="1"/>
  <c r="HP327" i="1"/>
  <c r="HQ327" i="1"/>
  <c r="HR327" i="1"/>
  <c r="HS327" i="1"/>
  <c r="HT327" i="1"/>
  <c r="HU327" i="1"/>
  <c r="HV327" i="1"/>
  <c r="HW327" i="1"/>
  <c r="HX327" i="1"/>
  <c r="HY327" i="1"/>
  <c r="HZ327" i="1"/>
  <c r="IA327" i="1"/>
  <c r="IB327" i="1"/>
  <c r="IC327" i="1"/>
  <c r="ID327" i="1"/>
  <c r="IE327" i="1"/>
  <c r="IF327" i="1"/>
  <c r="IG327" i="1"/>
  <c r="IH327" i="1"/>
  <c r="FO328" i="1"/>
  <c r="FP328" i="1"/>
  <c r="FQ328" i="1"/>
  <c r="FR328" i="1"/>
  <c r="FS328" i="1"/>
  <c r="FT328" i="1"/>
  <c r="FU328" i="1"/>
  <c r="FV328" i="1"/>
  <c r="FW328" i="1"/>
  <c r="FX328" i="1"/>
  <c r="FY328" i="1"/>
  <c r="FZ328" i="1"/>
  <c r="GA328" i="1"/>
  <c r="GB328" i="1"/>
  <c r="GC328" i="1"/>
  <c r="GD328" i="1"/>
  <c r="GE328" i="1"/>
  <c r="GF328" i="1"/>
  <c r="GG328" i="1"/>
  <c r="GH328" i="1"/>
  <c r="GI328" i="1"/>
  <c r="GJ328" i="1"/>
  <c r="GK328" i="1"/>
  <c r="GL328" i="1"/>
  <c r="GM328" i="1"/>
  <c r="GN328" i="1"/>
  <c r="GO328" i="1"/>
  <c r="GP328" i="1"/>
  <c r="GQ328" i="1"/>
  <c r="GR328" i="1"/>
  <c r="GS328" i="1"/>
  <c r="GT328" i="1"/>
  <c r="GU328" i="1"/>
  <c r="GV328" i="1"/>
  <c r="GW328" i="1"/>
  <c r="GX328" i="1"/>
  <c r="GY328" i="1"/>
  <c r="GZ328" i="1"/>
  <c r="HA328" i="1"/>
  <c r="HB328" i="1"/>
  <c r="HC328" i="1"/>
  <c r="HD328" i="1"/>
  <c r="HE328" i="1"/>
  <c r="HF328" i="1"/>
  <c r="HG328" i="1"/>
  <c r="HH328" i="1"/>
  <c r="HI328" i="1"/>
  <c r="HJ328" i="1"/>
  <c r="HK328" i="1"/>
  <c r="HL328" i="1"/>
  <c r="HM328" i="1"/>
  <c r="HN328" i="1"/>
  <c r="HO328" i="1"/>
  <c r="HP328" i="1"/>
  <c r="HQ328" i="1"/>
  <c r="HR328" i="1"/>
  <c r="HS328" i="1"/>
  <c r="HT328" i="1"/>
  <c r="HU328" i="1"/>
  <c r="HV328" i="1"/>
  <c r="HW328" i="1"/>
  <c r="HX328" i="1"/>
  <c r="HY328" i="1"/>
  <c r="HZ328" i="1"/>
  <c r="IA328" i="1"/>
  <c r="IB328" i="1"/>
  <c r="IC328" i="1"/>
  <c r="ID328" i="1"/>
  <c r="IE328" i="1"/>
  <c r="IF328" i="1"/>
  <c r="IG328" i="1"/>
  <c r="IH328" i="1"/>
  <c r="FO329" i="1"/>
  <c r="FP329" i="1"/>
  <c r="FQ329" i="1"/>
  <c r="FR329" i="1"/>
  <c r="FS329" i="1"/>
  <c r="FT329" i="1"/>
  <c r="FU329" i="1"/>
  <c r="FV329" i="1"/>
  <c r="FW329" i="1"/>
  <c r="FX329" i="1"/>
  <c r="FY329" i="1"/>
  <c r="FZ329" i="1"/>
  <c r="GA329" i="1"/>
  <c r="GB329" i="1"/>
  <c r="GC329" i="1"/>
  <c r="GD329" i="1"/>
  <c r="GE329" i="1"/>
  <c r="GF329" i="1"/>
  <c r="GG329" i="1"/>
  <c r="GH329" i="1"/>
  <c r="GI329" i="1"/>
  <c r="GJ329" i="1"/>
  <c r="GK329" i="1"/>
  <c r="GL329" i="1"/>
  <c r="GM329" i="1"/>
  <c r="GN329" i="1"/>
  <c r="GO329" i="1"/>
  <c r="GP329" i="1"/>
  <c r="GQ329" i="1"/>
  <c r="GR329" i="1"/>
  <c r="GS329" i="1"/>
  <c r="GT329" i="1"/>
  <c r="GU329" i="1"/>
  <c r="GV329" i="1"/>
  <c r="GW329" i="1"/>
  <c r="GX329" i="1"/>
  <c r="GY329" i="1"/>
  <c r="GZ329" i="1"/>
  <c r="HA329" i="1"/>
  <c r="HB329" i="1"/>
  <c r="HC329" i="1"/>
  <c r="HD329" i="1"/>
  <c r="HE329" i="1"/>
  <c r="HF329" i="1"/>
  <c r="HG329" i="1"/>
  <c r="HH329" i="1"/>
  <c r="HI329" i="1"/>
  <c r="HJ329" i="1"/>
  <c r="HK329" i="1"/>
  <c r="HL329" i="1"/>
  <c r="HM329" i="1"/>
  <c r="HN329" i="1"/>
  <c r="HO329" i="1"/>
  <c r="HP329" i="1"/>
  <c r="HQ329" i="1"/>
  <c r="HR329" i="1"/>
  <c r="HS329" i="1"/>
  <c r="HT329" i="1"/>
  <c r="HU329" i="1"/>
  <c r="HV329" i="1"/>
  <c r="HW329" i="1"/>
  <c r="HX329" i="1"/>
  <c r="HY329" i="1"/>
  <c r="HZ329" i="1"/>
  <c r="IA329" i="1"/>
  <c r="IB329" i="1"/>
  <c r="IC329" i="1"/>
  <c r="ID329" i="1"/>
  <c r="IE329" i="1"/>
  <c r="IF329" i="1"/>
  <c r="IG329" i="1"/>
  <c r="IH329" i="1"/>
  <c r="FO330" i="1"/>
  <c r="FP330" i="1"/>
  <c r="FQ330" i="1"/>
  <c r="FR330" i="1"/>
  <c r="FS330" i="1"/>
  <c r="FT330" i="1"/>
  <c r="FU330" i="1"/>
  <c r="FV330" i="1"/>
  <c r="FW330" i="1"/>
  <c r="FX330" i="1"/>
  <c r="FY330" i="1"/>
  <c r="FZ330" i="1"/>
  <c r="GA330" i="1"/>
  <c r="GB330" i="1"/>
  <c r="GC330" i="1"/>
  <c r="GD330" i="1"/>
  <c r="GE330" i="1"/>
  <c r="GF330" i="1"/>
  <c r="GG330" i="1"/>
  <c r="GH330" i="1"/>
  <c r="GI330" i="1"/>
  <c r="GJ330" i="1"/>
  <c r="GK330" i="1"/>
  <c r="GL330" i="1"/>
  <c r="GM330" i="1"/>
  <c r="GN330" i="1"/>
  <c r="GO330" i="1"/>
  <c r="GP330" i="1"/>
  <c r="GQ330" i="1"/>
  <c r="GR330" i="1"/>
  <c r="GS330" i="1"/>
  <c r="GT330" i="1"/>
  <c r="GU330" i="1"/>
  <c r="GV330" i="1"/>
  <c r="GW330" i="1"/>
  <c r="GX330" i="1"/>
  <c r="GY330" i="1"/>
  <c r="GZ330" i="1"/>
  <c r="HA330" i="1"/>
  <c r="HB330" i="1"/>
  <c r="HC330" i="1"/>
  <c r="HD330" i="1"/>
  <c r="HE330" i="1"/>
  <c r="HF330" i="1"/>
  <c r="HG330" i="1"/>
  <c r="HH330" i="1"/>
  <c r="HI330" i="1"/>
  <c r="HJ330" i="1"/>
  <c r="HK330" i="1"/>
  <c r="HL330" i="1"/>
  <c r="HM330" i="1"/>
  <c r="HN330" i="1"/>
  <c r="HO330" i="1"/>
  <c r="HP330" i="1"/>
  <c r="HQ330" i="1"/>
  <c r="HR330" i="1"/>
  <c r="HS330" i="1"/>
  <c r="HT330" i="1"/>
  <c r="HU330" i="1"/>
  <c r="HV330" i="1"/>
  <c r="HW330" i="1"/>
  <c r="HX330" i="1"/>
  <c r="HY330" i="1"/>
  <c r="HZ330" i="1"/>
  <c r="IA330" i="1"/>
  <c r="IB330" i="1"/>
  <c r="IC330" i="1"/>
  <c r="ID330" i="1"/>
  <c r="IE330" i="1"/>
  <c r="IF330" i="1"/>
  <c r="IG330" i="1"/>
  <c r="IH330" i="1"/>
  <c r="FO331" i="1"/>
  <c r="FP331" i="1"/>
  <c r="FQ331" i="1"/>
  <c r="FR331" i="1"/>
  <c r="FS331" i="1"/>
  <c r="FT331" i="1"/>
  <c r="FU331" i="1"/>
  <c r="FV331" i="1"/>
  <c r="FW331" i="1"/>
  <c r="FX331" i="1"/>
  <c r="FY331" i="1"/>
  <c r="FZ331" i="1"/>
  <c r="GA331" i="1"/>
  <c r="GB331" i="1"/>
  <c r="GC331" i="1"/>
  <c r="GD331" i="1"/>
  <c r="GE331" i="1"/>
  <c r="GF331" i="1"/>
  <c r="GG331" i="1"/>
  <c r="GH331" i="1"/>
  <c r="GI331" i="1"/>
  <c r="GJ331" i="1"/>
  <c r="GK331" i="1"/>
  <c r="GL331" i="1"/>
  <c r="GM331" i="1"/>
  <c r="GN331" i="1"/>
  <c r="GO331" i="1"/>
  <c r="GP331" i="1"/>
  <c r="GQ331" i="1"/>
  <c r="GR331" i="1"/>
  <c r="GS331" i="1"/>
  <c r="GT331" i="1"/>
  <c r="GU331" i="1"/>
  <c r="GV331" i="1"/>
  <c r="GW331" i="1"/>
  <c r="GX331" i="1"/>
  <c r="GY331" i="1"/>
  <c r="GZ331" i="1"/>
  <c r="HA331" i="1"/>
  <c r="HB331" i="1"/>
  <c r="HC331" i="1"/>
  <c r="HD331" i="1"/>
  <c r="HE331" i="1"/>
  <c r="HF331" i="1"/>
  <c r="HG331" i="1"/>
  <c r="HH331" i="1"/>
  <c r="HI331" i="1"/>
  <c r="HJ331" i="1"/>
  <c r="HK331" i="1"/>
  <c r="HL331" i="1"/>
  <c r="HM331" i="1"/>
  <c r="HN331" i="1"/>
  <c r="HO331" i="1"/>
  <c r="HP331" i="1"/>
  <c r="HQ331" i="1"/>
  <c r="HR331" i="1"/>
  <c r="HS331" i="1"/>
  <c r="HT331" i="1"/>
  <c r="HU331" i="1"/>
  <c r="HV331" i="1"/>
  <c r="HW331" i="1"/>
  <c r="HX331" i="1"/>
  <c r="HY331" i="1"/>
  <c r="HZ331" i="1"/>
  <c r="IA331" i="1"/>
  <c r="IB331" i="1"/>
  <c r="IC331" i="1"/>
  <c r="ID331" i="1"/>
  <c r="IE331" i="1"/>
  <c r="IF331" i="1"/>
  <c r="IG331" i="1"/>
  <c r="IH331" i="1"/>
  <c r="FO332" i="1"/>
  <c r="FP332" i="1"/>
  <c r="FQ332" i="1"/>
  <c r="FR332" i="1"/>
  <c r="FS332" i="1"/>
  <c r="FT332" i="1"/>
  <c r="FU332" i="1"/>
  <c r="FV332" i="1"/>
  <c r="FW332" i="1"/>
  <c r="FX332" i="1"/>
  <c r="FY332" i="1"/>
  <c r="FZ332" i="1"/>
  <c r="GA332" i="1"/>
  <c r="GB332" i="1"/>
  <c r="GC332" i="1"/>
  <c r="GD332" i="1"/>
  <c r="GE332" i="1"/>
  <c r="GF332" i="1"/>
  <c r="GG332" i="1"/>
  <c r="GH332" i="1"/>
  <c r="GI332" i="1"/>
  <c r="GJ332" i="1"/>
  <c r="GK332" i="1"/>
  <c r="GL332" i="1"/>
  <c r="GM332" i="1"/>
  <c r="GN332" i="1"/>
  <c r="GO332" i="1"/>
  <c r="GP332" i="1"/>
  <c r="GQ332" i="1"/>
  <c r="GR332" i="1"/>
  <c r="GS332" i="1"/>
  <c r="GT332" i="1"/>
  <c r="GU332" i="1"/>
  <c r="GV332" i="1"/>
  <c r="GW332" i="1"/>
  <c r="GX332" i="1"/>
  <c r="GY332" i="1"/>
  <c r="GZ332" i="1"/>
  <c r="HA332" i="1"/>
  <c r="HB332" i="1"/>
  <c r="HC332" i="1"/>
  <c r="HD332" i="1"/>
  <c r="HE332" i="1"/>
  <c r="HF332" i="1"/>
  <c r="HG332" i="1"/>
  <c r="HH332" i="1"/>
  <c r="HI332" i="1"/>
  <c r="HJ332" i="1"/>
  <c r="HK332" i="1"/>
  <c r="HL332" i="1"/>
  <c r="HM332" i="1"/>
  <c r="HN332" i="1"/>
  <c r="HO332" i="1"/>
  <c r="HP332" i="1"/>
  <c r="HQ332" i="1"/>
  <c r="HR332" i="1"/>
  <c r="HS332" i="1"/>
  <c r="HT332" i="1"/>
  <c r="HU332" i="1"/>
  <c r="HV332" i="1"/>
  <c r="HW332" i="1"/>
  <c r="HX332" i="1"/>
  <c r="HY332" i="1"/>
  <c r="HZ332" i="1"/>
  <c r="IA332" i="1"/>
  <c r="IB332" i="1"/>
  <c r="IC332" i="1"/>
  <c r="ID332" i="1"/>
  <c r="IE332" i="1"/>
  <c r="IF332" i="1"/>
  <c r="IG332" i="1"/>
  <c r="IH332" i="1"/>
  <c r="FO333" i="1"/>
  <c r="FP333" i="1"/>
  <c r="FQ333" i="1"/>
  <c r="FR333" i="1"/>
  <c r="FS333" i="1"/>
  <c r="FT333" i="1"/>
  <c r="FU333" i="1"/>
  <c r="FV333" i="1"/>
  <c r="FW333" i="1"/>
  <c r="FX333" i="1"/>
  <c r="FY333" i="1"/>
  <c r="FZ333" i="1"/>
  <c r="GA333" i="1"/>
  <c r="GB333" i="1"/>
  <c r="GC333" i="1"/>
  <c r="GD333" i="1"/>
  <c r="GE333" i="1"/>
  <c r="GF333" i="1"/>
  <c r="GG333" i="1"/>
  <c r="GH333" i="1"/>
  <c r="GI333" i="1"/>
  <c r="GJ333" i="1"/>
  <c r="GK333" i="1"/>
  <c r="GL333" i="1"/>
  <c r="GM333" i="1"/>
  <c r="GN333" i="1"/>
  <c r="GO333" i="1"/>
  <c r="GP333" i="1"/>
  <c r="GQ333" i="1"/>
  <c r="GR333" i="1"/>
  <c r="GS333" i="1"/>
  <c r="GT333" i="1"/>
  <c r="GU333" i="1"/>
  <c r="GV333" i="1"/>
  <c r="GW333" i="1"/>
  <c r="GX333" i="1"/>
  <c r="GY333" i="1"/>
  <c r="GZ333" i="1"/>
  <c r="HA333" i="1"/>
  <c r="HB333" i="1"/>
  <c r="HC333" i="1"/>
  <c r="HD333" i="1"/>
  <c r="HE333" i="1"/>
  <c r="HF333" i="1"/>
  <c r="HG333" i="1"/>
  <c r="HH333" i="1"/>
  <c r="HI333" i="1"/>
  <c r="HJ333" i="1"/>
  <c r="HK333" i="1"/>
  <c r="HL333" i="1"/>
  <c r="HM333" i="1"/>
  <c r="HN333" i="1"/>
  <c r="HO333" i="1"/>
  <c r="HP333" i="1"/>
  <c r="HQ333" i="1"/>
  <c r="HR333" i="1"/>
  <c r="HS333" i="1"/>
  <c r="HT333" i="1"/>
  <c r="HU333" i="1"/>
  <c r="HV333" i="1"/>
  <c r="HW333" i="1"/>
  <c r="HX333" i="1"/>
  <c r="HY333" i="1"/>
  <c r="HZ333" i="1"/>
  <c r="IA333" i="1"/>
  <c r="IB333" i="1"/>
  <c r="IC333" i="1"/>
  <c r="ID333" i="1"/>
  <c r="IE333" i="1"/>
  <c r="IF333" i="1"/>
  <c r="IG333" i="1"/>
  <c r="IH333" i="1"/>
  <c r="FO334" i="1"/>
  <c r="FP334" i="1"/>
  <c r="FQ334" i="1"/>
  <c r="FR334" i="1"/>
  <c r="FS334" i="1"/>
  <c r="FT334" i="1"/>
  <c r="FU334" i="1"/>
  <c r="FV334" i="1"/>
  <c r="FW334" i="1"/>
  <c r="FX334" i="1"/>
  <c r="FY334" i="1"/>
  <c r="FZ334" i="1"/>
  <c r="GA334" i="1"/>
  <c r="GB334" i="1"/>
  <c r="GC334" i="1"/>
  <c r="GD334" i="1"/>
  <c r="GE334" i="1"/>
  <c r="GF334" i="1"/>
  <c r="GG334" i="1"/>
  <c r="GH334" i="1"/>
  <c r="GI334" i="1"/>
  <c r="GJ334" i="1"/>
  <c r="GK334" i="1"/>
  <c r="GL334" i="1"/>
  <c r="GM334" i="1"/>
  <c r="GN334" i="1"/>
  <c r="GO334" i="1"/>
  <c r="GP334" i="1"/>
  <c r="GQ334" i="1"/>
  <c r="GR334" i="1"/>
  <c r="GS334" i="1"/>
  <c r="GT334" i="1"/>
  <c r="GU334" i="1"/>
  <c r="GV334" i="1"/>
  <c r="GW334" i="1"/>
  <c r="GX334" i="1"/>
  <c r="GY334" i="1"/>
  <c r="GZ334" i="1"/>
  <c r="HA334" i="1"/>
  <c r="HB334" i="1"/>
  <c r="HC334" i="1"/>
  <c r="HD334" i="1"/>
  <c r="HE334" i="1"/>
  <c r="HF334" i="1"/>
  <c r="HG334" i="1"/>
  <c r="HH334" i="1"/>
  <c r="HI334" i="1"/>
  <c r="HJ334" i="1"/>
  <c r="HK334" i="1"/>
  <c r="HL334" i="1"/>
  <c r="HM334" i="1"/>
  <c r="HN334" i="1"/>
  <c r="HO334" i="1"/>
  <c r="HP334" i="1"/>
  <c r="HQ334" i="1"/>
  <c r="HR334" i="1"/>
  <c r="HS334" i="1"/>
  <c r="HT334" i="1"/>
  <c r="HU334" i="1"/>
  <c r="HV334" i="1"/>
  <c r="HW334" i="1"/>
  <c r="HX334" i="1"/>
  <c r="HY334" i="1"/>
  <c r="HZ334" i="1"/>
  <c r="IA334" i="1"/>
  <c r="IB334" i="1"/>
  <c r="IC334" i="1"/>
  <c r="ID334" i="1"/>
  <c r="IE334" i="1"/>
  <c r="IF334" i="1"/>
  <c r="IG334" i="1"/>
  <c r="IH334" i="1"/>
  <c r="FO335" i="1"/>
  <c r="FP335" i="1"/>
  <c r="FQ335" i="1"/>
  <c r="FR335" i="1"/>
  <c r="FS335" i="1"/>
  <c r="FT335" i="1"/>
  <c r="FU335" i="1"/>
  <c r="FV335" i="1"/>
  <c r="FW335" i="1"/>
  <c r="FX335" i="1"/>
  <c r="FY335" i="1"/>
  <c r="FZ335" i="1"/>
  <c r="GA335" i="1"/>
  <c r="GB335" i="1"/>
  <c r="GC335" i="1"/>
  <c r="GD335" i="1"/>
  <c r="GE335" i="1"/>
  <c r="GF335" i="1"/>
  <c r="GG335" i="1"/>
  <c r="GH335" i="1"/>
  <c r="GI335" i="1"/>
  <c r="GJ335" i="1"/>
  <c r="GK335" i="1"/>
  <c r="GL335" i="1"/>
  <c r="GM335" i="1"/>
  <c r="GN335" i="1"/>
  <c r="GO335" i="1"/>
  <c r="GP335" i="1"/>
  <c r="GQ335" i="1"/>
  <c r="GR335" i="1"/>
  <c r="GS335" i="1"/>
  <c r="GT335" i="1"/>
  <c r="GU335" i="1"/>
  <c r="GV335" i="1"/>
  <c r="GW335" i="1"/>
  <c r="GX335" i="1"/>
  <c r="GY335" i="1"/>
  <c r="GZ335" i="1"/>
  <c r="HA335" i="1"/>
  <c r="HB335" i="1"/>
  <c r="HC335" i="1"/>
  <c r="HD335" i="1"/>
  <c r="HE335" i="1"/>
  <c r="HF335" i="1"/>
  <c r="HG335" i="1"/>
  <c r="HH335" i="1"/>
  <c r="HI335" i="1"/>
  <c r="HJ335" i="1"/>
  <c r="HK335" i="1"/>
  <c r="HL335" i="1"/>
  <c r="HM335" i="1"/>
  <c r="HN335" i="1"/>
  <c r="HO335" i="1"/>
  <c r="HP335" i="1"/>
  <c r="HQ335" i="1"/>
  <c r="HR335" i="1"/>
  <c r="HS335" i="1"/>
  <c r="HT335" i="1"/>
  <c r="HU335" i="1"/>
  <c r="HV335" i="1"/>
  <c r="HW335" i="1"/>
  <c r="HX335" i="1"/>
  <c r="HY335" i="1"/>
  <c r="HZ335" i="1"/>
  <c r="IA335" i="1"/>
  <c r="IB335" i="1"/>
  <c r="IC335" i="1"/>
  <c r="ID335" i="1"/>
  <c r="IE335" i="1"/>
  <c r="IF335" i="1"/>
  <c r="IG335" i="1"/>
  <c r="IH335" i="1"/>
  <c r="FO336" i="1"/>
  <c r="FP336" i="1"/>
  <c r="FQ336" i="1"/>
  <c r="FR336" i="1"/>
  <c r="FS336" i="1"/>
  <c r="FT336" i="1"/>
  <c r="FU336" i="1"/>
  <c r="FV336" i="1"/>
  <c r="FW336" i="1"/>
  <c r="FX336" i="1"/>
  <c r="FY336" i="1"/>
  <c r="FZ336" i="1"/>
  <c r="GA336" i="1"/>
  <c r="GB336" i="1"/>
  <c r="GC336" i="1"/>
  <c r="GD336" i="1"/>
  <c r="GE336" i="1"/>
  <c r="GF336" i="1"/>
  <c r="GG336" i="1"/>
  <c r="GH336" i="1"/>
  <c r="GI336" i="1"/>
  <c r="GJ336" i="1"/>
  <c r="GK336" i="1"/>
  <c r="GL336" i="1"/>
  <c r="GM336" i="1"/>
  <c r="GN336" i="1"/>
  <c r="GO336" i="1"/>
  <c r="GP336" i="1"/>
  <c r="GQ336" i="1"/>
  <c r="GR336" i="1"/>
  <c r="GS336" i="1"/>
  <c r="GT336" i="1"/>
  <c r="GU336" i="1"/>
  <c r="GV336" i="1"/>
  <c r="GW336" i="1"/>
  <c r="GX336" i="1"/>
  <c r="GY336" i="1"/>
  <c r="GZ336" i="1"/>
  <c r="HA336" i="1"/>
  <c r="HB336" i="1"/>
  <c r="HC336" i="1"/>
  <c r="HD336" i="1"/>
  <c r="HE336" i="1"/>
  <c r="HF336" i="1"/>
  <c r="HG336" i="1"/>
  <c r="HH336" i="1"/>
  <c r="HI336" i="1"/>
  <c r="HJ336" i="1"/>
  <c r="HK336" i="1"/>
  <c r="HL336" i="1"/>
  <c r="HM336" i="1"/>
  <c r="HN336" i="1"/>
  <c r="HO336" i="1"/>
  <c r="HP336" i="1"/>
  <c r="HQ336" i="1"/>
  <c r="HR336" i="1"/>
  <c r="HS336" i="1"/>
  <c r="HT336" i="1"/>
  <c r="HU336" i="1"/>
  <c r="HV336" i="1"/>
  <c r="HW336" i="1"/>
  <c r="HX336" i="1"/>
  <c r="HY336" i="1"/>
  <c r="HZ336" i="1"/>
  <c r="IA336" i="1"/>
  <c r="IB336" i="1"/>
  <c r="IC336" i="1"/>
  <c r="ID336" i="1"/>
  <c r="IE336" i="1"/>
  <c r="IF336" i="1"/>
  <c r="IG336" i="1"/>
  <c r="IH336" i="1"/>
  <c r="FO337" i="1"/>
  <c r="FP337" i="1"/>
  <c r="FQ337" i="1"/>
  <c r="FR337" i="1"/>
  <c r="FS337" i="1"/>
  <c r="FT337" i="1"/>
  <c r="FU337" i="1"/>
  <c r="FV337" i="1"/>
  <c r="FW337" i="1"/>
  <c r="FX337" i="1"/>
  <c r="FY337" i="1"/>
  <c r="FZ337" i="1"/>
  <c r="GA337" i="1"/>
  <c r="GB337" i="1"/>
  <c r="GC337" i="1"/>
  <c r="GD337" i="1"/>
  <c r="GE337" i="1"/>
  <c r="GF337" i="1"/>
  <c r="GG337" i="1"/>
  <c r="GH337" i="1"/>
  <c r="GI337" i="1"/>
  <c r="GJ337" i="1"/>
  <c r="GK337" i="1"/>
  <c r="GL337" i="1"/>
  <c r="GM337" i="1"/>
  <c r="GN337" i="1"/>
  <c r="GO337" i="1"/>
  <c r="GP337" i="1"/>
  <c r="GQ337" i="1"/>
  <c r="GR337" i="1"/>
  <c r="GS337" i="1"/>
  <c r="GT337" i="1"/>
  <c r="GU337" i="1"/>
  <c r="GV337" i="1"/>
  <c r="GW337" i="1"/>
  <c r="GX337" i="1"/>
  <c r="GY337" i="1"/>
  <c r="GZ337" i="1"/>
  <c r="HA337" i="1"/>
  <c r="HB337" i="1"/>
  <c r="HC337" i="1"/>
  <c r="HD337" i="1"/>
  <c r="HE337" i="1"/>
  <c r="HF337" i="1"/>
  <c r="HG337" i="1"/>
  <c r="HH337" i="1"/>
  <c r="HI337" i="1"/>
  <c r="HJ337" i="1"/>
  <c r="HK337" i="1"/>
  <c r="HL337" i="1"/>
  <c r="HM337" i="1"/>
  <c r="HN337" i="1"/>
  <c r="HO337" i="1"/>
  <c r="HP337" i="1"/>
  <c r="HQ337" i="1"/>
  <c r="HR337" i="1"/>
  <c r="HS337" i="1"/>
  <c r="HT337" i="1"/>
  <c r="HU337" i="1"/>
  <c r="HV337" i="1"/>
  <c r="HW337" i="1"/>
  <c r="HX337" i="1"/>
  <c r="HY337" i="1"/>
  <c r="HZ337" i="1"/>
  <c r="IA337" i="1"/>
  <c r="IB337" i="1"/>
  <c r="IC337" i="1"/>
  <c r="ID337" i="1"/>
  <c r="IE337" i="1"/>
  <c r="IF337" i="1"/>
  <c r="IG337" i="1"/>
  <c r="IH337" i="1"/>
  <c r="FO338" i="1"/>
  <c r="FP338" i="1"/>
  <c r="FQ338" i="1"/>
  <c r="FR338" i="1"/>
  <c r="FS338" i="1"/>
  <c r="FT338" i="1"/>
  <c r="FU338" i="1"/>
  <c r="FV338" i="1"/>
  <c r="FW338" i="1"/>
  <c r="FX338" i="1"/>
  <c r="FY338" i="1"/>
  <c r="FZ338" i="1"/>
  <c r="GA338" i="1"/>
  <c r="GB338" i="1"/>
  <c r="GC338" i="1"/>
  <c r="GD338" i="1"/>
  <c r="GE338" i="1"/>
  <c r="GF338" i="1"/>
  <c r="GG338" i="1"/>
  <c r="GH338" i="1"/>
  <c r="GI338" i="1"/>
  <c r="GJ338" i="1"/>
  <c r="GK338" i="1"/>
  <c r="GL338" i="1"/>
  <c r="GM338" i="1"/>
  <c r="GN338" i="1"/>
  <c r="GO338" i="1"/>
  <c r="GP338" i="1"/>
  <c r="GQ338" i="1"/>
  <c r="GR338" i="1"/>
  <c r="GS338" i="1"/>
  <c r="GT338" i="1"/>
  <c r="GU338" i="1"/>
  <c r="GV338" i="1"/>
  <c r="GW338" i="1"/>
  <c r="GX338" i="1"/>
  <c r="GY338" i="1"/>
  <c r="GZ338" i="1"/>
  <c r="HA338" i="1"/>
  <c r="HB338" i="1"/>
  <c r="HC338" i="1"/>
  <c r="HD338" i="1"/>
  <c r="HE338" i="1"/>
  <c r="HF338" i="1"/>
  <c r="HG338" i="1"/>
  <c r="HH338" i="1"/>
  <c r="HI338" i="1"/>
  <c r="HJ338" i="1"/>
  <c r="HK338" i="1"/>
  <c r="HL338" i="1"/>
  <c r="HM338" i="1"/>
  <c r="HN338" i="1"/>
  <c r="HO338" i="1"/>
  <c r="HP338" i="1"/>
  <c r="HQ338" i="1"/>
  <c r="HR338" i="1"/>
  <c r="HS338" i="1"/>
  <c r="HT338" i="1"/>
  <c r="HU338" i="1"/>
  <c r="HV338" i="1"/>
  <c r="HW338" i="1"/>
  <c r="HX338" i="1"/>
  <c r="HY338" i="1"/>
  <c r="HZ338" i="1"/>
  <c r="IA338" i="1"/>
  <c r="IB338" i="1"/>
  <c r="IC338" i="1"/>
  <c r="ID338" i="1"/>
  <c r="IE338" i="1"/>
  <c r="IF338" i="1"/>
  <c r="IG338" i="1"/>
  <c r="IH338" i="1"/>
  <c r="FO339" i="1"/>
  <c r="FP339" i="1"/>
  <c r="FQ339" i="1"/>
  <c r="FR339" i="1"/>
  <c r="FS339" i="1"/>
  <c r="FT339" i="1"/>
  <c r="FU339" i="1"/>
  <c r="FV339" i="1"/>
  <c r="FW339" i="1"/>
  <c r="FX339" i="1"/>
  <c r="FY339" i="1"/>
  <c r="FZ339" i="1"/>
  <c r="GA339" i="1"/>
  <c r="GB339" i="1"/>
  <c r="GC339" i="1"/>
  <c r="GD339" i="1"/>
  <c r="GE339" i="1"/>
  <c r="GF339" i="1"/>
  <c r="GG339" i="1"/>
  <c r="GH339" i="1"/>
  <c r="GI339" i="1"/>
  <c r="GJ339" i="1"/>
  <c r="GK339" i="1"/>
  <c r="GL339" i="1"/>
  <c r="GM339" i="1"/>
  <c r="GN339" i="1"/>
  <c r="GO339" i="1"/>
  <c r="GP339" i="1"/>
  <c r="GQ339" i="1"/>
  <c r="GR339" i="1"/>
  <c r="GS339" i="1"/>
  <c r="GT339" i="1"/>
  <c r="GU339" i="1"/>
  <c r="GV339" i="1"/>
  <c r="GW339" i="1"/>
  <c r="GX339" i="1"/>
  <c r="GY339" i="1"/>
  <c r="GZ339" i="1"/>
  <c r="HA339" i="1"/>
  <c r="HB339" i="1"/>
  <c r="HC339" i="1"/>
  <c r="HD339" i="1"/>
  <c r="HE339" i="1"/>
  <c r="HF339" i="1"/>
  <c r="HG339" i="1"/>
  <c r="HH339" i="1"/>
  <c r="HI339" i="1"/>
  <c r="HJ339" i="1"/>
  <c r="HK339" i="1"/>
  <c r="HL339" i="1"/>
  <c r="HM339" i="1"/>
  <c r="HN339" i="1"/>
  <c r="HO339" i="1"/>
  <c r="HP339" i="1"/>
  <c r="HQ339" i="1"/>
  <c r="HR339" i="1"/>
  <c r="HS339" i="1"/>
  <c r="HT339" i="1"/>
  <c r="HU339" i="1"/>
  <c r="HV339" i="1"/>
  <c r="HW339" i="1"/>
  <c r="HX339" i="1"/>
  <c r="HY339" i="1"/>
  <c r="HZ339" i="1"/>
  <c r="IA339" i="1"/>
  <c r="IB339" i="1"/>
  <c r="IC339" i="1"/>
  <c r="ID339" i="1"/>
  <c r="IE339" i="1"/>
  <c r="IF339" i="1"/>
  <c r="IG339" i="1"/>
  <c r="IH339" i="1"/>
  <c r="FO340" i="1"/>
  <c r="FP340" i="1"/>
  <c r="FQ340" i="1"/>
  <c r="FR340" i="1"/>
  <c r="FS340" i="1"/>
  <c r="FT340" i="1"/>
  <c r="FU340" i="1"/>
  <c r="FV340" i="1"/>
  <c r="FW340" i="1"/>
  <c r="FX340" i="1"/>
  <c r="FY340" i="1"/>
  <c r="FZ340" i="1"/>
  <c r="GA340" i="1"/>
  <c r="GB340" i="1"/>
  <c r="GC340" i="1"/>
  <c r="GD340" i="1"/>
  <c r="GE340" i="1"/>
  <c r="GF340" i="1"/>
  <c r="GG340" i="1"/>
  <c r="GH340" i="1"/>
  <c r="GI340" i="1"/>
  <c r="GJ340" i="1"/>
  <c r="GK340" i="1"/>
  <c r="GL340" i="1"/>
  <c r="GM340" i="1"/>
  <c r="GN340" i="1"/>
  <c r="GO340" i="1"/>
  <c r="GP340" i="1"/>
  <c r="GQ340" i="1"/>
  <c r="GR340" i="1"/>
  <c r="GS340" i="1"/>
  <c r="GT340" i="1"/>
  <c r="GU340" i="1"/>
  <c r="GV340" i="1"/>
  <c r="GW340" i="1"/>
  <c r="GX340" i="1"/>
  <c r="GY340" i="1"/>
  <c r="GZ340" i="1"/>
  <c r="HA340" i="1"/>
  <c r="HB340" i="1"/>
  <c r="HC340" i="1"/>
  <c r="HD340" i="1"/>
  <c r="HE340" i="1"/>
  <c r="HF340" i="1"/>
  <c r="HG340" i="1"/>
  <c r="HH340" i="1"/>
  <c r="HI340" i="1"/>
  <c r="HJ340" i="1"/>
  <c r="HK340" i="1"/>
  <c r="HL340" i="1"/>
  <c r="HM340" i="1"/>
  <c r="HN340" i="1"/>
  <c r="HO340" i="1"/>
  <c r="HP340" i="1"/>
  <c r="HQ340" i="1"/>
  <c r="HR340" i="1"/>
  <c r="HS340" i="1"/>
  <c r="HT340" i="1"/>
  <c r="HU340" i="1"/>
  <c r="HV340" i="1"/>
  <c r="HW340" i="1"/>
  <c r="HX340" i="1"/>
  <c r="HY340" i="1"/>
  <c r="HZ340" i="1"/>
  <c r="IA340" i="1"/>
  <c r="IB340" i="1"/>
  <c r="IC340" i="1"/>
  <c r="ID340" i="1"/>
  <c r="IE340" i="1"/>
  <c r="IF340" i="1"/>
  <c r="IG340" i="1"/>
  <c r="IH340" i="1"/>
  <c r="FO341" i="1"/>
  <c r="FP341" i="1"/>
  <c r="FQ341" i="1"/>
  <c r="FR341" i="1"/>
  <c r="FS341" i="1"/>
  <c r="FT341" i="1"/>
  <c r="FU341" i="1"/>
  <c r="FV341" i="1"/>
  <c r="FW341" i="1"/>
  <c r="FX341" i="1"/>
  <c r="FY341" i="1"/>
  <c r="FZ341" i="1"/>
  <c r="GA341" i="1"/>
  <c r="GB341" i="1"/>
  <c r="GC341" i="1"/>
  <c r="GD341" i="1"/>
  <c r="GE341" i="1"/>
  <c r="GF341" i="1"/>
  <c r="GG341" i="1"/>
  <c r="GH341" i="1"/>
  <c r="GI341" i="1"/>
  <c r="GJ341" i="1"/>
  <c r="GK341" i="1"/>
  <c r="GL341" i="1"/>
  <c r="GM341" i="1"/>
  <c r="GN341" i="1"/>
  <c r="GO341" i="1"/>
  <c r="GP341" i="1"/>
  <c r="GQ341" i="1"/>
  <c r="GR341" i="1"/>
  <c r="GS341" i="1"/>
  <c r="GT341" i="1"/>
  <c r="GU341" i="1"/>
  <c r="GV341" i="1"/>
  <c r="GW341" i="1"/>
  <c r="GX341" i="1"/>
  <c r="GY341" i="1"/>
  <c r="GZ341" i="1"/>
  <c r="HA341" i="1"/>
  <c r="HB341" i="1"/>
  <c r="HC341" i="1"/>
  <c r="HD341" i="1"/>
  <c r="HE341" i="1"/>
  <c r="HF341" i="1"/>
  <c r="HG341" i="1"/>
  <c r="HH341" i="1"/>
  <c r="HI341" i="1"/>
  <c r="HJ341" i="1"/>
  <c r="HK341" i="1"/>
  <c r="HL341" i="1"/>
  <c r="HM341" i="1"/>
  <c r="HN341" i="1"/>
  <c r="HO341" i="1"/>
  <c r="HP341" i="1"/>
  <c r="HQ341" i="1"/>
  <c r="HR341" i="1"/>
  <c r="HS341" i="1"/>
  <c r="HT341" i="1"/>
  <c r="HU341" i="1"/>
  <c r="HV341" i="1"/>
  <c r="HW341" i="1"/>
  <c r="HX341" i="1"/>
  <c r="HY341" i="1"/>
  <c r="HZ341" i="1"/>
  <c r="IA341" i="1"/>
  <c r="IB341" i="1"/>
  <c r="IC341" i="1"/>
  <c r="ID341" i="1"/>
  <c r="IE341" i="1"/>
  <c r="IF341" i="1"/>
  <c r="IG341" i="1"/>
  <c r="IH341" i="1"/>
  <c r="FO342" i="1"/>
  <c r="FP342" i="1"/>
  <c r="FQ342" i="1"/>
  <c r="FR342" i="1"/>
  <c r="FS342" i="1"/>
  <c r="FT342" i="1"/>
  <c r="FU342" i="1"/>
  <c r="FV342" i="1"/>
  <c r="FW342" i="1"/>
  <c r="FX342" i="1"/>
  <c r="FY342" i="1"/>
  <c r="FZ342" i="1"/>
  <c r="GA342" i="1"/>
  <c r="GB342" i="1"/>
  <c r="GC342" i="1"/>
  <c r="GD342" i="1"/>
  <c r="GE342" i="1"/>
  <c r="GF342" i="1"/>
  <c r="GG342" i="1"/>
  <c r="GH342" i="1"/>
  <c r="GI342" i="1"/>
  <c r="GJ342" i="1"/>
  <c r="GK342" i="1"/>
  <c r="GL342" i="1"/>
  <c r="GM342" i="1"/>
  <c r="GN342" i="1"/>
  <c r="GO342" i="1"/>
  <c r="GP342" i="1"/>
  <c r="GQ342" i="1"/>
  <c r="GR342" i="1"/>
  <c r="GS342" i="1"/>
  <c r="GT342" i="1"/>
  <c r="GU342" i="1"/>
  <c r="GV342" i="1"/>
  <c r="GW342" i="1"/>
  <c r="GX342" i="1"/>
  <c r="GY342" i="1"/>
  <c r="GZ342" i="1"/>
  <c r="HA342" i="1"/>
  <c r="HB342" i="1"/>
  <c r="HC342" i="1"/>
  <c r="HD342" i="1"/>
  <c r="HE342" i="1"/>
  <c r="HF342" i="1"/>
  <c r="HG342" i="1"/>
  <c r="HH342" i="1"/>
  <c r="HI342" i="1"/>
  <c r="HJ342" i="1"/>
  <c r="HK342" i="1"/>
  <c r="HL342" i="1"/>
  <c r="HM342" i="1"/>
  <c r="HN342" i="1"/>
  <c r="HO342" i="1"/>
  <c r="HP342" i="1"/>
  <c r="HQ342" i="1"/>
  <c r="HR342" i="1"/>
  <c r="HS342" i="1"/>
  <c r="HT342" i="1"/>
  <c r="HU342" i="1"/>
  <c r="HV342" i="1"/>
  <c r="HW342" i="1"/>
  <c r="HX342" i="1"/>
  <c r="HY342" i="1"/>
  <c r="HZ342" i="1"/>
  <c r="IA342" i="1"/>
  <c r="IB342" i="1"/>
  <c r="IC342" i="1"/>
  <c r="ID342" i="1"/>
  <c r="IE342" i="1"/>
  <c r="IF342" i="1"/>
  <c r="IG342" i="1"/>
  <c r="IH342" i="1"/>
  <c r="FO343" i="1"/>
  <c r="FP343" i="1"/>
  <c r="FQ343" i="1"/>
  <c r="FR343" i="1"/>
  <c r="FS343" i="1"/>
  <c r="FT343" i="1"/>
  <c r="FU343" i="1"/>
  <c r="FV343" i="1"/>
  <c r="FW343" i="1"/>
  <c r="FX343" i="1"/>
  <c r="FY343" i="1"/>
  <c r="FZ343" i="1"/>
  <c r="GA343" i="1"/>
  <c r="GB343" i="1"/>
  <c r="GC343" i="1"/>
  <c r="GD343" i="1"/>
  <c r="GE343" i="1"/>
  <c r="GF343" i="1"/>
  <c r="GG343" i="1"/>
  <c r="GH343" i="1"/>
  <c r="GI343" i="1"/>
  <c r="GJ343" i="1"/>
  <c r="GK343" i="1"/>
  <c r="GL343" i="1"/>
  <c r="GM343" i="1"/>
  <c r="GN343" i="1"/>
  <c r="GO343" i="1"/>
  <c r="GP343" i="1"/>
  <c r="GQ343" i="1"/>
  <c r="GR343" i="1"/>
  <c r="GS343" i="1"/>
  <c r="GT343" i="1"/>
  <c r="GU343" i="1"/>
  <c r="GV343" i="1"/>
  <c r="GW343" i="1"/>
  <c r="GX343" i="1"/>
  <c r="GY343" i="1"/>
  <c r="GZ343" i="1"/>
  <c r="HA343" i="1"/>
  <c r="HB343" i="1"/>
  <c r="HC343" i="1"/>
  <c r="HD343" i="1"/>
  <c r="HE343" i="1"/>
  <c r="HF343" i="1"/>
  <c r="HG343" i="1"/>
  <c r="HH343" i="1"/>
  <c r="HI343" i="1"/>
  <c r="HJ343" i="1"/>
  <c r="HK343" i="1"/>
  <c r="HL343" i="1"/>
  <c r="HM343" i="1"/>
  <c r="HN343" i="1"/>
  <c r="HO343" i="1"/>
  <c r="HP343" i="1"/>
  <c r="HQ343" i="1"/>
  <c r="HR343" i="1"/>
  <c r="HS343" i="1"/>
  <c r="HT343" i="1"/>
  <c r="HU343" i="1"/>
  <c r="HV343" i="1"/>
  <c r="HW343" i="1"/>
  <c r="HX343" i="1"/>
  <c r="HY343" i="1"/>
  <c r="HZ343" i="1"/>
  <c r="IA343" i="1"/>
  <c r="IB343" i="1"/>
  <c r="IC343" i="1"/>
  <c r="ID343" i="1"/>
  <c r="IE343" i="1"/>
  <c r="IF343" i="1"/>
  <c r="IG343" i="1"/>
  <c r="IH343" i="1"/>
  <c r="FO344" i="1"/>
  <c r="FP344" i="1"/>
  <c r="FQ344" i="1"/>
  <c r="FR344" i="1"/>
  <c r="FS344" i="1"/>
  <c r="FT344" i="1"/>
  <c r="FU344" i="1"/>
  <c r="FV344" i="1"/>
  <c r="FW344" i="1"/>
  <c r="FX344" i="1"/>
  <c r="FY344" i="1"/>
  <c r="FZ344" i="1"/>
  <c r="GA344" i="1"/>
  <c r="GB344" i="1"/>
  <c r="GC344" i="1"/>
  <c r="GD344" i="1"/>
  <c r="GE344" i="1"/>
  <c r="GF344" i="1"/>
  <c r="GG344" i="1"/>
  <c r="GH344" i="1"/>
  <c r="GI344" i="1"/>
  <c r="GJ344" i="1"/>
  <c r="GK344" i="1"/>
  <c r="GL344" i="1"/>
  <c r="GM344" i="1"/>
  <c r="GN344" i="1"/>
  <c r="GO344" i="1"/>
  <c r="GP344" i="1"/>
  <c r="GQ344" i="1"/>
  <c r="GR344" i="1"/>
  <c r="GS344" i="1"/>
  <c r="GT344" i="1"/>
  <c r="GU344" i="1"/>
  <c r="GV344" i="1"/>
  <c r="GW344" i="1"/>
  <c r="GX344" i="1"/>
  <c r="GY344" i="1"/>
  <c r="GZ344" i="1"/>
  <c r="HA344" i="1"/>
  <c r="HB344" i="1"/>
  <c r="HC344" i="1"/>
  <c r="HD344" i="1"/>
  <c r="HE344" i="1"/>
  <c r="HF344" i="1"/>
  <c r="HG344" i="1"/>
  <c r="HH344" i="1"/>
  <c r="HI344" i="1"/>
  <c r="HJ344" i="1"/>
  <c r="HK344" i="1"/>
  <c r="HL344" i="1"/>
  <c r="HM344" i="1"/>
  <c r="HN344" i="1"/>
  <c r="HO344" i="1"/>
  <c r="HP344" i="1"/>
  <c r="HQ344" i="1"/>
  <c r="HR344" i="1"/>
  <c r="HS344" i="1"/>
  <c r="HT344" i="1"/>
  <c r="HU344" i="1"/>
  <c r="HV344" i="1"/>
  <c r="HW344" i="1"/>
  <c r="HX344" i="1"/>
  <c r="HY344" i="1"/>
  <c r="HZ344" i="1"/>
  <c r="IA344" i="1"/>
  <c r="IB344" i="1"/>
  <c r="IC344" i="1"/>
  <c r="ID344" i="1"/>
  <c r="IE344" i="1"/>
  <c r="IF344" i="1"/>
  <c r="IG344" i="1"/>
  <c r="IH344" i="1"/>
  <c r="FO345" i="1"/>
  <c r="FP345" i="1"/>
  <c r="FQ345" i="1"/>
  <c r="FR345" i="1"/>
  <c r="FS345" i="1"/>
  <c r="FT345" i="1"/>
  <c r="FU345" i="1"/>
  <c r="FV345" i="1"/>
  <c r="FW345" i="1"/>
  <c r="FX345" i="1"/>
  <c r="FY345" i="1"/>
  <c r="FZ345" i="1"/>
  <c r="GA345" i="1"/>
  <c r="GB345" i="1"/>
  <c r="GC345" i="1"/>
  <c r="GD345" i="1"/>
  <c r="GE345" i="1"/>
  <c r="GF345" i="1"/>
  <c r="GG345" i="1"/>
  <c r="GH345" i="1"/>
  <c r="GI345" i="1"/>
  <c r="GJ345" i="1"/>
  <c r="GK345" i="1"/>
  <c r="GL345" i="1"/>
  <c r="GM345" i="1"/>
  <c r="GN345" i="1"/>
  <c r="GO345" i="1"/>
  <c r="GP345" i="1"/>
  <c r="GQ345" i="1"/>
  <c r="GR345" i="1"/>
  <c r="GS345" i="1"/>
  <c r="GT345" i="1"/>
  <c r="GU345" i="1"/>
  <c r="GV345" i="1"/>
  <c r="GW345" i="1"/>
  <c r="GX345" i="1"/>
  <c r="GY345" i="1"/>
  <c r="GZ345" i="1"/>
  <c r="HA345" i="1"/>
  <c r="HB345" i="1"/>
  <c r="HC345" i="1"/>
  <c r="HD345" i="1"/>
  <c r="HE345" i="1"/>
  <c r="HF345" i="1"/>
  <c r="HG345" i="1"/>
  <c r="HH345" i="1"/>
  <c r="HI345" i="1"/>
  <c r="HJ345" i="1"/>
  <c r="HK345" i="1"/>
  <c r="HL345" i="1"/>
  <c r="HM345" i="1"/>
  <c r="HN345" i="1"/>
  <c r="HO345" i="1"/>
  <c r="HP345" i="1"/>
  <c r="HQ345" i="1"/>
  <c r="HR345" i="1"/>
  <c r="HS345" i="1"/>
  <c r="HT345" i="1"/>
  <c r="HU345" i="1"/>
  <c r="HV345" i="1"/>
  <c r="HW345" i="1"/>
  <c r="HX345" i="1"/>
  <c r="HY345" i="1"/>
  <c r="HZ345" i="1"/>
  <c r="IA345" i="1"/>
  <c r="IB345" i="1"/>
  <c r="IC345" i="1"/>
  <c r="ID345" i="1"/>
  <c r="IE345" i="1"/>
  <c r="IF345" i="1"/>
  <c r="IG345" i="1"/>
  <c r="IH345" i="1"/>
  <c r="FO346" i="1"/>
  <c r="FP346" i="1"/>
  <c r="FQ346" i="1"/>
  <c r="FR346" i="1"/>
  <c r="FS346" i="1"/>
  <c r="FT346" i="1"/>
  <c r="FU346" i="1"/>
  <c r="FV346" i="1"/>
  <c r="FW346" i="1"/>
  <c r="FX346" i="1"/>
  <c r="FY346" i="1"/>
  <c r="FZ346" i="1"/>
  <c r="GA346" i="1"/>
  <c r="GB346" i="1"/>
  <c r="GC346" i="1"/>
  <c r="GD346" i="1"/>
  <c r="GE346" i="1"/>
  <c r="GF346" i="1"/>
  <c r="GG346" i="1"/>
  <c r="GH346" i="1"/>
  <c r="GI346" i="1"/>
  <c r="GJ346" i="1"/>
  <c r="GK346" i="1"/>
  <c r="GL346" i="1"/>
  <c r="GM346" i="1"/>
  <c r="GN346" i="1"/>
  <c r="GO346" i="1"/>
  <c r="GP346" i="1"/>
  <c r="GQ346" i="1"/>
  <c r="GR346" i="1"/>
  <c r="GS346" i="1"/>
  <c r="GT346" i="1"/>
  <c r="GU346" i="1"/>
  <c r="GV346" i="1"/>
  <c r="GW346" i="1"/>
  <c r="GX346" i="1"/>
  <c r="GY346" i="1"/>
  <c r="GZ346" i="1"/>
  <c r="HA346" i="1"/>
  <c r="HB346" i="1"/>
  <c r="HC346" i="1"/>
  <c r="HD346" i="1"/>
  <c r="HE346" i="1"/>
  <c r="HF346" i="1"/>
  <c r="HG346" i="1"/>
  <c r="HH346" i="1"/>
  <c r="HI346" i="1"/>
  <c r="HJ346" i="1"/>
  <c r="HK346" i="1"/>
  <c r="HL346" i="1"/>
  <c r="HM346" i="1"/>
  <c r="HN346" i="1"/>
  <c r="HO346" i="1"/>
  <c r="HP346" i="1"/>
  <c r="HQ346" i="1"/>
  <c r="HR346" i="1"/>
  <c r="HS346" i="1"/>
  <c r="HT346" i="1"/>
  <c r="HU346" i="1"/>
  <c r="HV346" i="1"/>
  <c r="HW346" i="1"/>
  <c r="HX346" i="1"/>
  <c r="HY346" i="1"/>
  <c r="HZ346" i="1"/>
  <c r="IA346" i="1"/>
  <c r="IB346" i="1"/>
  <c r="IC346" i="1"/>
  <c r="ID346" i="1"/>
  <c r="IE346" i="1"/>
  <c r="IF346" i="1"/>
  <c r="IG346" i="1"/>
  <c r="IH346" i="1"/>
  <c r="FO347" i="1"/>
  <c r="FP347" i="1"/>
  <c r="FQ347" i="1"/>
  <c r="FR347" i="1"/>
  <c r="FS347" i="1"/>
  <c r="FT347" i="1"/>
  <c r="FU347" i="1"/>
  <c r="FV347" i="1"/>
  <c r="FW347" i="1"/>
  <c r="FX347" i="1"/>
  <c r="FY347" i="1"/>
  <c r="FZ347" i="1"/>
  <c r="GA347" i="1"/>
  <c r="GB347" i="1"/>
  <c r="GC347" i="1"/>
  <c r="GD347" i="1"/>
  <c r="GE347" i="1"/>
  <c r="GF347" i="1"/>
  <c r="GG347" i="1"/>
  <c r="GH347" i="1"/>
  <c r="GI347" i="1"/>
  <c r="GJ347" i="1"/>
  <c r="GK347" i="1"/>
  <c r="GL347" i="1"/>
  <c r="GM347" i="1"/>
  <c r="GN347" i="1"/>
  <c r="GO347" i="1"/>
  <c r="GP347" i="1"/>
  <c r="GQ347" i="1"/>
  <c r="GR347" i="1"/>
  <c r="GS347" i="1"/>
  <c r="GT347" i="1"/>
  <c r="GU347" i="1"/>
  <c r="GV347" i="1"/>
  <c r="GW347" i="1"/>
  <c r="GX347" i="1"/>
  <c r="GY347" i="1"/>
  <c r="GZ347" i="1"/>
  <c r="HA347" i="1"/>
  <c r="HB347" i="1"/>
  <c r="HC347" i="1"/>
  <c r="HD347" i="1"/>
  <c r="HE347" i="1"/>
  <c r="HF347" i="1"/>
  <c r="HG347" i="1"/>
  <c r="HH347" i="1"/>
  <c r="HI347" i="1"/>
  <c r="HJ347" i="1"/>
  <c r="HK347" i="1"/>
  <c r="HL347" i="1"/>
  <c r="HM347" i="1"/>
  <c r="HN347" i="1"/>
  <c r="HO347" i="1"/>
  <c r="HP347" i="1"/>
  <c r="HQ347" i="1"/>
  <c r="HR347" i="1"/>
  <c r="HS347" i="1"/>
  <c r="HT347" i="1"/>
  <c r="HU347" i="1"/>
  <c r="HV347" i="1"/>
  <c r="HW347" i="1"/>
  <c r="HX347" i="1"/>
  <c r="HY347" i="1"/>
  <c r="HZ347" i="1"/>
  <c r="IA347" i="1"/>
  <c r="IB347" i="1"/>
  <c r="IC347" i="1"/>
  <c r="ID347" i="1"/>
  <c r="IE347" i="1"/>
  <c r="IF347" i="1"/>
  <c r="IG347" i="1"/>
  <c r="IH347" i="1"/>
  <c r="FO348" i="1"/>
  <c r="FP348" i="1"/>
  <c r="FQ348" i="1"/>
  <c r="FR348" i="1"/>
  <c r="FS348" i="1"/>
  <c r="FT348" i="1"/>
  <c r="FU348" i="1"/>
  <c r="FV348" i="1"/>
  <c r="FW348" i="1"/>
  <c r="FX348" i="1"/>
  <c r="FY348" i="1"/>
  <c r="FZ348" i="1"/>
  <c r="GA348" i="1"/>
  <c r="GB348" i="1"/>
  <c r="GC348" i="1"/>
  <c r="GD348" i="1"/>
  <c r="GE348" i="1"/>
  <c r="GF348" i="1"/>
  <c r="GG348" i="1"/>
  <c r="GH348" i="1"/>
  <c r="GI348" i="1"/>
  <c r="GJ348" i="1"/>
  <c r="GK348" i="1"/>
  <c r="GL348" i="1"/>
  <c r="GM348" i="1"/>
  <c r="GN348" i="1"/>
  <c r="GO348" i="1"/>
  <c r="GP348" i="1"/>
  <c r="GQ348" i="1"/>
  <c r="GR348" i="1"/>
  <c r="GS348" i="1"/>
  <c r="GT348" i="1"/>
  <c r="GU348" i="1"/>
  <c r="GV348" i="1"/>
  <c r="GW348" i="1"/>
  <c r="GX348" i="1"/>
  <c r="GY348" i="1"/>
  <c r="GZ348" i="1"/>
  <c r="HA348" i="1"/>
  <c r="HB348" i="1"/>
  <c r="HC348" i="1"/>
  <c r="HD348" i="1"/>
  <c r="HE348" i="1"/>
  <c r="HF348" i="1"/>
  <c r="HG348" i="1"/>
  <c r="HH348" i="1"/>
  <c r="HI348" i="1"/>
  <c r="HJ348" i="1"/>
  <c r="HK348" i="1"/>
  <c r="HL348" i="1"/>
  <c r="HM348" i="1"/>
  <c r="HN348" i="1"/>
  <c r="HO348" i="1"/>
  <c r="HP348" i="1"/>
  <c r="HQ348" i="1"/>
  <c r="HR348" i="1"/>
  <c r="HS348" i="1"/>
  <c r="HT348" i="1"/>
  <c r="HU348" i="1"/>
  <c r="HV348" i="1"/>
  <c r="HW348" i="1"/>
  <c r="HX348" i="1"/>
  <c r="HY348" i="1"/>
  <c r="HZ348" i="1"/>
  <c r="IA348" i="1"/>
  <c r="IB348" i="1"/>
  <c r="IC348" i="1"/>
  <c r="ID348" i="1"/>
  <c r="IE348" i="1"/>
  <c r="IF348" i="1"/>
  <c r="IG348" i="1"/>
  <c r="IH348" i="1"/>
  <c r="FO349" i="1"/>
  <c r="FP349" i="1"/>
  <c r="FQ349" i="1"/>
  <c r="FR349" i="1"/>
  <c r="FS349" i="1"/>
  <c r="FT349" i="1"/>
  <c r="FU349" i="1"/>
  <c r="FV349" i="1"/>
  <c r="FW349" i="1"/>
  <c r="FX349" i="1"/>
  <c r="FY349" i="1"/>
  <c r="FZ349" i="1"/>
  <c r="GA349" i="1"/>
  <c r="GB349" i="1"/>
  <c r="GC349" i="1"/>
  <c r="GD349" i="1"/>
  <c r="GE349" i="1"/>
  <c r="GF349" i="1"/>
  <c r="GG349" i="1"/>
  <c r="GH349" i="1"/>
  <c r="GI349" i="1"/>
  <c r="GJ349" i="1"/>
  <c r="GK349" i="1"/>
  <c r="GL349" i="1"/>
  <c r="GM349" i="1"/>
  <c r="GN349" i="1"/>
  <c r="GO349" i="1"/>
  <c r="GP349" i="1"/>
  <c r="GQ349" i="1"/>
  <c r="GR349" i="1"/>
  <c r="GS349" i="1"/>
  <c r="GT349" i="1"/>
  <c r="GU349" i="1"/>
  <c r="GV349" i="1"/>
  <c r="GW349" i="1"/>
  <c r="GX349" i="1"/>
  <c r="GY349" i="1"/>
  <c r="GZ349" i="1"/>
  <c r="HA349" i="1"/>
  <c r="HB349" i="1"/>
  <c r="HC349" i="1"/>
  <c r="HD349" i="1"/>
  <c r="HE349" i="1"/>
  <c r="HF349" i="1"/>
  <c r="HG349" i="1"/>
  <c r="HH349" i="1"/>
  <c r="HI349" i="1"/>
  <c r="HJ349" i="1"/>
  <c r="HK349" i="1"/>
  <c r="HL349" i="1"/>
  <c r="HM349" i="1"/>
  <c r="HN349" i="1"/>
  <c r="HO349" i="1"/>
  <c r="HP349" i="1"/>
  <c r="HQ349" i="1"/>
  <c r="HR349" i="1"/>
  <c r="HS349" i="1"/>
  <c r="HT349" i="1"/>
  <c r="HU349" i="1"/>
  <c r="HV349" i="1"/>
  <c r="HW349" i="1"/>
  <c r="HX349" i="1"/>
  <c r="HY349" i="1"/>
  <c r="HZ349" i="1"/>
  <c r="IA349" i="1"/>
  <c r="IB349" i="1"/>
  <c r="IC349" i="1"/>
  <c r="ID349" i="1"/>
  <c r="IE349" i="1"/>
  <c r="IF349" i="1"/>
  <c r="IG349" i="1"/>
  <c r="IH349" i="1"/>
  <c r="FO350" i="1"/>
  <c r="FP350" i="1"/>
  <c r="FQ350" i="1"/>
  <c r="FR350" i="1"/>
  <c r="FS350" i="1"/>
  <c r="FT350" i="1"/>
  <c r="FU350" i="1"/>
  <c r="FV350" i="1"/>
  <c r="FW350" i="1"/>
  <c r="FX350" i="1"/>
  <c r="FY350" i="1"/>
  <c r="FZ350" i="1"/>
  <c r="GA350" i="1"/>
  <c r="GB350" i="1"/>
  <c r="GC350" i="1"/>
  <c r="GD350" i="1"/>
  <c r="GE350" i="1"/>
  <c r="GF350" i="1"/>
  <c r="GG350" i="1"/>
  <c r="GH350" i="1"/>
  <c r="GI350" i="1"/>
  <c r="GJ350" i="1"/>
  <c r="GK350" i="1"/>
  <c r="GL350" i="1"/>
  <c r="GM350" i="1"/>
  <c r="GN350" i="1"/>
  <c r="GO350" i="1"/>
  <c r="GP350" i="1"/>
  <c r="GQ350" i="1"/>
  <c r="GR350" i="1"/>
  <c r="GS350" i="1"/>
  <c r="GT350" i="1"/>
  <c r="GU350" i="1"/>
  <c r="GV350" i="1"/>
  <c r="GW350" i="1"/>
  <c r="GX350" i="1"/>
  <c r="GY350" i="1"/>
  <c r="GZ350" i="1"/>
  <c r="HA350" i="1"/>
  <c r="HB350" i="1"/>
  <c r="HC350" i="1"/>
  <c r="HD350" i="1"/>
  <c r="HE350" i="1"/>
  <c r="HF350" i="1"/>
  <c r="HG350" i="1"/>
  <c r="HH350" i="1"/>
  <c r="HI350" i="1"/>
  <c r="HJ350" i="1"/>
  <c r="HK350" i="1"/>
  <c r="HL350" i="1"/>
  <c r="HM350" i="1"/>
  <c r="HN350" i="1"/>
  <c r="HO350" i="1"/>
  <c r="HP350" i="1"/>
  <c r="HQ350" i="1"/>
  <c r="HR350" i="1"/>
  <c r="HS350" i="1"/>
  <c r="HT350" i="1"/>
  <c r="HU350" i="1"/>
  <c r="HV350" i="1"/>
  <c r="HW350" i="1"/>
  <c r="HX350" i="1"/>
  <c r="HY350" i="1"/>
  <c r="HZ350" i="1"/>
  <c r="IA350" i="1"/>
  <c r="IB350" i="1"/>
  <c r="IC350" i="1"/>
  <c r="ID350" i="1"/>
  <c r="IE350" i="1"/>
  <c r="IF350" i="1"/>
  <c r="IG350" i="1"/>
  <c r="IH350" i="1"/>
  <c r="FO351" i="1"/>
  <c r="FP351" i="1"/>
  <c r="FQ351" i="1"/>
  <c r="FR351" i="1"/>
  <c r="FS351" i="1"/>
  <c r="FT351" i="1"/>
  <c r="FU351" i="1"/>
  <c r="FV351" i="1"/>
  <c r="FW351" i="1"/>
  <c r="FX351" i="1"/>
  <c r="FY351" i="1"/>
  <c r="FZ351" i="1"/>
  <c r="GA351" i="1"/>
  <c r="GB351" i="1"/>
  <c r="GC351" i="1"/>
  <c r="GD351" i="1"/>
  <c r="GE351" i="1"/>
  <c r="GF351" i="1"/>
  <c r="GG351" i="1"/>
  <c r="GH351" i="1"/>
  <c r="GI351" i="1"/>
  <c r="GJ351" i="1"/>
  <c r="GK351" i="1"/>
  <c r="GL351" i="1"/>
  <c r="GM351" i="1"/>
  <c r="GN351" i="1"/>
  <c r="GO351" i="1"/>
  <c r="GP351" i="1"/>
  <c r="GQ351" i="1"/>
  <c r="GR351" i="1"/>
  <c r="GS351" i="1"/>
  <c r="GT351" i="1"/>
  <c r="GU351" i="1"/>
  <c r="GV351" i="1"/>
  <c r="GW351" i="1"/>
  <c r="GX351" i="1"/>
  <c r="GY351" i="1"/>
  <c r="GZ351" i="1"/>
  <c r="HA351" i="1"/>
  <c r="HB351" i="1"/>
  <c r="HC351" i="1"/>
  <c r="HD351" i="1"/>
  <c r="HE351" i="1"/>
  <c r="HF351" i="1"/>
  <c r="HG351" i="1"/>
  <c r="HH351" i="1"/>
  <c r="HI351" i="1"/>
  <c r="HJ351" i="1"/>
  <c r="HK351" i="1"/>
  <c r="HL351" i="1"/>
  <c r="HM351" i="1"/>
  <c r="HN351" i="1"/>
  <c r="HO351" i="1"/>
  <c r="HP351" i="1"/>
  <c r="HQ351" i="1"/>
  <c r="HR351" i="1"/>
  <c r="HS351" i="1"/>
  <c r="HT351" i="1"/>
  <c r="HU351" i="1"/>
  <c r="HV351" i="1"/>
  <c r="HW351" i="1"/>
  <c r="HX351" i="1"/>
  <c r="HY351" i="1"/>
  <c r="HZ351" i="1"/>
  <c r="IA351" i="1"/>
  <c r="IB351" i="1"/>
  <c r="IC351" i="1"/>
  <c r="ID351" i="1"/>
  <c r="IE351" i="1"/>
  <c r="IF351" i="1"/>
  <c r="IG351" i="1"/>
  <c r="IH351" i="1"/>
  <c r="FO352" i="1"/>
  <c r="FP352" i="1"/>
  <c r="FQ352" i="1"/>
  <c r="FR352" i="1"/>
  <c r="FS352" i="1"/>
  <c r="FT352" i="1"/>
  <c r="FU352" i="1"/>
  <c r="FV352" i="1"/>
  <c r="FW352" i="1"/>
  <c r="FX352" i="1"/>
  <c r="FY352" i="1"/>
  <c r="FZ352" i="1"/>
  <c r="GA352" i="1"/>
  <c r="GB352" i="1"/>
  <c r="GC352" i="1"/>
  <c r="GD352" i="1"/>
  <c r="GE352" i="1"/>
  <c r="GF352" i="1"/>
  <c r="GG352" i="1"/>
  <c r="GH352" i="1"/>
  <c r="GI352" i="1"/>
  <c r="GJ352" i="1"/>
  <c r="GK352" i="1"/>
  <c r="GL352" i="1"/>
  <c r="GM352" i="1"/>
  <c r="GN352" i="1"/>
  <c r="GO352" i="1"/>
  <c r="GP352" i="1"/>
  <c r="GQ352" i="1"/>
  <c r="GR352" i="1"/>
  <c r="GS352" i="1"/>
  <c r="GT352" i="1"/>
  <c r="GU352" i="1"/>
  <c r="GV352" i="1"/>
  <c r="GW352" i="1"/>
  <c r="GX352" i="1"/>
  <c r="GY352" i="1"/>
  <c r="GZ352" i="1"/>
  <c r="HA352" i="1"/>
  <c r="HB352" i="1"/>
  <c r="HC352" i="1"/>
  <c r="HD352" i="1"/>
  <c r="HE352" i="1"/>
  <c r="HF352" i="1"/>
  <c r="HG352" i="1"/>
  <c r="HH352" i="1"/>
  <c r="HI352" i="1"/>
  <c r="HJ352" i="1"/>
  <c r="HK352" i="1"/>
  <c r="HL352" i="1"/>
  <c r="HM352" i="1"/>
  <c r="HN352" i="1"/>
  <c r="HO352" i="1"/>
  <c r="HP352" i="1"/>
  <c r="HQ352" i="1"/>
  <c r="HR352" i="1"/>
  <c r="HS352" i="1"/>
  <c r="HT352" i="1"/>
  <c r="HU352" i="1"/>
  <c r="HV352" i="1"/>
  <c r="HW352" i="1"/>
  <c r="HX352" i="1"/>
  <c r="HY352" i="1"/>
  <c r="HZ352" i="1"/>
  <c r="IA352" i="1"/>
  <c r="IB352" i="1"/>
  <c r="IC352" i="1"/>
  <c r="ID352" i="1"/>
  <c r="IE352" i="1"/>
  <c r="IF352" i="1"/>
  <c r="IG352" i="1"/>
  <c r="IH352" i="1"/>
  <c r="FO353" i="1"/>
  <c r="FP353" i="1"/>
  <c r="FQ353" i="1"/>
  <c r="FR353" i="1"/>
  <c r="FS353" i="1"/>
  <c r="FT353" i="1"/>
  <c r="FU353" i="1"/>
  <c r="FV353" i="1"/>
  <c r="FW353" i="1"/>
  <c r="FX353" i="1"/>
  <c r="FY353" i="1"/>
  <c r="FZ353" i="1"/>
  <c r="GA353" i="1"/>
  <c r="GB353" i="1"/>
  <c r="GC353" i="1"/>
  <c r="GD353" i="1"/>
  <c r="GE353" i="1"/>
  <c r="GF353" i="1"/>
  <c r="GG353" i="1"/>
  <c r="GH353" i="1"/>
  <c r="GI353" i="1"/>
  <c r="GJ353" i="1"/>
  <c r="GK353" i="1"/>
  <c r="GL353" i="1"/>
  <c r="GM353" i="1"/>
  <c r="GN353" i="1"/>
  <c r="GO353" i="1"/>
  <c r="GP353" i="1"/>
  <c r="GQ353" i="1"/>
  <c r="GR353" i="1"/>
  <c r="GS353" i="1"/>
  <c r="GT353" i="1"/>
  <c r="GU353" i="1"/>
  <c r="GV353" i="1"/>
  <c r="GW353" i="1"/>
  <c r="GX353" i="1"/>
  <c r="GY353" i="1"/>
  <c r="GZ353" i="1"/>
  <c r="HA353" i="1"/>
  <c r="HB353" i="1"/>
  <c r="HC353" i="1"/>
  <c r="HD353" i="1"/>
  <c r="HE353" i="1"/>
  <c r="HF353" i="1"/>
  <c r="HG353" i="1"/>
  <c r="HH353" i="1"/>
  <c r="HI353" i="1"/>
  <c r="HJ353" i="1"/>
  <c r="HK353" i="1"/>
  <c r="HL353" i="1"/>
  <c r="HM353" i="1"/>
  <c r="HN353" i="1"/>
  <c r="HO353" i="1"/>
  <c r="HP353" i="1"/>
  <c r="HQ353" i="1"/>
  <c r="HR353" i="1"/>
  <c r="HS353" i="1"/>
  <c r="HT353" i="1"/>
  <c r="HU353" i="1"/>
  <c r="HV353" i="1"/>
  <c r="HW353" i="1"/>
  <c r="HX353" i="1"/>
  <c r="HY353" i="1"/>
  <c r="HZ353" i="1"/>
  <c r="IA353" i="1"/>
  <c r="IB353" i="1"/>
  <c r="IC353" i="1"/>
  <c r="ID353" i="1"/>
  <c r="IE353" i="1"/>
  <c r="IF353" i="1"/>
  <c r="IG353" i="1"/>
  <c r="IH353" i="1"/>
  <c r="FO354" i="1"/>
  <c r="FP354" i="1"/>
  <c r="FQ354" i="1"/>
  <c r="FR354" i="1"/>
  <c r="FS354" i="1"/>
  <c r="FT354" i="1"/>
  <c r="FU354" i="1"/>
  <c r="FV354" i="1"/>
  <c r="FW354" i="1"/>
  <c r="FX354" i="1"/>
  <c r="FY354" i="1"/>
  <c r="FZ354" i="1"/>
  <c r="GA354" i="1"/>
  <c r="GB354" i="1"/>
  <c r="GC354" i="1"/>
  <c r="GD354" i="1"/>
  <c r="GE354" i="1"/>
  <c r="GF354" i="1"/>
  <c r="GG354" i="1"/>
  <c r="GH354" i="1"/>
  <c r="GI354" i="1"/>
  <c r="GJ354" i="1"/>
  <c r="GK354" i="1"/>
  <c r="GL354" i="1"/>
  <c r="GM354" i="1"/>
  <c r="GN354" i="1"/>
  <c r="GO354" i="1"/>
  <c r="GP354" i="1"/>
  <c r="GQ354" i="1"/>
  <c r="GR354" i="1"/>
  <c r="GS354" i="1"/>
  <c r="GT354" i="1"/>
  <c r="GU354" i="1"/>
  <c r="GV354" i="1"/>
  <c r="GW354" i="1"/>
  <c r="GX354" i="1"/>
  <c r="GY354" i="1"/>
  <c r="GZ354" i="1"/>
  <c r="HA354" i="1"/>
  <c r="HB354" i="1"/>
  <c r="HC354" i="1"/>
  <c r="HD354" i="1"/>
  <c r="HE354" i="1"/>
  <c r="HF354" i="1"/>
  <c r="HG354" i="1"/>
  <c r="HH354" i="1"/>
  <c r="HI354" i="1"/>
  <c r="HJ354" i="1"/>
  <c r="HK354" i="1"/>
  <c r="HL354" i="1"/>
  <c r="HM354" i="1"/>
  <c r="HN354" i="1"/>
  <c r="HO354" i="1"/>
  <c r="HP354" i="1"/>
  <c r="HQ354" i="1"/>
  <c r="HR354" i="1"/>
  <c r="HS354" i="1"/>
  <c r="HT354" i="1"/>
  <c r="HU354" i="1"/>
  <c r="HV354" i="1"/>
  <c r="HW354" i="1"/>
  <c r="HX354" i="1"/>
  <c r="HY354" i="1"/>
  <c r="HZ354" i="1"/>
  <c r="IA354" i="1"/>
  <c r="IB354" i="1"/>
  <c r="IC354" i="1"/>
  <c r="ID354" i="1"/>
  <c r="IE354" i="1"/>
  <c r="IF354" i="1"/>
  <c r="IG354" i="1"/>
  <c r="IH354" i="1"/>
  <c r="FO355" i="1"/>
  <c r="FP355" i="1"/>
  <c r="FQ355" i="1"/>
  <c r="FR355" i="1"/>
  <c r="FS355" i="1"/>
  <c r="FT355" i="1"/>
  <c r="FU355" i="1"/>
  <c r="FV355" i="1"/>
  <c r="FW355" i="1"/>
  <c r="FX355" i="1"/>
  <c r="FY355" i="1"/>
  <c r="FZ355" i="1"/>
  <c r="GA355" i="1"/>
  <c r="GB355" i="1"/>
  <c r="GC355" i="1"/>
  <c r="GD355" i="1"/>
  <c r="GE355" i="1"/>
  <c r="GF355" i="1"/>
  <c r="GG355" i="1"/>
  <c r="GH355" i="1"/>
  <c r="GI355" i="1"/>
  <c r="GJ355" i="1"/>
  <c r="GK355" i="1"/>
  <c r="GL355" i="1"/>
  <c r="GM355" i="1"/>
  <c r="GN355" i="1"/>
  <c r="GO355" i="1"/>
  <c r="GP355" i="1"/>
  <c r="GQ355" i="1"/>
  <c r="GR355" i="1"/>
  <c r="GS355" i="1"/>
  <c r="GT355" i="1"/>
  <c r="GU355" i="1"/>
  <c r="GV355" i="1"/>
  <c r="GW355" i="1"/>
  <c r="GX355" i="1"/>
  <c r="GY355" i="1"/>
  <c r="GZ355" i="1"/>
  <c r="HA355" i="1"/>
  <c r="HB355" i="1"/>
  <c r="HC355" i="1"/>
  <c r="HD355" i="1"/>
  <c r="HE355" i="1"/>
  <c r="HF355" i="1"/>
  <c r="HG355" i="1"/>
  <c r="HH355" i="1"/>
  <c r="HI355" i="1"/>
  <c r="HJ355" i="1"/>
  <c r="HK355" i="1"/>
  <c r="HL355" i="1"/>
  <c r="HM355" i="1"/>
  <c r="HN355" i="1"/>
  <c r="HO355" i="1"/>
  <c r="HP355" i="1"/>
  <c r="HQ355" i="1"/>
  <c r="HR355" i="1"/>
  <c r="HS355" i="1"/>
  <c r="HT355" i="1"/>
  <c r="HU355" i="1"/>
  <c r="HV355" i="1"/>
  <c r="HW355" i="1"/>
  <c r="HX355" i="1"/>
  <c r="HY355" i="1"/>
  <c r="HZ355" i="1"/>
  <c r="IA355" i="1"/>
  <c r="IB355" i="1"/>
  <c r="IC355" i="1"/>
  <c r="ID355" i="1"/>
  <c r="IE355" i="1"/>
  <c r="IF355" i="1"/>
  <c r="IG355" i="1"/>
  <c r="IH355" i="1"/>
  <c r="FO356" i="1"/>
  <c r="FP356" i="1"/>
  <c r="FQ356" i="1"/>
  <c r="FR356" i="1"/>
  <c r="FS356" i="1"/>
  <c r="FT356" i="1"/>
  <c r="FU356" i="1"/>
  <c r="FV356" i="1"/>
  <c r="FW356" i="1"/>
  <c r="FX356" i="1"/>
  <c r="FY356" i="1"/>
  <c r="FZ356" i="1"/>
  <c r="GA356" i="1"/>
  <c r="GB356" i="1"/>
  <c r="GC356" i="1"/>
  <c r="GD356" i="1"/>
  <c r="GE356" i="1"/>
  <c r="GF356" i="1"/>
  <c r="GG356" i="1"/>
  <c r="GH356" i="1"/>
  <c r="GI356" i="1"/>
  <c r="GJ356" i="1"/>
  <c r="GK356" i="1"/>
  <c r="GL356" i="1"/>
  <c r="GM356" i="1"/>
  <c r="GN356" i="1"/>
  <c r="GO356" i="1"/>
  <c r="GP356" i="1"/>
  <c r="GQ356" i="1"/>
  <c r="GR356" i="1"/>
  <c r="GS356" i="1"/>
  <c r="GT356" i="1"/>
  <c r="GU356" i="1"/>
  <c r="GV356" i="1"/>
  <c r="GW356" i="1"/>
  <c r="GX356" i="1"/>
  <c r="GY356" i="1"/>
  <c r="GZ356" i="1"/>
  <c r="HA356" i="1"/>
  <c r="HB356" i="1"/>
  <c r="HC356" i="1"/>
  <c r="HD356" i="1"/>
  <c r="HE356" i="1"/>
  <c r="HF356" i="1"/>
  <c r="HG356" i="1"/>
  <c r="HH356" i="1"/>
  <c r="HI356" i="1"/>
  <c r="HJ356" i="1"/>
  <c r="HK356" i="1"/>
  <c r="HL356" i="1"/>
  <c r="HM356" i="1"/>
  <c r="HN356" i="1"/>
  <c r="HO356" i="1"/>
  <c r="HP356" i="1"/>
  <c r="HQ356" i="1"/>
  <c r="HR356" i="1"/>
  <c r="HS356" i="1"/>
  <c r="HT356" i="1"/>
  <c r="HU356" i="1"/>
  <c r="HV356" i="1"/>
  <c r="HW356" i="1"/>
  <c r="HX356" i="1"/>
  <c r="HY356" i="1"/>
  <c r="HZ356" i="1"/>
  <c r="IA356" i="1"/>
  <c r="IB356" i="1"/>
  <c r="IC356" i="1"/>
  <c r="ID356" i="1"/>
  <c r="IE356" i="1"/>
  <c r="IF356" i="1"/>
  <c r="IG356" i="1"/>
  <c r="IH356" i="1"/>
  <c r="FO357" i="1"/>
  <c r="FP357" i="1"/>
  <c r="FQ357" i="1"/>
  <c r="FR357" i="1"/>
  <c r="FS357" i="1"/>
  <c r="FT357" i="1"/>
  <c r="FU357" i="1"/>
  <c r="FV357" i="1"/>
  <c r="FW357" i="1"/>
  <c r="FX357" i="1"/>
  <c r="FY357" i="1"/>
  <c r="FZ357" i="1"/>
  <c r="GA357" i="1"/>
  <c r="GB357" i="1"/>
  <c r="GC357" i="1"/>
  <c r="GD357" i="1"/>
  <c r="GE357" i="1"/>
  <c r="GF357" i="1"/>
  <c r="GG357" i="1"/>
  <c r="GH357" i="1"/>
  <c r="GI357" i="1"/>
  <c r="GJ357" i="1"/>
  <c r="GK357" i="1"/>
  <c r="GL357" i="1"/>
  <c r="GM357" i="1"/>
  <c r="GN357" i="1"/>
  <c r="GO357" i="1"/>
  <c r="GP357" i="1"/>
  <c r="GQ357" i="1"/>
  <c r="GR357" i="1"/>
  <c r="GS357" i="1"/>
  <c r="GT357" i="1"/>
  <c r="GU357" i="1"/>
  <c r="GV357" i="1"/>
  <c r="GW357" i="1"/>
  <c r="GX357" i="1"/>
  <c r="GY357" i="1"/>
  <c r="GZ357" i="1"/>
  <c r="HA357" i="1"/>
  <c r="HB357" i="1"/>
  <c r="HC357" i="1"/>
  <c r="HD357" i="1"/>
  <c r="HE357" i="1"/>
  <c r="HF357" i="1"/>
  <c r="HG357" i="1"/>
  <c r="HH357" i="1"/>
  <c r="HI357" i="1"/>
  <c r="HJ357" i="1"/>
  <c r="HK357" i="1"/>
  <c r="HL357" i="1"/>
  <c r="HM357" i="1"/>
  <c r="HN357" i="1"/>
  <c r="HO357" i="1"/>
  <c r="HP357" i="1"/>
  <c r="HQ357" i="1"/>
  <c r="HR357" i="1"/>
  <c r="HS357" i="1"/>
  <c r="HT357" i="1"/>
  <c r="HU357" i="1"/>
  <c r="HV357" i="1"/>
  <c r="HW357" i="1"/>
  <c r="HX357" i="1"/>
  <c r="HY357" i="1"/>
  <c r="HZ357" i="1"/>
  <c r="IA357" i="1"/>
  <c r="IB357" i="1"/>
  <c r="IC357" i="1"/>
  <c r="ID357" i="1"/>
  <c r="IE357" i="1"/>
  <c r="IF357" i="1"/>
  <c r="IG357" i="1"/>
  <c r="IH357" i="1"/>
  <c r="FO358" i="1"/>
  <c r="FP358" i="1"/>
  <c r="FQ358" i="1"/>
  <c r="FR358" i="1"/>
  <c r="FS358" i="1"/>
  <c r="FT358" i="1"/>
  <c r="FU358" i="1"/>
  <c r="FV358" i="1"/>
  <c r="FW358" i="1"/>
  <c r="FX358" i="1"/>
  <c r="FY358" i="1"/>
  <c r="FZ358" i="1"/>
  <c r="GA358" i="1"/>
  <c r="GB358" i="1"/>
  <c r="GC358" i="1"/>
  <c r="GD358" i="1"/>
  <c r="GE358" i="1"/>
  <c r="GF358" i="1"/>
  <c r="GG358" i="1"/>
  <c r="GH358" i="1"/>
  <c r="GI358" i="1"/>
  <c r="GJ358" i="1"/>
  <c r="GK358" i="1"/>
  <c r="GL358" i="1"/>
  <c r="GM358" i="1"/>
  <c r="GN358" i="1"/>
  <c r="GO358" i="1"/>
  <c r="GP358" i="1"/>
  <c r="GQ358" i="1"/>
  <c r="GR358" i="1"/>
  <c r="GS358" i="1"/>
  <c r="GT358" i="1"/>
  <c r="GU358" i="1"/>
  <c r="GV358" i="1"/>
  <c r="GW358" i="1"/>
  <c r="GX358" i="1"/>
  <c r="GY358" i="1"/>
  <c r="GZ358" i="1"/>
  <c r="HA358" i="1"/>
  <c r="HB358" i="1"/>
  <c r="HC358" i="1"/>
  <c r="HD358" i="1"/>
  <c r="HE358" i="1"/>
  <c r="HF358" i="1"/>
  <c r="HG358" i="1"/>
  <c r="HH358" i="1"/>
  <c r="HI358" i="1"/>
  <c r="HJ358" i="1"/>
  <c r="HK358" i="1"/>
  <c r="HL358" i="1"/>
  <c r="HM358" i="1"/>
  <c r="HN358" i="1"/>
  <c r="HO358" i="1"/>
  <c r="HP358" i="1"/>
  <c r="HQ358" i="1"/>
  <c r="HR358" i="1"/>
  <c r="HS358" i="1"/>
  <c r="HT358" i="1"/>
  <c r="HU358" i="1"/>
  <c r="HV358" i="1"/>
  <c r="HW358" i="1"/>
  <c r="HX358" i="1"/>
  <c r="HY358" i="1"/>
  <c r="HZ358" i="1"/>
  <c r="IA358" i="1"/>
  <c r="IB358" i="1"/>
  <c r="IC358" i="1"/>
  <c r="ID358" i="1"/>
  <c r="IE358" i="1"/>
  <c r="IF358" i="1"/>
  <c r="IG358" i="1"/>
  <c r="IH358" i="1"/>
  <c r="FO359" i="1"/>
  <c r="FP359" i="1"/>
  <c r="FQ359" i="1"/>
  <c r="FR359" i="1"/>
  <c r="FS359" i="1"/>
  <c r="FT359" i="1"/>
  <c r="FU359" i="1"/>
  <c r="FV359" i="1"/>
  <c r="FW359" i="1"/>
  <c r="FX359" i="1"/>
  <c r="FY359" i="1"/>
  <c r="FZ359" i="1"/>
  <c r="GA359" i="1"/>
  <c r="GB359" i="1"/>
  <c r="GC359" i="1"/>
  <c r="GD359" i="1"/>
  <c r="GE359" i="1"/>
  <c r="GF359" i="1"/>
  <c r="GG359" i="1"/>
  <c r="GH359" i="1"/>
  <c r="GI359" i="1"/>
  <c r="GJ359" i="1"/>
  <c r="GK359" i="1"/>
  <c r="GL359" i="1"/>
  <c r="GM359" i="1"/>
  <c r="GN359" i="1"/>
  <c r="GO359" i="1"/>
  <c r="GP359" i="1"/>
  <c r="GQ359" i="1"/>
  <c r="GR359" i="1"/>
  <c r="GS359" i="1"/>
  <c r="GT359" i="1"/>
  <c r="GU359" i="1"/>
  <c r="GV359" i="1"/>
  <c r="GW359" i="1"/>
  <c r="GX359" i="1"/>
  <c r="GY359" i="1"/>
  <c r="GZ359" i="1"/>
  <c r="HA359" i="1"/>
  <c r="HB359" i="1"/>
  <c r="HC359" i="1"/>
  <c r="HD359" i="1"/>
  <c r="HE359" i="1"/>
  <c r="HF359" i="1"/>
  <c r="HG359" i="1"/>
  <c r="HH359" i="1"/>
  <c r="HI359" i="1"/>
  <c r="HJ359" i="1"/>
  <c r="HK359" i="1"/>
  <c r="HL359" i="1"/>
  <c r="HM359" i="1"/>
  <c r="HN359" i="1"/>
  <c r="HO359" i="1"/>
  <c r="HP359" i="1"/>
  <c r="HQ359" i="1"/>
  <c r="HR359" i="1"/>
  <c r="HS359" i="1"/>
  <c r="HT359" i="1"/>
  <c r="HU359" i="1"/>
  <c r="HV359" i="1"/>
  <c r="HW359" i="1"/>
  <c r="HX359" i="1"/>
  <c r="HY359" i="1"/>
  <c r="HZ359" i="1"/>
  <c r="IA359" i="1"/>
  <c r="IB359" i="1"/>
  <c r="IC359" i="1"/>
  <c r="ID359" i="1"/>
  <c r="IE359" i="1"/>
  <c r="IF359" i="1"/>
  <c r="IG359" i="1"/>
  <c r="IH359" i="1"/>
  <c r="FO360" i="1"/>
  <c r="FP360" i="1"/>
  <c r="FQ360" i="1"/>
  <c r="FR360" i="1"/>
  <c r="FS360" i="1"/>
  <c r="FT360" i="1"/>
  <c r="FU360" i="1"/>
  <c r="FV360" i="1"/>
  <c r="FW360" i="1"/>
  <c r="FX360" i="1"/>
  <c r="FY360" i="1"/>
  <c r="FZ360" i="1"/>
  <c r="GA360" i="1"/>
  <c r="GB360" i="1"/>
  <c r="GC360" i="1"/>
  <c r="GD360" i="1"/>
  <c r="GE360" i="1"/>
  <c r="GF360" i="1"/>
  <c r="GG360" i="1"/>
  <c r="GH360" i="1"/>
  <c r="GI360" i="1"/>
  <c r="GJ360" i="1"/>
  <c r="GK360" i="1"/>
  <c r="GL360" i="1"/>
  <c r="GM360" i="1"/>
  <c r="GN360" i="1"/>
  <c r="GO360" i="1"/>
  <c r="GP360" i="1"/>
  <c r="GQ360" i="1"/>
  <c r="GR360" i="1"/>
  <c r="GS360" i="1"/>
  <c r="GT360" i="1"/>
  <c r="GU360" i="1"/>
  <c r="GV360" i="1"/>
  <c r="GW360" i="1"/>
  <c r="GX360" i="1"/>
  <c r="GY360" i="1"/>
  <c r="GZ360" i="1"/>
  <c r="HA360" i="1"/>
  <c r="HB360" i="1"/>
  <c r="HC360" i="1"/>
  <c r="HD360" i="1"/>
  <c r="HE360" i="1"/>
  <c r="HF360" i="1"/>
  <c r="HG360" i="1"/>
  <c r="HH360" i="1"/>
  <c r="HI360" i="1"/>
  <c r="HJ360" i="1"/>
  <c r="HK360" i="1"/>
  <c r="HL360" i="1"/>
  <c r="HM360" i="1"/>
  <c r="HN360" i="1"/>
  <c r="HO360" i="1"/>
  <c r="HP360" i="1"/>
  <c r="HQ360" i="1"/>
  <c r="HR360" i="1"/>
  <c r="HS360" i="1"/>
  <c r="HT360" i="1"/>
  <c r="HU360" i="1"/>
  <c r="HV360" i="1"/>
  <c r="HW360" i="1"/>
  <c r="HX360" i="1"/>
  <c r="HY360" i="1"/>
  <c r="HZ360" i="1"/>
  <c r="IA360" i="1"/>
  <c r="IB360" i="1"/>
  <c r="IC360" i="1"/>
  <c r="ID360" i="1"/>
  <c r="IE360" i="1"/>
  <c r="IF360" i="1"/>
  <c r="IG360" i="1"/>
  <c r="IH360" i="1"/>
  <c r="FO361" i="1"/>
  <c r="FP361" i="1"/>
  <c r="FQ361" i="1"/>
  <c r="FR361" i="1"/>
  <c r="FS361" i="1"/>
  <c r="FT361" i="1"/>
  <c r="FU361" i="1"/>
  <c r="FV361" i="1"/>
  <c r="FW361" i="1"/>
  <c r="FX361" i="1"/>
  <c r="FY361" i="1"/>
  <c r="FZ361" i="1"/>
  <c r="GA361" i="1"/>
  <c r="GB361" i="1"/>
  <c r="GC361" i="1"/>
  <c r="GD361" i="1"/>
  <c r="GE361" i="1"/>
  <c r="GF361" i="1"/>
  <c r="GG361" i="1"/>
  <c r="GH361" i="1"/>
  <c r="GI361" i="1"/>
  <c r="GJ361" i="1"/>
  <c r="GK361" i="1"/>
  <c r="GL361" i="1"/>
  <c r="GM361" i="1"/>
  <c r="GN361" i="1"/>
  <c r="GO361" i="1"/>
  <c r="GP361" i="1"/>
  <c r="GQ361" i="1"/>
  <c r="GR361" i="1"/>
  <c r="GS361" i="1"/>
  <c r="GT361" i="1"/>
  <c r="GU361" i="1"/>
  <c r="GV361" i="1"/>
  <c r="GW361" i="1"/>
  <c r="GX361" i="1"/>
  <c r="GY361" i="1"/>
  <c r="GZ361" i="1"/>
  <c r="HA361" i="1"/>
  <c r="HB361" i="1"/>
  <c r="HC361" i="1"/>
  <c r="HD361" i="1"/>
  <c r="HE361" i="1"/>
  <c r="HF361" i="1"/>
  <c r="HG361" i="1"/>
  <c r="HH361" i="1"/>
  <c r="HI361" i="1"/>
  <c r="HJ361" i="1"/>
  <c r="HK361" i="1"/>
  <c r="HL361" i="1"/>
  <c r="HM361" i="1"/>
  <c r="HN361" i="1"/>
  <c r="HO361" i="1"/>
  <c r="HP361" i="1"/>
  <c r="HQ361" i="1"/>
  <c r="HR361" i="1"/>
  <c r="HS361" i="1"/>
  <c r="HT361" i="1"/>
  <c r="HU361" i="1"/>
  <c r="HV361" i="1"/>
  <c r="HW361" i="1"/>
  <c r="HX361" i="1"/>
  <c r="HY361" i="1"/>
  <c r="HZ361" i="1"/>
  <c r="IA361" i="1"/>
  <c r="IB361" i="1"/>
  <c r="IC361" i="1"/>
  <c r="ID361" i="1"/>
  <c r="IE361" i="1"/>
  <c r="IF361" i="1"/>
  <c r="IG361" i="1"/>
  <c r="IH361" i="1"/>
  <c r="FO362" i="1"/>
  <c r="FP362" i="1"/>
  <c r="FQ362" i="1"/>
  <c r="FR362" i="1"/>
  <c r="FS362" i="1"/>
  <c r="FT362" i="1"/>
  <c r="FU362" i="1"/>
  <c r="FV362" i="1"/>
  <c r="FW362" i="1"/>
  <c r="FX362" i="1"/>
  <c r="FY362" i="1"/>
  <c r="FZ362" i="1"/>
  <c r="GA362" i="1"/>
  <c r="GB362" i="1"/>
  <c r="GC362" i="1"/>
  <c r="GD362" i="1"/>
  <c r="GE362" i="1"/>
  <c r="GF362" i="1"/>
  <c r="GG362" i="1"/>
  <c r="GH362" i="1"/>
  <c r="GI362" i="1"/>
  <c r="GJ362" i="1"/>
  <c r="GK362" i="1"/>
  <c r="GL362" i="1"/>
  <c r="GM362" i="1"/>
  <c r="GN362" i="1"/>
  <c r="GO362" i="1"/>
  <c r="GP362" i="1"/>
  <c r="GQ362" i="1"/>
  <c r="GR362" i="1"/>
  <c r="GS362" i="1"/>
  <c r="GT362" i="1"/>
  <c r="GU362" i="1"/>
  <c r="GV362" i="1"/>
  <c r="GW362" i="1"/>
  <c r="GX362" i="1"/>
  <c r="GY362" i="1"/>
  <c r="GZ362" i="1"/>
  <c r="HA362" i="1"/>
  <c r="HB362" i="1"/>
  <c r="HC362" i="1"/>
  <c r="HD362" i="1"/>
  <c r="HE362" i="1"/>
  <c r="HF362" i="1"/>
  <c r="HG362" i="1"/>
  <c r="HH362" i="1"/>
  <c r="HI362" i="1"/>
  <c r="HJ362" i="1"/>
  <c r="HK362" i="1"/>
  <c r="HL362" i="1"/>
  <c r="HM362" i="1"/>
  <c r="HN362" i="1"/>
  <c r="HO362" i="1"/>
  <c r="HP362" i="1"/>
  <c r="HQ362" i="1"/>
  <c r="HR362" i="1"/>
  <c r="HS362" i="1"/>
  <c r="HT362" i="1"/>
  <c r="HU362" i="1"/>
  <c r="HV362" i="1"/>
  <c r="HW362" i="1"/>
  <c r="HX362" i="1"/>
  <c r="HY362" i="1"/>
  <c r="HZ362" i="1"/>
  <c r="IA362" i="1"/>
  <c r="IB362" i="1"/>
  <c r="IC362" i="1"/>
  <c r="ID362" i="1"/>
  <c r="IE362" i="1"/>
  <c r="IF362" i="1"/>
  <c r="IG362" i="1"/>
  <c r="IH362" i="1"/>
  <c r="FO363" i="1"/>
  <c r="FP363" i="1"/>
  <c r="FQ363" i="1"/>
  <c r="FR363" i="1"/>
  <c r="FS363" i="1"/>
  <c r="FT363" i="1"/>
  <c r="FU363" i="1"/>
  <c r="FV363" i="1"/>
  <c r="FW363" i="1"/>
  <c r="FX363" i="1"/>
  <c r="FY363" i="1"/>
  <c r="FZ363" i="1"/>
  <c r="GA363" i="1"/>
  <c r="GB363" i="1"/>
  <c r="GC363" i="1"/>
  <c r="GD363" i="1"/>
  <c r="GE363" i="1"/>
  <c r="GF363" i="1"/>
  <c r="GG363" i="1"/>
  <c r="GH363" i="1"/>
  <c r="GI363" i="1"/>
  <c r="GJ363" i="1"/>
  <c r="GK363" i="1"/>
  <c r="GL363" i="1"/>
  <c r="GM363" i="1"/>
  <c r="GN363" i="1"/>
  <c r="GO363" i="1"/>
  <c r="GP363" i="1"/>
  <c r="GQ363" i="1"/>
  <c r="GR363" i="1"/>
  <c r="GS363" i="1"/>
  <c r="GT363" i="1"/>
  <c r="GU363" i="1"/>
  <c r="GV363" i="1"/>
  <c r="GW363" i="1"/>
  <c r="GX363" i="1"/>
  <c r="GY363" i="1"/>
  <c r="GZ363" i="1"/>
  <c r="HA363" i="1"/>
  <c r="HB363" i="1"/>
  <c r="HC363" i="1"/>
  <c r="HD363" i="1"/>
  <c r="HE363" i="1"/>
  <c r="HF363" i="1"/>
  <c r="HG363" i="1"/>
  <c r="HH363" i="1"/>
  <c r="HI363" i="1"/>
  <c r="HJ363" i="1"/>
  <c r="HK363" i="1"/>
  <c r="HL363" i="1"/>
  <c r="HM363" i="1"/>
  <c r="HN363" i="1"/>
  <c r="HO363" i="1"/>
  <c r="HP363" i="1"/>
  <c r="HQ363" i="1"/>
  <c r="HR363" i="1"/>
  <c r="HS363" i="1"/>
  <c r="HT363" i="1"/>
  <c r="HU363" i="1"/>
  <c r="HV363" i="1"/>
  <c r="HW363" i="1"/>
  <c r="HX363" i="1"/>
  <c r="HY363" i="1"/>
  <c r="HZ363" i="1"/>
  <c r="IA363" i="1"/>
  <c r="IB363" i="1"/>
  <c r="IC363" i="1"/>
  <c r="ID363" i="1"/>
  <c r="IE363" i="1"/>
  <c r="IF363" i="1"/>
  <c r="IG363" i="1"/>
  <c r="IH363" i="1"/>
  <c r="FO364" i="1"/>
  <c r="FP364" i="1"/>
  <c r="FQ364" i="1"/>
  <c r="FR364" i="1"/>
  <c r="FS364" i="1"/>
  <c r="FT364" i="1"/>
  <c r="FU364" i="1"/>
  <c r="FV364" i="1"/>
  <c r="FW364" i="1"/>
  <c r="FX364" i="1"/>
  <c r="FY364" i="1"/>
  <c r="FZ364" i="1"/>
  <c r="GA364" i="1"/>
  <c r="GB364" i="1"/>
  <c r="GC364" i="1"/>
  <c r="GD364" i="1"/>
  <c r="GE364" i="1"/>
  <c r="GF364" i="1"/>
  <c r="GG364" i="1"/>
  <c r="GH364" i="1"/>
  <c r="GI364" i="1"/>
  <c r="GJ364" i="1"/>
  <c r="GK364" i="1"/>
  <c r="GL364" i="1"/>
  <c r="GM364" i="1"/>
  <c r="GN364" i="1"/>
  <c r="GO364" i="1"/>
  <c r="GP364" i="1"/>
  <c r="GQ364" i="1"/>
  <c r="GR364" i="1"/>
  <c r="GS364" i="1"/>
  <c r="GT364" i="1"/>
  <c r="GU364" i="1"/>
  <c r="GV364" i="1"/>
  <c r="GW364" i="1"/>
  <c r="GX364" i="1"/>
  <c r="GY364" i="1"/>
  <c r="GZ364" i="1"/>
  <c r="HA364" i="1"/>
  <c r="HB364" i="1"/>
  <c r="HC364" i="1"/>
  <c r="HD364" i="1"/>
  <c r="HE364" i="1"/>
  <c r="HF364" i="1"/>
  <c r="HG364" i="1"/>
  <c r="HH364" i="1"/>
  <c r="HI364" i="1"/>
  <c r="HJ364" i="1"/>
  <c r="HK364" i="1"/>
  <c r="HL364" i="1"/>
  <c r="HM364" i="1"/>
  <c r="HN364" i="1"/>
  <c r="HO364" i="1"/>
  <c r="HP364" i="1"/>
  <c r="HQ364" i="1"/>
  <c r="HR364" i="1"/>
  <c r="HS364" i="1"/>
  <c r="HT364" i="1"/>
  <c r="HU364" i="1"/>
  <c r="HV364" i="1"/>
  <c r="HW364" i="1"/>
  <c r="HX364" i="1"/>
  <c r="HY364" i="1"/>
  <c r="HZ364" i="1"/>
  <c r="IA364" i="1"/>
  <c r="IB364" i="1"/>
  <c r="IC364" i="1"/>
  <c r="ID364" i="1"/>
  <c r="IE364" i="1"/>
  <c r="IF364" i="1"/>
  <c r="IG364" i="1"/>
  <c r="IH364" i="1"/>
  <c r="FO365" i="1"/>
  <c r="FP365" i="1"/>
  <c r="FQ365" i="1"/>
  <c r="FR365" i="1"/>
  <c r="FS365" i="1"/>
  <c r="FT365" i="1"/>
  <c r="FU365" i="1"/>
  <c r="FV365" i="1"/>
  <c r="FW365" i="1"/>
  <c r="FX365" i="1"/>
  <c r="FY365" i="1"/>
  <c r="FZ365" i="1"/>
  <c r="GA365" i="1"/>
  <c r="GB365" i="1"/>
  <c r="GC365" i="1"/>
  <c r="GD365" i="1"/>
  <c r="GE365" i="1"/>
  <c r="GF365" i="1"/>
  <c r="GG365" i="1"/>
  <c r="GH365" i="1"/>
  <c r="GI365" i="1"/>
  <c r="GJ365" i="1"/>
  <c r="GK365" i="1"/>
  <c r="GL365" i="1"/>
  <c r="GM365" i="1"/>
  <c r="GN365" i="1"/>
  <c r="GO365" i="1"/>
  <c r="GP365" i="1"/>
  <c r="GQ365" i="1"/>
  <c r="GR365" i="1"/>
  <c r="GS365" i="1"/>
  <c r="GT365" i="1"/>
  <c r="GU365" i="1"/>
  <c r="GV365" i="1"/>
  <c r="GW365" i="1"/>
  <c r="GX365" i="1"/>
  <c r="GY365" i="1"/>
  <c r="GZ365" i="1"/>
  <c r="HA365" i="1"/>
  <c r="HB365" i="1"/>
  <c r="HC365" i="1"/>
  <c r="HD365" i="1"/>
  <c r="HE365" i="1"/>
  <c r="HF365" i="1"/>
  <c r="HG365" i="1"/>
  <c r="HH365" i="1"/>
  <c r="HI365" i="1"/>
  <c r="HJ365" i="1"/>
  <c r="HK365" i="1"/>
  <c r="HL365" i="1"/>
  <c r="HM365" i="1"/>
  <c r="HN365" i="1"/>
  <c r="HO365" i="1"/>
  <c r="HP365" i="1"/>
  <c r="HQ365" i="1"/>
  <c r="HR365" i="1"/>
  <c r="HS365" i="1"/>
  <c r="HT365" i="1"/>
  <c r="HU365" i="1"/>
  <c r="HV365" i="1"/>
  <c r="HW365" i="1"/>
  <c r="HX365" i="1"/>
  <c r="HY365" i="1"/>
  <c r="HZ365" i="1"/>
  <c r="IA365" i="1"/>
  <c r="IB365" i="1"/>
  <c r="IC365" i="1"/>
  <c r="ID365" i="1"/>
  <c r="IE365" i="1"/>
  <c r="IF365" i="1"/>
  <c r="IG365" i="1"/>
  <c r="IH365" i="1"/>
  <c r="FO366" i="1"/>
  <c r="FP366" i="1"/>
  <c r="FQ366" i="1"/>
  <c r="FR366" i="1"/>
  <c r="FS366" i="1"/>
  <c r="FT366" i="1"/>
  <c r="FU366" i="1"/>
  <c r="FV366" i="1"/>
  <c r="FW366" i="1"/>
  <c r="FX366" i="1"/>
  <c r="FY366" i="1"/>
  <c r="FZ366" i="1"/>
  <c r="GA366" i="1"/>
  <c r="GB366" i="1"/>
  <c r="GC366" i="1"/>
  <c r="GD366" i="1"/>
  <c r="GE366" i="1"/>
  <c r="GF366" i="1"/>
  <c r="GG366" i="1"/>
  <c r="GH366" i="1"/>
  <c r="GI366" i="1"/>
  <c r="GJ366" i="1"/>
  <c r="GK366" i="1"/>
  <c r="GL366" i="1"/>
  <c r="GM366" i="1"/>
  <c r="GN366" i="1"/>
  <c r="GO366" i="1"/>
  <c r="GP366" i="1"/>
  <c r="GQ366" i="1"/>
  <c r="GR366" i="1"/>
  <c r="GS366" i="1"/>
  <c r="GT366" i="1"/>
  <c r="GU366" i="1"/>
  <c r="GV366" i="1"/>
  <c r="GW366" i="1"/>
  <c r="GX366" i="1"/>
  <c r="GY366" i="1"/>
  <c r="GZ366" i="1"/>
  <c r="HA366" i="1"/>
  <c r="HB366" i="1"/>
  <c r="HC366" i="1"/>
  <c r="HD366" i="1"/>
  <c r="HE366" i="1"/>
  <c r="HF366" i="1"/>
  <c r="HG366" i="1"/>
  <c r="HH366" i="1"/>
  <c r="HI366" i="1"/>
  <c r="HJ366" i="1"/>
  <c r="HK366" i="1"/>
  <c r="HL366" i="1"/>
  <c r="HM366" i="1"/>
  <c r="HN366" i="1"/>
  <c r="HO366" i="1"/>
  <c r="HP366" i="1"/>
  <c r="HQ366" i="1"/>
  <c r="HR366" i="1"/>
  <c r="HS366" i="1"/>
  <c r="HT366" i="1"/>
  <c r="HU366" i="1"/>
  <c r="HV366" i="1"/>
  <c r="HW366" i="1"/>
  <c r="HX366" i="1"/>
  <c r="HY366" i="1"/>
  <c r="HZ366" i="1"/>
  <c r="IA366" i="1"/>
  <c r="IB366" i="1"/>
  <c r="IC366" i="1"/>
  <c r="ID366" i="1"/>
  <c r="IE366" i="1"/>
  <c r="IF366" i="1"/>
  <c r="IG366" i="1"/>
  <c r="IH366" i="1"/>
  <c r="FO367" i="1"/>
  <c r="FP367" i="1"/>
  <c r="FQ367" i="1"/>
  <c r="FR367" i="1"/>
  <c r="FS367" i="1"/>
  <c r="FT367" i="1"/>
  <c r="FU367" i="1"/>
  <c r="FV367" i="1"/>
  <c r="FW367" i="1"/>
  <c r="FX367" i="1"/>
  <c r="FY367" i="1"/>
  <c r="FZ367" i="1"/>
  <c r="GA367" i="1"/>
  <c r="GB367" i="1"/>
  <c r="GC367" i="1"/>
  <c r="GD367" i="1"/>
  <c r="GE367" i="1"/>
  <c r="GF367" i="1"/>
  <c r="GG367" i="1"/>
  <c r="GH367" i="1"/>
  <c r="GI367" i="1"/>
  <c r="GJ367" i="1"/>
  <c r="GK367" i="1"/>
  <c r="GL367" i="1"/>
  <c r="GM367" i="1"/>
  <c r="GN367" i="1"/>
  <c r="GO367" i="1"/>
  <c r="GP367" i="1"/>
  <c r="GQ367" i="1"/>
  <c r="GR367" i="1"/>
  <c r="GS367" i="1"/>
  <c r="GT367" i="1"/>
  <c r="GU367" i="1"/>
  <c r="GV367" i="1"/>
  <c r="GW367" i="1"/>
  <c r="GX367" i="1"/>
  <c r="GY367" i="1"/>
  <c r="GZ367" i="1"/>
  <c r="HA367" i="1"/>
  <c r="HB367" i="1"/>
  <c r="HC367" i="1"/>
  <c r="HD367" i="1"/>
  <c r="HE367" i="1"/>
  <c r="HF367" i="1"/>
  <c r="HG367" i="1"/>
  <c r="HH367" i="1"/>
  <c r="HI367" i="1"/>
  <c r="HJ367" i="1"/>
  <c r="HK367" i="1"/>
  <c r="HL367" i="1"/>
  <c r="HM367" i="1"/>
  <c r="HN367" i="1"/>
  <c r="HO367" i="1"/>
  <c r="HP367" i="1"/>
  <c r="HQ367" i="1"/>
  <c r="HR367" i="1"/>
  <c r="HS367" i="1"/>
  <c r="HT367" i="1"/>
  <c r="HU367" i="1"/>
  <c r="HV367" i="1"/>
  <c r="HW367" i="1"/>
  <c r="HX367" i="1"/>
  <c r="HY367" i="1"/>
  <c r="HZ367" i="1"/>
  <c r="IA367" i="1"/>
  <c r="IB367" i="1"/>
  <c r="IC367" i="1"/>
  <c r="ID367" i="1"/>
  <c r="IE367" i="1"/>
  <c r="IF367" i="1"/>
  <c r="IG367" i="1"/>
  <c r="IH367" i="1"/>
  <c r="FO368" i="1"/>
  <c r="FP368" i="1"/>
  <c r="FQ368" i="1"/>
  <c r="FR368" i="1"/>
  <c r="FS368" i="1"/>
  <c r="FT368" i="1"/>
  <c r="FU368" i="1"/>
  <c r="FV368" i="1"/>
  <c r="FW368" i="1"/>
  <c r="FX368" i="1"/>
  <c r="FY368" i="1"/>
  <c r="FZ368" i="1"/>
  <c r="GA368" i="1"/>
  <c r="GB368" i="1"/>
  <c r="GC368" i="1"/>
  <c r="GD368" i="1"/>
  <c r="GE368" i="1"/>
  <c r="GF368" i="1"/>
  <c r="GG368" i="1"/>
  <c r="GH368" i="1"/>
  <c r="GI368" i="1"/>
  <c r="GJ368" i="1"/>
  <c r="GK368" i="1"/>
  <c r="GL368" i="1"/>
  <c r="GM368" i="1"/>
  <c r="GN368" i="1"/>
  <c r="GO368" i="1"/>
  <c r="GP368" i="1"/>
  <c r="GQ368" i="1"/>
  <c r="GR368" i="1"/>
  <c r="GS368" i="1"/>
  <c r="GT368" i="1"/>
  <c r="GU368" i="1"/>
  <c r="GV368" i="1"/>
  <c r="GW368" i="1"/>
  <c r="GX368" i="1"/>
  <c r="GY368" i="1"/>
  <c r="GZ368" i="1"/>
  <c r="HA368" i="1"/>
  <c r="HB368" i="1"/>
  <c r="HC368" i="1"/>
  <c r="HD368" i="1"/>
  <c r="HE368" i="1"/>
  <c r="HF368" i="1"/>
  <c r="HG368" i="1"/>
  <c r="HH368" i="1"/>
  <c r="HI368" i="1"/>
  <c r="HJ368" i="1"/>
  <c r="HK368" i="1"/>
  <c r="HL368" i="1"/>
  <c r="HM368" i="1"/>
  <c r="HN368" i="1"/>
  <c r="HO368" i="1"/>
  <c r="HP368" i="1"/>
  <c r="HQ368" i="1"/>
  <c r="HR368" i="1"/>
  <c r="HS368" i="1"/>
  <c r="HT368" i="1"/>
  <c r="HU368" i="1"/>
  <c r="HV368" i="1"/>
  <c r="HW368" i="1"/>
  <c r="HX368" i="1"/>
  <c r="HY368" i="1"/>
  <c r="HZ368" i="1"/>
  <c r="IA368" i="1"/>
  <c r="IB368" i="1"/>
  <c r="IC368" i="1"/>
  <c r="ID368" i="1"/>
  <c r="IE368" i="1"/>
  <c r="IF368" i="1"/>
  <c r="IG368" i="1"/>
  <c r="IH368" i="1"/>
  <c r="FO369" i="1"/>
  <c r="FP369" i="1"/>
  <c r="FQ369" i="1"/>
  <c r="FR369" i="1"/>
  <c r="FS369" i="1"/>
  <c r="FT369" i="1"/>
  <c r="FU369" i="1"/>
  <c r="FV369" i="1"/>
  <c r="FW369" i="1"/>
  <c r="FX369" i="1"/>
  <c r="FY369" i="1"/>
  <c r="FZ369" i="1"/>
  <c r="GA369" i="1"/>
  <c r="GB369" i="1"/>
  <c r="GC369" i="1"/>
  <c r="GD369" i="1"/>
  <c r="GE369" i="1"/>
  <c r="GF369" i="1"/>
  <c r="GG369" i="1"/>
  <c r="GH369" i="1"/>
  <c r="GI369" i="1"/>
  <c r="GJ369" i="1"/>
  <c r="GK369" i="1"/>
  <c r="GL369" i="1"/>
  <c r="GM369" i="1"/>
  <c r="GN369" i="1"/>
  <c r="GO369" i="1"/>
  <c r="GP369" i="1"/>
  <c r="GQ369" i="1"/>
  <c r="GR369" i="1"/>
  <c r="GS369" i="1"/>
  <c r="GT369" i="1"/>
  <c r="GU369" i="1"/>
  <c r="GV369" i="1"/>
  <c r="GW369" i="1"/>
  <c r="GX369" i="1"/>
  <c r="GY369" i="1"/>
  <c r="GZ369" i="1"/>
  <c r="HA369" i="1"/>
  <c r="HB369" i="1"/>
  <c r="HC369" i="1"/>
  <c r="HD369" i="1"/>
  <c r="HE369" i="1"/>
  <c r="HF369" i="1"/>
  <c r="HG369" i="1"/>
  <c r="HH369" i="1"/>
  <c r="HI369" i="1"/>
  <c r="HJ369" i="1"/>
  <c r="HK369" i="1"/>
  <c r="HL369" i="1"/>
  <c r="HM369" i="1"/>
  <c r="HN369" i="1"/>
  <c r="HO369" i="1"/>
  <c r="HP369" i="1"/>
  <c r="HQ369" i="1"/>
  <c r="HR369" i="1"/>
  <c r="HS369" i="1"/>
  <c r="HT369" i="1"/>
  <c r="HU369" i="1"/>
  <c r="HV369" i="1"/>
  <c r="HW369" i="1"/>
  <c r="HX369" i="1"/>
  <c r="HY369" i="1"/>
  <c r="HZ369" i="1"/>
  <c r="IA369" i="1"/>
  <c r="IB369" i="1"/>
  <c r="IC369" i="1"/>
  <c r="ID369" i="1"/>
  <c r="IE369" i="1"/>
  <c r="IF369" i="1"/>
  <c r="IG369" i="1"/>
  <c r="IH369" i="1"/>
  <c r="FO370" i="1"/>
  <c r="FP370" i="1"/>
  <c r="FQ370" i="1"/>
  <c r="FR370" i="1"/>
  <c r="FS370" i="1"/>
  <c r="FT370" i="1"/>
  <c r="FU370" i="1"/>
  <c r="FV370" i="1"/>
  <c r="FW370" i="1"/>
  <c r="FX370" i="1"/>
  <c r="FY370" i="1"/>
  <c r="FZ370" i="1"/>
  <c r="GA370" i="1"/>
  <c r="GB370" i="1"/>
  <c r="GC370" i="1"/>
  <c r="GD370" i="1"/>
  <c r="GE370" i="1"/>
  <c r="GF370" i="1"/>
  <c r="GG370" i="1"/>
  <c r="GH370" i="1"/>
  <c r="GI370" i="1"/>
  <c r="GJ370" i="1"/>
  <c r="GK370" i="1"/>
  <c r="GL370" i="1"/>
  <c r="GM370" i="1"/>
  <c r="GN370" i="1"/>
  <c r="GO370" i="1"/>
  <c r="GP370" i="1"/>
  <c r="GQ370" i="1"/>
  <c r="GR370" i="1"/>
  <c r="GS370" i="1"/>
  <c r="GT370" i="1"/>
  <c r="GU370" i="1"/>
  <c r="GV370" i="1"/>
  <c r="GW370" i="1"/>
  <c r="GX370" i="1"/>
  <c r="GY370" i="1"/>
  <c r="GZ370" i="1"/>
  <c r="HA370" i="1"/>
  <c r="HB370" i="1"/>
  <c r="HC370" i="1"/>
  <c r="HD370" i="1"/>
  <c r="HE370" i="1"/>
  <c r="HF370" i="1"/>
  <c r="HG370" i="1"/>
  <c r="HH370" i="1"/>
  <c r="HI370" i="1"/>
  <c r="HJ370" i="1"/>
  <c r="HK370" i="1"/>
  <c r="HL370" i="1"/>
  <c r="HM370" i="1"/>
  <c r="HN370" i="1"/>
  <c r="HO370" i="1"/>
  <c r="HP370" i="1"/>
  <c r="HQ370" i="1"/>
  <c r="HR370" i="1"/>
  <c r="HS370" i="1"/>
  <c r="HT370" i="1"/>
  <c r="HU370" i="1"/>
  <c r="HV370" i="1"/>
  <c r="HW370" i="1"/>
  <c r="HX370" i="1"/>
  <c r="HY370" i="1"/>
  <c r="HZ370" i="1"/>
  <c r="IA370" i="1"/>
  <c r="IB370" i="1"/>
  <c r="IC370" i="1"/>
  <c r="ID370" i="1"/>
  <c r="IE370" i="1"/>
  <c r="IF370" i="1"/>
  <c r="IG370" i="1"/>
  <c r="IH370" i="1"/>
  <c r="FO371" i="1"/>
  <c r="FP371" i="1"/>
  <c r="FQ371" i="1"/>
  <c r="FR371" i="1"/>
  <c r="FS371" i="1"/>
  <c r="FT371" i="1"/>
  <c r="FU371" i="1"/>
  <c r="FV371" i="1"/>
  <c r="FW371" i="1"/>
  <c r="FX371" i="1"/>
  <c r="FY371" i="1"/>
  <c r="FZ371" i="1"/>
  <c r="GA371" i="1"/>
  <c r="GB371" i="1"/>
  <c r="GC371" i="1"/>
  <c r="GD371" i="1"/>
  <c r="GE371" i="1"/>
  <c r="GF371" i="1"/>
  <c r="GG371" i="1"/>
  <c r="GH371" i="1"/>
  <c r="GI371" i="1"/>
  <c r="GJ371" i="1"/>
  <c r="GK371" i="1"/>
  <c r="GL371" i="1"/>
  <c r="GM371" i="1"/>
  <c r="GN371" i="1"/>
  <c r="GO371" i="1"/>
  <c r="GP371" i="1"/>
  <c r="GQ371" i="1"/>
  <c r="GR371" i="1"/>
  <c r="GS371" i="1"/>
  <c r="GT371" i="1"/>
  <c r="GU371" i="1"/>
  <c r="GV371" i="1"/>
  <c r="GW371" i="1"/>
  <c r="GX371" i="1"/>
  <c r="GY371" i="1"/>
  <c r="GZ371" i="1"/>
  <c r="HA371" i="1"/>
  <c r="HB371" i="1"/>
  <c r="HC371" i="1"/>
  <c r="HD371" i="1"/>
  <c r="HE371" i="1"/>
  <c r="HF371" i="1"/>
  <c r="HG371" i="1"/>
  <c r="HH371" i="1"/>
  <c r="HI371" i="1"/>
  <c r="HJ371" i="1"/>
  <c r="HK371" i="1"/>
  <c r="HL371" i="1"/>
  <c r="HM371" i="1"/>
  <c r="HN371" i="1"/>
  <c r="HO371" i="1"/>
  <c r="HP371" i="1"/>
  <c r="HQ371" i="1"/>
  <c r="HR371" i="1"/>
  <c r="HS371" i="1"/>
  <c r="HT371" i="1"/>
  <c r="HU371" i="1"/>
  <c r="HV371" i="1"/>
  <c r="HW371" i="1"/>
  <c r="HX371" i="1"/>
  <c r="HY371" i="1"/>
  <c r="HZ371" i="1"/>
  <c r="IA371" i="1"/>
  <c r="IB371" i="1"/>
  <c r="IC371" i="1"/>
  <c r="ID371" i="1"/>
  <c r="IE371" i="1"/>
  <c r="IF371" i="1"/>
  <c r="IG371" i="1"/>
  <c r="IH371" i="1"/>
  <c r="FO372" i="1"/>
  <c r="FP372" i="1"/>
  <c r="FQ372" i="1"/>
  <c r="FR372" i="1"/>
  <c r="FS372" i="1"/>
  <c r="FT372" i="1"/>
  <c r="FU372" i="1"/>
  <c r="FV372" i="1"/>
  <c r="FW372" i="1"/>
  <c r="FX372" i="1"/>
  <c r="FY372" i="1"/>
  <c r="FZ372" i="1"/>
  <c r="GA372" i="1"/>
  <c r="GB372" i="1"/>
  <c r="GC372" i="1"/>
  <c r="GD372" i="1"/>
  <c r="GE372" i="1"/>
  <c r="GF372" i="1"/>
  <c r="GG372" i="1"/>
  <c r="GH372" i="1"/>
  <c r="GI372" i="1"/>
  <c r="GJ372" i="1"/>
  <c r="GK372" i="1"/>
  <c r="GL372" i="1"/>
  <c r="GM372" i="1"/>
  <c r="GN372" i="1"/>
  <c r="GO372" i="1"/>
  <c r="GP372" i="1"/>
  <c r="GQ372" i="1"/>
  <c r="GR372" i="1"/>
  <c r="GS372" i="1"/>
  <c r="GT372" i="1"/>
  <c r="GU372" i="1"/>
  <c r="GV372" i="1"/>
  <c r="GW372" i="1"/>
  <c r="GX372" i="1"/>
  <c r="GY372" i="1"/>
  <c r="GZ372" i="1"/>
  <c r="HA372" i="1"/>
  <c r="HB372" i="1"/>
  <c r="HC372" i="1"/>
  <c r="HD372" i="1"/>
  <c r="HE372" i="1"/>
  <c r="HF372" i="1"/>
  <c r="HG372" i="1"/>
  <c r="HH372" i="1"/>
  <c r="HI372" i="1"/>
  <c r="HJ372" i="1"/>
  <c r="HK372" i="1"/>
  <c r="HL372" i="1"/>
  <c r="HM372" i="1"/>
  <c r="HN372" i="1"/>
  <c r="HO372" i="1"/>
  <c r="HP372" i="1"/>
  <c r="HQ372" i="1"/>
  <c r="HR372" i="1"/>
  <c r="HS372" i="1"/>
  <c r="HT372" i="1"/>
  <c r="HU372" i="1"/>
  <c r="HV372" i="1"/>
  <c r="HW372" i="1"/>
  <c r="HX372" i="1"/>
  <c r="HY372" i="1"/>
  <c r="HZ372" i="1"/>
  <c r="IA372" i="1"/>
  <c r="IB372" i="1"/>
  <c r="IC372" i="1"/>
  <c r="ID372" i="1"/>
  <c r="IE372" i="1"/>
  <c r="IF372" i="1"/>
  <c r="IG372" i="1"/>
  <c r="IH372" i="1"/>
  <c r="FO373" i="1"/>
  <c r="FP373" i="1"/>
  <c r="FQ373" i="1"/>
  <c r="FR373" i="1"/>
  <c r="FS373" i="1"/>
  <c r="FT373" i="1"/>
  <c r="FU373" i="1"/>
  <c r="FV373" i="1"/>
  <c r="FW373" i="1"/>
  <c r="FX373" i="1"/>
  <c r="FY373" i="1"/>
  <c r="FZ373" i="1"/>
  <c r="GA373" i="1"/>
  <c r="GB373" i="1"/>
  <c r="GC373" i="1"/>
  <c r="GD373" i="1"/>
  <c r="GE373" i="1"/>
  <c r="GF373" i="1"/>
  <c r="GG373" i="1"/>
  <c r="GH373" i="1"/>
  <c r="GI373" i="1"/>
  <c r="GJ373" i="1"/>
  <c r="GK373" i="1"/>
  <c r="GL373" i="1"/>
  <c r="GM373" i="1"/>
  <c r="GN373" i="1"/>
  <c r="GO373" i="1"/>
  <c r="GP373" i="1"/>
  <c r="GQ373" i="1"/>
  <c r="GR373" i="1"/>
  <c r="GS373" i="1"/>
  <c r="GT373" i="1"/>
  <c r="GU373" i="1"/>
  <c r="GV373" i="1"/>
  <c r="GW373" i="1"/>
  <c r="GX373" i="1"/>
  <c r="GY373" i="1"/>
  <c r="GZ373" i="1"/>
  <c r="HA373" i="1"/>
  <c r="HB373" i="1"/>
  <c r="HC373" i="1"/>
  <c r="HD373" i="1"/>
  <c r="HE373" i="1"/>
  <c r="HF373" i="1"/>
  <c r="HG373" i="1"/>
  <c r="HH373" i="1"/>
  <c r="HI373" i="1"/>
  <c r="HJ373" i="1"/>
  <c r="HK373" i="1"/>
  <c r="HL373" i="1"/>
  <c r="HM373" i="1"/>
  <c r="HN373" i="1"/>
  <c r="HO373" i="1"/>
  <c r="HP373" i="1"/>
  <c r="HQ373" i="1"/>
  <c r="HR373" i="1"/>
  <c r="HS373" i="1"/>
  <c r="HT373" i="1"/>
  <c r="HU373" i="1"/>
  <c r="HV373" i="1"/>
  <c r="HW373" i="1"/>
  <c r="HX373" i="1"/>
  <c r="HY373" i="1"/>
  <c r="HZ373" i="1"/>
  <c r="IA373" i="1"/>
  <c r="IB373" i="1"/>
  <c r="IC373" i="1"/>
  <c r="ID373" i="1"/>
  <c r="IE373" i="1"/>
  <c r="IF373" i="1"/>
  <c r="IG373" i="1"/>
  <c r="IH373" i="1"/>
  <c r="FO374" i="1"/>
  <c r="FP374" i="1"/>
  <c r="FQ374" i="1"/>
  <c r="FR374" i="1"/>
  <c r="FS374" i="1"/>
  <c r="FT374" i="1"/>
  <c r="FU374" i="1"/>
  <c r="FV374" i="1"/>
  <c r="FW374" i="1"/>
  <c r="FX374" i="1"/>
  <c r="FY374" i="1"/>
  <c r="FZ374" i="1"/>
  <c r="GA374" i="1"/>
  <c r="GB374" i="1"/>
  <c r="GC374" i="1"/>
  <c r="GD374" i="1"/>
  <c r="GE374" i="1"/>
  <c r="GF374" i="1"/>
  <c r="GG374" i="1"/>
  <c r="GH374" i="1"/>
  <c r="GI374" i="1"/>
  <c r="GJ374" i="1"/>
  <c r="GK374" i="1"/>
  <c r="GL374" i="1"/>
  <c r="GM374" i="1"/>
  <c r="GN374" i="1"/>
  <c r="GO374" i="1"/>
  <c r="GP374" i="1"/>
  <c r="GQ374" i="1"/>
  <c r="GR374" i="1"/>
  <c r="GS374" i="1"/>
  <c r="GT374" i="1"/>
  <c r="GU374" i="1"/>
  <c r="GV374" i="1"/>
  <c r="GW374" i="1"/>
  <c r="GX374" i="1"/>
  <c r="GY374" i="1"/>
  <c r="GZ374" i="1"/>
  <c r="HA374" i="1"/>
  <c r="HB374" i="1"/>
  <c r="HC374" i="1"/>
  <c r="HD374" i="1"/>
  <c r="HE374" i="1"/>
  <c r="HF374" i="1"/>
  <c r="HG374" i="1"/>
  <c r="HH374" i="1"/>
  <c r="HI374" i="1"/>
  <c r="HJ374" i="1"/>
  <c r="HK374" i="1"/>
  <c r="HL374" i="1"/>
  <c r="HM374" i="1"/>
  <c r="HN374" i="1"/>
  <c r="HO374" i="1"/>
  <c r="HP374" i="1"/>
  <c r="HQ374" i="1"/>
  <c r="HR374" i="1"/>
  <c r="HS374" i="1"/>
  <c r="HT374" i="1"/>
  <c r="HU374" i="1"/>
  <c r="HV374" i="1"/>
  <c r="HW374" i="1"/>
  <c r="HX374" i="1"/>
  <c r="HY374" i="1"/>
  <c r="HZ374" i="1"/>
  <c r="IA374" i="1"/>
  <c r="IB374" i="1"/>
  <c r="IC374" i="1"/>
  <c r="ID374" i="1"/>
  <c r="IE374" i="1"/>
  <c r="IF374" i="1"/>
  <c r="IG374" i="1"/>
  <c r="IH374" i="1"/>
  <c r="FO375" i="1"/>
  <c r="FP375" i="1"/>
  <c r="FQ375" i="1"/>
  <c r="FR375" i="1"/>
  <c r="FS375" i="1"/>
  <c r="FT375" i="1"/>
  <c r="FU375" i="1"/>
  <c r="FV375" i="1"/>
  <c r="FW375" i="1"/>
  <c r="FX375" i="1"/>
  <c r="FY375" i="1"/>
  <c r="FZ375" i="1"/>
  <c r="GA375" i="1"/>
  <c r="GB375" i="1"/>
  <c r="GC375" i="1"/>
  <c r="GD375" i="1"/>
  <c r="GE375" i="1"/>
  <c r="GF375" i="1"/>
  <c r="GG375" i="1"/>
  <c r="GH375" i="1"/>
  <c r="GI375" i="1"/>
  <c r="GJ375" i="1"/>
  <c r="GK375" i="1"/>
  <c r="GL375" i="1"/>
  <c r="GM375" i="1"/>
  <c r="GN375" i="1"/>
  <c r="GO375" i="1"/>
  <c r="GP375" i="1"/>
  <c r="GQ375" i="1"/>
  <c r="GR375" i="1"/>
  <c r="GS375" i="1"/>
  <c r="GT375" i="1"/>
  <c r="GU375" i="1"/>
  <c r="GV375" i="1"/>
  <c r="GW375" i="1"/>
  <c r="GX375" i="1"/>
  <c r="GY375" i="1"/>
  <c r="GZ375" i="1"/>
  <c r="HA375" i="1"/>
  <c r="HB375" i="1"/>
  <c r="HC375" i="1"/>
  <c r="HD375" i="1"/>
  <c r="HE375" i="1"/>
  <c r="HF375" i="1"/>
  <c r="HG375" i="1"/>
  <c r="HH375" i="1"/>
  <c r="HI375" i="1"/>
  <c r="HJ375" i="1"/>
  <c r="HK375" i="1"/>
  <c r="HL375" i="1"/>
  <c r="HM375" i="1"/>
  <c r="HN375" i="1"/>
  <c r="HO375" i="1"/>
  <c r="HP375" i="1"/>
  <c r="HQ375" i="1"/>
  <c r="HR375" i="1"/>
  <c r="HS375" i="1"/>
  <c r="HT375" i="1"/>
  <c r="HU375" i="1"/>
  <c r="HV375" i="1"/>
  <c r="HW375" i="1"/>
  <c r="HX375" i="1"/>
  <c r="HY375" i="1"/>
  <c r="HZ375" i="1"/>
  <c r="IA375" i="1"/>
  <c r="IB375" i="1"/>
  <c r="IC375" i="1"/>
  <c r="ID375" i="1"/>
  <c r="IE375" i="1"/>
  <c r="IF375" i="1"/>
  <c r="IG375" i="1"/>
  <c r="IH375" i="1"/>
  <c r="FO376" i="1"/>
  <c r="FP376" i="1"/>
  <c r="FQ376" i="1"/>
  <c r="FR376" i="1"/>
  <c r="FS376" i="1"/>
  <c r="FT376" i="1"/>
  <c r="FU376" i="1"/>
  <c r="FV376" i="1"/>
  <c r="FW376" i="1"/>
  <c r="FX376" i="1"/>
  <c r="FY376" i="1"/>
  <c r="FZ376" i="1"/>
  <c r="GA376" i="1"/>
  <c r="GB376" i="1"/>
  <c r="GC376" i="1"/>
  <c r="GD376" i="1"/>
  <c r="GE376" i="1"/>
  <c r="GF376" i="1"/>
  <c r="GG376" i="1"/>
  <c r="GH376" i="1"/>
  <c r="GI376" i="1"/>
  <c r="GJ376" i="1"/>
  <c r="GK376" i="1"/>
  <c r="GL376" i="1"/>
  <c r="GM376" i="1"/>
  <c r="GN376" i="1"/>
  <c r="GO376" i="1"/>
  <c r="GP376" i="1"/>
  <c r="GQ376" i="1"/>
  <c r="GR376" i="1"/>
  <c r="GS376" i="1"/>
  <c r="GT376" i="1"/>
  <c r="GU376" i="1"/>
  <c r="GV376" i="1"/>
  <c r="GW376" i="1"/>
  <c r="GX376" i="1"/>
  <c r="GY376" i="1"/>
  <c r="GZ376" i="1"/>
  <c r="HA376" i="1"/>
  <c r="HB376" i="1"/>
  <c r="HC376" i="1"/>
  <c r="HD376" i="1"/>
  <c r="HE376" i="1"/>
  <c r="HF376" i="1"/>
  <c r="HG376" i="1"/>
  <c r="HH376" i="1"/>
  <c r="HI376" i="1"/>
  <c r="HJ376" i="1"/>
  <c r="HK376" i="1"/>
  <c r="HL376" i="1"/>
  <c r="HM376" i="1"/>
  <c r="HN376" i="1"/>
  <c r="HO376" i="1"/>
  <c r="HP376" i="1"/>
  <c r="HQ376" i="1"/>
  <c r="HR376" i="1"/>
  <c r="HS376" i="1"/>
  <c r="HT376" i="1"/>
  <c r="HU376" i="1"/>
  <c r="HV376" i="1"/>
  <c r="HW376" i="1"/>
  <c r="HX376" i="1"/>
  <c r="HY376" i="1"/>
  <c r="HZ376" i="1"/>
  <c r="IA376" i="1"/>
  <c r="IB376" i="1"/>
  <c r="IC376" i="1"/>
  <c r="ID376" i="1"/>
  <c r="IE376" i="1"/>
  <c r="IF376" i="1"/>
  <c r="IG376" i="1"/>
  <c r="IH376" i="1"/>
  <c r="FO377" i="1"/>
  <c r="FP377" i="1"/>
  <c r="FQ377" i="1"/>
  <c r="FR377" i="1"/>
  <c r="FS377" i="1"/>
  <c r="FT377" i="1"/>
  <c r="FU377" i="1"/>
  <c r="FV377" i="1"/>
  <c r="FW377" i="1"/>
  <c r="FX377" i="1"/>
  <c r="FY377" i="1"/>
  <c r="FZ377" i="1"/>
  <c r="GA377" i="1"/>
  <c r="GB377" i="1"/>
  <c r="GC377" i="1"/>
  <c r="GD377" i="1"/>
  <c r="GE377" i="1"/>
  <c r="GF377" i="1"/>
  <c r="GG377" i="1"/>
  <c r="GH377" i="1"/>
  <c r="GI377" i="1"/>
  <c r="GJ377" i="1"/>
  <c r="GK377" i="1"/>
  <c r="GL377" i="1"/>
  <c r="GM377" i="1"/>
  <c r="GN377" i="1"/>
  <c r="GO377" i="1"/>
  <c r="GP377" i="1"/>
  <c r="GQ377" i="1"/>
  <c r="GR377" i="1"/>
  <c r="GS377" i="1"/>
  <c r="GT377" i="1"/>
  <c r="GU377" i="1"/>
  <c r="GV377" i="1"/>
  <c r="GW377" i="1"/>
  <c r="GX377" i="1"/>
  <c r="GY377" i="1"/>
  <c r="GZ377" i="1"/>
  <c r="HA377" i="1"/>
  <c r="HB377" i="1"/>
  <c r="HC377" i="1"/>
  <c r="HD377" i="1"/>
  <c r="HE377" i="1"/>
  <c r="HF377" i="1"/>
  <c r="HG377" i="1"/>
  <c r="HH377" i="1"/>
  <c r="HI377" i="1"/>
  <c r="HJ377" i="1"/>
  <c r="HK377" i="1"/>
  <c r="HL377" i="1"/>
  <c r="HM377" i="1"/>
  <c r="HN377" i="1"/>
  <c r="HO377" i="1"/>
  <c r="HP377" i="1"/>
  <c r="HQ377" i="1"/>
  <c r="HR377" i="1"/>
  <c r="HS377" i="1"/>
  <c r="HT377" i="1"/>
  <c r="HU377" i="1"/>
  <c r="HV377" i="1"/>
  <c r="HW377" i="1"/>
  <c r="HX377" i="1"/>
  <c r="HY377" i="1"/>
  <c r="HZ377" i="1"/>
  <c r="IA377" i="1"/>
  <c r="IB377" i="1"/>
  <c r="IC377" i="1"/>
  <c r="ID377" i="1"/>
  <c r="IE377" i="1"/>
  <c r="IF377" i="1"/>
  <c r="IG377" i="1"/>
  <c r="IH377" i="1"/>
  <c r="FO378" i="1"/>
  <c r="FP378" i="1"/>
  <c r="FQ378" i="1"/>
  <c r="FR378" i="1"/>
  <c r="FS378" i="1"/>
  <c r="FT378" i="1"/>
  <c r="FU378" i="1"/>
  <c r="FV378" i="1"/>
  <c r="FW378" i="1"/>
  <c r="FX378" i="1"/>
  <c r="FY378" i="1"/>
  <c r="FZ378" i="1"/>
  <c r="GA378" i="1"/>
  <c r="GB378" i="1"/>
  <c r="GC378" i="1"/>
  <c r="GD378" i="1"/>
  <c r="GE378" i="1"/>
  <c r="GF378" i="1"/>
  <c r="GG378" i="1"/>
  <c r="GH378" i="1"/>
  <c r="GI378" i="1"/>
  <c r="GJ378" i="1"/>
  <c r="GK378" i="1"/>
  <c r="GL378" i="1"/>
  <c r="GM378" i="1"/>
  <c r="GN378" i="1"/>
  <c r="GO378" i="1"/>
  <c r="GP378" i="1"/>
  <c r="GQ378" i="1"/>
  <c r="GR378" i="1"/>
  <c r="GS378" i="1"/>
  <c r="GT378" i="1"/>
  <c r="GU378" i="1"/>
  <c r="GV378" i="1"/>
  <c r="GW378" i="1"/>
  <c r="GX378" i="1"/>
  <c r="GY378" i="1"/>
  <c r="GZ378" i="1"/>
  <c r="HA378" i="1"/>
  <c r="HB378" i="1"/>
  <c r="HC378" i="1"/>
  <c r="HD378" i="1"/>
  <c r="HE378" i="1"/>
  <c r="HF378" i="1"/>
  <c r="HG378" i="1"/>
  <c r="HH378" i="1"/>
  <c r="HI378" i="1"/>
  <c r="HJ378" i="1"/>
  <c r="HK378" i="1"/>
  <c r="HL378" i="1"/>
  <c r="HM378" i="1"/>
  <c r="HN378" i="1"/>
  <c r="HO378" i="1"/>
  <c r="HP378" i="1"/>
  <c r="HQ378" i="1"/>
  <c r="HR378" i="1"/>
  <c r="HS378" i="1"/>
  <c r="HT378" i="1"/>
  <c r="HU378" i="1"/>
  <c r="HV378" i="1"/>
  <c r="HW378" i="1"/>
  <c r="HX378" i="1"/>
  <c r="HY378" i="1"/>
  <c r="HZ378" i="1"/>
  <c r="IA378" i="1"/>
  <c r="IB378" i="1"/>
  <c r="IC378" i="1"/>
  <c r="ID378" i="1"/>
  <c r="IE378" i="1"/>
  <c r="IF378" i="1"/>
  <c r="IG378" i="1"/>
  <c r="IH378" i="1"/>
  <c r="FO379" i="1"/>
  <c r="FP379" i="1"/>
  <c r="FQ379" i="1"/>
  <c r="FR379" i="1"/>
  <c r="FS379" i="1"/>
  <c r="FT379" i="1"/>
  <c r="FU379" i="1"/>
  <c r="FV379" i="1"/>
  <c r="FW379" i="1"/>
  <c r="FX379" i="1"/>
  <c r="FY379" i="1"/>
  <c r="FZ379" i="1"/>
  <c r="GA379" i="1"/>
  <c r="GB379" i="1"/>
  <c r="GC379" i="1"/>
  <c r="GD379" i="1"/>
  <c r="GE379" i="1"/>
  <c r="GF379" i="1"/>
  <c r="GG379" i="1"/>
  <c r="GH379" i="1"/>
  <c r="GI379" i="1"/>
  <c r="GJ379" i="1"/>
  <c r="GK379" i="1"/>
  <c r="GL379" i="1"/>
  <c r="GM379" i="1"/>
  <c r="GN379" i="1"/>
  <c r="GO379" i="1"/>
  <c r="GP379" i="1"/>
  <c r="GQ379" i="1"/>
  <c r="GR379" i="1"/>
  <c r="GS379" i="1"/>
  <c r="GT379" i="1"/>
  <c r="GU379" i="1"/>
  <c r="GV379" i="1"/>
  <c r="GW379" i="1"/>
  <c r="GX379" i="1"/>
  <c r="GY379" i="1"/>
  <c r="GZ379" i="1"/>
  <c r="HA379" i="1"/>
  <c r="HB379" i="1"/>
  <c r="HC379" i="1"/>
  <c r="HD379" i="1"/>
  <c r="HE379" i="1"/>
  <c r="HF379" i="1"/>
  <c r="HG379" i="1"/>
  <c r="HH379" i="1"/>
  <c r="HI379" i="1"/>
  <c r="HJ379" i="1"/>
  <c r="HK379" i="1"/>
  <c r="HL379" i="1"/>
  <c r="HM379" i="1"/>
  <c r="HN379" i="1"/>
  <c r="HO379" i="1"/>
  <c r="HP379" i="1"/>
  <c r="HQ379" i="1"/>
  <c r="HR379" i="1"/>
  <c r="HS379" i="1"/>
  <c r="HT379" i="1"/>
  <c r="HU379" i="1"/>
  <c r="HV379" i="1"/>
  <c r="HW379" i="1"/>
  <c r="HX379" i="1"/>
  <c r="HY379" i="1"/>
  <c r="HZ379" i="1"/>
  <c r="IA379" i="1"/>
  <c r="IB379" i="1"/>
  <c r="IC379" i="1"/>
  <c r="ID379" i="1"/>
  <c r="IE379" i="1"/>
  <c r="IF379" i="1"/>
  <c r="IG379" i="1"/>
  <c r="IH379" i="1"/>
  <c r="FO380" i="1"/>
  <c r="FP380" i="1"/>
  <c r="FQ380" i="1"/>
  <c r="FR380" i="1"/>
  <c r="FS380" i="1"/>
  <c r="FT380" i="1"/>
  <c r="FU380" i="1"/>
  <c r="FV380" i="1"/>
  <c r="FW380" i="1"/>
  <c r="FX380" i="1"/>
  <c r="FY380" i="1"/>
  <c r="FZ380" i="1"/>
  <c r="GA380" i="1"/>
  <c r="GB380" i="1"/>
  <c r="GC380" i="1"/>
  <c r="GD380" i="1"/>
  <c r="GE380" i="1"/>
  <c r="GF380" i="1"/>
  <c r="GG380" i="1"/>
  <c r="GH380" i="1"/>
  <c r="GI380" i="1"/>
  <c r="GJ380" i="1"/>
  <c r="GK380" i="1"/>
  <c r="GL380" i="1"/>
  <c r="GM380" i="1"/>
  <c r="GN380" i="1"/>
  <c r="GO380" i="1"/>
  <c r="GP380" i="1"/>
  <c r="GQ380" i="1"/>
  <c r="GR380" i="1"/>
  <c r="GS380" i="1"/>
  <c r="GT380" i="1"/>
  <c r="GU380" i="1"/>
  <c r="GV380" i="1"/>
  <c r="GW380" i="1"/>
  <c r="GX380" i="1"/>
  <c r="GY380" i="1"/>
  <c r="GZ380" i="1"/>
  <c r="HA380" i="1"/>
  <c r="HB380" i="1"/>
  <c r="HC380" i="1"/>
  <c r="HD380" i="1"/>
  <c r="HE380" i="1"/>
  <c r="HF380" i="1"/>
  <c r="HG380" i="1"/>
  <c r="HH380" i="1"/>
  <c r="HI380" i="1"/>
  <c r="HJ380" i="1"/>
  <c r="HK380" i="1"/>
  <c r="HL380" i="1"/>
  <c r="HM380" i="1"/>
  <c r="HN380" i="1"/>
  <c r="HO380" i="1"/>
  <c r="HP380" i="1"/>
  <c r="HQ380" i="1"/>
  <c r="HR380" i="1"/>
  <c r="HS380" i="1"/>
  <c r="HT380" i="1"/>
  <c r="HU380" i="1"/>
  <c r="HV380" i="1"/>
  <c r="HW380" i="1"/>
  <c r="HX380" i="1"/>
  <c r="HY380" i="1"/>
  <c r="HZ380" i="1"/>
  <c r="IA380" i="1"/>
  <c r="IB380" i="1"/>
  <c r="IC380" i="1"/>
  <c r="ID380" i="1"/>
  <c r="IE380" i="1"/>
  <c r="IF380" i="1"/>
  <c r="IG380" i="1"/>
  <c r="IH380" i="1"/>
  <c r="FO381" i="1"/>
  <c r="FP381" i="1"/>
  <c r="FQ381" i="1"/>
  <c r="FR381" i="1"/>
  <c r="FS381" i="1"/>
  <c r="FT381" i="1"/>
  <c r="FU381" i="1"/>
  <c r="FV381" i="1"/>
  <c r="FW381" i="1"/>
  <c r="FX381" i="1"/>
  <c r="FY381" i="1"/>
  <c r="FZ381" i="1"/>
  <c r="GA381" i="1"/>
  <c r="GB381" i="1"/>
  <c r="GC381" i="1"/>
  <c r="GD381" i="1"/>
  <c r="GE381" i="1"/>
  <c r="GF381" i="1"/>
  <c r="GG381" i="1"/>
  <c r="GH381" i="1"/>
  <c r="GI381" i="1"/>
  <c r="GJ381" i="1"/>
  <c r="GK381" i="1"/>
  <c r="GL381" i="1"/>
  <c r="GM381" i="1"/>
  <c r="GN381" i="1"/>
  <c r="GO381" i="1"/>
  <c r="GP381" i="1"/>
  <c r="GQ381" i="1"/>
  <c r="GR381" i="1"/>
  <c r="GS381" i="1"/>
  <c r="GT381" i="1"/>
  <c r="GU381" i="1"/>
  <c r="GV381" i="1"/>
  <c r="GW381" i="1"/>
  <c r="GX381" i="1"/>
  <c r="GY381" i="1"/>
  <c r="GZ381" i="1"/>
  <c r="HA381" i="1"/>
  <c r="HB381" i="1"/>
  <c r="HC381" i="1"/>
  <c r="HD381" i="1"/>
  <c r="HE381" i="1"/>
  <c r="HF381" i="1"/>
  <c r="HG381" i="1"/>
  <c r="HH381" i="1"/>
  <c r="HI381" i="1"/>
  <c r="HJ381" i="1"/>
  <c r="HK381" i="1"/>
  <c r="HL381" i="1"/>
  <c r="HM381" i="1"/>
  <c r="HN381" i="1"/>
  <c r="HO381" i="1"/>
  <c r="HP381" i="1"/>
  <c r="HQ381" i="1"/>
  <c r="HR381" i="1"/>
  <c r="HS381" i="1"/>
  <c r="HT381" i="1"/>
  <c r="HU381" i="1"/>
  <c r="HV381" i="1"/>
  <c r="HW381" i="1"/>
  <c r="HX381" i="1"/>
  <c r="HY381" i="1"/>
  <c r="HZ381" i="1"/>
  <c r="IA381" i="1"/>
  <c r="IB381" i="1"/>
  <c r="IC381" i="1"/>
  <c r="ID381" i="1"/>
  <c r="IE381" i="1"/>
  <c r="IF381" i="1"/>
  <c r="IG381" i="1"/>
  <c r="IH381" i="1"/>
  <c r="FO382" i="1"/>
  <c r="FP382" i="1"/>
  <c r="FQ382" i="1"/>
  <c r="FR382" i="1"/>
  <c r="FS382" i="1"/>
  <c r="FT382" i="1"/>
  <c r="FU382" i="1"/>
  <c r="FV382" i="1"/>
  <c r="FW382" i="1"/>
  <c r="FX382" i="1"/>
  <c r="FY382" i="1"/>
  <c r="FZ382" i="1"/>
  <c r="GA382" i="1"/>
  <c r="GB382" i="1"/>
  <c r="GC382" i="1"/>
  <c r="GD382" i="1"/>
  <c r="GE382" i="1"/>
  <c r="GF382" i="1"/>
  <c r="GG382" i="1"/>
  <c r="GH382" i="1"/>
  <c r="GI382" i="1"/>
  <c r="GJ382" i="1"/>
  <c r="GK382" i="1"/>
  <c r="GL382" i="1"/>
  <c r="GM382" i="1"/>
  <c r="GN382" i="1"/>
  <c r="GO382" i="1"/>
  <c r="GP382" i="1"/>
  <c r="GQ382" i="1"/>
  <c r="GR382" i="1"/>
  <c r="GS382" i="1"/>
  <c r="GT382" i="1"/>
  <c r="GU382" i="1"/>
  <c r="GV382" i="1"/>
  <c r="GW382" i="1"/>
  <c r="GX382" i="1"/>
  <c r="GY382" i="1"/>
  <c r="GZ382" i="1"/>
  <c r="HA382" i="1"/>
  <c r="HB382" i="1"/>
  <c r="HC382" i="1"/>
  <c r="HD382" i="1"/>
  <c r="HE382" i="1"/>
  <c r="HF382" i="1"/>
  <c r="HG382" i="1"/>
  <c r="HH382" i="1"/>
  <c r="HI382" i="1"/>
  <c r="HJ382" i="1"/>
  <c r="HK382" i="1"/>
  <c r="HL382" i="1"/>
  <c r="HM382" i="1"/>
  <c r="HN382" i="1"/>
  <c r="HO382" i="1"/>
  <c r="HP382" i="1"/>
  <c r="HQ382" i="1"/>
  <c r="HR382" i="1"/>
  <c r="HS382" i="1"/>
  <c r="HT382" i="1"/>
  <c r="HU382" i="1"/>
  <c r="HV382" i="1"/>
  <c r="HW382" i="1"/>
  <c r="HX382" i="1"/>
  <c r="HY382" i="1"/>
  <c r="HZ382" i="1"/>
  <c r="IA382" i="1"/>
  <c r="IB382" i="1"/>
  <c r="IC382" i="1"/>
  <c r="ID382" i="1"/>
  <c r="IE382" i="1"/>
  <c r="IF382" i="1"/>
  <c r="IG382" i="1"/>
  <c r="IH382" i="1"/>
  <c r="FO383" i="1"/>
  <c r="FP383" i="1"/>
  <c r="FQ383" i="1"/>
  <c r="FR383" i="1"/>
  <c r="FS383" i="1"/>
  <c r="FT383" i="1"/>
  <c r="FU383" i="1"/>
  <c r="FV383" i="1"/>
  <c r="FW383" i="1"/>
  <c r="FX383" i="1"/>
  <c r="FY383" i="1"/>
  <c r="FZ383" i="1"/>
  <c r="GA383" i="1"/>
  <c r="GB383" i="1"/>
  <c r="GC383" i="1"/>
  <c r="GD383" i="1"/>
  <c r="GE383" i="1"/>
  <c r="GF383" i="1"/>
  <c r="GG383" i="1"/>
  <c r="GH383" i="1"/>
  <c r="GI383" i="1"/>
  <c r="GJ383" i="1"/>
  <c r="GK383" i="1"/>
  <c r="GL383" i="1"/>
  <c r="GM383" i="1"/>
  <c r="GN383" i="1"/>
  <c r="GO383" i="1"/>
  <c r="GP383" i="1"/>
  <c r="GQ383" i="1"/>
  <c r="GR383" i="1"/>
  <c r="GS383" i="1"/>
  <c r="GT383" i="1"/>
  <c r="GU383" i="1"/>
  <c r="GV383" i="1"/>
  <c r="GW383" i="1"/>
  <c r="GX383" i="1"/>
  <c r="GY383" i="1"/>
  <c r="GZ383" i="1"/>
  <c r="HA383" i="1"/>
  <c r="HB383" i="1"/>
  <c r="HC383" i="1"/>
  <c r="HD383" i="1"/>
  <c r="HE383" i="1"/>
  <c r="HF383" i="1"/>
  <c r="HG383" i="1"/>
  <c r="HH383" i="1"/>
  <c r="HI383" i="1"/>
  <c r="HJ383" i="1"/>
  <c r="HK383" i="1"/>
  <c r="HL383" i="1"/>
  <c r="HM383" i="1"/>
  <c r="HN383" i="1"/>
  <c r="HO383" i="1"/>
  <c r="HP383" i="1"/>
  <c r="HQ383" i="1"/>
  <c r="HR383" i="1"/>
  <c r="HS383" i="1"/>
  <c r="HT383" i="1"/>
  <c r="HU383" i="1"/>
  <c r="HV383" i="1"/>
  <c r="HW383" i="1"/>
  <c r="HX383" i="1"/>
  <c r="HY383" i="1"/>
  <c r="HZ383" i="1"/>
  <c r="IA383" i="1"/>
  <c r="IB383" i="1"/>
  <c r="IC383" i="1"/>
  <c r="ID383" i="1"/>
  <c r="IE383" i="1"/>
  <c r="IF383" i="1"/>
  <c r="IG383" i="1"/>
  <c r="IH383" i="1"/>
  <c r="FO384" i="1"/>
  <c r="FP384" i="1"/>
  <c r="FQ384" i="1"/>
  <c r="FR384" i="1"/>
  <c r="FS384" i="1"/>
  <c r="FT384" i="1"/>
  <c r="FU384" i="1"/>
  <c r="FV384" i="1"/>
  <c r="FW384" i="1"/>
  <c r="FX384" i="1"/>
  <c r="FY384" i="1"/>
  <c r="FZ384" i="1"/>
  <c r="GA384" i="1"/>
  <c r="GB384" i="1"/>
  <c r="GC384" i="1"/>
  <c r="GD384" i="1"/>
  <c r="GE384" i="1"/>
  <c r="GF384" i="1"/>
  <c r="GG384" i="1"/>
  <c r="GH384" i="1"/>
  <c r="GI384" i="1"/>
  <c r="GJ384" i="1"/>
  <c r="GK384" i="1"/>
  <c r="GL384" i="1"/>
  <c r="GM384" i="1"/>
  <c r="GN384" i="1"/>
  <c r="GO384" i="1"/>
  <c r="GP384" i="1"/>
  <c r="GQ384" i="1"/>
  <c r="GR384" i="1"/>
  <c r="GS384" i="1"/>
  <c r="GT384" i="1"/>
  <c r="GU384" i="1"/>
  <c r="GV384" i="1"/>
  <c r="GW384" i="1"/>
  <c r="GX384" i="1"/>
  <c r="GY384" i="1"/>
  <c r="GZ384" i="1"/>
  <c r="HA384" i="1"/>
  <c r="HB384" i="1"/>
  <c r="HC384" i="1"/>
  <c r="HD384" i="1"/>
  <c r="HE384" i="1"/>
  <c r="HF384" i="1"/>
  <c r="HG384" i="1"/>
  <c r="HH384" i="1"/>
  <c r="HI384" i="1"/>
  <c r="HJ384" i="1"/>
  <c r="HK384" i="1"/>
  <c r="HL384" i="1"/>
  <c r="HM384" i="1"/>
  <c r="HN384" i="1"/>
  <c r="HO384" i="1"/>
  <c r="HP384" i="1"/>
  <c r="HQ384" i="1"/>
  <c r="HR384" i="1"/>
  <c r="HS384" i="1"/>
  <c r="HT384" i="1"/>
  <c r="HU384" i="1"/>
  <c r="HV384" i="1"/>
  <c r="HW384" i="1"/>
  <c r="HX384" i="1"/>
  <c r="HY384" i="1"/>
  <c r="HZ384" i="1"/>
  <c r="IA384" i="1"/>
  <c r="IB384" i="1"/>
  <c r="IC384" i="1"/>
  <c r="ID384" i="1"/>
  <c r="IE384" i="1"/>
  <c r="IF384" i="1"/>
  <c r="IG384" i="1"/>
  <c r="IH384" i="1"/>
  <c r="FO385" i="1"/>
  <c r="FP385" i="1"/>
  <c r="FQ385" i="1"/>
  <c r="FR385" i="1"/>
  <c r="FS385" i="1"/>
  <c r="FT385" i="1"/>
  <c r="FU385" i="1"/>
  <c r="FV385" i="1"/>
  <c r="FW385" i="1"/>
  <c r="FX385" i="1"/>
  <c r="FY385" i="1"/>
  <c r="FZ385" i="1"/>
  <c r="GA385" i="1"/>
  <c r="GB385" i="1"/>
  <c r="GC385" i="1"/>
  <c r="GD385" i="1"/>
  <c r="GE385" i="1"/>
  <c r="GF385" i="1"/>
  <c r="GG385" i="1"/>
  <c r="GH385" i="1"/>
  <c r="GI385" i="1"/>
  <c r="GJ385" i="1"/>
  <c r="GK385" i="1"/>
  <c r="GL385" i="1"/>
  <c r="GM385" i="1"/>
  <c r="GN385" i="1"/>
  <c r="GO385" i="1"/>
  <c r="GP385" i="1"/>
  <c r="GQ385" i="1"/>
  <c r="GR385" i="1"/>
  <c r="GS385" i="1"/>
  <c r="GT385" i="1"/>
  <c r="GU385" i="1"/>
  <c r="GV385" i="1"/>
  <c r="GW385" i="1"/>
  <c r="GX385" i="1"/>
  <c r="GY385" i="1"/>
  <c r="GZ385" i="1"/>
  <c r="HA385" i="1"/>
  <c r="HB385" i="1"/>
  <c r="HC385" i="1"/>
  <c r="HD385" i="1"/>
  <c r="HE385" i="1"/>
  <c r="HF385" i="1"/>
  <c r="HG385" i="1"/>
  <c r="HH385" i="1"/>
  <c r="HI385" i="1"/>
  <c r="HJ385" i="1"/>
  <c r="HK385" i="1"/>
  <c r="HL385" i="1"/>
  <c r="HM385" i="1"/>
  <c r="HN385" i="1"/>
  <c r="HO385" i="1"/>
  <c r="HP385" i="1"/>
  <c r="HQ385" i="1"/>
  <c r="HR385" i="1"/>
  <c r="HS385" i="1"/>
  <c r="HT385" i="1"/>
  <c r="HU385" i="1"/>
  <c r="HV385" i="1"/>
  <c r="HW385" i="1"/>
  <c r="HX385" i="1"/>
  <c r="HY385" i="1"/>
  <c r="HZ385" i="1"/>
  <c r="IA385" i="1"/>
  <c r="IB385" i="1"/>
  <c r="IC385" i="1"/>
  <c r="ID385" i="1"/>
  <c r="IE385" i="1"/>
  <c r="IF385" i="1"/>
  <c r="IG385" i="1"/>
  <c r="IH385" i="1"/>
  <c r="FO386" i="1"/>
  <c r="FP386" i="1"/>
  <c r="FQ386" i="1"/>
  <c r="FR386" i="1"/>
  <c r="FS386" i="1"/>
  <c r="FT386" i="1"/>
  <c r="FU386" i="1"/>
  <c r="FV386" i="1"/>
  <c r="FW386" i="1"/>
  <c r="FX386" i="1"/>
  <c r="FY386" i="1"/>
  <c r="FZ386" i="1"/>
  <c r="GA386" i="1"/>
  <c r="GB386" i="1"/>
  <c r="GC386" i="1"/>
  <c r="GD386" i="1"/>
  <c r="GE386" i="1"/>
  <c r="GF386" i="1"/>
  <c r="GG386" i="1"/>
  <c r="GH386" i="1"/>
  <c r="GI386" i="1"/>
  <c r="GJ386" i="1"/>
  <c r="GK386" i="1"/>
  <c r="GL386" i="1"/>
  <c r="GM386" i="1"/>
  <c r="GN386" i="1"/>
  <c r="GO386" i="1"/>
  <c r="GP386" i="1"/>
  <c r="GQ386" i="1"/>
  <c r="GR386" i="1"/>
  <c r="GS386" i="1"/>
  <c r="GT386" i="1"/>
  <c r="GU386" i="1"/>
  <c r="GV386" i="1"/>
  <c r="GW386" i="1"/>
  <c r="GX386" i="1"/>
  <c r="GY386" i="1"/>
  <c r="GZ386" i="1"/>
  <c r="HA386" i="1"/>
  <c r="HB386" i="1"/>
  <c r="HC386" i="1"/>
  <c r="HD386" i="1"/>
  <c r="HE386" i="1"/>
  <c r="HF386" i="1"/>
  <c r="HG386" i="1"/>
  <c r="HH386" i="1"/>
  <c r="HI386" i="1"/>
  <c r="HJ386" i="1"/>
  <c r="HK386" i="1"/>
  <c r="HL386" i="1"/>
  <c r="HM386" i="1"/>
  <c r="HN386" i="1"/>
  <c r="HO386" i="1"/>
  <c r="HP386" i="1"/>
  <c r="HQ386" i="1"/>
  <c r="HR386" i="1"/>
  <c r="HS386" i="1"/>
  <c r="HT386" i="1"/>
  <c r="HU386" i="1"/>
  <c r="HV386" i="1"/>
  <c r="HW386" i="1"/>
  <c r="HX386" i="1"/>
  <c r="HY386" i="1"/>
  <c r="HZ386" i="1"/>
  <c r="IA386" i="1"/>
  <c r="IB386" i="1"/>
  <c r="IC386" i="1"/>
  <c r="ID386" i="1"/>
  <c r="IE386" i="1"/>
  <c r="IF386" i="1"/>
  <c r="IG386" i="1"/>
  <c r="IH386" i="1"/>
  <c r="FO387" i="1"/>
  <c r="FP387" i="1"/>
  <c r="FQ387" i="1"/>
  <c r="FR387" i="1"/>
  <c r="FS387" i="1"/>
  <c r="FT387" i="1"/>
  <c r="FU387" i="1"/>
  <c r="FV387" i="1"/>
  <c r="FW387" i="1"/>
  <c r="FX387" i="1"/>
  <c r="FY387" i="1"/>
  <c r="FZ387" i="1"/>
  <c r="GA387" i="1"/>
  <c r="GB387" i="1"/>
  <c r="GC387" i="1"/>
  <c r="GD387" i="1"/>
  <c r="GE387" i="1"/>
  <c r="GF387" i="1"/>
  <c r="GG387" i="1"/>
  <c r="GH387" i="1"/>
  <c r="GI387" i="1"/>
  <c r="GJ387" i="1"/>
  <c r="GK387" i="1"/>
  <c r="GL387" i="1"/>
  <c r="GM387" i="1"/>
  <c r="GN387" i="1"/>
  <c r="GO387" i="1"/>
  <c r="GP387" i="1"/>
  <c r="GQ387" i="1"/>
  <c r="GR387" i="1"/>
  <c r="GS387" i="1"/>
  <c r="GT387" i="1"/>
  <c r="GU387" i="1"/>
  <c r="GV387" i="1"/>
  <c r="GW387" i="1"/>
  <c r="GX387" i="1"/>
  <c r="GY387" i="1"/>
  <c r="GZ387" i="1"/>
  <c r="HA387" i="1"/>
  <c r="HB387" i="1"/>
  <c r="HC387" i="1"/>
  <c r="HD387" i="1"/>
  <c r="HE387" i="1"/>
  <c r="HF387" i="1"/>
  <c r="HG387" i="1"/>
  <c r="HH387" i="1"/>
  <c r="HI387" i="1"/>
  <c r="HJ387" i="1"/>
  <c r="HK387" i="1"/>
  <c r="HL387" i="1"/>
  <c r="HM387" i="1"/>
  <c r="HN387" i="1"/>
  <c r="HO387" i="1"/>
  <c r="HP387" i="1"/>
  <c r="HQ387" i="1"/>
  <c r="HR387" i="1"/>
  <c r="HS387" i="1"/>
  <c r="HT387" i="1"/>
  <c r="HU387" i="1"/>
  <c r="HV387" i="1"/>
  <c r="HW387" i="1"/>
  <c r="HX387" i="1"/>
  <c r="HY387" i="1"/>
  <c r="HZ387" i="1"/>
  <c r="IA387" i="1"/>
  <c r="IB387" i="1"/>
  <c r="IC387" i="1"/>
  <c r="ID387" i="1"/>
  <c r="IE387" i="1"/>
  <c r="IF387" i="1"/>
  <c r="IG387" i="1"/>
  <c r="IH387" i="1"/>
  <c r="FO388" i="1"/>
  <c r="FP388" i="1"/>
  <c r="FQ388" i="1"/>
  <c r="FR388" i="1"/>
  <c r="FS388" i="1"/>
  <c r="FT388" i="1"/>
  <c r="FU388" i="1"/>
  <c r="FV388" i="1"/>
  <c r="FW388" i="1"/>
  <c r="FX388" i="1"/>
  <c r="FY388" i="1"/>
  <c r="FZ388" i="1"/>
  <c r="GA388" i="1"/>
  <c r="GB388" i="1"/>
  <c r="GC388" i="1"/>
  <c r="GD388" i="1"/>
  <c r="GE388" i="1"/>
  <c r="GF388" i="1"/>
  <c r="GG388" i="1"/>
  <c r="GH388" i="1"/>
  <c r="GI388" i="1"/>
  <c r="GJ388" i="1"/>
  <c r="GK388" i="1"/>
  <c r="GL388" i="1"/>
  <c r="GM388" i="1"/>
  <c r="GN388" i="1"/>
  <c r="GO388" i="1"/>
  <c r="GP388" i="1"/>
  <c r="GQ388" i="1"/>
  <c r="GR388" i="1"/>
  <c r="GS388" i="1"/>
  <c r="GT388" i="1"/>
  <c r="GU388" i="1"/>
  <c r="GV388" i="1"/>
  <c r="GW388" i="1"/>
  <c r="GX388" i="1"/>
  <c r="GY388" i="1"/>
  <c r="GZ388" i="1"/>
  <c r="HA388" i="1"/>
  <c r="HB388" i="1"/>
  <c r="HC388" i="1"/>
  <c r="HD388" i="1"/>
  <c r="HE388" i="1"/>
  <c r="HF388" i="1"/>
  <c r="HG388" i="1"/>
  <c r="HH388" i="1"/>
  <c r="HI388" i="1"/>
  <c r="HJ388" i="1"/>
  <c r="HK388" i="1"/>
  <c r="HL388" i="1"/>
  <c r="HM388" i="1"/>
  <c r="HN388" i="1"/>
  <c r="HO388" i="1"/>
  <c r="HP388" i="1"/>
  <c r="HQ388" i="1"/>
  <c r="HR388" i="1"/>
  <c r="HS388" i="1"/>
  <c r="HT388" i="1"/>
  <c r="HU388" i="1"/>
  <c r="HV388" i="1"/>
  <c r="HW388" i="1"/>
  <c r="HX388" i="1"/>
  <c r="HY388" i="1"/>
  <c r="HZ388" i="1"/>
  <c r="IA388" i="1"/>
  <c r="IB388" i="1"/>
  <c r="IC388" i="1"/>
  <c r="ID388" i="1"/>
  <c r="IE388" i="1"/>
  <c r="IF388" i="1"/>
  <c r="IG388" i="1"/>
  <c r="IH388" i="1"/>
  <c r="FO389" i="1"/>
  <c r="FP389" i="1"/>
  <c r="FQ389" i="1"/>
  <c r="FR389" i="1"/>
  <c r="FS389" i="1"/>
  <c r="FT389" i="1"/>
  <c r="FU389" i="1"/>
  <c r="FV389" i="1"/>
  <c r="FW389" i="1"/>
  <c r="FX389" i="1"/>
  <c r="FY389" i="1"/>
  <c r="FZ389" i="1"/>
  <c r="GA389" i="1"/>
  <c r="GB389" i="1"/>
  <c r="GC389" i="1"/>
  <c r="GD389" i="1"/>
  <c r="GE389" i="1"/>
  <c r="GF389" i="1"/>
  <c r="GG389" i="1"/>
  <c r="GH389" i="1"/>
  <c r="GI389" i="1"/>
  <c r="GJ389" i="1"/>
  <c r="GK389" i="1"/>
  <c r="GL389" i="1"/>
  <c r="GM389" i="1"/>
  <c r="GN389" i="1"/>
  <c r="GO389" i="1"/>
  <c r="GP389" i="1"/>
  <c r="GQ389" i="1"/>
  <c r="GR389" i="1"/>
  <c r="GS389" i="1"/>
  <c r="GT389" i="1"/>
  <c r="GU389" i="1"/>
  <c r="GV389" i="1"/>
  <c r="GW389" i="1"/>
  <c r="GX389" i="1"/>
  <c r="GY389" i="1"/>
  <c r="GZ389" i="1"/>
  <c r="HA389" i="1"/>
  <c r="HB389" i="1"/>
  <c r="HC389" i="1"/>
  <c r="HD389" i="1"/>
  <c r="HE389" i="1"/>
  <c r="HF389" i="1"/>
  <c r="HG389" i="1"/>
  <c r="HH389" i="1"/>
  <c r="HI389" i="1"/>
  <c r="HJ389" i="1"/>
  <c r="HK389" i="1"/>
  <c r="HL389" i="1"/>
  <c r="HM389" i="1"/>
  <c r="HN389" i="1"/>
  <c r="HO389" i="1"/>
  <c r="HP389" i="1"/>
  <c r="HQ389" i="1"/>
  <c r="HR389" i="1"/>
  <c r="HS389" i="1"/>
  <c r="HT389" i="1"/>
  <c r="HU389" i="1"/>
  <c r="HV389" i="1"/>
  <c r="HW389" i="1"/>
  <c r="HX389" i="1"/>
  <c r="HY389" i="1"/>
  <c r="HZ389" i="1"/>
  <c r="IA389" i="1"/>
  <c r="IB389" i="1"/>
  <c r="IC389" i="1"/>
  <c r="ID389" i="1"/>
  <c r="IE389" i="1"/>
  <c r="IF389" i="1"/>
  <c r="IG389" i="1"/>
  <c r="IH389" i="1"/>
  <c r="FO390" i="1"/>
  <c r="FP390" i="1"/>
  <c r="FQ390" i="1"/>
  <c r="FR390" i="1"/>
  <c r="FS390" i="1"/>
  <c r="FT390" i="1"/>
  <c r="FU390" i="1"/>
  <c r="FV390" i="1"/>
  <c r="FW390" i="1"/>
  <c r="FX390" i="1"/>
  <c r="FY390" i="1"/>
  <c r="FZ390" i="1"/>
  <c r="GA390" i="1"/>
  <c r="GB390" i="1"/>
  <c r="GC390" i="1"/>
  <c r="GD390" i="1"/>
  <c r="GE390" i="1"/>
  <c r="GF390" i="1"/>
  <c r="GG390" i="1"/>
  <c r="GH390" i="1"/>
  <c r="GI390" i="1"/>
  <c r="GJ390" i="1"/>
  <c r="GK390" i="1"/>
  <c r="GL390" i="1"/>
  <c r="GM390" i="1"/>
  <c r="GN390" i="1"/>
  <c r="GO390" i="1"/>
  <c r="GP390" i="1"/>
  <c r="GQ390" i="1"/>
  <c r="GR390" i="1"/>
  <c r="GS390" i="1"/>
  <c r="GT390" i="1"/>
  <c r="GU390" i="1"/>
  <c r="GV390" i="1"/>
  <c r="GW390" i="1"/>
  <c r="GX390" i="1"/>
  <c r="GY390" i="1"/>
  <c r="GZ390" i="1"/>
  <c r="HA390" i="1"/>
  <c r="HB390" i="1"/>
  <c r="HC390" i="1"/>
  <c r="HD390" i="1"/>
  <c r="HE390" i="1"/>
  <c r="HF390" i="1"/>
  <c r="HG390" i="1"/>
  <c r="HH390" i="1"/>
  <c r="HI390" i="1"/>
  <c r="HJ390" i="1"/>
  <c r="HK390" i="1"/>
  <c r="HL390" i="1"/>
  <c r="HM390" i="1"/>
  <c r="HN390" i="1"/>
  <c r="HO390" i="1"/>
  <c r="HP390" i="1"/>
  <c r="HQ390" i="1"/>
  <c r="HR390" i="1"/>
  <c r="HS390" i="1"/>
  <c r="HT390" i="1"/>
  <c r="HU390" i="1"/>
  <c r="HV390" i="1"/>
  <c r="HW390" i="1"/>
  <c r="HX390" i="1"/>
  <c r="HY390" i="1"/>
  <c r="HZ390" i="1"/>
  <c r="IA390" i="1"/>
  <c r="IB390" i="1"/>
  <c r="IC390" i="1"/>
  <c r="ID390" i="1"/>
  <c r="IE390" i="1"/>
  <c r="IF390" i="1"/>
  <c r="IG390" i="1"/>
  <c r="IH390" i="1"/>
  <c r="FO391" i="1"/>
  <c r="FP391" i="1"/>
  <c r="FQ391" i="1"/>
  <c r="FR391" i="1"/>
  <c r="FS391" i="1"/>
  <c r="FT391" i="1"/>
  <c r="FU391" i="1"/>
  <c r="FV391" i="1"/>
  <c r="FW391" i="1"/>
  <c r="FX391" i="1"/>
  <c r="FY391" i="1"/>
  <c r="FZ391" i="1"/>
  <c r="GA391" i="1"/>
  <c r="GB391" i="1"/>
  <c r="GC391" i="1"/>
  <c r="GD391" i="1"/>
  <c r="GE391" i="1"/>
  <c r="GF391" i="1"/>
  <c r="GG391" i="1"/>
  <c r="GH391" i="1"/>
  <c r="GI391" i="1"/>
  <c r="GJ391" i="1"/>
  <c r="GK391" i="1"/>
  <c r="GL391" i="1"/>
  <c r="GM391" i="1"/>
  <c r="GN391" i="1"/>
  <c r="GO391" i="1"/>
  <c r="GP391" i="1"/>
  <c r="GQ391" i="1"/>
  <c r="GR391" i="1"/>
  <c r="GS391" i="1"/>
  <c r="GT391" i="1"/>
  <c r="GU391" i="1"/>
  <c r="GV391" i="1"/>
  <c r="GW391" i="1"/>
  <c r="GX391" i="1"/>
  <c r="GY391" i="1"/>
  <c r="GZ391" i="1"/>
  <c r="HA391" i="1"/>
  <c r="HB391" i="1"/>
  <c r="HC391" i="1"/>
  <c r="HD391" i="1"/>
  <c r="HE391" i="1"/>
  <c r="HF391" i="1"/>
  <c r="HG391" i="1"/>
  <c r="HH391" i="1"/>
  <c r="HI391" i="1"/>
  <c r="HJ391" i="1"/>
  <c r="HK391" i="1"/>
  <c r="HL391" i="1"/>
  <c r="HM391" i="1"/>
  <c r="HN391" i="1"/>
  <c r="HO391" i="1"/>
  <c r="HP391" i="1"/>
  <c r="HQ391" i="1"/>
  <c r="HR391" i="1"/>
  <c r="HS391" i="1"/>
  <c r="HT391" i="1"/>
  <c r="HU391" i="1"/>
  <c r="HV391" i="1"/>
  <c r="HW391" i="1"/>
  <c r="HX391" i="1"/>
  <c r="HY391" i="1"/>
  <c r="HZ391" i="1"/>
  <c r="IA391" i="1"/>
  <c r="IB391" i="1"/>
  <c r="IC391" i="1"/>
  <c r="ID391" i="1"/>
  <c r="IE391" i="1"/>
  <c r="IF391" i="1"/>
  <c r="IG391" i="1"/>
  <c r="IH391" i="1"/>
  <c r="FO392" i="1"/>
  <c r="FP392" i="1"/>
  <c r="FQ392" i="1"/>
  <c r="FR392" i="1"/>
  <c r="FS392" i="1"/>
  <c r="FT392" i="1"/>
  <c r="FU392" i="1"/>
  <c r="FV392" i="1"/>
  <c r="FW392" i="1"/>
  <c r="FX392" i="1"/>
  <c r="FY392" i="1"/>
  <c r="FZ392" i="1"/>
  <c r="GA392" i="1"/>
  <c r="GB392" i="1"/>
  <c r="GC392" i="1"/>
  <c r="GD392" i="1"/>
  <c r="GE392" i="1"/>
  <c r="GF392" i="1"/>
  <c r="GG392" i="1"/>
  <c r="GH392" i="1"/>
  <c r="GI392" i="1"/>
  <c r="GJ392" i="1"/>
  <c r="GK392" i="1"/>
  <c r="GL392" i="1"/>
  <c r="GM392" i="1"/>
  <c r="GN392" i="1"/>
  <c r="GO392" i="1"/>
  <c r="GP392" i="1"/>
  <c r="GQ392" i="1"/>
  <c r="GR392" i="1"/>
  <c r="GS392" i="1"/>
  <c r="GT392" i="1"/>
  <c r="GU392" i="1"/>
  <c r="GV392" i="1"/>
  <c r="GW392" i="1"/>
  <c r="GX392" i="1"/>
  <c r="GY392" i="1"/>
  <c r="GZ392" i="1"/>
  <c r="HA392" i="1"/>
  <c r="HB392" i="1"/>
  <c r="HC392" i="1"/>
  <c r="HD392" i="1"/>
  <c r="HE392" i="1"/>
  <c r="HF392" i="1"/>
  <c r="HG392" i="1"/>
  <c r="HH392" i="1"/>
  <c r="HI392" i="1"/>
  <c r="HJ392" i="1"/>
  <c r="HK392" i="1"/>
  <c r="HL392" i="1"/>
  <c r="HM392" i="1"/>
  <c r="HN392" i="1"/>
  <c r="HO392" i="1"/>
  <c r="HP392" i="1"/>
  <c r="HQ392" i="1"/>
  <c r="HR392" i="1"/>
  <c r="HS392" i="1"/>
  <c r="HT392" i="1"/>
  <c r="HU392" i="1"/>
  <c r="HV392" i="1"/>
  <c r="HW392" i="1"/>
  <c r="HX392" i="1"/>
  <c r="HY392" i="1"/>
  <c r="HZ392" i="1"/>
  <c r="IA392" i="1"/>
  <c r="IB392" i="1"/>
  <c r="IC392" i="1"/>
  <c r="ID392" i="1"/>
  <c r="IE392" i="1"/>
  <c r="IF392" i="1"/>
  <c r="IG392" i="1"/>
  <c r="IH392" i="1"/>
  <c r="FO393" i="1"/>
  <c r="FP393" i="1"/>
  <c r="FQ393" i="1"/>
  <c r="FR393" i="1"/>
  <c r="FS393" i="1"/>
  <c r="FT393" i="1"/>
  <c r="FU393" i="1"/>
  <c r="FV393" i="1"/>
  <c r="FW393" i="1"/>
  <c r="FX393" i="1"/>
  <c r="FY393" i="1"/>
  <c r="FZ393" i="1"/>
  <c r="GA393" i="1"/>
  <c r="GB393" i="1"/>
  <c r="GC393" i="1"/>
  <c r="GD393" i="1"/>
  <c r="GE393" i="1"/>
  <c r="GF393" i="1"/>
  <c r="GG393" i="1"/>
  <c r="GH393" i="1"/>
  <c r="GI393" i="1"/>
  <c r="GJ393" i="1"/>
  <c r="GK393" i="1"/>
  <c r="GL393" i="1"/>
  <c r="GM393" i="1"/>
  <c r="GN393" i="1"/>
  <c r="GO393" i="1"/>
  <c r="GP393" i="1"/>
  <c r="GQ393" i="1"/>
  <c r="GR393" i="1"/>
  <c r="GS393" i="1"/>
  <c r="GT393" i="1"/>
  <c r="GU393" i="1"/>
  <c r="GV393" i="1"/>
  <c r="GW393" i="1"/>
  <c r="GX393" i="1"/>
  <c r="GY393" i="1"/>
  <c r="GZ393" i="1"/>
  <c r="HA393" i="1"/>
  <c r="HB393" i="1"/>
  <c r="HC393" i="1"/>
  <c r="HD393" i="1"/>
  <c r="HE393" i="1"/>
  <c r="HF393" i="1"/>
  <c r="HG393" i="1"/>
  <c r="HH393" i="1"/>
  <c r="HI393" i="1"/>
  <c r="HJ393" i="1"/>
  <c r="HK393" i="1"/>
  <c r="HL393" i="1"/>
  <c r="HM393" i="1"/>
  <c r="HN393" i="1"/>
  <c r="HO393" i="1"/>
  <c r="HP393" i="1"/>
  <c r="HQ393" i="1"/>
  <c r="HR393" i="1"/>
  <c r="HS393" i="1"/>
  <c r="HT393" i="1"/>
  <c r="HU393" i="1"/>
  <c r="HV393" i="1"/>
  <c r="HW393" i="1"/>
  <c r="HX393" i="1"/>
  <c r="HY393" i="1"/>
  <c r="HZ393" i="1"/>
  <c r="IA393" i="1"/>
  <c r="IB393" i="1"/>
  <c r="IC393" i="1"/>
  <c r="ID393" i="1"/>
  <c r="IE393" i="1"/>
  <c r="IF393" i="1"/>
  <c r="IG393" i="1"/>
  <c r="IH393" i="1"/>
  <c r="FO394" i="1"/>
  <c r="FP394" i="1"/>
  <c r="FQ394" i="1"/>
  <c r="FR394" i="1"/>
  <c r="FS394" i="1"/>
  <c r="FT394" i="1"/>
  <c r="FU394" i="1"/>
  <c r="FV394" i="1"/>
  <c r="FW394" i="1"/>
  <c r="FX394" i="1"/>
  <c r="FY394" i="1"/>
  <c r="FZ394" i="1"/>
  <c r="GA394" i="1"/>
  <c r="GB394" i="1"/>
  <c r="GC394" i="1"/>
  <c r="GD394" i="1"/>
  <c r="GE394" i="1"/>
  <c r="GF394" i="1"/>
  <c r="GG394" i="1"/>
  <c r="GH394" i="1"/>
  <c r="GI394" i="1"/>
  <c r="GJ394" i="1"/>
  <c r="GK394" i="1"/>
  <c r="GL394" i="1"/>
  <c r="GM394" i="1"/>
  <c r="GN394" i="1"/>
  <c r="GO394" i="1"/>
  <c r="GP394" i="1"/>
  <c r="GQ394" i="1"/>
  <c r="GR394" i="1"/>
  <c r="GS394" i="1"/>
  <c r="GT394" i="1"/>
  <c r="GU394" i="1"/>
  <c r="GV394" i="1"/>
  <c r="GW394" i="1"/>
  <c r="GX394" i="1"/>
  <c r="GY394" i="1"/>
  <c r="GZ394" i="1"/>
  <c r="HA394" i="1"/>
  <c r="HB394" i="1"/>
  <c r="HC394" i="1"/>
  <c r="HD394" i="1"/>
  <c r="HE394" i="1"/>
  <c r="HF394" i="1"/>
  <c r="HG394" i="1"/>
  <c r="HH394" i="1"/>
  <c r="HI394" i="1"/>
  <c r="HJ394" i="1"/>
  <c r="HK394" i="1"/>
  <c r="HL394" i="1"/>
  <c r="HM394" i="1"/>
  <c r="HN394" i="1"/>
  <c r="HO394" i="1"/>
  <c r="HP394" i="1"/>
  <c r="HQ394" i="1"/>
  <c r="HR394" i="1"/>
  <c r="HS394" i="1"/>
  <c r="HT394" i="1"/>
  <c r="HU394" i="1"/>
  <c r="HV394" i="1"/>
  <c r="HW394" i="1"/>
  <c r="HX394" i="1"/>
  <c r="HY394" i="1"/>
  <c r="HZ394" i="1"/>
  <c r="IA394" i="1"/>
  <c r="IB394" i="1"/>
  <c r="IC394" i="1"/>
  <c r="ID394" i="1"/>
  <c r="IE394" i="1"/>
  <c r="IF394" i="1"/>
  <c r="IG394" i="1"/>
  <c r="IH394" i="1"/>
  <c r="FO395" i="1"/>
  <c r="FP395" i="1"/>
  <c r="FQ395" i="1"/>
  <c r="FR395" i="1"/>
  <c r="FS395" i="1"/>
  <c r="FT395" i="1"/>
  <c r="FU395" i="1"/>
  <c r="FV395" i="1"/>
  <c r="FW395" i="1"/>
  <c r="FX395" i="1"/>
  <c r="FY395" i="1"/>
  <c r="FZ395" i="1"/>
  <c r="GA395" i="1"/>
  <c r="GB395" i="1"/>
  <c r="GC395" i="1"/>
  <c r="GD395" i="1"/>
  <c r="GE395" i="1"/>
  <c r="GF395" i="1"/>
  <c r="GG395" i="1"/>
  <c r="GH395" i="1"/>
  <c r="GI395" i="1"/>
  <c r="GJ395" i="1"/>
  <c r="GK395" i="1"/>
  <c r="GL395" i="1"/>
  <c r="GM395" i="1"/>
  <c r="GN395" i="1"/>
  <c r="GO395" i="1"/>
  <c r="GP395" i="1"/>
  <c r="GQ395" i="1"/>
  <c r="GR395" i="1"/>
  <c r="GS395" i="1"/>
  <c r="GT395" i="1"/>
  <c r="GU395" i="1"/>
  <c r="GV395" i="1"/>
  <c r="GW395" i="1"/>
  <c r="GX395" i="1"/>
  <c r="GY395" i="1"/>
  <c r="GZ395" i="1"/>
  <c r="HA395" i="1"/>
  <c r="HB395" i="1"/>
  <c r="HC395" i="1"/>
  <c r="HD395" i="1"/>
  <c r="HE395" i="1"/>
  <c r="HF395" i="1"/>
  <c r="HG395" i="1"/>
  <c r="HH395" i="1"/>
  <c r="HI395" i="1"/>
  <c r="HJ395" i="1"/>
  <c r="HK395" i="1"/>
  <c r="HL395" i="1"/>
  <c r="HM395" i="1"/>
  <c r="HN395" i="1"/>
  <c r="HO395" i="1"/>
  <c r="HP395" i="1"/>
  <c r="HQ395" i="1"/>
  <c r="HR395" i="1"/>
  <c r="HS395" i="1"/>
  <c r="HT395" i="1"/>
  <c r="HU395" i="1"/>
  <c r="HV395" i="1"/>
  <c r="HW395" i="1"/>
  <c r="HX395" i="1"/>
  <c r="HY395" i="1"/>
  <c r="HZ395" i="1"/>
  <c r="IA395" i="1"/>
  <c r="IB395" i="1"/>
  <c r="IC395" i="1"/>
  <c r="ID395" i="1"/>
  <c r="IE395" i="1"/>
  <c r="IF395" i="1"/>
  <c r="IG395" i="1"/>
  <c r="IH395" i="1"/>
  <c r="FO396" i="1"/>
  <c r="FP396" i="1"/>
  <c r="FQ396" i="1"/>
  <c r="FR396" i="1"/>
  <c r="FS396" i="1"/>
  <c r="FT396" i="1"/>
  <c r="FU396" i="1"/>
  <c r="FV396" i="1"/>
  <c r="FW396" i="1"/>
  <c r="FX396" i="1"/>
  <c r="FY396" i="1"/>
  <c r="FZ396" i="1"/>
  <c r="GA396" i="1"/>
  <c r="GB396" i="1"/>
  <c r="GC396" i="1"/>
  <c r="GD396" i="1"/>
  <c r="GE396" i="1"/>
  <c r="GF396" i="1"/>
  <c r="GG396" i="1"/>
  <c r="GH396" i="1"/>
  <c r="GI396" i="1"/>
  <c r="GJ396" i="1"/>
  <c r="GK396" i="1"/>
  <c r="GL396" i="1"/>
  <c r="GM396" i="1"/>
  <c r="GN396" i="1"/>
  <c r="GO396" i="1"/>
  <c r="GP396" i="1"/>
  <c r="GQ396" i="1"/>
  <c r="GR396" i="1"/>
  <c r="GS396" i="1"/>
  <c r="GT396" i="1"/>
  <c r="GU396" i="1"/>
  <c r="GV396" i="1"/>
  <c r="GW396" i="1"/>
  <c r="GX396" i="1"/>
  <c r="GY396" i="1"/>
  <c r="GZ396" i="1"/>
  <c r="HA396" i="1"/>
  <c r="HB396" i="1"/>
  <c r="HC396" i="1"/>
  <c r="HD396" i="1"/>
  <c r="HE396" i="1"/>
  <c r="HF396" i="1"/>
  <c r="HG396" i="1"/>
  <c r="HH396" i="1"/>
  <c r="HI396" i="1"/>
  <c r="HJ396" i="1"/>
  <c r="HK396" i="1"/>
  <c r="HL396" i="1"/>
  <c r="HM396" i="1"/>
  <c r="HN396" i="1"/>
  <c r="HO396" i="1"/>
  <c r="HP396" i="1"/>
  <c r="HQ396" i="1"/>
  <c r="HR396" i="1"/>
  <c r="HS396" i="1"/>
  <c r="HT396" i="1"/>
  <c r="HU396" i="1"/>
  <c r="HV396" i="1"/>
  <c r="HW396" i="1"/>
  <c r="HX396" i="1"/>
  <c r="HY396" i="1"/>
  <c r="HZ396" i="1"/>
  <c r="IA396" i="1"/>
  <c r="IB396" i="1"/>
  <c r="IC396" i="1"/>
  <c r="ID396" i="1"/>
  <c r="IE396" i="1"/>
  <c r="IF396" i="1"/>
  <c r="IG396" i="1"/>
  <c r="IH396" i="1"/>
</calcChain>
</file>

<file path=xl/sharedStrings.xml><?xml version="1.0" encoding="utf-8"?>
<sst xmlns="http://schemas.openxmlformats.org/spreadsheetml/2006/main" count="1620" uniqueCount="505">
  <si>
    <t>Controls</t>
  </si>
  <si>
    <t>Month</t>
  </si>
  <si>
    <t>Year</t>
  </si>
  <si>
    <t>WTI</t>
  </si>
  <si>
    <t>Brent</t>
  </si>
  <si>
    <t>WTI/Brent</t>
  </si>
  <si>
    <t>Swap</t>
  </si>
  <si>
    <t>Future</t>
  </si>
  <si>
    <t>Futures</t>
  </si>
  <si>
    <t>Option Control</t>
  </si>
  <si>
    <t>Swaption Type</t>
  </si>
  <si>
    <t>Vol Skew Table</t>
  </si>
  <si>
    <t>Participation Type</t>
  </si>
  <si>
    <t>Vol</t>
  </si>
  <si>
    <t>Price</t>
  </si>
  <si>
    <t>Spread</t>
  </si>
  <si>
    <t>Override</t>
  </si>
  <si>
    <t>Vols</t>
  </si>
  <si>
    <t>Specify</t>
  </si>
  <si>
    <t>Used</t>
  </si>
  <si>
    <t>Days for Theta Calculation</t>
  </si>
  <si>
    <t>Calc Mode (1-Auto, 2-Man)</t>
  </si>
  <si>
    <t>Combination Type</t>
  </si>
  <si>
    <t>Strikes</t>
  </si>
  <si>
    <t>Extendable Swap</t>
  </si>
  <si>
    <t>Value</t>
  </si>
  <si>
    <t>First Adjustment</t>
  </si>
  <si>
    <t>Participating Swap</t>
  </si>
  <si>
    <t>Prem</t>
  </si>
  <si>
    <t>Delta</t>
  </si>
  <si>
    <t>Vega</t>
  </si>
  <si>
    <t>Volumes</t>
  </si>
  <si>
    <t>Participating Swap Pricing</t>
  </si>
  <si>
    <t>Monthly</t>
  </si>
  <si>
    <t>Rate</t>
  </si>
  <si>
    <t>Swap/Opt</t>
  </si>
  <si>
    <t>Swaption</t>
  </si>
  <si>
    <t>Expiry</t>
  </si>
  <si>
    <t>Strike</t>
  </si>
  <si>
    <t>Y</t>
  </si>
  <si>
    <t>M</t>
  </si>
  <si>
    <t>IPE</t>
  </si>
  <si>
    <t>Moneyness</t>
  </si>
  <si>
    <t>Swap Prices</t>
  </si>
  <si>
    <t>Option</t>
  </si>
  <si>
    <t>Change</t>
  </si>
  <si>
    <t>ATM</t>
  </si>
  <si>
    <t>Premium</t>
  </si>
  <si>
    <t>Theta</t>
  </si>
  <si>
    <t>Price Spread</t>
  </si>
  <si>
    <t>Expiration Dates</t>
  </si>
  <si>
    <t>NYMEX WTI</t>
  </si>
  <si>
    <t>Code Table</t>
  </si>
  <si>
    <t>Jan</t>
  </si>
  <si>
    <t>F</t>
  </si>
  <si>
    <t>Feb</t>
  </si>
  <si>
    <t>G</t>
  </si>
  <si>
    <t>Mar</t>
  </si>
  <si>
    <t>H</t>
  </si>
  <si>
    <t>Apr</t>
  </si>
  <si>
    <t>J</t>
  </si>
  <si>
    <t>May</t>
  </si>
  <si>
    <t>K</t>
  </si>
  <si>
    <t>Jun</t>
  </si>
  <si>
    <t>Jul</t>
  </si>
  <si>
    <t>N</t>
  </si>
  <si>
    <t>Aug</t>
  </si>
  <si>
    <t>Q</t>
  </si>
  <si>
    <t>Sep</t>
  </si>
  <si>
    <t>U</t>
  </si>
  <si>
    <t>Oct</t>
  </si>
  <si>
    <t>V</t>
  </si>
  <si>
    <t>Nov</t>
  </si>
  <si>
    <t>X</t>
  </si>
  <si>
    <t>Dec</t>
  </si>
  <si>
    <t>Z</t>
  </si>
  <si>
    <t>Regular</t>
  </si>
  <si>
    <t>Days</t>
  </si>
  <si>
    <t>Out</t>
  </si>
  <si>
    <t>Match</t>
  </si>
  <si>
    <t>OTC</t>
  </si>
  <si>
    <t>FTP DOWNLOAD INFORMATION</t>
  </si>
  <si>
    <t>Put or Get:</t>
  </si>
  <si>
    <t>Put</t>
  </si>
  <si>
    <t>LocalPath:</t>
  </si>
  <si>
    <t>o:\global_trading\wti\</t>
  </si>
  <si>
    <t>RemotePath:</t>
  </si>
  <si>
    <t>/oil/xfiles/</t>
  </si>
  <si>
    <t>FileName:</t>
  </si>
  <si>
    <t>FileType:</t>
  </si>
  <si>
    <t>I</t>
  </si>
  <si>
    <t>FTPConfig:</t>
  </si>
  <si>
    <t>FTPBatch.ini</t>
  </si>
  <si>
    <t>Vol Skew Flag</t>
  </si>
  <si>
    <t>Corr</t>
  </si>
  <si>
    <t>Price 1</t>
  </si>
  <si>
    <t>Price 2</t>
  </si>
  <si>
    <t>Vol 1</t>
  </si>
  <si>
    <t>Vol 2</t>
  </si>
  <si>
    <t>Start1</t>
  </si>
  <si>
    <t>End1</t>
  </si>
  <si>
    <t>Start2</t>
  </si>
  <si>
    <t>End2</t>
  </si>
  <si>
    <t>Fut1</t>
  </si>
  <si>
    <t>Fut2</t>
  </si>
  <si>
    <t>Tot</t>
  </si>
  <si>
    <t>Brent-Phy</t>
  </si>
  <si>
    <t>ASN</t>
  </si>
  <si>
    <t>Premiums</t>
  </si>
  <si>
    <t>Prompt</t>
  </si>
  <si>
    <t>2nd Fut</t>
  </si>
  <si>
    <t>Holiday Schedules</t>
  </si>
  <si>
    <t>Volume</t>
  </si>
  <si>
    <t>Volume Override</t>
  </si>
  <si>
    <t>Settle</t>
  </si>
  <si>
    <t>Swap Price</t>
  </si>
  <si>
    <t>Asian Option Pricing Results</t>
  </si>
  <si>
    <t>Today</t>
  </si>
  <si>
    <t>Now</t>
  </si>
  <si>
    <t>Actual</t>
  </si>
  <si>
    <t>Euro Option Pricing Results</t>
  </si>
  <si>
    <t>1 m</t>
  </si>
  <si>
    <t>2 m</t>
  </si>
  <si>
    <t>3 m</t>
  </si>
  <si>
    <t>4 m</t>
  </si>
  <si>
    <t>5 m</t>
  </si>
  <si>
    <t>6 m</t>
  </si>
  <si>
    <t>7 m</t>
  </si>
  <si>
    <t>8 m</t>
  </si>
  <si>
    <t>9 m</t>
  </si>
  <si>
    <t>10 m</t>
  </si>
  <si>
    <t>11 m</t>
  </si>
  <si>
    <t>12 m</t>
  </si>
  <si>
    <t>13 m</t>
  </si>
  <si>
    <t>14 m</t>
  </si>
  <si>
    <t>15 m</t>
  </si>
  <si>
    <t>16 m</t>
  </si>
  <si>
    <t>17 m</t>
  </si>
  <si>
    <t>18 m</t>
  </si>
  <si>
    <t>19 m</t>
  </si>
  <si>
    <t>20 m</t>
  </si>
  <si>
    <t>21 m</t>
  </si>
  <si>
    <t>22 m</t>
  </si>
  <si>
    <t>23 m</t>
  </si>
  <si>
    <t>24 m</t>
  </si>
  <si>
    <t>25 m</t>
  </si>
  <si>
    <t>26 m</t>
  </si>
  <si>
    <t>27 m</t>
  </si>
  <si>
    <t>28 m</t>
  </si>
  <si>
    <t>29 m</t>
  </si>
  <si>
    <t>30 m</t>
  </si>
  <si>
    <t>31 m</t>
  </si>
  <si>
    <t>32 m</t>
  </si>
  <si>
    <t>33 m</t>
  </si>
  <si>
    <t>34 m</t>
  </si>
  <si>
    <t>35 m</t>
  </si>
  <si>
    <t>36 m</t>
  </si>
  <si>
    <t>Period:</t>
  </si>
  <si>
    <t>Swaption Term</t>
  </si>
  <si>
    <t>Tot Nom</t>
  </si>
  <si>
    <t>Tot PV</t>
  </si>
  <si>
    <t>Collartion</t>
  </si>
  <si>
    <t>Beta</t>
  </si>
  <si>
    <t>R2</t>
  </si>
  <si>
    <t>Regression</t>
  </si>
  <si>
    <t>Price Spreads</t>
  </si>
  <si>
    <t>WTI-Brent Vol Adj</t>
  </si>
  <si>
    <t>Euro Option Pricing</t>
  </si>
  <si>
    <t>ATM Vol</t>
  </si>
  <si>
    <t>Underlying Price</t>
  </si>
  <si>
    <t>Days to Expiration</t>
  </si>
  <si>
    <t>Marg Skew/10%</t>
  </si>
  <si>
    <t>Euro Option Month Position</t>
  </si>
  <si>
    <t>Swap / APO Num Of Months</t>
  </si>
  <si>
    <t>Swap/APO First Month Position</t>
  </si>
  <si>
    <t>Swaption Num Of Months</t>
  </si>
  <si>
    <t>Swaption First Month Position</t>
  </si>
  <si>
    <t>Contract Month</t>
  </si>
  <si>
    <t>Swap / Asian Option / Spread Option Term</t>
  </si>
  <si>
    <t>Row</t>
  </si>
  <si>
    <t>IR</t>
  </si>
  <si>
    <t>Cal</t>
  </si>
  <si>
    <t>to Euro</t>
  </si>
  <si>
    <t>Exp</t>
  </si>
  <si>
    <t>Number of Trading Days</t>
  </si>
  <si>
    <t>for Swap Calculation Purposes</t>
  </si>
  <si>
    <t>DF</t>
  </si>
  <si>
    <t>Discounting</t>
  </si>
  <si>
    <t>Number of</t>
  </si>
  <si>
    <t>Trading Days</t>
  </si>
  <si>
    <t>Calendar APO Pricing</t>
  </si>
  <si>
    <t>Skew-Adjusted Vols</t>
  </si>
  <si>
    <t>ATM Vols</t>
  </si>
  <si>
    <t>Underlying</t>
  </si>
  <si>
    <t>Prices</t>
  </si>
  <si>
    <t>(for Vol Skew)</t>
  </si>
  <si>
    <t>Premiums and Greeks</t>
  </si>
  <si>
    <t>Years to Averaging Periods</t>
  </si>
  <si>
    <t>Rel</t>
  </si>
  <si>
    <t>Abs</t>
  </si>
  <si>
    <t>Brent Seas</t>
  </si>
  <si>
    <t>Brent-</t>
  </si>
  <si>
    <t>Phys-</t>
  </si>
  <si>
    <t>Volatility</t>
  </si>
  <si>
    <t>Information</t>
  </si>
  <si>
    <t>WTI Futures Price</t>
  </si>
  <si>
    <t>WTI Futures Vol</t>
  </si>
  <si>
    <t>IR Curve Date</t>
  </si>
  <si>
    <t>Extendable Collar</t>
  </si>
  <si>
    <t>Curve</t>
  </si>
  <si>
    <t>Nominal</t>
  </si>
  <si>
    <t>APO</t>
  </si>
  <si>
    <t>Swap Involving Current Month</t>
  </si>
  <si>
    <t>Swaps Involving Curr Mnth Toggle</t>
  </si>
  <si>
    <t>Brent Futures Price</t>
  </si>
  <si>
    <t>Status:</t>
  </si>
  <si>
    <t>A-Act, S-Set</t>
  </si>
  <si>
    <t>I-Int, E-Ext</t>
  </si>
  <si>
    <t>Vs.Settle</t>
  </si>
  <si>
    <t>Vs.Curve</t>
  </si>
  <si>
    <t>WTI-Brent</t>
  </si>
  <si>
    <t>WTI Y-Y</t>
  </si>
  <si>
    <t>Put Skew, Strike Below</t>
  </si>
  <si>
    <t>Call Skew, Strike Above</t>
  </si>
  <si>
    <t>Swaption Moneyness</t>
  </si>
  <si>
    <t>Skew</t>
  </si>
  <si>
    <t>Marginal Skew/10%</t>
  </si>
  <si>
    <t>Time Line</t>
  </si>
  <si>
    <t>Yrs</t>
  </si>
  <si>
    <t>Result-</t>
  </si>
  <si>
    <t>Act</t>
  </si>
  <si>
    <t>to Eur</t>
  </si>
  <si>
    <t>ing Vol</t>
  </si>
  <si>
    <t>Weight</t>
  </si>
  <si>
    <t>Variance (horizontal axis - time, vertical axis - months to expiry)</t>
  </si>
  <si>
    <t>Var</t>
  </si>
  <si>
    <t>Volatility (horizontal axis - time, vertical axis - months to expiry)</t>
  </si>
  <si>
    <t>Swaption Correlation Matrix</t>
  </si>
  <si>
    <t>Auxiliary Matrix</t>
  </si>
  <si>
    <t>37 m</t>
  </si>
  <si>
    <t>38 m</t>
  </si>
  <si>
    <t>39 m</t>
  </si>
  <si>
    <t>40 m</t>
  </si>
  <si>
    <t>41 m</t>
  </si>
  <si>
    <t>42 m</t>
  </si>
  <si>
    <t>43 m</t>
  </si>
  <si>
    <t>44 m</t>
  </si>
  <si>
    <t>45 m</t>
  </si>
  <si>
    <t>46 m</t>
  </si>
  <si>
    <t>47 m</t>
  </si>
  <si>
    <t>48 m</t>
  </si>
  <si>
    <t>49 m</t>
  </si>
  <si>
    <t>50 m</t>
  </si>
  <si>
    <t>51 m</t>
  </si>
  <si>
    <t>52 m</t>
  </si>
  <si>
    <t>53 m</t>
  </si>
  <si>
    <t>54 m</t>
  </si>
  <si>
    <t>55 m</t>
  </si>
  <si>
    <t>56 m</t>
  </si>
  <si>
    <t>57 m</t>
  </si>
  <si>
    <t>58 m</t>
  </si>
  <si>
    <t>59 m</t>
  </si>
  <si>
    <t>60 m</t>
  </si>
  <si>
    <t>Cum</t>
  </si>
  <si>
    <t>WTI Exp</t>
  </si>
  <si>
    <t>KOS</t>
  </si>
  <si>
    <t>Brent-Dated</t>
  </si>
  <si>
    <t>extra</t>
  </si>
  <si>
    <t>inter</t>
  </si>
  <si>
    <t>BRNTDT</t>
  </si>
  <si>
    <t>Exp. Prompt Vol</t>
  </si>
  <si>
    <t xml:space="preserve">Out Of   </t>
  </si>
  <si>
    <t>Costless Collar</t>
  </si>
  <si>
    <t>MargSkew/10%</t>
  </si>
  <si>
    <t>Vs Settle</t>
  </si>
  <si>
    <t>Ave Price So Far</t>
  </si>
  <si>
    <t>Out Of</t>
  </si>
  <si>
    <t>Floor</t>
  </si>
  <si>
    <t>Cap</t>
  </si>
  <si>
    <t>SkewExp</t>
  </si>
  <si>
    <t>SkewNow</t>
  </si>
  <si>
    <t>Vol Skew</t>
  </si>
  <si>
    <t>Vol at Expiry</t>
  </si>
  <si>
    <t>Fut</t>
  </si>
  <si>
    <t>Fut*</t>
  </si>
  <si>
    <t>to Exp</t>
  </si>
  <si>
    <t>Futures' Weights</t>
  </si>
  <si>
    <t>Priced</t>
  </si>
  <si>
    <t># of</t>
  </si>
  <si>
    <t>61 m</t>
  </si>
  <si>
    <t>62 m</t>
  </si>
  <si>
    <t>63 m</t>
  </si>
  <si>
    <t>64 m</t>
  </si>
  <si>
    <t>65 m</t>
  </si>
  <si>
    <t>66 m</t>
  </si>
  <si>
    <t>67 m</t>
  </si>
  <si>
    <t>68 m</t>
  </si>
  <si>
    <t>69 m</t>
  </si>
  <si>
    <t>70 m</t>
  </si>
  <si>
    <t>71 m</t>
  </si>
  <si>
    <t>72 m</t>
  </si>
  <si>
    <t>73 m</t>
  </si>
  <si>
    <t>74 m</t>
  </si>
  <si>
    <t>75 m</t>
  </si>
  <si>
    <t>76 m</t>
  </si>
  <si>
    <t>77 m</t>
  </si>
  <si>
    <t>78 m</t>
  </si>
  <si>
    <t>79 m</t>
  </si>
  <si>
    <t>80 m</t>
  </si>
  <si>
    <t>81 m</t>
  </si>
  <si>
    <t>82 m</t>
  </si>
  <si>
    <t>83 m</t>
  </si>
  <si>
    <t>84 m</t>
  </si>
  <si>
    <t>85 m</t>
  </si>
  <si>
    <t>86 m</t>
  </si>
  <si>
    <t>87 m</t>
  </si>
  <si>
    <t>88 m</t>
  </si>
  <si>
    <t>89 m</t>
  </si>
  <si>
    <t>90 m</t>
  </si>
  <si>
    <t>91 m</t>
  </si>
  <si>
    <t>92 m</t>
  </si>
  <si>
    <t>93 m</t>
  </si>
  <si>
    <t>94 m</t>
  </si>
  <si>
    <t>95 m</t>
  </si>
  <si>
    <t>96 m</t>
  </si>
  <si>
    <t>97 m</t>
  </si>
  <si>
    <t>98 m</t>
  </si>
  <si>
    <t>99 m</t>
  </si>
  <si>
    <t>100 m</t>
  </si>
  <si>
    <t>101 m</t>
  </si>
  <si>
    <t>102 m</t>
  </si>
  <si>
    <t>103 m</t>
  </si>
  <si>
    <t>104 m</t>
  </si>
  <si>
    <t>105 m</t>
  </si>
  <si>
    <t>106 m</t>
  </si>
  <si>
    <t>107 m</t>
  </si>
  <si>
    <t>108 m</t>
  </si>
  <si>
    <t>109 m</t>
  </si>
  <si>
    <t>110 m</t>
  </si>
  <si>
    <t>111 m</t>
  </si>
  <si>
    <t>112 m</t>
  </si>
  <si>
    <t>113 m</t>
  </si>
  <si>
    <t>114 m</t>
  </si>
  <si>
    <t>115 m</t>
  </si>
  <si>
    <t>116 m</t>
  </si>
  <si>
    <t>117 m</t>
  </si>
  <si>
    <t>118 m</t>
  </si>
  <si>
    <t>119 m</t>
  </si>
  <si>
    <t>120 m</t>
  </si>
  <si>
    <t>121 m</t>
  </si>
  <si>
    <t>122 m</t>
  </si>
  <si>
    <t>123 m</t>
  </si>
  <si>
    <t>124 m</t>
  </si>
  <si>
    <t>125 m</t>
  </si>
  <si>
    <t>126 m</t>
  </si>
  <si>
    <t>127 m</t>
  </si>
  <si>
    <t>128 m</t>
  </si>
  <si>
    <t>129 m</t>
  </si>
  <si>
    <t>130 m</t>
  </si>
  <si>
    <t>131 m</t>
  </si>
  <si>
    <t>132 m</t>
  </si>
  <si>
    <t>133 m</t>
  </si>
  <si>
    <t>134 m</t>
  </si>
  <si>
    <t>135 m</t>
  </si>
  <si>
    <t>136 m</t>
  </si>
  <si>
    <t>137 m</t>
  </si>
  <si>
    <t>138 m</t>
  </si>
  <si>
    <t>139 m</t>
  </si>
  <si>
    <t>140 m</t>
  </si>
  <si>
    <t>141 m</t>
  </si>
  <si>
    <t>142 m</t>
  </si>
  <si>
    <t>143 m</t>
  </si>
  <si>
    <t>144 m</t>
  </si>
  <si>
    <t>145 m</t>
  </si>
  <si>
    <t>146 m</t>
  </si>
  <si>
    <t>147 m</t>
  </si>
  <si>
    <t>148 m</t>
  </si>
  <si>
    <t>149 m</t>
  </si>
  <si>
    <t>150 m</t>
  </si>
  <si>
    <t>151 m</t>
  </si>
  <si>
    <t>152 m</t>
  </si>
  <si>
    <t>153 m</t>
  </si>
  <si>
    <t>154 m</t>
  </si>
  <si>
    <t>155 m</t>
  </si>
  <si>
    <t>156 m</t>
  </si>
  <si>
    <t>157 m</t>
  </si>
  <si>
    <t>158 m</t>
  </si>
  <si>
    <t>159 m</t>
  </si>
  <si>
    <t>160 m</t>
  </si>
  <si>
    <t>161 m</t>
  </si>
  <si>
    <t>162 m</t>
  </si>
  <si>
    <t>163 m</t>
  </si>
  <si>
    <t>164 m</t>
  </si>
  <si>
    <t>165 m</t>
  </si>
  <si>
    <t>166 m</t>
  </si>
  <si>
    <t>167 m</t>
  </si>
  <si>
    <t>168 m</t>
  </si>
  <si>
    <t>169 m</t>
  </si>
  <si>
    <t>170 m</t>
  </si>
  <si>
    <t>171 m</t>
  </si>
  <si>
    <t>172 m</t>
  </si>
  <si>
    <t>173 m</t>
  </si>
  <si>
    <t>174 m</t>
  </si>
  <si>
    <t>175 m</t>
  </si>
  <si>
    <t>176 m</t>
  </si>
  <si>
    <t>177 m</t>
  </si>
  <si>
    <t>178 m</t>
  </si>
  <si>
    <t>179 m</t>
  </si>
  <si>
    <t>180 m</t>
  </si>
  <si>
    <t>Reuters Feeds</t>
  </si>
  <si>
    <t>181 m</t>
  </si>
  <si>
    <t>182 m</t>
  </si>
  <si>
    <t>183 m</t>
  </si>
  <si>
    <t>184 m</t>
  </si>
  <si>
    <t>185 m</t>
  </si>
  <si>
    <t>186 m</t>
  </si>
  <si>
    <t>187 m</t>
  </si>
  <si>
    <t>188 m</t>
  </si>
  <si>
    <t>189 m</t>
  </si>
  <si>
    <t>190 m</t>
  </si>
  <si>
    <t>191 m</t>
  </si>
  <si>
    <t>192 m</t>
  </si>
  <si>
    <t>193 m</t>
  </si>
  <si>
    <t>194 m</t>
  </si>
  <si>
    <t>195 m</t>
  </si>
  <si>
    <t>196 m</t>
  </si>
  <si>
    <t>197 m</t>
  </si>
  <si>
    <t>198 m</t>
  </si>
  <si>
    <t>199 m</t>
  </si>
  <si>
    <t>200 m</t>
  </si>
  <si>
    <t>201 m</t>
  </si>
  <si>
    <t>202 m</t>
  </si>
  <si>
    <t>203 m</t>
  </si>
  <si>
    <t>204 m</t>
  </si>
  <si>
    <t>205 m</t>
  </si>
  <si>
    <t>206 m</t>
  </si>
  <si>
    <t>207 m</t>
  </si>
  <si>
    <t>208 m</t>
  </si>
  <si>
    <t>209 m</t>
  </si>
  <si>
    <t>210 m</t>
  </si>
  <si>
    <t>211 m</t>
  </si>
  <si>
    <t>212 m</t>
  </si>
  <si>
    <t>213 m</t>
  </si>
  <si>
    <t>214 m</t>
  </si>
  <si>
    <t>215 m</t>
  </si>
  <si>
    <t>216 m</t>
  </si>
  <si>
    <t>217 m</t>
  </si>
  <si>
    <t>218 m</t>
  </si>
  <si>
    <t>219 m</t>
  </si>
  <si>
    <t>220 m</t>
  </si>
  <si>
    <t>221 m</t>
  </si>
  <si>
    <t>222 m</t>
  </si>
  <si>
    <t>223 m</t>
  </si>
  <si>
    <t>224 m</t>
  </si>
  <si>
    <t>225 m</t>
  </si>
  <si>
    <t>226 m</t>
  </si>
  <si>
    <t>227 m</t>
  </si>
  <si>
    <t>228 m</t>
  </si>
  <si>
    <t>229 m</t>
  </si>
  <si>
    <t>230 m</t>
  </si>
  <si>
    <t>231 m</t>
  </si>
  <si>
    <t>232 m</t>
  </si>
  <si>
    <t>233 m</t>
  </si>
  <si>
    <t>234 m</t>
  </si>
  <si>
    <t>235 m</t>
  </si>
  <si>
    <t>236 m</t>
  </si>
  <si>
    <t>237 m</t>
  </si>
  <si>
    <t>238 m</t>
  </si>
  <si>
    <t>239 m</t>
  </si>
  <si>
    <t>240 m</t>
  </si>
  <si>
    <t>241 m</t>
  </si>
  <si>
    <t>242 m</t>
  </si>
  <si>
    <t>243 m</t>
  </si>
  <si>
    <t>244 m</t>
  </si>
  <si>
    <t>Euro Strip Pricing Results</t>
  </si>
  <si>
    <t>Costless</t>
  </si>
  <si>
    <t>Collar</t>
  </si>
  <si>
    <t>Under-</t>
  </si>
  <si>
    <t>lying</t>
  </si>
  <si>
    <t>Marginal</t>
  </si>
  <si>
    <t>Skew-Adjusted</t>
  </si>
  <si>
    <t>European Option Strip Pricing</t>
  </si>
  <si>
    <t>1 y</t>
  </si>
  <si>
    <t>2 y</t>
  </si>
  <si>
    <t>3 y</t>
  </si>
  <si>
    <t>5 y</t>
  </si>
  <si>
    <t>Expiry\Tenor</t>
  </si>
  <si>
    <t>x</t>
  </si>
  <si>
    <t>Swaption Months to Go</t>
  </si>
  <si>
    <t>0-before opt exp, 1-after</t>
  </si>
  <si>
    <t>Swaption Timeline</t>
  </si>
  <si>
    <t>Years to Exp</t>
  </si>
  <si>
    <t>ASTRIP</t>
  </si>
  <si>
    <t>Move</t>
  </si>
  <si>
    <t>Position of Next Dec</t>
  </si>
  <si>
    <t>A</t>
  </si>
  <si>
    <t>S</t>
  </si>
  <si>
    <t>E</t>
  </si>
  <si>
    <t>AA-LIBOR</t>
  </si>
  <si>
    <t>Treasury</t>
  </si>
  <si>
    <t>OTC Vols To Be</t>
  </si>
  <si>
    <t>Saved in System</t>
  </si>
  <si>
    <t>CrudeAPO</t>
  </si>
  <si>
    <t>Adjustment</t>
  </si>
  <si>
    <t>Vol Adjustments for OTC Vol Curves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</si>
</sst>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0.000"/>
    <numFmt numFmtId="165" formatCode="dd\-mmm\-yy_)"/>
    <numFmt numFmtId="166" formatCode="dd\-mmm\-yy"/>
    <numFmt numFmtId="167" formatCode="0.00000"/>
    <numFmt numFmtId="168" formatCode="0.0000"/>
    <numFmt numFmtId="169" formatCode="mm/dd/yy"/>
    <numFmt numFmtId="170" formatCode="_(* #,##0.000_);_(* \(#,##0.000\);_(* &quot;-&quot;_);_(@_)"/>
    <numFmt numFmtId="171" formatCode="mmdd"/>
  </numFmts>
  <fonts count="47">
    <font>
      <sz val="10"/>
      <name val="Times New Roman"/>
    </font>
    <font>
      <b/>
      <sz val="10"/>
      <name val="Times New Roman"/>
    </font>
    <font>
      <b/>
      <sz val="12"/>
      <name val="Times New Roman"/>
      <family val="1"/>
    </font>
    <font>
      <b/>
      <sz val="11"/>
      <name val="Times New Roman"/>
      <family val="1"/>
    </font>
    <font>
      <b/>
      <sz val="8"/>
      <name val="Times New Roman"/>
      <family val="1"/>
    </font>
    <font>
      <b/>
      <sz val="10"/>
      <color indexed="12"/>
      <name val="Times New Roman"/>
      <family val="1"/>
    </font>
    <font>
      <sz val="8"/>
      <name val="Times New Roman"/>
      <family val="1"/>
    </font>
    <font>
      <b/>
      <sz val="10"/>
      <name val="Times New Roman"/>
      <family val="1"/>
    </font>
    <font>
      <b/>
      <sz val="12"/>
      <color indexed="47"/>
      <name val="Times New Roman"/>
      <family val="1"/>
    </font>
    <font>
      <b/>
      <sz val="11"/>
      <color indexed="47"/>
      <name val="Times New Roman"/>
      <family val="1"/>
    </font>
    <font>
      <b/>
      <sz val="12"/>
      <color indexed="10"/>
      <name val="Times New Roman"/>
      <family val="1"/>
    </font>
    <font>
      <sz val="8"/>
      <name val="Tahoma"/>
      <family val="2"/>
    </font>
    <font>
      <sz val="10"/>
      <name val="Times New Roman"/>
      <family val="1"/>
    </font>
    <font>
      <b/>
      <sz val="10"/>
      <color indexed="61"/>
      <name val="Times New Roman"/>
      <family val="1"/>
    </font>
    <font>
      <sz val="10"/>
      <name val="Univers"/>
    </font>
    <font>
      <sz val="10"/>
      <name val="Arial"/>
    </font>
    <font>
      <b/>
      <sz val="10"/>
      <name val="Arial"/>
    </font>
    <font>
      <b/>
      <sz val="10"/>
      <name val="Book Antiqua"/>
    </font>
    <font>
      <b/>
      <sz val="10"/>
      <color indexed="10"/>
      <name val="Book Antiqua"/>
      <family val="1"/>
    </font>
    <font>
      <sz val="10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b/>
      <sz val="10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b/>
      <sz val="12"/>
      <name val="Arial"/>
      <family val="2"/>
    </font>
    <font>
      <b/>
      <sz val="10"/>
      <color indexed="57"/>
      <name val="Arial"/>
      <family val="2"/>
    </font>
    <font>
      <sz val="10"/>
      <name val="Times New Roman"/>
    </font>
    <font>
      <sz val="12"/>
      <name val="Times New Roman"/>
      <family val="1"/>
    </font>
    <font>
      <sz val="10"/>
      <color indexed="10"/>
      <name val="Times New Roman"/>
    </font>
    <font>
      <sz val="11"/>
      <name val="Times New Roman"/>
      <family val="1"/>
    </font>
    <font>
      <sz val="10"/>
      <name val="Times New Roman"/>
    </font>
    <font>
      <b/>
      <sz val="10"/>
      <color indexed="10"/>
      <name val="Times New Roman"/>
      <family val="1"/>
    </font>
    <font>
      <b/>
      <sz val="10"/>
      <color indexed="20"/>
      <name val="Arial"/>
      <family val="2"/>
    </font>
    <font>
      <b/>
      <sz val="11"/>
      <name val="Arial"/>
      <family val="2"/>
    </font>
    <font>
      <sz val="8"/>
      <color indexed="8"/>
      <name val="Times New Roman"/>
      <family val="1"/>
    </font>
    <font>
      <sz val="8"/>
      <color indexed="12"/>
      <name val="Times New Roman"/>
      <family val="1"/>
    </font>
    <font>
      <b/>
      <sz val="10"/>
      <color indexed="47"/>
      <name val="Arial"/>
      <family val="2"/>
    </font>
    <font>
      <b/>
      <sz val="8"/>
      <color indexed="20"/>
      <name val="Times New Roman"/>
      <family val="1"/>
    </font>
    <font>
      <b/>
      <sz val="10"/>
      <color indexed="9"/>
      <name val="Arial"/>
      <family val="2"/>
    </font>
    <font>
      <b/>
      <sz val="10"/>
      <color indexed="56"/>
      <name val="Arial"/>
      <family val="2"/>
    </font>
    <font>
      <b/>
      <sz val="10"/>
      <color indexed="18"/>
      <name val="Arial"/>
      <family val="2"/>
    </font>
    <font>
      <b/>
      <sz val="10"/>
      <color indexed="20"/>
      <name val="Times New Roman"/>
      <family val="1"/>
    </font>
    <font>
      <sz val="8"/>
      <name val="Arial"/>
      <family val="2"/>
    </font>
    <font>
      <b/>
      <sz val="10"/>
      <color indexed="62"/>
      <name val="Arial"/>
      <family val="2"/>
    </font>
    <font>
      <b/>
      <sz val="10"/>
      <color indexed="3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2"/>
        <bgColor indexed="64"/>
      </patternFill>
    </fill>
  </fills>
  <borders count="79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5" fillId="0" borderId="0"/>
    <xf numFmtId="0" fontId="14" fillId="0" borderId="0"/>
  </cellStyleXfs>
  <cellXfs count="892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centerContinuous"/>
    </xf>
    <xf numFmtId="0" fontId="1" fillId="0" borderId="0" xfId="0" applyFont="1" applyBorder="1"/>
    <xf numFmtId="0" fontId="7" fillId="0" borderId="2" xfId="0" applyFont="1" applyBorder="1" applyAlignment="1">
      <alignment horizontal="centerContinuous"/>
    </xf>
    <xf numFmtId="0" fontId="7" fillId="0" borderId="3" xfId="0" applyFont="1" applyFill="1" applyBorder="1" applyAlignment="1">
      <alignment horizontal="center"/>
    </xf>
    <xf numFmtId="0" fontId="7" fillId="0" borderId="4" xfId="0" applyFont="1" applyFill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2" fillId="0" borderId="0" xfId="1" applyFont="1" applyAlignment="1" applyProtection="1">
      <alignment horizontal="centerContinuous"/>
      <protection locked="0"/>
    </xf>
    <xf numFmtId="0" fontId="12" fillId="0" borderId="0" xfId="1" applyFont="1" applyAlignment="1" applyProtection="1">
      <alignment horizontal="centerContinuous"/>
      <protection locked="0"/>
    </xf>
    <xf numFmtId="0" fontId="12" fillId="0" borderId="0" xfId="1" applyFont="1" applyAlignment="1">
      <alignment horizontal="centerContinuous"/>
    </xf>
    <xf numFmtId="0" fontId="15" fillId="0" borderId="0" xfId="1" applyBorder="1"/>
    <xf numFmtId="0" fontId="14" fillId="0" borderId="0" xfId="2"/>
    <xf numFmtId="0" fontId="12" fillId="0" borderId="0" xfId="1" applyFont="1" applyAlignment="1">
      <alignment horizontal="left"/>
    </xf>
    <xf numFmtId="0" fontId="16" fillId="0" borderId="0" xfId="1" applyFont="1" applyAlignment="1" applyProtection="1">
      <alignment horizontal="right"/>
      <protection locked="0"/>
    </xf>
    <xf numFmtId="0" fontId="16" fillId="0" borderId="0" xfId="1" applyFont="1" applyAlignment="1" applyProtection="1">
      <alignment horizontal="center"/>
      <protection locked="0"/>
    </xf>
    <xf numFmtId="0" fontId="16" fillId="0" borderId="0" xfId="1" quotePrefix="1" applyFont="1" applyAlignment="1" applyProtection="1">
      <alignment horizontal="center"/>
      <protection locked="0"/>
    </xf>
    <xf numFmtId="171" fontId="12" fillId="0" borderId="0" xfId="1" applyNumberFormat="1" applyFont="1"/>
    <xf numFmtId="0" fontId="16" fillId="0" borderId="0" xfId="2" applyFont="1" applyAlignment="1">
      <alignment horizontal="right"/>
    </xf>
    <xf numFmtId="0" fontId="17" fillId="0" borderId="0" xfId="2" applyNumberFormat="1" applyFont="1" applyAlignment="1">
      <alignment horizontal="center"/>
    </xf>
    <xf numFmtId="0" fontId="12" fillId="0" borderId="0" xfId="1" applyFont="1"/>
    <xf numFmtId="0" fontId="15" fillId="0" borderId="0" xfId="1" applyFont="1" applyAlignment="1" applyProtection="1">
      <alignment horizontal="center"/>
      <protection locked="0"/>
    </xf>
    <xf numFmtId="0" fontId="15" fillId="0" borderId="0" xfId="1"/>
    <xf numFmtId="0" fontId="15" fillId="0" borderId="0" xfId="1" applyProtection="1"/>
    <xf numFmtId="0" fontId="15" fillId="0" borderId="0" xfId="1" applyFont="1" applyBorder="1"/>
    <xf numFmtId="0" fontId="14" fillId="0" borderId="0" xfId="2" applyBorder="1"/>
    <xf numFmtId="0" fontId="18" fillId="0" borderId="0" xfId="2" applyFont="1" applyAlignment="1">
      <alignment horizontal="centerContinuous"/>
    </xf>
    <xf numFmtId="0" fontId="19" fillId="0" borderId="0" xfId="2" applyFont="1" applyBorder="1"/>
    <xf numFmtId="0" fontId="20" fillId="0" borderId="0" xfId="0" applyFont="1"/>
    <xf numFmtId="0" fontId="19" fillId="0" borderId="0" xfId="0" applyFont="1"/>
    <xf numFmtId="3" fontId="20" fillId="0" borderId="7" xfId="0" applyNumberFormat="1" applyFont="1" applyFill="1" applyBorder="1" applyProtection="1">
      <protection locked="0"/>
    </xf>
    <xf numFmtId="3" fontId="24" fillId="0" borderId="8" xfId="0" applyNumberFormat="1" applyFont="1" applyFill="1" applyBorder="1" applyAlignment="1" applyProtection="1">
      <protection locked="0"/>
    </xf>
    <xf numFmtId="9" fontId="20" fillId="0" borderId="4" xfId="0" applyNumberFormat="1" applyFont="1" applyFill="1" applyBorder="1" applyProtection="1">
      <protection locked="0"/>
    </xf>
    <xf numFmtId="164" fontId="23" fillId="2" borderId="9" xfId="0" applyNumberFormat="1" applyFont="1" applyFill="1" applyBorder="1" applyProtection="1">
      <protection locked="0"/>
    </xf>
    <xf numFmtId="0" fontId="12" fillId="0" borderId="0" xfId="0" applyFont="1"/>
    <xf numFmtId="0" fontId="7" fillId="0" borderId="4" xfId="0" applyFont="1" applyBorder="1" applyAlignment="1">
      <alignment horizontal="center"/>
    </xf>
    <xf numFmtId="0" fontId="7" fillId="0" borderId="9" xfId="0" applyFont="1" applyBorder="1" applyAlignment="1">
      <alignment horizontal="center"/>
    </xf>
    <xf numFmtId="1" fontId="19" fillId="0" borderId="2" xfId="0" applyNumberFormat="1" applyFont="1" applyBorder="1" applyAlignment="1"/>
    <xf numFmtId="1" fontId="19" fillId="0" borderId="10" xfId="0" applyNumberFormat="1" applyFont="1" applyBorder="1" applyAlignment="1"/>
    <xf numFmtId="1" fontId="19" fillId="0" borderId="0" xfId="0" applyNumberFormat="1" applyFont="1" applyBorder="1" applyProtection="1">
      <protection locked="0"/>
    </xf>
    <xf numFmtId="4" fontId="19" fillId="0" borderId="0" xfId="0" applyNumberFormat="1" applyFont="1" applyBorder="1" applyAlignment="1" applyProtection="1">
      <protection locked="0"/>
    </xf>
    <xf numFmtId="0" fontId="19" fillId="0" borderId="0" xfId="0" applyFont="1" applyProtection="1">
      <protection locked="0"/>
    </xf>
    <xf numFmtId="0" fontId="1" fillId="0" borderId="11" xfId="0" applyFont="1" applyBorder="1" applyAlignment="1">
      <alignment horizontal="centerContinuous"/>
    </xf>
    <xf numFmtId="0" fontId="7" fillId="0" borderId="12" xfId="0" applyFont="1" applyBorder="1" applyAlignment="1">
      <alignment horizontal="centerContinuous"/>
    </xf>
    <xf numFmtId="0" fontId="7" fillId="0" borderId="11" xfId="0" applyFont="1" applyBorder="1" applyAlignment="1">
      <alignment horizontal="centerContinuous"/>
    </xf>
    <xf numFmtId="0" fontId="7" fillId="0" borderId="13" xfId="0" applyFont="1" applyBorder="1" applyAlignment="1">
      <alignment horizontal="centerContinuous"/>
    </xf>
    <xf numFmtId="0" fontId="20" fillId="3" borderId="0" xfId="0" applyFont="1" applyFill="1" applyProtection="1">
      <protection locked="0"/>
    </xf>
    <xf numFmtId="0" fontId="20" fillId="3" borderId="0" xfId="0" applyFont="1" applyFill="1" applyAlignment="1" applyProtection="1">
      <protection locked="0"/>
    </xf>
    <xf numFmtId="0" fontId="20" fillId="3" borderId="0" xfId="0" applyFont="1" applyFill="1" applyBorder="1" applyAlignment="1" applyProtection="1">
      <protection locked="0"/>
    </xf>
    <xf numFmtId="0" fontId="20" fillId="0" borderId="0" xfId="0" applyFont="1" applyFill="1" applyProtection="1">
      <protection locked="0"/>
    </xf>
    <xf numFmtId="0" fontId="7" fillId="0" borderId="0" xfId="0" applyFont="1" applyProtection="1">
      <protection locked="0"/>
    </xf>
    <xf numFmtId="0" fontId="20" fillId="0" borderId="0" xfId="0" applyFont="1" applyProtection="1">
      <protection locked="0"/>
    </xf>
    <xf numFmtId="0" fontId="9" fillId="3" borderId="0" xfId="0" applyFont="1" applyFill="1" applyAlignment="1" applyProtection="1">
      <alignment horizontal="centerContinuous"/>
      <protection locked="0"/>
    </xf>
    <xf numFmtId="0" fontId="8" fillId="3" borderId="0" xfId="0" applyFont="1" applyFill="1" applyAlignment="1" applyProtection="1">
      <alignment horizontal="centerContinuous"/>
      <protection locked="0"/>
    </xf>
    <xf numFmtId="0" fontId="3" fillId="0" borderId="2" xfId="0" applyFont="1" applyBorder="1" applyAlignment="1" applyProtection="1">
      <alignment horizontal="centerContinuous"/>
      <protection locked="0"/>
    </xf>
    <xf numFmtId="0" fontId="3" fillId="0" borderId="13" xfId="0" applyFont="1" applyBorder="1" applyAlignment="1" applyProtection="1">
      <alignment horizontal="centerContinuous"/>
      <protection locked="0"/>
    </xf>
    <xf numFmtId="0" fontId="7" fillId="0" borderId="14" xfId="0" applyFont="1" applyBorder="1" applyAlignment="1" applyProtection="1">
      <alignment horizontal="centerContinuous"/>
      <protection locked="0"/>
    </xf>
    <xf numFmtId="0" fontId="7" fillId="0" borderId="15" xfId="0" applyFont="1" applyBorder="1" applyAlignment="1" applyProtection="1">
      <alignment horizontal="centerContinuous"/>
      <protection locked="0"/>
    </xf>
    <xf numFmtId="0" fontId="7" fillId="2" borderId="16" xfId="0" applyFont="1" applyFill="1" applyBorder="1" applyAlignment="1" applyProtection="1">
      <alignment horizontal="center"/>
      <protection locked="0"/>
    </xf>
    <xf numFmtId="0" fontId="7" fillId="2" borderId="17" xfId="0" applyFont="1" applyFill="1" applyBorder="1" applyAlignment="1" applyProtection="1">
      <alignment horizontal="center"/>
      <protection locked="0"/>
    </xf>
    <xf numFmtId="0" fontId="7" fillId="0" borderId="18" xfId="0" applyFont="1" applyBorder="1" applyAlignment="1" applyProtection="1">
      <alignment horizontal="center"/>
      <protection locked="0"/>
    </xf>
    <xf numFmtId="0" fontId="7" fillId="0" borderId="17" xfId="0" applyFont="1" applyBorder="1" applyAlignment="1" applyProtection="1">
      <alignment horizontal="center"/>
      <protection locked="0"/>
    </xf>
    <xf numFmtId="0" fontId="7" fillId="0" borderId="3" xfId="0" applyFont="1" applyBorder="1" applyAlignment="1" applyProtection="1">
      <alignment horizontal="center"/>
      <protection locked="0"/>
    </xf>
    <xf numFmtId="0" fontId="7" fillId="0" borderId="19" xfId="0" applyFont="1" applyBorder="1" applyAlignment="1" applyProtection="1">
      <alignment horizontal="center"/>
      <protection locked="0"/>
    </xf>
    <xf numFmtId="0" fontId="20" fillId="4" borderId="2" xfId="0" applyFont="1" applyFill="1" applyBorder="1" applyProtection="1">
      <protection locked="0"/>
    </xf>
    <xf numFmtId="0" fontId="20" fillId="4" borderId="1" xfId="0" applyFont="1" applyFill="1" applyBorder="1" applyProtection="1">
      <protection locked="0"/>
    </xf>
    <xf numFmtId="0" fontId="7" fillId="2" borderId="20" xfId="0" applyFont="1" applyFill="1" applyBorder="1" applyAlignment="1" applyProtection="1">
      <alignment horizontal="center"/>
      <protection locked="0"/>
    </xf>
    <xf numFmtId="0" fontId="20" fillId="3" borderId="0" xfId="0" applyFont="1" applyFill="1" applyAlignment="1" applyProtection="1">
      <alignment horizontal="center"/>
      <protection locked="0"/>
    </xf>
    <xf numFmtId="0" fontId="7" fillId="0" borderId="4" xfId="0" applyFont="1" applyBorder="1" applyAlignment="1" applyProtection="1">
      <alignment horizontal="center"/>
      <protection locked="0"/>
    </xf>
    <xf numFmtId="0" fontId="7" fillId="0" borderId="9" xfId="0" applyFont="1" applyBorder="1" applyAlignment="1" applyProtection="1">
      <alignment horizontal="center"/>
      <protection locked="0"/>
    </xf>
    <xf numFmtId="0" fontId="20" fillId="0" borderId="0" xfId="0" applyFont="1" applyAlignment="1" applyProtection="1">
      <alignment horizontal="center"/>
      <protection locked="0"/>
    </xf>
    <xf numFmtId="0" fontId="24" fillId="2" borderId="2" xfId="0" applyFont="1" applyFill="1" applyBorder="1" applyProtection="1">
      <protection locked="0"/>
    </xf>
    <xf numFmtId="0" fontId="26" fillId="2" borderId="18" xfId="0" applyFont="1" applyFill="1" applyBorder="1" applyAlignment="1" applyProtection="1">
      <alignment horizontal="center"/>
      <protection locked="0"/>
    </xf>
    <xf numFmtId="0" fontId="20" fillId="4" borderId="10" xfId="0" applyFont="1" applyFill="1" applyBorder="1" applyProtection="1">
      <protection locked="0"/>
    </xf>
    <xf numFmtId="0" fontId="20" fillId="2" borderId="18" xfId="0" applyFont="1" applyFill="1" applyBorder="1" applyAlignment="1" applyProtection="1">
      <alignment horizontal="center"/>
      <protection locked="0"/>
    </xf>
    <xf numFmtId="0" fontId="25" fillId="2" borderId="3" xfId="0" applyFont="1" applyFill="1" applyBorder="1" applyAlignment="1" applyProtection="1">
      <alignment horizontal="centerContinuous"/>
      <protection locked="0"/>
    </xf>
    <xf numFmtId="0" fontId="20" fillId="4" borderId="21" xfId="0" applyFont="1" applyFill="1" applyBorder="1" applyProtection="1">
      <protection locked="0"/>
    </xf>
    <xf numFmtId="0" fontId="20" fillId="2" borderId="4" xfId="0" applyFont="1" applyFill="1" applyBorder="1" applyAlignment="1" applyProtection="1">
      <alignment horizontal="center"/>
      <protection locked="0"/>
    </xf>
    <xf numFmtId="0" fontId="25" fillId="2" borderId="4" xfId="0" applyFont="1" applyFill="1" applyBorder="1" applyAlignment="1" applyProtection="1">
      <alignment horizontal="centerContinuous"/>
      <protection locked="0"/>
    </xf>
    <xf numFmtId="0" fontId="7" fillId="2" borderId="2" xfId="0" applyFont="1" applyFill="1" applyBorder="1" applyProtection="1">
      <protection locked="0"/>
    </xf>
    <xf numFmtId="0" fontId="7" fillId="2" borderId="22" xfId="0" applyFont="1" applyFill="1" applyBorder="1" applyAlignment="1" applyProtection="1">
      <alignment horizontal="center"/>
      <protection locked="0"/>
    </xf>
    <xf numFmtId="0" fontId="4" fillId="2" borderId="17" xfId="0" applyFont="1" applyFill="1" applyBorder="1" applyAlignment="1" applyProtection="1">
      <alignment horizontal="center"/>
      <protection locked="0"/>
    </xf>
    <xf numFmtId="0" fontId="7" fillId="2" borderId="18" xfId="0" applyFont="1" applyFill="1" applyBorder="1" applyAlignment="1" applyProtection="1">
      <alignment horizontal="right"/>
      <protection locked="0"/>
    </xf>
    <xf numFmtId="0" fontId="7" fillId="2" borderId="3" xfId="0" applyFont="1" applyFill="1" applyBorder="1" applyAlignment="1" applyProtection="1">
      <alignment horizontal="right"/>
      <protection locked="0"/>
    </xf>
    <xf numFmtId="0" fontId="7" fillId="2" borderId="4" xfId="0" applyFont="1" applyFill="1" applyBorder="1" applyAlignment="1" applyProtection="1">
      <alignment horizontal="right"/>
      <protection locked="0"/>
    </xf>
    <xf numFmtId="0" fontId="7" fillId="2" borderId="18" xfId="0" applyFont="1" applyFill="1" applyBorder="1" applyAlignment="1" applyProtection="1">
      <alignment horizontal="centerContinuous"/>
      <protection locked="0"/>
    </xf>
    <xf numFmtId="0" fontId="7" fillId="4" borderId="1" xfId="0" applyFont="1" applyFill="1" applyBorder="1" applyAlignment="1" applyProtection="1">
      <protection locked="0"/>
    </xf>
    <xf numFmtId="0" fontId="7" fillId="2" borderId="17" xfId="0" applyFont="1" applyFill="1" applyBorder="1" applyAlignment="1" applyProtection="1">
      <alignment horizontal="centerContinuous"/>
      <protection locked="0"/>
    </xf>
    <xf numFmtId="0" fontId="20" fillId="0" borderId="0" xfId="0" applyFont="1" applyAlignment="1" applyProtection="1">
      <protection locked="0"/>
    </xf>
    <xf numFmtId="164" fontId="27" fillId="2" borderId="16" xfId="0" applyNumberFormat="1" applyFont="1" applyFill="1" applyBorder="1" applyProtection="1"/>
    <xf numFmtId="164" fontId="27" fillId="2" borderId="17" xfId="0" applyNumberFormat="1" applyFont="1" applyFill="1" applyBorder="1" applyProtection="1"/>
    <xf numFmtId="164" fontId="27" fillId="2" borderId="7" xfId="0" applyNumberFormat="1" applyFont="1" applyFill="1" applyBorder="1" applyProtection="1"/>
    <xf numFmtId="164" fontId="27" fillId="2" borderId="8" xfId="0" applyNumberFormat="1" applyFont="1" applyFill="1" applyBorder="1" applyProtection="1"/>
    <xf numFmtId="3" fontId="21" fillId="2" borderId="7" xfId="0" applyNumberFormat="1" applyFont="1" applyFill="1" applyBorder="1" applyProtection="1"/>
    <xf numFmtId="3" fontId="21" fillId="2" borderId="8" xfId="0" applyNumberFormat="1" applyFont="1" applyFill="1" applyBorder="1" applyProtection="1"/>
    <xf numFmtId="0" fontId="7" fillId="2" borderId="21" xfId="0" applyFont="1" applyFill="1" applyBorder="1" applyAlignment="1" applyProtection="1">
      <alignment horizontal="center"/>
      <protection locked="0"/>
    </xf>
    <xf numFmtId="0" fontId="7" fillId="3" borderId="0" xfId="0" applyFont="1" applyFill="1" applyAlignment="1" applyProtection="1">
      <alignment horizontal="centerContinuous"/>
      <protection locked="0"/>
    </xf>
    <xf numFmtId="0" fontId="7" fillId="2" borderId="23" xfId="0" applyFont="1" applyFill="1" applyBorder="1" applyAlignment="1" applyProtection="1">
      <alignment horizontal="center"/>
      <protection locked="0"/>
    </xf>
    <xf numFmtId="0" fontId="20" fillId="0" borderId="7" xfId="0" applyFont="1" applyFill="1" applyBorder="1" applyAlignment="1" applyProtection="1">
      <alignment horizontal="center"/>
      <protection locked="0"/>
    </xf>
    <xf numFmtId="0" fontId="20" fillId="0" borderId="7" xfId="0" applyFont="1" applyBorder="1" applyAlignment="1" applyProtection="1">
      <alignment horizontal="center"/>
      <protection locked="0"/>
    </xf>
    <xf numFmtId="0" fontId="28" fillId="0" borderId="0" xfId="0" applyFont="1" applyBorder="1"/>
    <xf numFmtId="0" fontId="28" fillId="0" borderId="0" xfId="0" applyFont="1"/>
    <xf numFmtId="0" fontId="28" fillId="0" borderId="0" xfId="0" applyFont="1" applyBorder="1" applyAlignment="1"/>
    <xf numFmtId="0" fontId="28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10" fontId="1" fillId="0" borderId="0" xfId="0" applyNumberFormat="1" applyFont="1"/>
    <xf numFmtId="164" fontId="1" fillId="0" borderId="19" xfId="0" applyNumberFormat="1" applyFont="1" applyBorder="1"/>
    <xf numFmtId="168" fontId="1" fillId="0" borderId="19" xfId="0" applyNumberFormat="1" applyFont="1" applyBorder="1"/>
    <xf numFmtId="168" fontId="1" fillId="0" borderId="18" xfId="0" applyNumberFormat="1" applyFont="1" applyBorder="1"/>
    <xf numFmtId="168" fontId="1" fillId="0" borderId="17" xfId="0" applyNumberFormat="1" applyFont="1" applyBorder="1"/>
    <xf numFmtId="164" fontId="1" fillId="0" borderId="18" xfId="0" applyNumberFormat="1" applyFont="1" applyBorder="1"/>
    <xf numFmtId="164" fontId="1" fillId="0" borderId="17" xfId="0" applyNumberFormat="1" applyFont="1" applyBorder="1"/>
    <xf numFmtId="168" fontId="1" fillId="0" borderId="3" xfId="0" applyNumberFormat="1" applyFont="1" applyBorder="1"/>
    <xf numFmtId="164" fontId="1" fillId="0" borderId="3" xfId="0" applyNumberFormat="1" applyFont="1" applyBorder="1"/>
    <xf numFmtId="0" fontId="20" fillId="4" borderId="13" xfId="0" applyFont="1" applyFill="1" applyBorder="1" applyProtection="1">
      <protection locked="0"/>
    </xf>
    <xf numFmtId="0" fontId="20" fillId="4" borderId="0" xfId="0" applyFont="1" applyFill="1" applyBorder="1" applyProtection="1">
      <protection locked="0"/>
    </xf>
    <xf numFmtId="0" fontId="20" fillId="4" borderId="24" xfId="0" applyFont="1" applyFill="1" applyBorder="1" applyProtection="1">
      <protection locked="0"/>
    </xf>
    <xf numFmtId="0" fontId="20" fillId="4" borderId="25" xfId="0" applyFont="1" applyFill="1" applyBorder="1" applyProtection="1">
      <protection locked="0"/>
    </xf>
    <xf numFmtId="0" fontId="20" fillId="4" borderId="26" xfId="0" applyFont="1" applyFill="1" applyBorder="1" applyProtection="1">
      <protection locked="0"/>
    </xf>
    <xf numFmtId="164" fontId="7" fillId="0" borderId="19" xfId="0" quotePrefix="1" applyNumberFormat="1" applyFont="1" applyBorder="1" applyProtection="1"/>
    <xf numFmtId="164" fontId="7" fillId="0" borderId="9" xfId="0" quotePrefix="1" applyNumberFormat="1" applyFont="1" applyBorder="1" applyProtection="1"/>
    <xf numFmtId="0" fontId="7" fillId="4" borderId="0" xfId="0" applyFont="1" applyFill="1" applyBorder="1" applyProtection="1">
      <protection locked="0"/>
    </xf>
    <xf numFmtId="0" fontId="7" fillId="4" borderId="0" xfId="0" applyFont="1" applyFill="1" applyBorder="1" applyAlignment="1" applyProtection="1">
      <protection locked="0"/>
    </xf>
    <xf numFmtId="0" fontId="7" fillId="4" borderId="0" xfId="0" applyFont="1" applyFill="1" applyBorder="1" applyAlignment="1" applyProtection="1">
      <alignment horizontal="center"/>
      <protection locked="0"/>
    </xf>
    <xf numFmtId="0" fontId="1" fillId="0" borderId="3" xfId="0" applyFont="1" applyBorder="1"/>
    <xf numFmtId="168" fontId="7" fillId="0" borderId="7" xfId="0" applyNumberFormat="1" applyFont="1" applyFill="1" applyBorder="1" applyAlignment="1" applyProtection="1">
      <alignment horizontal="right"/>
      <protection locked="0"/>
    </xf>
    <xf numFmtId="168" fontId="7" fillId="0" borderId="19" xfId="0" applyNumberFormat="1" applyFont="1" applyFill="1" applyBorder="1" applyAlignment="1" applyProtection="1">
      <alignment horizontal="right"/>
      <protection locked="0"/>
    </xf>
    <xf numFmtId="168" fontId="7" fillId="0" borderId="8" xfId="0" applyNumberFormat="1" applyFont="1" applyFill="1" applyBorder="1" applyAlignment="1" applyProtection="1">
      <alignment horizontal="right"/>
      <protection locked="0"/>
    </xf>
    <xf numFmtId="168" fontId="7" fillId="0" borderId="9" xfId="0" applyNumberFormat="1" applyFont="1" applyFill="1" applyBorder="1" applyAlignment="1" applyProtection="1">
      <alignment horizontal="right"/>
      <protection locked="0"/>
    </xf>
    <xf numFmtId="0" fontId="7" fillId="4" borderId="1" xfId="0" applyFont="1" applyFill="1" applyBorder="1" applyProtection="1">
      <protection locked="0"/>
    </xf>
    <xf numFmtId="0" fontId="1" fillId="0" borderId="0" xfId="0" applyFont="1" applyAlignment="1"/>
    <xf numFmtId="0" fontId="1" fillId="0" borderId="0" xfId="0" applyFont="1" applyProtection="1">
      <protection locked="0"/>
    </xf>
    <xf numFmtId="0" fontId="1" fillId="2" borderId="1" xfId="0" applyFont="1" applyFill="1" applyBorder="1" applyAlignment="1">
      <alignment horizontal="centerContinuous"/>
    </xf>
    <xf numFmtId="0" fontId="1" fillId="2" borderId="13" xfId="0" applyFont="1" applyFill="1" applyBorder="1" applyAlignment="1">
      <alignment horizontal="centerContinuous"/>
    </xf>
    <xf numFmtId="0" fontId="1" fillId="2" borderId="27" xfId="0" applyFont="1" applyFill="1" applyBorder="1" applyAlignment="1">
      <alignment horizontal="centerContinuous"/>
    </xf>
    <xf numFmtId="0" fontId="1" fillId="2" borderId="28" xfId="0" applyFont="1" applyFill="1" applyBorder="1" applyAlignment="1">
      <alignment horizontal="centerContinuous"/>
    </xf>
    <xf numFmtId="1" fontId="19" fillId="0" borderId="13" xfId="0" applyNumberFormat="1" applyFont="1" applyBorder="1" applyAlignment="1"/>
    <xf numFmtId="1" fontId="19" fillId="0" borderId="24" xfId="0" applyNumberFormat="1" applyFont="1" applyBorder="1" applyAlignment="1"/>
    <xf numFmtId="3" fontId="19" fillId="0" borderId="10" xfId="0" applyNumberFormat="1" applyFont="1" applyBorder="1" applyAlignment="1" applyProtection="1">
      <protection locked="0"/>
    </xf>
    <xf numFmtId="1" fontId="19" fillId="0" borderId="10" xfId="0" applyNumberFormat="1" applyFont="1" applyBorder="1" applyProtection="1">
      <protection locked="0"/>
    </xf>
    <xf numFmtId="1" fontId="19" fillId="0" borderId="24" xfId="0" applyNumberFormat="1" applyFont="1" applyBorder="1" applyProtection="1">
      <protection locked="0"/>
    </xf>
    <xf numFmtId="3" fontId="19" fillId="0" borderId="10" xfId="0" applyNumberFormat="1" applyFont="1" applyFill="1" applyBorder="1"/>
    <xf numFmtId="3" fontId="19" fillId="0" borderId="0" xfId="0" applyNumberFormat="1" applyFont="1" applyFill="1" applyBorder="1"/>
    <xf numFmtId="164" fontId="19" fillId="0" borderId="0" xfId="0" applyNumberFormat="1" applyFont="1" applyFill="1" applyBorder="1"/>
    <xf numFmtId="168" fontId="19" fillId="0" borderId="0" xfId="0" quotePrefix="1" applyNumberFormat="1" applyFont="1" applyFill="1" applyBorder="1"/>
    <xf numFmtId="0" fontId="28" fillId="2" borderId="1" xfId="0" applyFont="1" applyFill="1" applyBorder="1" applyAlignment="1">
      <alignment horizontal="centerContinuous"/>
    </xf>
    <xf numFmtId="0" fontId="28" fillId="2" borderId="29" xfId="0" applyFont="1" applyFill="1" applyBorder="1" applyAlignment="1">
      <alignment horizontal="center"/>
    </xf>
    <xf numFmtId="168" fontId="19" fillId="0" borderId="0" xfId="0" applyNumberFormat="1" applyFont="1" applyFill="1" applyBorder="1"/>
    <xf numFmtId="1" fontId="19" fillId="0" borderId="0" xfId="0" applyNumberFormat="1" applyFont="1" applyFill="1" applyBorder="1"/>
    <xf numFmtId="164" fontId="28" fillId="0" borderId="0" xfId="0" applyNumberFormat="1" applyFont="1"/>
    <xf numFmtId="0" fontId="28" fillId="0" borderId="0" xfId="0" applyFont="1" applyProtection="1">
      <protection locked="0"/>
    </xf>
    <xf numFmtId="164" fontId="19" fillId="0" borderId="0" xfId="0" quotePrefix="1" applyNumberFormat="1" applyFont="1" applyFill="1" applyBorder="1"/>
    <xf numFmtId="170" fontId="19" fillId="0" borderId="0" xfId="0" quotePrefix="1" applyNumberFormat="1" applyFont="1" applyFill="1" applyBorder="1"/>
    <xf numFmtId="170" fontId="19" fillId="0" borderId="0" xfId="0" applyNumberFormat="1" applyFont="1" applyFill="1" applyBorder="1"/>
    <xf numFmtId="170" fontId="19" fillId="0" borderId="24" xfId="0" applyNumberFormat="1" applyFont="1" applyFill="1" applyBorder="1"/>
    <xf numFmtId="0" fontId="20" fillId="0" borderId="10" xfId="0" applyFont="1" applyBorder="1" applyProtection="1">
      <protection locked="0"/>
    </xf>
    <xf numFmtId="0" fontId="24" fillId="2" borderId="16" xfId="0" applyFont="1" applyFill="1" applyBorder="1" applyAlignment="1" applyProtection="1">
      <alignment horizontal="center"/>
      <protection locked="0"/>
    </xf>
    <xf numFmtId="0" fontId="20" fillId="2" borderId="2" xfId="0" applyFont="1" applyFill="1" applyBorder="1" applyAlignment="1" applyProtection="1">
      <alignment horizontal="centerContinuous"/>
      <protection locked="0"/>
    </xf>
    <xf numFmtId="0" fontId="21" fillId="2" borderId="3" xfId="0" applyFont="1" applyFill="1" applyBorder="1" applyProtection="1">
      <protection locked="0"/>
    </xf>
    <xf numFmtId="0" fontId="21" fillId="2" borderId="30" xfId="0" applyFont="1" applyFill="1" applyBorder="1" applyProtection="1">
      <protection locked="0"/>
    </xf>
    <xf numFmtId="0" fontId="20" fillId="2" borderId="1" xfId="0" applyFont="1" applyFill="1" applyBorder="1" applyAlignment="1" applyProtection="1">
      <alignment horizontal="centerContinuous"/>
      <protection locked="0"/>
    </xf>
    <xf numFmtId="168" fontId="22" fillId="2" borderId="31" xfId="0" applyNumberFormat="1" applyFont="1" applyFill="1" applyBorder="1" applyProtection="1"/>
    <xf numFmtId="0" fontId="20" fillId="2" borderId="13" xfId="0" applyFont="1" applyFill="1" applyBorder="1" applyAlignment="1" applyProtection="1">
      <alignment horizontal="centerContinuous"/>
      <protection locked="0"/>
    </xf>
    <xf numFmtId="0" fontId="20" fillId="2" borderId="32" xfId="0" applyFont="1" applyFill="1" applyBorder="1" applyProtection="1">
      <protection locked="0"/>
    </xf>
    <xf numFmtId="0" fontId="20" fillId="0" borderId="2" xfId="0" applyFont="1" applyBorder="1" applyAlignment="1" applyProtection="1">
      <alignment horizontal="centerContinuous"/>
      <protection locked="0"/>
    </xf>
    <xf numFmtId="0" fontId="20" fillId="0" borderId="1" xfId="0" applyFont="1" applyBorder="1" applyAlignment="1" applyProtection="1">
      <alignment horizontal="centerContinuous"/>
      <protection locked="0"/>
    </xf>
    <xf numFmtId="0" fontId="20" fillId="0" borderId="13" xfId="0" applyFont="1" applyBorder="1" applyAlignment="1" applyProtection="1">
      <alignment horizontal="centerContinuous"/>
      <protection locked="0"/>
    </xf>
    <xf numFmtId="0" fontId="1" fillId="0" borderId="3" xfId="0" applyFont="1" applyFill="1" applyBorder="1"/>
    <xf numFmtId="0" fontId="1" fillId="0" borderId="33" xfId="0" applyFont="1" applyBorder="1"/>
    <xf numFmtId="0" fontId="1" fillId="0" borderId="4" xfId="0" applyFont="1" applyFill="1" applyBorder="1"/>
    <xf numFmtId="0" fontId="3" fillId="2" borderId="14" xfId="0" applyFont="1" applyFill="1" applyBorder="1" applyAlignment="1">
      <alignment horizontal="centerContinuous"/>
    </xf>
    <xf numFmtId="0" fontId="3" fillId="2" borderId="34" xfId="0" applyFont="1" applyFill="1" applyBorder="1" applyAlignment="1">
      <alignment horizontal="centerContinuous"/>
    </xf>
    <xf numFmtId="0" fontId="3" fillId="2" borderId="15" xfId="0" applyFont="1" applyFill="1" applyBorder="1" applyAlignment="1">
      <alignment horizontal="centerContinuous"/>
    </xf>
    <xf numFmtId="0" fontId="7" fillId="2" borderId="35" xfId="0" applyFont="1" applyFill="1" applyBorder="1" applyAlignment="1">
      <alignment horizontal="center"/>
    </xf>
    <xf numFmtId="0" fontId="1" fillId="2" borderId="36" xfId="0" applyFont="1" applyFill="1" applyBorder="1" applyAlignment="1">
      <alignment horizontal="centerContinuous"/>
    </xf>
    <xf numFmtId="0" fontId="1" fillId="2" borderId="37" xfId="0" applyFont="1" applyFill="1" applyBorder="1" applyAlignment="1">
      <alignment horizontal="centerContinuous"/>
    </xf>
    <xf numFmtId="9" fontId="4" fillId="2" borderId="7" xfId="0" applyNumberFormat="1" applyFont="1" applyFill="1" applyBorder="1" applyAlignment="1">
      <alignment horizontal="center"/>
    </xf>
    <xf numFmtId="9" fontId="4" fillId="2" borderId="19" xfId="0" applyNumberFormat="1" applyFont="1" applyFill="1" applyBorder="1" applyAlignment="1">
      <alignment horizontal="center"/>
    </xf>
    <xf numFmtId="0" fontId="4" fillId="2" borderId="2" xfId="0" applyFont="1" applyFill="1" applyBorder="1" applyAlignment="1">
      <alignment horizontal="centerContinuous"/>
    </xf>
    <xf numFmtId="0" fontId="1" fillId="2" borderId="3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center"/>
    </xf>
    <xf numFmtId="0" fontId="20" fillId="2" borderId="2" xfId="0" applyFont="1" applyFill="1" applyBorder="1" applyAlignment="1" applyProtection="1">
      <protection locked="0"/>
    </xf>
    <xf numFmtId="0" fontId="21" fillId="2" borderId="10" xfId="0" applyFont="1" applyFill="1" applyBorder="1" applyAlignment="1" applyProtection="1">
      <alignment horizontal="center"/>
      <protection locked="0"/>
    </xf>
    <xf numFmtId="0" fontId="4" fillId="2" borderId="10" xfId="0" applyFont="1" applyFill="1" applyBorder="1" applyAlignment="1" applyProtection="1">
      <alignment horizontal="center"/>
      <protection locked="0"/>
    </xf>
    <xf numFmtId="0" fontId="20" fillId="0" borderId="38" xfId="0" applyFont="1" applyBorder="1" applyProtection="1">
      <protection locked="0"/>
    </xf>
    <xf numFmtId="0" fontId="20" fillId="0" borderId="39" xfId="0" applyFont="1" applyBorder="1" applyProtection="1">
      <protection locked="0"/>
    </xf>
    <xf numFmtId="0" fontId="20" fillId="0" borderId="40" xfId="0" applyFont="1" applyBorder="1" applyProtection="1">
      <protection locked="0"/>
    </xf>
    <xf numFmtId="0" fontId="1" fillId="0" borderId="31" xfId="0" applyFont="1" applyFill="1" applyBorder="1"/>
    <xf numFmtId="0" fontId="1" fillId="0" borderId="41" xfId="0" applyFont="1" applyFill="1" applyBorder="1"/>
    <xf numFmtId="0" fontId="7" fillId="0" borderId="42" xfId="0" applyFont="1" applyBorder="1" applyProtection="1">
      <protection locked="0"/>
    </xf>
    <xf numFmtId="0" fontId="19" fillId="0" borderId="38" xfId="0" applyFont="1" applyBorder="1" applyProtection="1">
      <protection locked="0"/>
    </xf>
    <xf numFmtId="0" fontId="7" fillId="0" borderId="30" xfId="0" applyFont="1" applyBorder="1" applyAlignment="1" applyProtection="1">
      <alignment horizontal="right"/>
      <protection locked="0"/>
    </xf>
    <xf numFmtId="0" fontId="20" fillId="0" borderId="27" xfId="0" applyFont="1" applyBorder="1" applyProtection="1">
      <protection locked="0"/>
    </xf>
    <xf numFmtId="0" fontId="7" fillId="0" borderId="36" xfId="0" applyFont="1" applyBorder="1" applyAlignment="1" applyProtection="1">
      <alignment horizontal="right"/>
      <protection locked="0"/>
    </xf>
    <xf numFmtId="164" fontId="7" fillId="0" borderId="28" xfId="0" quotePrefix="1" applyNumberFormat="1" applyFont="1" applyBorder="1" applyProtection="1"/>
    <xf numFmtId="0" fontId="20" fillId="0" borderId="43" xfId="0" applyFont="1" applyBorder="1" applyProtection="1">
      <protection locked="0"/>
    </xf>
    <xf numFmtId="0" fontId="20" fillId="0" borderId="44" xfId="0" applyFont="1" applyBorder="1" applyProtection="1">
      <protection locked="0"/>
    </xf>
    <xf numFmtId="0" fontId="7" fillId="0" borderId="45" xfId="0" applyFont="1" applyBorder="1" applyAlignment="1" applyProtection="1">
      <alignment horizontal="right"/>
      <protection locked="0"/>
    </xf>
    <xf numFmtId="0" fontId="3" fillId="0" borderId="12" xfId="0" applyFont="1" applyBorder="1" applyAlignment="1" applyProtection="1">
      <alignment horizontal="centerContinuous"/>
      <protection locked="0"/>
    </xf>
    <xf numFmtId="0" fontId="3" fillId="0" borderId="46" xfId="0" applyFont="1" applyBorder="1" applyAlignment="1" applyProtection="1">
      <alignment horizontal="centerContinuous"/>
      <protection locked="0"/>
    </xf>
    <xf numFmtId="0" fontId="35" fillId="0" borderId="46" xfId="0" applyFont="1" applyBorder="1" applyAlignment="1" applyProtection="1">
      <alignment horizontal="centerContinuous"/>
      <protection locked="0"/>
    </xf>
    <xf numFmtId="0" fontId="35" fillId="0" borderId="11" xfId="0" applyFont="1" applyBorder="1" applyAlignment="1" applyProtection="1">
      <alignment horizontal="centerContinuous"/>
      <protection locked="0"/>
    </xf>
    <xf numFmtId="0" fontId="35" fillId="0" borderId="1" xfId="0" applyFont="1" applyBorder="1" applyAlignment="1" applyProtection="1">
      <alignment horizontal="centerContinuous"/>
      <protection locked="0"/>
    </xf>
    <xf numFmtId="0" fontId="7" fillId="4" borderId="0" xfId="0" applyFont="1" applyFill="1" applyProtection="1">
      <protection locked="0"/>
    </xf>
    <xf numFmtId="17" fontId="7" fillId="5" borderId="47" xfId="0" quotePrefix="1" applyNumberFormat="1" applyFont="1" applyFill="1" applyBorder="1" applyProtection="1"/>
    <xf numFmtId="17" fontId="7" fillId="5" borderId="48" xfId="0" applyNumberFormat="1" applyFont="1" applyFill="1" applyBorder="1" applyProtection="1"/>
    <xf numFmtId="0" fontId="28" fillId="2" borderId="30" xfId="0" applyFont="1" applyFill="1" applyBorder="1" applyAlignment="1">
      <alignment horizontal="centerContinuous"/>
    </xf>
    <xf numFmtId="0" fontId="28" fillId="2" borderId="31" xfId="0" applyFont="1" applyFill="1" applyBorder="1" applyAlignment="1">
      <alignment horizontal="centerContinuous"/>
    </xf>
    <xf numFmtId="0" fontId="28" fillId="2" borderId="38" xfId="0" applyFont="1" applyFill="1" applyBorder="1" applyAlignment="1">
      <alignment horizontal="centerContinuous"/>
    </xf>
    <xf numFmtId="0" fontId="7" fillId="2" borderId="2" xfId="0" applyFont="1" applyFill="1" applyBorder="1" applyAlignment="1">
      <alignment horizontal="centerContinuous"/>
    </xf>
    <xf numFmtId="0" fontId="7" fillId="2" borderId="1" xfId="0" applyFont="1" applyFill="1" applyBorder="1" applyAlignment="1">
      <alignment horizontal="centerContinuous"/>
    </xf>
    <xf numFmtId="0" fontId="7" fillId="2" borderId="13" xfId="0" applyFont="1" applyFill="1" applyBorder="1" applyAlignment="1">
      <alignment horizontal="centerContinuous"/>
    </xf>
    <xf numFmtId="166" fontId="6" fillId="0" borderId="1" xfId="0" applyNumberFormat="1" applyFont="1" applyFill="1" applyBorder="1" applyProtection="1"/>
    <xf numFmtId="166" fontId="6" fillId="0" borderId="1" xfId="0" applyNumberFormat="1" applyFont="1" applyBorder="1" applyProtection="1"/>
    <xf numFmtId="166" fontId="36" fillId="0" borderId="1" xfId="0" applyNumberFormat="1" applyFont="1" applyBorder="1" applyProtection="1"/>
    <xf numFmtId="166" fontId="6" fillId="0" borderId="0" xfId="0" applyNumberFormat="1" applyFont="1" applyFill="1" applyBorder="1" applyProtection="1"/>
    <xf numFmtId="166" fontId="6" fillId="0" borderId="0" xfId="0" applyNumberFormat="1" applyFont="1" applyBorder="1" applyProtection="1"/>
    <xf numFmtId="166" fontId="36" fillId="0" borderId="0" xfId="0" applyNumberFormat="1" applyFont="1" applyBorder="1" applyProtection="1"/>
    <xf numFmtId="166" fontId="37" fillId="0" borderId="0" xfId="0" applyNumberFormat="1" applyFont="1" applyBorder="1" applyProtection="1">
      <protection locked="0"/>
    </xf>
    <xf numFmtId="0" fontId="29" fillId="2" borderId="1" xfId="0" applyFont="1" applyFill="1" applyBorder="1" applyAlignment="1">
      <alignment horizontal="centerContinuous"/>
    </xf>
    <xf numFmtId="0" fontId="28" fillId="2" borderId="0" xfId="0" applyFont="1" applyFill="1" applyBorder="1"/>
    <xf numFmtId="165" fontId="28" fillId="2" borderId="49" xfId="0" applyNumberFormat="1" applyFont="1" applyFill="1" applyBorder="1" applyAlignment="1" applyProtection="1">
      <alignment horizontal="center"/>
    </xf>
    <xf numFmtId="165" fontId="28" fillId="2" borderId="32" xfId="0" applyNumberFormat="1" applyFont="1" applyFill="1" applyBorder="1" applyAlignment="1" applyProtection="1">
      <alignment horizontal="center"/>
    </xf>
    <xf numFmtId="165" fontId="28" fillId="2" borderId="50" xfId="0" applyNumberFormat="1" applyFont="1" applyFill="1" applyBorder="1" applyAlignment="1" applyProtection="1">
      <alignment horizontal="center"/>
    </xf>
    <xf numFmtId="0" fontId="28" fillId="2" borderId="8" xfId="0" applyFont="1" applyFill="1" applyBorder="1" applyAlignment="1">
      <alignment horizontal="center"/>
    </xf>
    <xf numFmtId="0" fontId="32" fillId="2" borderId="1" xfId="0" applyFont="1" applyFill="1" applyBorder="1" applyAlignment="1">
      <alignment horizontal="centerContinuous"/>
    </xf>
    <xf numFmtId="0" fontId="32" fillId="2" borderId="13" xfId="0" applyFont="1" applyFill="1" applyBorder="1" applyAlignment="1">
      <alignment horizontal="centerContinuous"/>
    </xf>
    <xf numFmtId="0" fontId="12" fillId="2" borderId="27" xfId="0" applyFont="1" applyFill="1" applyBorder="1" applyAlignment="1">
      <alignment horizontal="centerContinuous"/>
    </xf>
    <xf numFmtId="0" fontId="31" fillId="2" borderId="27" xfId="0" applyFont="1" applyFill="1" applyBorder="1" applyAlignment="1">
      <alignment horizontal="centerContinuous"/>
    </xf>
    <xf numFmtId="0" fontId="31" fillId="2" borderId="28" xfId="0" applyFont="1" applyFill="1" applyBorder="1" applyAlignment="1">
      <alignment horizontal="centerContinuous"/>
    </xf>
    <xf numFmtId="0" fontId="28" fillId="2" borderId="51" xfId="0" applyFont="1" applyFill="1" applyBorder="1" applyAlignment="1">
      <alignment horizontal="centerContinuous"/>
    </xf>
    <xf numFmtId="9" fontId="6" fillId="2" borderId="8" xfId="0" applyNumberFormat="1" applyFont="1" applyFill="1" applyBorder="1" applyAlignment="1">
      <alignment horizontal="center"/>
    </xf>
    <xf numFmtId="168" fontId="19" fillId="6" borderId="0" xfId="0" applyNumberFormat="1" applyFont="1" applyFill="1" applyBorder="1"/>
    <xf numFmtId="0" fontId="28" fillId="2" borderId="10" xfId="0" applyFont="1" applyFill="1" applyBorder="1" applyAlignment="1" applyProtection="1">
      <alignment horizontal="center"/>
      <protection locked="0"/>
    </xf>
    <xf numFmtId="0" fontId="28" fillId="2" borderId="52" xfId="0" applyFont="1" applyFill="1" applyBorder="1" applyAlignment="1">
      <alignment horizontal="center"/>
    </xf>
    <xf numFmtId="0" fontId="28" fillId="2" borderId="0" xfId="0" applyFont="1" applyFill="1" applyBorder="1" applyAlignment="1">
      <alignment horizontal="center"/>
    </xf>
    <xf numFmtId="17" fontId="30" fillId="0" borderId="0" xfId="0" applyNumberFormat="1" applyFont="1" applyBorder="1" applyAlignment="1">
      <alignment horizontal="center"/>
    </xf>
    <xf numFmtId="0" fontId="2" fillId="2" borderId="1" xfId="0" applyFont="1" applyFill="1" applyBorder="1" applyAlignment="1">
      <alignment horizontal="centerContinuous"/>
    </xf>
    <xf numFmtId="17" fontId="30" fillId="0" borderId="10" xfId="0" applyNumberFormat="1" applyFont="1" applyBorder="1" applyAlignment="1">
      <alignment horizontal="center"/>
    </xf>
    <xf numFmtId="0" fontId="12" fillId="0" borderId="0" xfId="0" applyFont="1" applyBorder="1"/>
    <xf numFmtId="0" fontId="7" fillId="2" borderId="24" xfId="0" applyFont="1" applyFill="1" applyBorder="1" applyAlignment="1">
      <alignment horizontal="centerContinuous"/>
    </xf>
    <xf numFmtId="0" fontId="7" fillId="2" borderId="10" xfId="0" applyFont="1" applyFill="1" applyBorder="1" applyAlignment="1">
      <alignment horizontal="centerContinuous"/>
    </xf>
    <xf numFmtId="0" fontId="1" fillId="0" borderId="3" xfId="0" applyFont="1" applyFill="1" applyBorder="1" applyAlignment="1">
      <alignment horizontal="right"/>
    </xf>
    <xf numFmtId="0" fontId="1" fillId="0" borderId="3" xfId="0" quotePrefix="1" applyFont="1" applyFill="1" applyBorder="1" applyAlignment="1">
      <alignment horizontal="right"/>
    </xf>
    <xf numFmtId="2" fontId="1" fillId="0" borderId="7" xfId="0" applyNumberFormat="1" applyFont="1" applyFill="1" applyBorder="1" applyAlignment="1">
      <alignment horizontal="right"/>
    </xf>
    <xf numFmtId="2" fontId="1" fillId="0" borderId="19" xfId="0" applyNumberFormat="1" applyFont="1" applyFill="1" applyBorder="1" applyAlignment="1">
      <alignment horizontal="right"/>
    </xf>
    <xf numFmtId="2" fontId="20" fillId="0" borderId="7" xfId="0" applyNumberFormat="1" applyFont="1" applyFill="1" applyBorder="1" applyAlignment="1" applyProtection="1">
      <alignment horizontal="right"/>
      <protection locked="0"/>
    </xf>
    <xf numFmtId="0" fontId="28" fillId="2" borderId="1" xfId="0" applyFont="1" applyFill="1" applyBorder="1" applyAlignment="1">
      <alignment horizontal="center"/>
    </xf>
    <xf numFmtId="0" fontId="6" fillId="2" borderId="42" xfId="0" applyFont="1" applyFill="1" applyBorder="1" applyAlignment="1">
      <alignment horizontal="center"/>
    </xf>
    <xf numFmtId="0" fontId="6" fillId="2" borderId="53" xfId="0" applyFont="1" applyFill="1" applyBorder="1" applyAlignment="1">
      <alignment horizontal="centerContinuous"/>
    </xf>
    <xf numFmtId="0" fontId="6" fillId="2" borderId="54" xfId="0" applyFont="1" applyFill="1" applyBorder="1" applyAlignment="1">
      <alignment horizontal="centerContinuous"/>
    </xf>
    <xf numFmtId="0" fontId="12" fillId="0" borderId="30" xfId="0" applyFont="1" applyBorder="1" applyAlignment="1" applyProtection="1">
      <alignment horizontal="right"/>
      <protection locked="0"/>
    </xf>
    <xf numFmtId="0" fontId="12" fillId="2" borderId="1" xfId="0" applyFont="1" applyFill="1" applyBorder="1" applyAlignment="1">
      <alignment horizontal="centerContinuous"/>
    </xf>
    <xf numFmtId="0" fontId="12" fillId="2" borderId="8" xfId="0" applyFont="1" applyFill="1" applyBorder="1" applyAlignment="1">
      <alignment horizontal="center"/>
    </xf>
    <xf numFmtId="0" fontId="12" fillId="2" borderId="41" xfId="0" applyFont="1" applyFill="1" applyBorder="1" applyAlignment="1">
      <alignment horizontal="center"/>
    </xf>
    <xf numFmtId="0" fontId="28" fillId="2" borderId="55" xfId="0" applyFont="1" applyFill="1" applyBorder="1" applyAlignment="1">
      <alignment horizontal="center"/>
    </xf>
    <xf numFmtId="0" fontId="28" fillId="2" borderId="56" xfId="0" applyFont="1" applyFill="1" applyBorder="1" applyAlignment="1">
      <alignment horizontal="center"/>
    </xf>
    <xf numFmtId="168" fontId="19" fillId="0" borderId="2" xfId="0" applyNumberFormat="1" applyFont="1" applyFill="1" applyBorder="1"/>
    <xf numFmtId="168" fontId="19" fillId="0" borderId="1" xfId="0" applyNumberFormat="1" applyFont="1" applyFill="1" applyBorder="1"/>
    <xf numFmtId="168" fontId="19" fillId="0" borderId="10" xfId="0" applyNumberFormat="1" applyFont="1" applyFill="1" applyBorder="1"/>
    <xf numFmtId="168" fontId="19" fillId="0" borderId="24" xfId="0" applyNumberFormat="1" applyFont="1" applyFill="1" applyBorder="1"/>
    <xf numFmtId="168" fontId="19" fillId="0" borderId="10" xfId="0" applyNumberFormat="1" applyFont="1" applyBorder="1"/>
    <xf numFmtId="0" fontId="28" fillId="2" borderId="57" xfId="0" applyFont="1" applyFill="1" applyBorder="1" applyAlignment="1">
      <alignment horizontal="center"/>
    </xf>
    <xf numFmtId="0" fontId="19" fillId="0" borderId="39" xfId="0" applyFont="1" applyBorder="1" applyProtection="1">
      <protection locked="0"/>
    </xf>
    <xf numFmtId="0" fontId="12" fillId="0" borderId="19" xfId="0" applyFont="1" applyBorder="1" applyAlignment="1" applyProtection="1">
      <alignment horizontal="center"/>
      <protection locked="0"/>
    </xf>
    <xf numFmtId="0" fontId="6" fillId="0" borderId="19" xfId="0" applyFont="1" applyBorder="1" applyAlignment="1" applyProtection="1">
      <alignment horizontal="center"/>
      <protection locked="0"/>
    </xf>
    <xf numFmtId="0" fontId="19" fillId="0" borderId="40" xfId="0" applyFont="1" applyBorder="1" applyProtection="1">
      <protection locked="0"/>
    </xf>
    <xf numFmtId="0" fontId="19" fillId="0" borderId="44" xfId="0" applyFont="1" applyBorder="1" applyProtection="1">
      <protection locked="0"/>
    </xf>
    <xf numFmtId="0" fontId="12" fillId="0" borderId="45" xfId="0" applyFont="1" applyBorder="1" applyAlignment="1" applyProtection="1">
      <alignment horizontal="right"/>
      <protection locked="0"/>
    </xf>
    <xf numFmtId="0" fontId="12" fillId="0" borderId="9" xfId="0" applyFont="1" applyBorder="1" applyAlignment="1" applyProtection="1">
      <alignment horizontal="center"/>
      <protection locked="0"/>
    </xf>
    <xf numFmtId="0" fontId="28" fillId="2" borderId="58" xfId="0" applyFont="1" applyFill="1" applyBorder="1" applyAlignment="1">
      <alignment horizontal="center"/>
    </xf>
    <xf numFmtId="0" fontId="7" fillId="2" borderId="0" xfId="0" applyFont="1" applyFill="1" applyBorder="1" applyAlignment="1">
      <alignment horizontal="centerContinuous"/>
    </xf>
    <xf numFmtId="1" fontId="19" fillId="0" borderId="0" xfId="0" applyNumberFormat="1" applyFont="1" applyBorder="1" applyProtection="1"/>
    <xf numFmtId="1" fontId="19" fillId="0" borderId="10" xfId="0" applyNumberFormat="1" applyFont="1" applyBorder="1" applyProtection="1"/>
    <xf numFmtId="1" fontId="19" fillId="0" borderId="24" xfId="0" applyNumberFormat="1" applyFont="1" applyBorder="1" applyProtection="1"/>
    <xf numFmtId="0" fontId="12" fillId="2" borderId="31" xfId="0" applyFont="1" applyFill="1" applyBorder="1" applyAlignment="1">
      <alignment horizontal="centerContinuous"/>
    </xf>
    <xf numFmtId="0" fontId="12" fillId="2" borderId="38" xfId="0" applyFont="1" applyFill="1" applyBorder="1" applyAlignment="1">
      <alignment horizontal="centerContinuous"/>
    </xf>
    <xf numFmtId="0" fontId="12" fillId="2" borderId="30" xfId="0" applyFont="1" applyFill="1" applyBorder="1" applyAlignment="1">
      <alignment horizontal="centerContinuous"/>
    </xf>
    <xf numFmtId="0" fontId="12" fillId="2" borderId="13" xfId="0" applyFont="1" applyFill="1" applyBorder="1" applyAlignment="1">
      <alignment horizontal="centerContinuous"/>
    </xf>
    <xf numFmtId="0" fontId="12" fillId="2" borderId="39" xfId="0" applyFont="1" applyFill="1" applyBorder="1" applyAlignment="1">
      <alignment horizontal="centerContinuous"/>
    </xf>
    <xf numFmtId="0" fontId="12" fillId="2" borderId="4" xfId="0" applyFont="1" applyFill="1" applyBorder="1" applyAlignment="1">
      <alignment horizontal="center"/>
    </xf>
    <xf numFmtId="1" fontId="19" fillId="0" borderId="22" xfId="0" applyNumberFormat="1" applyFont="1" applyBorder="1" applyProtection="1"/>
    <xf numFmtId="1" fontId="19" fillId="0" borderId="51" xfId="0" applyNumberFormat="1" applyFont="1" applyBorder="1" applyProtection="1">
      <protection locked="0"/>
    </xf>
    <xf numFmtId="0" fontId="28" fillId="2" borderId="4" xfId="0" applyFont="1" applyFill="1" applyBorder="1" applyAlignment="1">
      <alignment horizontal="center"/>
    </xf>
    <xf numFmtId="0" fontId="3" fillId="2" borderId="2" xfId="0" applyFont="1" applyFill="1" applyBorder="1" applyAlignment="1" applyProtection="1">
      <alignment horizontal="centerContinuous"/>
      <protection locked="0"/>
    </xf>
    <xf numFmtId="0" fontId="2" fillId="2" borderId="17" xfId="0" applyFont="1" applyFill="1" applyBorder="1" applyAlignment="1">
      <alignment horizontal="centerContinuous"/>
    </xf>
    <xf numFmtId="0" fontId="3" fillId="2" borderId="12" xfId="0" applyFont="1" applyFill="1" applyBorder="1" applyAlignment="1" applyProtection="1">
      <alignment horizontal="centerContinuous"/>
      <protection locked="0"/>
    </xf>
    <xf numFmtId="0" fontId="3" fillId="2" borderId="2" xfId="0" applyFont="1" applyFill="1" applyBorder="1" applyAlignment="1">
      <alignment horizontal="centerContinuous"/>
    </xf>
    <xf numFmtId="0" fontId="31" fillId="2" borderId="38" xfId="0" applyFont="1" applyFill="1" applyBorder="1" applyAlignment="1">
      <alignment horizontal="centerContinuous"/>
    </xf>
    <xf numFmtId="0" fontId="12" fillId="2" borderId="32" xfId="0" applyFont="1" applyFill="1" applyBorder="1" applyAlignment="1">
      <alignment horizontal="center"/>
    </xf>
    <xf numFmtId="0" fontId="12" fillId="2" borderId="59" xfId="0" applyFont="1" applyFill="1" applyBorder="1" applyAlignment="1">
      <alignment horizontal="centerContinuous"/>
    </xf>
    <xf numFmtId="0" fontId="12" fillId="2" borderId="49" xfId="0" applyFont="1" applyFill="1" applyBorder="1" applyAlignment="1">
      <alignment horizontal="centerContinuous"/>
    </xf>
    <xf numFmtId="0" fontId="12" fillId="2" borderId="60" xfId="0" applyFont="1" applyFill="1" applyBorder="1" applyAlignment="1">
      <alignment horizontal="center"/>
    </xf>
    <xf numFmtId="0" fontId="12" fillId="2" borderId="36" xfId="0" applyFont="1" applyFill="1" applyBorder="1" applyAlignment="1">
      <alignment horizontal="centerContinuous"/>
    </xf>
    <xf numFmtId="164" fontId="19" fillId="0" borderId="51" xfId="0" applyNumberFormat="1" applyFont="1" applyFill="1" applyBorder="1"/>
    <xf numFmtId="0" fontId="28" fillId="2" borderId="61" xfId="0" applyFont="1" applyFill="1" applyBorder="1" applyAlignment="1">
      <alignment horizontal="center"/>
    </xf>
    <xf numFmtId="164" fontId="19" fillId="0" borderId="62" xfId="0" applyNumberFormat="1" applyFont="1" applyFill="1" applyBorder="1"/>
    <xf numFmtId="168" fontId="19" fillId="0" borderId="51" xfId="0" quotePrefix="1" applyNumberFormat="1" applyFont="1" applyFill="1" applyBorder="1"/>
    <xf numFmtId="168" fontId="19" fillId="0" borderId="62" xfId="0" quotePrefix="1" applyNumberFormat="1" applyFont="1" applyFill="1" applyBorder="1"/>
    <xf numFmtId="168" fontId="19" fillId="0" borderId="60" xfId="0" quotePrefix="1" applyNumberFormat="1" applyFont="1" applyFill="1" applyBorder="1"/>
    <xf numFmtId="170" fontId="19" fillId="0" borderId="51" xfId="0" applyNumberFormat="1" applyFont="1" applyFill="1" applyBorder="1"/>
    <xf numFmtId="4" fontId="19" fillId="0" borderId="10" xfId="0" applyNumberFormat="1" applyFont="1" applyBorder="1" applyAlignment="1" applyProtection="1">
      <protection locked="0"/>
    </xf>
    <xf numFmtId="0" fontId="12" fillId="2" borderId="50" xfId="0" applyFont="1" applyFill="1" applyBorder="1" applyAlignment="1">
      <alignment horizontal="centerContinuous"/>
    </xf>
    <xf numFmtId="0" fontId="12" fillId="2" borderId="37" xfId="0" applyFont="1" applyFill="1" applyBorder="1" applyAlignment="1">
      <alignment horizontal="centerContinuous"/>
    </xf>
    <xf numFmtId="0" fontId="12" fillId="2" borderId="55" xfId="0" applyFont="1" applyFill="1" applyBorder="1" applyAlignment="1">
      <alignment horizontal="center"/>
    </xf>
    <xf numFmtId="0" fontId="12" fillId="2" borderId="61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Continuous"/>
    </xf>
    <xf numFmtId="0" fontId="20" fillId="4" borderId="0" xfId="0" applyFont="1" applyFill="1" applyAlignment="1" applyProtection="1">
      <alignment horizontal="center"/>
      <protection locked="0"/>
    </xf>
    <xf numFmtId="0" fontId="20" fillId="4" borderId="0" xfId="0" applyFont="1" applyFill="1" applyProtection="1">
      <protection locked="0"/>
    </xf>
    <xf numFmtId="164" fontId="19" fillId="0" borderId="51" xfId="0" quotePrefix="1" applyNumberFormat="1" applyFont="1" applyFill="1" applyBorder="1"/>
    <xf numFmtId="164" fontId="19" fillId="0" borderId="51" xfId="0" quotePrefix="1" applyNumberFormat="1" applyFont="1" applyBorder="1"/>
    <xf numFmtId="0" fontId="21" fillId="2" borderId="53" xfId="0" applyFont="1" applyFill="1" applyBorder="1" applyAlignment="1" applyProtection="1">
      <alignment horizontal="center"/>
      <protection locked="0"/>
    </xf>
    <xf numFmtId="0" fontId="21" fillId="2" borderId="54" xfId="0" applyFont="1" applyFill="1" applyBorder="1" applyAlignment="1" applyProtection="1">
      <alignment horizontal="center"/>
      <protection locked="0"/>
    </xf>
    <xf numFmtId="0" fontId="4" fillId="2" borderId="63" xfId="0" applyFont="1" applyFill="1" applyBorder="1" applyAlignment="1" applyProtection="1">
      <alignment horizontal="center"/>
      <protection locked="0"/>
    </xf>
    <xf numFmtId="0" fontId="28" fillId="2" borderId="35" xfId="0" applyFont="1" applyFill="1" applyBorder="1" applyAlignment="1">
      <alignment horizontal="centerContinuous"/>
    </xf>
    <xf numFmtId="0" fontId="28" fillId="2" borderId="60" xfId="0" applyFont="1" applyFill="1" applyBorder="1" applyAlignment="1">
      <alignment horizontal="centerContinuous"/>
    </xf>
    <xf numFmtId="0" fontId="28" fillId="2" borderId="52" xfId="0" applyFont="1" applyFill="1" applyBorder="1" applyAlignment="1">
      <alignment horizontal="centerContinuous"/>
    </xf>
    <xf numFmtId="0" fontId="3" fillId="2" borderId="1" xfId="0" applyFont="1" applyFill="1" applyBorder="1" applyAlignment="1">
      <alignment horizontal="centerContinuous"/>
    </xf>
    <xf numFmtId="0" fontId="3" fillId="2" borderId="13" xfId="0" applyFont="1" applyFill="1" applyBorder="1" applyAlignment="1">
      <alignment horizontal="centerContinuous"/>
    </xf>
    <xf numFmtId="0" fontId="3" fillId="2" borderId="10" xfId="0" applyFont="1" applyFill="1" applyBorder="1" applyAlignment="1" applyProtection="1">
      <alignment horizontal="centerContinuous"/>
      <protection locked="0"/>
    </xf>
    <xf numFmtId="0" fontId="3" fillId="2" borderId="24" xfId="0" applyFont="1" applyFill="1" applyBorder="1" applyAlignment="1">
      <alignment horizontal="centerContinuous"/>
    </xf>
    <xf numFmtId="0" fontId="35" fillId="2" borderId="2" xfId="0" applyFont="1" applyFill="1" applyBorder="1" applyAlignment="1" applyProtection="1">
      <alignment horizontal="centerContinuous"/>
      <protection locked="0"/>
    </xf>
    <xf numFmtId="0" fontId="3" fillId="2" borderId="5" xfId="0" applyFont="1" applyFill="1" applyBorder="1" applyAlignment="1" applyProtection="1">
      <alignment horizontal="center"/>
      <protection locked="0"/>
    </xf>
    <xf numFmtId="169" fontId="20" fillId="5" borderId="17" xfId="0" applyNumberFormat="1" applyFont="1" applyFill="1" applyBorder="1" applyAlignment="1" applyProtection="1">
      <alignment horizontal="center"/>
      <protection locked="0"/>
    </xf>
    <xf numFmtId="0" fontId="3" fillId="2" borderId="43" xfId="0" applyFont="1" applyFill="1" applyBorder="1" applyAlignment="1" applyProtection="1">
      <alignment horizontal="centerContinuous"/>
      <protection locked="0"/>
    </xf>
    <xf numFmtId="0" fontId="4" fillId="2" borderId="0" xfId="0" applyFont="1" applyFill="1" applyBorder="1" applyAlignment="1" applyProtection="1">
      <alignment horizontal="center"/>
      <protection locked="0"/>
    </xf>
    <xf numFmtId="0" fontId="7" fillId="2" borderId="10" xfId="0" applyFont="1" applyFill="1" applyBorder="1" applyAlignment="1" applyProtection="1">
      <alignment horizontal="center"/>
      <protection locked="0"/>
    </xf>
    <xf numFmtId="0" fontId="7" fillId="2" borderId="24" xfId="0" applyFont="1" applyFill="1" applyBorder="1" applyAlignment="1" applyProtection="1">
      <alignment horizontal="center"/>
      <protection locked="0"/>
    </xf>
    <xf numFmtId="0" fontId="7" fillId="2" borderId="4" xfId="0" applyFont="1" applyFill="1" applyBorder="1" applyAlignment="1" applyProtection="1">
      <alignment horizontal="center"/>
      <protection locked="0"/>
    </xf>
    <xf numFmtId="0" fontId="4" fillId="2" borderId="8" xfId="0" applyFont="1" applyFill="1" applyBorder="1" applyAlignment="1" applyProtection="1">
      <alignment horizontal="center"/>
      <protection locked="0"/>
    </xf>
    <xf numFmtId="0" fontId="7" fillId="2" borderId="9" xfId="0" applyFont="1" applyFill="1" applyBorder="1" applyAlignment="1" applyProtection="1">
      <alignment horizontal="center"/>
      <protection locked="0"/>
    </xf>
    <xf numFmtId="0" fontId="20" fillId="0" borderId="14" xfId="0" applyFont="1" applyBorder="1" applyProtection="1">
      <protection locked="0"/>
    </xf>
    <xf numFmtId="0" fontId="19" fillId="0" borderId="34" xfId="0" applyFont="1" applyBorder="1" applyProtection="1">
      <protection locked="0"/>
    </xf>
    <xf numFmtId="169" fontId="20" fillId="5" borderId="48" xfId="0" applyNumberFormat="1" applyFont="1" applyFill="1" applyBorder="1" applyAlignment="1" applyProtection="1">
      <alignment horizontal="center"/>
      <protection locked="0"/>
    </xf>
    <xf numFmtId="0" fontId="24" fillId="2" borderId="64" xfId="0" applyFont="1" applyFill="1" applyBorder="1" applyAlignment="1" applyProtection="1">
      <alignment horizontal="center"/>
      <protection locked="0"/>
    </xf>
    <xf numFmtId="3" fontId="21" fillId="2" borderId="31" xfId="0" applyNumberFormat="1" applyFont="1" applyFill="1" applyBorder="1" applyProtection="1"/>
    <xf numFmtId="3" fontId="21" fillId="2" borderId="41" xfId="0" applyNumberFormat="1" applyFont="1" applyFill="1" applyBorder="1" applyProtection="1"/>
    <xf numFmtId="0" fontId="4" fillId="2" borderId="18" xfId="0" applyFont="1" applyFill="1" applyBorder="1" applyAlignment="1" applyProtection="1">
      <alignment horizontal="center"/>
      <protection locked="0"/>
    </xf>
    <xf numFmtId="0" fontId="4" fillId="2" borderId="3" xfId="0" applyFont="1" applyFill="1" applyBorder="1" applyAlignment="1" applyProtection="1">
      <alignment horizontal="center"/>
      <protection locked="0"/>
    </xf>
    <xf numFmtId="0" fontId="20" fillId="2" borderId="21" xfId="0" applyFont="1" applyFill="1" applyBorder="1" applyProtection="1">
      <protection locked="0"/>
    </xf>
    <xf numFmtId="0" fontId="20" fillId="2" borderId="26" xfId="0" applyFont="1" applyFill="1" applyBorder="1" applyProtection="1">
      <protection locked="0"/>
    </xf>
    <xf numFmtId="169" fontId="20" fillId="7" borderId="19" xfId="0" applyNumberFormat="1" applyFont="1" applyFill="1" applyBorder="1" applyAlignment="1" applyProtection="1">
      <alignment horizontal="center"/>
      <protection locked="0"/>
    </xf>
    <xf numFmtId="0" fontId="20" fillId="2" borderId="10" xfId="0" applyFont="1" applyFill="1" applyBorder="1" applyAlignment="1" applyProtection="1">
      <alignment horizontal="centerContinuous"/>
      <protection locked="0"/>
    </xf>
    <xf numFmtId="0" fontId="20" fillId="2" borderId="24" xfId="0" applyFont="1" applyFill="1" applyBorder="1" applyAlignment="1" applyProtection="1">
      <alignment horizontal="centerContinuous"/>
      <protection locked="0"/>
    </xf>
    <xf numFmtId="0" fontId="6" fillId="2" borderId="5" xfId="0" applyFont="1" applyFill="1" applyBorder="1" applyAlignment="1">
      <alignment horizontal="centerContinuous"/>
    </xf>
    <xf numFmtId="0" fontId="6" fillId="2" borderId="6" xfId="0" applyFont="1" applyFill="1" applyBorder="1" applyAlignment="1">
      <alignment horizontal="centerContinuous"/>
    </xf>
    <xf numFmtId="0" fontId="6" fillId="2" borderId="57" xfId="0" applyFont="1" applyFill="1" applyBorder="1" applyAlignment="1">
      <alignment horizontal="center"/>
    </xf>
    <xf numFmtId="0" fontId="6" fillId="2" borderId="29" xfId="0" applyFont="1" applyFill="1" applyBorder="1" applyAlignment="1">
      <alignment horizontal="center"/>
    </xf>
    <xf numFmtId="168" fontId="19" fillId="6" borderId="13" xfId="0" applyNumberFormat="1" applyFont="1" applyFill="1" applyBorder="1"/>
    <xf numFmtId="168" fontId="19" fillId="6" borderId="24" xfId="0" applyNumberFormat="1" applyFont="1" applyFill="1" applyBorder="1"/>
    <xf numFmtId="168" fontId="19" fillId="2" borderId="24" xfId="0" applyNumberFormat="1" applyFont="1" applyFill="1" applyBorder="1"/>
    <xf numFmtId="0" fontId="20" fillId="3" borderId="0" xfId="0" applyFont="1" applyFill="1" applyAlignment="1" applyProtection="1">
      <alignment horizontal="centerContinuous"/>
      <protection locked="0"/>
    </xf>
    <xf numFmtId="0" fontId="38" fillId="3" borderId="0" xfId="0" applyFont="1" applyFill="1" applyAlignment="1" applyProtection="1">
      <alignment horizontal="centerContinuous"/>
      <protection locked="0"/>
    </xf>
    <xf numFmtId="164" fontId="1" fillId="0" borderId="65" xfId="0" applyNumberFormat="1" applyFont="1" applyBorder="1" applyAlignment="1">
      <alignment horizontal="right"/>
    </xf>
    <xf numFmtId="164" fontId="1" fillId="0" borderId="7" xfId="0" applyNumberFormat="1" applyFont="1" applyBorder="1" applyAlignment="1">
      <alignment horizontal="right"/>
    </xf>
    <xf numFmtId="168" fontId="7" fillId="0" borderId="66" xfId="0" applyNumberFormat="1" applyFont="1" applyBorder="1" applyAlignment="1">
      <alignment horizontal="right"/>
    </xf>
    <xf numFmtId="168" fontId="7" fillId="0" borderId="19" xfId="0" applyNumberFormat="1" applyFont="1" applyBorder="1" applyAlignment="1">
      <alignment horizontal="right"/>
    </xf>
    <xf numFmtId="168" fontId="22" fillId="8" borderId="16" xfId="0" applyNumberFormat="1" applyFont="1" applyFill="1" applyBorder="1" applyAlignment="1" applyProtection="1">
      <alignment horizontal="right"/>
      <protection locked="0"/>
    </xf>
    <xf numFmtId="168" fontId="22" fillId="8" borderId="17" xfId="0" applyNumberFormat="1" applyFont="1" applyFill="1" applyBorder="1" applyProtection="1"/>
    <xf numFmtId="0" fontId="20" fillId="8" borderId="16" xfId="0" applyFont="1" applyFill="1" applyBorder="1" applyAlignment="1" applyProtection="1">
      <alignment horizontal="center"/>
      <protection locked="0"/>
    </xf>
    <xf numFmtId="168" fontId="19" fillId="8" borderId="1" xfId="0" applyNumberFormat="1" applyFont="1" applyFill="1" applyBorder="1"/>
    <xf numFmtId="10" fontId="0" fillId="0" borderId="0" xfId="0" applyNumberFormat="1"/>
    <xf numFmtId="2" fontId="0" fillId="0" borderId="0" xfId="0" applyNumberFormat="1"/>
    <xf numFmtId="168" fontId="0" fillId="0" borderId="0" xfId="0" applyNumberFormat="1"/>
    <xf numFmtId="2" fontId="20" fillId="2" borderId="31" xfId="0" quotePrefix="1" applyNumberFormat="1" applyFont="1" applyFill="1" applyBorder="1"/>
    <xf numFmtId="1" fontId="20" fillId="0" borderId="67" xfId="0" applyNumberFormat="1" applyFont="1" applyFill="1" applyBorder="1" applyAlignment="1" applyProtection="1">
      <alignment horizontal="right"/>
      <protection locked="0"/>
    </xf>
    <xf numFmtId="17" fontId="20" fillId="2" borderId="68" xfId="0" applyNumberFormat="1" applyFont="1" applyFill="1" applyBorder="1" applyProtection="1">
      <protection locked="0"/>
    </xf>
    <xf numFmtId="2" fontId="20" fillId="8" borderId="64" xfId="0" quotePrefix="1" applyNumberFormat="1" applyFont="1" applyFill="1" applyBorder="1"/>
    <xf numFmtId="168" fontId="34" fillId="0" borderId="3" xfId="0" applyNumberFormat="1" applyFont="1" applyFill="1" applyBorder="1" applyProtection="1"/>
    <xf numFmtId="168" fontId="22" fillId="0" borderId="7" xfId="0" applyNumberFormat="1" applyFont="1" applyBorder="1" applyAlignment="1" applyProtection="1">
      <alignment horizontal="right"/>
      <protection locked="0"/>
    </xf>
    <xf numFmtId="0" fontId="7" fillId="2" borderId="0" xfId="0" applyFont="1" applyFill="1" applyBorder="1" applyAlignment="1" applyProtection="1">
      <alignment horizontal="center"/>
      <protection locked="0"/>
    </xf>
    <xf numFmtId="0" fontId="7" fillId="2" borderId="41" xfId="0" applyFont="1" applyFill="1" applyBorder="1" applyAlignment="1" applyProtection="1">
      <alignment horizontal="center"/>
      <protection locked="0"/>
    </xf>
    <xf numFmtId="0" fontId="35" fillId="2" borderId="13" xfId="0" applyFont="1" applyFill="1" applyBorder="1" applyAlignment="1" applyProtection="1">
      <alignment horizontal="centerContinuous"/>
      <protection locked="0"/>
    </xf>
    <xf numFmtId="0" fontId="3" fillId="2" borderId="6" xfId="0" applyFont="1" applyFill="1" applyBorder="1" applyAlignment="1" applyProtection="1">
      <alignment horizontal="center"/>
      <protection locked="0"/>
    </xf>
    <xf numFmtId="0" fontId="20" fillId="2" borderId="6" xfId="0" applyFont="1" applyFill="1" applyBorder="1" applyProtection="1">
      <protection locked="0"/>
    </xf>
    <xf numFmtId="2" fontId="20" fillId="8" borderId="23" xfId="0" applyNumberFormat="1" applyFont="1" applyFill="1" applyBorder="1"/>
    <xf numFmtId="1" fontId="20" fillId="0" borderId="68" xfId="0" applyNumberFormat="1" applyFont="1" applyFill="1" applyBorder="1" applyAlignment="1" applyProtection="1">
      <alignment horizontal="right"/>
      <protection locked="0"/>
    </xf>
    <xf numFmtId="168" fontId="22" fillId="8" borderId="23" xfId="0" applyNumberFormat="1" applyFont="1" applyFill="1" applyBorder="1" applyProtection="1">
      <protection locked="0"/>
    </xf>
    <xf numFmtId="2" fontId="20" fillId="8" borderId="17" xfId="0" quotePrefix="1" applyNumberFormat="1" applyFont="1" applyFill="1" applyBorder="1"/>
    <xf numFmtId="2" fontId="20" fillId="2" borderId="19" xfId="0" quotePrefix="1" applyNumberFormat="1" applyFont="1" applyFill="1" applyBorder="1"/>
    <xf numFmtId="0" fontId="1" fillId="0" borderId="2" xfId="0" applyFont="1" applyBorder="1"/>
    <xf numFmtId="0" fontId="1" fillId="0" borderId="1" xfId="0" applyFont="1" applyBorder="1"/>
    <xf numFmtId="0" fontId="1" fillId="0" borderId="13" xfId="0" applyFont="1" applyBorder="1"/>
    <xf numFmtId="0" fontId="3" fillId="0" borderId="21" xfId="0" applyFont="1" applyBorder="1" applyAlignment="1">
      <alignment horizontal="centerContinuous"/>
    </xf>
    <xf numFmtId="0" fontId="3" fillId="0" borderId="25" xfId="0" applyFont="1" applyBorder="1" applyAlignment="1">
      <alignment horizontal="centerContinuous"/>
    </xf>
    <xf numFmtId="0" fontId="3" fillId="0" borderId="26" xfId="0" applyFont="1" applyBorder="1" applyAlignment="1">
      <alignment horizontal="centerContinuous"/>
    </xf>
    <xf numFmtId="0" fontId="19" fillId="4" borderId="0" xfId="0" applyFont="1" applyFill="1" applyProtection="1">
      <protection locked="0"/>
    </xf>
    <xf numFmtId="0" fontId="3" fillId="2" borderId="1" xfId="0" applyFont="1" applyFill="1" applyBorder="1" applyAlignment="1" applyProtection="1">
      <alignment horizontal="centerContinuous"/>
      <protection locked="0"/>
    </xf>
    <xf numFmtId="0" fontId="3" fillId="2" borderId="0" xfId="0" applyFont="1" applyFill="1" applyBorder="1" applyAlignment="1" applyProtection="1">
      <alignment horizontal="centerContinuous"/>
      <protection locked="0"/>
    </xf>
    <xf numFmtId="0" fontId="7" fillId="2" borderId="45" xfId="0" applyFont="1" applyFill="1" applyBorder="1" applyAlignment="1" applyProtection="1">
      <alignment horizontal="center"/>
      <protection locked="0"/>
    </xf>
    <xf numFmtId="17" fontId="20" fillId="8" borderId="63" xfId="0" applyNumberFormat="1" applyFont="1" applyFill="1" applyBorder="1" applyProtection="1">
      <protection locked="0"/>
    </xf>
    <xf numFmtId="0" fontId="19" fillId="0" borderId="0" xfId="0" applyFont="1" applyBorder="1" applyAlignment="1" applyProtection="1">
      <alignment horizontal="centerContinuous"/>
      <protection locked="0"/>
    </xf>
    <xf numFmtId="0" fontId="12" fillId="0" borderId="0" xfId="0" applyFont="1" applyBorder="1" applyAlignment="1" applyProtection="1">
      <alignment horizontal="center"/>
      <protection locked="0"/>
    </xf>
    <xf numFmtId="0" fontId="6" fillId="0" borderId="0" xfId="0" applyFont="1" applyBorder="1" applyAlignment="1" applyProtection="1">
      <alignment horizontal="center"/>
      <protection locked="0"/>
    </xf>
    <xf numFmtId="0" fontId="31" fillId="0" borderId="1" xfId="0" applyFont="1" applyBorder="1" applyAlignment="1" applyProtection="1">
      <alignment horizontal="centerContinuous"/>
      <protection locked="0"/>
    </xf>
    <xf numFmtId="0" fontId="19" fillId="0" borderId="1" xfId="0" applyFont="1" applyBorder="1" applyAlignment="1" applyProtection="1">
      <alignment horizontal="centerContinuous"/>
      <protection locked="0"/>
    </xf>
    <xf numFmtId="0" fontId="19" fillId="0" borderId="13" xfId="0" applyFont="1" applyBorder="1" applyAlignment="1" applyProtection="1">
      <alignment horizontal="centerContinuous"/>
      <protection locked="0"/>
    </xf>
    <xf numFmtId="0" fontId="19" fillId="0" borderId="12" xfId="0" applyFont="1" applyBorder="1" applyProtection="1">
      <protection locked="0"/>
    </xf>
    <xf numFmtId="0" fontId="19" fillId="0" borderId="46" xfId="0" applyFont="1" applyBorder="1" applyProtection="1">
      <protection locked="0"/>
    </xf>
    <xf numFmtId="0" fontId="12" fillId="0" borderId="23" xfId="0" applyFont="1" applyBorder="1" applyAlignment="1" applyProtection="1">
      <alignment horizontal="right"/>
      <protection locked="0"/>
    </xf>
    <xf numFmtId="0" fontId="12" fillId="0" borderId="17" xfId="0" applyFont="1" applyBorder="1" applyAlignment="1" applyProtection="1">
      <alignment horizontal="center"/>
      <protection locked="0"/>
    </xf>
    <xf numFmtId="0" fontId="31" fillId="2" borderId="49" xfId="0" applyFont="1" applyFill="1" applyBorder="1" applyAlignment="1">
      <alignment horizontal="center"/>
    </xf>
    <xf numFmtId="164" fontId="19" fillId="0" borderId="0" xfId="0" quotePrefix="1" applyNumberFormat="1" applyFont="1" applyBorder="1"/>
    <xf numFmtId="0" fontId="31" fillId="2" borderId="50" xfId="0" applyFont="1" applyFill="1" applyBorder="1" applyAlignment="1">
      <alignment horizontal="center"/>
    </xf>
    <xf numFmtId="0" fontId="1" fillId="0" borderId="5" xfId="0" quotePrefix="1" applyFont="1" applyFill="1" applyBorder="1" applyAlignment="1">
      <alignment horizontal="right"/>
    </xf>
    <xf numFmtId="0" fontId="31" fillId="2" borderId="51" xfId="0" applyFont="1" applyFill="1" applyBorder="1" applyAlignment="1">
      <alignment horizontal="centerContinuous"/>
    </xf>
    <xf numFmtId="0" fontId="31" fillId="2" borderId="62" xfId="0" applyFont="1" applyFill="1" applyBorder="1" applyAlignment="1">
      <alignment horizontal="centerContinuous"/>
    </xf>
    <xf numFmtId="0" fontId="3" fillId="2" borderId="46" xfId="0" applyFont="1" applyFill="1" applyBorder="1" applyAlignment="1">
      <alignment horizontal="centerContinuous"/>
    </xf>
    <xf numFmtId="0" fontId="3" fillId="2" borderId="11" xfId="0" applyFont="1" applyFill="1" applyBorder="1" applyAlignment="1">
      <alignment horizontal="centerContinuous"/>
    </xf>
    <xf numFmtId="0" fontId="31" fillId="2" borderId="69" xfId="0" applyFont="1" applyFill="1" applyBorder="1" applyAlignment="1">
      <alignment horizontal="center"/>
    </xf>
    <xf numFmtId="0" fontId="31" fillId="2" borderId="70" xfId="0" applyFont="1" applyFill="1" applyBorder="1" applyAlignment="1">
      <alignment horizontal="center"/>
    </xf>
    <xf numFmtId="0" fontId="31" fillId="2" borderId="10" xfId="0" applyFont="1" applyFill="1" applyBorder="1" applyAlignment="1">
      <alignment horizontal="centerContinuous"/>
    </xf>
    <xf numFmtId="0" fontId="31" fillId="2" borderId="24" xfId="0" applyFont="1" applyFill="1" applyBorder="1" applyAlignment="1">
      <alignment horizontal="centerContinuous"/>
    </xf>
    <xf numFmtId="0" fontId="31" fillId="2" borderId="4" xfId="0" applyFont="1" applyFill="1" applyBorder="1" applyAlignment="1">
      <alignment horizontal="center"/>
    </xf>
    <xf numFmtId="0" fontId="31" fillId="2" borderId="8" xfId="0" applyFont="1" applyFill="1" applyBorder="1" applyAlignment="1">
      <alignment horizontal="center"/>
    </xf>
    <xf numFmtId="0" fontId="31" fillId="2" borderId="9" xfId="0" applyFont="1" applyFill="1" applyBorder="1" applyAlignment="1">
      <alignment horizontal="center"/>
    </xf>
    <xf numFmtId="164" fontId="19" fillId="0" borderId="60" xfId="0" quotePrefix="1" applyNumberFormat="1" applyFont="1" applyFill="1" applyBorder="1" applyAlignment="1">
      <alignment horizontal="right"/>
    </xf>
    <xf numFmtId="164" fontId="19" fillId="0" borderId="71" xfId="0" quotePrefix="1" applyNumberFormat="1" applyFont="1" applyFill="1" applyBorder="1" applyAlignment="1">
      <alignment horizontal="right"/>
    </xf>
    <xf numFmtId="164" fontId="19" fillId="0" borderId="13" xfId="0" quotePrefix="1" applyNumberFormat="1" applyFont="1" applyFill="1" applyBorder="1" applyAlignment="1">
      <alignment horizontal="right"/>
    </xf>
    <xf numFmtId="164" fontId="19" fillId="0" borderId="35" xfId="0" quotePrefix="1" applyNumberFormat="1" applyFont="1" applyFill="1" applyBorder="1"/>
    <xf numFmtId="164" fontId="19" fillId="0" borderId="24" xfId="0" quotePrefix="1" applyNumberFormat="1" applyFont="1" applyFill="1" applyBorder="1" applyAlignment="1">
      <alignment horizontal="right"/>
    </xf>
    <xf numFmtId="164" fontId="19" fillId="0" borderId="35" xfId="0" quotePrefix="1" applyNumberFormat="1" applyFont="1" applyBorder="1"/>
    <xf numFmtId="0" fontId="21" fillId="2" borderId="5" xfId="0" applyFont="1" applyFill="1" applyBorder="1" applyAlignment="1" applyProtection="1">
      <alignment horizontal="center"/>
      <protection locked="0"/>
    </xf>
    <xf numFmtId="0" fontId="21" fillId="2" borderId="32" xfId="0" applyFont="1" applyFill="1" applyBorder="1" applyAlignment="1" applyProtection="1">
      <alignment horizontal="center"/>
      <protection locked="0"/>
    </xf>
    <xf numFmtId="0" fontId="21" fillId="2" borderId="6" xfId="0" applyFont="1" applyFill="1" applyBorder="1" applyAlignment="1" applyProtection="1">
      <alignment horizontal="center"/>
      <protection locked="0"/>
    </xf>
    <xf numFmtId="0" fontId="12" fillId="2" borderId="28" xfId="0" applyFont="1" applyFill="1" applyBorder="1" applyAlignment="1">
      <alignment horizontal="centerContinuous"/>
    </xf>
    <xf numFmtId="0" fontId="6" fillId="2" borderId="43" xfId="0" applyFont="1" applyFill="1" applyBorder="1" applyAlignment="1">
      <alignment horizontal="center"/>
    </xf>
    <xf numFmtId="0" fontId="6" fillId="2" borderId="5" xfId="0" applyFont="1" applyFill="1" applyBorder="1" applyAlignment="1">
      <alignment horizontal="center"/>
    </xf>
    <xf numFmtId="9" fontId="6" fillId="2" borderId="9" xfId="0" applyNumberFormat="1" applyFont="1" applyFill="1" applyBorder="1" applyAlignment="1">
      <alignment horizontal="center"/>
    </xf>
    <xf numFmtId="0" fontId="2" fillId="2" borderId="2" xfId="0" applyFont="1" applyFill="1" applyBorder="1" applyAlignment="1">
      <alignment horizontal="centerContinuous"/>
    </xf>
    <xf numFmtId="0" fontId="12" fillId="0" borderId="38" xfId="0" applyFont="1" applyBorder="1" applyAlignment="1" applyProtection="1">
      <alignment horizontal="center"/>
      <protection locked="0"/>
    </xf>
    <xf numFmtId="0" fontId="12" fillId="0" borderId="30" xfId="0" applyFont="1" applyBorder="1" applyAlignment="1" applyProtection="1">
      <alignment horizontal="center"/>
      <protection locked="0"/>
    </xf>
    <xf numFmtId="0" fontId="12" fillId="0" borderId="12" xfId="0" applyFont="1" applyBorder="1" applyAlignment="1" applyProtection="1">
      <alignment horizontal="left"/>
      <protection locked="0"/>
    </xf>
    <xf numFmtId="0" fontId="12" fillId="0" borderId="46" xfId="0" applyFont="1" applyBorder="1" applyAlignment="1" applyProtection="1">
      <alignment horizontal="center"/>
      <protection locked="0"/>
    </xf>
    <xf numFmtId="0" fontId="12" fillId="0" borderId="23" xfId="0" applyFont="1" applyBorder="1" applyAlignment="1" applyProtection="1">
      <alignment horizontal="center"/>
      <protection locked="0"/>
    </xf>
    <xf numFmtId="168" fontId="12" fillId="0" borderId="17" xfId="0" applyNumberFormat="1" applyFont="1" applyBorder="1" applyAlignment="1" applyProtection="1">
      <alignment horizontal="right"/>
      <protection locked="0"/>
    </xf>
    <xf numFmtId="0" fontId="12" fillId="0" borderId="39" xfId="0" applyFont="1" applyBorder="1" applyAlignment="1" applyProtection="1">
      <alignment horizontal="left"/>
      <protection locked="0"/>
    </xf>
    <xf numFmtId="168" fontId="12" fillId="0" borderId="19" xfId="0" applyNumberFormat="1" applyFont="1" applyBorder="1" applyAlignment="1" applyProtection="1">
      <alignment horizontal="right"/>
      <protection locked="0"/>
    </xf>
    <xf numFmtId="0" fontId="12" fillId="0" borderId="40" xfId="0" applyFont="1" applyBorder="1" applyAlignment="1" applyProtection="1">
      <alignment horizontal="left"/>
      <protection locked="0"/>
    </xf>
    <xf numFmtId="0" fontId="12" fillId="0" borderId="44" xfId="0" applyFont="1" applyBorder="1" applyAlignment="1" applyProtection="1">
      <alignment horizontal="center"/>
      <protection locked="0"/>
    </xf>
    <xf numFmtId="0" fontId="7" fillId="9" borderId="3" xfId="0" applyFont="1" applyFill="1" applyBorder="1" applyAlignment="1" applyProtection="1">
      <alignment horizontal="right"/>
      <protection locked="0"/>
    </xf>
    <xf numFmtId="164" fontId="27" fillId="9" borderId="7" xfId="0" applyNumberFormat="1" applyFont="1" applyFill="1" applyBorder="1" applyProtection="1"/>
    <xf numFmtId="0" fontId="6" fillId="0" borderId="0" xfId="0" applyFont="1"/>
    <xf numFmtId="0" fontId="12" fillId="0" borderId="0" xfId="0" applyFont="1" applyBorder="1" applyAlignment="1">
      <alignment horizontal="left"/>
    </xf>
    <xf numFmtId="2" fontId="12" fillId="0" borderId="0" xfId="0" applyNumberFormat="1" applyFont="1" applyBorder="1"/>
    <xf numFmtId="0" fontId="2" fillId="0" borderId="0" xfId="0" applyFont="1" applyBorder="1"/>
    <xf numFmtId="0" fontId="2" fillId="0" borderId="0" xfId="0" applyFont="1" applyBorder="1" applyAlignment="1">
      <alignment horizontal="left"/>
    </xf>
    <xf numFmtId="164" fontId="12" fillId="0" borderId="0" xfId="0" applyNumberFormat="1" applyFont="1" applyBorder="1"/>
    <xf numFmtId="0" fontId="0" fillId="0" borderId="0" xfId="0" applyBorder="1"/>
    <xf numFmtId="0" fontId="0" fillId="0" borderId="0" xfId="0" applyBorder="1" applyAlignment="1">
      <alignment horizontal="left"/>
    </xf>
    <xf numFmtId="164" fontId="0" fillId="0" borderId="0" xfId="0" applyNumberFormat="1" applyBorder="1"/>
    <xf numFmtId="164" fontId="0" fillId="0" borderId="0" xfId="0" applyNumberFormat="1" applyBorder="1" applyAlignment="1">
      <alignment horizontal="left"/>
    </xf>
    <xf numFmtId="0" fontId="12" fillId="0" borderId="0" xfId="0" applyFont="1" applyBorder="1" applyAlignment="1">
      <alignment horizontal="centerContinuous"/>
    </xf>
    <xf numFmtId="164" fontId="7" fillId="0" borderId="0" xfId="0" applyNumberFormat="1" applyFont="1" applyBorder="1"/>
    <xf numFmtId="0" fontId="7" fillId="0" borderId="0" xfId="0" applyFont="1" applyBorder="1"/>
    <xf numFmtId="2" fontId="12" fillId="2" borderId="0" xfId="0" applyNumberFormat="1" applyFont="1" applyFill="1" applyBorder="1"/>
    <xf numFmtId="168" fontId="12" fillId="0" borderId="0" xfId="0" applyNumberFormat="1" applyFont="1" applyBorder="1" applyAlignment="1">
      <alignment horizontal="center"/>
    </xf>
    <xf numFmtId="0" fontId="7" fillId="0" borderId="72" xfId="0" applyFont="1" applyBorder="1" applyAlignment="1">
      <alignment horizontal="center"/>
    </xf>
    <xf numFmtId="0" fontId="7" fillId="0" borderId="35" xfId="0" applyFont="1" applyBorder="1" applyAlignment="1">
      <alignment horizontal="center"/>
    </xf>
    <xf numFmtId="0" fontId="12" fillId="0" borderId="3" xfId="0" applyFont="1" applyBorder="1" applyAlignment="1">
      <alignment horizontal="center"/>
    </xf>
    <xf numFmtId="0" fontId="12" fillId="0" borderId="19" xfId="0" applyFont="1" applyBorder="1" applyAlignment="1">
      <alignment horizontal="center"/>
    </xf>
    <xf numFmtId="0" fontId="7" fillId="0" borderId="57" xfId="0" applyFont="1" applyBorder="1" applyAlignment="1">
      <alignment horizontal="center"/>
    </xf>
    <xf numFmtId="164" fontId="0" fillId="0" borderId="0" xfId="0" applyNumberFormat="1"/>
    <xf numFmtId="2" fontId="12" fillId="0" borderId="3" xfId="0" applyNumberFormat="1" applyFont="1" applyFill="1" applyBorder="1" applyProtection="1"/>
    <xf numFmtId="168" fontId="12" fillId="0" borderId="19" xfId="0" applyNumberFormat="1" applyFont="1" applyBorder="1" applyAlignment="1">
      <alignment horizontal="right"/>
    </xf>
    <xf numFmtId="2" fontId="12" fillId="0" borderId="3" xfId="0" applyNumberFormat="1" applyFont="1" applyBorder="1" applyAlignment="1">
      <alignment horizontal="right"/>
    </xf>
    <xf numFmtId="164" fontId="12" fillId="0" borderId="0" xfId="0" quotePrefix="1" applyNumberFormat="1" applyFont="1" applyBorder="1"/>
    <xf numFmtId="2" fontId="20" fillId="3" borderId="0" xfId="0" applyNumberFormat="1" applyFont="1" applyFill="1" applyProtection="1">
      <protection locked="0"/>
    </xf>
    <xf numFmtId="164" fontId="19" fillId="0" borderId="0" xfId="0" applyNumberFormat="1" applyFont="1" applyProtection="1">
      <protection locked="0"/>
    </xf>
    <xf numFmtId="16" fontId="20" fillId="0" borderId="0" xfId="0" applyNumberFormat="1" applyFont="1" applyProtection="1">
      <protection locked="0"/>
    </xf>
    <xf numFmtId="0" fontId="0" fillId="0" borderId="3" xfId="0" applyBorder="1" applyAlignment="1">
      <alignment horizontal="center"/>
    </xf>
    <xf numFmtId="17" fontId="0" fillId="0" borderId="7" xfId="0" applyNumberFormat="1" applyBorder="1"/>
    <xf numFmtId="164" fontId="0" fillId="0" borderId="7" xfId="0" applyNumberFormat="1" applyBorder="1" applyAlignment="1">
      <alignment horizontal="center"/>
    </xf>
    <xf numFmtId="0" fontId="0" fillId="0" borderId="19" xfId="0" applyBorder="1" applyAlignment="1">
      <alignment horizontal="right"/>
    </xf>
    <xf numFmtId="0" fontId="3" fillId="2" borderId="2" xfId="0" applyFont="1" applyFill="1" applyBorder="1" applyAlignment="1" applyProtection="1">
      <alignment horizontal="center"/>
      <protection locked="0"/>
    </xf>
    <xf numFmtId="0" fontId="3" fillId="2" borderId="10" xfId="0" applyFont="1" applyFill="1" applyBorder="1" applyAlignment="1" applyProtection="1">
      <alignment horizontal="center"/>
      <protection locked="0"/>
    </xf>
    <xf numFmtId="0" fontId="20" fillId="2" borderId="5" xfId="0" applyFont="1" applyFill="1" applyBorder="1" applyProtection="1">
      <protection locked="0"/>
    </xf>
    <xf numFmtId="164" fontId="12" fillId="2" borderId="33" xfId="0" applyNumberFormat="1" applyFont="1" applyFill="1" applyBorder="1" applyAlignment="1">
      <alignment horizontal="left"/>
    </xf>
    <xf numFmtId="164" fontId="12" fillId="2" borderId="66" xfId="0" applyNumberFormat="1" applyFont="1" applyFill="1" applyBorder="1" applyAlignment="1">
      <alignment horizontal="left"/>
    </xf>
    <xf numFmtId="2" fontId="12" fillId="0" borderId="57" xfId="0" applyNumberFormat="1" applyFont="1" applyBorder="1" applyAlignment="1">
      <alignment horizontal="center"/>
    </xf>
    <xf numFmtId="0" fontId="12" fillId="0" borderId="26" xfId="0" applyFont="1" applyBorder="1" applyAlignment="1">
      <alignment horizontal="center"/>
    </xf>
    <xf numFmtId="0" fontId="6" fillId="0" borderId="2" xfId="0" applyFont="1" applyBorder="1"/>
    <xf numFmtId="0" fontId="6" fillId="0" borderId="10" xfId="0" applyFont="1" applyBorder="1" applyAlignment="1">
      <alignment horizontal="center"/>
    </xf>
    <xf numFmtId="0" fontId="6" fillId="0" borderId="21" xfId="0" applyFont="1" applyBorder="1" applyAlignment="1">
      <alignment horizontal="center"/>
    </xf>
    <xf numFmtId="0" fontId="6" fillId="0" borderId="43" xfId="0" applyFont="1" applyBorder="1"/>
    <xf numFmtId="0" fontId="6" fillId="0" borderId="39" xfId="0" applyFont="1" applyBorder="1"/>
    <xf numFmtId="2" fontId="20" fillId="3" borderId="0" xfId="0" applyNumberFormat="1" applyFont="1" applyFill="1" applyAlignment="1" applyProtection="1">
      <alignment horizontal="right"/>
      <protection locked="0"/>
    </xf>
    <xf numFmtId="0" fontId="40" fillId="4" borderId="53" xfId="0" applyFont="1" applyFill="1" applyBorder="1" applyAlignment="1" applyProtection="1">
      <alignment horizontal="center"/>
      <protection locked="0"/>
    </xf>
    <xf numFmtId="0" fontId="40" fillId="4" borderId="54" xfId="0" applyFont="1" applyFill="1" applyBorder="1" applyAlignment="1" applyProtection="1">
      <alignment horizontal="center"/>
      <protection locked="0"/>
    </xf>
    <xf numFmtId="0" fontId="40" fillId="4" borderId="54" xfId="0" applyFont="1" applyFill="1" applyBorder="1" applyProtection="1">
      <protection locked="0"/>
    </xf>
    <xf numFmtId="0" fontId="40" fillId="4" borderId="42" xfId="0" applyFont="1" applyFill="1" applyBorder="1" applyProtection="1">
      <protection locked="0"/>
    </xf>
    <xf numFmtId="0" fontId="7" fillId="2" borderId="73" xfId="0" applyFont="1" applyFill="1" applyBorder="1" applyAlignment="1" applyProtection="1">
      <alignment horizontal="center"/>
      <protection locked="0"/>
    </xf>
    <xf numFmtId="0" fontId="20" fillId="2" borderId="34" xfId="0" applyFont="1" applyFill="1" applyBorder="1" applyAlignment="1" applyProtection="1">
      <alignment horizontal="center"/>
      <protection locked="0"/>
    </xf>
    <xf numFmtId="0" fontId="5" fillId="2" borderId="15" xfId="0" applyFont="1" applyFill="1" applyBorder="1" applyProtection="1">
      <protection locked="0"/>
    </xf>
    <xf numFmtId="164" fontId="20" fillId="0" borderId="0" xfId="0" applyNumberFormat="1" applyFont="1" applyFill="1" applyProtection="1">
      <protection locked="0"/>
    </xf>
    <xf numFmtId="0" fontId="29" fillId="10" borderId="1" xfId="0" applyFont="1" applyFill="1" applyBorder="1" applyAlignment="1">
      <alignment horizontal="centerContinuous"/>
    </xf>
    <xf numFmtId="0" fontId="29" fillId="10" borderId="13" xfId="0" applyFont="1" applyFill="1" applyBorder="1" applyAlignment="1">
      <alignment horizontal="centerContinuous"/>
    </xf>
    <xf numFmtId="0" fontId="12" fillId="10" borderId="38" xfId="0" applyFont="1" applyFill="1" applyBorder="1" applyAlignment="1">
      <alignment horizontal="centerContinuous"/>
    </xf>
    <xf numFmtId="0" fontId="12" fillId="10" borderId="30" xfId="0" applyFont="1" applyFill="1" applyBorder="1" applyAlignment="1">
      <alignment horizontal="centerContinuous"/>
    </xf>
    <xf numFmtId="0" fontId="12" fillId="10" borderId="32" xfId="0" applyFont="1" applyFill="1" applyBorder="1" applyAlignment="1">
      <alignment horizontal="center"/>
    </xf>
    <xf numFmtId="0" fontId="31" fillId="10" borderId="31" xfId="0" applyFont="1" applyFill="1" applyBorder="1" applyAlignment="1">
      <alignment horizontal="centerContinuous"/>
    </xf>
    <xf numFmtId="0" fontId="12" fillId="10" borderId="74" xfId="0" applyFont="1" applyFill="1" applyBorder="1" applyAlignment="1">
      <alignment horizontal="centerContinuous"/>
    </xf>
    <xf numFmtId="0" fontId="12" fillId="10" borderId="0" xfId="0" applyFont="1" applyFill="1" applyBorder="1" applyAlignment="1">
      <alignment horizontal="center"/>
    </xf>
    <xf numFmtId="0" fontId="12" fillId="10" borderId="51" xfId="0" applyFont="1" applyFill="1" applyBorder="1" applyAlignment="1">
      <alignment horizontal="center"/>
    </xf>
    <xf numFmtId="0" fontId="12" fillId="10" borderId="60" xfId="0" applyFont="1" applyFill="1" applyBorder="1" applyAlignment="1">
      <alignment horizontal="center"/>
    </xf>
    <xf numFmtId="0" fontId="12" fillId="10" borderId="0" xfId="0" applyFont="1" applyFill="1" applyBorder="1" applyAlignment="1">
      <alignment horizontal="centerContinuous"/>
    </xf>
    <xf numFmtId="0" fontId="12" fillId="10" borderId="62" xfId="0" applyFont="1" applyFill="1" applyBorder="1" applyAlignment="1">
      <alignment horizontal="centerContinuous"/>
    </xf>
    <xf numFmtId="0" fontId="12" fillId="10" borderId="51" xfId="0" applyFont="1" applyFill="1" applyBorder="1" applyAlignment="1">
      <alignment horizontal="centerContinuous"/>
    </xf>
    <xf numFmtId="0" fontId="12" fillId="10" borderId="24" xfId="0" applyFont="1" applyFill="1" applyBorder="1" applyAlignment="1">
      <alignment horizontal="centerContinuous"/>
    </xf>
    <xf numFmtId="0" fontId="12" fillId="10" borderId="55" xfId="0" applyFont="1" applyFill="1" applyBorder="1" applyAlignment="1">
      <alignment horizontal="center"/>
    </xf>
    <xf numFmtId="0" fontId="6" fillId="10" borderId="45" xfId="0" applyFont="1" applyFill="1" applyBorder="1" applyAlignment="1">
      <alignment horizontal="center"/>
    </xf>
    <xf numFmtId="0" fontId="6" fillId="10" borderId="8" xfId="0" applyFont="1" applyFill="1" applyBorder="1" applyAlignment="1">
      <alignment horizontal="center"/>
    </xf>
    <xf numFmtId="0" fontId="6" fillId="10" borderId="9" xfId="0" applyFont="1" applyFill="1" applyBorder="1" applyAlignment="1">
      <alignment horizontal="center"/>
    </xf>
    <xf numFmtId="164" fontId="41" fillId="2" borderId="9" xfId="0" applyNumberFormat="1" applyFont="1" applyFill="1" applyBorder="1" applyAlignment="1" applyProtection="1">
      <alignment horizontal="right"/>
    </xf>
    <xf numFmtId="164" fontId="41" fillId="2" borderId="45" xfId="0" applyNumberFormat="1" applyFont="1" applyFill="1" applyBorder="1" applyAlignment="1" applyProtection="1">
      <alignment horizontal="right"/>
    </xf>
    <xf numFmtId="164" fontId="41" fillId="0" borderId="8" xfId="0" applyNumberFormat="1" applyFont="1" applyBorder="1" applyAlignment="1" applyProtection="1">
      <alignment horizontal="right"/>
      <protection locked="0"/>
    </xf>
    <xf numFmtId="164" fontId="41" fillId="0" borderId="16" xfId="0" applyNumberFormat="1" applyFont="1" applyBorder="1" applyProtection="1">
      <protection locked="0"/>
    </xf>
    <xf numFmtId="164" fontId="41" fillId="2" borderId="17" xfId="0" applyNumberFormat="1" applyFont="1" applyFill="1" applyBorder="1" applyProtection="1"/>
    <xf numFmtId="164" fontId="41" fillId="0" borderId="8" xfId="0" applyNumberFormat="1" applyFont="1" applyBorder="1" applyProtection="1">
      <protection locked="0"/>
    </xf>
    <xf numFmtId="164" fontId="41" fillId="2" borderId="9" xfId="0" applyNumberFormat="1" applyFont="1" applyFill="1" applyBorder="1" applyProtection="1"/>
    <xf numFmtId="164" fontId="41" fillId="2" borderId="16" xfId="0" applyNumberFormat="1" applyFont="1" applyFill="1" applyBorder="1" applyProtection="1"/>
    <xf numFmtId="164" fontId="41" fillId="2" borderId="7" xfId="0" applyNumberFormat="1" applyFont="1" applyFill="1" applyBorder="1" applyProtection="1"/>
    <xf numFmtId="164" fontId="41" fillId="9" borderId="7" xfId="0" applyNumberFormat="1" applyFont="1" applyFill="1" applyBorder="1" applyProtection="1"/>
    <xf numFmtId="164" fontId="41" fillId="2" borderId="8" xfId="0" applyNumberFormat="1" applyFont="1" applyFill="1" applyBorder="1" applyProtection="1"/>
    <xf numFmtId="164" fontId="41" fillId="0" borderId="7" xfId="0" applyNumberFormat="1" applyFont="1" applyBorder="1" applyProtection="1">
      <protection locked="0"/>
    </xf>
    <xf numFmtId="164" fontId="41" fillId="2" borderId="48" xfId="0" quotePrefix="1" applyNumberFormat="1" applyFont="1" applyFill="1" applyBorder="1" applyProtection="1"/>
    <xf numFmtId="164" fontId="41" fillId="0" borderId="26" xfId="0" applyNumberFormat="1" applyFont="1" applyBorder="1" applyProtection="1">
      <protection locked="0"/>
    </xf>
    <xf numFmtId="164" fontId="42" fillId="2" borderId="9" xfId="0" applyNumberFormat="1" applyFont="1" applyFill="1" applyBorder="1" applyAlignment="1" applyProtection="1">
      <alignment horizontal="right"/>
    </xf>
    <xf numFmtId="0" fontId="19" fillId="0" borderId="0" xfId="0" quotePrefix="1" applyFont="1" applyProtection="1">
      <protection locked="0"/>
    </xf>
    <xf numFmtId="168" fontId="41" fillId="2" borderId="19" xfId="0" applyNumberFormat="1" applyFont="1" applyFill="1" applyBorder="1" applyProtection="1"/>
    <xf numFmtId="168" fontId="41" fillId="0" borderId="19" xfId="0" applyNumberFormat="1" applyFont="1" applyBorder="1" applyProtection="1">
      <protection locked="0"/>
    </xf>
    <xf numFmtId="0" fontId="21" fillId="2" borderId="4" xfId="0" applyFont="1" applyFill="1" applyBorder="1" applyProtection="1">
      <protection locked="0"/>
    </xf>
    <xf numFmtId="168" fontId="41" fillId="2" borderId="9" xfId="0" applyNumberFormat="1" applyFont="1" applyFill="1" applyBorder="1" applyProtection="1">
      <protection locked="0"/>
    </xf>
    <xf numFmtId="0" fontId="20" fillId="2" borderId="65" xfId="0" applyFont="1" applyFill="1" applyBorder="1" applyAlignment="1" applyProtection="1">
      <alignment horizontal="centerContinuous"/>
      <protection locked="0"/>
    </xf>
    <xf numFmtId="0" fontId="7" fillId="2" borderId="66" xfId="0" applyFont="1" applyFill="1" applyBorder="1" applyAlignment="1" applyProtection="1">
      <alignment horizontal="center"/>
      <protection locked="0"/>
    </xf>
    <xf numFmtId="17" fontId="7" fillId="5" borderId="47" xfId="0" applyNumberFormat="1" applyFont="1" applyFill="1" applyBorder="1" applyProtection="1"/>
    <xf numFmtId="0" fontId="20" fillId="0" borderId="24" xfId="0" applyFont="1" applyBorder="1" applyProtection="1">
      <protection locked="0"/>
    </xf>
    <xf numFmtId="0" fontId="7" fillId="2" borderId="57" xfId="0" applyFont="1" applyFill="1" applyBorder="1" applyAlignment="1" applyProtection="1">
      <alignment horizontal="center"/>
      <protection locked="0"/>
    </xf>
    <xf numFmtId="0" fontId="7" fillId="6" borderId="20" xfId="0" applyFont="1" applyFill="1" applyBorder="1" applyAlignment="1" applyProtection="1">
      <alignment horizontal="center"/>
      <protection locked="0"/>
    </xf>
    <xf numFmtId="164" fontId="22" fillId="6" borderId="48" xfId="0" quotePrefix="1" applyNumberFormat="1" applyFont="1" applyFill="1" applyBorder="1" applyProtection="1"/>
    <xf numFmtId="0" fontId="20" fillId="2" borderId="36" xfId="0" applyFont="1" applyFill="1" applyBorder="1" applyAlignment="1" applyProtection="1">
      <alignment horizontal="centerContinuous"/>
      <protection locked="0"/>
    </xf>
    <xf numFmtId="0" fontId="20" fillId="2" borderId="2" xfId="0" applyFont="1" applyFill="1" applyBorder="1" applyProtection="1">
      <protection locked="0"/>
    </xf>
    <xf numFmtId="0" fontId="21" fillId="4" borderId="14" xfId="0" applyFont="1" applyFill="1" applyBorder="1" applyAlignment="1" applyProtection="1">
      <protection locked="0"/>
    </xf>
    <xf numFmtId="0" fontId="20" fillId="4" borderId="34" xfId="0" applyFont="1" applyFill="1" applyBorder="1" applyAlignment="1" applyProtection="1">
      <protection locked="0"/>
    </xf>
    <xf numFmtId="0" fontId="20" fillId="4" borderId="15" xfId="0" applyFont="1" applyFill="1" applyBorder="1" applyAlignment="1" applyProtection="1">
      <protection locked="0"/>
    </xf>
    <xf numFmtId="0" fontId="20" fillId="2" borderId="14" xfId="0" applyFont="1" applyFill="1" applyBorder="1" applyAlignment="1" applyProtection="1">
      <alignment horizontal="centerContinuous"/>
      <protection locked="0"/>
    </xf>
    <xf numFmtId="0" fontId="20" fillId="2" borderId="15" xfId="0" applyFont="1" applyFill="1" applyBorder="1" applyAlignment="1" applyProtection="1">
      <alignment horizontal="centerContinuous"/>
      <protection locked="0"/>
    </xf>
    <xf numFmtId="164" fontId="20" fillId="4" borderId="48" xfId="0" applyNumberFormat="1" applyFont="1" applyFill="1" applyBorder="1" applyAlignment="1" applyProtection="1">
      <protection locked="0"/>
    </xf>
    <xf numFmtId="0" fontId="20" fillId="2" borderId="16" xfId="0" applyFont="1" applyFill="1" applyBorder="1" applyAlignment="1" applyProtection="1">
      <alignment horizontal="center"/>
      <protection locked="0"/>
    </xf>
    <xf numFmtId="0" fontId="20" fillId="2" borderId="17" xfId="0" applyFont="1" applyFill="1" applyBorder="1" applyAlignment="1" applyProtection="1">
      <alignment horizontal="center"/>
      <protection locked="0"/>
    </xf>
    <xf numFmtId="164" fontId="20" fillId="0" borderId="4" xfId="0" applyNumberFormat="1" applyFont="1" applyFill="1" applyBorder="1" applyAlignment="1" applyProtection="1">
      <protection locked="0"/>
    </xf>
    <xf numFmtId="164" fontId="20" fillId="0" borderId="8" xfId="0" applyNumberFormat="1" applyFont="1" applyFill="1" applyBorder="1" applyAlignment="1" applyProtection="1">
      <protection locked="0"/>
    </xf>
    <xf numFmtId="0" fontId="20" fillId="4" borderId="2" xfId="0" applyFont="1" applyFill="1" applyBorder="1" applyAlignment="1" applyProtection="1">
      <protection locked="0"/>
    </xf>
    <xf numFmtId="0" fontId="20" fillId="4" borderId="13" xfId="0" applyFont="1" applyFill="1" applyBorder="1" applyAlignment="1" applyProtection="1">
      <protection locked="0"/>
    </xf>
    <xf numFmtId="0" fontId="20" fillId="4" borderId="21" xfId="0" applyFont="1" applyFill="1" applyBorder="1" applyAlignment="1" applyProtection="1">
      <protection locked="0"/>
    </xf>
    <xf numFmtId="0" fontId="20" fillId="4" borderId="26" xfId="0" applyFont="1" applyFill="1" applyBorder="1" applyAlignment="1" applyProtection="1">
      <protection locked="0"/>
    </xf>
    <xf numFmtId="0" fontId="44" fillId="2" borderId="16" xfId="0" applyFont="1" applyFill="1" applyBorder="1" applyAlignment="1" applyProtection="1">
      <alignment horizontal="center"/>
      <protection locked="0"/>
    </xf>
    <xf numFmtId="168" fontId="20" fillId="0" borderId="8" xfId="0" applyNumberFormat="1" applyFont="1" applyFill="1" applyBorder="1" applyAlignment="1" applyProtection="1">
      <protection locked="0"/>
    </xf>
    <xf numFmtId="0" fontId="12" fillId="0" borderId="25" xfId="0" applyFont="1" applyBorder="1"/>
    <xf numFmtId="0" fontId="12" fillId="0" borderId="7" xfId="0" applyFont="1" applyBorder="1"/>
    <xf numFmtId="164" fontId="12" fillId="0" borderId="7" xfId="0" applyNumberFormat="1" applyFont="1" applyBorder="1"/>
    <xf numFmtId="168" fontId="12" fillId="0" borderId="7" xfId="0" quotePrefix="1" applyNumberFormat="1" applyFont="1" applyBorder="1"/>
    <xf numFmtId="168" fontId="12" fillId="0" borderId="7" xfId="0" applyNumberFormat="1" applyFont="1" applyBorder="1" applyAlignment="1">
      <alignment horizontal="right"/>
    </xf>
    <xf numFmtId="0" fontId="12" fillId="0" borderId="30" xfId="0" applyFont="1" applyBorder="1" applyAlignment="1">
      <alignment horizontal="centerContinuous"/>
    </xf>
    <xf numFmtId="0" fontId="12" fillId="0" borderId="59" xfId="0" applyFont="1" applyBorder="1" applyAlignment="1">
      <alignment horizontal="centerContinuous"/>
    </xf>
    <xf numFmtId="0" fontId="12" fillId="0" borderId="31" xfId="0" applyFont="1" applyBorder="1" applyAlignment="1">
      <alignment horizontal="centerContinuous"/>
    </xf>
    <xf numFmtId="0" fontId="12" fillId="0" borderId="32" xfId="0" applyFont="1" applyBorder="1" applyAlignment="1">
      <alignment horizontal="centerContinuous"/>
    </xf>
    <xf numFmtId="0" fontId="12" fillId="0" borderId="1" xfId="0" applyFont="1" applyBorder="1"/>
    <xf numFmtId="0" fontId="12" fillId="0" borderId="2" xfId="0" applyFont="1" applyBorder="1" applyAlignment="1">
      <alignment horizontal="centerContinuous"/>
    </xf>
    <xf numFmtId="0" fontId="12" fillId="0" borderId="1" xfId="0" applyFont="1" applyBorder="1" applyAlignment="1">
      <alignment horizontal="centerContinuous"/>
    </xf>
    <xf numFmtId="0" fontId="12" fillId="0" borderId="13" xfId="0" applyFont="1" applyBorder="1" applyAlignment="1">
      <alignment horizontal="centerContinuous"/>
    </xf>
    <xf numFmtId="0" fontId="12" fillId="0" borderId="69" xfId="0" applyFont="1" applyBorder="1" applyAlignment="1">
      <alignment horizontal="centerContinuous"/>
    </xf>
    <xf numFmtId="0" fontId="12" fillId="0" borderId="74" xfId="0" applyFont="1" applyBorder="1" applyAlignment="1">
      <alignment horizontal="centerContinuous"/>
    </xf>
    <xf numFmtId="0" fontId="12" fillId="0" borderId="4" xfId="0" applyFont="1" applyBorder="1" applyAlignment="1">
      <alignment horizontal="centerContinuous"/>
    </xf>
    <xf numFmtId="0" fontId="12" fillId="0" borderId="8" xfId="0" applyFont="1" applyBorder="1" applyAlignment="1">
      <alignment horizontal="centerContinuous"/>
    </xf>
    <xf numFmtId="0" fontId="12" fillId="0" borderId="41" xfId="0" applyFont="1" applyBorder="1" applyAlignment="1">
      <alignment horizontal="centerContinuous"/>
    </xf>
    <xf numFmtId="0" fontId="12" fillId="0" borderId="55" xfId="0" applyFont="1" applyBorder="1" applyAlignment="1">
      <alignment horizontal="centerContinuous"/>
    </xf>
    <xf numFmtId="0" fontId="12" fillId="0" borderId="45" xfId="0" applyFont="1" applyBorder="1" applyAlignment="1">
      <alignment horizontal="center"/>
    </xf>
    <xf numFmtId="0" fontId="12" fillId="0" borderId="8" xfId="0" applyFont="1" applyBorder="1" applyAlignment="1">
      <alignment horizontal="center"/>
    </xf>
    <xf numFmtId="0" fontId="12" fillId="0" borderId="9" xfId="0" applyFont="1" applyBorder="1" applyAlignment="1">
      <alignment horizontal="center"/>
    </xf>
    <xf numFmtId="0" fontId="12" fillId="2" borderId="18" xfId="0" applyFont="1" applyFill="1" applyBorder="1"/>
    <xf numFmtId="0" fontId="12" fillId="2" borderId="16" xfId="0" applyFont="1" applyFill="1" applyBorder="1"/>
    <xf numFmtId="0" fontId="12" fillId="0" borderId="16" xfId="0" applyFont="1" applyBorder="1"/>
    <xf numFmtId="164" fontId="12" fillId="0" borderId="16" xfId="0" applyNumberFormat="1" applyFont="1" applyBorder="1"/>
    <xf numFmtId="168" fontId="12" fillId="0" borderId="16" xfId="0" quotePrefix="1" applyNumberFormat="1" applyFont="1" applyBorder="1"/>
    <xf numFmtId="168" fontId="12" fillId="0" borderId="17" xfId="0" applyNumberFormat="1" applyFont="1" applyBorder="1"/>
    <xf numFmtId="168" fontId="12" fillId="0" borderId="3" xfId="0" applyNumberFormat="1" applyFont="1" applyBorder="1" applyAlignment="1">
      <alignment horizontal="right"/>
    </xf>
    <xf numFmtId="168" fontId="12" fillId="0" borderId="19" xfId="0" applyNumberFormat="1" applyFont="1" applyBorder="1"/>
    <xf numFmtId="168" fontId="20" fillId="2" borderId="8" xfId="0" applyNumberFormat="1" applyFont="1" applyFill="1" applyBorder="1" applyAlignment="1" applyProtection="1">
      <protection locked="0"/>
    </xf>
    <xf numFmtId="0" fontId="12" fillId="0" borderId="71" xfId="0" applyFont="1" applyBorder="1"/>
    <xf numFmtId="1" fontId="12" fillId="0" borderId="7" xfId="0" applyNumberFormat="1" applyFont="1" applyBorder="1"/>
    <xf numFmtId="164" fontId="20" fillId="2" borderId="8" xfId="0" applyNumberFormat="1" applyFont="1" applyFill="1" applyBorder="1" applyAlignment="1" applyProtection="1">
      <protection locked="0"/>
    </xf>
    <xf numFmtId="2" fontId="20" fillId="3" borderId="0" xfId="0" quotePrefix="1" applyNumberFormat="1" applyFont="1" applyFill="1" applyProtection="1">
      <protection locked="0"/>
    </xf>
    <xf numFmtId="164" fontId="20" fillId="2" borderId="9" xfId="0" applyNumberFormat="1" applyFont="1" applyFill="1" applyBorder="1" applyAlignment="1" applyProtection="1">
      <protection locked="0"/>
    </xf>
    <xf numFmtId="164" fontId="19" fillId="6" borderId="72" xfId="0" quotePrefix="1" applyNumberFormat="1" applyFont="1" applyFill="1" applyBorder="1"/>
    <xf numFmtId="164" fontId="19" fillId="6" borderId="1" xfId="0" quotePrefix="1" applyNumberFormat="1" applyFont="1" applyFill="1" applyBorder="1"/>
    <xf numFmtId="164" fontId="19" fillId="6" borderId="22" xfId="0" quotePrefix="1" applyNumberFormat="1" applyFont="1" applyFill="1" applyBorder="1"/>
    <xf numFmtId="0" fontId="20" fillId="0" borderId="7" xfId="0" applyFont="1" applyBorder="1" applyAlignment="1" applyProtection="1">
      <alignment horizontal="right"/>
      <protection locked="0"/>
    </xf>
    <xf numFmtId="0" fontId="19" fillId="0" borderId="3" xfId="0" applyFont="1" applyBorder="1" applyProtection="1">
      <protection locked="0"/>
    </xf>
    <xf numFmtId="0" fontId="20" fillId="0" borderId="3" xfId="0" applyFont="1" applyBorder="1" applyAlignment="1" applyProtection="1">
      <alignment horizontal="centerContinuous"/>
      <protection locked="0"/>
    </xf>
    <xf numFmtId="0" fontId="20" fillId="0" borderId="4" xfId="0" applyFont="1" applyBorder="1" applyAlignment="1" applyProtection="1">
      <alignment horizontal="centerContinuous"/>
      <protection locked="0"/>
    </xf>
    <xf numFmtId="2" fontId="19" fillId="0" borderId="7" xfId="0" applyNumberFormat="1" applyFont="1" applyBorder="1" applyAlignment="1" applyProtection="1">
      <alignment horizontal="right"/>
      <protection locked="0"/>
    </xf>
    <xf numFmtId="2" fontId="19" fillId="0" borderId="7" xfId="0" applyNumberFormat="1" applyFont="1" applyBorder="1" applyProtection="1">
      <protection locked="0"/>
    </xf>
    <xf numFmtId="0" fontId="20" fillId="0" borderId="31" xfId="0" applyFont="1" applyBorder="1" applyProtection="1">
      <protection locked="0"/>
    </xf>
    <xf numFmtId="0" fontId="20" fillId="0" borderId="58" xfId="0" applyFont="1" applyBorder="1" applyAlignment="1" applyProtection="1">
      <alignment horizontal="center"/>
      <protection locked="0"/>
    </xf>
    <xf numFmtId="0" fontId="20" fillId="0" borderId="66" xfId="0" applyFont="1" applyBorder="1" applyAlignment="1" applyProtection="1">
      <alignment horizontal="center"/>
      <protection locked="0"/>
    </xf>
    <xf numFmtId="0" fontId="19" fillId="0" borderId="74" xfId="0" quotePrefix="1" applyFont="1" applyBorder="1" applyProtection="1">
      <protection locked="0"/>
    </xf>
    <xf numFmtId="2" fontId="19" fillId="0" borderId="8" xfId="0" applyNumberFormat="1" applyFont="1" applyBorder="1" applyProtection="1">
      <protection locked="0"/>
    </xf>
    <xf numFmtId="0" fontId="19" fillId="0" borderId="75" xfId="0" quotePrefix="1" applyFont="1" applyBorder="1" applyProtection="1">
      <protection locked="0"/>
    </xf>
    <xf numFmtId="3" fontId="19" fillId="6" borderId="10" xfId="0" applyNumberFormat="1" applyFont="1" applyFill="1" applyBorder="1"/>
    <xf numFmtId="3" fontId="19" fillId="6" borderId="0" xfId="0" applyNumberFormat="1" applyFont="1" applyFill="1" applyBorder="1"/>
    <xf numFmtId="1" fontId="19" fillId="6" borderId="22" xfId="0" applyNumberFormat="1" applyFont="1" applyFill="1" applyBorder="1" applyProtection="1"/>
    <xf numFmtId="1" fontId="19" fillId="6" borderId="1" xfId="0" applyNumberFormat="1" applyFont="1" applyFill="1" applyBorder="1" applyProtection="1"/>
    <xf numFmtId="0" fontId="19" fillId="0" borderId="39" xfId="0" applyFont="1" applyBorder="1" applyAlignment="1" applyProtection="1">
      <alignment horizontal="centerContinuous"/>
      <protection locked="0"/>
    </xf>
    <xf numFmtId="0" fontId="19" fillId="0" borderId="38" xfId="0" applyFont="1" applyBorder="1" applyAlignment="1" applyProtection="1">
      <alignment horizontal="centerContinuous"/>
      <protection locked="0"/>
    </xf>
    <xf numFmtId="0" fontId="19" fillId="0" borderId="30" xfId="0" applyFont="1" applyBorder="1" applyAlignment="1" applyProtection="1">
      <alignment horizontal="centerContinuous"/>
      <protection locked="0"/>
    </xf>
    <xf numFmtId="17" fontId="19" fillId="0" borderId="19" xfId="0" applyNumberFormat="1" applyFont="1" applyBorder="1" applyProtection="1">
      <protection locked="0"/>
    </xf>
    <xf numFmtId="2" fontId="19" fillId="0" borderId="19" xfId="0" applyNumberFormat="1" applyFont="1" applyBorder="1" applyProtection="1">
      <protection locked="0"/>
    </xf>
    <xf numFmtId="1" fontId="19" fillId="0" borderId="19" xfId="0" applyNumberFormat="1" applyFont="1" applyBorder="1" applyProtection="1">
      <protection locked="0"/>
    </xf>
    <xf numFmtId="168" fontId="19" fillId="0" borderId="19" xfId="0" applyNumberFormat="1" applyFont="1" applyBorder="1" applyProtection="1">
      <protection locked="0"/>
    </xf>
    <xf numFmtId="10" fontId="19" fillId="0" borderId="19" xfId="0" applyNumberFormat="1" applyFont="1" applyBorder="1" applyProtection="1">
      <protection locked="0"/>
    </xf>
    <xf numFmtId="0" fontId="19" fillId="0" borderId="10" xfId="0" applyFont="1" applyBorder="1" applyProtection="1">
      <protection locked="0"/>
    </xf>
    <xf numFmtId="0" fontId="19" fillId="0" borderId="0" xfId="0" applyFont="1" applyBorder="1" applyProtection="1">
      <protection locked="0"/>
    </xf>
    <xf numFmtId="0" fontId="19" fillId="0" borderId="7" xfId="0" applyFont="1" applyBorder="1" applyProtection="1">
      <protection locked="0"/>
    </xf>
    <xf numFmtId="0" fontId="19" fillId="0" borderId="19" xfId="0" applyFont="1" applyBorder="1" applyProtection="1">
      <protection locked="0"/>
    </xf>
    <xf numFmtId="168" fontId="19" fillId="0" borderId="7" xfId="0" applyNumberFormat="1" applyFont="1" applyBorder="1" applyProtection="1">
      <protection locked="0"/>
    </xf>
    <xf numFmtId="0" fontId="19" fillId="0" borderId="40" xfId="0" applyFont="1" applyBorder="1" applyAlignment="1" applyProtection="1">
      <alignment horizontal="centerContinuous"/>
      <protection locked="0"/>
    </xf>
    <xf numFmtId="0" fontId="19" fillId="0" borderId="45" xfId="0" applyFont="1" applyBorder="1" applyAlignment="1" applyProtection="1">
      <alignment horizontal="centerContinuous"/>
      <protection locked="0"/>
    </xf>
    <xf numFmtId="168" fontId="19" fillId="0" borderId="8" xfId="0" applyNumberFormat="1" applyFont="1" applyBorder="1" applyProtection="1">
      <protection locked="0"/>
    </xf>
    <xf numFmtId="168" fontId="19" fillId="0" borderId="9" xfId="0" applyNumberFormat="1" applyFont="1" applyBorder="1" applyProtection="1">
      <protection locked="0"/>
    </xf>
    <xf numFmtId="0" fontId="1" fillId="0" borderId="26" xfId="0" applyFont="1" applyBorder="1" applyAlignment="1">
      <alignment horizontal="center"/>
    </xf>
    <xf numFmtId="0" fontId="12" fillId="0" borderId="43" xfId="0" applyFont="1" applyBorder="1" applyAlignment="1">
      <alignment horizontal="centerContinuous"/>
    </xf>
    <xf numFmtId="0" fontId="12" fillId="0" borderId="27" xfId="0" applyFont="1" applyBorder="1" applyAlignment="1">
      <alignment horizontal="centerContinuous"/>
    </xf>
    <xf numFmtId="0" fontId="12" fillId="0" borderId="28" xfId="0" applyFont="1" applyBorder="1" applyAlignment="1">
      <alignment horizontal="centerContinuous"/>
    </xf>
    <xf numFmtId="0" fontId="12" fillId="0" borderId="10" xfId="0" applyFont="1" applyBorder="1" applyAlignment="1">
      <alignment horizontal="centerContinuous"/>
    </xf>
    <xf numFmtId="0" fontId="12" fillId="0" borderId="12" xfId="0" applyFont="1" applyBorder="1" applyAlignment="1">
      <alignment horizontal="centerContinuous"/>
    </xf>
    <xf numFmtId="0" fontId="12" fillId="0" borderId="11" xfId="0" applyFont="1" applyBorder="1" applyAlignment="1">
      <alignment horizontal="centerContinuous"/>
    </xf>
    <xf numFmtId="0" fontId="12" fillId="0" borderId="5" xfId="0" applyFont="1" applyBorder="1" applyAlignment="1">
      <alignment horizontal="center"/>
    </xf>
    <xf numFmtId="0" fontId="12" fillId="0" borderId="32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12" fillId="0" borderId="50" xfId="0" applyFont="1" applyBorder="1" applyAlignment="1">
      <alignment horizontal="center"/>
    </xf>
    <xf numFmtId="0" fontId="12" fillId="0" borderId="33" xfId="0" applyFont="1" applyBorder="1" applyAlignment="1">
      <alignment horizontal="center"/>
    </xf>
    <xf numFmtId="0" fontId="12" fillId="0" borderId="65" xfId="0" applyFont="1" applyBorder="1" applyAlignment="1">
      <alignment horizontal="center"/>
    </xf>
    <xf numFmtId="0" fontId="12" fillId="0" borderId="66" xfId="0" applyFont="1" applyBorder="1" applyAlignment="1">
      <alignment horizontal="center"/>
    </xf>
    <xf numFmtId="0" fontId="12" fillId="0" borderId="49" xfId="0" applyFont="1" applyBorder="1" applyAlignment="1">
      <alignment horizontal="center"/>
    </xf>
    <xf numFmtId="17" fontId="12" fillId="2" borderId="3" xfId="0" applyNumberFormat="1" applyFont="1" applyFill="1" applyBorder="1"/>
    <xf numFmtId="164" fontId="12" fillId="0" borderId="19" xfId="0" applyNumberFormat="1" applyFont="1" applyBorder="1"/>
    <xf numFmtId="17" fontId="12" fillId="0" borderId="30" xfId="0" applyNumberFormat="1" applyFont="1" applyBorder="1"/>
    <xf numFmtId="17" fontId="12" fillId="0" borderId="3" xfId="0" applyNumberFormat="1" applyFont="1" applyBorder="1"/>
    <xf numFmtId="164" fontId="12" fillId="0" borderId="31" xfId="0" applyNumberFormat="1" applyFont="1" applyBorder="1"/>
    <xf numFmtId="168" fontId="12" fillId="0" borderId="7" xfId="0" applyNumberFormat="1" applyFont="1" applyBorder="1"/>
    <xf numFmtId="0" fontId="12" fillId="0" borderId="50" xfId="0" applyFont="1" applyBorder="1"/>
    <xf numFmtId="1" fontId="12" fillId="0" borderId="59" xfId="0" applyNumberFormat="1" applyFont="1" applyBorder="1"/>
    <xf numFmtId="1" fontId="12" fillId="0" borderId="49" xfId="0" applyNumberFormat="1" applyFont="1" applyBorder="1"/>
    <xf numFmtId="1" fontId="12" fillId="0" borderId="51" xfId="0" applyNumberFormat="1" applyFont="1" applyBorder="1"/>
    <xf numFmtId="164" fontId="12" fillId="0" borderId="62" xfId="0" applyNumberFormat="1" applyFont="1" applyBorder="1"/>
    <xf numFmtId="1" fontId="12" fillId="0" borderId="37" xfId="0" applyNumberFormat="1" applyFont="1" applyBorder="1"/>
    <xf numFmtId="164" fontId="12" fillId="0" borderId="27" xfId="0" applyNumberFormat="1" applyFont="1" applyBorder="1"/>
    <xf numFmtId="164" fontId="12" fillId="0" borderId="36" xfId="0" applyNumberFormat="1" applyFont="1" applyBorder="1"/>
    <xf numFmtId="164" fontId="12" fillId="0" borderId="62" xfId="0" quotePrefix="1" applyNumberFormat="1" applyFont="1" applyBorder="1"/>
    <xf numFmtId="164" fontId="12" fillId="0" borderId="27" xfId="0" quotePrefix="1" applyNumberFormat="1" applyFont="1" applyBorder="1"/>
    <xf numFmtId="164" fontId="12" fillId="0" borderId="36" xfId="0" quotePrefix="1" applyNumberFormat="1" applyFont="1" applyBorder="1"/>
    <xf numFmtId="168" fontId="20" fillId="0" borderId="0" xfId="0" applyNumberFormat="1" applyFont="1" applyProtection="1">
      <protection locked="0"/>
    </xf>
    <xf numFmtId="0" fontId="28" fillId="0" borderId="67" xfId="0" applyFont="1" applyBorder="1" applyAlignment="1">
      <alignment horizontal="right"/>
    </xf>
    <xf numFmtId="0" fontId="28" fillId="0" borderId="68" xfId="0" applyFont="1" applyBorder="1" applyAlignment="1">
      <alignment horizontal="right"/>
    </xf>
    <xf numFmtId="0" fontId="0" fillId="0" borderId="33" xfId="0" applyBorder="1" applyAlignment="1">
      <alignment horizontal="center"/>
    </xf>
    <xf numFmtId="17" fontId="0" fillId="0" borderId="65" xfId="0" applyNumberFormat="1" applyBorder="1"/>
    <xf numFmtId="164" fontId="0" fillId="0" borderId="65" xfId="0" applyNumberFormat="1" applyBorder="1" applyAlignment="1">
      <alignment horizontal="center"/>
    </xf>
    <xf numFmtId="0" fontId="0" fillId="0" borderId="66" xfId="0" applyBorder="1" applyAlignment="1">
      <alignment horizontal="right"/>
    </xf>
    <xf numFmtId="0" fontId="20" fillId="0" borderId="14" xfId="0" applyFont="1" applyBorder="1" applyAlignment="1" applyProtection="1">
      <alignment horizontal="centerContinuous"/>
      <protection locked="0"/>
    </xf>
    <xf numFmtId="0" fontId="20" fillId="0" borderId="34" xfId="0" applyFont="1" applyBorder="1" applyAlignment="1" applyProtection="1">
      <alignment horizontal="centerContinuous"/>
      <protection locked="0"/>
    </xf>
    <xf numFmtId="0" fontId="20" fillId="0" borderId="15" xfId="0" applyFont="1" applyBorder="1" applyAlignment="1" applyProtection="1">
      <alignment horizontal="centerContinuous"/>
      <protection locked="0"/>
    </xf>
    <xf numFmtId="0" fontId="28" fillId="0" borderId="2" xfId="0" applyFont="1" applyBorder="1" applyAlignment="1">
      <alignment horizontal="centerContinuous"/>
    </xf>
    <xf numFmtId="0" fontId="28" fillId="0" borderId="13" xfId="0" applyFont="1" applyBorder="1" applyAlignment="1">
      <alignment horizontal="centerContinuous"/>
    </xf>
    <xf numFmtId="0" fontId="28" fillId="0" borderId="3" xfId="0" applyFont="1" applyBorder="1" applyAlignment="1">
      <alignment horizontal="center"/>
    </xf>
    <xf numFmtId="0" fontId="28" fillId="0" borderId="19" xfId="0" applyFont="1" applyBorder="1" applyAlignment="1">
      <alignment horizontal="center"/>
    </xf>
    <xf numFmtId="169" fontId="28" fillId="0" borderId="5" xfId="0" applyNumberFormat="1" applyFont="1" applyBorder="1" applyAlignment="1"/>
    <xf numFmtId="169" fontId="28" fillId="0" borderId="6" xfId="0" applyNumberFormat="1" applyFont="1" applyBorder="1" applyAlignment="1"/>
    <xf numFmtId="169" fontId="28" fillId="0" borderId="35" xfId="0" applyNumberFormat="1" applyFont="1" applyBorder="1" applyAlignment="1"/>
    <xf numFmtId="169" fontId="28" fillId="0" borderId="52" xfId="0" applyNumberFormat="1" applyFont="1" applyBorder="1" applyAlignment="1"/>
    <xf numFmtId="169" fontId="28" fillId="0" borderId="57" xfId="0" applyNumberFormat="1" applyFont="1" applyBorder="1" applyAlignment="1"/>
    <xf numFmtId="169" fontId="28" fillId="0" borderId="29" xfId="0" applyNumberFormat="1" applyFont="1" applyBorder="1" applyAlignment="1"/>
    <xf numFmtId="0" fontId="4" fillId="2" borderId="64" xfId="0" applyFont="1" applyFill="1" applyBorder="1" applyAlignment="1" applyProtection="1">
      <alignment horizontal="center"/>
      <protection locked="0"/>
    </xf>
    <xf numFmtId="164" fontId="27" fillId="2" borderId="64" xfId="0" applyNumberFormat="1" applyFont="1" applyFill="1" applyBorder="1" applyProtection="1"/>
    <xf numFmtId="164" fontId="27" fillId="9" borderId="31" xfId="0" applyNumberFormat="1" applyFont="1" applyFill="1" applyBorder="1" applyProtection="1"/>
    <xf numFmtId="164" fontId="27" fillId="2" borderId="41" xfId="0" applyNumberFormat="1" applyFont="1" applyFill="1" applyBorder="1" applyProtection="1"/>
    <xf numFmtId="164" fontId="27" fillId="2" borderId="31" xfId="0" applyNumberFormat="1" applyFont="1" applyFill="1" applyBorder="1" applyProtection="1"/>
    <xf numFmtId="0" fontId="4" fillId="2" borderId="53" xfId="0" applyFont="1" applyFill="1" applyBorder="1" applyAlignment="1" applyProtection="1">
      <alignment horizontal="center"/>
      <protection locked="0"/>
    </xf>
    <xf numFmtId="164" fontId="27" fillId="2" borderId="42" xfId="0" applyNumberFormat="1" applyFont="1" applyFill="1" applyBorder="1" applyProtection="1"/>
    <xf numFmtId="164" fontId="27" fillId="2" borderId="76" xfId="0" applyNumberFormat="1" applyFont="1" applyFill="1" applyBorder="1" applyProtection="1"/>
    <xf numFmtId="0" fontId="7" fillId="2" borderId="53" xfId="0" applyFont="1" applyFill="1" applyBorder="1" applyAlignment="1" applyProtection="1">
      <alignment horizontal="centerContinuous"/>
      <protection locked="0"/>
    </xf>
    <xf numFmtId="0" fontId="7" fillId="2" borderId="42" xfId="0" applyFont="1" applyFill="1" applyBorder="1" applyAlignment="1" applyProtection="1">
      <alignment horizontal="centerContinuous"/>
      <protection locked="0"/>
    </xf>
    <xf numFmtId="0" fontId="7" fillId="2" borderId="54" xfId="0" applyFont="1" applyFill="1" applyBorder="1" applyAlignment="1" applyProtection="1">
      <alignment horizontal="centerContinuous"/>
      <protection locked="0"/>
    </xf>
    <xf numFmtId="164" fontId="21" fillId="2" borderId="63" xfId="0" applyNumberFormat="1" applyFont="1" applyFill="1" applyBorder="1" applyAlignment="1" applyProtection="1">
      <alignment horizontal="center"/>
    </xf>
    <xf numFmtId="164" fontId="46" fillId="0" borderId="54" xfId="0" applyNumberFormat="1" applyFont="1" applyFill="1" applyBorder="1" applyProtection="1"/>
    <xf numFmtId="0" fontId="19" fillId="0" borderId="32" xfId="0" applyFont="1" applyFill="1" applyBorder="1" applyAlignment="1" applyProtection="1">
      <alignment horizontal="center"/>
      <protection locked="0"/>
    </xf>
    <xf numFmtId="0" fontId="19" fillId="0" borderId="60" xfId="0" applyFont="1" applyFill="1" applyBorder="1" applyAlignment="1" applyProtection="1">
      <alignment horizontal="center"/>
      <protection locked="0"/>
    </xf>
    <xf numFmtId="0" fontId="19" fillId="0" borderId="50" xfId="0" applyFont="1" applyFill="1" applyBorder="1" applyAlignment="1" applyProtection="1">
      <alignment horizontal="centerContinuous"/>
      <protection locked="0"/>
    </xf>
    <xf numFmtId="0" fontId="19" fillId="0" borderId="49" xfId="0" applyFont="1" applyFill="1" applyBorder="1" applyAlignment="1" applyProtection="1">
      <alignment horizontal="centerContinuous"/>
      <protection locked="0"/>
    </xf>
    <xf numFmtId="0" fontId="19" fillId="0" borderId="37" xfId="0" applyFont="1" applyFill="1" applyBorder="1" applyAlignment="1" applyProtection="1">
      <alignment horizontal="centerContinuous"/>
      <protection locked="0"/>
    </xf>
    <xf numFmtId="0" fontId="19" fillId="0" borderId="36" xfId="0" applyFont="1" applyFill="1" applyBorder="1" applyAlignment="1" applyProtection="1">
      <alignment horizontal="centerContinuous"/>
      <protection locked="0"/>
    </xf>
    <xf numFmtId="0" fontId="19" fillId="0" borderId="32" xfId="0" applyFont="1" applyFill="1" applyBorder="1" applyAlignment="1" applyProtection="1">
      <alignment horizontal="centerContinuous"/>
      <protection locked="0"/>
    </xf>
    <xf numFmtId="0" fontId="19" fillId="0" borderId="60" xfId="0" applyFont="1" applyFill="1" applyBorder="1" applyAlignment="1" applyProtection="1">
      <alignment horizontal="centerContinuous"/>
      <protection locked="0"/>
    </xf>
    <xf numFmtId="0" fontId="20" fillId="0" borderId="50" xfId="0" applyFont="1" applyBorder="1" applyAlignment="1" applyProtection="1">
      <alignment horizontal="centerContinuous"/>
      <protection locked="0"/>
    </xf>
    <xf numFmtId="0" fontId="20" fillId="0" borderId="59" xfId="0" applyFont="1" applyBorder="1" applyAlignment="1" applyProtection="1">
      <alignment horizontal="centerContinuous"/>
      <protection locked="0"/>
    </xf>
    <xf numFmtId="0" fontId="20" fillId="0" borderId="49" xfId="0" applyFont="1" applyBorder="1" applyAlignment="1" applyProtection="1">
      <alignment horizontal="centerContinuous"/>
      <protection locked="0"/>
    </xf>
    <xf numFmtId="0" fontId="19" fillId="0" borderId="51" xfId="0" applyFont="1" applyFill="1" applyBorder="1" applyAlignment="1" applyProtection="1">
      <alignment horizontal="center"/>
      <protection locked="0"/>
    </xf>
    <xf numFmtId="0" fontId="19" fillId="0" borderId="0" xfId="0" applyFont="1" applyFill="1" applyBorder="1" applyAlignment="1" applyProtection="1">
      <alignment horizontal="center"/>
      <protection locked="0"/>
    </xf>
    <xf numFmtId="0" fontId="19" fillId="0" borderId="62" xfId="0" applyFont="1" applyFill="1" applyBorder="1" applyAlignment="1" applyProtection="1">
      <alignment horizontal="center"/>
      <protection locked="0"/>
    </xf>
    <xf numFmtId="0" fontId="20" fillId="0" borderId="2" xfId="0" applyFont="1" applyFill="1" applyBorder="1" applyAlignment="1" applyProtection="1">
      <alignment horizontal="centerContinuous"/>
      <protection locked="0"/>
    </xf>
    <xf numFmtId="0" fontId="20" fillId="0" borderId="1" xfId="0" applyFont="1" applyFill="1" applyBorder="1" applyAlignment="1" applyProtection="1">
      <alignment horizontal="centerContinuous"/>
      <protection locked="0"/>
    </xf>
    <xf numFmtId="0" fontId="20" fillId="0" borderId="13" xfId="0" applyFont="1" applyFill="1" applyBorder="1" applyAlignment="1" applyProtection="1">
      <alignment horizontal="centerContinuous"/>
      <protection locked="0"/>
    </xf>
    <xf numFmtId="0" fontId="19" fillId="0" borderId="5" xfId="0" applyFont="1" applyFill="1" applyBorder="1" applyAlignment="1" applyProtection="1">
      <alignment horizontal="center"/>
      <protection locked="0"/>
    </xf>
    <xf numFmtId="0" fontId="19" fillId="0" borderId="35" xfId="0" applyFont="1" applyFill="1" applyBorder="1" applyAlignment="1" applyProtection="1">
      <alignment horizontal="center"/>
      <protection locked="0"/>
    </xf>
    <xf numFmtId="164" fontId="19" fillId="0" borderId="57" xfId="0" applyNumberFormat="1" applyFont="1" applyFill="1" applyBorder="1" applyProtection="1">
      <protection locked="0"/>
    </xf>
    <xf numFmtId="164" fontId="19" fillId="0" borderId="55" xfId="0" applyNumberFormat="1" applyFont="1" applyFill="1" applyBorder="1" applyAlignment="1" applyProtection="1">
      <alignment horizontal="centerContinuous"/>
      <protection locked="0"/>
    </xf>
    <xf numFmtId="164" fontId="19" fillId="0" borderId="8" xfId="0" applyNumberFormat="1" applyFont="1" applyFill="1" applyBorder="1" applyAlignment="1" applyProtection="1">
      <alignment horizontal="center"/>
      <protection locked="0"/>
    </xf>
    <xf numFmtId="164" fontId="19" fillId="0" borderId="55" xfId="0" applyNumberFormat="1" applyFont="1" applyFill="1" applyBorder="1" applyAlignment="1" applyProtection="1">
      <alignment horizontal="center"/>
      <protection locked="0"/>
    </xf>
    <xf numFmtId="0" fontId="19" fillId="0" borderId="8" xfId="0" applyFont="1" applyFill="1" applyBorder="1" applyAlignment="1" applyProtection="1">
      <alignment horizontal="center"/>
      <protection locked="0"/>
    </xf>
    <xf numFmtId="0" fontId="19" fillId="0" borderId="45" xfId="0" applyFont="1" applyFill="1" applyBorder="1" applyAlignment="1" applyProtection="1">
      <alignment horizontal="center"/>
      <protection locked="0"/>
    </xf>
    <xf numFmtId="0" fontId="19" fillId="0" borderId="9" xfId="0" applyFont="1" applyFill="1" applyBorder="1" applyAlignment="1" applyProtection="1">
      <alignment horizontal="center"/>
      <protection locked="0"/>
    </xf>
    <xf numFmtId="0" fontId="19" fillId="0" borderId="37" xfId="0" applyFont="1" applyFill="1" applyBorder="1" applyAlignment="1" applyProtection="1">
      <alignment horizontal="center"/>
      <protection locked="0"/>
    </xf>
    <xf numFmtId="0" fontId="19" fillId="0" borderId="27" xfId="0" applyFont="1" applyFill="1" applyBorder="1" applyAlignment="1" applyProtection="1">
      <alignment horizontal="center"/>
      <protection locked="0"/>
    </xf>
    <xf numFmtId="0" fontId="20" fillId="0" borderId="70" xfId="0" applyFont="1" applyBorder="1" applyAlignment="1" applyProtection="1">
      <alignment horizontal="centerContinuous"/>
      <protection locked="0"/>
    </xf>
    <xf numFmtId="0" fontId="19" fillId="0" borderId="28" xfId="0" applyFont="1" applyFill="1" applyBorder="1" applyAlignment="1" applyProtection="1">
      <alignment horizontal="center"/>
      <protection locked="0"/>
    </xf>
    <xf numFmtId="17" fontId="20" fillId="2" borderId="63" xfId="0" applyNumberFormat="1" applyFont="1" applyFill="1" applyBorder="1" applyProtection="1">
      <protection locked="0"/>
    </xf>
    <xf numFmtId="17" fontId="20" fillId="2" borderId="77" xfId="0" applyNumberFormat="1" applyFont="1" applyFill="1" applyBorder="1" applyProtection="1">
      <protection locked="0"/>
    </xf>
    <xf numFmtId="2" fontId="20" fillId="2" borderId="41" xfId="0" quotePrefix="1" applyNumberFormat="1" applyFont="1" applyFill="1" applyBorder="1"/>
    <xf numFmtId="0" fontId="20" fillId="0" borderId="8" xfId="0" applyFont="1" applyBorder="1" applyAlignment="1" applyProtection="1">
      <alignment horizontal="center"/>
      <protection locked="0"/>
    </xf>
    <xf numFmtId="2" fontId="20" fillId="2" borderId="9" xfId="0" quotePrefix="1" applyNumberFormat="1" applyFont="1" applyFill="1" applyBorder="1"/>
    <xf numFmtId="168" fontId="22" fillId="2" borderId="41" xfId="0" applyNumberFormat="1" applyFont="1" applyFill="1" applyBorder="1" applyProtection="1"/>
    <xf numFmtId="168" fontId="22" fillId="0" borderId="8" xfId="0" applyNumberFormat="1" applyFont="1" applyBorder="1" applyAlignment="1" applyProtection="1">
      <alignment horizontal="right"/>
      <protection locked="0"/>
    </xf>
    <xf numFmtId="1" fontId="20" fillId="0" borderId="77" xfId="0" applyNumberFormat="1" applyFont="1" applyFill="1" applyBorder="1" applyAlignment="1" applyProtection="1">
      <alignment horizontal="right"/>
      <protection locked="0"/>
    </xf>
    <xf numFmtId="164" fontId="19" fillId="0" borderId="57" xfId="0" quotePrefix="1" applyNumberFormat="1" applyFont="1" applyBorder="1"/>
    <xf numFmtId="164" fontId="19" fillId="0" borderId="25" xfId="0" quotePrefix="1" applyNumberFormat="1" applyFont="1" applyBorder="1"/>
    <xf numFmtId="164" fontId="19" fillId="0" borderId="56" xfId="0" quotePrefix="1" applyNumberFormat="1" applyFont="1" applyBorder="1"/>
    <xf numFmtId="164" fontId="19" fillId="0" borderId="55" xfId="0" quotePrefix="1" applyNumberFormat="1" applyFont="1" applyFill="1" applyBorder="1" applyAlignment="1">
      <alignment horizontal="right"/>
    </xf>
    <xf numFmtId="164" fontId="19" fillId="0" borderId="26" xfId="0" quotePrefix="1" applyNumberFormat="1" applyFont="1" applyFill="1" applyBorder="1" applyAlignment="1">
      <alignment horizontal="right"/>
    </xf>
    <xf numFmtId="166" fontId="37" fillId="0" borderId="25" xfId="0" applyNumberFormat="1" applyFont="1" applyBorder="1" applyProtection="1">
      <protection locked="0"/>
    </xf>
    <xf numFmtId="17" fontId="30" fillId="0" borderId="21" xfId="0" applyNumberFormat="1" applyFont="1" applyBorder="1" applyAlignment="1">
      <alignment horizontal="center"/>
    </xf>
    <xf numFmtId="17" fontId="30" fillId="0" borderId="25" xfId="0" applyNumberFormat="1" applyFont="1" applyBorder="1" applyAlignment="1">
      <alignment horizontal="center"/>
    </xf>
    <xf numFmtId="1" fontId="19" fillId="0" borderId="21" xfId="0" applyNumberFormat="1" applyFont="1" applyBorder="1" applyProtection="1">
      <protection locked="0"/>
    </xf>
    <xf numFmtId="1" fontId="19" fillId="0" borderId="25" xfId="0" applyNumberFormat="1" applyFont="1" applyBorder="1" applyProtection="1">
      <protection locked="0"/>
    </xf>
    <xf numFmtId="1" fontId="19" fillId="0" borderId="56" xfId="0" applyNumberFormat="1" applyFont="1" applyBorder="1" applyProtection="1">
      <protection locked="0"/>
    </xf>
    <xf numFmtId="1" fontId="19" fillId="0" borderId="26" xfId="0" applyNumberFormat="1" applyFont="1" applyBorder="1" applyProtection="1">
      <protection locked="0"/>
    </xf>
    <xf numFmtId="164" fontId="19" fillId="0" borderId="25" xfId="0" applyNumberFormat="1" applyFont="1" applyFill="1" applyBorder="1"/>
    <xf numFmtId="168" fontId="19" fillId="0" borderId="21" xfId="0" applyNumberFormat="1" applyFont="1" applyBorder="1"/>
    <xf numFmtId="168" fontId="19" fillId="0" borderId="25" xfId="0" applyNumberFormat="1" applyFont="1" applyFill="1" applyBorder="1"/>
    <xf numFmtId="168" fontId="19" fillId="0" borderId="26" xfId="0" applyNumberFormat="1" applyFont="1" applyFill="1" applyBorder="1"/>
    <xf numFmtId="1" fontId="19" fillId="0" borderId="25" xfId="0" applyNumberFormat="1" applyFont="1" applyFill="1" applyBorder="1"/>
    <xf numFmtId="3" fontId="19" fillId="0" borderId="21" xfId="0" applyNumberFormat="1" applyFont="1" applyFill="1" applyBorder="1"/>
    <xf numFmtId="3" fontId="19" fillId="0" borderId="25" xfId="0" applyNumberFormat="1" applyFont="1" applyFill="1" applyBorder="1"/>
    <xf numFmtId="1" fontId="19" fillId="0" borderId="21" xfId="0" applyNumberFormat="1" applyFont="1" applyBorder="1" applyAlignment="1"/>
    <xf numFmtId="1" fontId="19" fillId="0" borderId="26" xfId="0" applyNumberFormat="1" applyFont="1" applyBorder="1" applyAlignment="1"/>
    <xf numFmtId="3" fontId="19" fillId="0" borderId="21" xfId="0" applyNumberFormat="1" applyFont="1" applyBorder="1" applyAlignment="1" applyProtection="1">
      <protection locked="0"/>
    </xf>
    <xf numFmtId="4" fontId="19" fillId="0" borderId="21" xfId="0" applyNumberFormat="1" applyFont="1" applyBorder="1" applyAlignment="1" applyProtection="1">
      <protection locked="0"/>
    </xf>
    <xf numFmtId="4" fontId="19" fillId="0" borderId="25" xfId="0" applyNumberFormat="1" applyFont="1" applyBorder="1" applyAlignment="1" applyProtection="1">
      <protection locked="0"/>
    </xf>
    <xf numFmtId="164" fontId="19" fillId="0" borderId="56" xfId="0" applyNumberFormat="1" applyFont="1" applyFill="1" applyBorder="1"/>
    <xf numFmtId="164" fontId="19" fillId="0" borderId="61" xfId="0" applyNumberFormat="1" applyFont="1" applyFill="1" applyBorder="1"/>
    <xf numFmtId="164" fontId="19" fillId="0" borderId="25" xfId="0" quotePrefix="1" applyNumberFormat="1" applyFont="1" applyFill="1" applyBorder="1"/>
    <xf numFmtId="168" fontId="19" fillId="0" borderId="56" xfId="0" quotePrefix="1" applyNumberFormat="1" applyFont="1" applyFill="1" applyBorder="1"/>
    <xf numFmtId="168" fontId="19" fillId="0" borderId="61" xfId="0" quotePrefix="1" applyNumberFormat="1" applyFont="1" applyFill="1" applyBorder="1"/>
    <xf numFmtId="168" fontId="19" fillId="0" borderId="25" xfId="0" quotePrefix="1" applyNumberFormat="1" applyFont="1" applyFill="1" applyBorder="1"/>
    <xf numFmtId="168" fontId="19" fillId="0" borderId="55" xfId="0" quotePrefix="1" applyNumberFormat="1" applyFont="1" applyFill="1" applyBorder="1"/>
    <xf numFmtId="170" fontId="19" fillId="0" borderId="25" xfId="0" quotePrefix="1" applyNumberFormat="1" applyFont="1" applyFill="1" applyBorder="1"/>
    <xf numFmtId="170" fontId="19" fillId="0" borderId="25" xfId="0" applyNumberFormat="1" applyFont="1" applyFill="1" applyBorder="1"/>
    <xf numFmtId="170" fontId="19" fillId="0" borderId="56" xfId="0" applyNumberFormat="1" applyFont="1" applyFill="1" applyBorder="1"/>
    <xf numFmtId="170" fontId="19" fillId="0" borderId="26" xfId="0" applyNumberFormat="1" applyFont="1" applyFill="1" applyBorder="1"/>
    <xf numFmtId="0" fontId="7" fillId="2" borderId="78" xfId="0" applyFont="1" applyFill="1" applyBorder="1" applyAlignment="1" applyProtection="1">
      <alignment horizontal="centerContinuous"/>
      <protection locked="0"/>
    </xf>
    <xf numFmtId="0" fontId="7" fillId="2" borderId="67" xfId="0" applyFont="1" applyFill="1" applyBorder="1" applyAlignment="1" applyProtection="1">
      <alignment horizontal="centerContinuous"/>
      <protection locked="0"/>
    </xf>
    <xf numFmtId="2" fontId="41" fillId="2" borderId="77" xfId="0" applyNumberFormat="1" applyFont="1" applyFill="1" applyBorder="1" applyAlignment="1" applyProtection="1">
      <alignment horizontal="right"/>
      <protection locked="0"/>
    </xf>
    <xf numFmtId="164" fontId="41" fillId="2" borderId="77" xfId="0" applyNumberFormat="1" applyFont="1" applyFill="1" applyBorder="1" applyAlignment="1" applyProtection="1">
      <alignment horizontal="right"/>
      <protection locked="0"/>
    </xf>
    <xf numFmtId="167" fontId="19" fillId="0" borderId="7" xfId="0" applyNumberFormat="1" applyFont="1" applyBorder="1" applyProtection="1">
      <protection locked="0"/>
    </xf>
    <xf numFmtId="167" fontId="19" fillId="0" borderId="19" xfId="0" applyNumberFormat="1" applyFont="1" applyBorder="1" applyProtection="1">
      <protection locked="0"/>
    </xf>
    <xf numFmtId="0" fontId="20" fillId="2" borderId="1" xfId="0" applyFont="1" applyFill="1" applyBorder="1" applyProtection="1">
      <protection locked="0"/>
    </xf>
    <xf numFmtId="0" fontId="20" fillId="2" borderId="13" xfId="0" applyFont="1" applyFill="1" applyBorder="1" applyProtection="1">
      <protection locked="0"/>
    </xf>
    <xf numFmtId="1" fontId="19" fillId="0" borderId="10" xfId="0" applyNumberFormat="1" applyFont="1" applyFill="1" applyBorder="1" applyProtection="1">
      <protection locked="0"/>
    </xf>
    <xf numFmtId="164" fontId="19" fillId="0" borderId="0" xfId="0" applyNumberFormat="1" applyFont="1" applyFill="1" applyBorder="1" applyProtection="1">
      <protection locked="0"/>
    </xf>
    <xf numFmtId="168" fontId="19" fillId="0" borderId="0" xfId="0" quotePrefix="1" applyNumberFormat="1" applyFont="1" applyFill="1" applyBorder="1" applyProtection="1">
      <protection locked="0"/>
    </xf>
    <xf numFmtId="168" fontId="19" fillId="0" borderId="0" xfId="0" applyNumberFormat="1" applyFont="1" applyFill="1" applyBorder="1" applyProtection="1">
      <protection locked="0"/>
    </xf>
    <xf numFmtId="2" fontId="19" fillId="0" borderId="0" xfId="0" applyNumberFormat="1" applyFont="1" applyFill="1" applyBorder="1" applyProtection="1">
      <protection locked="0"/>
    </xf>
    <xf numFmtId="1" fontId="19" fillId="0" borderId="21" xfId="0" applyNumberFormat="1" applyFont="1" applyFill="1" applyBorder="1" applyProtection="1">
      <protection locked="0"/>
    </xf>
    <xf numFmtId="2" fontId="19" fillId="0" borderId="25" xfId="0" applyNumberFormat="1" applyFont="1" applyFill="1" applyBorder="1" applyProtection="1">
      <protection locked="0"/>
    </xf>
    <xf numFmtId="164" fontId="19" fillId="0" borderId="25" xfId="0" applyNumberFormat="1" applyFont="1" applyFill="1" applyBorder="1" applyProtection="1">
      <protection locked="0"/>
    </xf>
    <xf numFmtId="168" fontId="19" fillId="0" borderId="25" xfId="0" quotePrefix="1" applyNumberFormat="1" applyFont="1" applyFill="1" applyBorder="1" applyProtection="1">
      <protection locked="0"/>
    </xf>
    <xf numFmtId="168" fontId="19" fillId="0" borderId="25" xfId="0" applyNumberFormat="1" applyFont="1" applyFill="1" applyBorder="1" applyProtection="1">
      <protection locked="0"/>
    </xf>
    <xf numFmtId="0" fontId="0" fillId="0" borderId="0" xfId="0" applyAlignment="1">
      <alignment horizontal="right"/>
    </xf>
    <xf numFmtId="0" fontId="12" fillId="0" borderId="69" xfId="0" applyFont="1" applyBorder="1" applyAlignment="1" applyProtection="1">
      <alignment horizontal="left"/>
      <protection locked="0"/>
    </xf>
    <xf numFmtId="0" fontId="12" fillId="0" borderId="59" xfId="0" applyFont="1" applyBorder="1" applyAlignment="1" applyProtection="1">
      <alignment horizontal="center"/>
      <protection locked="0"/>
    </xf>
    <xf numFmtId="0" fontId="12" fillId="0" borderId="49" xfId="0" applyFont="1" applyBorder="1" applyAlignment="1" applyProtection="1">
      <alignment horizontal="center"/>
      <protection locked="0"/>
    </xf>
    <xf numFmtId="1" fontId="12" fillId="0" borderId="6" xfId="0" applyNumberFormat="1" applyFont="1" applyBorder="1" applyAlignment="1" applyProtection="1">
      <alignment horizontal="right"/>
      <protection locked="0"/>
    </xf>
    <xf numFmtId="0" fontId="12" fillId="0" borderId="9" xfId="0" applyFont="1" applyBorder="1" applyAlignment="1" applyProtection="1">
      <alignment horizontal="right"/>
      <protection locked="0"/>
    </xf>
    <xf numFmtId="0" fontId="4" fillId="0" borderId="1" xfId="0" applyFont="1" applyBorder="1" applyAlignment="1">
      <alignment horizontal="center"/>
    </xf>
    <xf numFmtId="0" fontId="7" fillId="0" borderId="25" xfId="0" applyFont="1" applyBorder="1" applyAlignment="1">
      <alignment horizontal="center"/>
    </xf>
    <xf numFmtId="168" fontId="0" fillId="2" borderId="27" xfId="0" applyNumberFormat="1" applyFill="1" applyBorder="1"/>
    <xf numFmtId="168" fontId="0" fillId="0" borderId="38" xfId="0" applyNumberFormat="1" applyBorder="1"/>
    <xf numFmtId="164" fontId="12" fillId="0" borderId="19" xfId="0" applyNumberFormat="1" applyFont="1" applyBorder="1" applyAlignment="1" applyProtection="1">
      <alignment horizontal="right"/>
      <protection locked="0"/>
    </xf>
    <xf numFmtId="164" fontId="35" fillId="2" borderId="45" xfId="0" applyNumberFormat="1" applyFont="1" applyFill="1" applyBorder="1" applyAlignment="1" applyProtection="1">
      <alignment horizontal="right"/>
    </xf>
    <xf numFmtId="0" fontId="19" fillId="3" borderId="0" xfId="0" applyFont="1" applyFill="1" applyAlignment="1" applyProtection="1">
      <alignment horizontal="center"/>
      <protection locked="0"/>
    </xf>
    <xf numFmtId="164" fontId="12" fillId="0" borderId="28" xfId="0" applyNumberFormat="1" applyFont="1" applyBorder="1"/>
    <xf numFmtId="164" fontId="12" fillId="0" borderId="74" xfId="0" applyNumberFormat="1" applyFont="1" applyBorder="1"/>
    <xf numFmtId="164" fontId="12" fillId="0" borderId="75" xfId="0" applyNumberFormat="1" applyFont="1" applyBorder="1"/>
    <xf numFmtId="164" fontId="23" fillId="0" borderId="67" xfId="0" applyNumberFormat="1" applyFont="1" applyFill="1" applyBorder="1" applyAlignment="1" applyProtection="1">
      <alignment horizontal="center"/>
      <protection locked="0"/>
    </xf>
    <xf numFmtId="164" fontId="23" fillId="0" borderId="12" xfId="0" applyNumberFormat="1" applyFont="1" applyFill="1" applyBorder="1" applyAlignment="1" applyProtection="1">
      <alignment horizontal="center"/>
      <protection locked="0"/>
    </xf>
    <xf numFmtId="168" fontId="34" fillId="0" borderId="68" xfId="0" applyNumberFormat="1" applyFont="1" applyFill="1" applyBorder="1" applyAlignment="1" applyProtection="1">
      <alignment horizontal="center"/>
      <protection locked="0"/>
    </xf>
    <xf numFmtId="168" fontId="34" fillId="0" borderId="40" xfId="0" applyNumberFormat="1" applyFont="1" applyFill="1" applyBorder="1" applyAlignment="1" applyProtection="1">
      <alignment horizontal="center"/>
      <protection locked="0"/>
    </xf>
    <xf numFmtId="168" fontId="34" fillId="0" borderId="77" xfId="0" applyNumberFormat="1" applyFont="1" applyFill="1" applyBorder="1" applyAlignment="1" applyProtection="1">
      <alignment horizontal="center"/>
      <protection locked="0"/>
    </xf>
    <xf numFmtId="168" fontId="41" fillId="2" borderId="33" xfId="0" applyNumberFormat="1" applyFont="1" applyFill="1" applyBorder="1" applyProtection="1"/>
    <xf numFmtId="168" fontId="41" fillId="2" borderId="16" xfId="0" applyNumberFormat="1" applyFont="1" applyFill="1" applyBorder="1" applyProtection="1"/>
    <xf numFmtId="168" fontId="41" fillId="2" borderId="17" xfId="0" applyNumberFormat="1" applyFont="1" applyFill="1" applyBorder="1" applyProtection="1"/>
    <xf numFmtId="168" fontId="41" fillId="2" borderId="7" xfId="0" applyNumberFormat="1" applyFont="1" applyFill="1" applyBorder="1" applyProtection="1"/>
    <xf numFmtId="168" fontId="41" fillId="2" borderId="3" xfId="0" applyNumberFormat="1" applyFont="1" applyFill="1" applyBorder="1" applyProtection="1"/>
    <xf numFmtId="168" fontId="41" fillId="2" borderId="4" xfId="0" applyNumberFormat="1" applyFont="1" applyFill="1" applyBorder="1" applyProtection="1"/>
    <xf numFmtId="168" fontId="41" fillId="2" borderId="8" xfId="0" applyNumberFormat="1" applyFont="1" applyFill="1" applyBorder="1" applyProtection="1"/>
    <xf numFmtId="168" fontId="41" fillId="2" borderId="9" xfId="0" applyNumberFormat="1" applyFont="1" applyFill="1" applyBorder="1" applyProtection="1"/>
    <xf numFmtId="2" fontId="20" fillId="3" borderId="0" xfId="0" applyNumberFormat="1" applyFont="1" applyFill="1" applyAlignment="1" applyProtection="1">
      <alignment horizontal="center"/>
      <protection locked="0"/>
    </xf>
    <xf numFmtId="0" fontId="19" fillId="0" borderId="14" xfId="0" applyFont="1" applyBorder="1" applyProtection="1">
      <protection locked="0"/>
    </xf>
    <xf numFmtId="0" fontId="19" fillId="0" borderId="48" xfId="0" applyFont="1" applyBorder="1" applyProtection="1">
      <protection locked="0"/>
    </xf>
    <xf numFmtId="0" fontId="20" fillId="0" borderId="53" xfId="0" applyFont="1" applyFill="1" applyBorder="1" applyAlignment="1" applyProtection="1">
      <alignment horizontal="center"/>
      <protection locked="0"/>
    </xf>
    <xf numFmtId="0" fontId="20" fillId="0" borderId="54" xfId="0" applyFont="1" applyFill="1" applyBorder="1" applyAlignment="1" applyProtection="1">
      <alignment horizontal="center"/>
      <protection locked="0"/>
    </xf>
    <xf numFmtId="0" fontId="20" fillId="0" borderId="42" xfId="0" applyFont="1" applyFill="1" applyBorder="1" applyAlignment="1" applyProtection="1">
      <alignment horizontal="center"/>
      <protection locked="0"/>
    </xf>
    <xf numFmtId="164" fontId="19" fillId="0" borderId="54" xfId="0" applyNumberFormat="1" applyFont="1" applyBorder="1" applyAlignment="1" applyProtection="1">
      <alignment horizontal="right"/>
      <protection locked="0"/>
    </xf>
    <xf numFmtId="164" fontId="19" fillId="0" borderId="42" xfId="0" applyNumberFormat="1" applyFont="1" applyBorder="1" applyAlignment="1" applyProtection="1">
      <alignment horizontal="right"/>
      <protection locked="0"/>
    </xf>
    <xf numFmtId="0" fontId="19" fillId="11" borderId="0" xfId="0" applyFont="1" applyFill="1" applyProtection="1">
      <protection locked="0"/>
    </xf>
    <xf numFmtId="164" fontId="20" fillId="11" borderId="0" xfId="0" quotePrefix="1" applyNumberFormat="1" applyFont="1" applyFill="1" applyProtection="1">
      <protection locked="0"/>
    </xf>
    <xf numFmtId="164" fontId="20" fillId="11" borderId="0" xfId="0" applyNumberFormat="1" applyFont="1" applyFill="1" applyProtection="1">
      <protection locked="0"/>
    </xf>
    <xf numFmtId="164" fontId="20" fillId="11" borderId="0" xfId="0" applyNumberFormat="1" applyFont="1" applyFill="1" applyAlignment="1" applyProtection="1">
      <protection locked="0"/>
    </xf>
    <xf numFmtId="0" fontId="1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164" fontId="12" fillId="0" borderId="0" xfId="0" applyNumberFormat="1" applyFont="1"/>
    <xf numFmtId="10" fontId="28" fillId="8" borderId="0" xfId="0" applyNumberFormat="1" applyFont="1" applyFill="1" applyBorder="1"/>
    <xf numFmtId="164" fontId="19" fillId="8" borderId="0" xfId="0" applyNumberFormat="1" applyFont="1" applyFill="1" applyBorder="1"/>
    <xf numFmtId="10" fontId="28" fillId="8" borderId="10" xfId="0" applyNumberFormat="1" applyFont="1" applyFill="1" applyBorder="1"/>
    <xf numFmtId="0" fontId="28" fillId="2" borderId="21" xfId="0" applyFont="1" applyFill="1" applyBorder="1" applyAlignment="1" applyProtection="1">
      <alignment horizontal="center"/>
      <protection locked="0"/>
    </xf>
    <xf numFmtId="0" fontId="2" fillId="2" borderId="58" xfId="0" applyFont="1" applyFill="1" applyBorder="1" applyAlignment="1">
      <alignment horizontal="centerContinuous"/>
    </xf>
    <xf numFmtId="0" fontId="28" fillId="2" borderId="31" xfId="0" applyFont="1" applyFill="1" applyBorder="1" applyAlignment="1" applyProtection="1">
      <alignment horizontal="centerContinuous"/>
      <protection locked="0"/>
    </xf>
    <xf numFmtId="0" fontId="28" fillId="2" borderId="51" xfId="0" applyFont="1" applyFill="1" applyBorder="1" applyAlignment="1">
      <alignment horizontal="center"/>
    </xf>
    <xf numFmtId="0" fontId="28" fillId="2" borderId="32" xfId="0" applyFont="1" applyFill="1" applyBorder="1" applyAlignment="1" applyProtection="1">
      <alignment horizontal="center"/>
      <protection locked="0"/>
    </xf>
    <xf numFmtId="0" fontId="28" fillId="2" borderId="39" xfId="0" applyFont="1" applyFill="1" applyBorder="1" applyAlignment="1" applyProtection="1">
      <alignment horizontal="centerContinuous"/>
      <protection locked="0"/>
    </xf>
    <xf numFmtId="0" fontId="28" fillId="2" borderId="74" xfId="0" applyFont="1" applyFill="1" applyBorder="1" applyAlignment="1">
      <alignment horizontal="centerContinuous"/>
    </xf>
    <xf numFmtId="0" fontId="28" fillId="2" borderId="55" xfId="0" applyFont="1" applyFill="1" applyBorder="1" applyAlignment="1" applyProtection="1">
      <alignment horizontal="center"/>
      <protection locked="0"/>
    </xf>
    <xf numFmtId="164" fontId="19" fillId="0" borderId="26" xfId="0" applyNumberFormat="1" applyFont="1" applyFill="1" applyBorder="1"/>
    <xf numFmtId="0" fontId="7" fillId="0" borderId="1" xfId="0" applyFont="1" applyBorder="1" applyAlignment="1">
      <alignment horizontal="centerContinuous"/>
    </xf>
    <xf numFmtId="0" fontId="7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Continuous"/>
    </xf>
    <xf numFmtId="0" fontId="1" fillId="0" borderId="13" xfId="0" applyFont="1" applyBorder="1" applyAlignment="1">
      <alignment horizontal="centerContinuous"/>
    </xf>
    <xf numFmtId="0" fontId="1" fillId="0" borderId="24" xfId="0" applyFont="1" applyBorder="1" applyAlignment="1">
      <alignment horizontal="centerContinuous"/>
    </xf>
    <xf numFmtId="0" fontId="1" fillId="0" borderId="4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32" xfId="0" applyFont="1" applyBorder="1" applyAlignment="1">
      <alignment horizontal="center"/>
    </xf>
    <xf numFmtId="0" fontId="1" fillId="0" borderId="49" xfId="0" applyFont="1" applyBorder="1" applyAlignment="1">
      <alignment horizontal="centerContinuous"/>
    </xf>
    <xf numFmtId="0" fontId="1" fillId="0" borderId="69" xfId="0" applyFont="1" applyBorder="1" applyAlignment="1">
      <alignment horizontal="centerContinuous"/>
    </xf>
    <xf numFmtId="0" fontId="1" fillId="0" borderId="8" xfId="0" applyFont="1" applyBorder="1" applyAlignment="1">
      <alignment horizontal="center"/>
    </xf>
    <xf numFmtId="0" fontId="1" fillId="0" borderId="55" xfId="0" applyFont="1" applyBorder="1" applyAlignment="1">
      <alignment horizontal="center"/>
    </xf>
    <xf numFmtId="168" fontId="12" fillId="0" borderId="0" xfId="0" applyNumberFormat="1" applyFont="1"/>
    <xf numFmtId="3" fontId="19" fillId="0" borderId="10" xfId="0" applyNumberFormat="1" applyFont="1" applyFill="1" applyBorder="1" applyAlignment="1" applyProtection="1"/>
    <xf numFmtId="4" fontId="19" fillId="6" borderId="2" xfId="0" applyNumberFormat="1" applyFont="1" applyFill="1" applyBorder="1" applyAlignment="1" applyProtection="1"/>
    <xf numFmtId="4" fontId="19" fillId="6" borderId="1" xfId="0" applyNumberFormat="1" applyFont="1" applyFill="1" applyBorder="1" applyAlignment="1" applyProtection="1"/>
    <xf numFmtId="168" fontId="1" fillId="0" borderId="46" xfId="0" applyNumberFormat="1" applyFont="1" applyBorder="1"/>
    <xf numFmtId="168" fontId="1" fillId="0" borderId="38" xfId="0" applyNumberFormat="1" applyFont="1" applyBorder="1"/>
    <xf numFmtId="168" fontId="12" fillId="0" borderId="3" xfId="0" applyNumberFormat="1" applyFont="1" applyBorder="1"/>
    <xf numFmtId="168" fontId="12" fillId="0" borderId="4" xfId="0" applyNumberFormat="1" applyFont="1" applyBorder="1"/>
    <xf numFmtId="168" fontId="12" fillId="0" borderId="8" xfId="0" applyNumberFormat="1" applyFont="1" applyBorder="1"/>
    <xf numFmtId="168" fontId="12" fillId="0" borderId="9" xfId="0" applyNumberFormat="1" applyFont="1" applyBorder="1"/>
    <xf numFmtId="0" fontId="1" fillId="0" borderId="50" xfId="0" applyFont="1" applyBorder="1" applyAlignment="1">
      <alignment horizontal="center"/>
    </xf>
    <xf numFmtId="168" fontId="12" fillId="6" borderId="31" xfId="0" applyNumberFormat="1" applyFont="1" applyFill="1" applyBorder="1"/>
    <xf numFmtId="168" fontId="12" fillId="0" borderId="31" xfId="0" applyNumberFormat="1" applyFont="1" applyBorder="1"/>
    <xf numFmtId="0" fontId="1" fillId="0" borderId="10" xfId="0" applyFont="1" applyBorder="1" applyAlignment="1">
      <alignment horizontal="centerContinuous"/>
    </xf>
    <xf numFmtId="168" fontId="12" fillId="0" borderId="33" xfId="0" applyNumberFormat="1" applyFont="1" applyBorder="1"/>
    <xf numFmtId="168" fontId="12" fillId="0" borderId="65" xfId="0" applyNumberFormat="1" applyFont="1" applyBorder="1"/>
    <xf numFmtId="168" fontId="12" fillId="6" borderId="37" xfId="0" applyNumberFormat="1" applyFont="1" applyFill="1" applyBorder="1"/>
    <xf numFmtId="168" fontId="12" fillId="0" borderId="66" xfId="0" applyNumberFormat="1" applyFont="1" applyBorder="1"/>
    <xf numFmtId="0" fontId="1" fillId="0" borderId="56" xfId="0" applyFont="1" applyBorder="1" applyAlignment="1">
      <alignment horizontal="center"/>
    </xf>
    <xf numFmtId="168" fontId="12" fillId="0" borderId="50" xfId="0" applyNumberFormat="1" applyFont="1" applyBorder="1"/>
    <xf numFmtId="168" fontId="12" fillId="0" borderId="5" xfId="0" applyNumberFormat="1" applyFont="1" applyBorder="1"/>
    <xf numFmtId="168" fontId="12" fillId="0" borderId="6" xfId="0" applyNumberFormat="1" applyFont="1" applyBorder="1"/>
    <xf numFmtId="0" fontId="20" fillId="2" borderId="34" xfId="0" applyFont="1" applyFill="1" applyBorder="1" applyProtection="1">
      <protection locked="0"/>
    </xf>
    <xf numFmtId="164" fontId="41" fillId="0" borderId="45" xfId="0" applyNumberFormat="1" applyFont="1" applyBorder="1" applyAlignment="1" applyProtection="1">
      <alignment horizontal="right"/>
      <protection locked="0"/>
    </xf>
    <xf numFmtId="164" fontId="20" fillId="12" borderId="7" xfId="0" applyNumberFormat="1" applyFont="1" applyFill="1" applyBorder="1" applyProtection="1">
      <protection locked="0"/>
    </xf>
    <xf numFmtId="164" fontId="20" fillId="13" borderId="7" xfId="0" applyNumberFormat="1" applyFont="1" applyFill="1" applyBorder="1" applyProtection="1">
      <protection locked="0"/>
    </xf>
    <xf numFmtId="0" fontId="7" fillId="2" borderId="30" xfId="0" applyFont="1" applyFill="1" applyBorder="1" applyAlignment="1" applyProtection="1">
      <alignment horizontal="right"/>
      <protection locked="0"/>
    </xf>
    <xf numFmtId="0" fontId="7" fillId="9" borderId="30" xfId="0" applyFont="1" applyFill="1" applyBorder="1" applyAlignment="1" applyProtection="1">
      <alignment horizontal="right"/>
      <protection locked="0"/>
    </xf>
    <xf numFmtId="0" fontId="7" fillId="2" borderId="45" xfId="0" applyFont="1" applyFill="1" applyBorder="1" applyAlignment="1" applyProtection="1">
      <alignment horizontal="right"/>
      <protection locked="0"/>
    </xf>
    <xf numFmtId="0" fontId="7" fillId="2" borderId="11" xfId="0" applyFont="1" applyFill="1" applyBorder="1" applyAlignment="1" applyProtection="1">
      <alignment horizontal="center"/>
      <protection locked="0"/>
    </xf>
    <xf numFmtId="169" fontId="20" fillId="9" borderId="75" xfId="0" applyNumberFormat="1" applyFont="1" applyFill="1" applyBorder="1" applyAlignment="1" applyProtection="1">
      <alignment horizontal="right"/>
      <protection locked="0"/>
    </xf>
    <xf numFmtId="0" fontId="21" fillId="2" borderId="24" xfId="0" applyFont="1" applyFill="1" applyBorder="1" applyAlignment="1" applyProtection="1">
      <alignment horizontal="center"/>
      <protection locked="0"/>
    </xf>
    <xf numFmtId="0" fontId="21" fillId="2" borderId="28" xfId="0" applyFont="1" applyFill="1" applyBorder="1" applyAlignment="1" applyProtection="1">
      <alignment horizontal="center"/>
      <protection locked="0"/>
    </xf>
    <xf numFmtId="164" fontId="45" fillId="2" borderId="26" xfId="0" applyNumberFormat="1" applyFont="1" applyFill="1" applyBorder="1" applyProtection="1">
      <protection locked="0"/>
    </xf>
    <xf numFmtId="2" fontId="20" fillId="13" borderId="7" xfId="0" applyNumberFormat="1" applyFont="1" applyFill="1" applyBorder="1" applyProtection="1">
      <protection locked="0"/>
    </xf>
  </cellXfs>
  <cellStyles count="3">
    <cellStyle name="Normal" xfId="0" builtinId="0"/>
    <cellStyle name="Normal_Data_1" xfId="1"/>
    <cellStyle name="Normal_Marc_crv" xfId="2"/>
  </cellStyles>
  <dxfs count="3">
    <dxf>
      <font>
        <condense val="0"/>
        <extend val="0"/>
        <color auto="1"/>
      </font>
      <fill>
        <patternFill>
          <fgColor indexed="8"/>
          <bgColor indexed="14"/>
        </patternFill>
      </fill>
    </dxf>
    <dxf>
      <font>
        <condense val="0"/>
        <extend val="0"/>
        <color indexed="11"/>
      </font>
      <fill>
        <patternFill>
          <bgColor indexed="11"/>
        </patternFill>
      </fill>
    </dxf>
    <dxf>
      <fill>
        <patternFill>
          <bgColor indexed="22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MAIN!#REF!</c:f>
              <c:numCache>
                <c:formatCode>mmm\-yy</c:formatCode>
                <c:ptCount val="1"/>
                <c:pt idx="0">
                  <c:v>1</c:v>
                </c:pt>
              </c:numCache>
            </c:numRef>
          </c:cat>
          <c:val>
            <c:numRef>
              <c:f>MAIN!$O$19:$O$78</c:f>
              <c:numCache>
                <c:formatCode>0.0000</c:formatCode>
                <c:ptCount val="60"/>
                <c:pt idx="1">
                  <c:v>0.39011285015805997</c:v>
                </c:pt>
                <c:pt idx="2">
                  <c:v>0.37772659422797</c:v>
                </c:pt>
                <c:pt idx="3">
                  <c:v>0.36257358882234997</c:v>
                </c:pt>
                <c:pt idx="4">
                  <c:v>0.34865687482313995</c:v>
                </c:pt>
                <c:pt idx="5">
                  <c:v>0.33931401765001001</c:v>
                </c:pt>
                <c:pt idx="6">
                  <c:v>0.33044281792313995</c:v>
                </c:pt>
                <c:pt idx="7">
                  <c:v>0.32123456251913995</c:v>
                </c:pt>
                <c:pt idx="8">
                  <c:v>0.31420743607726997</c:v>
                </c:pt>
                <c:pt idx="9">
                  <c:v>0.30987214886874997</c:v>
                </c:pt>
                <c:pt idx="10">
                  <c:v>0.30424420231949995</c:v>
                </c:pt>
                <c:pt idx="11">
                  <c:v>0.29940294035068998</c:v>
                </c:pt>
                <c:pt idx="12">
                  <c:v>0.29371557677562998</c:v>
                </c:pt>
                <c:pt idx="13">
                  <c:v>0.28862214847280998</c:v>
                </c:pt>
                <c:pt idx="14">
                  <c:v>0.28364009498593001</c:v>
                </c:pt>
                <c:pt idx="15">
                  <c:v>0.27921058301033003</c:v>
                </c:pt>
                <c:pt idx="16">
                  <c:v>0.27552892254706002</c:v>
                </c:pt>
                <c:pt idx="17">
                  <c:v>0.27142845995784998</c:v>
                </c:pt>
                <c:pt idx="18">
                  <c:v>0.26770917885020995</c:v>
                </c:pt>
                <c:pt idx="19">
                  <c:v>0.26518223024776999</c:v>
                </c:pt>
                <c:pt idx="20">
                  <c:v>0.26074202896752996</c:v>
                </c:pt>
                <c:pt idx="21">
                  <c:v>0.25684864985985995</c:v>
                </c:pt>
                <c:pt idx="22">
                  <c:v>0.25136991805607001</c:v>
                </c:pt>
                <c:pt idx="23">
                  <c:v>0.24707531636721</c:v>
                </c:pt>
                <c:pt idx="24">
                  <c:v>0.24456180138500003</c:v>
                </c:pt>
                <c:pt idx="25">
                  <c:v>0.24197116884323</c:v>
                </c:pt>
                <c:pt idx="26">
                  <c:v>0.24046585831475997</c:v>
                </c:pt>
                <c:pt idx="27">
                  <c:v>0.23675873422687999</c:v>
                </c:pt>
                <c:pt idx="28">
                  <c:v>0.23459369127642998</c:v>
                </c:pt>
                <c:pt idx="29">
                  <c:v>0.23247872260037</c:v>
                </c:pt>
                <c:pt idx="30">
                  <c:v>0.23070316548305</c:v>
                </c:pt>
                <c:pt idx="31">
                  <c:v>0.22969941889567999</c:v>
                </c:pt>
                <c:pt idx="32">
                  <c:v>0.22612499915352</c:v>
                </c:pt>
                <c:pt idx="33">
                  <c:v>0.2251863053356</c:v>
                </c:pt>
                <c:pt idx="34">
                  <c:v>0.22194882337829999</c:v>
                </c:pt>
                <c:pt idx="35">
                  <c:v>0.22016831636207002</c:v>
                </c:pt>
                <c:pt idx="36">
                  <c:v>0.21812069615963997</c:v>
                </c:pt>
                <c:pt idx="37">
                  <c:v>0.21667969979395998</c:v>
                </c:pt>
                <c:pt idx="38">
                  <c:v>0.21521723338585</c:v>
                </c:pt>
                <c:pt idx="39">
                  <c:v>0.21281480987602</c:v>
                </c:pt>
                <c:pt idx="40">
                  <c:v>0.21342618021616996</c:v>
                </c:pt>
                <c:pt idx="41">
                  <c:v>0.2123639059156</c:v>
                </c:pt>
                <c:pt idx="42">
                  <c:v>0.21164936744984</c:v>
                </c:pt>
                <c:pt idx="43">
                  <c:v>0.21118642003070998</c:v>
                </c:pt>
                <c:pt idx="44">
                  <c:v>0.20867622039892</c:v>
                </c:pt>
                <c:pt idx="45">
                  <c:v>0.20873428694835999</c:v>
                </c:pt>
                <c:pt idx="46">
                  <c:v>0.20816412337467999</c:v>
                </c:pt>
                <c:pt idx="47">
                  <c:v>0.20768017508722</c:v>
                </c:pt>
                <c:pt idx="48">
                  <c:v>0.20663511305306997</c:v>
                </c:pt>
                <c:pt idx="49">
                  <c:v>0.20440264306441</c:v>
                </c:pt>
                <c:pt idx="50">
                  <c:v>0.20409970824802001</c:v>
                </c:pt>
                <c:pt idx="51">
                  <c:v>0.20339317284934999</c:v>
                </c:pt>
                <c:pt idx="52">
                  <c:v>0.20146519843114999</c:v>
                </c:pt>
                <c:pt idx="53">
                  <c:v>0.20085834101775998</c:v>
                </c:pt>
                <c:pt idx="54">
                  <c:v>0.20024812431803998</c:v>
                </c:pt>
                <c:pt idx="55">
                  <c:v>0.19933999999999999</c:v>
                </c:pt>
                <c:pt idx="56">
                  <c:v>0.19835999999999998</c:v>
                </c:pt>
                <c:pt idx="57">
                  <c:v>0.19688</c:v>
                </c:pt>
                <c:pt idx="58">
                  <c:v>0.19594999999999999</c:v>
                </c:pt>
                <c:pt idx="59">
                  <c:v>0.19444999999999998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3C-4130-8A52-31A695D3A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141776"/>
        <c:axId val="1"/>
      </c:lineChart>
      <c:lineChart>
        <c:grouping val="standard"/>
        <c:varyColors val="0"/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MAIN!$EY$20:$EY$78</c:f>
              <c:numCache>
                <c:formatCode>0.000</c:formatCode>
                <c:ptCount val="59"/>
                <c:pt idx="0">
                  <c:v>3.3333450701370556E-3</c:v>
                </c:pt>
                <c:pt idx="1">
                  <c:v>1.4843916329933846E-2</c:v>
                </c:pt>
                <c:pt idx="2">
                  <c:v>2.4114424886712501E-2</c:v>
                </c:pt>
                <c:pt idx="3">
                  <c:v>3.2948939136981326E-2</c:v>
                </c:pt>
                <c:pt idx="4">
                  <c:v>4.0663343824829785E-2</c:v>
                </c:pt>
                <c:pt idx="5">
                  <c:v>4.8131376872374135E-2</c:v>
                </c:pt>
                <c:pt idx="6">
                  <c:v>5.3961954918441829E-2</c:v>
                </c:pt>
                <c:pt idx="7">
                  <c:v>5.9195243044734072E-2</c:v>
                </c:pt>
                <c:pt idx="8">
                  <c:v>6.545973008210719E-2</c:v>
                </c:pt>
                <c:pt idx="9">
                  <c:v>7.1466663298831279E-2</c:v>
                </c:pt>
                <c:pt idx="10">
                  <c:v>7.6327719465540525E-2</c:v>
                </c:pt>
                <c:pt idx="11">
                  <c:v>8.0305011947482366E-2</c:v>
                </c:pt>
                <c:pt idx="12">
                  <c:v>8.5070290846597313E-2</c:v>
                </c:pt>
                <c:pt idx="13">
                  <c:v>8.8546433402924618E-2</c:v>
                </c:pt>
                <c:pt idx="14">
                  <c:v>9.2632472428737248E-2</c:v>
                </c:pt>
                <c:pt idx="15">
                  <c:v>9.6441097446170909E-2</c:v>
                </c:pt>
                <c:pt idx="16">
                  <c:v>9.9441452636329766E-2</c:v>
                </c:pt>
                <c:pt idx="17">
                  <c:v>0.10321006306853893</c:v>
                </c:pt>
                <c:pt idx="18">
                  <c:v>0.10704672983705628</c:v>
                </c:pt>
                <c:pt idx="19">
                  <c:v>0.10888993105273369</c:v>
                </c:pt>
                <c:pt idx="20">
                  <c:v>0.1112615387374595</c:v>
                </c:pt>
                <c:pt idx="21">
                  <c:v>0.11192849473011481</c:v>
                </c:pt>
                <c:pt idx="22">
                  <c:v>0.11331781439423623</c:v>
                </c:pt>
                <c:pt idx="23">
                  <c:v>0.11560902159028992</c:v>
                </c:pt>
                <c:pt idx="24">
                  <c:v>0.11814205149446001</c:v>
                </c:pt>
                <c:pt idx="25">
                  <c:v>0.12142608310621926</c:v>
                </c:pt>
                <c:pt idx="26">
                  <c:v>0.12246858094375382</c:v>
                </c:pt>
                <c:pt idx="27">
                  <c:v>0.12475925417929741</c:v>
                </c:pt>
                <c:pt idx="28">
                  <c:v>0.12710696837993682</c:v>
                </c:pt>
                <c:pt idx="29">
                  <c:v>0.12969011910163067</c:v>
                </c:pt>
                <c:pt idx="30">
                  <c:v>0.13289767884389328</c:v>
                </c:pt>
                <c:pt idx="31">
                  <c:v>0.13313353044575668</c:v>
                </c:pt>
                <c:pt idx="32">
                  <c:v>0.13619549223982153</c:v>
                </c:pt>
                <c:pt idx="33">
                  <c:v>0.13648847518521545</c:v>
                </c:pt>
                <c:pt idx="34">
                  <c:v>0.13842155590276803</c:v>
                </c:pt>
                <c:pt idx="35">
                  <c:v>0.1396362930482517</c:v>
                </c:pt>
                <c:pt idx="36">
                  <c:v>0.1417822089253637</c:v>
                </c:pt>
                <c:pt idx="37">
                  <c:v>0.14367915783685675</c:v>
                </c:pt>
                <c:pt idx="38">
                  <c:v>0.1443332698266597</c:v>
                </c:pt>
                <c:pt idx="39">
                  <c:v>0.14890507015903651</c:v>
                </c:pt>
                <c:pt idx="40">
                  <c:v>0.15125414087958663</c:v>
                </c:pt>
                <c:pt idx="41">
                  <c:v>0.1540399484075243</c:v>
                </c:pt>
                <c:pt idx="42">
                  <c:v>0.1570300324460733</c:v>
                </c:pt>
                <c:pt idx="43">
                  <c:v>0.1570151196503542</c:v>
                </c:pt>
                <c:pt idx="44">
                  <c:v>0.1606811592934726</c:v>
                </c:pt>
                <c:pt idx="45">
                  <c:v>0.16348230667970132</c:v>
                </c:pt>
                <c:pt idx="46">
                  <c:v>0.16638372804950041</c:v>
                </c:pt>
                <c:pt idx="47">
                  <c:v>0.16798665711993388</c:v>
                </c:pt>
                <c:pt idx="48">
                  <c:v>0.16792248225007519</c:v>
                </c:pt>
                <c:pt idx="49">
                  <c:v>0.17084660637529495</c:v>
                </c:pt>
                <c:pt idx="50">
                  <c:v>0.17317691674929062</c:v>
                </c:pt>
                <c:pt idx="51">
                  <c:v>0.17324310640084661</c:v>
                </c:pt>
                <c:pt idx="52">
                  <c:v>0.17562512339133951</c:v>
                </c:pt>
                <c:pt idx="53">
                  <c:v>0.17796299412944522</c:v>
                </c:pt>
                <c:pt idx="54">
                  <c:v>0.17961630438220394</c:v>
                </c:pt>
                <c:pt idx="55">
                  <c:v>0.18119406408542088</c:v>
                </c:pt>
                <c:pt idx="56">
                  <c:v>0.18168402270444897</c:v>
                </c:pt>
                <c:pt idx="57">
                  <c:v>0.1832304710677618</c:v>
                </c:pt>
                <c:pt idx="58">
                  <c:v>0.18364507497604377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3C-4130-8A52-31A695D3A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dateAx>
        <c:axId val="210141776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141776"/>
        <c:crosses val="autoZero"/>
        <c:crossBetween val="between"/>
        <c:majorUnit val="0.02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1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numFmt formatCode="0.000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46474430674854"/>
          <c:y val="5.4380744873408104E-2"/>
          <c:w val="0.85044944104950326"/>
          <c:h val="0.89426113791826667"/>
        </c:manualLayout>
      </c:layout>
      <c:lineChart>
        <c:grouping val="standard"/>
        <c:varyColors val="0"/>
        <c:ser>
          <c:idx val="3"/>
          <c:order val="0"/>
          <c:tx>
            <c:v>Resulting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triangle"/>
            <c:size val="3"/>
            <c:spPr>
              <a:solidFill>
                <a:srgbClr val="00FFFF"/>
              </a:solidFill>
              <a:ln>
                <a:solidFill>
                  <a:srgbClr val="00FFFF"/>
                </a:solidFill>
                <a:prstDash val="solid"/>
              </a:ln>
            </c:spPr>
          </c:marker>
          <c:val>
            <c:numRef>
              <c:f>MAIN!$EZ$20:$EZ$90</c:f>
              <c:numCache>
                <c:formatCode>0.0000</c:formatCode>
                <c:ptCount val="71"/>
                <c:pt idx="0">
                  <c:v>0.39011285015805997</c:v>
                </c:pt>
                <c:pt idx="1">
                  <c:v>0.38355760344022183</c:v>
                </c:pt>
                <c:pt idx="2">
                  <c:v>0.36921197689291618</c:v>
                </c:pt>
                <c:pt idx="3">
                  <c:v>0.35726331271716755</c:v>
                </c:pt>
                <c:pt idx="4">
                  <c:v>0.34529377839868269</c:v>
                </c:pt>
                <c:pt idx="5">
                  <c:v>0.33543134897606885</c:v>
                </c:pt>
                <c:pt idx="6">
                  <c:v>0.3256171124813278</c:v>
                </c:pt>
                <c:pt idx="7">
                  <c:v>0.31619643171963546</c:v>
                </c:pt>
                <c:pt idx="8">
                  <c:v>0.30869319169871223</c:v>
                </c:pt>
                <c:pt idx="9">
                  <c:v>0.3028390049373012</c:v>
                </c:pt>
                <c:pt idx="10">
                  <c:v>0.29580055757001017</c:v>
                </c:pt>
                <c:pt idx="11">
                  <c:v>0.28952683218947434</c:v>
                </c:pt>
                <c:pt idx="12">
                  <c:v>0.28513919161415058</c:v>
                </c:pt>
                <c:pt idx="13">
                  <c:v>0.27955899820031715</c:v>
                </c:pt>
                <c:pt idx="14">
                  <c:v>0.27544707956926617</c:v>
                </c:pt>
                <c:pt idx="15">
                  <c:v>0.27089471330442688</c:v>
                </c:pt>
                <c:pt idx="16">
                  <c:v>0.26642637099322936</c:v>
                </c:pt>
                <c:pt idx="17">
                  <c:v>0.26349005588200347</c:v>
                </c:pt>
                <c:pt idx="18">
                  <c:v>0.25971215435223005</c:v>
                </c:pt>
                <c:pt idx="19">
                  <c:v>0.25596578448891866</c:v>
                </c:pt>
                <c:pt idx="20">
                  <c:v>0.25307981646419059</c:v>
                </c:pt>
                <c:pt idx="21">
                  <c:v>0.25031069401987188</c:v>
                </c:pt>
                <c:pt idx="22">
                  <c:v>0.24766335772065048</c:v>
                </c:pt>
                <c:pt idx="23">
                  <c:v>0.24440526924733372</c:v>
                </c:pt>
                <c:pt idx="24">
                  <c:v>0.24220162321674549</c:v>
                </c:pt>
                <c:pt idx="25">
                  <c:v>0.23982089215907526</c:v>
                </c:pt>
                <c:pt idx="26">
                  <c:v>0.23780748055825665</c:v>
                </c:pt>
                <c:pt idx="27">
                  <c:v>0.23562723049196635</c:v>
                </c:pt>
                <c:pt idx="28">
                  <c:v>0.23379637019946661</c:v>
                </c:pt>
                <c:pt idx="29">
                  <c:v>0.23201759508394709</c:v>
                </c:pt>
                <c:pt idx="30">
                  <c:v>0.23008563498989285</c:v>
                </c:pt>
                <c:pt idx="31">
                  <c:v>0.22847975973415052</c:v>
                </c:pt>
                <c:pt idx="32">
                  <c:v>0.22671697378153421</c:v>
                </c:pt>
                <c:pt idx="33">
                  <c:v>0.22525898784428541</c:v>
                </c:pt>
                <c:pt idx="34">
                  <c:v>0.22383843754499788</c:v>
                </c:pt>
                <c:pt idx="35">
                  <c:v>0.22207538717856648</c:v>
                </c:pt>
                <c:pt idx="36">
                  <c:v>0.2208366357332846</c:v>
                </c:pt>
                <c:pt idx="37">
                  <c:v>0.21943117385156227</c:v>
                </c:pt>
                <c:pt idx="38">
                  <c:v>0.21828329936142202</c:v>
                </c:pt>
                <c:pt idx="39">
                  <c:v>0.2169745015939587</c:v>
                </c:pt>
                <c:pt idx="40">
                  <c:v>0.2159127867010712</c:v>
                </c:pt>
                <c:pt idx="41">
                  <c:v>0.21486695521486546</c:v>
                </c:pt>
                <c:pt idx="42">
                  <c:v>0.2136722034897468</c:v>
                </c:pt>
                <c:pt idx="43">
                  <c:v>0.21271295883515165</c:v>
                </c:pt>
                <c:pt idx="44">
                  <c:v>0.21160433214572802</c:v>
                </c:pt>
                <c:pt idx="45">
                  <c:v>0.21071913030259201</c:v>
                </c:pt>
                <c:pt idx="46">
                  <c:v>0.20984521079795843</c:v>
                </c:pt>
                <c:pt idx="47">
                  <c:v>0.20851515362569711</c:v>
                </c:pt>
                <c:pt idx="48">
                  <c:v>0.20778727556086568</c:v>
                </c:pt>
                <c:pt idx="49">
                  <c:v>0.20689747690510185</c:v>
                </c:pt>
                <c:pt idx="50">
                  <c:v>0.20619649919602145</c:v>
                </c:pt>
                <c:pt idx="51">
                  <c:v>0.20534415185340632</c:v>
                </c:pt>
                <c:pt idx="52">
                  <c:v>0.2046780587463331</c:v>
                </c:pt>
                <c:pt idx="53">
                  <c:v>0.20401069203216071</c:v>
                </c:pt>
                <c:pt idx="54">
                  <c:v>0.20320582945256252</c:v>
                </c:pt>
                <c:pt idx="55">
                  <c:v>0.20258332838322615</c:v>
                </c:pt>
                <c:pt idx="56">
                  <c:v>0.20182473453799094</c:v>
                </c:pt>
                <c:pt idx="57">
                  <c:v>0.20124138496744889</c:v>
                </c:pt>
                <c:pt idx="58">
                  <c:v>0.20065808915804204</c:v>
                </c:pt>
                <c:pt idx="59">
                  <c:v>0.19968189195679678</c:v>
                </c:pt>
                <c:pt idx="60">
                  <c:v>0.19920093679932505</c:v>
                </c:pt>
                <c:pt idx="61">
                  <c:v>0.19857632054461435</c:v>
                </c:pt>
                <c:pt idx="62">
                  <c:v>0.19810350591523626</c:v>
                </c:pt>
                <c:pt idx="63">
                  <c:v>0.19749604046028502</c:v>
                </c:pt>
                <c:pt idx="64">
                  <c:v>0.19703958218007897</c:v>
                </c:pt>
                <c:pt idx="65">
                  <c:v>0.1965764175425308</c:v>
                </c:pt>
                <c:pt idx="66">
                  <c:v>0.1959904609323124</c:v>
                </c:pt>
                <c:pt idx="67">
                  <c:v>0.19555402471913647</c:v>
                </c:pt>
                <c:pt idx="68">
                  <c:v>0.19499624813546404</c:v>
                </c:pt>
                <c:pt idx="69">
                  <c:v>0.19458311747900117</c:v>
                </c:pt>
                <c:pt idx="70">
                  <c:v>0.19416574024353278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AC-45BC-9315-17418D8D93FE}"/>
            </c:ext>
          </c:extLst>
        </c:ser>
        <c:ser>
          <c:idx val="0"/>
          <c:order val="1"/>
          <c:tx>
            <c:v>Actual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MAIN!$I$20:$I$90</c:f>
              <c:numCache>
                <c:formatCode>mmm\-yy</c:formatCode>
                <c:ptCount val="71"/>
                <c:pt idx="0">
                  <c:v>37012</c:v>
                </c:pt>
                <c:pt idx="1">
                  <c:v>37043</c:v>
                </c:pt>
                <c:pt idx="2">
                  <c:v>37073</c:v>
                </c:pt>
                <c:pt idx="3">
                  <c:v>37104</c:v>
                </c:pt>
                <c:pt idx="4">
                  <c:v>37135</c:v>
                </c:pt>
                <c:pt idx="5">
                  <c:v>37165</c:v>
                </c:pt>
                <c:pt idx="6">
                  <c:v>37196</c:v>
                </c:pt>
                <c:pt idx="7">
                  <c:v>37226</c:v>
                </c:pt>
                <c:pt idx="8">
                  <c:v>37257</c:v>
                </c:pt>
                <c:pt idx="9">
                  <c:v>37288</c:v>
                </c:pt>
                <c:pt idx="10">
                  <c:v>37316</c:v>
                </c:pt>
                <c:pt idx="11">
                  <c:v>37347</c:v>
                </c:pt>
                <c:pt idx="12">
                  <c:v>37377</c:v>
                </c:pt>
                <c:pt idx="13">
                  <c:v>37408</c:v>
                </c:pt>
                <c:pt idx="14">
                  <c:v>37438</c:v>
                </c:pt>
                <c:pt idx="15">
                  <c:v>37469</c:v>
                </c:pt>
                <c:pt idx="16">
                  <c:v>37500</c:v>
                </c:pt>
                <c:pt idx="17">
                  <c:v>37530</c:v>
                </c:pt>
                <c:pt idx="18">
                  <c:v>37561</c:v>
                </c:pt>
                <c:pt idx="19">
                  <c:v>37591</c:v>
                </c:pt>
                <c:pt idx="20">
                  <c:v>37622</c:v>
                </c:pt>
                <c:pt idx="21">
                  <c:v>37653</c:v>
                </c:pt>
                <c:pt idx="22">
                  <c:v>37681</c:v>
                </c:pt>
                <c:pt idx="23">
                  <c:v>37712</c:v>
                </c:pt>
                <c:pt idx="24">
                  <c:v>37742</c:v>
                </c:pt>
                <c:pt idx="25">
                  <c:v>37773</c:v>
                </c:pt>
                <c:pt idx="26">
                  <c:v>37803</c:v>
                </c:pt>
                <c:pt idx="27">
                  <c:v>37834</c:v>
                </c:pt>
                <c:pt idx="28">
                  <c:v>37865</c:v>
                </c:pt>
                <c:pt idx="29">
                  <c:v>37895</c:v>
                </c:pt>
                <c:pt idx="30">
                  <c:v>37926</c:v>
                </c:pt>
                <c:pt idx="31">
                  <c:v>37956</c:v>
                </c:pt>
                <c:pt idx="32">
                  <c:v>37987</c:v>
                </c:pt>
                <c:pt idx="33">
                  <c:v>38018</c:v>
                </c:pt>
                <c:pt idx="34">
                  <c:v>38047</c:v>
                </c:pt>
                <c:pt idx="35">
                  <c:v>38078</c:v>
                </c:pt>
                <c:pt idx="36">
                  <c:v>38108</c:v>
                </c:pt>
                <c:pt idx="37">
                  <c:v>38139</c:v>
                </c:pt>
                <c:pt idx="38">
                  <c:v>38169</c:v>
                </c:pt>
                <c:pt idx="39">
                  <c:v>38200</c:v>
                </c:pt>
                <c:pt idx="40">
                  <c:v>38231</c:v>
                </c:pt>
                <c:pt idx="41">
                  <c:v>38261</c:v>
                </c:pt>
                <c:pt idx="42">
                  <c:v>38292</c:v>
                </c:pt>
                <c:pt idx="43">
                  <c:v>38322</c:v>
                </c:pt>
                <c:pt idx="44">
                  <c:v>38353</c:v>
                </c:pt>
                <c:pt idx="45">
                  <c:v>38384</c:v>
                </c:pt>
                <c:pt idx="46">
                  <c:v>38412</c:v>
                </c:pt>
                <c:pt idx="47">
                  <c:v>38443</c:v>
                </c:pt>
                <c:pt idx="48">
                  <c:v>38473</c:v>
                </c:pt>
                <c:pt idx="49">
                  <c:v>38504</c:v>
                </c:pt>
                <c:pt idx="50">
                  <c:v>38534</c:v>
                </c:pt>
                <c:pt idx="51">
                  <c:v>38565</c:v>
                </c:pt>
                <c:pt idx="52">
                  <c:v>38596</c:v>
                </c:pt>
                <c:pt idx="53">
                  <c:v>38626</c:v>
                </c:pt>
                <c:pt idx="54">
                  <c:v>38657</c:v>
                </c:pt>
                <c:pt idx="55">
                  <c:v>38687</c:v>
                </c:pt>
                <c:pt idx="56">
                  <c:v>38718</c:v>
                </c:pt>
                <c:pt idx="57">
                  <c:v>38749</c:v>
                </c:pt>
                <c:pt idx="58">
                  <c:v>38777</c:v>
                </c:pt>
                <c:pt idx="59">
                  <c:v>38808</c:v>
                </c:pt>
                <c:pt idx="60">
                  <c:v>38838</c:v>
                </c:pt>
                <c:pt idx="61">
                  <c:v>38869</c:v>
                </c:pt>
                <c:pt idx="62">
                  <c:v>38899</c:v>
                </c:pt>
                <c:pt idx="63">
                  <c:v>38930</c:v>
                </c:pt>
                <c:pt idx="64">
                  <c:v>38961</c:v>
                </c:pt>
                <c:pt idx="65">
                  <c:v>38991</c:v>
                </c:pt>
                <c:pt idx="66">
                  <c:v>39022</c:v>
                </c:pt>
                <c:pt idx="67">
                  <c:v>39052</c:v>
                </c:pt>
                <c:pt idx="68">
                  <c:v>39083</c:v>
                </c:pt>
                <c:pt idx="69">
                  <c:v>39114</c:v>
                </c:pt>
                <c:pt idx="70">
                  <c:v>39142</c:v>
                </c:pt>
              </c:numCache>
            </c:numRef>
          </c:cat>
          <c:val>
            <c:numRef>
              <c:f>MAIN!$O$20:$O$90</c:f>
              <c:numCache>
                <c:formatCode>0.0000</c:formatCode>
                <c:ptCount val="71"/>
                <c:pt idx="0">
                  <c:v>0.39011285015805997</c:v>
                </c:pt>
                <c:pt idx="1">
                  <c:v>0.37772659422797</c:v>
                </c:pt>
                <c:pt idx="2">
                  <c:v>0.36257358882234997</c:v>
                </c:pt>
                <c:pt idx="3">
                  <c:v>0.34865687482313995</c:v>
                </c:pt>
                <c:pt idx="4">
                  <c:v>0.33931401765001001</c:v>
                </c:pt>
                <c:pt idx="5">
                  <c:v>0.33044281792313995</c:v>
                </c:pt>
                <c:pt idx="6">
                  <c:v>0.32123456251913995</c:v>
                </c:pt>
                <c:pt idx="7">
                  <c:v>0.31420743607726997</c:v>
                </c:pt>
                <c:pt idx="8">
                  <c:v>0.30987214886874997</c:v>
                </c:pt>
                <c:pt idx="9">
                  <c:v>0.30424420231949995</c:v>
                </c:pt>
                <c:pt idx="10">
                  <c:v>0.29940294035068998</c:v>
                </c:pt>
                <c:pt idx="11">
                  <c:v>0.29371557677562998</c:v>
                </c:pt>
                <c:pt idx="12">
                  <c:v>0.28862214847280998</c:v>
                </c:pt>
                <c:pt idx="13">
                  <c:v>0.28364009498593001</c:v>
                </c:pt>
                <c:pt idx="14">
                  <c:v>0.27921058301033003</c:v>
                </c:pt>
                <c:pt idx="15">
                  <c:v>0.27552892254706002</c:v>
                </c:pt>
                <c:pt idx="16">
                  <c:v>0.27142845995784998</c:v>
                </c:pt>
                <c:pt idx="17">
                  <c:v>0.26770917885020995</c:v>
                </c:pt>
                <c:pt idx="18">
                  <c:v>0.26518223024776999</c:v>
                </c:pt>
                <c:pt idx="19">
                  <c:v>0.26074202896752996</c:v>
                </c:pt>
                <c:pt idx="20">
                  <c:v>0.25684864985985995</c:v>
                </c:pt>
                <c:pt idx="21">
                  <c:v>0.25136991805607001</c:v>
                </c:pt>
                <c:pt idx="22">
                  <c:v>0.24707531636721</c:v>
                </c:pt>
                <c:pt idx="23">
                  <c:v>0.24456180138500003</c:v>
                </c:pt>
                <c:pt idx="24">
                  <c:v>0.24197116884323</c:v>
                </c:pt>
                <c:pt idx="25">
                  <c:v>0.24046585831475997</c:v>
                </c:pt>
                <c:pt idx="26">
                  <c:v>0.23675873422687999</c:v>
                </c:pt>
                <c:pt idx="27">
                  <c:v>0.23459369127642998</c:v>
                </c:pt>
                <c:pt idx="28">
                  <c:v>0.23247872260037</c:v>
                </c:pt>
                <c:pt idx="29">
                  <c:v>0.23070316548305</c:v>
                </c:pt>
                <c:pt idx="30">
                  <c:v>0.22969941889567999</c:v>
                </c:pt>
                <c:pt idx="31">
                  <c:v>0.22612499915352</c:v>
                </c:pt>
                <c:pt idx="32">
                  <c:v>0.2251863053356</c:v>
                </c:pt>
                <c:pt idx="33">
                  <c:v>0.22194882337829999</c:v>
                </c:pt>
                <c:pt idx="34">
                  <c:v>0.22016831636207002</c:v>
                </c:pt>
                <c:pt idx="35">
                  <c:v>0.21812069615963997</c:v>
                </c:pt>
                <c:pt idx="36">
                  <c:v>0.21667969979395998</c:v>
                </c:pt>
                <c:pt idx="37">
                  <c:v>0.21521723338585</c:v>
                </c:pt>
                <c:pt idx="38">
                  <c:v>0.21281480987602</c:v>
                </c:pt>
                <c:pt idx="39">
                  <c:v>0.21342618021616996</c:v>
                </c:pt>
                <c:pt idx="40">
                  <c:v>0.2123639059156</c:v>
                </c:pt>
                <c:pt idx="41">
                  <c:v>0.21164936744984</c:v>
                </c:pt>
                <c:pt idx="42">
                  <c:v>0.21118642003070998</c:v>
                </c:pt>
                <c:pt idx="43">
                  <c:v>0.20867622039892</c:v>
                </c:pt>
                <c:pt idx="44">
                  <c:v>0.20873428694835999</c:v>
                </c:pt>
                <c:pt idx="45">
                  <c:v>0.20816412337467999</c:v>
                </c:pt>
                <c:pt idx="46">
                  <c:v>0.20768017508722</c:v>
                </c:pt>
                <c:pt idx="47">
                  <c:v>0.20663511305306997</c:v>
                </c:pt>
                <c:pt idx="48">
                  <c:v>0.20440264306441</c:v>
                </c:pt>
                <c:pt idx="49">
                  <c:v>0.20409970824802001</c:v>
                </c:pt>
                <c:pt idx="50">
                  <c:v>0.20339317284934999</c:v>
                </c:pt>
                <c:pt idx="51">
                  <c:v>0.20146519843114999</c:v>
                </c:pt>
                <c:pt idx="52">
                  <c:v>0.20085834101775998</c:v>
                </c:pt>
                <c:pt idx="53">
                  <c:v>0.20024812431803998</c:v>
                </c:pt>
                <c:pt idx="54">
                  <c:v>0.19933999999999999</c:v>
                </c:pt>
                <c:pt idx="55">
                  <c:v>0.19835999999999998</c:v>
                </c:pt>
                <c:pt idx="56">
                  <c:v>0.19688</c:v>
                </c:pt>
                <c:pt idx="57">
                  <c:v>0.19594999999999999</c:v>
                </c:pt>
                <c:pt idx="58">
                  <c:v>0.19444999999999998</c:v>
                </c:pt>
                <c:pt idx="59">
                  <c:v>0.19384999999999999</c:v>
                </c:pt>
                <c:pt idx="60">
                  <c:v>0.19334999999999999</c:v>
                </c:pt>
                <c:pt idx="61">
                  <c:v>0.19294999999999998</c:v>
                </c:pt>
                <c:pt idx="62">
                  <c:v>0.19205</c:v>
                </c:pt>
                <c:pt idx="63">
                  <c:v>0.19114999999999999</c:v>
                </c:pt>
                <c:pt idx="64">
                  <c:v>0.19025</c:v>
                </c:pt>
                <c:pt idx="65">
                  <c:v>0.18925</c:v>
                </c:pt>
                <c:pt idx="66">
                  <c:v>0.18814999999999998</c:v>
                </c:pt>
                <c:pt idx="67">
                  <c:v>0.18725</c:v>
                </c:pt>
                <c:pt idx="68">
                  <c:v>0.18634999999999999</c:v>
                </c:pt>
                <c:pt idx="69">
                  <c:v>0.18554999999999999</c:v>
                </c:pt>
                <c:pt idx="70">
                  <c:v>0.18495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AC-45BC-9315-17418D8D93FE}"/>
            </c:ext>
          </c:extLst>
        </c:ser>
        <c:ser>
          <c:idx val="1"/>
          <c:order val="2"/>
          <c:tx>
            <c:v>Expected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3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MAIN!$I$20:$I$90</c:f>
              <c:numCache>
                <c:formatCode>mmm\-yy</c:formatCode>
                <c:ptCount val="71"/>
                <c:pt idx="0">
                  <c:v>37012</c:v>
                </c:pt>
                <c:pt idx="1">
                  <c:v>37043</c:v>
                </c:pt>
                <c:pt idx="2">
                  <c:v>37073</c:v>
                </c:pt>
                <c:pt idx="3">
                  <c:v>37104</c:v>
                </c:pt>
                <c:pt idx="4">
                  <c:v>37135</c:v>
                </c:pt>
                <c:pt idx="5">
                  <c:v>37165</c:v>
                </c:pt>
                <c:pt idx="6">
                  <c:v>37196</c:v>
                </c:pt>
                <c:pt idx="7">
                  <c:v>37226</c:v>
                </c:pt>
                <c:pt idx="8">
                  <c:v>37257</c:v>
                </c:pt>
                <c:pt idx="9">
                  <c:v>37288</c:v>
                </c:pt>
                <c:pt idx="10">
                  <c:v>37316</c:v>
                </c:pt>
                <c:pt idx="11">
                  <c:v>37347</c:v>
                </c:pt>
                <c:pt idx="12">
                  <c:v>37377</c:v>
                </c:pt>
                <c:pt idx="13">
                  <c:v>37408</c:v>
                </c:pt>
                <c:pt idx="14">
                  <c:v>37438</c:v>
                </c:pt>
                <c:pt idx="15">
                  <c:v>37469</c:v>
                </c:pt>
                <c:pt idx="16">
                  <c:v>37500</c:v>
                </c:pt>
                <c:pt idx="17">
                  <c:v>37530</c:v>
                </c:pt>
                <c:pt idx="18">
                  <c:v>37561</c:v>
                </c:pt>
                <c:pt idx="19">
                  <c:v>37591</c:v>
                </c:pt>
                <c:pt idx="20">
                  <c:v>37622</c:v>
                </c:pt>
                <c:pt idx="21">
                  <c:v>37653</c:v>
                </c:pt>
                <c:pt idx="22">
                  <c:v>37681</c:v>
                </c:pt>
                <c:pt idx="23">
                  <c:v>37712</c:v>
                </c:pt>
                <c:pt idx="24">
                  <c:v>37742</c:v>
                </c:pt>
                <c:pt idx="25">
                  <c:v>37773</c:v>
                </c:pt>
                <c:pt idx="26">
                  <c:v>37803</c:v>
                </c:pt>
                <c:pt idx="27">
                  <c:v>37834</c:v>
                </c:pt>
                <c:pt idx="28">
                  <c:v>37865</c:v>
                </c:pt>
                <c:pt idx="29">
                  <c:v>37895</c:v>
                </c:pt>
                <c:pt idx="30">
                  <c:v>37926</c:v>
                </c:pt>
                <c:pt idx="31">
                  <c:v>37956</c:v>
                </c:pt>
                <c:pt idx="32">
                  <c:v>37987</c:v>
                </c:pt>
                <c:pt idx="33">
                  <c:v>38018</c:v>
                </c:pt>
                <c:pt idx="34">
                  <c:v>38047</c:v>
                </c:pt>
                <c:pt idx="35">
                  <c:v>38078</c:v>
                </c:pt>
                <c:pt idx="36">
                  <c:v>38108</c:v>
                </c:pt>
                <c:pt idx="37">
                  <c:v>38139</c:v>
                </c:pt>
                <c:pt idx="38">
                  <c:v>38169</c:v>
                </c:pt>
                <c:pt idx="39">
                  <c:v>38200</c:v>
                </c:pt>
                <c:pt idx="40">
                  <c:v>38231</c:v>
                </c:pt>
                <c:pt idx="41">
                  <c:v>38261</c:v>
                </c:pt>
                <c:pt idx="42">
                  <c:v>38292</c:v>
                </c:pt>
                <c:pt idx="43">
                  <c:v>38322</c:v>
                </c:pt>
                <c:pt idx="44">
                  <c:v>38353</c:v>
                </c:pt>
                <c:pt idx="45">
                  <c:v>38384</c:v>
                </c:pt>
                <c:pt idx="46">
                  <c:v>38412</c:v>
                </c:pt>
                <c:pt idx="47">
                  <c:v>38443</c:v>
                </c:pt>
                <c:pt idx="48">
                  <c:v>38473</c:v>
                </c:pt>
                <c:pt idx="49">
                  <c:v>38504</c:v>
                </c:pt>
                <c:pt idx="50">
                  <c:v>38534</c:v>
                </c:pt>
                <c:pt idx="51">
                  <c:v>38565</c:v>
                </c:pt>
                <c:pt idx="52">
                  <c:v>38596</c:v>
                </c:pt>
                <c:pt idx="53">
                  <c:v>38626</c:v>
                </c:pt>
                <c:pt idx="54">
                  <c:v>38657</c:v>
                </c:pt>
                <c:pt idx="55">
                  <c:v>38687</c:v>
                </c:pt>
                <c:pt idx="56">
                  <c:v>38718</c:v>
                </c:pt>
                <c:pt idx="57">
                  <c:v>38749</c:v>
                </c:pt>
                <c:pt idx="58">
                  <c:v>38777</c:v>
                </c:pt>
                <c:pt idx="59">
                  <c:v>38808</c:v>
                </c:pt>
                <c:pt idx="60">
                  <c:v>38838</c:v>
                </c:pt>
                <c:pt idx="61">
                  <c:v>38869</c:v>
                </c:pt>
                <c:pt idx="62">
                  <c:v>38899</c:v>
                </c:pt>
                <c:pt idx="63">
                  <c:v>38930</c:v>
                </c:pt>
                <c:pt idx="64">
                  <c:v>38961</c:v>
                </c:pt>
                <c:pt idx="65">
                  <c:v>38991</c:v>
                </c:pt>
                <c:pt idx="66">
                  <c:v>39022</c:v>
                </c:pt>
                <c:pt idx="67">
                  <c:v>39052</c:v>
                </c:pt>
                <c:pt idx="68">
                  <c:v>39083</c:v>
                </c:pt>
                <c:pt idx="69">
                  <c:v>39114</c:v>
                </c:pt>
                <c:pt idx="70">
                  <c:v>39142</c:v>
                </c:pt>
              </c:numCache>
            </c:numRef>
          </c:cat>
          <c:val>
            <c:numRef>
              <c:f>MAIN!$S$20:$S$90</c:f>
              <c:numCache>
                <c:formatCode>0.0000</c:formatCode>
                <c:ptCount val="71"/>
                <c:pt idx="0">
                  <c:v>0.39011285015805997</c:v>
                </c:pt>
                <c:pt idx="1">
                  <c:v>0.39</c:v>
                </c:pt>
                <c:pt idx="2">
                  <c:v>0.38950000000000001</c:v>
                </c:pt>
                <c:pt idx="3">
                  <c:v>0.38900499999999999</c:v>
                </c:pt>
                <c:pt idx="4">
                  <c:v>0.38851494999999997</c:v>
                </c:pt>
                <c:pt idx="5">
                  <c:v>0.38802980049999997</c:v>
                </c:pt>
                <c:pt idx="6">
                  <c:v>0.38754950249499998</c:v>
                </c:pt>
                <c:pt idx="7">
                  <c:v>0.38707400747005</c:v>
                </c:pt>
                <c:pt idx="8">
                  <c:v>0.3866032673953495</c:v>
                </c:pt>
                <c:pt idx="9">
                  <c:v>0.38613723472139599</c:v>
                </c:pt>
                <c:pt idx="10">
                  <c:v>0.38567586237418205</c:v>
                </c:pt>
                <c:pt idx="11">
                  <c:v>0.38521910375044022</c:v>
                </c:pt>
                <c:pt idx="12">
                  <c:v>0.38476691271293584</c:v>
                </c:pt>
                <c:pt idx="13">
                  <c:v>0.38431924358580649</c:v>
                </c:pt>
                <c:pt idx="14">
                  <c:v>0.38387605114994844</c:v>
                </c:pt>
                <c:pt idx="15">
                  <c:v>0.38343729063844895</c:v>
                </c:pt>
                <c:pt idx="16">
                  <c:v>0.38300291773206446</c:v>
                </c:pt>
                <c:pt idx="17">
                  <c:v>0.38257288855474381</c:v>
                </c:pt>
                <c:pt idx="18">
                  <c:v>0.38214715966919638</c:v>
                </c:pt>
                <c:pt idx="19">
                  <c:v>0.3817256880725044</c:v>
                </c:pt>
                <c:pt idx="20">
                  <c:v>0.38130843119177937</c:v>
                </c:pt>
                <c:pt idx="21">
                  <c:v>0.3808953468798616</c:v>
                </c:pt>
                <c:pt idx="22">
                  <c:v>0.380486393411063</c:v>
                </c:pt>
                <c:pt idx="23">
                  <c:v>0.3800815294769524</c:v>
                </c:pt>
                <c:pt idx="24">
                  <c:v>0.37968071418218285</c:v>
                </c:pt>
                <c:pt idx="25">
                  <c:v>0.37928390704036102</c:v>
                </c:pt>
                <c:pt idx="26">
                  <c:v>0.37889106796995742</c:v>
                </c:pt>
                <c:pt idx="27">
                  <c:v>0.37850215729025782</c:v>
                </c:pt>
                <c:pt idx="28">
                  <c:v>0.37811713571735522</c:v>
                </c:pt>
                <c:pt idx="29">
                  <c:v>0.37773596436018164</c:v>
                </c:pt>
                <c:pt idx="30">
                  <c:v>0.37735860471657984</c:v>
                </c:pt>
                <c:pt idx="31">
                  <c:v>0.37698501866941403</c:v>
                </c:pt>
                <c:pt idx="32">
                  <c:v>0.37661516848271992</c:v>
                </c:pt>
                <c:pt idx="33">
                  <c:v>0.37624901679789274</c:v>
                </c:pt>
                <c:pt idx="34">
                  <c:v>0.37588652662991384</c:v>
                </c:pt>
                <c:pt idx="35">
                  <c:v>0.37552766136361471</c:v>
                </c:pt>
                <c:pt idx="36">
                  <c:v>0.37517238474997855</c:v>
                </c:pt>
                <c:pt idx="37">
                  <c:v>0.37482066090247879</c:v>
                </c:pt>
                <c:pt idx="38">
                  <c:v>0.37447245429345399</c:v>
                </c:pt>
                <c:pt idx="39">
                  <c:v>0.37412772975051944</c:v>
                </c:pt>
                <c:pt idx="40">
                  <c:v>0.37378645245301423</c:v>
                </c:pt>
                <c:pt idx="41">
                  <c:v>0.37344858792848407</c:v>
                </c:pt>
                <c:pt idx="42">
                  <c:v>0.3731141020491992</c:v>
                </c:pt>
                <c:pt idx="43">
                  <c:v>0.37278296102870723</c:v>
                </c:pt>
                <c:pt idx="44">
                  <c:v>0.37245513141842013</c:v>
                </c:pt>
                <c:pt idx="45">
                  <c:v>0.37213058010423594</c:v>
                </c:pt>
                <c:pt idx="46">
                  <c:v>0.3718092743031936</c:v>
                </c:pt>
                <c:pt idx="47">
                  <c:v>0.3714911815601617</c:v>
                </c:pt>
                <c:pt idx="48">
                  <c:v>0.37117626974456008</c:v>
                </c:pt>
                <c:pt idx="49">
                  <c:v>0.37086450704711449</c:v>
                </c:pt>
                <c:pt idx="50">
                  <c:v>0.37055586197664336</c:v>
                </c:pt>
                <c:pt idx="51">
                  <c:v>0.37025030335687692</c:v>
                </c:pt>
                <c:pt idx="52">
                  <c:v>0.36994780032330815</c:v>
                </c:pt>
                <c:pt idx="53">
                  <c:v>0.36964832232007505</c:v>
                </c:pt>
                <c:pt idx="54">
                  <c:v>0.3693518390968743</c:v>
                </c:pt>
                <c:pt idx="55">
                  <c:v>0.36905832070590555</c:v>
                </c:pt>
                <c:pt idx="56">
                  <c:v>0.3687677374988465</c:v>
                </c:pt>
                <c:pt idx="57">
                  <c:v>0.36848006012385803</c:v>
                </c:pt>
                <c:pt idx="58">
                  <c:v>0.36819525952261944</c:v>
                </c:pt>
                <c:pt idx="59">
                  <c:v>0.36791330692739327</c:v>
                </c:pt>
                <c:pt idx="60">
                  <c:v>0.36763417385811936</c:v>
                </c:pt>
                <c:pt idx="61">
                  <c:v>0.36735783211953815</c:v>
                </c:pt>
                <c:pt idx="62">
                  <c:v>0.36708425379834275</c:v>
                </c:pt>
                <c:pt idx="63">
                  <c:v>0.36681341126035932</c:v>
                </c:pt>
                <c:pt idx="64">
                  <c:v>0.36654527714775575</c:v>
                </c:pt>
                <c:pt idx="65">
                  <c:v>0.36627982437627821</c:v>
                </c:pt>
                <c:pt idx="66">
                  <c:v>0.36601702613251541</c:v>
                </c:pt>
                <c:pt idx="67">
                  <c:v>0.36575685587119028</c:v>
                </c:pt>
                <c:pt idx="68">
                  <c:v>0.36549928731247838</c:v>
                </c:pt>
                <c:pt idx="69">
                  <c:v>0.36524429443935358</c:v>
                </c:pt>
                <c:pt idx="70">
                  <c:v>0.36499185149496005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AC-45BC-9315-17418D8D9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146368"/>
        <c:axId val="1"/>
      </c:lineChart>
      <c:lineChart>
        <c:grouping val="standard"/>
        <c:varyColors val="0"/>
        <c:ser>
          <c:idx val="2"/>
          <c:order val="3"/>
          <c:tx>
            <c:v>Var</c:v>
          </c:tx>
          <c:spPr>
            <a:ln w="12700">
              <a:solidFill>
                <a:srgbClr val="E3E3E3"/>
              </a:solidFill>
              <a:prstDash val="solid"/>
            </a:ln>
          </c:spPr>
          <c:marker>
            <c:symbol val="triangle"/>
            <c:size val="3"/>
            <c:spPr>
              <a:solidFill>
                <a:srgbClr val="E3E3E3"/>
              </a:solidFill>
              <a:ln>
                <a:solidFill>
                  <a:srgbClr val="E3E3E3"/>
                </a:solidFill>
                <a:prstDash val="solid"/>
              </a:ln>
            </c:spPr>
          </c:marker>
          <c:cat>
            <c:numRef>
              <c:f>MAIN!$I$20:$I$90</c:f>
              <c:numCache>
                <c:formatCode>mmm\-yy</c:formatCode>
                <c:ptCount val="71"/>
                <c:pt idx="0">
                  <c:v>37012</c:v>
                </c:pt>
                <c:pt idx="1">
                  <c:v>37043</c:v>
                </c:pt>
                <c:pt idx="2">
                  <c:v>37073</c:v>
                </c:pt>
                <c:pt idx="3">
                  <c:v>37104</c:v>
                </c:pt>
                <c:pt idx="4">
                  <c:v>37135</c:v>
                </c:pt>
                <c:pt idx="5">
                  <c:v>37165</c:v>
                </c:pt>
                <c:pt idx="6">
                  <c:v>37196</c:v>
                </c:pt>
                <c:pt idx="7">
                  <c:v>37226</c:v>
                </c:pt>
                <c:pt idx="8">
                  <c:v>37257</c:v>
                </c:pt>
                <c:pt idx="9">
                  <c:v>37288</c:v>
                </c:pt>
                <c:pt idx="10">
                  <c:v>37316</c:v>
                </c:pt>
                <c:pt idx="11">
                  <c:v>37347</c:v>
                </c:pt>
                <c:pt idx="12">
                  <c:v>37377</c:v>
                </c:pt>
                <c:pt idx="13">
                  <c:v>37408</c:v>
                </c:pt>
                <c:pt idx="14">
                  <c:v>37438</c:v>
                </c:pt>
                <c:pt idx="15">
                  <c:v>37469</c:v>
                </c:pt>
                <c:pt idx="16">
                  <c:v>37500</c:v>
                </c:pt>
                <c:pt idx="17">
                  <c:v>37530</c:v>
                </c:pt>
                <c:pt idx="18">
                  <c:v>37561</c:v>
                </c:pt>
                <c:pt idx="19">
                  <c:v>37591</c:v>
                </c:pt>
                <c:pt idx="20">
                  <c:v>37622</c:v>
                </c:pt>
                <c:pt idx="21">
                  <c:v>37653</c:v>
                </c:pt>
                <c:pt idx="22">
                  <c:v>37681</c:v>
                </c:pt>
                <c:pt idx="23">
                  <c:v>37712</c:v>
                </c:pt>
                <c:pt idx="24">
                  <c:v>37742</c:v>
                </c:pt>
                <c:pt idx="25">
                  <c:v>37773</c:v>
                </c:pt>
                <c:pt idx="26">
                  <c:v>37803</c:v>
                </c:pt>
                <c:pt idx="27">
                  <c:v>37834</c:v>
                </c:pt>
                <c:pt idx="28">
                  <c:v>37865</c:v>
                </c:pt>
                <c:pt idx="29">
                  <c:v>37895</c:v>
                </c:pt>
                <c:pt idx="30">
                  <c:v>37926</c:v>
                </c:pt>
                <c:pt idx="31">
                  <c:v>37956</c:v>
                </c:pt>
                <c:pt idx="32">
                  <c:v>37987</c:v>
                </c:pt>
                <c:pt idx="33">
                  <c:v>38018</c:v>
                </c:pt>
                <c:pt idx="34">
                  <c:v>38047</c:v>
                </c:pt>
                <c:pt idx="35">
                  <c:v>38078</c:v>
                </c:pt>
                <c:pt idx="36">
                  <c:v>38108</c:v>
                </c:pt>
                <c:pt idx="37">
                  <c:v>38139</c:v>
                </c:pt>
                <c:pt idx="38">
                  <c:v>38169</c:v>
                </c:pt>
                <c:pt idx="39">
                  <c:v>38200</c:v>
                </c:pt>
                <c:pt idx="40">
                  <c:v>38231</c:v>
                </c:pt>
                <c:pt idx="41">
                  <c:v>38261</c:v>
                </c:pt>
                <c:pt idx="42">
                  <c:v>38292</c:v>
                </c:pt>
                <c:pt idx="43">
                  <c:v>38322</c:v>
                </c:pt>
                <c:pt idx="44">
                  <c:v>38353</c:v>
                </c:pt>
                <c:pt idx="45">
                  <c:v>38384</c:v>
                </c:pt>
                <c:pt idx="46">
                  <c:v>38412</c:v>
                </c:pt>
                <c:pt idx="47">
                  <c:v>38443</c:v>
                </c:pt>
                <c:pt idx="48">
                  <c:v>38473</c:v>
                </c:pt>
                <c:pt idx="49">
                  <c:v>38504</c:v>
                </c:pt>
                <c:pt idx="50">
                  <c:v>38534</c:v>
                </c:pt>
                <c:pt idx="51">
                  <c:v>38565</c:v>
                </c:pt>
                <c:pt idx="52">
                  <c:v>38596</c:v>
                </c:pt>
                <c:pt idx="53">
                  <c:v>38626</c:v>
                </c:pt>
                <c:pt idx="54">
                  <c:v>38657</c:v>
                </c:pt>
                <c:pt idx="55">
                  <c:v>38687</c:v>
                </c:pt>
                <c:pt idx="56">
                  <c:v>38718</c:v>
                </c:pt>
                <c:pt idx="57">
                  <c:v>38749</c:v>
                </c:pt>
                <c:pt idx="58">
                  <c:v>38777</c:v>
                </c:pt>
                <c:pt idx="59">
                  <c:v>38808</c:v>
                </c:pt>
                <c:pt idx="60">
                  <c:v>38838</c:v>
                </c:pt>
                <c:pt idx="61">
                  <c:v>38869</c:v>
                </c:pt>
                <c:pt idx="62">
                  <c:v>38899</c:v>
                </c:pt>
                <c:pt idx="63">
                  <c:v>38930</c:v>
                </c:pt>
                <c:pt idx="64">
                  <c:v>38961</c:v>
                </c:pt>
                <c:pt idx="65">
                  <c:v>38991</c:v>
                </c:pt>
                <c:pt idx="66">
                  <c:v>39022</c:v>
                </c:pt>
                <c:pt idx="67">
                  <c:v>39052</c:v>
                </c:pt>
                <c:pt idx="68">
                  <c:v>39083</c:v>
                </c:pt>
                <c:pt idx="69">
                  <c:v>39114</c:v>
                </c:pt>
                <c:pt idx="70">
                  <c:v>39142</c:v>
                </c:pt>
              </c:numCache>
            </c:numRef>
          </c:cat>
          <c:val>
            <c:numRef>
              <c:f>MAIN!$EY$20:$EY$90</c:f>
              <c:numCache>
                <c:formatCode>0.000</c:formatCode>
                <c:ptCount val="71"/>
                <c:pt idx="0">
                  <c:v>3.3333450701370556E-3</c:v>
                </c:pt>
                <c:pt idx="1">
                  <c:v>1.4843916329933846E-2</c:v>
                </c:pt>
                <c:pt idx="2">
                  <c:v>2.4114424886712501E-2</c:v>
                </c:pt>
                <c:pt idx="3">
                  <c:v>3.2948939136981326E-2</c:v>
                </c:pt>
                <c:pt idx="4">
                  <c:v>4.0663343824829785E-2</c:v>
                </c:pt>
                <c:pt idx="5">
                  <c:v>4.8131376872374135E-2</c:v>
                </c:pt>
                <c:pt idx="6">
                  <c:v>5.3961954918441829E-2</c:v>
                </c:pt>
                <c:pt idx="7">
                  <c:v>5.9195243044734072E-2</c:v>
                </c:pt>
                <c:pt idx="8">
                  <c:v>6.545973008210719E-2</c:v>
                </c:pt>
                <c:pt idx="9">
                  <c:v>7.1466663298831279E-2</c:v>
                </c:pt>
                <c:pt idx="10">
                  <c:v>7.6327719465540525E-2</c:v>
                </c:pt>
                <c:pt idx="11">
                  <c:v>8.0305011947482366E-2</c:v>
                </c:pt>
                <c:pt idx="12">
                  <c:v>8.5070290846597313E-2</c:v>
                </c:pt>
                <c:pt idx="13">
                  <c:v>8.8546433402924618E-2</c:v>
                </c:pt>
                <c:pt idx="14">
                  <c:v>9.2632472428737248E-2</c:v>
                </c:pt>
                <c:pt idx="15">
                  <c:v>9.6441097446170909E-2</c:v>
                </c:pt>
                <c:pt idx="16">
                  <c:v>9.9441452636329766E-2</c:v>
                </c:pt>
                <c:pt idx="17">
                  <c:v>0.10321006306853893</c:v>
                </c:pt>
                <c:pt idx="18">
                  <c:v>0.10704672983705628</c:v>
                </c:pt>
                <c:pt idx="19">
                  <c:v>0.10888993105273369</c:v>
                </c:pt>
                <c:pt idx="20">
                  <c:v>0.1112615387374595</c:v>
                </c:pt>
                <c:pt idx="21">
                  <c:v>0.11192849473011481</c:v>
                </c:pt>
                <c:pt idx="22">
                  <c:v>0.11331781439423623</c:v>
                </c:pt>
                <c:pt idx="23">
                  <c:v>0.11560902159028992</c:v>
                </c:pt>
                <c:pt idx="24">
                  <c:v>0.11814205149446001</c:v>
                </c:pt>
                <c:pt idx="25">
                  <c:v>0.12142608310621926</c:v>
                </c:pt>
                <c:pt idx="26">
                  <c:v>0.12246858094375382</c:v>
                </c:pt>
                <c:pt idx="27">
                  <c:v>0.12475925417929741</c:v>
                </c:pt>
                <c:pt idx="28">
                  <c:v>0.12710696837993682</c:v>
                </c:pt>
                <c:pt idx="29">
                  <c:v>0.12969011910163067</c:v>
                </c:pt>
                <c:pt idx="30">
                  <c:v>0.13289767884389328</c:v>
                </c:pt>
                <c:pt idx="31">
                  <c:v>0.13313353044575668</c:v>
                </c:pt>
                <c:pt idx="32">
                  <c:v>0.13619549223982153</c:v>
                </c:pt>
                <c:pt idx="33">
                  <c:v>0.13648847518521545</c:v>
                </c:pt>
                <c:pt idx="34">
                  <c:v>0.13842155590276803</c:v>
                </c:pt>
                <c:pt idx="35">
                  <c:v>0.1396362930482517</c:v>
                </c:pt>
                <c:pt idx="36">
                  <c:v>0.1417822089253637</c:v>
                </c:pt>
                <c:pt idx="37">
                  <c:v>0.14367915783685675</c:v>
                </c:pt>
                <c:pt idx="38">
                  <c:v>0.1443332698266597</c:v>
                </c:pt>
                <c:pt idx="39">
                  <c:v>0.14890507015903651</c:v>
                </c:pt>
                <c:pt idx="40">
                  <c:v>0.15125414087958663</c:v>
                </c:pt>
                <c:pt idx="41">
                  <c:v>0.1540399484075243</c:v>
                </c:pt>
                <c:pt idx="42">
                  <c:v>0.1570300324460733</c:v>
                </c:pt>
                <c:pt idx="43">
                  <c:v>0.1570151196503542</c:v>
                </c:pt>
                <c:pt idx="44">
                  <c:v>0.1606811592934726</c:v>
                </c:pt>
                <c:pt idx="45">
                  <c:v>0.16348230667970132</c:v>
                </c:pt>
                <c:pt idx="46">
                  <c:v>0.16638372804950041</c:v>
                </c:pt>
                <c:pt idx="47">
                  <c:v>0.16798665711993388</c:v>
                </c:pt>
                <c:pt idx="48">
                  <c:v>0.16792248225007519</c:v>
                </c:pt>
                <c:pt idx="49">
                  <c:v>0.17084660637529495</c:v>
                </c:pt>
                <c:pt idx="50">
                  <c:v>0.17317691674929062</c:v>
                </c:pt>
                <c:pt idx="51">
                  <c:v>0.17324310640084661</c:v>
                </c:pt>
                <c:pt idx="52">
                  <c:v>0.17562512339133951</c:v>
                </c:pt>
                <c:pt idx="53">
                  <c:v>0.17796299412944522</c:v>
                </c:pt>
                <c:pt idx="54">
                  <c:v>0.17961630438220394</c:v>
                </c:pt>
                <c:pt idx="55">
                  <c:v>0.18119406408542088</c:v>
                </c:pt>
                <c:pt idx="56">
                  <c:v>0.18168402270444897</c:v>
                </c:pt>
                <c:pt idx="57">
                  <c:v>0.1832304710677618</c:v>
                </c:pt>
                <c:pt idx="58">
                  <c:v>0.18364507497604377</c:v>
                </c:pt>
                <c:pt idx="59">
                  <c:v>0.18539421258042435</c:v>
                </c:pt>
                <c:pt idx="60">
                  <c:v>0.18761199135523612</c:v>
                </c:pt>
                <c:pt idx="61">
                  <c:v>0.18989441685831621</c:v>
                </c:pt>
                <c:pt idx="62">
                  <c:v>0.19125745526351812</c:v>
                </c:pt>
                <c:pt idx="63">
                  <c:v>0.19247017793292262</c:v>
                </c:pt>
                <c:pt idx="64">
                  <c:v>0.19373401009582478</c:v>
                </c:pt>
                <c:pt idx="65">
                  <c:v>0.19474252464065711</c:v>
                </c:pt>
                <c:pt idx="66">
                  <c:v>0.19539288640657082</c:v>
                </c:pt>
                <c:pt idx="67">
                  <c:v>0.19650394370294319</c:v>
                </c:pt>
                <c:pt idx="68">
                  <c:v>0.19747179146475013</c:v>
                </c:pt>
                <c:pt idx="69">
                  <c:v>0.19870202784394245</c:v>
                </c:pt>
                <c:pt idx="70">
                  <c:v>0.20032226926078031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AC-45BC-9315-17418D8D9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210146368"/>
        <c:scaling>
          <c:orientation val="minMax"/>
        </c:scaling>
        <c:delete val="1"/>
        <c:axPos val="b"/>
        <c:majorTickMark val="out"/>
        <c:minorTickMark val="none"/>
        <c:tickLblPos val="nextTo"/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0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0146368"/>
        <c:crosses val="autoZero"/>
        <c:crossBetween val="between"/>
      </c:valAx>
      <c:dateAx>
        <c:axId val="3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4"/>
        <c:crosses val="autoZero"/>
        <c:auto val="1"/>
        <c:lblOffset val="100"/>
        <c:baseTimeUnit val="months"/>
      </c:dateAx>
      <c:valAx>
        <c:axId val="4"/>
        <c:scaling>
          <c:orientation val="minMax"/>
        </c:scaling>
        <c:delete val="0"/>
        <c:axPos val="r"/>
        <c:numFmt formatCode="0.000" sourceLinked="1"/>
        <c:majorTickMark val="cross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3019097377369677E-2"/>
          <c:y val="0.10344888549147901"/>
          <c:w val="0.90566288048039645"/>
          <c:h val="0.80000471446743759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MAIN!$U$5:$Z$5</c:f>
              <c:numCache>
                <c:formatCode>0.0000</c:formatCode>
                <c:ptCount val="6"/>
                <c:pt idx="0">
                  <c:v>7.4999999999999997E-2</c:v>
                </c:pt>
                <c:pt idx="1">
                  <c:v>4.4999999999999998E-2</c:v>
                </c:pt>
                <c:pt idx="2">
                  <c:v>1.7999999999999999E-2</c:v>
                </c:pt>
                <c:pt idx="3">
                  <c:v>2.5000000000000001E-3</c:v>
                </c:pt>
                <c:pt idx="4">
                  <c:v>6.0000000000000001E-3</c:v>
                </c:pt>
                <c:pt idx="5">
                  <c:v>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4E-4726-81E2-0A667F4BF9E0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MAIN!$U$6:$Z$6</c:f>
              <c:numCache>
                <c:formatCode>0.0000</c:formatCode>
                <c:ptCount val="6"/>
                <c:pt idx="0">
                  <c:v>6.7000000000000004E-2</c:v>
                </c:pt>
                <c:pt idx="1">
                  <c:v>3.9E-2</c:v>
                </c:pt>
                <c:pt idx="2">
                  <c:v>1.6E-2</c:v>
                </c:pt>
                <c:pt idx="3">
                  <c:v>1E-3</c:v>
                </c:pt>
                <c:pt idx="4">
                  <c:v>2.5000000000000001E-3</c:v>
                </c:pt>
                <c:pt idx="5">
                  <c:v>4.0000000000000001E-3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4E-4726-81E2-0A667F4BF9E0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MAIN!$U$7:$Z$7</c:f>
              <c:numCache>
                <c:formatCode>0.0000</c:formatCode>
                <c:ptCount val="6"/>
                <c:pt idx="0">
                  <c:v>5.7000000000000002E-2</c:v>
                </c:pt>
                <c:pt idx="1">
                  <c:v>3.3000000000000002E-2</c:v>
                </c:pt>
                <c:pt idx="2">
                  <c:v>1.4E-2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4E-4726-81E2-0A667F4BF9E0}"/>
            </c:ext>
          </c:extLst>
        </c:ser>
        <c:ser>
          <c:idx val="3"/>
          <c:order val="3"/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val>
            <c:numRef>
              <c:f>MAIN!$U$8:$Z$8</c:f>
              <c:numCache>
                <c:formatCode>0.0000</c:formatCode>
                <c:ptCount val="6"/>
                <c:pt idx="0">
                  <c:v>4.7520000000000007E-2</c:v>
                </c:pt>
                <c:pt idx="1">
                  <c:v>2.6400000000000003E-2</c:v>
                </c:pt>
                <c:pt idx="2">
                  <c:v>1.2E-2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4E-4726-81E2-0A667F4BF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487416"/>
        <c:axId val="1"/>
      </c:lineChart>
      <c:catAx>
        <c:axId val="158487416"/>
        <c:scaling>
          <c:orientation val="minMax"/>
        </c:scaling>
        <c:delete val="0"/>
        <c:axPos val="b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"/>
        <c:crosses val="autoZero"/>
        <c:auto val="1"/>
        <c:lblAlgn val="ctr"/>
        <c:lblOffset val="100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84874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476198595764041"/>
          <c:y val="5.7057224384221283E-2"/>
          <c:w val="0.87619115528208336"/>
          <c:h val="0.84384631852453595"/>
        </c:manualLayout>
      </c:layout>
      <c:lineChart>
        <c:grouping val="standard"/>
        <c:varyColors val="0"/>
        <c:ser>
          <c:idx val="0"/>
          <c:order val="0"/>
          <c:tx>
            <c:v>WTI-Settle</c:v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MAIN!$I$20:$I$38</c:f>
              <c:numCache>
                <c:formatCode>mmm\-yy</c:formatCode>
                <c:ptCount val="19"/>
                <c:pt idx="0">
                  <c:v>37012</c:v>
                </c:pt>
                <c:pt idx="1">
                  <c:v>37043</c:v>
                </c:pt>
                <c:pt idx="2">
                  <c:v>37073</c:v>
                </c:pt>
                <c:pt idx="3">
                  <c:v>37104</c:v>
                </c:pt>
                <c:pt idx="4">
                  <c:v>37135</c:v>
                </c:pt>
                <c:pt idx="5">
                  <c:v>37165</c:v>
                </c:pt>
                <c:pt idx="6">
                  <c:v>37196</c:v>
                </c:pt>
                <c:pt idx="7">
                  <c:v>37226</c:v>
                </c:pt>
                <c:pt idx="8">
                  <c:v>37257</c:v>
                </c:pt>
                <c:pt idx="9">
                  <c:v>37288</c:v>
                </c:pt>
                <c:pt idx="10">
                  <c:v>37316</c:v>
                </c:pt>
                <c:pt idx="11">
                  <c:v>37347</c:v>
                </c:pt>
                <c:pt idx="12">
                  <c:v>37377</c:v>
                </c:pt>
                <c:pt idx="13">
                  <c:v>37408</c:v>
                </c:pt>
                <c:pt idx="14">
                  <c:v>37438</c:v>
                </c:pt>
                <c:pt idx="15">
                  <c:v>37469</c:v>
                </c:pt>
                <c:pt idx="16">
                  <c:v>37500</c:v>
                </c:pt>
                <c:pt idx="17">
                  <c:v>37530</c:v>
                </c:pt>
                <c:pt idx="18">
                  <c:v>37561</c:v>
                </c:pt>
              </c:numCache>
            </c:numRef>
          </c:cat>
          <c:val>
            <c:numRef>
              <c:f>MAIN!$J$20:$J$38</c:f>
              <c:numCache>
                <c:formatCode>0.00</c:formatCode>
                <c:ptCount val="19"/>
                <c:pt idx="0">
                  <c:v>27.28</c:v>
                </c:pt>
                <c:pt idx="1">
                  <c:v>27.59</c:v>
                </c:pt>
                <c:pt idx="2">
                  <c:v>27.69</c:v>
                </c:pt>
                <c:pt idx="3">
                  <c:v>27.5</c:v>
                </c:pt>
                <c:pt idx="4">
                  <c:v>27.22</c:v>
                </c:pt>
                <c:pt idx="5">
                  <c:v>26.93</c:v>
                </c:pt>
                <c:pt idx="6">
                  <c:v>26.64</c:v>
                </c:pt>
                <c:pt idx="7">
                  <c:v>26.37</c:v>
                </c:pt>
                <c:pt idx="8">
                  <c:v>26.12</c:v>
                </c:pt>
                <c:pt idx="9">
                  <c:v>25.88</c:v>
                </c:pt>
                <c:pt idx="10">
                  <c:v>25.65</c:v>
                </c:pt>
                <c:pt idx="11">
                  <c:v>25.42</c:v>
                </c:pt>
                <c:pt idx="12">
                  <c:v>25.21</c:v>
                </c:pt>
                <c:pt idx="13">
                  <c:v>25</c:v>
                </c:pt>
                <c:pt idx="14">
                  <c:v>24.79</c:v>
                </c:pt>
                <c:pt idx="15">
                  <c:v>24.59</c:v>
                </c:pt>
                <c:pt idx="16">
                  <c:v>24.39</c:v>
                </c:pt>
                <c:pt idx="17">
                  <c:v>24.19</c:v>
                </c:pt>
                <c:pt idx="18">
                  <c:v>24.01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DE-409C-B56F-E74035D545DF}"/>
            </c:ext>
          </c:extLst>
        </c:ser>
        <c:ser>
          <c:idx val="1"/>
          <c:order val="1"/>
          <c:tx>
            <c:v>WTI-Curve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333399"/>
              </a:solidFill>
              <a:ln>
                <a:solidFill>
                  <a:srgbClr val="333399"/>
                </a:solidFill>
                <a:prstDash val="solid"/>
              </a:ln>
            </c:spPr>
          </c:marker>
          <c:val>
            <c:numRef>
              <c:f>MAIN!$L$20:$L$38</c:f>
              <c:numCache>
                <c:formatCode>0.00</c:formatCode>
                <c:ptCount val="19"/>
                <c:pt idx="0">
                  <c:v>27.28</c:v>
                </c:pt>
                <c:pt idx="1">
                  <c:v>27.59</c:v>
                </c:pt>
                <c:pt idx="2">
                  <c:v>27.69</c:v>
                </c:pt>
                <c:pt idx="3">
                  <c:v>27.5</c:v>
                </c:pt>
                <c:pt idx="4">
                  <c:v>27.22</c:v>
                </c:pt>
                <c:pt idx="5">
                  <c:v>26.93</c:v>
                </c:pt>
                <c:pt idx="6">
                  <c:v>26.64</c:v>
                </c:pt>
                <c:pt idx="7">
                  <c:v>26.37</c:v>
                </c:pt>
                <c:pt idx="8">
                  <c:v>26.12</c:v>
                </c:pt>
                <c:pt idx="9">
                  <c:v>25.88</c:v>
                </c:pt>
                <c:pt idx="10">
                  <c:v>25.65</c:v>
                </c:pt>
                <c:pt idx="11">
                  <c:v>25.42</c:v>
                </c:pt>
                <c:pt idx="12">
                  <c:v>25.21</c:v>
                </c:pt>
                <c:pt idx="13">
                  <c:v>25</c:v>
                </c:pt>
                <c:pt idx="14">
                  <c:v>24.79</c:v>
                </c:pt>
                <c:pt idx="15">
                  <c:v>24.59</c:v>
                </c:pt>
                <c:pt idx="16">
                  <c:v>24.39</c:v>
                </c:pt>
                <c:pt idx="17">
                  <c:v>24.19</c:v>
                </c:pt>
                <c:pt idx="18">
                  <c:v>24.01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DE-409C-B56F-E74035D545DF}"/>
            </c:ext>
          </c:extLst>
        </c:ser>
        <c:ser>
          <c:idx val="2"/>
          <c:order val="2"/>
          <c:tx>
            <c:v>Brent-Settle</c:v>
          </c:tx>
          <c:spPr>
            <a:ln w="12700">
              <a:solidFill>
                <a:srgbClr val="339933"/>
              </a:solidFill>
              <a:prstDash val="solid"/>
            </a:ln>
          </c:spPr>
          <c:marker>
            <c:symbol val="triangle"/>
            <c:size val="3"/>
            <c:spPr>
              <a:solidFill>
                <a:srgbClr val="339933"/>
              </a:solidFill>
              <a:ln>
                <a:solidFill>
                  <a:srgbClr val="339933"/>
                </a:solidFill>
                <a:prstDash val="solid"/>
              </a:ln>
            </c:spPr>
          </c:marker>
          <c:val>
            <c:numRef>
              <c:f>MAIN!$P$20:$P$38</c:f>
              <c:numCache>
                <c:formatCode>0.00</c:formatCode>
                <c:ptCount val="19"/>
                <c:pt idx="0">
                  <c:v>25.28</c:v>
                </c:pt>
                <c:pt idx="1">
                  <c:v>25.83</c:v>
                </c:pt>
                <c:pt idx="2">
                  <c:v>25.91</c:v>
                </c:pt>
                <c:pt idx="3">
                  <c:v>25.78</c:v>
                </c:pt>
                <c:pt idx="4">
                  <c:v>25.58</c:v>
                </c:pt>
                <c:pt idx="5">
                  <c:v>25.38</c:v>
                </c:pt>
                <c:pt idx="6">
                  <c:v>25.18</c:v>
                </c:pt>
                <c:pt idx="7">
                  <c:v>24.94</c:v>
                </c:pt>
                <c:pt idx="8">
                  <c:v>24.69</c:v>
                </c:pt>
                <c:pt idx="9">
                  <c:v>24.44</c:v>
                </c:pt>
                <c:pt idx="10">
                  <c:v>24.19</c:v>
                </c:pt>
                <c:pt idx="11">
                  <c:v>23.94</c:v>
                </c:pt>
                <c:pt idx="12">
                  <c:v>23.7</c:v>
                </c:pt>
                <c:pt idx="13">
                  <c:v>23.46</c:v>
                </c:pt>
                <c:pt idx="14">
                  <c:v>23.31</c:v>
                </c:pt>
                <c:pt idx="15">
                  <c:v>23.16</c:v>
                </c:pt>
                <c:pt idx="16">
                  <c:v>23.01</c:v>
                </c:pt>
                <c:pt idx="17">
                  <c:v>22.886666666666699</c:v>
                </c:pt>
                <c:pt idx="18">
                  <c:v>22.7633333333333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DE-409C-B56F-E74035D545DF}"/>
            </c:ext>
          </c:extLst>
        </c:ser>
        <c:ser>
          <c:idx val="3"/>
          <c:order val="3"/>
          <c:tx>
            <c:v>Brent-Curve</c:v>
          </c:tx>
          <c:spPr>
            <a:ln w="12700">
              <a:solidFill>
                <a:srgbClr val="336666"/>
              </a:solidFill>
              <a:prstDash val="solid"/>
            </a:ln>
          </c:spPr>
          <c:marker>
            <c:symbol val="triangle"/>
            <c:size val="3"/>
            <c:spPr>
              <a:solidFill>
                <a:srgbClr val="336666"/>
              </a:solidFill>
              <a:ln>
                <a:solidFill>
                  <a:srgbClr val="336666"/>
                </a:solidFill>
                <a:prstDash val="solid"/>
              </a:ln>
            </c:spPr>
          </c:marker>
          <c:val>
            <c:numRef>
              <c:f>MAIN!$R$20:$R$38</c:f>
              <c:numCache>
                <c:formatCode>0.00</c:formatCode>
                <c:ptCount val="19"/>
                <c:pt idx="0">
                  <c:v>25.28</c:v>
                </c:pt>
                <c:pt idx="1">
                  <c:v>25.83</c:v>
                </c:pt>
                <c:pt idx="2">
                  <c:v>25.91</c:v>
                </c:pt>
                <c:pt idx="3">
                  <c:v>25.78</c:v>
                </c:pt>
                <c:pt idx="4">
                  <c:v>25.58</c:v>
                </c:pt>
                <c:pt idx="5">
                  <c:v>25.38</c:v>
                </c:pt>
                <c:pt idx="6">
                  <c:v>25.18</c:v>
                </c:pt>
                <c:pt idx="7">
                  <c:v>24.94</c:v>
                </c:pt>
                <c:pt idx="8">
                  <c:v>24.69</c:v>
                </c:pt>
                <c:pt idx="9">
                  <c:v>24.44</c:v>
                </c:pt>
                <c:pt idx="10">
                  <c:v>24.19</c:v>
                </c:pt>
                <c:pt idx="11">
                  <c:v>23.94</c:v>
                </c:pt>
                <c:pt idx="12">
                  <c:v>23.700000000000003</c:v>
                </c:pt>
                <c:pt idx="13">
                  <c:v>23.46</c:v>
                </c:pt>
                <c:pt idx="14">
                  <c:v>23.310000000000002</c:v>
                </c:pt>
                <c:pt idx="15">
                  <c:v>23.16</c:v>
                </c:pt>
                <c:pt idx="16">
                  <c:v>23.01</c:v>
                </c:pt>
                <c:pt idx="17">
                  <c:v>22.886666666666667</c:v>
                </c:pt>
                <c:pt idx="18">
                  <c:v>22.763333333333335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DE-409C-B56F-E74035D545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486760"/>
        <c:axId val="1"/>
      </c:lineChart>
      <c:dateAx>
        <c:axId val="158486760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"/>
        <c:crosses val="autoZero"/>
        <c:auto val="1"/>
        <c:lblOffset val="100"/>
        <c:baseTimeUnit val="months"/>
      </c:dateAx>
      <c:valAx>
        <c:axId val="1"/>
        <c:scaling>
          <c:orientation val="minMax"/>
          <c:max val="32"/>
          <c:min val="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8486760"/>
        <c:crosses val="autoZero"/>
        <c:crossBetween val="between"/>
        <c:majorUnit val="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557814940581071"/>
          <c:y val="8.8957355004506494E-2"/>
          <c:w val="0.85594832386042419"/>
          <c:h val="0.76380625503869382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MAIN!$O$21:$O$260</c:f>
              <c:numCache>
                <c:formatCode>0.0000</c:formatCode>
                <c:ptCount val="240"/>
                <c:pt idx="0">
                  <c:v>0.37772659422797</c:v>
                </c:pt>
                <c:pt idx="1">
                  <c:v>0.36257358882234997</c:v>
                </c:pt>
                <c:pt idx="2">
                  <c:v>0.34865687482313995</c:v>
                </c:pt>
                <c:pt idx="3">
                  <c:v>0.33931401765001001</c:v>
                </c:pt>
                <c:pt idx="4">
                  <c:v>0.33044281792313995</c:v>
                </c:pt>
                <c:pt idx="5">
                  <c:v>0.32123456251913995</c:v>
                </c:pt>
                <c:pt idx="6">
                  <c:v>0.31420743607726997</c:v>
                </c:pt>
                <c:pt idx="7">
                  <c:v>0.30987214886874997</c:v>
                </c:pt>
                <c:pt idx="8">
                  <c:v>0.30424420231949995</c:v>
                </c:pt>
                <c:pt idx="9">
                  <c:v>0.29940294035068998</c:v>
                </c:pt>
                <c:pt idx="10">
                  <c:v>0.29371557677562998</c:v>
                </c:pt>
                <c:pt idx="11">
                  <c:v>0.28862214847280998</c:v>
                </c:pt>
                <c:pt idx="12">
                  <c:v>0.28364009498593001</c:v>
                </c:pt>
                <c:pt idx="13">
                  <c:v>0.27921058301033003</c:v>
                </c:pt>
                <c:pt idx="14">
                  <c:v>0.27552892254706002</c:v>
                </c:pt>
                <c:pt idx="15">
                  <c:v>0.27142845995784998</c:v>
                </c:pt>
                <c:pt idx="16">
                  <c:v>0.26770917885020995</c:v>
                </c:pt>
                <c:pt idx="17">
                  <c:v>0.26518223024776999</c:v>
                </c:pt>
                <c:pt idx="18">
                  <c:v>0.26074202896752996</c:v>
                </c:pt>
                <c:pt idx="19">
                  <c:v>0.25684864985985995</c:v>
                </c:pt>
                <c:pt idx="20">
                  <c:v>0.25136991805607001</c:v>
                </c:pt>
                <c:pt idx="21">
                  <c:v>0.24707531636721</c:v>
                </c:pt>
                <c:pt idx="22">
                  <c:v>0.24456180138500003</c:v>
                </c:pt>
                <c:pt idx="23">
                  <c:v>0.24197116884323</c:v>
                </c:pt>
                <c:pt idx="24">
                  <c:v>0.24046585831475997</c:v>
                </c:pt>
                <c:pt idx="25">
                  <c:v>0.23675873422687999</c:v>
                </c:pt>
                <c:pt idx="26">
                  <c:v>0.23459369127642998</c:v>
                </c:pt>
                <c:pt idx="27">
                  <c:v>0.23247872260037</c:v>
                </c:pt>
                <c:pt idx="28">
                  <c:v>0.23070316548305</c:v>
                </c:pt>
                <c:pt idx="29">
                  <c:v>0.22969941889567999</c:v>
                </c:pt>
                <c:pt idx="30">
                  <c:v>0.22612499915352</c:v>
                </c:pt>
                <c:pt idx="31">
                  <c:v>0.2251863053356</c:v>
                </c:pt>
                <c:pt idx="32">
                  <c:v>0.22194882337829999</c:v>
                </c:pt>
                <c:pt idx="33">
                  <c:v>0.22016831636207002</c:v>
                </c:pt>
                <c:pt idx="34">
                  <c:v>0.21812069615963997</c:v>
                </c:pt>
                <c:pt idx="35">
                  <c:v>0.21667969979395998</c:v>
                </c:pt>
                <c:pt idx="36">
                  <c:v>0.21521723338585</c:v>
                </c:pt>
                <c:pt idx="37">
                  <c:v>0.21281480987602</c:v>
                </c:pt>
                <c:pt idx="38">
                  <c:v>0.21342618021616996</c:v>
                </c:pt>
                <c:pt idx="39">
                  <c:v>0.2123639059156</c:v>
                </c:pt>
                <c:pt idx="40">
                  <c:v>0.21164936744984</c:v>
                </c:pt>
                <c:pt idx="41">
                  <c:v>0.21118642003070998</c:v>
                </c:pt>
                <c:pt idx="42">
                  <c:v>0.20867622039892</c:v>
                </c:pt>
                <c:pt idx="43">
                  <c:v>0.20873428694835999</c:v>
                </c:pt>
                <c:pt idx="44">
                  <c:v>0.20816412337467999</c:v>
                </c:pt>
                <c:pt idx="45">
                  <c:v>0.20768017508722</c:v>
                </c:pt>
                <c:pt idx="46">
                  <c:v>0.20663511305306997</c:v>
                </c:pt>
                <c:pt idx="47">
                  <c:v>0.20440264306441</c:v>
                </c:pt>
                <c:pt idx="48">
                  <c:v>0.20409970824802001</c:v>
                </c:pt>
                <c:pt idx="49">
                  <c:v>0.20339317284934999</c:v>
                </c:pt>
                <c:pt idx="50">
                  <c:v>0.20146519843114999</c:v>
                </c:pt>
                <c:pt idx="51">
                  <c:v>0.20085834101775998</c:v>
                </c:pt>
                <c:pt idx="52">
                  <c:v>0.20024812431803998</c:v>
                </c:pt>
                <c:pt idx="53">
                  <c:v>0.19933999999999999</c:v>
                </c:pt>
                <c:pt idx="54">
                  <c:v>0.19835999999999998</c:v>
                </c:pt>
                <c:pt idx="55">
                  <c:v>0.19688</c:v>
                </c:pt>
                <c:pt idx="56">
                  <c:v>0.19594999999999999</c:v>
                </c:pt>
                <c:pt idx="57">
                  <c:v>0.19444999999999998</c:v>
                </c:pt>
                <c:pt idx="58">
                  <c:v>0.19384999999999999</c:v>
                </c:pt>
                <c:pt idx="59">
                  <c:v>0.19334999999999999</c:v>
                </c:pt>
                <c:pt idx="60">
                  <c:v>0.19294999999999998</c:v>
                </c:pt>
                <c:pt idx="61">
                  <c:v>0.19205</c:v>
                </c:pt>
                <c:pt idx="62">
                  <c:v>0.19114999999999999</c:v>
                </c:pt>
                <c:pt idx="63">
                  <c:v>0.19025</c:v>
                </c:pt>
                <c:pt idx="64">
                  <c:v>0.18925</c:v>
                </c:pt>
                <c:pt idx="65">
                  <c:v>0.18814999999999998</c:v>
                </c:pt>
                <c:pt idx="66">
                  <c:v>0.18725</c:v>
                </c:pt>
                <c:pt idx="67">
                  <c:v>0.18634999999999999</c:v>
                </c:pt>
                <c:pt idx="68">
                  <c:v>0.18554999999999999</c:v>
                </c:pt>
                <c:pt idx="69">
                  <c:v>0.18495</c:v>
                </c:pt>
                <c:pt idx="70">
                  <c:v>0.18484999999999999</c:v>
                </c:pt>
                <c:pt idx="71">
                  <c:v>0.18425</c:v>
                </c:pt>
                <c:pt idx="72">
                  <c:v>0.18364999999999998</c:v>
                </c:pt>
                <c:pt idx="73">
                  <c:v>0.18304999999999999</c:v>
                </c:pt>
                <c:pt idx="74">
                  <c:v>0.18245</c:v>
                </c:pt>
                <c:pt idx="75">
                  <c:v>0.18164999999999998</c:v>
                </c:pt>
                <c:pt idx="76">
                  <c:v>0.18084999999999998</c:v>
                </c:pt>
                <c:pt idx="77">
                  <c:v>0.18004999999999999</c:v>
                </c:pt>
                <c:pt idx="78">
                  <c:v>0.17924999999999999</c:v>
                </c:pt>
                <c:pt idx="79">
                  <c:v>0.17845</c:v>
                </c:pt>
                <c:pt idx="80">
                  <c:v>0.17734999999999998</c:v>
                </c:pt>
                <c:pt idx="81">
                  <c:v>0.17674999999999999</c:v>
                </c:pt>
                <c:pt idx="82">
                  <c:v>0.17604999999999998</c:v>
                </c:pt>
                <c:pt idx="83">
                  <c:v>0.17535000000000001</c:v>
                </c:pt>
                <c:pt idx="84">
                  <c:v>0.17465</c:v>
                </c:pt>
                <c:pt idx="85">
                  <c:v>0.17385</c:v>
                </c:pt>
                <c:pt idx="86">
                  <c:v>0.17304999999999998</c:v>
                </c:pt>
                <c:pt idx="87">
                  <c:v>0.17249999999999999</c:v>
                </c:pt>
                <c:pt idx="88">
                  <c:v>0.17194999999999999</c:v>
                </c:pt>
                <c:pt idx="89">
                  <c:v>0.1714</c:v>
                </c:pt>
                <c:pt idx="90">
                  <c:v>0.17085</c:v>
                </c:pt>
                <c:pt idx="91">
                  <c:v>0.17020000000000002</c:v>
                </c:pt>
                <c:pt idx="92">
                  <c:v>0.16954999999999998</c:v>
                </c:pt>
                <c:pt idx="93">
                  <c:v>0.16889999999999999</c:v>
                </c:pt>
                <c:pt idx="94">
                  <c:v>0.16824999999999998</c:v>
                </c:pt>
                <c:pt idx="95">
                  <c:v>0.1678</c:v>
                </c:pt>
                <c:pt idx="96">
                  <c:v>0.16735</c:v>
                </c:pt>
                <c:pt idx="97">
                  <c:v>0.16690000000000002</c:v>
                </c:pt>
                <c:pt idx="98">
                  <c:v>0.16644999999999999</c:v>
                </c:pt>
                <c:pt idx="99">
                  <c:v>0.16600000000000001</c:v>
                </c:pt>
                <c:pt idx="100">
                  <c:v>0.16555</c:v>
                </c:pt>
                <c:pt idx="101">
                  <c:v>0.1651</c:v>
                </c:pt>
                <c:pt idx="102">
                  <c:v>0.16474999999999998</c:v>
                </c:pt>
                <c:pt idx="103">
                  <c:v>0.16440000000000002</c:v>
                </c:pt>
                <c:pt idx="104">
                  <c:v>0.16405</c:v>
                </c:pt>
                <c:pt idx="105">
                  <c:v>0.16390000000000002</c:v>
                </c:pt>
                <c:pt idx="106">
                  <c:v>0.1638</c:v>
                </c:pt>
                <c:pt idx="107">
                  <c:v>0.16370000000000001</c:v>
                </c:pt>
                <c:pt idx="108">
                  <c:v>0.1636</c:v>
                </c:pt>
                <c:pt idx="109">
                  <c:v>0.16350000000000001</c:v>
                </c:pt>
                <c:pt idx="110">
                  <c:v>0.16340000000000002</c:v>
                </c:pt>
                <c:pt idx="111">
                  <c:v>0.1633</c:v>
                </c:pt>
                <c:pt idx="112">
                  <c:v>0.16320000000000001</c:v>
                </c:pt>
                <c:pt idx="113">
                  <c:v>0.16309999999999999</c:v>
                </c:pt>
                <c:pt idx="114">
                  <c:v>0.16300000000000001</c:v>
                </c:pt>
                <c:pt idx="115">
                  <c:v>0.16290000000000002</c:v>
                </c:pt>
                <c:pt idx="116">
                  <c:v>0.1628</c:v>
                </c:pt>
                <c:pt idx="117">
                  <c:v>0.16270000000000001</c:v>
                </c:pt>
                <c:pt idx="118">
                  <c:v>0.16259999999999999</c:v>
                </c:pt>
                <c:pt idx="119">
                  <c:v>0.16250000000000001</c:v>
                </c:pt>
                <c:pt idx="120">
                  <c:v>0.16240000000000002</c:v>
                </c:pt>
                <c:pt idx="121">
                  <c:v>0.1623</c:v>
                </c:pt>
                <c:pt idx="122">
                  <c:v>0.16220000000000001</c:v>
                </c:pt>
                <c:pt idx="123">
                  <c:v>0.16209999999999999</c:v>
                </c:pt>
                <c:pt idx="124">
                  <c:v>0.16160000000000002</c:v>
                </c:pt>
                <c:pt idx="125">
                  <c:v>0.16110000000000002</c:v>
                </c:pt>
                <c:pt idx="126">
                  <c:v>0.16060000000000002</c:v>
                </c:pt>
                <c:pt idx="127">
                  <c:v>0.16010000000000002</c:v>
                </c:pt>
                <c:pt idx="128">
                  <c:v>0.15960000000000002</c:v>
                </c:pt>
                <c:pt idx="129">
                  <c:v>0.15910000000000002</c:v>
                </c:pt>
                <c:pt idx="130">
                  <c:v>0.15870000000000001</c:v>
                </c:pt>
                <c:pt idx="131">
                  <c:v>0.1583</c:v>
                </c:pt>
                <c:pt idx="132">
                  <c:v>0.15790000000000001</c:v>
                </c:pt>
                <c:pt idx="133">
                  <c:v>0.1575</c:v>
                </c:pt>
                <c:pt idx="134">
                  <c:v>0.15710000000000002</c:v>
                </c:pt>
                <c:pt idx="135">
                  <c:v>0.15670000000000001</c:v>
                </c:pt>
                <c:pt idx="136">
                  <c:v>0.15629999999999999</c:v>
                </c:pt>
                <c:pt idx="137">
                  <c:v>0.15590000000000001</c:v>
                </c:pt>
                <c:pt idx="138">
                  <c:v>0.1555</c:v>
                </c:pt>
                <c:pt idx="139">
                  <c:v>0.15510000000000002</c:v>
                </c:pt>
                <c:pt idx="140">
                  <c:v>0.1547</c:v>
                </c:pt>
                <c:pt idx="141">
                  <c:v>0.15430000000000002</c:v>
                </c:pt>
                <c:pt idx="142">
                  <c:v>0.15390000000000001</c:v>
                </c:pt>
                <c:pt idx="143">
                  <c:v>0.1535</c:v>
                </c:pt>
                <c:pt idx="144">
                  <c:v>0.15310000000000001</c:v>
                </c:pt>
                <c:pt idx="145">
                  <c:v>0.1527</c:v>
                </c:pt>
                <c:pt idx="146">
                  <c:v>0.15230000000000002</c:v>
                </c:pt>
                <c:pt idx="147">
                  <c:v>0.15190000000000001</c:v>
                </c:pt>
                <c:pt idx="148">
                  <c:v>0.1515</c:v>
                </c:pt>
                <c:pt idx="149">
                  <c:v>0.15110000000000001</c:v>
                </c:pt>
                <c:pt idx="150">
                  <c:v>0.1507</c:v>
                </c:pt>
                <c:pt idx="151">
                  <c:v>0.15030000000000002</c:v>
                </c:pt>
                <c:pt idx="152">
                  <c:v>0.14990000000000001</c:v>
                </c:pt>
                <c:pt idx="153">
                  <c:v>0.14949999999999999</c:v>
                </c:pt>
                <c:pt idx="154">
                  <c:v>0.14910000000000001</c:v>
                </c:pt>
                <c:pt idx="155">
                  <c:v>0.1487</c:v>
                </c:pt>
                <c:pt idx="156">
                  <c:v>0.14830000000000002</c:v>
                </c:pt>
                <c:pt idx="157">
                  <c:v>0.1479</c:v>
                </c:pt>
                <c:pt idx="158">
                  <c:v>0.14749999999999999</c:v>
                </c:pt>
                <c:pt idx="159">
                  <c:v>0.14710000000000001</c:v>
                </c:pt>
                <c:pt idx="160">
                  <c:v>0.1467</c:v>
                </c:pt>
                <c:pt idx="161">
                  <c:v>0.14630000000000001</c:v>
                </c:pt>
                <c:pt idx="162">
                  <c:v>0.1459</c:v>
                </c:pt>
                <c:pt idx="163">
                  <c:v>0.14550000000000002</c:v>
                </c:pt>
                <c:pt idx="164">
                  <c:v>0.14510000000000001</c:v>
                </c:pt>
                <c:pt idx="165">
                  <c:v>0.1447</c:v>
                </c:pt>
                <c:pt idx="166">
                  <c:v>0.14430000000000001</c:v>
                </c:pt>
                <c:pt idx="167">
                  <c:v>0.1439</c:v>
                </c:pt>
                <c:pt idx="168">
                  <c:v>0.14350000000000002</c:v>
                </c:pt>
                <c:pt idx="169">
                  <c:v>0.1431</c:v>
                </c:pt>
                <c:pt idx="170">
                  <c:v>0.14269999999999999</c:v>
                </c:pt>
                <c:pt idx="171">
                  <c:v>0.14230000000000001</c:v>
                </c:pt>
                <c:pt idx="172">
                  <c:v>0.1419</c:v>
                </c:pt>
                <c:pt idx="173">
                  <c:v>0.14150000000000001</c:v>
                </c:pt>
                <c:pt idx="174">
                  <c:v>0.1411</c:v>
                </c:pt>
                <c:pt idx="175">
                  <c:v>0.14070000000000002</c:v>
                </c:pt>
                <c:pt idx="176">
                  <c:v>0.14030000000000001</c:v>
                </c:pt>
                <c:pt idx="177">
                  <c:v>0.1399</c:v>
                </c:pt>
                <c:pt idx="178">
                  <c:v>0.13950000000000001</c:v>
                </c:pt>
                <c:pt idx="179">
                  <c:v>0.1391</c:v>
                </c:pt>
                <c:pt idx="180">
                  <c:v>0.13870000000000002</c:v>
                </c:pt>
                <c:pt idx="181">
                  <c:v>0.13830000000000001</c:v>
                </c:pt>
                <c:pt idx="182">
                  <c:v>0.13789999999999999</c:v>
                </c:pt>
                <c:pt idx="183">
                  <c:v>0.13750000000000001</c:v>
                </c:pt>
                <c:pt idx="184">
                  <c:v>0.1371</c:v>
                </c:pt>
                <c:pt idx="185">
                  <c:v>0.13670000000000002</c:v>
                </c:pt>
                <c:pt idx="186">
                  <c:v>0.1363</c:v>
                </c:pt>
                <c:pt idx="187">
                  <c:v>0.13589999999999999</c:v>
                </c:pt>
                <c:pt idx="188">
                  <c:v>0.13550000000000001</c:v>
                </c:pt>
                <c:pt idx="189">
                  <c:v>0.1351</c:v>
                </c:pt>
                <c:pt idx="190">
                  <c:v>0.13470000000000001</c:v>
                </c:pt>
                <c:pt idx="191">
                  <c:v>0.1343</c:v>
                </c:pt>
                <c:pt idx="192">
                  <c:v>0.13390000000000002</c:v>
                </c:pt>
                <c:pt idx="193">
                  <c:v>0.13350000000000001</c:v>
                </c:pt>
                <c:pt idx="194">
                  <c:v>0.1331</c:v>
                </c:pt>
                <c:pt idx="195">
                  <c:v>0.13270000000000001</c:v>
                </c:pt>
                <c:pt idx="196">
                  <c:v>0.1323</c:v>
                </c:pt>
                <c:pt idx="197">
                  <c:v>0.13190000000000002</c:v>
                </c:pt>
                <c:pt idx="198">
                  <c:v>0.13150000000000001</c:v>
                </c:pt>
                <c:pt idx="199">
                  <c:v>0.13109999999999999</c:v>
                </c:pt>
                <c:pt idx="200">
                  <c:v>0.13070000000000001</c:v>
                </c:pt>
                <c:pt idx="201">
                  <c:v>0.1303</c:v>
                </c:pt>
                <c:pt idx="202">
                  <c:v>0.12990000000000002</c:v>
                </c:pt>
                <c:pt idx="203">
                  <c:v>0.1295</c:v>
                </c:pt>
                <c:pt idx="204">
                  <c:v>0.12909999999999999</c:v>
                </c:pt>
                <c:pt idx="205">
                  <c:v>0.12870000000000001</c:v>
                </c:pt>
                <c:pt idx="206">
                  <c:v>0.1283</c:v>
                </c:pt>
                <c:pt idx="207">
                  <c:v>0.12790000000000001</c:v>
                </c:pt>
                <c:pt idx="208">
                  <c:v>0.1275</c:v>
                </c:pt>
                <c:pt idx="209">
                  <c:v>0.12710000000000002</c:v>
                </c:pt>
                <c:pt idx="210">
                  <c:v>0.12670000000000001</c:v>
                </c:pt>
                <c:pt idx="211">
                  <c:v>0.1263</c:v>
                </c:pt>
                <c:pt idx="212">
                  <c:v>0.12590000000000001</c:v>
                </c:pt>
                <c:pt idx="213">
                  <c:v>0.1255</c:v>
                </c:pt>
                <c:pt idx="214">
                  <c:v>0.12510000000000002</c:v>
                </c:pt>
                <c:pt idx="215">
                  <c:v>0.12470000000000001</c:v>
                </c:pt>
                <c:pt idx="216">
                  <c:v>0.12430000000000001</c:v>
                </c:pt>
                <c:pt idx="217">
                  <c:v>0.12390000000000001</c:v>
                </c:pt>
                <c:pt idx="218">
                  <c:v>0.12350000000000001</c:v>
                </c:pt>
                <c:pt idx="219">
                  <c:v>0.1231</c:v>
                </c:pt>
                <c:pt idx="220">
                  <c:v>0.1227</c:v>
                </c:pt>
                <c:pt idx="221">
                  <c:v>0.12230000000000001</c:v>
                </c:pt>
                <c:pt idx="222">
                  <c:v>0.12190000000000001</c:v>
                </c:pt>
                <c:pt idx="223">
                  <c:v>0.12150000000000001</c:v>
                </c:pt>
                <c:pt idx="224">
                  <c:v>0.1211</c:v>
                </c:pt>
                <c:pt idx="225">
                  <c:v>0.1211</c:v>
                </c:pt>
                <c:pt idx="226">
                  <c:v>0.1211</c:v>
                </c:pt>
                <c:pt idx="227">
                  <c:v>0.1211</c:v>
                </c:pt>
                <c:pt idx="228">
                  <c:v>0.1211</c:v>
                </c:pt>
                <c:pt idx="229">
                  <c:v>0.1211</c:v>
                </c:pt>
                <c:pt idx="230">
                  <c:v>0.1211</c:v>
                </c:pt>
                <c:pt idx="231">
                  <c:v>0.1211</c:v>
                </c:pt>
                <c:pt idx="232">
                  <c:v>0.1211</c:v>
                </c:pt>
                <c:pt idx="233">
                  <c:v>0.1211</c:v>
                </c:pt>
                <c:pt idx="234">
                  <c:v>0.1211</c:v>
                </c:pt>
                <c:pt idx="235">
                  <c:v>0.1211</c:v>
                </c:pt>
                <c:pt idx="236">
                  <c:v>0.1211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32-44B6-A0F5-2BADE72C2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493648"/>
        <c:axId val="1"/>
      </c:lineChart>
      <c:catAx>
        <c:axId val="158493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84936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367920489964591"/>
          <c:y val="0.10320325047144954"/>
          <c:w val="0.86789527972445524"/>
          <c:h val="0.72598148607502433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MAIN!$L$21:$L$260</c:f>
              <c:numCache>
                <c:formatCode>0.00</c:formatCode>
                <c:ptCount val="240"/>
                <c:pt idx="0">
                  <c:v>27.59</c:v>
                </c:pt>
                <c:pt idx="1">
                  <c:v>27.69</c:v>
                </c:pt>
                <c:pt idx="2">
                  <c:v>27.5</c:v>
                </c:pt>
                <c:pt idx="3">
                  <c:v>27.22</c:v>
                </c:pt>
                <c:pt idx="4">
                  <c:v>26.93</c:v>
                </c:pt>
                <c:pt idx="5">
                  <c:v>26.64</c:v>
                </c:pt>
                <c:pt idx="6">
                  <c:v>26.37</c:v>
                </c:pt>
                <c:pt idx="7">
                  <c:v>26.12</c:v>
                </c:pt>
                <c:pt idx="8">
                  <c:v>25.88</c:v>
                </c:pt>
                <c:pt idx="9">
                  <c:v>25.65</c:v>
                </c:pt>
                <c:pt idx="10">
                  <c:v>25.42</c:v>
                </c:pt>
                <c:pt idx="11">
                  <c:v>25.21</c:v>
                </c:pt>
                <c:pt idx="12">
                  <c:v>25</c:v>
                </c:pt>
                <c:pt idx="13">
                  <c:v>24.79</c:v>
                </c:pt>
                <c:pt idx="14">
                  <c:v>24.59</c:v>
                </c:pt>
                <c:pt idx="15">
                  <c:v>24.39</c:v>
                </c:pt>
                <c:pt idx="16">
                  <c:v>24.19</c:v>
                </c:pt>
                <c:pt idx="17">
                  <c:v>24.01</c:v>
                </c:pt>
                <c:pt idx="18">
                  <c:v>23.84</c:v>
                </c:pt>
                <c:pt idx="19">
                  <c:v>23.68</c:v>
                </c:pt>
                <c:pt idx="20">
                  <c:v>23.54</c:v>
                </c:pt>
                <c:pt idx="21">
                  <c:v>23.4</c:v>
                </c:pt>
                <c:pt idx="22">
                  <c:v>23.28</c:v>
                </c:pt>
                <c:pt idx="23">
                  <c:v>23.17</c:v>
                </c:pt>
                <c:pt idx="24">
                  <c:v>23.07</c:v>
                </c:pt>
                <c:pt idx="25">
                  <c:v>22.99</c:v>
                </c:pt>
                <c:pt idx="26">
                  <c:v>22.91</c:v>
                </c:pt>
                <c:pt idx="27">
                  <c:v>22.84</c:v>
                </c:pt>
                <c:pt idx="28">
                  <c:v>22.77333333333333</c:v>
                </c:pt>
                <c:pt idx="29">
                  <c:v>22.706666666666667</c:v>
                </c:pt>
                <c:pt idx="30">
                  <c:v>22.64</c:v>
                </c:pt>
                <c:pt idx="31">
                  <c:v>22.609166666666667</c:v>
                </c:pt>
                <c:pt idx="32">
                  <c:v>22.578333333333333</c:v>
                </c:pt>
                <c:pt idx="33">
                  <c:v>22.547499999999999</c:v>
                </c:pt>
                <c:pt idx="34">
                  <c:v>22.516666666666666</c:v>
                </c:pt>
                <c:pt idx="35">
                  <c:v>22.485833333333336</c:v>
                </c:pt>
                <c:pt idx="36">
                  <c:v>22.455000000000002</c:v>
                </c:pt>
                <c:pt idx="37">
                  <c:v>22.424166666666665</c:v>
                </c:pt>
                <c:pt idx="38">
                  <c:v>22.393333333333334</c:v>
                </c:pt>
                <c:pt idx="39">
                  <c:v>22.362500000000001</c:v>
                </c:pt>
                <c:pt idx="40">
                  <c:v>22.331666666666667</c:v>
                </c:pt>
                <c:pt idx="41">
                  <c:v>22.300833333333333</c:v>
                </c:pt>
                <c:pt idx="42">
                  <c:v>22.27</c:v>
                </c:pt>
                <c:pt idx="43">
                  <c:v>22.244166666666668</c:v>
                </c:pt>
                <c:pt idx="44">
                  <c:v>22.218333333333334</c:v>
                </c:pt>
                <c:pt idx="45">
                  <c:v>22.192499999999999</c:v>
                </c:pt>
                <c:pt idx="46">
                  <c:v>22.166666666666668</c:v>
                </c:pt>
                <c:pt idx="47">
                  <c:v>22.140833333333333</c:v>
                </c:pt>
                <c:pt idx="48">
                  <c:v>22.114999999999998</c:v>
                </c:pt>
                <c:pt idx="49">
                  <c:v>22.089166666666667</c:v>
                </c:pt>
                <c:pt idx="50">
                  <c:v>22.063333333333333</c:v>
                </c:pt>
                <c:pt idx="51">
                  <c:v>22.037500000000005</c:v>
                </c:pt>
                <c:pt idx="52">
                  <c:v>22.01166666666667</c:v>
                </c:pt>
                <c:pt idx="53">
                  <c:v>21.985833333333332</c:v>
                </c:pt>
                <c:pt idx="54">
                  <c:v>21.96</c:v>
                </c:pt>
                <c:pt idx="55">
                  <c:v>21.935000000000002</c:v>
                </c:pt>
                <c:pt idx="56">
                  <c:v>21.91</c:v>
                </c:pt>
                <c:pt idx="57">
                  <c:v>21.885000000000002</c:v>
                </c:pt>
                <c:pt idx="58">
                  <c:v>21.86</c:v>
                </c:pt>
                <c:pt idx="59">
                  <c:v>21.834999999999997</c:v>
                </c:pt>
                <c:pt idx="60">
                  <c:v>21.810000000000002</c:v>
                </c:pt>
                <c:pt idx="61">
                  <c:v>21.785</c:v>
                </c:pt>
                <c:pt idx="62">
                  <c:v>21.76</c:v>
                </c:pt>
                <c:pt idx="63">
                  <c:v>21.734999999999999</c:v>
                </c:pt>
                <c:pt idx="64">
                  <c:v>21.709999999999997</c:v>
                </c:pt>
                <c:pt idx="65">
                  <c:v>21.684999999999999</c:v>
                </c:pt>
                <c:pt idx="66">
                  <c:v>21.66</c:v>
                </c:pt>
                <c:pt idx="67">
                  <c:v>21.66</c:v>
                </c:pt>
                <c:pt idx="68">
                  <c:v>21.66</c:v>
                </c:pt>
                <c:pt idx="69">
                  <c:v>21.66</c:v>
                </c:pt>
                <c:pt idx="70">
                  <c:v>21.66</c:v>
                </c:pt>
                <c:pt idx="71">
                  <c:v>21.66</c:v>
                </c:pt>
                <c:pt idx="72">
                  <c:v>21.66</c:v>
                </c:pt>
                <c:pt idx="73">
                  <c:v>21.66</c:v>
                </c:pt>
                <c:pt idx="74">
                  <c:v>21.66</c:v>
                </c:pt>
                <c:pt idx="75">
                  <c:v>21.66</c:v>
                </c:pt>
                <c:pt idx="76">
                  <c:v>21.66</c:v>
                </c:pt>
                <c:pt idx="77">
                  <c:v>21.66</c:v>
                </c:pt>
                <c:pt idx="78">
                  <c:v>21.66</c:v>
                </c:pt>
                <c:pt idx="79">
                  <c:v>21.676666666666666</c:v>
                </c:pt>
                <c:pt idx="80">
                  <c:v>21.693333333333332</c:v>
                </c:pt>
                <c:pt idx="81">
                  <c:v>21.709999999999997</c:v>
                </c:pt>
                <c:pt idx="82">
                  <c:v>21.726666666666663</c:v>
                </c:pt>
                <c:pt idx="83">
                  <c:v>21.743333333333329</c:v>
                </c:pt>
                <c:pt idx="84">
                  <c:v>21.759999999999994</c:v>
                </c:pt>
                <c:pt idx="85">
                  <c:v>21.77666666666666</c:v>
                </c:pt>
                <c:pt idx="86">
                  <c:v>21.793333333333326</c:v>
                </c:pt>
                <c:pt idx="87">
                  <c:v>21.809999999999992</c:v>
                </c:pt>
                <c:pt idx="88">
                  <c:v>21.826666666666657</c:v>
                </c:pt>
                <c:pt idx="89">
                  <c:v>21.843333333333323</c:v>
                </c:pt>
                <c:pt idx="90">
                  <c:v>21.859999999999989</c:v>
                </c:pt>
                <c:pt idx="91">
                  <c:v>21.876666666666654</c:v>
                </c:pt>
                <c:pt idx="92">
                  <c:v>21.89333333333332</c:v>
                </c:pt>
                <c:pt idx="93">
                  <c:v>21.909999999999986</c:v>
                </c:pt>
                <c:pt idx="94">
                  <c:v>21.926666666666652</c:v>
                </c:pt>
                <c:pt idx="95">
                  <c:v>21.943333333333317</c:v>
                </c:pt>
                <c:pt idx="96">
                  <c:v>21.959999999999983</c:v>
                </c:pt>
                <c:pt idx="97">
                  <c:v>21.976666666666649</c:v>
                </c:pt>
                <c:pt idx="98">
                  <c:v>21.993333333333315</c:v>
                </c:pt>
                <c:pt idx="99">
                  <c:v>22.00999999999998</c:v>
                </c:pt>
                <c:pt idx="100">
                  <c:v>22.026666666666646</c:v>
                </c:pt>
                <c:pt idx="101">
                  <c:v>22.043333333333312</c:v>
                </c:pt>
                <c:pt idx="102">
                  <c:v>22.059999999999977</c:v>
                </c:pt>
                <c:pt idx="103">
                  <c:v>22.076666666666643</c:v>
                </c:pt>
                <c:pt idx="104">
                  <c:v>22.093333333333309</c:v>
                </c:pt>
                <c:pt idx="105">
                  <c:v>22.109999999999975</c:v>
                </c:pt>
                <c:pt idx="106">
                  <c:v>22.12666666666664</c:v>
                </c:pt>
                <c:pt idx="107">
                  <c:v>22.143333333333306</c:v>
                </c:pt>
                <c:pt idx="108">
                  <c:v>22.159999999999972</c:v>
                </c:pt>
                <c:pt idx="109">
                  <c:v>22.176666666666637</c:v>
                </c:pt>
                <c:pt idx="110">
                  <c:v>22.193333333333303</c:v>
                </c:pt>
                <c:pt idx="111">
                  <c:v>22.209999999999969</c:v>
                </c:pt>
                <c:pt idx="112">
                  <c:v>22.226666666666635</c:v>
                </c:pt>
                <c:pt idx="113">
                  <c:v>22.2433333333333</c:v>
                </c:pt>
                <c:pt idx="114">
                  <c:v>22.259999999999966</c:v>
                </c:pt>
                <c:pt idx="115">
                  <c:v>22.284999999999965</c:v>
                </c:pt>
                <c:pt idx="116">
                  <c:v>22.309999999999963</c:v>
                </c:pt>
                <c:pt idx="117">
                  <c:v>22.334999999999962</c:v>
                </c:pt>
                <c:pt idx="118">
                  <c:v>22.35999999999996</c:v>
                </c:pt>
                <c:pt idx="119">
                  <c:v>22.384999999999959</c:v>
                </c:pt>
                <c:pt idx="120">
                  <c:v>22.409999999999958</c:v>
                </c:pt>
                <c:pt idx="121">
                  <c:v>22.434999999999956</c:v>
                </c:pt>
                <c:pt idx="122">
                  <c:v>22.459999999999955</c:v>
                </c:pt>
                <c:pt idx="123">
                  <c:v>22.484999999999953</c:v>
                </c:pt>
                <c:pt idx="124">
                  <c:v>22.509999999999952</c:v>
                </c:pt>
                <c:pt idx="125">
                  <c:v>22.53499999999995</c:v>
                </c:pt>
                <c:pt idx="126">
                  <c:v>22.559999999999949</c:v>
                </c:pt>
                <c:pt idx="127">
                  <c:v>22.584999999999948</c:v>
                </c:pt>
                <c:pt idx="128">
                  <c:v>22.609999999999946</c:v>
                </c:pt>
                <c:pt idx="129">
                  <c:v>22.634999999999945</c:v>
                </c:pt>
                <c:pt idx="130">
                  <c:v>22.659999999999943</c:v>
                </c:pt>
                <c:pt idx="131">
                  <c:v>22.684999999999942</c:v>
                </c:pt>
                <c:pt idx="132">
                  <c:v>22.70999999999994</c:v>
                </c:pt>
                <c:pt idx="133">
                  <c:v>22.734999999999939</c:v>
                </c:pt>
                <c:pt idx="134">
                  <c:v>22.759999999999938</c:v>
                </c:pt>
                <c:pt idx="135">
                  <c:v>22.784999999999936</c:v>
                </c:pt>
                <c:pt idx="136">
                  <c:v>22.809999999999935</c:v>
                </c:pt>
                <c:pt idx="137">
                  <c:v>22.834999999999933</c:v>
                </c:pt>
                <c:pt idx="138">
                  <c:v>22.859999999999932</c:v>
                </c:pt>
                <c:pt idx="139">
                  <c:v>22.884999999999931</c:v>
                </c:pt>
                <c:pt idx="140">
                  <c:v>22.909999999999929</c:v>
                </c:pt>
                <c:pt idx="141">
                  <c:v>22.934999999999928</c:v>
                </c:pt>
                <c:pt idx="142">
                  <c:v>22.959999999999926</c:v>
                </c:pt>
                <c:pt idx="143">
                  <c:v>22.984999999999925</c:v>
                </c:pt>
                <c:pt idx="144">
                  <c:v>23.009999999999923</c:v>
                </c:pt>
                <c:pt idx="145">
                  <c:v>23.034999999999922</c:v>
                </c:pt>
                <c:pt idx="146">
                  <c:v>23.059999999999921</c:v>
                </c:pt>
                <c:pt idx="147">
                  <c:v>23.084999999999919</c:v>
                </c:pt>
                <c:pt idx="148">
                  <c:v>23.109999999999918</c:v>
                </c:pt>
                <c:pt idx="149">
                  <c:v>23.134999999999916</c:v>
                </c:pt>
                <c:pt idx="150">
                  <c:v>23.159999999999915</c:v>
                </c:pt>
                <c:pt idx="151">
                  <c:v>23.184999999999913</c:v>
                </c:pt>
                <c:pt idx="152">
                  <c:v>23.209999999999912</c:v>
                </c:pt>
                <c:pt idx="153">
                  <c:v>23.234999999999911</c:v>
                </c:pt>
                <c:pt idx="154">
                  <c:v>23.259999999999909</c:v>
                </c:pt>
                <c:pt idx="155">
                  <c:v>23.284999999999908</c:v>
                </c:pt>
                <c:pt idx="156">
                  <c:v>23.309999999999906</c:v>
                </c:pt>
                <c:pt idx="157">
                  <c:v>23.334999999999905</c:v>
                </c:pt>
                <c:pt idx="158">
                  <c:v>23.359999999999904</c:v>
                </c:pt>
                <c:pt idx="159">
                  <c:v>23.384999999999902</c:v>
                </c:pt>
                <c:pt idx="160">
                  <c:v>23.409999999999901</c:v>
                </c:pt>
                <c:pt idx="161">
                  <c:v>23.434999999999899</c:v>
                </c:pt>
                <c:pt idx="162">
                  <c:v>23.459999999999898</c:v>
                </c:pt>
                <c:pt idx="163">
                  <c:v>23.484999999999896</c:v>
                </c:pt>
                <c:pt idx="164">
                  <c:v>23.509999999999895</c:v>
                </c:pt>
                <c:pt idx="165">
                  <c:v>23.534999999999894</c:v>
                </c:pt>
                <c:pt idx="166">
                  <c:v>23.559999999999892</c:v>
                </c:pt>
                <c:pt idx="167">
                  <c:v>23.584999999999891</c:v>
                </c:pt>
                <c:pt idx="168">
                  <c:v>23.609999999999889</c:v>
                </c:pt>
                <c:pt idx="169">
                  <c:v>23.634999999999888</c:v>
                </c:pt>
                <c:pt idx="170">
                  <c:v>23.659999999999886</c:v>
                </c:pt>
                <c:pt idx="171">
                  <c:v>23.684999999999885</c:v>
                </c:pt>
                <c:pt idx="172">
                  <c:v>23.709999999999884</c:v>
                </c:pt>
                <c:pt idx="173">
                  <c:v>23.734999999999882</c:v>
                </c:pt>
                <c:pt idx="174">
                  <c:v>23.759999999999881</c:v>
                </c:pt>
                <c:pt idx="175">
                  <c:v>23.784999999999879</c:v>
                </c:pt>
                <c:pt idx="176">
                  <c:v>23.809999999999878</c:v>
                </c:pt>
                <c:pt idx="177">
                  <c:v>23.834999999999877</c:v>
                </c:pt>
                <c:pt idx="178">
                  <c:v>23.859999999999875</c:v>
                </c:pt>
                <c:pt idx="179">
                  <c:v>23.884999999999874</c:v>
                </c:pt>
                <c:pt idx="180">
                  <c:v>23.909999999999872</c:v>
                </c:pt>
                <c:pt idx="181">
                  <c:v>23.934999999999871</c:v>
                </c:pt>
                <c:pt idx="182">
                  <c:v>23.959999999999869</c:v>
                </c:pt>
                <c:pt idx="183">
                  <c:v>23.984999999999868</c:v>
                </c:pt>
                <c:pt idx="184">
                  <c:v>24.009999999999867</c:v>
                </c:pt>
                <c:pt idx="185">
                  <c:v>24.034999999999865</c:v>
                </c:pt>
                <c:pt idx="186">
                  <c:v>24.059999999999864</c:v>
                </c:pt>
                <c:pt idx="187">
                  <c:v>24.084999999999862</c:v>
                </c:pt>
                <c:pt idx="188">
                  <c:v>24.109999999999861</c:v>
                </c:pt>
                <c:pt idx="189">
                  <c:v>24.134999999999859</c:v>
                </c:pt>
                <c:pt idx="190">
                  <c:v>24.159999999999858</c:v>
                </c:pt>
                <c:pt idx="191">
                  <c:v>24.184999999999857</c:v>
                </c:pt>
                <c:pt idx="192">
                  <c:v>24.209999999999855</c:v>
                </c:pt>
                <c:pt idx="193">
                  <c:v>24.234999999999854</c:v>
                </c:pt>
                <c:pt idx="194">
                  <c:v>24.259999999999852</c:v>
                </c:pt>
                <c:pt idx="195">
                  <c:v>24.284999999999851</c:v>
                </c:pt>
                <c:pt idx="196">
                  <c:v>24.30999999999985</c:v>
                </c:pt>
                <c:pt idx="197">
                  <c:v>24.334999999999848</c:v>
                </c:pt>
                <c:pt idx="198">
                  <c:v>24.359999999999847</c:v>
                </c:pt>
                <c:pt idx="199">
                  <c:v>24.384999999999845</c:v>
                </c:pt>
                <c:pt idx="200">
                  <c:v>24.409999999999844</c:v>
                </c:pt>
                <c:pt idx="201">
                  <c:v>24.434999999999842</c:v>
                </c:pt>
                <c:pt idx="202">
                  <c:v>24.459999999999841</c:v>
                </c:pt>
                <c:pt idx="203">
                  <c:v>24.48499999999984</c:v>
                </c:pt>
                <c:pt idx="204">
                  <c:v>24.509999999999838</c:v>
                </c:pt>
                <c:pt idx="205">
                  <c:v>24.534999999999837</c:v>
                </c:pt>
                <c:pt idx="206">
                  <c:v>24.559999999999835</c:v>
                </c:pt>
                <c:pt idx="207">
                  <c:v>24.584999999999834</c:v>
                </c:pt>
                <c:pt idx="208">
                  <c:v>24.609999999999832</c:v>
                </c:pt>
                <c:pt idx="209">
                  <c:v>24.634999999999831</c:v>
                </c:pt>
                <c:pt idx="210">
                  <c:v>24.65999999999983</c:v>
                </c:pt>
                <c:pt idx="211">
                  <c:v>24.684999999999828</c:v>
                </c:pt>
                <c:pt idx="212">
                  <c:v>24.709999999999827</c:v>
                </c:pt>
                <c:pt idx="213">
                  <c:v>24.734999999999825</c:v>
                </c:pt>
                <c:pt idx="214">
                  <c:v>24.759999999999824</c:v>
                </c:pt>
                <c:pt idx="215">
                  <c:v>24.784999999999823</c:v>
                </c:pt>
                <c:pt idx="216">
                  <c:v>24.809999999999821</c:v>
                </c:pt>
                <c:pt idx="217">
                  <c:v>24.83499999999982</c:v>
                </c:pt>
                <c:pt idx="218">
                  <c:v>24.859999999999818</c:v>
                </c:pt>
                <c:pt idx="219">
                  <c:v>24.884999999999817</c:v>
                </c:pt>
                <c:pt idx="220">
                  <c:v>24.909999999999815</c:v>
                </c:pt>
                <c:pt idx="221">
                  <c:v>24.934999999999814</c:v>
                </c:pt>
                <c:pt idx="222">
                  <c:v>24.959999999999813</c:v>
                </c:pt>
                <c:pt idx="223">
                  <c:v>24.984999999999811</c:v>
                </c:pt>
                <c:pt idx="224">
                  <c:v>25.00999999999981</c:v>
                </c:pt>
                <c:pt idx="225">
                  <c:v>25.034999999999808</c:v>
                </c:pt>
                <c:pt idx="226">
                  <c:v>25.059999999999807</c:v>
                </c:pt>
                <c:pt idx="227">
                  <c:v>25.084999999999805</c:v>
                </c:pt>
                <c:pt idx="228">
                  <c:v>25.109999999999804</c:v>
                </c:pt>
                <c:pt idx="229">
                  <c:v>25.134999999999803</c:v>
                </c:pt>
                <c:pt idx="230">
                  <c:v>25.159999999999801</c:v>
                </c:pt>
                <c:pt idx="231">
                  <c:v>25.1849999999998</c:v>
                </c:pt>
                <c:pt idx="232">
                  <c:v>25.209999999999798</c:v>
                </c:pt>
                <c:pt idx="233">
                  <c:v>25.234999999999797</c:v>
                </c:pt>
                <c:pt idx="234">
                  <c:v>25.259999999999796</c:v>
                </c:pt>
                <c:pt idx="235">
                  <c:v>25.284999999999794</c:v>
                </c:pt>
                <c:pt idx="236">
                  <c:v>25.309999999999793</c:v>
                </c:pt>
                <c:pt idx="237">
                  <c:v>25.334999999999791</c:v>
                </c:pt>
                <c:pt idx="238">
                  <c:v>25.35999999999979</c:v>
                </c:pt>
                <c:pt idx="239">
                  <c:v>25.384999999999788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35-4D25-AE30-361F2C243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489712"/>
        <c:axId val="1"/>
      </c:lineChart>
      <c:catAx>
        <c:axId val="158489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84897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Radio" checked="Checked" firstButton="1" fmlaLink="$AT$3" lockText="1"/>
</file>

<file path=xl/ctrlProps/ctrlProp4.xml><?xml version="1.0" encoding="utf-8"?>
<formControlPr xmlns="http://schemas.microsoft.com/office/spreadsheetml/2009/9/main" objectType="Radio" lockText="1"/>
</file>

<file path=xl/ctrlProps/ctrlProp5.xml><?xml version="1.0" encoding="utf-8"?>
<formControlPr xmlns="http://schemas.microsoft.com/office/spreadsheetml/2009/9/main" objectType="GBox" noThreeD="1"/>
</file>

<file path=xl/ctrlProps/ctrlProp6.xml><?xml version="1.0" encoding="utf-8"?>
<formControlPr xmlns="http://schemas.microsoft.com/office/spreadsheetml/2009/9/main" objectType="Radio" checked="Checked" firstButton="1" fmlaLink="$AT$4" lockText="1"/>
</file>

<file path=xl/ctrlProps/ctrlProp7.xml><?xml version="1.0" encoding="utf-8"?>
<formControlPr xmlns="http://schemas.microsoft.com/office/spreadsheetml/2009/9/main" objectType="Radio" lockText="1"/>
</file>

<file path=xl/ctrlProps/ctrlProp8.xml><?xml version="1.0" encoding="utf-8"?>
<formControlPr xmlns="http://schemas.microsoft.com/office/spreadsheetml/2009/9/main" objectType="Radio" lockText="1"/>
</file>

<file path=xl/ctrlProps/ctrlProp9.xml><?xml version="1.0" encoding="utf-8"?>
<formControlPr xmlns="http://schemas.microsoft.com/office/spreadsheetml/2009/9/main" objectType="Radio" lockText="1"/>
</file>

<file path=xl/ctrlProps/ctrlProp10.xml><?xml version="1.0" encoding="utf-8"?>
<formControlPr xmlns="http://schemas.microsoft.com/office/spreadsheetml/2009/9/main" objectType="Radio" checked="Checked" firstButton="1" fmlaLink="$AT$5" lockText="1"/>
</file>

<file path=xl/ctrlProps/ctrlProp11.xml><?xml version="1.0" encoding="utf-8"?>
<formControlPr xmlns="http://schemas.microsoft.com/office/spreadsheetml/2009/9/main" objectType="Radio" lockText="1"/>
</file>

<file path=xl/ctrlProps/ctrlProp12.xml><?xml version="1.0" encoding="utf-8"?>
<formControlPr xmlns="http://schemas.microsoft.com/office/spreadsheetml/2009/9/main" objectType="GBox" noThreeD="1"/>
</file>

<file path=xl/ctrlProps/ctrlProp13.xml><?xml version="1.0" encoding="utf-8"?>
<formControlPr xmlns="http://schemas.microsoft.com/office/spreadsheetml/2009/9/main" objectType="GBox" noThreeD="1"/>
</file>

<file path=xl/ctrlProps/ctrlProp14.xml><?xml version="1.0" encoding="utf-8"?>
<formControlPr xmlns="http://schemas.microsoft.com/office/spreadsheetml/2009/9/main" objectType="GBox" noThreeD="1"/>
</file>

<file path=xl/ctrlProps/ctrlProp15.xml><?xml version="1.0" encoding="utf-8"?>
<formControlPr xmlns="http://schemas.microsoft.com/office/spreadsheetml/2009/9/main" objectType="Radio" checked="Checked" firstButton="1" fmlaLink="$AT$6" lockText="1"/>
</file>

<file path=xl/ctrlProps/ctrlProp16.xml><?xml version="1.0" encoding="utf-8"?>
<formControlPr xmlns="http://schemas.microsoft.com/office/spreadsheetml/2009/9/main" objectType="Radio" lockText="1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Radio" checked="Checked" firstButton="1" fmlaLink="$AY$3" lockText="1"/>
</file>

<file path=xl/ctrlProps/ctrlProp19.xml><?xml version="1.0" encoding="utf-8"?>
<formControlPr xmlns="http://schemas.microsoft.com/office/spreadsheetml/2009/9/main" objectType="Radio" lockText="1"/>
</file>

<file path=xl/ctrlProps/ctrlProp20.xml><?xml version="1.0" encoding="utf-8"?>
<formControlPr xmlns="http://schemas.microsoft.com/office/spreadsheetml/2009/9/main" objectType="GBox" noThreeD="1"/>
</file>

<file path=xl/ctrlProps/ctrlProp21.xml><?xml version="1.0" encoding="utf-8"?>
<formControlPr xmlns="http://schemas.microsoft.com/office/spreadsheetml/2009/9/main" objectType="Radio" checked="Checked" firstButton="1" fmlaLink="$AT$7" lockText="1"/>
</file>

<file path=xl/ctrlProps/ctrlProp22.xml><?xml version="1.0" encoding="utf-8"?>
<formControlPr xmlns="http://schemas.microsoft.com/office/spreadsheetml/2009/9/main" objectType="Radio" lockText="1"/>
</file>

<file path=xl/ctrlProps/ctrlProp23.xml><?xml version="1.0" encoding="utf-8"?>
<formControlPr xmlns="http://schemas.microsoft.com/office/spreadsheetml/2009/9/main" objectType="GBox" noThreeD="1"/>
</file>

<file path=xl/ctrlProps/ctrlProp24.xml><?xml version="1.0" encoding="utf-8"?>
<formControlPr xmlns="http://schemas.microsoft.com/office/spreadsheetml/2009/9/main" objectType="CheckBox" fmlaLink="$AT$8" lockText="1" noThreeD="1"/>
</file>

<file path=xl/ctrlProps/ctrlProp25.xml><?xml version="1.0" encoding="utf-8"?>
<formControlPr xmlns="http://schemas.microsoft.com/office/spreadsheetml/2009/9/main" objectType="Button" lockText="1"/>
</file>

<file path=xl/ctrlProps/ctrlProp26.xml><?xml version="1.0" encoding="utf-8"?>
<formControlPr xmlns="http://schemas.microsoft.com/office/spreadsheetml/2009/9/main" objectType="Button" lockText="1"/>
</file>

<file path=xl/ctrlProps/ctrlProp27.xml><?xml version="1.0" encoding="utf-8"?>
<formControlPr xmlns="http://schemas.microsoft.com/office/spreadsheetml/2009/9/main" objectType="Drop" dropLines="24" dropStyle="combo" dx="26" fmlaLink="$AY$6" fmlaRange="$I$20:$I$42" sel="1" val="0"/>
</file>

<file path=xl/ctrlProps/ctrlProp28.xml><?xml version="1.0" encoding="utf-8"?>
<formControlPr xmlns="http://schemas.microsoft.com/office/spreadsheetml/2009/9/main" objectType="Drop" dropLines="37" dropStyle="combo" dx="26" fmlaLink="$AY$5" fmlaRange="$I$19:$I$55" sel="2" val="0"/>
</file>

<file path=xl/ctrlProps/ctrlProp29.xml><?xml version="1.0" encoding="utf-8"?>
<formControlPr xmlns="http://schemas.microsoft.com/office/spreadsheetml/2009/9/main" objectType="Drop" dropLines="36" dropStyle="combo" dx="26" fmlaLink="$AY$4" fmlaRange="$EU$17:$EU$256" sel="12" val="6"/>
</file>

<file path=xl/ctrlProps/ctrlProp30.xml><?xml version="1.0" encoding="utf-8"?>
<formControlPr xmlns="http://schemas.microsoft.com/office/spreadsheetml/2009/9/main" objectType="Drop" dropLines="37" dropStyle="combo" dx="26" fmlaLink="$AY$8" fmlaRange="$I$20:$I$56" sel="1" val="0"/>
</file>

<file path=xl/ctrlProps/ctrlProp31.xml><?xml version="1.0" encoding="utf-8"?>
<formControlPr xmlns="http://schemas.microsoft.com/office/spreadsheetml/2009/9/main" objectType="Drop" dropLines="36" dropStyle="combo" dx="26" fmlaLink="$AY$7" fmlaRange="$EU$17:$EU$76" sel="12" val="0"/>
</file>

<file path=xl/ctrlProps/ctrlProp32.xml><?xml version="1.0" encoding="utf-8"?>
<formControlPr xmlns="http://schemas.microsoft.com/office/spreadsheetml/2009/9/main" objectType="Button" lockText="1"/>
</file>

<file path=xl/ctrlProps/ctrlProp33.xml><?xml version="1.0" encoding="utf-8"?>
<formControlPr xmlns="http://schemas.microsoft.com/office/spreadsheetml/2009/9/main" objectType="Button" lockText="1"/>
</file>

<file path=xl/ctrlProps/ctrlProp34.xml><?xml version="1.0" encoding="utf-8"?>
<formControlPr xmlns="http://schemas.microsoft.com/office/spreadsheetml/2009/9/main" objectType="Button" lockText="1"/>
</file>

<file path=xl/ctrlProps/ctrlProp35.xml><?xml version="1.0" encoding="utf-8"?>
<formControlPr xmlns="http://schemas.microsoft.com/office/spreadsheetml/2009/9/main" objectType="Button" lockText="1"/>
</file>

<file path=xl/ctrlProps/ctrlProp36.xml><?xml version="1.0" encoding="utf-8"?>
<formControlPr xmlns="http://schemas.microsoft.com/office/spreadsheetml/2009/9/main" objectType="Button" lockText="1"/>
</file>

<file path=xl/ctrlProps/ctrlProp37.xml><?xml version="1.0" encoding="utf-8"?>
<formControlPr xmlns="http://schemas.microsoft.com/office/spreadsheetml/2009/9/main" objectType="Button" lockText="1"/>
</file>

<file path=xl/ctrlProps/ctrlProp38.xml><?xml version="1.0" encoding="utf-8"?>
<formControlPr xmlns="http://schemas.microsoft.com/office/spreadsheetml/2009/9/main" objectType="Button" lockText="1"/>
</file>

<file path=xl/ctrlProps/ctrlProp39.xml><?xml version="1.0" encoding="utf-8"?>
<formControlPr xmlns="http://schemas.microsoft.com/office/spreadsheetml/2009/9/main" objectType="GBox" noThreeD="1"/>
</file>

<file path=xl/ctrlProps/ctrlProp40.xml><?xml version="1.0" encoding="utf-8"?>
<formControlPr xmlns="http://schemas.microsoft.com/office/spreadsheetml/2009/9/main" objectType="Radio" checked="Checked" firstButton="1" fmlaLink="$AY$9" lockText="1"/>
</file>

<file path=xl/ctrlProps/ctrlProp41.xml><?xml version="1.0" encoding="utf-8"?>
<formControlPr xmlns="http://schemas.microsoft.com/office/spreadsheetml/2009/9/main" objectType="Radio" lockText="1"/>
</file>

<file path=xl/ctrlProps/ctrlProp42.xml><?xml version="1.0" encoding="utf-8"?>
<formControlPr xmlns="http://schemas.microsoft.com/office/spreadsheetml/2009/9/main" objectType="Button" lockText="1"/>
</file>

<file path=xl/ctrlProps/ctrlProp43.xml><?xml version="1.0" encoding="utf-8"?>
<formControlPr xmlns="http://schemas.microsoft.com/office/spreadsheetml/2009/9/main" objectType="Button" lockText="1"/>
</file>

<file path=xl/ctrlProps/ctrlProp44.xml><?xml version="1.0" encoding="utf-8"?>
<formControlPr xmlns="http://schemas.microsoft.com/office/spreadsheetml/2009/9/main" objectType="Button" lockText="1"/>
</file>

<file path=xl/ctrlProps/ctrlProp45.xml><?xml version="1.0" encoding="utf-8"?>
<formControlPr xmlns="http://schemas.microsoft.com/office/spreadsheetml/2009/9/main" objectType="Button" lockText="1"/>
</file>

<file path=xl/ctrlProps/ctrlProp46.xml><?xml version="1.0" encoding="utf-8"?>
<formControlPr xmlns="http://schemas.microsoft.com/office/spreadsheetml/2009/9/main" objectType="Button" lockText="1"/>
</file>

<file path=xl/ctrlProps/ctrlProp47.xml><?xml version="1.0" encoding="utf-8"?>
<formControlPr xmlns="http://schemas.microsoft.com/office/spreadsheetml/2009/9/main" objectType="Button" lockText="1"/>
</file>

<file path=xl/ctrlProps/ctrlProp48.xml><?xml version="1.0" encoding="utf-8"?>
<formControlPr xmlns="http://schemas.microsoft.com/office/spreadsheetml/2009/9/main" objectType="Button" lockText="1"/>
</file>

<file path=xl/ctrlProps/ctrlProp49.xml><?xml version="1.0" encoding="utf-8"?>
<formControlPr xmlns="http://schemas.microsoft.com/office/spreadsheetml/2009/9/main" objectType="Button" lockText="1"/>
</file>

<file path=xl/ctrlProps/ctrlProp50.xml><?xml version="1.0" encoding="utf-8"?>
<formControlPr xmlns="http://schemas.microsoft.com/office/spreadsheetml/2009/9/main" objectType="Button" lockText="1"/>
</file>

<file path=xl/ctrlProps/ctrlProp51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22860</xdr:colOff>
          <xdr:row>25</xdr:row>
          <xdr:rowOff>7620</xdr:rowOff>
        </xdr:from>
        <xdr:to>
          <xdr:col>6</xdr:col>
          <xdr:colOff>693420</xdr:colOff>
          <xdr:row>25</xdr:row>
          <xdr:rowOff>213360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800080"/>
                  </a:solidFill>
                  <a:latin typeface="Times New Roman"/>
                  <a:cs typeface="Times New Roman"/>
                </a:rPr>
                <a:t>Extendable Swap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45</xdr:row>
          <xdr:rowOff>0</xdr:rowOff>
        </xdr:from>
        <xdr:to>
          <xdr:col>7</xdr:col>
          <xdr:colOff>0</xdr:colOff>
          <xdr:row>47</xdr:row>
          <xdr:rowOff>0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993366"/>
                  </a:solidFill>
                  <a:latin typeface="Times New Roman"/>
                  <a:cs typeface="Times New Roman"/>
                </a:rPr>
                <a:t>Participating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993366"/>
                  </a:solidFill>
                  <a:latin typeface="Times New Roman"/>
                  <a:cs typeface="Times New Roman"/>
                </a:rPr>
                <a:t>Swap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7620</xdr:colOff>
          <xdr:row>14</xdr:row>
          <xdr:rowOff>152400</xdr:rowOff>
        </xdr:from>
        <xdr:to>
          <xdr:col>8</xdr:col>
          <xdr:colOff>548640</xdr:colOff>
          <xdr:row>15</xdr:row>
          <xdr:rowOff>152400</xdr:rowOff>
        </xdr:to>
        <xdr:sp macro="" textlink="">
          <xdr:nvSpPr>
            <xdr:cNvPr id="1029" name="Option Button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WTI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7620</xdr:colOff>
          <xdr:row>16</xdr:row>
          <xdr:rowOff>38100</xdr:rowOff>
        </xdr:from>
        <xdr:to>
          <xdr:col>8</xdr:col>
          <xdr:colOff>579120</xdr:colOff>
          <xdr:row>17</xdr:row>
          <xdr:rowOff>68580</xdr:rowOff>
        </xdr:to>
        <xdr:sp macro="" textlink="">
          <xdr:nvSpPr>
            <xdr:cNvPr id="1030" name="Option Button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Brent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</xdr:row>
          <xdr:rowOff>0</xdr:rowOff>
        </xdr:from>
        <xdr:to>
          <xdr:col>9</xdr:col>
          <xdr:colOff>0</xdr:colOff>
          <xdr:row>17</xdr:row>
          <xdr:rowOff>198120</xdr:rowOff>
        </xdr:to>
        <xdr:sp macro="" textlink="">
          <xdr:nvSpPr>
            <xdr:cNvPr id="1033" name="Group Box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7</xdr:row>
          <xdr:rowOff>7620</xdr:rowOff>
        </xdr:from>
        <xdr:to>
          <xdr:col>3</xdr:col>
          <xdr:colOff>403860</xdr:colOff>
          <xdr:row>8</xdr:row>
          <xdr:rowOff>22860</xdr:rowOff>
        </xdr:to>
        <xdr:sp macro="" textlink="">
          <xdr:nvSpPr>
            <xdr:cNvPr id="1039" name="Option Button 15" hidden="1">
              <a:extLst>
                <a:ext uri="{63B3BB69-23CF-44E3-9099-C40C66FF867C}">
                  <a14:compatExt spid="_x0000_s10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Call+Put, Specified Strikes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</xdr:colOff>
          <xdr:row>7</xdr:row>
          <xdr:rowOff>182880</xdr:rowOff>
        </xdr:from>
        <xdr:to>
          <xdr:col>3</xdr:col>
          <xdr:colOff>502920</xdr:colOff>
          <xdr:row>8</xdr:row>
          <xdr:rowOff>167640</xdr:rowOff>
        </xdr:to>
        <xdr:sp macro="" textlink="">
          <xdr:nvSpPr>
            <xdr:cNvPr id="1040" name="Option Button 1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Call+Put, At-the-Money Strike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</xdr:colOff>
          <xdr:row>8</xdr:row>
          <xdr:rowOff>129540</xdr:rowOff>
        </xdr:from>
        <xdr:to>
          <xdr:col>2</xdr:col>
          <xdr:colOff>274320</xdr:colOff>
          <xdr:row>9</xdr:row>
          <xdr:rowOff>152400</xdr:rowOff>
        </xdr:to>
        <xdr:sp macro="" textlink="">
          <xdr:nvSpPr>
            <xdr:cNvPr id="1041" name="Option Button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Call Spread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236220</xdr:colOff>
          <xdr:row>8</xdr:row>
          <xdr:rowOff>129540</xdr:rowOff>
        </xdr:from>
        <xdr:to>
          <xdr:col>3</xdr:col>
          <xdr:colOff>441960</xdr:colOff>
          <xdr:row>9</xdr:row>
          <xdr:rowOff>152400</xdr:rowOff>
        </xdr:to>
        <xdr:sp macro="" textlink="">
          <xdr:nvSpPr>
            <xdr:cNvPr id="1042" name="Option Button 18" hidden="1">
              <a:extLst>
                <a:ext uri="{63B3BB69-23CF-44E3-9099-C40C66FF867C}">
                  <a14:compatExt spid="_x0000_s1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Put Spread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68580</xdr:colOff>
          <xdr:row>24</xdr:row>
          <xdr:rowOff>7620</xdr:rowOff>
        </xdr:from>
        <xdr:to>
          <xdr:col>5</xdr:col>
          <xdr:colOff>601980</xdr:colOff>
          <xdr:row>24</xdr:row>
          <xdr:rowOff>228600</xdr:rowOff>
        </xdr:to>
        <xdr:sp macro="" textlink="">
          <xdr:nvSpPr>
            <xdr:cNvPr id="1045" name="Option Button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Call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53340</xdr:colOff>
          <xdr:row>24</xdr:row>
          <xdr:rowOff>7620</xdr:rowOff>
        </xdr:from>
        <xdr:to>
          <xdr:col>6</xdr:col>
          <xdr:colOff>518160</xdr:colOff>
          <xdr:row>24</xdr:row>
          <xdr:rowOff>228600</xdr:rowOff>
        </xdr:to>
        <xdr:sp macro="" textlink="">
          <xdr:nvSpPr>
            <xdr:cNvPr id="1046" name="Option Button 22" hidden="1">
              <a:extLst>
                <a:ext uri="{63B3BB69-23CF-44E3-9099-C40C66FF867C}">
                  <a14:compatExt spid="_x0000_s10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Put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24</xdr:row>
          <xdr:rowOff>0</xdr:rowOff>
        </xdr:from>
        <xdr:to>
          <xdr:col>6</xdr:col>
          <xdr:colOff>693420</xdr:colOff>
          <xdr:row>25</xdr:row>
          <xdr:rowOff>0</xdr:rowOff>
        </xdr:to>
        <xdr:sp macro="" textlink="">
          <xdr:nvSpPr>
            <xdr:cNvPr id="1047" name="Group Box 23" hidden="1">
              <a:extLst>
                <a:ext uri="{63B3BB69-23CF-44E3-9099-C40C66FF867C}">
                  <a14:compatExt spid="_x0000_s10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</xdr:row>
          <xdr:rowOff>0</xdr:rowOff>
        </xdr:from>
        <xdr:to>
          <xdr:col>3</xdr:col>
          <xdr:colOff>632460</xdr:colOff>
          <xdr:row>10</xdr:row>
          <xdr:rowOff>7620</xdr:rowOff>
        </xdr:to>
        <xdr:sp macro="" textlink="">
          <xdr:nvSpPr>
            <xdr:cNvPr id="1048" name="Group Box 24" hidden="1">
              <a:extLst>
                <a:ext uri="{63B3BB69-23CF-44E3-9099-C40C66FF867C}">
                  <a14:compatExt spid="_x0000_s10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45</xdr:row>
          <xdr:rowOff>0</xdr:rowOff>
        </xdr:from>
        <xdr:to>
          <xdr:col>4</xdr:col>
          <xdr:colOff>0</xdr:colOff>
          <xdr:row>47</xdr:row>
          <xdr:rowOff>38100</xdr:rowOff>
        </xdr:to>
        <xdr:sp macro="" textlink="">
          <xdr:nvSpPr>
            <xdr:cNvPr id="1051" name="Group Box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251460</xdr:colOff>
          <xdr:row>45</xdr:row>
          <xdr:rowOff>7620</xdr:rowOff>
        </xdr:from>
        <xdr:to>
          <xdr:col>3</xdr:col>
          <xdr:colOff>518160</xdr:colOff>
          <xdr:row>46</xdr:row>
          <xdr:rowOff>60960</xdr:rowOff>
        </xdr:to>
        <xdr:sp macro="" textlink="">
          <xdr:nvSpPr>
            <xdr:cNvPr id="1052" name="Option Button 28" hidden="1">
              <a:extLst>
                <a:ext uri="{63B3BB69-23CF-44E3-9099-C40C66FF867C}">
                  <a14:compatExt spid="_x0000_s1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Upside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236220</xdr:colOff>
          <xdr:row>45</xdr:row>
          <xdr:rowOff>160020</xdr:rowOff>
        </xdr:from>
        <xdr:to>
          <xdr:col>3</xdr:col>
          <xdr:colOff>502920</xdr:colOff>
          <xdr:row>47</xdr:row>
          <xdr:rowOff>22860</xdr:rowOff>
        </xdr:to>
        <xdr:sp macro="" textlink="">
          <xdr:nvSpPr>
            <xdr:cNvPr id="1053" name="Option Button 29" hidden="1">
              <a:extLst>
                <a:ext uri="{63B3BB69-23CF-44E3-9099-C40C66FF867C}">
                  <a14:compatExt spid="_x0000_s1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Downside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32</xdr:row>
          <xdr:rowOff>7620</xdr:rowOff>
        </xdr:from>
        <xdr:to>
          <xdr:col>6</xdr:col>
          <xdr:colOff>693420</xdr:colOff>
          <xdr:row>33</xdr:row>
          <xdr:rowOff>0</xdr:rowOff>
        </xdr:to>
        <xdr:sp macro="" textlink="">
          <xdr:nvSpPr>
            <xdr:cNvPr id="1056" name="Button 32" hidden="1">
              <a:extLst>
                <a:ext uri="{63B3BB69-23CF-44E3-9099-C40C66FF867C}">
                  <a14:compatExt spid="_x0000_s10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993366"/>
                  </a:solidFill>
                  <a:latin typeface="Times New Roman"/>
                  <a:cs typeface="Times New Roman"/>
                </a:rPr>
                <a:t>Fetch Curves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45720</xdr:colOff>
          <xdr:row>10</xdr:row>
          <xdr:rowOff>38100</xdr:rowOff>
        </xdr:from>
        <xdr:to>
          <xdr:col>43</xdr:col>
          <xdr:colOff>15240</xdr:colOff>
          <xdr:row>11</xdr:row>
          <xdr:rowOff>121920</xdr:rowOff>
        </xdr:to>
        <xdr:sp macro="" textlink="">
          <xdr:nvSpPr>
            <xdr:cNvPr id="1057" name="Option Button 33" hidden="1">
              <a:extLst>
                <a:ext uri="{63B3BB69-23CF-44E3-9099-C40C66FF867C}">
                  <a14:compatExt spid="_x0000_s10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Automatic Calc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236220</xdr:colOff>
          <xdr:row>10</xdr:row>
          <xdr:rowOff>38100</xdr:rowOff>
        </xdr:from>
        <xdr:to>
          <xdr:col>45</xdr:col>
          <xdr:colOff>502920</xdr:colOff>
          <xdr:row>11</xdr:row>
          <xdr:rowOff>137160</xdr:rowOff>
        </xdr:to>
        <xdr:sp macro="" textlink="">
          <xdr:nvSpPr>
            <xdr:cNvPr id="1058" name="Option Button 34" hidden="1">
              <a:extLst>
                <a:ext uri="{63B3BB69-23CF-44E3-9099-C40C66FF867C}">
                  <a14:compatExt spid="_x0000_s1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Manual Calc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22860</xdr:colOff>
          <xdr:row>10</xdr:row>
          <xdr:rowOff>22860</xdr:rowOff>
        </xdr:from>
        <xdr:to>
          <xdr:col>45</xdr:col>
          <xdr:colOff>601980</xdr:colOff>
          <xdr:row>11</xdr:row>
          <xdr:rowOff>137160</xdr:rowOff>
        </xdr:to>
        <xdr:sp macro="" textlink="">
          <xdr:nvSpPr>
            <xdr:cNvPr id="1059" name="Group Box 35" hidden="1">
              <a:extLst>
                <a:ext uri="{63B3BB69-23CF-44E3-9099-C40C66FF867C}">
                  <a14:compatExt spid="_x0000_s1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53340</xdr:colOff>
          <xdr:row>12</xdr:row>
          <xdr:rowOff>7620</xdr:rowOff>
        </xdr:from>
        <xdr:to>
          <xdr:col>38</xdr:col>
          <xdr:colOff>7620</xdr:colOff>
          <xdr:row>13</xdr:row>
          <xdr:rowOff>45720</xdr:rowOff>
        </xdr:to>
        <xdr:sp macro="" textlink="">
          <xdr:nvSpPr>
            <xdr:cNvPr id="1142" name="Option Button 118" hidden="1">
              <a:extLst>
                <a:ext uri="{63B3BB69-23CF-44E3-9099-C40C66FF867C}">
                  <a14:compatExt spid="_x0000_s11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Vol Smile On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441960</xdr:colOff>
          <xdr:row>12</xdr:row>
          <xdr:rowOff>7620</xdr:rowOff>
        </xdr:from>
        <xdr:to>
          <xdr:col>39</xdr:col>
          <xdr:colOff>388620</xdr:colOff>
          <xdr:row>13</xdr:row>
          <xdr:rowOff>38100</xdr:rowOff>
        </xdr:to>
        <xdr:sp macro="" textlink="">
          <xdr:nvSpPr>
            <xdr:cNvPr id="1143" name="Option Button 119" hidden="1">
              <a:extLst>
                <a:ext uri="{63B3BB69-23CF-44E3-9099-C40C66FF867C}">
                  <a14:compatExt spid="_x0000_s11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Vol Smile Off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12</xdr:row>
          <xdr:rowOff>0</xdr:rowOff>
        </xdr:from>
        <xdr:to>
          <xdr:col>39</xdr:col>
          <xdr:colOff>411480</xdr:colOff>
          <xdr:row>13</xdr:row>
          <xdr:rowOff>45720</xdr:rowOff>
        </xdr:to>
        <xdr:sp macro="" textlink="">
          <xdr:nvSpPr>
            <xdr:cNvPr id="1144" name="Group Box 120" hidden="1">
              <a:extLst>
                <a:ext uri="{63B3BB69-23CF-44E3-9099-C40C66FF867C}">
                  <a14:compatExt spid="_x0000_s11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72</xdr:col>
      <xdr:colOff>0</xdr:colOff>
      <xdr:row>14</xdr:row>
      <xdr:rowOff>0</xdr:rowOff>
    </xdr:from>
    <xdr:to>
      <xdr:col>72</xdr:col>
      <xdr:colOff>0</xdr:colOff>
      <xdr:row>40</xdr:row>
      <xdr:rowOff>121920</xdr:rowOff>
    </xdr:to>
    <xdr:graphicFrame macro="">
      <xdr:nvGraphicFramePr>
        <xdr:cNvPr id="1153" name="Chart 1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45720</xdr:colOff>
          <xdr:row>16</xdr:row>
          <xdr:rowOff>38100</xdr:rowOff>
        </xdr:from>
        <xdr:to>
          <xdr:col>21</xdr:col>
          <xdr:colOff>563880</xdr:colOff>
          <xdr:row>17</xdr:row>
          <xdr:rowOff>68580</xdr:rowOff>
        </xdr:to>
        <xdr:sp macro="" textlink="">
          <xdr:nvSpPr>
            <xdr:cNvPr id="1174" name="Check Box 150" hidden="1">
              <a:extLst>
                <a:ext uri="{63B3BB69-23CF-44E3-9099-C40C66FF867C}">
                  <a14:compatExt spid="_x0000_s1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Over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108</xdr:col>
          <xdr:colOff>45720</xdr:colOff>
          <xdr:row>14</xdr:row>
          <xdr:rowOff>15240</xdr:rowOff>
        </xdr:from>
        <xdr:to>
          <xdr:col>115</xdr:col>
          <xdr:colOff>510540</xdr:colOff>
          <xdr:row>15</xdr:row>
          <xdr:rowOff>160020</xdr:rowOff>
        </xdr:to>
        <xdr:sp macro="" textlink="">
          <xdr:nvSpPr>
            <xdr:cNvPr id="1196" name="Button 172" hidden="1">
              <a:extLst>
                <a:ext uri="{63B3BB69-23CF-44E3-9099-C40C66FF867C}">
                  <a14:compatExt spid="_x0000_s1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Save Price Curves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119</xdr:col>
          <xdr:colOff>53340</xdr:colOff>
          <xdr:row>14</xdr:row>
          <xdr:rowOff>15240</xdr:rowOff>
        </xdr:from>
        <xdr:to>
          <xdr:col>128</xdr:col>
          <xdr:colOff>502920</xdr:colOff>
          <xdr:row>15</xdr:row>
          <xdr:rowOff>152400</xdr:rowOff>
        </xdr:to>
        <xdr:sp macro="" textlink="">
          <xdr:nvSpPr>
            <xdr:cNvPr id="1198" name="Button 174" hidden="1">
              <a:extLst>
                <a:ext uri="{63B3BB69-23CF-44E3-9099-C40C66FF867C}">
                  <a14:compatExt spid="_x0000_s11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Save Vol Curves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</xdr:row>
          <xdr:rowOff>198120</xdr:rowOff>
        </xdr:from>
        <xdr:to>
          <xdr:col>6</xdr:col>
          <xdr:colOff>708660</xdr:colOff>
          <xdr:row>18</xdr:row>
          <xdr:rowOff>213360</xdr:rowOff>
        </xdr:to>
        <xdr:sp macro="" textlink="">
          <xdr:nvSpPr>
            <xdr:cNvPr id="6340" name="Drop Down 1220" hidden="1">
              <a:extLst>
                <a:ext uri="{63B3BB69-23CF-44E3-9099-C40C66FF867C}">
                  <a14:compatExt spid="_x0000_s63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601980</xdr:colOff>
          <xdr:row>2</xdr:row>
          <xdr:rowOff>7620</xdr:rowOff>
        </xdr:from>
        <xdr:to>
          <xdr:col>4</xdr:col>
          <xdr:colOff>45720</xdr:colOff>
          <xdr:row>2</xdr:row>
          <xdr:rowOff>236220</xdr:rowOff>
        </xdr:to>
        <xdr:sp macro="" textlink="">
          <xdr:nvSpPr>
            <xdr:cNvPr id="6341" name="Drop Down 1221" hidden="1">
              <a:extLst>
                <a:ext uri="{63B3BB69-23CF-44E3-9099-C40C66FF867C}">
                  <a14:compatExt spid="_x0000_s63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</xdr:colOff>
          <xdr:row>2</xdr:row>
          <xdr:rowOff>7620</xdr:rowOff>
        </xdr:from>
        <xdr:to>
          <xdr:col>1</xdr:col>
          <xdr:colOff>769620</xdr:colOff>
          <xdr:row>2</xdr:row>
          <xdr:rowOff>243840</xdr:rowOff>
        </xdr:to>
        <xdr:sp macro="" textlink="">
          <xdr:nvSpPr>
            <xdr:cNvPr id="6342" name="Drop Down 1222" hidden="1">
              <a:extLst>
                <a:ext uri="{63B3BB69-23CF-44E3-9099-C40C66FF867C}">
                  <a14:compatExt spid="_x0000_s63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601980</xdr:colOff>
          <xdr:row>23</xdr:row>
          <xdr:rowOff>7620</xdr:rowOff>
        </xdr:from>
        <xdr:to>
          <xdr:col>4</xdr:col>
          <xdr:colOff>7620</xdr:colOff>
          <xdr:row>23</xdr:row>
          <xdr:rowOff>236220</xdr:rowOff>
        </xdr:to>
        <xdr:sp macro="" textlink="">
          <xdr:nvSpPr>
            <xdr:cNvPr id="6343" name="Drop Down 1223" hidden="1">
              <a:extLst>
                <a:ext uri="{63B3BB69-23CF-44E3-9099-C40C66FF867C}">
                  <a14:compatExt spid="_x0000_s63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</xdr:colOff>
          <xdr:row>23</xdr:row>
          <xdr:rowOff>7620</xdr:rowOff>
        </xdr:from>
        <xdr:to>
          <xdr:col>1</xdr:col>
          <xdr:colOff>769620</xdr:colOff>
          <xdr:row>23</xdr:row>
          <xdr:rowOff>243840</xdr:rowOff>
        </xdr:to>
        <xdr:sp macro="" textlink="">
          <xdr:nvSpPr>
            <xdr:cNvPr id="6344" name="Drop Down 1224" hidden="1">
              <a:extLst>
                <a:ext uri="{63B3BB69-23CF-44E3-9099-C40C66FF867C}">
                  <a14:compatExt spid="_x0000_s63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12</xdr:col>
      <xdr:colOff>281940</xdr:colOff>
      <xdr:row>1</xdr:row>
      <xdr:rowOff>38100</xdr:rowOff>
    </xdr:from>
    <xdr:to>
      <xdr:col>18</xdr:col>
      <xdr:colOff>548640</xdr:colOff>
      <xdr:row>13</xdr:row>
      <xdr:rowOff>182880</xdr:rowOff>
    </xdr:to>
    <xdr:graphicFrame macro="">
      <xdr:nvGraphicFramePr>
        <xdr:cNvPr id="6345" name="Chart 12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7620</xdr:colOff>
          <xdr:row>15</xdr:row>
          <xdr:rowOff>175260</xdr:rowOff>
        </xdr:from>
        <xdr:to>
          <xdr:col>19</xdr:col>
          <xdr:colOff>251460</xdr:colOff>
          <xdr:row>16</xdr:row>
          <xdr:rowOff>182880</xdr:rowOff>
        </xdr:to>
        <xdr:sp macro="" textlink="">
          <xdr:nvSpPr>
            <xdr:cNvPr id="6348" name="Button 1228" hidden="1">
              <a:extLst>
                <a:ext uri="{63B3BB69-23CF-44E3-9099-C40C66FF867C}">
                  <a14:compatExt spid="_x0000_s63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Save</a:t>
              </a: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 Regr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281940</xdr:colOff>
          <xdr:row>15</xdr:row>
          <xdr:rowOff>175260</xdr:rowOff>
        </xdr:from>
        <xdr:to>
          <xdr:col>20</xdr:col>
          <xdr:colOff>548640</xdr:colOff>
          <xdr:row>16</xdr:row>
          <xdr:rowOff>182880</xdr:rowOff>
        </xdr:to>
        <xdr:sp macro="" textlink="">
          <xdr:nvSpPr>
            <xdr:cNvPr id="6349" name="Button 1229" hidden="1">
              <a:extLst>
                <a:ext uri="{63B3BB69-23CF-44E3-9099-C40C66FF867C}">
                  <a14:compatExt spid="_x0000_s63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Load</a:t>
              </a: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 Regr</a:t>
              </a:r>
            </a:p>
          </xdr:txBody>
        </xdr:sp>
        <xdr:clientData/>
      </xdr:twoCellAnchor>
    </mc:Choice>
    <mc:Fallback/>
  </mc:AlternateContent>
  <xdr:twoCellAnchor>
    <xdr:from>
      <xdr:col>19</xdr:col>
      <xdr:colOff>0</xdr:colOff>
      <xdr:row>8</xdr:row>
      <xdr:rowOff>7620</xdr:rowOff>
    </xdr:from>
    <xdr:to>
      <xdr:col>26</xdr:col>
      <xdr:colOff>0</xdr:colOff>
      <xdr:row>13</xdr:row>
      <xdr:rowOff>190500</xdr:rowOff>
    </xdr:to>
    <xdr:graphicFrame macro="">
      <xdr:nvGraphicFramePr>
        <xdr:cNvPr id="6350" name="Chart 12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7620</xdr:colOff>
          <xdr:row>1</xdr:row>
          <xdr:rowOff>7620</xdr:rowOff>
        </xdr:from>
        <xdr:to>
          <xdr:col>26</xdr:col>
          <xdr:colOff>678180</xdr:colOff>
          <xdr:row>6</xdr:row>
          <xdr:rowOff>106680</xdr:rowOff>
        </xdr:to>
        <xdr:sp macro="" textlink="">
          <xdr:nvSpPr>
            <xdr:cNvPr id="6351" name="Button 1231" hidden="1">
              <a:extLst>
                <a:ext uri="{63B3BB69-23CF-44E3-9099-C40C66FF867C}">
                  <a14:compatExt spid="_x0000_s63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Save</a:t>
              </a:r>
              <a:endParaRPr lang="en-US" sz="1000" b="1" i="0" u="none" strike="noStrike" baseline="0">
                <a:solidFill>
                  <a:srgbClr val="0000FF"/>
                </a:solidFill>
                <a:latin typeface="Times New Roman"/>
                <a:cs typeface="Times New Roman"/>
              </a:endParaRP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All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Changes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15240</xdr:colOff>
          <xdr:row>15</xdr:row>
          <xdr:rowOff>7620</xdr:rowOff>
        </xdr:from>
        <xdr:to>
          <xdr:col>10</xdr:col>
          <xdr:colOff>266700</xdr:colOff>
          <xdr:row>16</xdr:row>
          <xdr:rowOff>182880</xdr:rowOff>
        </xdr:to>
        <xdr:sp macro="" textlink="">
          <xdr:nvSpPr>
            <xdr:cNvPr id="7195" name="Button 2075" hidden="1">
              <a:extLst>
                <a:ext uri="{63B3BB69-23CF-44E3-9099-C40C66FF867C}">
                  <a14:compatExt spid="_x0000_s7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Save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Price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289560</xdr:colOff>
          <xdr:row>15</xdr:row>
          <xdr:rowOff>7620</xdr:rowOff>
        </xdr:from>
        <xdr:to>
          <xdr:col>11</xdr:col>
          <xdr:colOff>472440</xdr:colOff>
          <xdr:row>16</xdr:row>
          <xdr:rowOff>182880</xdr:rowOff>
        </xdr:to>
        <xdr:sp macro="" textlink="">
          <xdr:nvSpPr>
            <xdr:cNvPr id="7198" name="Button 2078" hidden="1">
              <a:extLst>
                <a:ext uri="{63B3BB69-23CF-44E3-9099-C40C66FF867C}">
                  <a14:compatExt spid="_x0000_s71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Load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Price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22860</xdr:colOff>
          <xdr:row>15</xdr:row>
          <xdr:rowOff>7620</xdr:rowOff>
        </xdr:from>
        <xdr:to>
          <xdr:col>13</xdr:col>
          <xdr:colOff>297180</xdr:colOff>
          <xdr:row>16</xdr:row>
          <xdr:rowOff>182880</xdr:rowOff>
        </xdr:to>
        <xdr:sp macro="" textlink="">
          <xdr:nvSpPr>
            <xdr:cNvPr id="7199" name="Button 2079" hidden="1">
              <a:extLst>
                <a:ext uri="{63B3BB69-23CF-44E3-9099-C40C66FF867C}">
                  <a14:compatExt spid="_x0000_s71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Save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Vol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304800</xdr:colOff>
          <xdr:row>15</xdr:row>
          <xdr:rowOff>7620</xdr:rowOff>
        </xdr:from>
        <xdr:to>
          <xdr:col>14</xdr:col>
          <xdr:colOff>518160</xdr:colOff>
          <xdr:row>16</xdr:row>
          <xdr:rowOff>182880</xdr:rowOff>
        </xdr:to>
        <xdr:sp macro="" textlink="">
          <xdr:nvSpPr>
            <xdr:cNvPr id="7200" name="Button 2080" hidden="1">
              <a:extLst>
                <a:ext uri="{63B3BB69-23CF-44E3-9099-C40C66FF867C}">
                  <a14:compatExt spid="_x0000_s72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Load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Vol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579120</xdr:colOff>
          <xdr:row>34</xdr:row>
          <xdr:rowOff>0</xdr:rowOff>
        </xdr:from>
        <xdr:to>
          <xdr:col>4</xdr:col>
          <xdr:colOff>0</xdr:colOff>
          <xdr:row>34</xdr:row>
          <xdr:rowOff>251460</xdr:rowOff>
        </xdr:to>
        <xdr:sp macro="" textlink="">
          <xdr:nvSpPr>
            <xdr:cNvPr id="7386" name="Group Box 2266" hidden="1">
              <a:extLst>
                <a:ext uri="{63B3BB69-23CF-44E3-9099-C40C66FF867C}">
                  <a14:compatExt spid="_x0000_s73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617220</xdr:colOff>
          <xdr:row>34</xdr:row>
          <xdr:rowOff>7620</xdr:rowOff>
        </xdr:from>
        <xdr:to>
          <xdr:col>2</xdr:col>
          <xdr:colOff>434340</xdr:colOff>
          <xdr:row>34</xdr:row>
          <xdr:rowOff>228600</xdr:rowOff>
        </xdr:to>
        <xdr:sp macro="" textlink="">
          <xdr:nvSpPr>
            <xdr:cNvPr id="7387" name="Option Button 2267" hidden="1">
              <a:extLst>
                <a:ext uri="{63B3BB69-23CF-44E3-9099-C40C66FF867C}">
                  <a14:compatExt spid="_x0000_s73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Today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441960</xdr:colOff>
          <xdr:row>34</xdr:row>
          <xdr:rowOff>7620</xdr:rowOff>
        </xdr:from>
        <xdr:to>
          <xdr:col>3</xdr:col>
          <xdr:colOff>594360</xdr:colOff>
          <xdr:row>34</xdr:row>
          <xdr:rowOff>228600</xdr:rowOff>
        </xdr:to>
        <xdr:sp macro="" textlink="">
          <xdr:nvSpPr>
            <xdr:cNvPr id="7388" name="Option Button 2268" hidden="1">
              <a:extLst>
                <a:ext uri="{63B3BB69-23CF-44E3-9099-C40C66FF867C}">
                  <a14:compatExt spid="_x0000_s73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Beginning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22860</xdr:colOff>
          <xdr:row>15</xdr:row>
          <xdr:rowOff>7620</xdr:rowOff>
        </xdr:from>
        <xdr:to>
          <xdr:col>16</xdr:col>
          <xdr:colOff>274320</xdr:colOff>
          <xdr:row>16</xdr:row>
          <xdr:rowOff>182880</xdr:rowOff>
        </xdr:to>
        <xdr:sp macro="" textlink="">
          <xdr:nvSpPr>
            <xdr:cNvPr id="7523" name="Button 2403" hidden="1">
              <a:extLst>
                <a:ext uri="{63B3BB69-23CF-44E3-9099-C40C66FF867C}">
                  <a14:compatExt spid="_x0000_s75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Save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Price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297180</xdr:colOff>
          <xdr:row>15</xdr:row>
          <xdr:rowOff>7620</xdr:rowOff>
        </xdr:from>
        <xdr:to>
          <xdr:col>17</xdr:col>
          <xdr:colOff>510540</xdr:colOff>
          <xdr:row>16</xdr:row>
          <xdr:rowOff>182880</xdr:rowOff>
        </xdr:to>
        <xdr:sp macro="" textlink="">
          <xdr:nvSpPr>
            <xdr:cNvPr id="7524" name="Button 2404" hidden="1">
              <a:extLst>
                <a:ext uri="{63B3BB69-23CF-44E3-9099-C40C66FF867C}">
                  <a14:compatExt spid="_x0000_s75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Load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Price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7620</xdr:colOff>
          <xdr:row>6</xdr:row>
          <xdr:rowOff>114300</xdr:rowOff>
        </xdr:from>
        <xdr:to>
          <xdr:col>26</xdr:col>
          <xdr:colOff>678180</xdr:colOff>
          <xdr:row>14</xdr:row>
          <xdr:rowOff>0</xdr:rowOff>
        </xdr:to>
        <xdr:sp macro="" textlink="">
          <xdr:nvSpPr>
            <xdr:cNvPr id="7525" name="Button 2405" hidden="1">
              <a:extLst>
                <a:ext uri="{63B3BB69-23CF-44E3-9099-C40C66FF867C}">
                  <a14:compatExt spid="_x0000_s75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Retrieve</a:t>
              </a:r>
              <a:endParaRPr lang="en-US" sz="1000" b="1" i="0" u="none" strike="noStrike" baseline="0">
                <a:solidFill>
                  <a:srgbClr val="0000FF"/>
                </a:solidFill>
                <a:latin typeface="Times New Roman"/>
                <a:cs typeface="Times New Roman"/>
              </a:endParaRP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All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Changes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7620</xdr:colOff>
          <xdr:row>7</xdr:row>
          <xdr:rowOff>7620</xdr:rowOff>
        </xdr:from>
        <xdr:to>
          <xdr:col>5</xdr:col>
          <xdr:colOff>0</xdr:colOff>
          <xdr:row>7</xdr:row>
          <xdr:rowOff>213360</xdr:rowOff>
        </xdr:to>
        <xdr:sp macro="" textlink="">
          <xdr:nvSpPr>
            <xdr:cNvPr id="7658" name="Button 2538" hidden="1">
              <a:extLst>
                <a:ext uri="{63B3BB69-23CF-44E3-9099-C40C66FF867C}">
                  <a14:compatExt spid="_x0000_s76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800080"/>
                  </a:solidFill>
                  <a:latin typeface="Times New Roman"/>
                  <a:cs typeface="Times New Roman"/>
                </a:rPr>
                <a:t>Straddle</a:t>
              </a:r>
            </a:p>
          </xdr:txBody>
        </xdr:sp>
        <xdr:clientData/>
      </xdr:twoCellAnchor>
    </mc:Choice>
    <mc:Fallback/>
  </mc:AlternateContent>
  <xdr:twoCellAnchor>
    <xdr:from>
      <xdr:col>7</xdr:col>
      <xdr:colOff>22860</xdr:colOff>
      <xdr:row>1</xdr:row>
      <xdr:rowOff>22860</xdr:rowOff>
    </xdr:from>
    <xdr:to>
      <xdr:col>12</xdr:col>
      <xdr:colOff>274320</xdr:colOff>
      <xdr:row>13</xdr:row>
      <xdr:rowOff>182880</xdr:rowOff>
    </xdr:to>
    <xdr:graphicFrame macro="">
      <xdr:nvGraphicFramePr>
        <xdr:cNvPr id="7659" name="Chart 25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22860</xdr:colOff>
          <xdr:row>14</xdr:row>
          <xdr:rowOff>15240</xdr:rowOff>
        </xdr:from>
        <xdr:to>
          <xdr:col>6</xdr:col>
          <xdr:colOff>693420</xdr:colOff>
          <xdr:row>15</xdr:row>
          <xdr:rowOff>152400</xdr:rowOff>
        </xdr:to>
        <xdr:sp macro="" textlink="">
          <xdr:nvSpPr>
            <xdr:cNvPr id="14357" name="Button 8213" hidden="1">
              <a:extLst>
                <a:ext uri="{63B3BB69-23CF-44E3-9099-C40C66FF867C}">
                  <a14:compatExt spid="_x0000_s143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800080"/>
                  </a:solidFill>
                  <a:latin typeface="Times New Roman"/>
                  <a:cs typeface="Times New Roman"/>
                </a:rPr>
                <a:t>Calc</a:t>
              </a:r>
            </a:p>
          </xdr:txBody>
        </xdr:sp>
        <xdr:clientData/>
      </xdr:twoCellAnchor>
    </mc:Choice>
    <mc:Fallback/>
  </mc:AlternateContent>
  <xdr:twoCellAnchor>
    <xdr:from>
      <xdr:col>0</xdr:col>
      <xdr:colOff>45720</xdr:colOff>
      <xdr:row>59</xdr:row>
      <xdr:rowOff>137160</xdr:rowOff>
    </xdr:from>
    <xdr:to>
      <xdr:col>6</xdr:col>
      <xdr:colOff>662940</xdr:colOff>
      <xdr:row>74</xdr:row>
      <xdr:rowOff>106680</xdr:rowOff>
    </xdr:to>
    <xdr:graphicFrame macro="">
      <xdr:nvGraphicFramePr>
        <xdr:cNvPr id="15740" name="Chart 959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45720</xdr:colOff>
      <xdr:row>47</xdr:row>
      <xdr:rowOff>38100</xdr:rowOff>
    </xdr:from>
    <xdr:to>
      <xdr:col>6</xdr:col>
      <xdr:colOff>670560</xdr:colOff>
      <xdr:row>59</xdr:row>
      <xdr:rowOff>129540</xdr:rowOff>
    </xdr:to>
    <xdr:graphicFrame macro="">
      <xdr:nvGraphicFramePr>
        <xdr:cNvPr id="15777" name="Chart 96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116</xdr:col>
          <xdr:colOff>0</xdr:colOff>
          <xdr:row>14</xdr:row>
          <xdr:rowOff>15240</xdr:rowOff>
        </xdr:from>
        <xdr:to>
          <xdr:col>118</xdr:col>
          <xdr:colOff>457200</xdr:colOff>
          <xdr:row>15</xdr:row>
          <xdr:rowOff>144780</xdr:rowOff>
        </xdr:to>
        <xdr:sp macro="" textlink="">
          <xdr:nvSpPr>
            <xdr:cNvPr id="17004" name="Button 10860" hidden="1">
              <a:extLst>
                <a:ext uri="{63B3BB69-23CF-44E3-9099-C40C66FF867C}">
                  <a14:compatExt spid="_x0000_s170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Save </a:t>
              </a:r>
              <a:r>
                <a:rPr lang="en-US" sz="10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Dated Changes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45</xdr:col>
          <xdr:colOff>7620</xdr:colOff>
          <xdr:row>16</xdr:row>
          <xdr:rowOff>7620</xdr:rowOff>
        </xdr:from>
        <xdr:to>
          <xdr:col>46</xdr:col>
          <xdr:colOff>7620</xdr:colOff>
          <xdr:row>17</xdr:row>
          <xdr:rowOff>198120</xdr:rowOff>
        </xdr:to>
        <xdr:sp macro="" textlink="">
          <xdr:nvSpPr>
            <xdr:cNvPr id="28492" name="Button 21324" hidden="1">
              <a:extLst>
                <a:ext uri="{63B3BB69-23CF-44E3-9099-C40C66FF867C}">
                  <a14:compatExt spid="_x0000_s284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Brent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IPE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241</xdr:col>
          <xdr:colOff>45720</xdr:colOff>
          <xdr:row>11</xdr:row>
          <xdr:rowOff>7620</xdr:rowOff>
        </xdr:from>
        <xdr:to>
          <xdr:col>243</xdr:col>
          <xdr:colOff>0</xdr:colOff>
          <xdr:row>13</xdr:row>
          <xdr:rowOff>0</xdr:rowOff>
        </xdr:to>
        <xdr:sp macro="" textlink="">
          <xdr:nvSpPr>
            <xdr:cNvPr id="33897" name="Button 26729" hidden="1">
              <a:extLst>
                <a:ext uri="{63B3BB69-23CF-44E3-9099-C40C66FF867C}">
                  <a14:compatExt spid="_x0000_s338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800080"/>
                  </a:solidFill>
                  <a:latin typeface="Times New Roman"/>
                  <a:cs typeface="Times New Roman"/>
                </a:rPr>
                <a:t>Calculate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243</xdr:col>
          <xdr:colOff>45720</xdr:colOff>
          <xdr:row>11</xdr:row>
          <xdr:rowOff>7620</xdr:rowOff>
        </xdr:from>
        <xdr:to>
          <xdr:col>246</xdr:col>
          <xdr:colOff>243840</xdr:colOff>
          <xdr:row>13</xdr:row>
          <xdr:rowOff>0</xdr:rowOff>
        </xdr:to>
        <xdr:sp macro="" textlink="">
          <xdr:nvSpPr>
            <xdr:cNvPr id="33898" name="Button 26730" hidden="1">
              <a:extLst>
                <a:ext uri="{63B3BB69-23CF-44E3-9099-C40C66FF867C}">
                  <a14:compatExt spid="_x0000_s338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800080"/>
                  </a:solidFill>
                  <a:latin typeface="Times New Roman"/>
                  <a:cs typeface="Times New Roman"/>
                </a:rPr>
                <a:t>Save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246</xdr:col>
          <xdr:colOff>274320</xdr:colOff>
          <xdr:row>11</xdr:row>
          <xdr:rowOff>7620</xdr:rowOff>
        </xdr:from>
        <xdr:to>
          <xdr:col>249</xdr:col>
          <xdr:colOff>586740</xdr:colOff>
          <xdr:row>12</xdr:row>
          <xdr:rowOff>190500</xdr:rowOff>
        </xdr:to>
        <xdr:sp macro="" textlink="">
          <xdr:nvSpPr>
            <xdr:cNvPr id="33899" name="Button 26731" hidden="1">
              <a:extLst>
                <a:ext uri="{63B3BB69-23CF-44E3-9099-C40C66FF867C}">
                  <a14:compatExt spid="_x0000_s338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800080"/>
                  </a:solidFill>
                  <a:latin typeface="Times New Roman"/>
                  <a:cs typeface="Times New Roman"/>
                </a:rPr>
                <a:t>Retrieve</a:t>
              </a:r>
            </a:p>
          </xdr:txBody>
        </xdr:sp>
        <xdr:clientData/>
      </xdr:twoCellAnchor>
    </mc:Choice>
    <mc:Fallback/>
  </mc:AlternateContent>
</xdr:wsDr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ddeLink xmlns:r="http://schemas.openxmlformats.org/officeDocument/2006/relationships" ddeService="TWINDDE" ddeTopic="RSFRecord">
    <ddeItems>
      <ddeItem name="CLc1 MTH" advise="1"/>
      <ddeItem name="CLc1 NET.CHNG" advise="1"/>
      <ddeItem name="CLc10 MTH" advise="1"/>
      <ddeItem name="CLc10 NET.CHNG" advise="1"/>
      <ddeItem name="CLc11 MTH" advise="1"/>
      <ddeItem name="CLc11 NET.CHNG" advise="1"/>
      <ddeItem name="CLc12 MTH" advise="1"/>
      <ddeItem name="CLc12 NET.CHNG" advise="1"/>
      <ddeItem name="CLc13 MTH" advise="1"/>
      <ddeItem name="CLc13 NET.CHNG" advise="1"/>
      <ddeItem name="CLc14 MTH" advise="1"/>
      <ddeItem name="CLc14 NET.CHNG" advise="1"/>
      <ddeItem name="CLc15 MTH" advise="1"/>
      <ddeItem name="CLc15 NET.CHNG" advise="1"/>
      <ddeItem name="CLc16 MTH" advise="1"/>
      <ddeItem name="CLc16 NET.CHNG" advise="1"/>
      <ddeItem name="CLc17 MTH" advise="1"/>
      <ddeItem name="CLc17 NET.CHNG" advise="1"/>
      <ddeItem name="CLc18 MTH" advise="1"/>
      <ddeItem name="CLc18 NET.CHNG" advise="1"/>
      <ddeItem name="CLc19 MTH" advise="1"/>
      <ddeItem name="CLc19 NET.CHNG" advise="1"/>
      <ddeItem name="CLc2 MTH" advise="1"/>
      <ddeItem name="CLc2 NET.CHNG" advise="1"/>
      <ddeItem name="CLc20 MTH" advise="1"/>
      <ddeItem name="CLc20 NET.CHNG" advise="1"/>
      <ddeItem name="CLc21 MTH" advise="1"/>
      <ddeItem name="CLc21 NET.CHNG" advise="1"/>
      <ddeItem name="CLc22 MTH" advise="1"/>
      <ddeItem name="CLc22 NET.CHNG" advise="1"/>
      <ddeItem name="CLc23 MTH" advise="1"/>
      <ddeItem name="CLc23 NET.CHNG" advise="1"/>
      <ddeItem name="CLc24 MTH" advise="1"/>
      <ddeItem name="CLc24 NET.CHNG" advise="1"/>
      <ddeItem name="CLc25 MTH" advise="1"/>
      <ddeItem name="CLc25 NET.CHNG" advise="1"/>
      <ddeItem name="CLc26 MTH" advise="1"/>
      <ddeItem name="CLc26 NET.CHNG" advise="1"/>
      <ddeItem name="CLc27 MTH" advise="1"/>
      <ddeItem name="CLc27 NET.CHNG" advise="1"/>
      <ddeItem name="CLc28 MTH" advise="1"/>
      <ddeItem name="CLc28 NET.CHNG" advise="1"/>
      <ddeItem name="CLc29 MTH" advise="1"/>
      <ddeItem name="CLc29 NET.CHNG" advise="1"/>
      <ddeItem name="CLc3 MTH" advise="1"/>
      <ddeItem name="CLc3 NET.CHNG" advise="1"/>
      <ddeItem name="CLc30 MTH" advise="1"/>
      <ddeItem name="CLc30 NET.CHNG" advise="1"/>
      <ddeItem name="CLc31 MTH" advise="1"/>
      <ddeItem name="CLc31 NET.CHNG" advise="1"/>
      <ddeItem name="CLc32 MTH" advise="1"/>
      <ddeItem name="CLc32 NET.CHNG" advise="1"/>
      <ddeItem name="CLc33 MTH" advise="1"/>
      <ddeItem name="CLc33 NET.CHNG" advise="1"/>
      <ddeItem name="CLc34 MTH" advise="1"/>
      <ddeItem name="CLc34 NET.CHNG" advise="1"/>
      <ddeItem name="CLc35 MTH" advise="1"/>
      <ddeItem name="CLc35 NET.CHNG" advise="1"/>
      <ddeItem name="CLc4 MTH" advise="1"/>
      <ddeItem name="CLc4 NET.CHNG" advise="1"/>
      <ddeItem name="CLc5 MTH" advise="1"/>
      <ddeItem name="CLc5 NET.CHNG" advise="1"/>
      <ddeItem name="CLc6 MTH" advise="1"/>
      <ddeItem name="CLc6 NET.CHNG" advise="1"/>
      <ddeItem name="CLc7 MTH" advise="1"/>
      <ddeItem name="CLc7 NET.CHNG" advise="1"/>
      <ddeItem name="CLc8 MTH" advise="1"/>
      <ddeItem name="CLc8 NET.CHNG" advise="1"/>
      <ddeItem name="CLc9 MTH" advise="1"/>
      <ddeItem name="CLc9 NET.CHNG" advise="1"/>
      <ddeItem name="StdDocumentName" ole="1" advise="1"/>
    </ddeItems>
  </dd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26" Type="http://schemas.openxmlformats.org/officeDocument/2006/relationships/ctrlProp" Target="../ctrlProps/ctrlProp23.xml"/><Relationship Id="rId39" Type="http://schemas.openxmlformats.org/officeDocument/2006/relationships/ctrlProp" Target="../ctrlProps/ctrlProp36.xml"/><Relationship Id="rId3" Type="http://schemas.openxmlformats.org/officeDocument/2006/relationships/vmlDrawing" Target="../drawings/vmlDrawing1.vml"/><Relationship Id="rId21" Type="http://schemas.openxmlformats.org/officeDocument/2006/relationships/ctrlProp" Target="../ctrlProps/ctrlProp18.xml"/><Relationship Id="rId34" Type="http://schemas.openxmlformats.org/officeDocument/2006/relationships/ctrlProp" Target="../ctrlProps/ctrlProp31.xml"/><Relationship Id="rId42" Type="http://schemas.openxmlformats.org/officeDocument/2006/relationships/ctrlProp" Target="../ctrlProps/ctrlProp39.xml"/><Relationship Id="rId47" Type="http://schemas.openxmlformats.org/officeDocument/2006/relationships/ctrlProp" Target="../ctrlProps/ctrlProp44.xml"/><Relationship Id="rId50" Type="http://schemas.openxmlformats.org/officeDocument/2006/relationships/ctrlProp" Target="../ctrlProps/ctrlProp47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33" Type="http://schemas.openxmlformats.org/officeDocument/2006/relationships/ctrlProp" Target="../ctrlProps/ctrlProp30.xml"/><Relationship Id="rId38" Type="http://schemas.openxmlformats.org/officeDocument/2006/relationships/ctrlProp" Target="../ctrlProps/ctrlProp35.xml"/><Relationship Id="rId46" Type="http://schemas.openxmlformats.org/officeDocument/2006/relationships/ctrlProp" Target="../ctrlProps/ctrlProp43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29" Type="http://schemas.openxmlformats.org/officeDocument/2006/relationships/ctrlProp" Target="../ctrlProps/ctrlProp26.xml"/><Relationship Id="rId41" Type="http://schemas.openxmlformats.org/officeDocument/2006/relationships/ctrlProp" Target="../ctrlProps/ctrlProp38.xml"/><Relationship Id="rId54" Type="http://schemas.openxmlformats.org/officeDocument/2006/relationships/ctrlProp" Target="../ctrlProps/ctrlProp5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32" Type="http://schemas.openxmlformats.org/officeDocument/2006/relationships/ctrlProp" Target="../ctrlProps/ctrlProp29.xml"/><Relationship Id="rId37" Type="http://schemas.openxmlformats.org/officeDocument/2006/relationships/ctrlProp" Target="../ctrlProps/ctrlProp34.xml"/><Relationship Id="rId40" Type="http://schemas.openxmlformats.org/officeDocument/2006/relationships/ctrlProp" Target="../ctrlProps/ctrlProp37.xml"/><Relationship Id="rId45" Type="http://schemas.openxmlformats.org/officeDocument/2006/relationships/ctrlProp" Target="../ctrlProps/ctrlProp42.xml"/><Relationship Id="rId53" Type="http://schemas.openxmlformats.org/officeDocument/2006/relationships/ctrlProp" Target="../ctrlProps/ctrlProp50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36" Type="http://schemas.openxmlformats.org/officeDocument/2006/relationships/ctrlProp" Target="../ctrlProps/ctrlProp33.xml"/><Relationship Id="rId49" Type="http://schemas.openxmlformats.org/officeDocument/2006/relationships/ctrlProp" Target="../ctrlProps/ctrlProp46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31" Type="http://schemas.openxmlformats.org/officeDocument/2006/relationships/ctrlProp" Target="../ctrlProps/ctrlProp28.xml"/><Relationship Id="rId44" Type="http://schemas.openxmlformats.org/officeDocument/2006/relationships/ctrlProp" Target="../ctrlProps/ctrlProp41.xml"/><Relationship Id="rId52" Type="http://schemas.openxmlformats.org/officeDocument/2006/relationships/ctrlProp" Target="../ctrlProps/ctrlProp49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30" Type="http://schemas.openxmlformats.org/officeDocument/2006/relationships/ctrlProp" Target="../ctrlProps/ctrlProp27.xml"/><Relationship Id="rId35" Type="http://schemas.openxmlformats.org/officeDocument/2006/relationships/ctrlProp" Target="../ctrlProps/ctrlProp32.xml"/><Relationship Id="rId43" Type="http://schemas.openxmlformats.org/officeDocument/2006/relationships/ctrlProp" Target="../ctrlProps/ctrlProp40.xml"/><Relationship Id="rId48" Type="http://schemas.openxmlformats.org/officeDocument/2006/relationships/ctrlProp" Target="../ctrlProps/ctrlProp45.xml"/><Relationship Id="rId8" Type="http://schemas.openxmlformats.org/officeDocument/2006/relationships/ctrlProp" Target="../ctrlProps/ctrlProp5.xml"/><Relationship Id="rId51" Type="http://schemas.openxmlformats.org/officeDocument/2006/relationships/ctrlProp" Target="../ctrlProps/ctrlProp48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IQ2721"/>
  <sheetViews>
    <sheetView tabSelected="1" zoomScale="85" workbookViewId="0">
      <selection activeCell="V11" sqref="V11"/>
    </sheetView>
  </sheetViews>
  <sheetFormatPr defaultColWidth="9.33203125" defaultRowHeight="13.2"/>
  <cols>
    <col min="1" max="1" width="7.44140625" style="53" customWidth="1"/>
    <col min="2" max="2" width="11.6640625" style="53" customWidth="1"/>
    <col min="3" max="3" width="9.77734375" style="53" bestFit="1" customWidth="1"/>
    <col min="4" max="4" width="9.33203125" style="53"/>
    <col min="5" max="5" width="10" style="53" bestFit="1" customWidth="1"/>
    <col min="6" max="6" width="9.109375" style="53" customWidth="1"/>
    <col min="7" max="7" width="10.44140625" style="53" customWidth="1"/>
    <col min="8" max="8" width="0.6640625" style="53" customWidth="1"/>
    <col min="9" max="9" width="8.77734375" style="53" customWidth="1"/>
    <col min="10" max="10" width="7.44140625" style="53" bestFit="1" customWidth="1"/>
    <col min="11" max="11" width="7.6640625" style="53" customWidth="1"/>
    <col min="12" max="12" width="6.77734375" style="53" customWidth="1"/>
    <col min="13" max="13" width="7.77734375" style="53" bestFit="1" customWidth="1"/>
    <col min="14" max="14" width="8.44140625" style="53" customWidth="1"/>
    <col min="15" max="15" width="7.77734375" style="53" bestFit="1" customWidth="1"/>
    <col min="16" max="16" width="7.44140625" style="53" bestFit="1" customWidth="1"/>
    <col min="17" max="17" width="7.44140625" style="53" customWidth="1"/>
    <col min="18" max="18" width="7" style="53" customWidth="1"/>
    <col min="19" max="19" width="8.33203125" style="43" customWidth="1"/>
    <col min="20" max="20" width="8" style="53" customWidth="1"/>
    <col min="21" max="21" width="8.44140625" style="53" customWidth="1"/>
    <col min="22" max="22" width="8.6640625" style="53" customWidth="1"/>
    <col min="23" max="26" width="8.44140625" style="53" customWidth="1"/>
    <col min="27" max="27" width="10" style="53" customWidth="1"/>
    <col min="28" max="28" width="8.33203125" style="53" customWidth="1"/>
    <col min="29" max="29" width="9.77734375" style="53" customWidth="1"/>
    <col min="30" max="30" width="10.33203125" style="53" customWidth="1"/>
    <col min="31" max="32" width="10" style="53" bestFit="1" customWidth="1"/>
    <col min="33" max="33" width="6.77734375" style="53" customWidth="1"/>
    <col min="34" max="34" width="8.33203125" style="53" customWidth="1"/>
    <col min="35" max="35" width="6.109375" style="53" customWidth="1"/>
    <col min="36" max="37" width="5.77734375" style="53" customWidth="1"/>
    <col min="38" max="38" width="7.109375" style="53" bestFit="1" customWidth="1"/>
    <col min="39" max="40" width="9.77734375" style="43" bestFit="1" customWidth="1"/>
    <col min="41" max="41" width="7.109375" style="43" bestFit="1" customWidth="1"/>
    <col min="42" max="43" width="8.44140625" style="43" customWidth="1"/>
    <col min="44" max="44" width="7.77734375" style="43" bestFit="1" customWidth="1"/>
    <col min="45" max="45" width="8" style="43" customWidth="1"/>
    <col min="46" max="46" width="9.44140625" style="53" bestFit="1" customWidth="1"/>
    <col min="47" max="47" width="8.77734375" style="53" customWidth="1"/>
    <col min="48" max="48" width="8.77734375" style="43" customWidth="1"/>
    <col min="49" max="50" width="8" style="43" customWidth="1"/>
    <col min="51" max="51" width="9.44140625" style="43" bestFit="1" customWidth="1"/>
    <col min="52" max="52" width="8.77734375" style="43" customWidth="1"/>
    <col min="53" max="53" width="7.77734375" style="43" bestFit="1" customWidth="1"/>
    <col min="54" max="54" width="7.77734375" style="43" customWidth="1"/>
    <col min="55" max="55" width="9.33203125" style="43"/>
    <col min="56" max="56" width="6.33203125" style="43" customWidth="1"/>
    <col min="57" max="57" width="8.6640625" style="43" customWidth="1"/>
    <col min="58" max="58" width="10.44140625" style="43" bestFit="1" customWidth="1"/>
    <col min="59" max="59" width="6.77734375" style="43" customWidth="1"/>
    <col min="60" max="60" width="7.6640625" style="43" customWidth="1"/>
    <col min="61" max="61" width="6.77734375" style="43" customWidth="1"/>
    <col min="62" max="62" width="6.6640625" style="43" bestFit="1" customWidth="1"/>
    <col min="63" max="63" width="7.44140625" style="43" customWidth="1"/>
    <col min="64" max="64" width="7.77734375" style="43" customWidth="1"/>
    <col min="65" max="65" width="8.109375" style="43" customWidth="1"/>
    <col min="66" max="66" width="8.109375" style="43" bestFit="1" customWidth="1"/>
    <col min="67" max="67" width="5.44140625" style="43" bestFit="1" customWidth="1"/>
    <col min="68" max="68" width="7.77734375" style="43" bestFit="1" customWidth="1"/>
    <col min="69" max="70" width="6.77734375" style="43" customWidth="1"/>
    <col min="71" max="76" width="7.77734375" style="43" bestFit="1" customWidth="1"/>
    <col min="77" max="77" width="7.77734375" style="43" customWidth="1"/>
    <col min="78" max="78" width="7.77734375" style="43" bestFit="1" customWidth="1"/>
    <col min="79" max="79" width="7.77734375" style="43" customWidth="1"/>
    <col min="80" max="81" width="7.77734375" style="43" bestFit="1" customWidth="1"/>
    <col min="82" max="82" width="8.77734375" style="43" customWidth="1"/>
    <col min="83" max="84" width="8.109375" style="43" bestFit="1" customWidth="1"/>
    <col min="85" max="85" width="9" style="43" bestFit="1" customWidth="1"/>
    <col min="86" max="86" width="8.109375" style="53" customWidth="1"/>
    <col min="87" max="87" width="9" style="53" bestFit="1" customWidth="1"/>
    <col min="88" max="88" width="8.109375" style="53" bestFit="1" customWidth="1"/>
    <col min="89" max="89" width="9" style="53" bestFit="1" customWidth="1"/>
    <col min="90" max="90" width="7.77734375" style="53" bestFit="1" customWidth="1"/>
    <col min="91" max="92" width="7.44140625" style="53" bestFit="1" customWidth="1"/>
    <col min="93" max="94" width="6.6640625" style="53" customWidth="1"/>
    <col min="95" max="95" width="7.77734375" style="53" bestFit="1" customWidth="1"/>
    <col min="96" max="97" width="8.109375" style="53" customWidth="1"/>
    <col min="98" max="105" width="8.77734375" style="53" customWidth="1"/>
    <col min="106" max="106" width="10.109375" style="53" customWidth="1"/>
    <col min="107" max="107" width="8.6640625" style="53" bestFit="1" customWidth="1"/>
    <col min="108" max="108" width="5.109375" style="51" customWidth="1"/>
    <col min="109" max="109" width="8.6640625" style="52" bestFit="1" customWidth="1"/>
    <col min="110" max="111" width="7.77734375" style="52" bestFit="1" customWidth="1"/>
    <col min="112" max="112" width="8.6640625" style="52" bestFit="1" customWidth="1"/>
    <col min="113" max="113" width="7.77734375" style="52" bestFit="1" customWidth="1"/>
    <col min="114" max="114" width="7.77734375" style="53" bestFit="1" customWidth="1"/>
    <col min="115" max="115" width="8.6640625" style="53" bestFit="1" customWidth="1"/>
    <col min="116" max="116" width="7.77734375" style="53" bestFit="1" customWidth="1"/>
    <col min="117" max="117" width="8.6640625" style="53" bestFit="1" customWidth="1"/>
    <col min="118" max="118" width="7.77734375" style="53" bestFit="1" customWidth="1"/>
    <col min="119" max="119" width="7.44140625" style="53" bestFit="1" customWidth="1"/>
    <col min="120" max="120" width="8.6640625" style="53" bestFit="1" customWidth="1"/>
    <col min="121" max="122" width="7.77734375" style="53" bestFit="1" customWidth="1"/>
    <col min="123" max="123" width="8.6640625" style="53" bestFit="1" customWidth="1"/>
    <col min="124" max="125" width="8.33203125" style="53" bestFit="1" customWidth="1"/>
    <col min="126" max="126" width="8.6640625" style="53" bestFit="1" customWidth="1"/>
    <col min="127" max="127" width="7.77734375" style="53" customWidth="1"/>
    <col min="128" max="128" width="8.6640625" style="53" bestFit="1" customWidth="1"/>
    <col min="129" max="129" width="7.77734375" style="53" bestFit="1" customWidth="1"/>
    <col min="130" max="130" width="10" style="53" bestFit="1" customWidth="1"/>
    <col min="131" max="132" width="10.77734375" style="53" customWidth="1"/>
    <col min="133" max="133" width="11.77734375" style="53" customWidth="1"/>
    <col min="134" max="134" width="13.33203125" style="53" bestFit="1" customWidth="1"/>
    <col min="135" max="136" width="10" style="53" customWidth="1"/>
    <col min="137" max="137" width="7.77734375" style="53" bestFit="1" customWidth="1"/>
    <col min="138" max="141" width="10" style="53" bestFit="1" customWidth="1"/>
    <col min="142" max="142" width="8.44140625" style="53" bestFit="1" customWidth="1"/>
    <col min="143" max="143" width="7.6640625" style="53" bestFit="1" customWidth="1"/>
    <col min="144" max="144" width="10.44140625" style="53" bestFit="1" customWidth="1"/>
    <col min="145" max="145" width="7.44140625" style="53" bestFit="1" customWidth="1"/>
    <col min="146" max="146" width="4.44140625" style="43" bestFit="1" customWidth="1"/>
    <col min="147" max="147" width="9.44140625" style="43" bestFit="1" customWidth="1"/>
    <col min="148" max="148" width="9.44140625" style="53" bestFit="1" customWidth="1"/>
    <col min="149" max="149" width="9.44140625" style="43" bestFit="1" customWidth="1"/>
    <col min="150" max="150" width="3.6640625" style="53" customWidth="1"/>
    <col min="151" max="151" width="7.109375" style="53" bestFit="1" customWidth="1"/>
    <col min="152" max="152" width="7.44140625" style="53" customWidth="1"/>
    <col min="153" max="153" width="3.33203125" style="43" bestFit="1" customWidth="1"/>
    <col min="154" max="154" width="7.44140625" style="53" bestFit="1" customWidth="1"/>
    <col min="155" max="155" width="6.6640625" style="53" bestFit="1" customWidth="1"/>
    <col min="156" max="156" width="9" style="53" bestFit="1" customWidth="1"/>
    <col min="157" max="157" width="8" style="53" bestFit="1" customWidth="1"/>
    <col min="158" max="158" width="7.77734375" style="53" bestFit="1" customWidth="1"/>
    <col min="159" max="159" width="2.44140625" style="53" bestFit="1" customWidth="1"/>
    <col min="160" max="161" width="7.77734375" style="53" bestFit="1" customWidth="1"/>
    <col min="162" max="162" width="14.33203125" style="53" bestFit="1" customWidth="1"/>
    <col min="163" max="163" width="7.6640625" style="53" bestFit="1" customWidth="1"/>
    <col min="164" max="167" width="10" style="53" bestFit="1" customWidth="1"/>
    <col min="168" max="168" width="11.6640625" style="53" bestFit="1" customWidth="1"/>
    <col min="169" max="169" width="6.6640625" style="53" customWidth="1"/>
    <col min="170" max="170" width="5" style="53" customWidth="1"/>
    <col min="171" max="171" width="8.77734375" style="53" bestFit="1" customWidth="1"/>
    <col min="172" max="174" width="6.6640625" style="53" bestFit="1" customWidth="1"/>
    <col min="175" max="210" width="6.6640625" style="53" customWidth="1"/>
    <col min="211" max="242" width="6.6640625" style="53" bestFit="1" customWidth="1"/>
    <col min="243" max="243" width="13.77734375" style="53" bestFit="1" customWidth="1"/>
    <col min="244" max="247" width="6.6640625" style="53" bestFit="1" customWidth="1"/>
    <col min="248" max="250" width="7.109375" style="53" bestFit="1" customWidth="1"/>
    <col min="251" max="16384" width="9.33203125" style="53"/>
  </cols>
  <sheetData>
    <row r="1" spans="1:251" ht="3" customHeight="1" thickBot="1">
      <c r="A1" s="48"/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50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M1" s="53"/>
      <c r="AN1" s="53"/>
      <c r="AO1" s="53"/>
      <c r="AP1" s="52"/>
      <c r="AQ1" s="52"/>
      <c r="AR1" s="52">
        <v>5</v>
      </c>
      <c r="AT1" s="43"/>
      <c r="AU1" s="43"/>
      <c r="BG1" s="5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3"/>
      <c r="DM1" s="43"/>
      <c r="DN1" s="43"/>
      <c r="DO1" s="43"/>
      <c r="DT1" s="51"/>
      <c r="DU1" s="52"/>
      <c r="DV1" s="52"/>
      <c r="DW1" s="52"/>
      <c r="DX1" s="52"/>
      <c r="DY1" s="52"/>
      <c r="DZ1" s="52"/>
      <c r="EA1" s="52"/>
      <c r="EB1" s="52"/>
      <c r="EC1" s="52"/>
      <c r="ED1" s="52"/>
      <c r="EE1" s="52"/>
      <c r="EF1" s="52"/>
      <c r="EG1" s="52"/>
    </row>
    <row r="2" spans="1:251" ht="14.25" customHeight="1" thickBot="1">
      <c r="A2" s="881">
        <f ca="1">SUMPRODUCT(INDEX($X$20:$X$258,$AY$11):INDEX($X$20:$X$258,$AY$11+11),INDEX($AP$20:$AP$258,$AY$11):INDEX($AP$20:$AP$258,$AY$11+11))/SUM(INDEX($AP$20:$AP$258,$AY$11):INDEX($AP$20:$AP$258,$AY$11+11))</f>
        <v>24.668585045557322</v>
      </c>
      <c r="B2" s="54" t="s">
        <v>178</v>
      </c>
      <c r="C2" s="98"/>
      <c r="D2" s="98"/>
      <c r="E2" s="98"/>
      <c r="F2" s="98"/>
      <c r="G2" s="98"/>
      <c r="H2" s="48"/>
      <c r="I2" s="48"/>
      <c r="J2" s="48"/>
      <c r="K2" s="48"/>
      <c r="L2" s="48"/>
      <c r="M2" s="48"/>
      <c r="N2" s="50"/>
      <c r="O2" s="48"/>
      <c r="P2" s="48"/>
      <c r="Q2" s="48"/>
      <c r="R2" s="48"/>
      <c r="S2" s="48"/>
      <c r="T2" s="172" t="s">
        <v>11</v>
      </c>
      <c r="U2" s="173"/>
      <c r="V2" s="173"/>
      <c r="W2" s="173"/>
      <c r="X2" s="173"/>
      <c r="Y2" s="173"/>
      <c r="Z2" s="174"/>
      <c r="AA2" s="48"/>
      <c r="AB2" s="159" t="s">
        <v>165</v>
      </c>
      <c r="AC2" s="162"/>
      <c r="AD2" s="164"/>
      <c r="AE2" s="48"/>
      <c r="AF2" s="180" t="s">
        <v>200</v>
      </c>
      <c r="AG2" s="162"/>
      <c r="AH2" s="314" t="s">
        <v>201</v>
      </c>
      <c r="AI2" s="48"/>
      <c r="AJ2" s="166" t="s">
        <v>167</v>
      </c>
      <c r="AK2" s="167"/>
      <c r="AL2" s="167"/>
      <c r="AM2" s="167"/>
      <c r="AN2" s="168"/>
      <c r="AP2" s="166" t="s">
        <v>0</v>
      </c>
      <c r="AQ2" s="397"/>
      <c r="AR2" s="397"/>
      <c r="AS2" s="398"/>
      <c r="AT2" s="399"/>
      <c r="AU2" s="398"/>
      <c r="AV2" s="398"/>
      <c r="AW2" s="398"/>
      <c r="AX2" s="398"/>
      <c r="AY2" s="399"/>
      <c r="AZ2" s="395"/>
      <c r="BA2" s="394"/>
      <c r="BC2" s="201" t="s">
        <v>24</v>
      </c>
      <c r="BD2" s="202"/>
      <c r="BE2" s="203"/>
      <c r="BF2" s="204"/>
      <c r="BH2" s="58" t="s">
        <v>52</v>
      </c>
      <c r="BI2" s="59"/>
      <c r="BK2" s="166" t="s">
        <v>286</v>
      </c>
      <c r="BL2" s="167"/>
      <c r="BM2" s="398"/>
      <c r="BN2" s="607" t="s">
        <v>288</v>
      </c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3"/>
      <c r="CU2" s="43"/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3"/>
      <c r="DM2" s="43"/>
      <c r="DN2" s="43"/>
      <c r="DO2" s="43"/>
      <c r="DT2" s="51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W2" s="52"/>
      <c r="IH2" s="36"/>
      <c r="II2" s="36"/>
      <c r="IJ2" s="36">
        <v>1</v>
      </c>
      <c r="IK2" s="36">
        <v>2</v>
      </c>
      <c r="IL2" s="36">
        <v>4</v>
      </c>
      <c r="IM2" s="36">
        <v>6</v>
      </c>
      <c r="IN2" s="36">
        <v>12</v>
      </c>
      <c r="IO2" s="36">
        <v>36</v>
      </c>
      <c r="IP2" s="36">
        <v>60</v>
      </c>
      <c r="IQ2"/>
    </row>
    <row r="3" spans="1:251" ht="20.25" customHeight="1" thickBot="1">
      <c r="A3" s="881">
        <f ca="1">SUMPRODUCT(INDEX($X$20:$X$258,$AY$11+12):INDEX($X$20:$X$258,$AY$11+23),INDEX($AP$20:$AP$258,$AY$11+12):INDEX($AP$20:$AP$258,$AY$11+23))/SUM(INDEX($AP$20:$AP$258,$AY$11+12):INDEX($AP$20:$AP$258,$AY$11+23))</f>
        <v>22.970406872550626</v>
      </c>
      <c r="B3" s="879"/>
      <c r="C3" s="495" t="s">
        <v>271</v>
      </c>
      <c r="D3" s="496"/>
      <c r="E3" s="494" t="s">
        <v>157</v>
      </c>
      <c r="F3" s="207">
        <f ca="1">EOMONTH(FirstPricingMonth,SwapFirstMonthPosition-2)+1</f>
        <v>37012</v>
      </c>
      <c r="G3" s="208">
        <f ca="1">EOMONTH(DateStart,SwapNumOfMonths-2)+1</f>
        <v>37347</v>
      </c>
      <c r="H3" s="48"/>
      <c r="I3" s="48"/>
      <c r="J3" s="48"/>
      <c r="K3" s="48"/>
      <c r="L3" s="48"/>
      <c r="M3" s="48"/>
      <c r="N3" s="50"/>
      <c r="O3" s="48"/>
      <c r="P3" s="48"/>
      <c r="Q3" s="48"/>
      <c r="R3" s="48"/>
      <c r="S3" s="48"/>
      <c r="T3" s="175" t="s">
        <v>77</v>
      </c>
      <c r="U3" s="136" t="s">
        <v>222</v>
      </c>
      <c r="V3" s="136"/>
      <c r="W3" s="176"/>
      <c r="X3" s="177" t="s">
        <v>223</v>
      </c>
      <c r="Y3" s="136"/>
      <c r="Z3" s="137"/>
      <c r="AA3" s="48"/>
      <c r="AB3" s="425" t="s">
        <v>2</v>
      </c>
      <c r="AC3" s="426" t="s">
        <v>221</v>
      </c>
      <c r="AD3" s="427" t="s">
        <v>220</v>
      </c>
      <c r="AE3" s="48"/>
      <c r="AF3" s="169">
        <v>1</v>
      </c>
      <c r="AG3" s="190">
        <v>0.95</v>
      </c>
      <c r="AH3" s="315" t="s">
        <v>202</v>
      </c>
      <c r="AI3" s="48"/>
      <c r="AJ3" s="616" t="s">
        <v>177</v>
      </c>
      <c r="AK3" s="617"/>
      <c r="AL3" s="617"/>
      <c r="AM3" s="618"/>
      <c r="AN3" s="619">
        <f>EOMONTH(NextMonth,EuroOptionMonthPosition-2)+1</f>
        <v>37012</v>
      </c>
      <c r="AP3" s="400"/>
      <c r="AQ3" s="401"/>
      <c r="AR3" s="401"/>
      <c r="AS3" s="402" t="s">
        <v>5</v>
      </c>
      <c r="AT3" s="403">
        <v>1</v>
      </c>
      <c r="AU3" s="400"/>
      <c r="AV3" s="401"/>
      <c r="AW3" s="401"/>
      <c r="AX3" s="402" t="s">
        <v>21</v>
      </c>
      <c r="AY3" s="403">
        <v>1</v>
      </c>
      <c r="AZ3" s="395"/>
      <c r="BA3" s="395"/>
      <c r="BB3" s="53"/>
      <c r="BC3" s="198"/>
      <c r="BD3" s="195"/>
      <c r="BE3" s="196" t="s">
        <v>25</v>
      </c>
      <c r="BF3" s="197" t="e">
        <f ca="1">(IF(SwaptionType=1,-1,1)*(SwaptionStrike-UnderlyingPriceAsian)*E32+SwaptionPremium*D33)/(D32+D33)</f>
        <v>#NAME?</v>
      </c>
      <c r="BH3" s="62" t="s">
        <v>53</v>
      </c>
      <c r="BI3" s="63" t="s">
        <v>54</v>
      </c>
      <c r="BK3" s="601"/>
      <c r="BL3" s="600">
        <v>1</v>
      </c>
      <c r="BM3" s="606">
        <v>2</v>
      </c>
      <c r="BN3" s="608" t="s">
        <v>287</v>
      </c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  <c r="CW3" s="43"/>
      <c r="CX3" s="43"/>
      <c r="CY3" s="43"/>
      <c r="CZ3" s="43"/>
      <c r="DA3" s="43"/>
      <c r="DB3" s="43"/>
      <c r="DC3" s="43"/>
      <c r="DD3" s="43"/>
      <c r="DE3" s="43"/>
      <c r="DF3" s="43"/>
      <c r="DG3" s="43"/>
      <c r="DH3" s="43"/>
      <c r="DI3" s="43"/>
      <c r="DJ3" s="43"/>
      <c r="DK3" s="43"/>
      <c r="DL3" s="43"/>
      <c r="DM3" s="43"/>
      <c r="DN3" s="43"/>
      <c r="DO3" s="43"/>
      <c r="DT3" s="51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W3" s="52"/>
      <c r="IH3" s="36"/>
      <c r="II3" s="36" t="s">
        <v>486</v>
      </c>
      <c r="IJ3" s="831" t="s">
        <v>121</v>
      </c>
      <c r="IK3" s="831" t="s">
        <v>122</v>
      </c>
      <c r="IL3" s="831" t="s">
        <v>124</v>
      </c>
      <c r="IM3" s="831" t="s">
        <v>126</v>
      </c>
      <c r="IN3" s="831" t="s">
        <v>482</v>
      </c>
      <c r="IO3" s="831" t="s">
        <v>484</v>
      </c>
      <c r="IP3" s="831" t="s">
        <v>485</v>
      </c>
      <c r="IQ3" s="789"/>
    </row>
    <row r="4" spans="1:251" ht="15.75" customHeight="1" thickBot="1">
      <c r="A4" s="881">
        <f ca="1">SUMPRODUCT(INDEX($X$20:$X$258,$AY$11+24):INDEX($X$20:$X$258,$AY$11+35),INDEX($AP$20:$AP$258,$AY$11+24):INDEX($AP$20:$AP$258,$AY$11+35))/SUM(INDEX($AP$20:$AP$258,$AY$11+24):INDEX($AP$20:$AP$258,$AY$11+35))</f>
        <v>22.400591515105642</v>
      </c>
      <c r="B4" s="54" t="s">
        <v>49</v>
      </c>
      <c r="C4" s="354"/>
      <c r="D4" s="54" t="s">
        <v>115</v>
      </c>
      <c r="E4" s="354"/>
      <c r="F4" s="55"/>
      <c r="G4" s="55"/>
      <c r="H4" s="48"/>
      <c r="I4" s="48"/>
      <c r="J4" s="48"/>
      <c r="K4" s="48"/>
      <c r="L4" s="48"/>
      <c r="M4" s="48"/>
      <c r="N4" s="50"/>
      <c r="O4" s="48"/>
      <c r="P4" s="48"/>
      <c r="Q4" s="48"/>
      <c r="R4" s="48"/>
      <c r="S4" s="48"/>
      <c r="T4" s="175" t="s">
        <v>78</v>
      </c>
      <c r="U4" s="178">
        <v>0.3</v>
      </c>
      <c r="V4" s="178">
        <v>0.2</v>
      </c>
      <c r="W4" s="178">
        <v>0.1</v>
      </c>
      <c r="X4" s="178">
        <v>0.1</v>
      </c>
      <c r="Y4" s="178">
        <v>0.2</v>
      </c>
      <c r="Z4" s="179">
        <v>0.3</v>
      </c>
      <c r="AA4" s="48"/>
      <c r="AB4" s="245">
        <v>2002</v>
      </c>
      <c r="AC4" s="247"/>
      <c r="AD4" s="248">
        <v>1.3</v>
      </c>
      <c r="AE4" s="48"/>
      <c r="AF4" s="169">
        <v>2</v>
      </c>
      <c r="AG4" s="190">
        <v>1.05</v>
      </c>
      <c r="AH4" s="315" t="s">
        <v>4</v>
      </c>
      <c r="AI4" s="48"/>
      <c r="AJ4" s="616" t="s">
        <v>169</v>
      </c>
      <c r="AK4" s="617"/>
      <c r="AL4" s="617"/>
      <c r="AM4" s="618"/>
      <c r="AN4" s="620">
        <f ca="1">VLOOKUP(AN3,PricingArea,CHOOSE(Underlying,4,10))</f>
        <v>27.28</v>
      </c>
      <c r="AP4" s="266"/>
      <c r="AQ4" s="193"/>
      <c r="AR4" s="193"/>
      <c r="AS4" s="254" t="s">
        <v>9</v>
      </c>
      <c r="AT4" s="267">
        <v>1</v>
      </c>
      <c r="AU4" s="266"/>
      <c r="AV4" s="193"/>
      <c r="AW4" s="193"/>
      <c r="AX4" s="254" t="s">
        <v>173</v>
      </c>
      <c r="AY4" s="267">
        <v>12</v>
      </c>
      <c r="AZ4" s="395"/>
      <c r="BA4" s="395"/>
      <c r="BB4" s="53"/>
      <c r="BC4" s="189"/>
      <c r="BD4" s="199"/>
      <c r="BE4" s="200" t="s">
        <v>26</v>
      </c>
      <c r="BF4" s="122" t="e">
        <f ca="1">SwaptionPremium*D33/E32</f>
        <v>#NAME?</v>
      </c>
      <c r="BH4" s="64" t="s">
        <v>55</v>
      </c>
      <c r="BI4" s="65" t="s">
        <v>56</v>
      </c>
      <c r="BK4" s="602" t="s">
        <v>3</v>
      </c>
      <c r="BL4" s="604">
        <f ca="1">MAX(0,(AJ19-BN4)/(AI19-BN4))</f>
        <v>0.5714285714285714</v>
      </c>
      <c r="BM4" s="605">
        <f ca="1">1-BL4</f>
        <v>0.4285714285714286</v>
      </c>
      <c r="BN4" s="609">
        <f ca="1">NETWORKDAYS(FirstPricingMonth,DateToday,HolidaysWTI)-1</f>
        <v>6</v>
      </c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  <c r="CW4" s="43"/>
      <c r="CX4" s="43"/>
      <c r="CY4" s="43"/>
      <c r="CZ4" s="43"/>
      <c r="DA4" s="43"/>
      <c r="DB4" s="43"/>
      <c r="DC4" s="43"/>
      <c r="DD4" s="43"/>
      <c r="DE4" s="43"/>
      <c r="DF4" s="43"/>
      <c r="DG4" s="43"/>
      <c r="DH4" s="43"/>
      <c r="DI4" s="43"/>
      <c r="DJ4" s="43"/>
      <c r="DK4" s="43"/>
      <c r="DL4" s="43"/>
      <c r="DM4" s="43"/>
      <c r="DN4" s="43"/>
      <c r="DO4" s="43"/>
      <c r="DT4" s="51"/>
      <c r="DU4" s="52"/>
      <c r="DV4" s="52"/>
      <c r="DW4" s="52"/>
      <c r="DX4" s="52"/>
      <c r="DY4" s="52"/>
      <c r="DZ4" s="52"/>
      <c r="EA4" s="52"/>
      <c r="EB4" s="52"/>
      <c r="EC4" s="52"/>
      <c r="ED4" s="52"/>
      <c r="EE4" s="52"/>
      <c r="EF4" s="52"/>
      <c r="EG4" s="52"/>
      <c r="EW4" s="52"/>
      <c r="IH4" s="36">
        <v>1</v>
      </c>
      <c r="II4" s="831" t="s">
        <v>121</v>
      </c>
      <c r="IJ4" s="832">
        <v>0.33456309740258883</v>
      </c>
      <c r="IK4" s="832">
        <v>0.32062013633418213</v>
      </c>
      <c r="IL4" s="832">
        <v>0.29867496250593289</v>
      </c>
      <c r="IM4" s="832">
        <v>0.28179703595633648</v>
      </c>
      <c r="IN4" s="832">
        <v>0.24765077553201412</v>
      </c>
      <c r="IO4" s="832">
        <v>0.19930519156601134</v>
      </c>
      <c r="IP4" s="832">
        <v>0.18536020629641198</v>
      </c>
      <c r="IQ4"/>
    </row>
    <row r="5" spans="1:251" ht="15.75" customHeight="1" thickBot="1">
      <c r="A5" s="882">
        <f ca="1">A2-A3</f>
        <v>1.6981781730066956</v>
      </c>
      <c r="B5" s="99" t="s">
        <v>219</v>
      </c>
      <c r="C5" s="61" t="s">
        <v>218</v>
      </c>
      <c r="D5" s="99" t="s">
        <v>114</v>
      </c>
      <c r="E5" s="99" t="s">
        <v>209</v>
      </c>
      <c r="F5" s="60" t="s">
        <v>16</v>
      </c>
      <c r="G5" s="61" t="s">
        <v>19</v>
      </c>
      <c r="H5" s="48"/>
      <c r="I5" s="48"/>
      <c r="J5" s="48"/>
      <c r="K5" s="48"/>
      <c r="L5" s="48"/>
      <c r="M5" s="48"/>
      <c r="N5" s="50"/>
      <c r="O5" s="48"/>
      <c r="P5" s="48"/>
      <c r="Q5" s="48"/>
      <c r="R5" s="48"/>
      <c r="S5" s="48"/>
      <c r="T5" s="5">
        <v>30</v>
      </c>
      <c r="U5" s="127">
        <v>7.4999999999999997E-2</v>
      </c>
      <c r="V5" s="127">
        <v>4.4999999999999998E-2</v>
      </c>
      <c r="W5" s="127">
        <v>1.7999999999999999E-2</v>
      </c>
      <c r="X5" s="127">
        <v>2.5000000000000001E-3</v>
      </c>
      <c r="Y5" s="127">
        <v>6.0000000000000001E-3</v>
      </c>
      <c r="Z5" s="128">
        <v>0.01</v>
      </c>
      <c r="AA5" s="48"/>
      <c r="AB5" s="245">
        <v>2003</v>
      </c>
      <c r="AC5" s="249"/>
      <c r="AD5" s="248">
        <v>1.24</v>
      </c>
      <c r="AE5" s="48"/>
      <c r="AF5" s="169">
        <v>3</v>
      </c>
      <c r="AG5" s="190">
        <v>1.03</v>
      </c>
      <c r="AH5" s="316" t="s">
        <v>15</v>
      </c>
      <c r="AI5" s="48"/>
      <c r="AJ5" s="616" t="s">
        <v>170</v>
      </c>
      <c r="AK5" s="617"/>
      <c r="AL5" s="617"/>
      <c r="AM5" s="618"/>
      <c r="AN5" s="621">
        <f ca="1">VLOOKUP(AN3,PricingArea,CHOOSE(Underlying,22,24))-DateToday+1</f>
        <v>8</v>
      </c>
      <c r="AP5" s="266"/>
      <c r="AQ5" s="193"/>
      <c r="AR5" s="193"/>
      <c r="AS5" s="254" t="s">
        <v>10</v>
      </c>
      <c r="AT5" s="267">
        <v>1</v>
      </c>
      <c r="AU5" s="266"/>
      <c r="AV5" s="193"/>
      <c r="AW5" s="193"/>
      <c r="AX5" s="254" t="s">
        <v>174</v>
      </c>
      <c r="AY5" s="267">
        <v>2</v>
      </c>
      <c r="AZ5" s="395"/>
      <c r="BA5" s="395"/>
      <c r="BB5" s="53"/>
      <c r="BC5" s="56" t="s">
        <v>27</v>
      </c>
      <c r="BD5" s="205"/>
      <c r="BE5" s="205"/>
      <c r="BF5" s="57"/>
      <c r="BH5" s="64" t="s">
        <v>57</v>
      </c>
      <c r="BI5" s="65" t="s">
        <v>58</v>
      </c>
      <c r="BK5" s="603" t="s">
        <v>4</v>
      </c>
      <c r="BL5" s="610">
        <f ca="1">MAX(0,(AM19-BN5)/(AL19-BN5))</f>
        <v>0.13333333333333333</v>
      </c>
      <c r="BM5" s="610">
        <f ca="1">1-BL5</f>
        <v>0.8666666666666667</v>
      </c>
      <c r="BN5" s="611">
        <f ca="1">NETWORKDAYS(FirstPricingMonth,DateToday,HolidaysBrent)-1</f>
        <v>6</v>
      </c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3"/>
      <c r="DT5" s="51"/>
      <c r="DU5" s="52"/>
      <c r="DV5" s="52"/>
      <c r="DW5" s="52"/>
      <c r="DX5" s="52"/>
      <c r="DY5" s="52"/>
      <c r="DZ5" s="52"/>
      <c r="EA5" s="52"/>
      <c r="EB5" s="52"/>
      <c r="EC5" s="52"/>
      <c r="ED5" s="52"/>
      <c r="EE5" s="52"/>
      <c r="EF5" s="52"/>
      <c r="EG5" s="52"/>
      <c r="EW5" s="52"/>
      <c r="IH5" s="36">
        <v>3</v>
      </c>
      <c r="II5" s="831" t="s">
        <v>123</v>
      </c>
      <c r="IJ5" s="832">
        <v>0.32006768437097932</v>
      </c>
      <c r="IK5" s="832">
        <v>0.30852842269474723</v>
      </c>
      <c r="IL5" s="832">
        <v>0.28987536157825927</v>
      </c>
      <c r="IM5" s="832">
        <v>0.27456954507342168</v>
      </c>
      <c r="IN5" s="832">
        <v>0.24411897252108875</v>
      </c>
      <c r="IO5" s="832">
        <v>0.19997400794556297</v>
      </c>
      <c r="IP5" s="832">
        <v>0.18716785934504918</v>
      </c>
      <c r="IQ5"/>
    </row>
    <row r="6" spans="1:251" ht="16.5" customHeight="1" thickBot="1">
      <c r="A6" s="882">
        <f ca="1">A3-A4</f>
        <v>0.56981535744498402</v>
      </c>
      <c r="B6" s="880">
        <v>-0.05</v>
      </c>
      <c r="C6" s="516">
        <f ca="1">UnderlyingPriceAsian-SwapPriceSettle</f>
        <v>-5.0000000000000711E-2</v>
      </c>
      <c r="D6" s="517">
        <f ca="1">SUMPRODUCT(CHOOSE(Underlying,W19:W258,Y19:Y258),BD19:BD258,AP19:AP258)/E32</f>
        <v>26.457379071531722</v>
      </c>
      <c r="E6" s="800">
        <f ca="1">SUMPRODUCT(CHOOSE(Underlying,X19:X258,Z19:Z258),BD19:BD258,AP19:AP258)/E32</f>
        <v>26.457379071531722</v>
      </c>
      <c r="F6" s="518">
        <v>0</v>
      </c>
      <c r="G6" s="530">
        <f ca="1">IF(F6,F6,SwapPriceCurve+PriceSpreadAsian)</f>
        <v>26.407379071531722</v>
      </c>
      <c r="H6" s="48"/>
      <c r="I6" s="48"/>
      <c r="J6" s="48"/>
      <c r="K6" s="48"/>
      <c r="L6" s="48"/>
      <c r="M6" s="48"/>
      <c r="N6" s="50"/>
      <c r="O6" s="48"/>
      <c r="P6" s="48"/>
      <c r="Q6" s="48"/>
      <c r="R6" s="48"/>
      <c r="S6" s="48"/>
      <c r="T6" s="5">
        <v>180</v>
      </c>
      <c r="U6" s="127">
        <v>6.7000000000000004E-2</v>
      </c>
      <c r="V6" s="127">
        <v>3.9E-2</v>
      </c>
      <c r="W6" s="127">
        <v>1.6E-2</v>
      </c>
      <c r="X6" s="127">
        <v>1E-3</v>
      </c>
      <c r="Y6" s="127">
        <v>2.5000000000000001E-3</v>
      </c>
      <c r="Z6" s="128">
        <v>4.0000000000000001E-3</v>
      </c>
      <c r="AA6" s="48"/>
      <c r="AB6" s="245">
        <v>2004</v>
      </c>
      <c r="AC6" s="249"/>
      <c r="AD6" s="248">
        <v>1.28</v>
      </c>
      <c r="AE6" s="48"/>
      <c r="AF6" s="171">
        <v>4</v>
      </c>
      <c r="AG6" s="191">
        <v>0.97</v>
      </c>
      <c r="AH6" s="192">
        <v>0.05</v>
      </c>
      <c r="AI6" s="48"/>
      <c r="AJ6" s="616" t="s">
        <v>168</v>
      </c>
      <c r="AK6" s="617"/>
      <c r="AL6" s="617"/>
      <c r="AM6" s="618"/>
      <c r="AN6" s="622">
        <f ca="1">VLOOKUP(AN3,PricingArea,CHOOSE(Underlying,7,36))</f>
        <v>0.39011285015805997</v>
      </c>
      <c r="AP6" s="266"/>
      <c r="AQ6" s="193"/>
      <c r="AR6" s="193"/>
      <c r="AS6" s="254" t="s">
        <v>12</v>
      </c>
      <c r="AT6" s="267">
        <v>1</v>
      </c>
      <c r="AU6" s="266"/>
      <c r="AV6" s="193"/>
      <c r="AW6" s="193"/>
      <c r="AX6" s="254" t="s">
        <v>172</v>
      </c>
      <c r="AY6" s="267">
        <v>1</v>
      </c>
      <c r="AZ6" s="395"/>
      <c r="BA6" s="395"/>
      <c r="BB6" s="53"/>
      <c r="BC6" s="188"/>
      <c r="BD6" s="187"/>
      <c r="BE6" s="194" t="s">
        <v>25</v>
      </c>
      <c r="BF6" s="121" t="e">
        <f ca="1">IF(ParticipationType=1,1,-1)*(ParticipatingSwapPrice-UnderlyingPriceAsian)*E32/D32*(1-ParticipationRate)+IF(ParticipationType=1,C14,C13)*ParticipationRate</f>
        <v>#NAME?</v>
      </c>
      <c r="BH6" s="64" t="s">
        <v>59</v>
      </c>
      <c r="BI6" s="65" t="s">
        <v>60</v>
      </c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T6" s="51"/>
      <c r="DU6" s="52"/>
      <c r="DV6" s="52"/>
      <c r="DW6" s="52"/>
      <c r="DX6" s="52"/>
      <c r="DY6" s="52"/>
      <c r="DZ6" s="52"/>
      <c r="EA6" s="52"/>
      <c r="EB6" s="52"/>
      <c r="EC6" s="52"/>
      <c r="ED6" s="52"/>
      <c r="EE6" s="52"/>
      <c r="EF6" s="52"/>
      <c r="EG6" s="52"/>
      <c r="EW6" s="52"/>
      <c r="IH6" s="36">
        <v>6</v>
      </c>
      <c r="II6" s="831" t="s">
        <v>126</v>
      </c>
      <c r="IJ6" s="832">
        <v>0.2983415021705933</v>
      </c>
      <c r="IK6" s="832">
        <v>0.28801953194152308</v>
      </c>
      <c r="IL6" s="832">
        <v>0.27256579881633441</v>
      </c>
      <c r="IM6" s="832">
        <v>0.26015657058811936</v>
      </c>
      <c r="IN6" s="832">
        <v>0.23457173226423866</v>
      </c>
      <c r="IO6" s="832">
        <v>0.196734748237332</v>
      </c>
      <c r="IP6" s="832">
        <v>0.18573279514651397</v>
      </c>
      <c r="IQ6"/>
    </row>
    <row r="7" spans="1:251" ht="15.75" customHeight="1" thickBot="1">
      <c r="A7" s="801" t="s">
        <v>265</v>
      </c>
      <c r="B7" s="54" t="s">
        <v>22</v>
      </c>
      <c r="C7" s="98"/>
      <c r="D7" s="98"/>
      <c r="E7" s="54" t="s">
        <v>23</v>
      </c>
      <c r="F7" s="98"/>
      <c r="G7" s="98"/>
      <c r="H7" s="48"/>
      <c r="I7" s="48"/>
      <c r="J7" s="48"/>
      <c r="K7" s="48"/>
      <c r="L7" s="48"/>
      <c r="M7" s="48"/>
      <c r="N7" s="50"/>
      <c r="O7" s="48"/>
      <c r="P7" s="48"/>
      <c r="Q7" s="48"/>
      <c r="R7" s="48"/>
      <c r="S7" s="48"/>
      <c r="T7" s="5">
        <v>360</v>
      </c>
      <c r="U7" s="127">
        <v>5.7000000000000002E-2</v>
      </c>
      <c r="V7" s="127">
        <v>3.3000000000000002E-2</v>
      </c>
      <c r="W7" s="127">
        <v>1.4E-2</v>
      </c>
      <c r="X7" s="127">
        <v>1E-4</v>
      </c>
      <c r="Y7" s="127">
        <v>1E-4</v>
      </c>
      <c r="Z7" s="128">
        <v>1E-4</v>
      </c>
      <c r="AA7" s="48"/>
      <c r="AB7" s="245">
        <v>2005</v>
      </c>
      <c r="AC7" s="249"/>
      <c r="AD7" s="248">
        <v>1.28</v>
      </c>
      <c r="AE7" s="48"/>
      <c r="AF7" s="48"/>
      <c r="AG7" s="48"/>
      <c r="AH7" s="48"/>
      <c r="AI7" s="48"/>
      <c r="AJ7" s="616" t="s">
        <v>180</v>
      </c>
      <c r="AK7" s="617"/>
      <c r="AL7" s="617"/>
      <c r="AM7" s="618"/>
      <c r="AN7" s="623">
        <f ca="1">VLOOKUP(AN3,PricingArea,35)</f>
        <v>4.2122523285583302E-2</v>
      </c>
      <c r="AP7" s="266"/>
      <c r="AQ7" s="193"/>
      <c r="AR7" s="193"/>
      <c r="AS7" s="254" t="s">
        <v>93</v>
      </c>
      <c r="AT7" s="267">
        <v>1</v>
      </c>
      <c r="AU7" s="266"/>
      <c r="AV7" s="193"/>
      <c r="AW7" s="193"/>
      <c r="AX7" s="254" t="s">
        <v>175</v>
      </c>
      <c r="AY7" s="267">
        <v>12</v>
      </c>
      <c r="AZ7" s="395"/>
      <c r="BA7" s="395"/>
      <c r="BB7" s="53"/>
      <c r="BC7" s="189"/>
      <c r="BD7" s="199"/>
      <c r="BE7" s="200" t="s">
        <v>26</v>
      </c>
      <c r="BF7" s="122" t="e">
        <f ca="1">IF(ParticipationType=1,C14,C13)*D32/E32*ParticipationRate/(1-ParticipationRate)</f>
        <v>#NAME?</v>
      </c>
      <c r="BH7" s="64" t="s">
        <v>61</v>
      </c>
      <c r="BI7" s="65" t="s">
        <v>62</v>
      </c>
      <c r="BK7" s="435" t="s">
        <v>224</v>
      </c>
      <c r="BL7" s="436"/>
      <c r="BM7" s="437"/>
      <c r="BN7" s="438">
        <f ca="1">SwaptionStrike/SwaptionUnderlyingPrice-1</f>
        <v>0</v>
      </c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T7" s="51"/>
      <c r="DU7" s="52"/>
      <c r="DV7" s="52"/>
      <c r="DW7" s="52"/>
      <c r="DX7" s="52"/>
      <c r="DY7" s="52"/>
      <c r="DZ7" s="52"/>
      <c r="EA7" s="52"/>
      <c r="EB7" s="52"/>
      <c r="EC7" s="52"/>
      <c r="ED7" s="52"/>
      <c r="EE7" s="52"/>
      <c r="EF7" s="52"/>
      <c r="EG7" s="52"/>
      <c r="EW7" s="52"/>
      <c r="IH7" s="36">
        <v>9</v>
      </c>
      <c r="II7" s="831" t="s">
        <v>129</v>
      </c>
      <c r="IJ7" s="832">
        <v>0.28013736011846557</v>
      </c>
      <c r="IK7" s="832">
        <v>0.27230680011286762</v>
      </c>
      <c r="IL7" s="832">
        <v>0.25890965807833138</v>
      </c>
      <c r="IM7" s="832">
        <v>0.24810097107316015</v>
      </c>
      <c r="IN7" s="832">
        <v>0.2259515545341087</v>
      </c>
      <c r="IO7" s="832">
        <v>0.19295749193683323</v>
      </c>
      <c r="IP7" s="832">
        <v>0.18341569039669489</v>
      </c>
      <c r="IQ7"/>
    </row>
    <row r="8" spans="1:251" ht="18" customHeight="1" thickBot="1">
      <c r="A8" s="489">
        <v>22</v>
      </c>
      <c r="B8" s="66"/>
      <c r="C8" s="67"/>
      <c r="D8" s="116"/>
      <c r="E8" s="74"/>
      <c r="F8" s="60" t="s">
        <v>18</v>
      </c>
      <c r="G8" s="61" t="s">
        <v>19</v>
      </c>
      <c r="H8" s="48"/>
      <c r="I8" s="48"/>
      <c r="J8" s="48"/>
      <c r="K8" s="48"/>
      <c r="L8" s="48"/>
      <c r="M8" s="48"/>
      <c r="N8" s="50"/>
      <c r="O8" s="48"/>
      <c r="P8" s="48"/>
      <c r="Q8" s="48"/>
      <c r="R8" s="48"/>
      <c r="S8" s="48"/>
      <c r="T8" s="6">
        <v>720</v>
      </c>
      <c r="U8" s="129">
        <v>4.7520000000000007E-2</v>
      </c>
      <c r="V8" s="129">
        <v>2.6400000000000003E-2</v>
      </c>
      <c r="W8" s="129">
        <v>1.2E-2</v>
      </c>
      <c r="X8" s="129">
        <v>1E-4</v>
      </c>
      <c r="Y8" s="129">
        <v>1E-4</v>
      </c>
      <c r="Z8" s="130">
        <v>1E-4</v>
      </c>
      <c r="AA8" s="48"/>
      <c r="AB8" s="246">
        <v>2006</v>
      </c>
      <c r="AC8" s="247">
        <v>0</v>
      </c>
      <c r="AD8" s="248">
        <v>1.28</v>
      </c>
      <c r="AE8" s="48"/>
      <c r="AF8" s="159" t="s">
        <v>166</v>
      </c>
      <c r="AG8" s="134"/>
      <c r="AH8" s="135"/>
      <c r="AI8" s="48"/>
      <c r="AJ8" s="624"/>
      <c r="AK8" s="625"/>
      <c r="AL8" s="625"/>
      <c r="AM8" s="626">
        <v>1</v>
      </c>
      <c r="AN8" s="627">
        <v>2</v>
      </c>
      <c r="AP8" s="266"/>
      <c r="AQ8" s="193"/>
      <c r="AR8" s="193"/>
      <c r="AS8" s="254" t="s">
        <v>113</v>
      </c>
      <c r="AT8" s="268" t="b">
        <v>0</v>
      </c>
      <c r="AU8" s="266"/>
      <c r="AV8" s="193"/>
      <c r="AW8" s="193"/>
      <c r="AX8" s="254" t="s">
        <v>176</v>
      </c>
      <c r="AY8" s="267">
        <v>1</v>
      </c>
      <c r="AZ8" s="396"/>
      <c r="BA8" s="396"/>
      <c r="BB8" s="53"/>
      <c r="BC8" s="56" t="s">
        <v>208</v>
      </c>
      <c r="BD8" s="205"/>
      <c r="BE8" s="205"/>
      <c r="BF8" s="57"/>
      <c r="BH8" s="64" t="s">
        <v>63</v>
      </c>
      <c r="BI8" s="65" t="s">
        <v>40</v>
      </c>
      <c r="BK8" s="439" t="s">
        <v>225</v>
      </c>
      <c r="BL8" s="433"/>
      <c r="BM8" s="434"/>
      <c r="BN8" s="440">
        <f ca="1">IF(VolSkewFlag=1,IF(BN7&gt;0,INDEX(BA19:BA200,SwaptionFirstMonthPosition+SwaptionNumOfMonths)*MIN(BN7/10%,1)+(INDEX(BB19:BB200,SwaptionFirstMonthPosition+SwaptionNumOfMonths)-INDEX(BA19:BA200,SwaptionFirstMonthPosition+SwaptionNumOfMonths))*MAX(0,MIN(BN7/10%-1,1))+(INDEX(BC19:BC200,SwaptionFirstMonthPosition+SwaptionNumOfMonths)-INDEX(BB19:BB200,SwaptionFirstMonthPosition+SwaptionNumOfMonths))*MAX(0,BN7/10%-2),INDEX(AZ19:AZ200,SwaptionFirstMonthPosition+SwaptionNumOfMonths)*MIN(-BN7/10%,1)+(INDEX(AY19:AY200,SwaptionFirstMonthPosition+SwaptionNumOfMonths)-INDEX(AZ19:AZ200,SwaptionFirstMonthPosition+SwaptionNumOfMonths))*MAX(0,MIN(-BN7/10%-1,1))+(INDEX(AX19:AX200,SwaptionFirstMonthPosition+SwaptionNumOfMonths)-INDEX(AY19:AY200,SwaptionFirstMonthPosition+SwaptionNumOfMonths))*MAX(0,-BN7/10%-2)),0)</f>
        <v>0</v>
      </c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T8" s="51"/>
      <c r="DU8" s="52"/>
      <c r="DV8" s="52"/>
      <c r="DW8" s="52"/>
      <c r="DX8" s="52"/>
      <c r="DY8" s="52"/>
      <c r="DZ8" s="52"/>
      <c r="EA8" s="52"/>
      <c r="EB8" s="52"/>
      <c r="EC8" s="52"/>
      <c r="ED8" s="52"/>
      <c r="EE8" s="52"/>
      <c r="EF8" s="52"/>
      <c r="EG8" s="52"/>
      <c r="EU8" s="242"/>
      <c r="EV8" s="242"/>
      <c r="EW8" s="52"/>
      <c r="EX8" s="242"/>
      <c r="EY8" s="445"/>
      <c r="EZ8" s="36"/>
      <c r="FA8" s="36"/>
      <c r="FB8" s="36"/>
      <c r="FC8" s="36"/>
      <c r="FD8" s="36"/>
      <c r="FE8" s="36"/>
      <c r="FF8" s="36"/>
      <c r="FG8" s="36"/>
      <c r="FH8" s="36"/>
      <c r="FI8" s="36"/>
      <c r="FJ8" s="36"/>
      <c r="FK8" s="36"/>
      <c r="FL8" s="36"/>
      <c r="FM8" s="36"/>
      <c r="FN8" s="36"/>
      <c r="HD8" s="36"/>
      <c r="HE8" s="36"/>
      <c r="HF8" s="36"/>
      <c r="HG8" s="242"/>
      <c r="HH8" s="36"/>
      <c r="HI8" s="36"/>
      <c r="HJ8" s="242"/>
      <c r="HK8" s="242"/>
      <c r="HL8" s="242"/>
      <c r="HM8" s="242"/>
      <c r="HN8" s="242"/>
      <c r="HO8" s="242"/>
      <c r="HP8" s="242"/>
      <c r="HQ8" s="242"/>
      <c r="HR8" s="446"/>
      <c r="HS8" s="446"/>
      <c r="HT8" s="446"/>
      <c r="HU8" s="446"/>
      <c r="HV8" s="242"/>
      <c r="HW8" s="242"/>
      <c r="HX8" s="242"/>
      <c r="HY8" s="242"/>
      <c r="HZ8" s="447"/>
      <c r="IA8" s="242"/>
      <c r="IB8" s="242"/>
      <c r="IC8" s="242"/>
      <c r="ID8" s="242"/>
      <c r="IE8" s="242"/>
      <c r="IF8" s="242"/>
      <c r="IG8" s="242"/>
      <c r="IH8" s="36">
        <v>12</v>
      </c>
      <c r="II8" s="831" t="s">
        <v>482</v>
      </c>
      <c r="IJ8" s="832">
        <v>0.26571805226175055</v>
      </c>
      <c r="IK8" s="832">
        <v>0.25830662336507887</v>
      </c>
      <c r="IL8" s="832">
        <v>0.24676681127838282</v>
      </c>
      <c r="IM8" s="832">
        <v>0.23744042467964638</v>
      </c>
      <c r="IN8" s="832">
        <v>0.21822852634447995</v>
      </c>
      <c r="IO8" s="832">
        <v>0.18941265724945219</v>
      </c>
      <c r="IP8" s="832" t="e">
        <v>#REF!</v>
      </c>
      <c r="IQ8"/>
    </row>
    <row r="9" spans="1:251" ht="15" customHeight="1" thickBot="1">
      <c r="A9" s="489">
        <f ca="1">(UnderlyingPriceAsian-A8)*E32/NominalVolume</f>
        <v>4.2893480413588971</v>
      </c>
      <c r="B9" s="75"/>
      <c r="C9" s="117"/>
      <c r="D9" s="118"/>
      <c r="E9" s="76" t="str">
        <f>CONCATENATE(IF(OptControl=4,"Put 1","Call"),IF(OptControl=3," 1",""))</f>
        <v>Call</v>
      </c>
      <c r="F9" s="519">
        <f>ROUND(2*INDEX(L20:L55,EuroOptionMonthPosition),0)/2</f>
        <v>27.5</v>
      </c>
      <c r="G9" s="520">
        <f>IF(OptControl=2,UnderlyingPriceAsian,StrikeSpec1)</f>
        <v>27.5</v>
      </c>
      <c r="H9" s="48"/>
      <c r="I9" s="48"/>
      <c r="J9" s="48"/>
      <c r="K9" s="48"/>
      <c r="L9" s="48"/>
      <c r="M9" s="48"/>
      <c r="N9" s="50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246">
        <v>2007</v>
      </c>
      <c r="AC9" s="247">
        <v>0.1</v>
      </c>
      <c r="AD9" s="248">
        <v>1.28</v>
      </c>
      <c r="AE9" s="48"/>
      <c r="AF9" s="181" t="s">
        <v>2</v>
      </c>
      <c r="AG9" s="182" t="s">
        <v>198</v>
      </c>
      <c r="AH9" s="183" t="s">
        <v>199</v>
      </c>
      <c r="AI9" s="48"/>
      <c r="AJ9" s="616" t="s">
        <v>42</v>
      </c>
      <c r="AK9" s="618"/>
      <c r="AL9" s="618"/>
      <c r="AM9" s="775">
        <f ca="1">Strike1/AN4-1</f>
        <v>8.0645161290322509E-3</v>
      </c>
      <c r="AN9" s="776">
        <f ca="1">Strike2/AN4-1</f>
        <v>8.0645161290322509E-3</v>
      </c>
      <c r="AP9" s="269"/>
      <c r="AQ9" s="270"/>
      <c r="AR9" s="270"/>
      <c r="AS9" s="271" t="s">
        <v>20</v>
      </c>
      <c r="AT9" s="272">
        <v>1</v>
      </c>
      <c r="AU9" s="269"/>
      <c r="AV9" s="270"/>
      <c r="AW9" s="270"/>
      <c r="AX9" s="271" t="s">
        <v>213</v>
      </c>
      <c r="AY9" s="272">
        <v>1</v>
      </c>
      <c r="AZ9" s="395"/>
      <c r="BA9" s="395"/>
      <c r="BB9" s="53"/>
      <c r="BC9" s="188"/>
      <c r="BD9" s="187"/>
      <c r="BE9" s="194" t="s">
        <v>25</v>
      </c>
      <c r="BF9" s="121" t="e">
        <f ca="1">IF(ParticipationType=1,1,-1)*(ParticipatingSwapPrice-UnderlyingPriceAsian)*E46/D46*(1-ParticipationRate)+IF(ParticipationType=1,C18,C17)*ParticipationRate</f>
        <v>#VALUE!</v>
      </c>
      <c r="BH9" s="64" t="s">
        <v>64</v>
      </c>
      <c r="BI9" s="65" t="s">
        <v>65</v>
      </c>
      <c r="BK9" s="439" t="s">
        <v>226</v>
      </c>
      <c r="BL9" s="433"/>
      <c r="BM9" s="434"/>
      <c r="BN9" s="440">
        <f ca="1">IF(BN7&gt;0,IF(BN7&gt;0.2,INDEX(BC19:BC200,SwaptionFirstMonthPosition+SwaptionNumOfMonths)-INDEX(BB19:BB200,SwaptionFirstMonthPosition+SwaptionNumOfMonths),IF(BN7&gt;0.1,INDEX(BB19:BB200,SwaptionFirstMonthPosition+SwaptionNumOfMonths)-INDEX(BA19:BA200,SwaptionFirstMonthPosition+SwaptionNumOfMonths),INDEX(BA19:BA200,SwaptionFirstMonthPosition+SwaptionNumOfMonths))),IF(BN7&lt;-0.2,INDEX(AX19:AX200,SwaptionFirstMonthPosition+SwaptionNumOfMonths)-INDEX(AY19:AY200,SwaptionFirstMonthPosition+SwaptionNumOfMonths),IF(BN7&lt;-0.1,INDEX(AY19:AY200,SwaptionFirstMonthPosition+SwaptionNumOfMonths)-INDEX(AZ19:AZ200,SwaptionFirstMonthPosition+SwaptionNumOfMonths),INDEX(AZ19:AZ200,SwaptionFirstMonthPosition+SwaptionNumOfMonths))))</f>
        <v>1.3934212820427595E-2</v>
      </c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T9" s="51"/>
      <c r="DU9" s="52"/>
      <c r="DV9" s="52"/>
      <c r="DW9" s="52"/>
      <c r="DX9" s="52"/>
      <c r="DY9" s="52"/>
      <c r="DZ9" s="52"/>
      <c r="EA9" s="52"/>
      <c r="EB9" s="52"/>
      <c r="EC9" s="52"/>
      <c r="ED9" s="52"/>
      <c r="EE9" s="52"/>
      <c r="EF9" s="52"/>
      <c r="EG9" s="52"/>
      <c r="EU9" s="242"/>
      <c r="EV9" s="242"/>
      <c r="EW9" s="52"/>
      <c r="EY9" s="446"/>
      <c r="EZ9" s="446"/>
      <c r="FA9" s="446"/>
      <c r="FB9" s="446"/>
      <c r="FC9" s="446"/>
      <c r="FD9" s="446"/>
      <c r="FE9" s="446"/>
      <c r="FF9" s="446"/>
      <c r="FG9" s="446"/>
      <c r="FH9" s="446"/>
      <c r="FI9" s="446"/>
      <c r="FJ9" s="446"/>
      <c r="FK9" s="446"/>
      <c r="FL9" s="446"/>
      <c r="FM9" s="446"/>
      <c r="FN9" s="242"/>
      <c r="HD9" s="36"/>
      <c r="HE9" s="36"/>
      <c r="HF9" s="36"/>
      <c r="HG9" s="242"/>
      <c r="HH9" s="36"/>
      <c r="HI9" s="36"/>
      <c r="HJ9" s="242"/>
      <c r="HK9" s="448"/>
      <c r="HL9" s="448"/>
      <c r="HM9" s="448"/>
      <c r="HN9" s="448"/>
      <c r="HO9" s="448"/>
      <c r="HP9" s="448"/>
      <c r="HQ9" s="448"/>
      <c r="HR9" s="449"/>
      <c r="HS9" s="449"/>
      <c r="HT9" s="449"/>
      <c r="HU9" s="449"/>
      <c r="HV9" s="242"/>
      <c r="HW9" s="242"/>
      <c r="HX9" s="242"/>
      <c r="HY9" s="242"/>
      <c r="HZ9" s="242"/>
      <c r="IA9" s="242"/>
      <c r="IB9" s="242"/>
      <c r="IC9" s="242"/>
      <c r="ID9" s="242"/>
      <c r="IE9" s="450"/>
      <c r="IF9" s="242"/>
      <c r="IG9" s="242"/>
      <c r="IH9" s="36">
        <v>24</v>
      </c>
      <c r="II9" s="831" t="s">
        <v>483</v>
      </c>
      <c r="IJ9" s="832">
        <v>0.22820198299939654</v>
      </c>
      <c r="IK9" s="832">
        <v>0.22387808675164511</v>
      </c>
      <c r="IL9" s="832">
        <v>0.21661664510704429</v>
      </c>
      <c r="IM9" s="832">
        <v>0.21074254089629288</v>
      </c>
      <c r="IN9" s="832">
        <v>0.1984344599380784</v>
      </c>
      <c r="IO9" s="832">
        <v>0.18007591506934309</v>
      </c>
      <c r="IP9" s="832" t="e">
        <v>#REF!</v>
      </c>
      <c r="IQ9"/>
    </row>
    <row r="10" spans="1:251" ht="15" customHeight="1" thickBot="1">
      <c r="A10" s="489" t="e">
        <f ca="1">C15*100*(A8-StrikeSpec1)</f>
        <v>#NAME?</v>
      </c>
      <c r="B10" s="78"/>
      <c r="C10" s="119"/>
      <c r="D10" s="120"/>
      <c r="E10" s="79" t="str">
        <f>CONCATENATE(IF(OptControl=3,"Call 2","Put"),IF(OptControl=4," 2",""))</f>
        <v>Put</v>
      </c>
      <c r="F10" s="521">
        <f>StrikeSpec1</f>
        <v>27.5</v>
      </c>
      <c r="G10" s="522">
        <f>IF(OptControl=2,UnderlyingPriceAsian,StrikeSpec2)</f>
        <v>27.5</v>
      </c>
      <c r="H10" s="48"/>
      <c r="I10" s="48"/>
      <c r="J10" s="48"/>
      <c r="K10" s="48"/>
      <c r="L10" s="48"/>
      <c r="M10" s="48"/>
      <c r="N10" s="50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246">
        <v>2008</v>
      </c>
      <c r="AC10" s="247">
        <v>0.2</v>
      </c>
      <c r="AD10" s="248">
        <v>1.28</v>
      </c>
      <c r="AE10" s="48"/>
      <c r="AF10" s="170">
        <v>1998</v>
      </c>
      <c r="AG10" s="356">
        <v>1</v>
      </c>
      <c r="AH10" s="358">
        <v>0</v>
      </c>
      <c r="AI10" s="48"/>
      <c r="AJ10" s="616" t="s">
        <v>13</v>
      </c>
      <c r="AK10" s="618"/>
      <c r="AL10" s="618"/>
      <c r="AM10" s="628">
        <f ca="1">AN6+IF(VolSkewFlag=1,IF(AM9&gt;0,INDEX(BA19:BA200,EuroOptionMonthPosition)*MIN(AM9/10%,1)+(INDEX(BB19:BB200,EuroOptionMonthPosition)-INDEX(BA19:BA200,EuroOptionMonthPosition))*MAX(0,MIN(AM9/10%-1,1))+(INDEX(BC19:BC200,EuroOptionMonthPosition)-INDEX(BB19:BB200,EuroOptionMonthPosition))*MAX(0,AM9/10%-2),INDEX(AZ19:AZ200,EuroOptionMonthPosition)*MIN(-AM9/10%,1)+(INDEX(AY19:AY200,EuroOptionMonthPosition)-INDEX(AZ19:AZ200,EuroOptionMonthPosition))*MAX(0,MIN(-AM9/10%-1,1))+(INDEX(AX19:AX200,EuroOptionMonthPosition)-INDEX(AY19:AY200,EuroOptionMonthPosition))*MAX(0,-AM9/10%-2)),0)</f>
        <v>0.39034629738794197</v>
      </c>
      <c r="AN10" s="622">
        <f ca="1">AN6+IF(VolSkewFlag=1,IF(AN9&gt;0,INDEX(BA19:BA200,EuroOptionMonthPosition)*MIN(AN9/10%,1)+(INDEX(BB19:BB200,EuroOptionMonthPosition)-INDEX(BA19:BA200,EuroOptionMonthPosition))*MAX(0,MIN(AN9/10%-1,1))+(INDEX(BC19:BC200,EuroOptionMonthPosition)-INDEX(BB19:BB200,EuroOptionMonthPosition))*MAX(0,AN9/10%-2),INDEX(AZ19:AZ200,EuroOptionMonthPosition)*MIN(-AN9/10%,1)+(INDEX(AY19:AY200,EuroOptionMonthPosition)-INDEX(AZ19:AZ200,EuroOptionMonthPosition))*MAX(0,MIN(-AN9/10%-1,1))+(INDEX(AX19:AX200,EuroOptionMonthPosition)-INDEX(AY19:AY200,EuroOptionMonthPosition))*MAX(0,-AN9/10%-2)),0)</f>
        <v>0.39034629738794197</v>
      </c>
      <c r="AU10" s="395"/>
      <c r="AZ10" s="395"/>
      <c r="BA10" s="395"/>
      <c r="BB10" s="53"/>
      <c r="BC10" s="189"/>
      <c r="BD10" s="199"/>
      <c r="BE10" s="200" t="s">
        <v>26</v>
      </c>
      <c r="BF10" s="122" t="e">
        <f>IF(ParticipationType=1,C18,C17)*D46/E46*ParticipationRate/(1-ParticipationRate)</f>
        <v>#VALUE!</v>
      </c>
      <c r="BH10" s="64" t="s">
        <v>66</v>
      </c>
      <c r="BI10" s="65" t="s">
        <v>67</v>
      </c>
      <c r="BK10" s="439" t="s">
        <v>491</v>
      </c>
      <c r="BL10" s="433"/>
      <c r="BM10" s="434"/>
      <c r="BN10" s="799">
        <f ca="1">(B26-DateToday+1)/365.25</f>
        <v>5.7494866529774126E-2</v>
      </c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T10" s="51"/>
      <c r="DU10" s="52"/>
      <c r="DV10" s="52"/>
      <c r="DW10" s="52"/>
      <c r="DX10" s="52"/>
      <c r="DY10" s="52"/>
      <c r="DZ10" s="52"/>
      <c r="EA10" s="52"/>
      <c r="EB10" s="52"/>
      <c r="EC10" s="52"/>
      <c r="ED10" s="52"/>
      <c r="EE10" s="52"/>
      <c r="EF10" s="52"/>
      <c r="EG10" s="52"/>
      <c r="EU10" s="242"/>
      <c r="EV10" s="242"/>
      <c r="EY10" s="446"/>
      <c r="EZ10" s="446"/>
      <c r="FA10" s="446"/>
      <c r="FB10" s="446"/>
      <c r="FC10" s="446"/>
      <c r="FD10" s="446"/>
      <c r="FE10" s="446"/>
      <c r="FF10" s="446"/>
      <c r="FG10" s="446"/>
      <c r="FH10" s="446"/>
      <c r="FI10" s="446"/>
      <c r="FJ10" s="446"/>
      <c r="FK10" s="446"/>
      <c r="FL10" s="446"/>
      <c r="FM10" s="446"/>
      <c r="FN10" s="242"/>
      <c r="HD10" s="36"/>
      <c r="HE10" s="36"/>
      <c r="HF10" s="36"/>
      <c r="HG10" s="242"/>
      <c r="HH10" s="36"/>
      <c r="HI10" s="36"/>
      <c r="HJ10" s="242"/>
      <c r="HK10" s="242"/>
      <c r="HL10" s="242"/>
      <c r="HM10" s="242"/>
      <c r="HN10" s="242"/>
      <c r="HO10" s="242"/>
      <c r="HP10" s="242"/>
      <c r="HQ10" s="242"/>
      <c r="HR10" s="446"/>
      <c r="HS10" s="446"/>
      <c r="HT10" s="446"/>
      <c r="HU10" s="446"/>
      <c r="HV10" s="242"/>
      <c r="HW10" s="242"/>
      <c r="HX10" s="242"/>
      <c r="HY10" s="242"/>
      <c r="HZ10" s="242"/>
      <c r="IA10" s="242"/>
      <c r="IB10" s="242"/>
      <c r="IC10" s="242"/>
      <c r="ID10" s="242"/>
      <c r="IE10" s="450"/>
      <c r="IF10" s="242"/>
      <c r="IG10" s="242"/>
      <c r="IH10" s="36">
        <v>36</v>
      </c>
      <c r="II10" s="831" t="s">
        <v>484</v>
      </c>
      <c r="IJ10" s="832">
        <v>0.20992291692739765</v>
      </c>
      <c r="IK10" s="832">
        <v>0.20684506726646951</v>
      </c>
      <c r="IL10" s="832">
        <v>0.2014414972694562</v>
      </c>
      <c r="IM10" s="832">
        <v>0.1971502738126146</v>
      </c>
      <c r="IN10" s="832">
        <v>0.18824575104277913</v>
      </c>
      <c r="IO10" s="832" t="e">
        <v>#REF!</v>
      </c>
      <c r="IP10" s="832" t="e">
        <v>#REF!</v>
      </c>
      <c r="IQ10"/>
    </row>
    <row r="11" spans="1:251" ht="15" customHeight="1" thickBot="1">
      <c r="A11" s="470" t="e">
        <f ca="1">A10+C13</f>
        <v>#NAME?</v>
      </c>
      <c r="B11" s="54" t="s">
        <v>116</v>
      </c>
      <c r="C11" s="55"/>
      <c r="D11" s="55"/>
      <c r="E11" s="55"/>
      <c r="F11" s="55"/>
      <c r="G11" s="55"/>
      <c r="H11" s="48"/>
      <c r="I11" s="48"/>
      <c r="J11" s="48"/>
      <c r="K11" s="48"/>
      <c r="L11" s="48"/>
      <c r="M11" s="48"/>
      <c r="N11" s="50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246">
        <v>2009</v>
      </c>
      <c r="AC11" s="247">
        <v>0.2</v>
      </c>
      <c r="AD11" s="248">
        <v>1.28</v>
      </c>
      <c r="AE11" s="48"/>
      <c r="AF11" s="126">
        <v>1999</v>
      </c>
      <c r="AG11" s="357">
        <v>1</v>
      </c>
      <c r="AH11" s="359">
        <v>0</v>
      </c>
      <c r="AI11" s="48"/>
      <c r="AJ11" s="629" t="s">
        <v>171</v>
      </c>
      <c r="AK11" s="630"/>
      <c r="AL11" s="630"/>
      <c r="AM11" s="631">
        <f ca="1">IF(AM9&gt;0,IF(AM9&gt;0.2,INDEX(BC19:BC200,EuroOptionMonthPosition)-INDEX(BB19:BB200,EuroOptionMonthPosition),IF(AM9&gt;0.1,INDEX(BB19:BB200,EuroOptionMonthPosition)-INDEX(BA19:BA200,EuroOptionMonthPosition),INDEX(BA19:BA200,EuroOptionMonthPosition))),IF(AM9&lt;-0.2,INDEX(AX19:AX200,EuroOptionMonthPosition)-INDEX(AY19:AY200,EuroOptionMonthPosition),IF(AM9&lt;-0.1,INDEX(AY19:AY200,EuroOptionMonthPosition)-INDEX(AZ19:AZ200,EuroOptionMonthPosition),INDEX(AZ19:AZ200,EuroOptionMonthPosition))))</f>
        <v>2.894745650536532E-3</v>
      </c>
      <c r="AN11" s="632">
        <f ca="1">IF(AN9&gt;0,IF(AN9&gt;0.2,INDEX(BC19:BC200,EuroOptionMonthPosition)-INDEX(BB19:BB200,EuroOptionMonthPosition),IF(AN9&gt;0.1,INDEX(BB19:BB200,EuroOptionMonthPosition)-INDEX(BA19:BA200,EuroOptionMonthPosition),INDEX(BA19:BA200,EuroOptionMonthPosition))),IF(AN9&lt;-0.2,INDEX(AX19:AX200,EuroOptionMonthPosition)-INDEX(AY19:AY200,EuroOptionMonthPosition),IF(AN9&lt;-0.1,INDEX(AY19:AY200,EuroOptionMonthPosition)-INDEX(AZ19:AZ200,EuroOptionMonthPosition),INDEX(AZ19:AZ200,EuroOptionMonthPosition))))</f>
        <v>2.894745650536532E-3</v>
      </c>
      <c r="AP11" s="123"/>
      <c r="AQ11" s="123"/>
      <c r="AR11" s="206"/>
      <c r="AS11" s="206"/>
      <c r="AT11" s="310"/>
      <c r="AU11" s="72"/>
      <c r="AV11" s="819" t="s">
        <v>494</v>
      </c>
      <c r="AW11" s="335"/>
      <c r="AX11" s="335"/>
      <c r="AY11" s="820">
        <f>MATCH(DATE(YEAR(FirstPricingMonth),12,1),I19:I260)</f>
        <v>9</v>
      </c>
      <c r="AZ11" s="395"/>
      <c r="BA11" s="395"/>
      <c r="BB11" s="53"/>
      <c r="BC11" s="56" t="s">
        <v>272</v>
      </c>
      <c r="BD11" s="205"/>
      <c r="BE11" s="205"/>
      <c r="BF11" s="57"/>
      <c r="BH11" s="64" t="s">
        <v>68</v>
      </c>
      <c r="BI11" s="65" t="s">
        <v>69</v>
      </c>
      <c r="BK11" s="790" t="s">
        <v>488</v>
      </c>
      <c r="BL11" s="791"/>
      <c r="BM11" s="792"/>
      <c r="BN11" s="793">
        <f ca="1">MAX(1,MATCH(B26-1,AD19:AD260)-MATCH(DateToday-1,AD19:AD260)+1)</f>
        <v>2</v>
      </c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T11" s="51"/>
      <c r="DU11" s="52"/>
      <c r="DV11" s="52"/>
      <c r="DW11" s="52"/>
      <c r="DX11" s="52"/>
      <c r="DY11" s="52"/>
      <c r="DZ11" s="52"/>
      <c r="EA11" s="52"/>
      <c r="EB11" s="52"/>
      <c r="EC11" s="52"/>
      <c r="ED11" s="52"/>
      <c r="EE11" s="52"/>
      <c r="EF11" s="52"/>
      <c r="EG11" s="52"/>
      <c r="EU11" s="242"/>
      <c r="EV11" s="242"/>
      <c r="EY11" s="446"/>
      <c r="EZ11" s="446"/>
      <c r="FA11" s="446"/>
      <c r="FB11" s="446"/>
      <c r="FC11" s="446"/>
      <c r="FD11" s="446"/>
      <c r="FE11" s="446"/>
      <c r="FF11" s="446"/>
      <c r="FG11" s="446"/>
      <c r="FH11" s="446"/>
      <c r="FI11" s="446"/>
      <c r="FJ11" s="446"/>
      <c r="FK11" s="446"/>
      <c r="FL11" s="446"/>
      <c r="FM11" s="446"/>
      <c r="FN11" s="242"/>
      <c r="HD11" s="36"/>
      <c r="HE11" s="36"/>
      <c r="HF11" s="36"/>
      <c r="HG11" s="242"/>
      <c r="HH11" s="36"/>
      <c r="HI11" s="36"/>
      <c r="HJ11" s="242"/>
      <c r="HK11" s="451"/>
      <c r="HL11" s="451"/>
      <c r="HM11" s="451"/>
      <c r="HN11" s="451"/>
      <c r="HO11" s="451"/>
      <c r="HP11" s="451"/>
      <c r="HQ11" s="451"/>
      <c r="HR11" s="452"/>
      <c r="HS11" s="452"/>
      <c r="HT11" s="452"/>
      <c r="HU11" s="452"/>
      <c r="HV11" s="242"/>
      <c r="HW11" s="242"/>
      <c r="HX11" s="242"/>
      <c r="HY11" s="242"/>
      <c r="HZ11" s="242"/>
      <c r="IA11" s="242"/>
      <c r="IB11" s="242"/>
      <c r="IC11" s="242"/>
      <c r="ID11" s="242"/>
      <c r="IE11" s="450"/>
      <c r="IF11" s="242"/>
      <c r="IG11" s="242"/>
      <c r="IH11" s="36">
        <v>60</v>
      </c>
      <c r="II11" s="831" t="s">
        <v>485</v>
      </c>
      <c r="IJ11" s="832">
        <v>0.19172184504276438</v>
      </c>
      <c r="IK11" s="832">
        <v>0.18957599232223893</v>
      </c>
      <c r="IL11" s="832">
        <v>0.1861097704516608</v>
      </c>
      <c r="IM11" s="832">
        <v>0.18337053956901705</v>
      </c>
      <c r="IN11" s="832" t="e">
        <v>#REF!</v>
      </c>
      <c r="IO11" s="832" t="e">
        <v>#REF!</v>
      </c>
      <c r="IP11" s="832" t="e">
        <v>#REF!</v>
      </c>
      <c r="IQ11"/>
    </row>
    <row r="12" spans="1:251" ht="12" customHeight="1" thickBot="1">
      <c r="A12" s="69" t="s">
        <v>107</v>
      </c>
      <c r="B12" s="81"/>
      <c r="C12" s="82" t="s">
        <v>28</v>
      </c>
      <c r="D12" s="60" t="s">
        <v>29</v>
      </c>
      <c r="E12" s="60" t="s">
        <v>30</v>
      </c>
      <c r="F12" s="685" t="str">
        <f>CONCATENATE(DaysForThetaCalculation,"-d Theta")</f>
        <v>1-d Theta</v>
      </c>
      <c r="G12" s="690" t="s">
        <v>475</v>
      </c>
      <c r="H12" s="48"/>
      <c r="I12" s="48"/>
      <c r="J12" s="48"/>
      <c r="K12" s="48"/>
      <c r="L12" s="48"/>
      <c r="M12" s="48"/>
      <c r="N12" s="50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246">
        <v>2010</v>
      </c>
      <c r="AC12" s="247">
        <v>0.2</v>
      </c>
      <c r="AD12" s="248">
        <v>1.28</v>
      </c>
      <c r="AE12" s="48"/>
      <c r="AF12" s="170">
        <v>2000</v>
      </c>
      <c r="AG12" s="357">
        <v>1</v>
      </c>
      <c r="AH12" s="359">
        <v>0</v>
      </c>
      <c r="AI12" s="48"/>
      <c r="AN12" s="53"/>
      <c r="AP12" s="124"/>
      <c r="AQ12" s="125"/>
      <c r="AR12" s="206"/>
      <c r="AS12" s="206"/>
      <c r="AT12" s="311"/>
      <c r="AU12" s="43"/>
      <c r="AZ12" s="395"/>
      <c r="BA12" s="395"/>
      <c r="BB12" s="53"/>
      <c r="BC12" s="188"/>
      <c r="BD12" s="187"/>
      <c r="BE12" s="194" t="s">
        <v>25</v>
      </c>
      <c r="BF12" s="121" t="e">
        <f ca="1">C16-G14</f>
        <v>#NAME?</v>
      </c>
      <c r="BH12" s="64" t="s">
        <v>70</v>
      </c>
      <c r="BI12" s="65" t="s">
        <v>71</v>
      </c>
      <c r="BK12" s="441" t="s">
        <v>489</v>
      </c>
      <c r="BL12" s="442"/>
      <c r="BM12" s="442"/>
      <c r="BN12" s="794">
        <f ca="1">IF(DateToday&lt;=AD20,0,1)</f>
        <v>0</v>
      </c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T12" s="51"/>
      <c r="DU12" s="52"/>
      <c r="DV12" s="52"/>
      <c r="DW12" s="52"/>
      <c r="DX12" s="52"/>
      <c r="DY12" s="52"/>
      <c r="DZ12" s="52"/>
      <c r="EA12" s="52"/>
      <c r="EB12" s="52"/>
      <c r="EC12" s="52"/>
      <c r="ED12" s="52"/>
      <c r="EE12" s="52"/>
      <c r="EF12" s="52"/>
      <c r="EG12" s="52"/>
      <c r="EU12" s="242"/>
      <c r="EV12" s="242"/>
      <c r="EX12" s="36"/>
      <c r="EY12" s="446"/>
      <c r="EZ12" s="446"/>
      <c r="FA12" s="446"/>
      <c r="FB12" s="446"/>
      <c r="FC12" s="446"/>
      <c r="FD12" s="446"/>
      <c r="FE12" s="446"/>
      <c r="FF12" s="446"/>
      <c r="FG12" s="446"/>
      <c r="FH12" s="446"/>
      <c r="FI12" s="446"/>
      <c r="FJ12" s="446"/>
      <c r="FK12" s="446"/>
      <c r="FL12" s="446"/>
      <c r="FM12" s="446"/>
      <c r="FN12" s="242"/>
      <c r="FO12" s="242"/>
      <c r="FP12" s="242"/>
      <c r="FQ12" s="242"/>
      <c r="FR12" s="242"/>
      <c r="FS12" s="242"/>
      <c r="FT12" s="242"/>
      <c r="FU12" s="242"/>
      <c r="FV12" s="242"/>
      <c r="FW12" s="242"/>
      <c r="FX12" s="242"/>
      <c r="FY12" s="242"/>
      <c r="FZ12" s="242"/>
      <c r="GA12" s="242"/>
      <c r="GB12" s="242"/>
      <c r="GC12" s="242"/>
      <c r="GD12" s="242"/>
      <c r="GE12" s="242"/>
      <c r="GF12" s="242"/>
      <c r="GG12" s="242"/>
      <c r="GH12" s="242"/>
      <c r="GI12" s="242"/>
      <c r="GJ12" s="242"/>
      <c r="GK12" s="242"/>
      <c r="GL12" s="242"/>
      <c r="GM12" s="242"/>
      <c r="GN12" s="242"/>
      <c r="GO12" s="242"/>
      <c r="GP12" s="242"/>
      <c r="GQ12" s="242"/>
      <c r="GR12" s="242"/>
      <c r="GS12" s="242"/>
      <c r="GT12" s="242"/>
      <c r="GU12" s="242"/>
      <c r="GV12" s="242"/>
      <c r="GW12" s="242"/>
      <c r="GX12" s="242"/>
      <c r="GY12" s="242"/>
      <c r="GZ12" s="242"/>
      <c r="HA12" s="242"/>
      <c r="HB12" s="242"/>
      <c r="HC12" s="242"/>
      <c r="HD12" s="242"/>
      <c r="HE12" s="242"/>
      <c r="HF12" s="242"/>
      <c r="HG12" s="242"/>
      <c r="HH12" s="36"/>
      <c r="HI12" s="36"/>
      <c r="HJ12" s="242"/>
      <c r="HK12" s="453"/>
      <c r="HL12" s="453"/>
      <c r="HM12" s="453"/>
      <c r="HN12" s="453"/>
      <c r="HO12" s="453"/>
      <c r="HP12" s="453"/>
      <c r="HQ12" s="453"/>
      <c r="HR12" s="454"/>
      <c r="HS12" s="454"/>
      <c r="HT12" s="454"/>
      <c r="HU12" s="454"/>
      <c r="HV12" s="242"/>
      <c r="HW12" s="242"/>
      <c r="HX12" s="242"/>
      <c r="HY12" s="242"/>
      <c r="HZ12" s="242"/>
      <c r="IA12" s="242"/>
      <c r="IB12" s="455"/>
      <c r="IC12" s="242"/>
      <c r="ID12" s="242"/>
      <c r="IE12" s="450"/>
      <c r="IF12" s="242"/>
      <c r="IG12" s="242"/>
      <c r="IH12" s="1"/>
      <c r="II12" s="830"/>
      <c r="IJ12" s="1"/>
      <c r="IK12" s="1"/>
      <c r="IL12" s="1"/>
      <c r="IM12" s="1"/>
      <c r="IN12" s="1"/>
      <c r="IO12" s="1"/>
      <c r="IP12" s="1"/>
      <c r="IQ12"/>
    </row>
    <row r="13" spans="1:251" ht="15.75" customHeight="1" thickBot="1">
      <c r="A13" s="523" t="e">
        <f ca="1">SUMPRODUCT($BD19:$BD258,EJ19:EJ258)/$D$32</f>
        <v>#NAME?</v>
      </c>
      <c r="B13" s="84" t="str">
        <f>CONCATENATE("Asian ",IF(OptControl=4,"Put 1","Call"),IF(OptControl=3," 1",""))</f>
        <v>Asian Call</v>
      </c>
      <c r="C13" s="523" t="e">
        <f ca="1">SUMPRODUCT($BD19:$BD258,CD19:CD258)/NominalVolume</f>
        <v>#NAME?</v>
      </c>
      <c r="D13" s="91" t="e">
        <f ca="1">SUMPRODUCT($BD19:$BD258,CE19:CE258)/E32</f>
        <v>#NAME?</v>
      </c>
      <c r="E13" s="91" t="e">
        <f ca="1">SUMPRODUCT($BD19:$BD258,CF19:CF258)/NominalVolume</f>
        <v>#NAME?</v>
      </c>
      <c r="F13" s="686" t="e">
        <f ca="1">SUMPRODUCT($BD19:$BD258,CG19:CG258)/NominalVolume</f>
        <v>#NAME?</v>
      </c>
      <c r="G13" s="696" t="s">
        <v>476</v>
      </c>
      <c r="H13" s="48"/>
      <c r="I13" s="48"/>
      <c r="J13" s="48"/>
      <c r="K13" s="48"/>
      <c r="L13" s="48"/>
      <c r="M13" s="48"/>
      <c r="N13" s="50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07">
        <v>2011</v>
      </c>
      <c r="AC13" s="247">
        <v>0.3</v>
      </c>
      <c r="AD13" s="248">
        <v>1.28</v>
      </c>
      <c r="AE13" s="48"/>
      <c r="AF13" s="126">
        <v>2001</v>
      </c>
      <c r="AG13" s="357">
        <v>1</v>
      </c>
      <c r="AH13" s="359">
        <v>0</v>
      </c>
      <c r="AI13" s="48"/>
      <c r="AJ13" s="311"/>
      <c r="AK13" s="311"/>
      <c r="AL13" s="311"/>
      <c r="AM13" s="389"/>
      <c r="AN13" s="311"/>
      <c r="AO13" s="471"/>
      <c r="AP13" s="334" t="s">
        <v>207</v>
      </c>
      <c r="AQ13" s="335"/>
      <c r="AR13" s="335"/>
      <c r="AS13" s="335"/>
      <c r="AT13" s="336">
        <f ca="1">DateCurve</f>
        <v>36990</v>
      </c>
      <c r="AU13" s="395"/>
      <c r="AZ13" s="395"/>
      <c r="BA13" s="395"/>
      <c r="BB13" s="53"/>
      <c r="BC13" s="189"/>
      <c r="BD13" s="199"/>
      <c r="BE13" s="200" t="s">
        <v>26</v>
      </c>
      <c r="BF13" s="122" t="e">
        <f ca="1">CostlessCollarValue/D13</f>
        <v>#NAME?</v>
      </c>
      <c r="BH13" s="64" t="s">
        <v>72</v>
      </c>
      <c r="BI13" s="65" t="s">
        <v>73</v>
      </c>
      <c r="CH13" s="43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T13" s="51"/>
      <c r="DU13" s="52"/>
      <c r="DV13" s="52"/>
      <c r="DW13" s="52"/>
      <c r="DX13" s="52"/>
      <c r="DY13" s="52"/>
      <c r="DZ13" s="52"/>
      <c r="EA13" s="52"/>
      <c r="EB13" s="52"/>
      <c r="EC13" s="52"/>
      <c r="ED13" s="52"/>
      <c r="EE13" s="52"/>
      <c r="EF13" s="52"/>
      <c r="EG13" s="52"/>
      <c r="EU13" s="242"/>
      <c r="EV13" s="242"/>
      <c r="EX13" s="242"/>
      <c r="EY13" s="446"/>
      <c r="EZ13" s="446"/>
      <c r="FA13" s="242"/>
      <c r="FB13" s="242"/>
      <c r="FC13" s="242"/>
      <c r="FD13" s="242"/>
      <c r="FE13" s="242"/>
      <c r="FF13" s="242"/>
      <c r="FG13" s="242"/>
      <c r="FH13" s="242"/>
      <c r="FI13" s="242"/>
      <c r="FJ13" s="242"/>
      <c r="FK13" s="242"/>
      <c r="FL13" s="242"/>
      <c r="FM13" s="242"/>
      <c r="FN13" s="242"/>
      <c r="FO13" s="242"/>
      <c r="FP13" s="242"/>
      <c r="FQ13" s="242"/>
      <c r="FR13" s="242"/>
      <c r="FS13" s="242"/>
      <c r="FT13" s="242"/>
      <c r="FU13" s="242"/>
      <c r="FV13" s="242"/>
      <c r="FW13" s="242"/>
      <c r="FX13" s="242"/>
      <c r="FY13" s="242"/>
      <c r="FZ13" s="242"/>
      <c r="GA13" s="242"/>
      <c r="GB13" s="242"/>
      <c r="GC13" s="242"/>
      <c r="GD13" s="242"/>
      <c r="GE13" s="242"/>
      <c r="GF13" s="242"/>
      <c r="GG13" s="242"/>
      <c r="GH13" s="242"/>
      <c r="GI13" s="242"/>
      <c r="GJ13" s="242"/>
      <c r="GK13" s="242"/>
      <c r="GL13" s="242"/>
      <c r="GM13" s="242"/>
      <c r="GN13" s="242"/>
      <c r="GO13" s="242"/>
      <c r="GP13" s="242"/>
      <c r="GQ13" s="242"/>
      <c r="GR13" s="242"/>
      <c r="GS13" s="242"/>
      <c r="GT13" s="242"/>
      <c r="GU13" s="242"/>
      <c r="GV13" s="242"/>
      <c r="GW13" s="242"/>
      <c r="GX13" s="242"/>
      <c r="GY13" s="242"/>
      <c r="GZ13" s="242"/>
      <c r="HA13" s="242"/>
      <c r="HB13" s="242"/>
      <c r="HC13" s="242"/>
      <c r="HD13" s="242"/>
      <c r="HE13" s="242"/>
      <c r="HF13" s="242"/>
      <c r="HG13" s="242"/>
      <c r="HH13" s="36"/>
      <c r="HI13" s="36"/>
      <c r="HJ13" s="36"/>
      <c r="HK13" s="453"/>
      <c r="HL13" s="453"/>
      <c r="HM13" s="453"/>
      <c r="HN13" s="453"/>
      <c r="HO13" s="453"/>
      <c r="HP13" s="453"/>
      <c r="HQ13" s="453"/>
      <c r="HR13" s="454"/>
      <c r="HS13" s="454"/>
      <c r="HT13" s="454"/>
      <c r="HU13" s="454"/>
      <c r="HV13" s="242"/>
      <c r="HW13" s="242"/>
      <c r="HX13" s="242"/>
      <c r="HY13" s="242"/>
      <c r="HZ13" s="242"/>
      <c r="IA13" s="242"/>
      <c r="IB13" s="455"/>
      <c r="IC13" s="242"/>
      <c r="ID13" s="242"/>
      <c r="IE13" s="450"/>
      <c r="IF13" s="242"/>
      <c r="IG13" s="242"/>
      <c r="IH13" s="1"/>
      <c r="II13" s="830"/>
      <c r="IJ13" s="1"/>
      <c r="IK13" s="1"/>
      <c r="IL13" s="1"/>
      <c r="IM13" s="1"/>
      <c r="IN13" s="1"/>
      <c r="IO13" s="1"/>
      <c r="IP13" s="1"/>
      <c r="IQ13"/>
    </row>
    <row r="14" spans="1:251" ht="16.5" customHeight="1" thickBot="1">
      <c r="A14" s="524" t="e">
        <f ca="1">SUMPRODUCT($BD19:$BD258,EK19:EK258)/$D$32</f>
        <v>#NAME?</v>
      </c>
      <c r="B14" s="85" t="str">
        <f>CONCATENATE(IF(OptControl=3,"Call 2","Put"),IF(OptControl=4," 2",""))</f>
        <v>Put</v>
      </c>
      <c r="C14" s="524" t="e">
        <f ca="1">SUMPRODUCT($BD19:$BD258,CH19:CH258)/NominalVolume</f>
        <v>#NAME?</v>
      </c>
      <c r="D14" s="93" t="e">
        <f ca="1">SUMPRODUCT($BD19:$BD258,CI19:CI258)/E32</f>
        <v>#NAME?</v>
      </c>
      <c r="E14" s="93" t="e">
        <f ca="1">SUMPRODUCT($BD19:$BD258,CJ19:CJ258)/NominalVolume</f>
        <v>#NAME?</v>
      </c>
      <c r="F14" s="689" t="e">
        <f ca="1">SUMPRODUCT($BD19:$BD258,CK19:CK258)/NominalVolume</f>
        <v>#NAME?</v>
      </c>
      <c r="G14" s="697">
        <v>0.05</v>
      </c>
      <c r="H14" s="48"/>
      <c r="I14" s="48"/>
      <c r="J14" s="48"/>
      <c r="K14" s="48"/>
      <c r="L14" s="48"/>
      <c r="M14" s="48"/>
      <c r="N14" s="50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246">
        <v>2012</v>
      </c>
      <c r="AC14" s="247">
        <v>0.3</v>
      </c>
      <c r="AD14" s="248">
        <v>1.28</v>
      </c>
      <c r="AE14" s="48"/>
      <c r="AF14" s="170">
        <v>2002</v>
      </c>
      <c r="AG14" s="357">
        <v>1</v>
      </c>
      <c r="AH14" s="359">
        <v>0</v>
      </c>
      <c r="AI14" s="48"/>
      <c r="AJ14" s="311"/>
      <c r="AK14" s="311"/>
      <c r="AL14" s="311"/>
      <c r="AM14" s="389"/>
      <c r="AN14" s="311"/>
      <c r="AU14" s="395"/>
      <c r="AZ14" s="395"/>
      <c r="BA14" s="395"/>
      <c r="BB14" s="53"/>
      <c r="BC14" s="53"/>
      <c r="BE14" s="53"/>
      <c r="BF14" s="53"/>
      <c r="BH14" s="70" t="s">
        <v>74</v>
      </c>
      <c r="BI14" s="71" t="s">
        <v>75</v>
      </c>
      <c r="CC14" s="531"/>
      <c r="CH14" s="43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T14" s="51"/>
      <c r="DU14" s="52"/>
      <c r="DV14" s="52"/>
      <c r="DW14" s="52"/>
      <c r="DX14" s="52"/>
      <c r="DY14" s="52"/>
      <c r="DZ14" s="52"/>
      <c r="EA14" s="52"/>
      <c r="EB14" s="52"/>
      <c r="EC14" s="52"/>
      <c r="ED14" s="52"/>
      <c r="EE14" s="52"/>
      <c r="EF14" s="52"/>
      <c r="EG14" s="52"/>
      <c r="EU14" s="242"/>
      <c r="EV14" s="242"/>
      <c r="EX14" s="242"/>
      <c r="EY14" s="446"/>
      <c r="EZ14" s="446"/>
      <c r="FA14" s="242"/>
      <c r="FB14" s="242"/>
      <c r="FC14" s="242"/>
      <c r="FD14" s="242"/>
      <c r="FE14" s="242"/>
      <c r="FF14" s="242"/>
      <c r="FG14" s="242"/>
      <c r="FH14" s="242"/>
      <c r="FI14" s="242"/>
      <c r="FJ14" s="242"/>
      <c r="FK14" s="242"/>
      <c r="FM14" s="242"/>
      <c r="FN14" s="242"/>
      <c r="FO14" s="456" t="s">
        <v>227</v>
      </c>
      <c r="FP14" s="242"/>
      <c r="FQ14" s="242"/>
      <c r="FR14" s="242"/>
      <c r="FS14" s="242"/>
      <c r="FT14" s="242"/>
      <c r="FU14" s="242"/>
      <c r="FV14" s="242"/>
      <c r="FW14" s="242"/>
      <c r="FX14" s="242"/>
      <c r="FY14" s="242"/>
      <c r="FZ14" s="242"/>
      <c r="GA14" s="242"/>
      <c r="GB14" s="242"/>
      <c r="GC14" s="242"/>
      <c r="GD14" s="242"/>
      <c r="GE14" s="242"/>
      <c r="GF14" s="242"/>
      <c r="GG14" s="242"/>
      <c r="GH14" s="242"/>
      <c r="GI14" s="242"/>
      <c r="GJ14" s="242"/>
      <c r="GK14" s="242"/>
      <c r="GL14" s="242"/>
      <c r="GM14" s="242"/>
      <c r="GN14" s="242"/>
      <c r="GO14" s="242"/>
      <c r="GP14" s="242"/>
      <c r="GQ14" s="242"/>
      <c r="GR14" s="242"/>
      <c r="GS14" s="242"/>
      <c r="GT14" s="242"/>
      <c r="GU14" s="242"/>
      <c r="GV14" s="242"/>
      <c r="GW14" s="242"/>
      <c r="GX14" s="242"/>
      <c r="GY14" s="242"/>
      <c r="GZ14" s="242"/>
      <c r="HA14" s="242"/>
      <c r="HB14" s="242"/>
      <c r="HC14" s="242"/>
      <c r="HD14" s="242"/>
      <c r="HE14" s="242"/>
      <c r="HF14" s="242"/>
      <c r="HG14" s="242"/>
      <c r="HH14" s="242"/>
      <c r="HI14" s="242"/>
      <c r="HJ14" s="242"/>
      <c r="HK14" s="242"/>
      <c r="HL14" s="242"/>
      <c r="HM14" s="242"/>
      <c r="HN14" s="242"/>
      <c r="HO14" s="242"/>
      <c r="HP14" s="242"/>
      <c r="HQ14" s="242"/>
      <c r="HR14" s="242"/>
      <c r="HS14" s="242"/>
      <c r="HT14" s="242"/>
      <c r="HU14" s="242"/>
      <c r="HV14" s="242"/>
      <c r="HW14" s="242"/>
      <c r="HX14" s="242"/>
      <c r="HY14" s="242"/>
      <c r="HZ14" s="242"/>
      <c r="IA14" s="242"/>
      <c r="IB14" s="242"/>
      <c r="IC14" s="242"/>
      <c r="ID14" s="242"/>
      <c r="IE14" s="242"/>
      <c r="IF14" s="242"/>
      <c r="IG14" s="242"/>
      <c r="IH14" s="1"/>
      <c r="II14" s="1"/>
      <c r="IJ14" s="1"/>
      <c r="IK14" s="1"/>
      <c r="IL14" s="1"/>
      <c r="IM14" s="1"/>
      <c r="IN14" s="1"/>
      <c r="IO14" s="1"/>
      <c r="IP14" s="1"/>
      <c r="IQ14"/>
    </row>
    <row r="15" spans="1:251" s="72" customFormat="1" ht="16.5" customHeight="1" thickBot="1">
      <c r="A15" s="525" t="e">
        <f ca="1">A13+A14*IF(OptControl&gt;2,-1,1)</f>
        <v>#NAME?</v>
      </c>
      <c r="B15" s="443" t="str">
        <f>IF(OptControl=3,"Call Spread",IF(OptControl=4,"Put Spread","Straddle"))</f>
        <v>Straddle</v>
      </c>
      <c r="C15" s="525" t="e">
        <f ca="1">C13+C14*IF(OptControl&gt;2,-1,1)</f>
        <v>#NAME?</v>
      </c>
      <c r="D15" s="444" t="e">
        <f ca="1">D13+D14*IF(OptControl&gt;2,-1,1)</f>
        <v>#NAME?</v>
      </c>
      <c r="E15" s="444" t="e">
        <f ca="1">E13+E14*IF(OptControl&gt;2,-1,1)</f>
        <v>#NAME?</v>
      </c>
      <c r="F15" s="687" t="e">
        <f ca="1">F13+F14*IF(OptControl&gt;2,-1,1)</f>
        <v>#NAME?</v>
      </c>
      <c r="G15" s="692"/>
      <c r="H15" s="49"/>
      <c r="I15" s="490">
        <f>Underlying</f>
        <v>1</v>
      </c>
      <c r="J15" s="390" t="s">
        <v>205</v>
      </c>
      <c r="K15" s="320"/>
      <c r="L15" s="320"/>
      <c r="M15" s="287" t="s">
        <v>206</v>
      </c>
      <c r="N15" s="320"/>
      <c r="O15" s="321"/>
      <c r="P15" s="287" t="s">
        <v>214</v>
      </c>
      <c r="Q15" s="320"/>
      <c r="R15" s="320"/>
      <c r="S15" s="477" t="s">
        <v>109</v>
      </c>
      <c r="T15" s="324" t="s">
        <v>164</v>
      </c>
      <c r="U15" s="375"/>
      <c r="V15" s="184"/>
      <c r="W15" s="290" t="s">
        <v>43</v>
      </c>
      <c r="X15" s="320"/>
      <c r="Y15" s="410"/>
      <c r="Z15" s="410"/>
      <c r="AA15" s="411"/>
      <c r="AB15" s="411"/>
      <c r="AC15" s="320" t="s">
        <v>50</v>
      </c>
      <c r="AD15" s="222"/>
      <c r="AE15" s="222"/>
      <c r="AF15" s="222"/>
      <c r="AG15" s="212" t="s">
        <v>215</v>
      </c>
      <c r="AH15" s="214"/>
      <c r="AI15" s="212" t="s">
        <v>184</v>
      </c>
      <c r="AJ15" s="213"/>
      <c r="AK15" s="213"/>
      <c r="AL15" s="213"/>
      <c r="AM15" s="213"/>
      <c r="AN15" s="213"/>
      <c r="AO15" s="287" t="s">
        <v>187</v>
      </c>
      <c r="AP15" s="837"/>
      <c r="AQ15" s="289"/>
      <c r="AR15" s="288"/>
      <c r="AS15" s="287" t="s">
        <v>203</v>
      </c>
      <c r="AT15" s="228"/>
      <c r="AU15" s="228"/>
      <c r="AV15" s="229"/>
      <c r="AW15" s="432" t="s">
        <v>11</v>
      </c>
      <c r="AX15" s="255"/>
      <c r="AY15" s="255"/>
      <c r="AZ15" s="255"/>
      <c r="BA15" s="255"/>
      <c r="BB15" s="255"/>
      <c r="BC15" s="281"/>
      <c r="BD15" s="290" t="s">
        <v>210</v>
      </c>
      <c r="BE15" s="281"/>
      <c r="BF15" s="250"/>
      <c r="BG15" s="273"/>
      <c r="BH15" s="252" t="s">
        <v>181</v>
      </c>
      <c r="BI15" s="240" t="s">
        <v>190</v>
      </c>
      <c r="BJ15" s="147"/>
      <c r="BK15" s="147"/>
      <c r="BL15" s="147"/>
      <c r="BM15" s="255"/>
      <c r="BN15" s="255"/>
      <c r="BO15" s="255"/>
      <c r="BP15" s="222"/>
      <c r="BQ15" s="222"/>
      <c r="BR15" s="222"/>
      <c r="BS15" s="222"/>
      <c r="BT15" s="222"/>
      <c r="BU15" s="498"/>
      <c r="BV15" s="498"/>
      <c r="BW15" s="498"/>
      <c r="BX15" s="498"/>
      <c r="BY15" s="498"/>
      <c r="BZ15" s="498"/>
      <c r="CA15" s="498"/>
      <c r="CB15" s="498"/>
      <c r="CC15" s="498"/>
      <c r="CD15" s="498"/>
      <c r="CE15" s="498"/>
      <c r="CF15" s="498"/>
      <c r="CG15" s="498"/>
      <c r="CH15" s="498"/>
      <c r="CI15" s="498"/>
      <c r="CJ15" s="498"/>
      <c r="CK15" s="499"/>
      <c r="CL15" s="51"/>
      <c r="CM15" s="712" t="s">
        <v>481</v>
      </c>
      <c r="CN15" s="713"/>
      <c r="CO15" s="713"/>
      <c r="CP15" s="713"/>
      <c r="CQ15" s="713"/>
      <c r="CR15" s="713"/>
      <c r="CS15" s="713"/>
      <c r="CT15" s="713"/>
      <c r="CU15" s="713"/>
      <c r="CV15" s="713"/>
      <c r="CW15" s="713"/>
      <c r="CX15" s="713"/>
      <c r="CY15" s="713"/>
      <c r="CZ15" s="713"/>
      <c r="DA15" s="713"/>
      <c r="DB15" s="713"/>
      <c r="DC15" s="714"/>
      <c r="DD15" s="51"/>
      <c r="DE15" s="383"/>
      <c r="DF15" s="384"/>
      <c r="DG15" s="384"/>
      <c r="DH15" s="384"/>
      <c r="DI15" s="384"/>
      <c r="DJ15" s="384"/>
      <c r="DK15" s="384"/>
      <c r="DL15" s="384"/>
      <c r="DM15" s="384"/>
      <c r="DN15" s="384"/>
      <c r="DO15" s="385"/>
      <c r="DP15" s="384"/>
      <c r="DQ15" s="384"/>
      <c r="DR15" s="384"/>
      <c r="DS15" s="384"/>
      <c r="DT15" s="384"/>
      <c r="DU15" s="384"/>
      <c r="DV15" s="384"/>
      <c r="DW15" s="384"/>
      <c r="DX15" s="384"/>
      <c r="DY15" s="385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53"/>
      <c r="EM15" s="472"/>
      <c r="EN15" s="53"/>
      <c r="EO15" s="53"/>
      <c r="EP15" s="53"/>
      <c r="EQ15" s="1"/>
      <c r="ER15" s="103"/>
      <c r="ES15" s="103"/>
      <c r="ET15" s="1"/>
      <c r="EU15" s="103"/>
      <c r="EV15" s="53"/>
      <c r="EW15" s="242"/>
      <c r="EX15" s="242"/>
      <c r="EZ15" s="242"/>
      <c r="FA15" s="446"/>
      <c r="FB15" s="446"/>
      <c r="FC15" s="242"/>
      <c r="FD15" s="242"/>
      <c r="FE15" s="242"/>
      <c r="FF15" s="242"/>
      <c r="FG15" s="242"/>
      <c r="FH15" s="242"/>
      <c r="FI15" s="242"/>
      <c r="FJ15" s="242"/>
      <c r="FK15" s="242"/>
      <c r="FL15" s="242"/>
      <c r="FM15" s="242"/>
      <c r="FN15" s="242"/>
      <c r="FO15" s="458">
        <f ca="1">MAX(EX20,0)</f>
        <v>2.190280629705681E-2</v>
      </c>
      <c r="FP15" s="458">
        <f ca="1">INDEX($EX$20:$EX$200,FP19)-FO15</f>
        <v>8.2135523613963049E-2</v>
      </c>
      <c r="FQ15" s="447">
        <f t="shared" ref="FQ15:IH15" ca="1" si="0">INDEX($EX$20:$EX$92,FQ19)-INDEX($EX$20:$EX$92,FQ19-1)</f>
        <v>7.939767282683094E-2</v>
      </c>
      <c r="FR15" s="447">
        <f t="shared" ca="1" si="0"/>
        <v>8.7611225188227254E-2</v>
      </c>
      <c r="FS15" s="447">
        <f t="shared" ca="1" si="0"/>
        <v>8.2135523613963035E-2</v>
      </c>
      <c r="FT15" s="447">
        <f t="shared" ca="1" si="0"/>
        <v>8.7611225188227226E-2</v>
      </c>
      <c r="FU15" s="447">
        <f t="shared" ca="1" si="0"/>
        <v>8.2135523613963091E-2</v>
      </c>
      <c r="FV15" s="447">
        <f t="shared" ca="1" si="0"/>
        <v>7.6659822039698788E-2</v>
      </c>
      <c r="FW15" s="447">
        <f t="shared" ca="1" si="0"/>
        <v>8.2135523613963035E-2</v>
      </c>
      <c r="FX15" s="447">
        <f t="shared" ca="1" si="0"/>
        <v>9.034907597535935E-2</v>
      </c>
      <c r="FY15" s="447">
        <f t="shared" ca="1" si="0"/>
        <v>7.9397672826830967E-2</v>
      </c>
      <c r="FZ15" s="447">
        <f t="shared" ca="1" si="0"/>
        <v>7.9397672826830856E-2</v>
      </c>
      <c r="GA15" s="447">
        <f t="shared" ca="1" si="0"/>
        <v>9.034907597535935E-2</v>
      </c>
      <c r="GB15" s="447">
        <f t="shared" ca="1" si="0"/>
        <v>7.9397672826831078E-2</v>
      </c>
      <c r="GC15" s="447">
        <f t="shared" ca="1" si="0"/>
        <v>8.761122518822706E-2</v>
      </c>
      <c r="GD15" s="447">
        <f t="shared" ca="1" si="0"/>
        <v>8.2135523613963146E-2</v>
      </c>
      <c r="GE15" s="447">
        <f t="shared" ca="1" si="0"/>
        <v>7.9397672826830856E-2</v>
      </c>
      <c r="GF15" s="447">
        <f t="shared" ca="1" si="0"/>
        <v>9.034907597535935E-2</v>
      </c>
      <c r="GG15" s="447">
        <f t="shared" ca="1" si="0"/>
        <v>8.2135523613963146E-2</v>
      </c>
      <c r="GH15" s="447">
        <f t="shared" ca="1" si="0"/>
        <v>7.9397672826830856E-2</v>
      </c>
      <c r="GI15" s="447">
        <f t="shared" ca="1" si="0"/>
        <v>8.4873374401095214E-2</v>
      </c>
      <c r="GJ15" s="447">
        <f t="shared" ca="1" si="0"/>
        <v>8.4873374401094992E-2</v>
      </c>
      <c r="GK15" s="447">
        <f t="shared" ca="1" si="0"/>
        <v>8.4873374401095214E-2</v>
      </c>
      <c r="GL15" s="447">
        <f t="shared" ca="1" si="0"/>
        <v>7.6659822039698788E-2</v>
      </c>
      <c r="GM15" s="447">
        <f t="shared" ca="1" si="0"/>
        <v>8.4873374401094992E-2</v>
      </c>
      <c r="GN15" s="447">
        <f t="shared" ca="1" si="0"/>
        <v>8.2135523613963368E-2</v>
      </c>
      <c r="GO15" s="447">
        <f t="shared" ca="1" si="0"/>
        <v>8.4873374401094992E-2</v>
      </c>
      <c r="GP15" s="447">
        <f t="shared" ca="1" si="0"/>
        <v>8.2135523613962924E-2</v>
      </c>
      <c r="GQ15" s="447">
        <f t="shared" ca="1" si="0"/>
        <v>8.4873374401095436E-2</v>
      </c>
      <c r="GR15" s="447">
        <f t="shared" ca="1" si="0"/>
        <v>8.4873374401094992E-2</v>
      </c>
      <c r="GS15" s="447">
        <f t="shared" ca="1" si="0"/>
        <v>8.2135523613962924E-2</v>
      </c>
      <c r="GT15" s="447">
        <f t="shared" ca="1" si="0"/>
        <v>8.4873374401095436E-2</v>
      </c>
      <c r="GU15" s="447">
        <f t="shared" ca="1" si="0"/>
        <v>8.2135523613962924E-2</v>
      </c>
      <c r="GV15" s="447">
        <f t="shared" ca="1" si="0"/>
        <v>8.4873374401094992E-2</v>
      </c>
      <c r="GW15" s="447">
        <f t="shared" ca="1" si="0"/>
        <v>8.4873374401095436E-2</v>
      </c>
      <c r="GX15" s="447">
        <f t="shared" ca="1" si="0"/>
        <v>7.9397672826830856E-2</v>
      </c>
      <c r="GY15" s="447">
        <f t="shared" ca="1" si="0"/>
        <v>8.4873374401094992E-2</v>
      </c>
      <c r="GZ15" s="447">
        <f t="shared" ca="1" si="0"/>
        <v>8.2135523613962924E-2</v>
      </c>
      <c r="HA15" s="447">
        <f t="shared" ca="1" si="0"/>
        <v>8.4873374401095436E-2</v>
      </c>
      <c r="HB15" s="447">
        <f t="shared" ca="1" si="0"/>
        <v>8.2135523613962924E-2</v>
      </c>
      <c r="HC15" s="447">
        <f t="shared" ca="1" si="0"/>
        <v>8.4873374401094992E-2</v>
      </c>
      <c r="HD15" s="447">
        <f t="shared" ca="1" si="0"/>
        <v>8.4873374401095436E-2</v>
      </c>
      <c r="HE15" s="447">
        <f t="shared" ca="1" si="0"/>
        <v>8.2135523613962924E-2</v>
      </c>
      <c r="HF15" s="447">
        <f t="shared" ca="1" si="0"/>
        <v>8.4873374401094992E-2</v>
      </c>
      <c r="HG15" s="447">
        <f t="shared" ca="1" si="0"/>
        <v>8.2135523613962924E-2</v>
      </c>
      <c r="HH15" s="447">
        <f t="shared" ca="1" si="0"/>
        <v>8.4873374401095436E-2</v>
      </c>
      <c r="HI15" s="447">
        <f t="shared" ca="1" si="0"/>
        <v>8.4873374401094992E-2</v>
      </c>
      <c r="HJ15" s="447">
        <f t="shared" ca="1" si="0"/>
        <v>7.6659822039698788E-2</v>
      </c>
      <c r="HK15" s="447">
        <f t="shared" ca="1" si="0"/>
        <v>8.4873374401094992E-2</v>
      </c>
      <c r="HL15" s="447">
        <f t="shared" ca="1" si="0"/>
        <v>8.2135523613962924E-2</v>
      </c>
      <c r="HM15" s="447">
        <f t="shared" ca="1" si="0"/>
        <v>8.487337440109588E-2</v>
      </c>
      <c r="HN15" s="447">
        <f t="shared" ca="1" si="0"/>
        <v>8.2135523613962924E-2</v>
      </c>
      <c r="HO15" s="447">
        <f t="shared" ca="1" si="0"/>
        <v>8.4873374401094992E-2</v>
      </c>
      <c r="HP15" s="447">
        <f t="shared" ca="1" si="0"/>
        <v>8.4873374401094992E-2</v>
      </c>
      <c r="HQ15" s="447">
        <f t="shared" ca="1" si="0"/>
        <v>8.2135523613962924E-2</v>
      </c>
      <c r="HR15" s="447">
        <f t="shared" ca="1" si="0"/>
        <v>8.4873374401094992E-2</v>
      </c>
      <c r="HS15" s="447">
        <f t="shared" ca="1" si="0"/>
        <v>8.2135523613962924E-2</v>
      </c>
      <c r="HT15" s="447">
        <f t="shared" ca="1" si="0"/>
        <v>8.487337440109588E-2</v>
      </c>
      <c r="HU15" s="447">
        <f t="shared" ca="1" si="0"/>
        <v>8.4873374401094992E-2</v>
      </c>
      <c r="HV15" s="447">
        <f t="shared" ca="1" si="0"/>
        <v>7.6659822039698788E-2</v>
      </c>
      <c r="HW15" s="447">
        <f t="shared" ca="1" si="0"/>
        <v>8.4873374401094992E-2</v>
      </c>
      <c r="HX15" s="447">
        <f t="shared" ca="1" si="0"/>
        <v>8.2135523613962924E-2</v>
      </c>
      <c r="HY15" s="447">
        <f t="shared" ca="1" si="0"/>
        <v>8.4873374401094992E-2</v>
      </c>
      <c r="HZ15" s="447">
        <f t="shared" ca="1" si="0"/>
        <v>8.2135523613962924E-2</v>
      </c>
      <c r="IA15" s="447">
        <f t="shared" ca="1" si="0"/>
        <v>8.487337440109588E-2</v>
      </c>
      <c r="IB15" s="447">
        <f t="shared" ca="1" si="0"/>
        <v>8.4873374401094992E-2</v>
      </c>
      <c r="IC15" s="447">
        <f t="shared" ca="1" si="0"/>
        <v>8.2135523613962924E-2</v>
      </c>
      <c r="ID15" s="447">
        <f t="shared" ca="1" si="0"/>
        <v>8.4873374401094992E-2</v>
      </c>
      <c r="IE15" s="447">
        <f t="shared" ca="1" si="0"/>
        <v>8.2135523613962924E-2</v>
      </c>
      <c r="IF15" s="447">
        <f t="shared" ca="1" si="0"/>
        <v>8.4873374401094992E-2</v>
      </c>
      <c r="IG15" s="447">
        <f t="shared" ca="1" si="0"/>
        <v>8.487337440109588E-2</v>
      </c>
      <c r="IH15" s="447">
        <f t="shared" ca="1" si="0"/>
        <v>7.6659822039698788E-2</v>
      </c>
      <c r="II15" s="242"/>
    </row>
    <row r="16" spans="1:251" ht="14.25" customHeight="1" thickBot="1">
      <c r="A16" s="526" t="e">
        <f ca="1">IF(OptControl&gt;2,"",A13-A14)</f>
        <v>#NAME?</v>
      </c>
      <c r="B16" s="86" t="str">
        <f>IF(OptControl&gt;2,"","Fence")</f>
        <v>Fence</v>
      </c>
      <c r="C16" s="526" t="e">
        <f ca="1">IF(OptControl&gt;2,"",C13-C14)</f>
        <v>#NAME?</v>
      </c>
      <c r="D16" s="94" t="e">
        <f ca="1">IF(OptControl&gt;2,"",D13-D14)</f>
        <v>#NAME?</v>
      </c>
      <c r="E16" s="94" t="e">
        <f ca="1">IF(OptControl&gt;2,"",E13-E14)</f>
        <v>#NAME?</v>
      </c>
      <c r="F16" s="688" t="e">
        <f ca="1">IF(OptControl&gt;2,"",F13-F14)</f>
        <v>#NAME?</v>
      </c>
      <c r="G16" s="691"/>
      <c r="H16" s="49"/>
      <c r="I16" s="491">
        <f>Underlying</f>
        <v>1</v>
      </c>
      <c r="J16" s="391"/>
      <c r="K16" s="309"/>
      <c r="L16" s="309"/>
      <c r="M16" s="322"/>
      <c r="N16" s="309"/>
      <c r="O16" s="323"/>
      <c r="P16" s="322"/>
      <c r="Q16" s="309"/>
      <c r="R16" s="309"/>
      <c r="S16" s="478" t="s">
        <v>13</v>
      </c>
      <c r="T16" s="325" t="s">
        <v>162</v>
      </c>
      <c r="U16" s="376" t="s">
        <v>163</v>
      </c>
      <c r="V16" s="185" t="s">
        <v>112</v>
      </c>
      <c r="W16" s="412"/>
      <c r="X16" s="404"/>
      <c r="Y16" s="406"/>
      <c r="Z16" s="404"/>
      <c r="AA16" s="406"/>
      <c r="AB16" s="413"/>
      <c r="AC16" s="223"/>
      <c r="AD16" s="223"/>
      <c r="AE16" s="223"/>
      <c r="AF16" s="223"/>
      <c r="AG16" s="244" t="s">
        <v>216</v>
      </c>
      <c r="AH16" s="243"/>
      <c r="AI16" s="244" t="s">
        <v>185</v>
      </c>
      <c r="AJ16" s="274"/>
      <c r="AK16" s="274"/>
      <c r="AL16" s="274"/>
      <c r="AM16" s="274"/>
      <c r="AN16" s="274"/>
      <c r="AO16" s="841" t="s">
        <v>498</v>
      </c>
      <c r="AP16" s="209"/>
      <c r="AQ16" s="838" t="s">
        <v>499</v>
      </c>
      <c r="AR16" s="842"/>
      <c r="AS16" s="327" t="s">
        <v>204</v>
      </c>
      <c r="AT16" s="231"/>
      <c r="AU16" s="232"/>
      <c r="AV16" s="232"/>
      <c r="AW16" s="429"/>
      <c r="AX16" s="230"/>
      <c r="AY16" s="231"/>
      <c r="AZ16" s="231"/>
      <c r="BA16" s="231"/>
      <c r="BB16" s="231"/>
      <c r="BC16" s="232"/>
      <c r="BD16" s="345" t="s">
        <v>31</v>
      </c>
      <c r="BE16" s="346"/>
      <c r="BF16" s="238" t="s">
        <v>39</v>
      </c>
      <c r="BG16" s="237" t="s">
        <v>40</v>
      </c>
      <c r="BH16" s="253" t="s">
        <v>77</v>
      </c>
      <c r="BI16" s="291" t="s">
        <v>197</v>
      </c>
      <c r="BJ16" s="211"/>
      <c r="BK16" s="211"/>
      <c r="BL16" s="211"/>
      <c r="BM16" s="305" t="s">
        <v>188</v>
      </c>
      <c r="BN16" s="293"/>
      <c r="BO16" s="294"/>
      <c r="BP16" s="292"/>
      <c r="BQ16" s="293" t="s">
        <v>42</v>
      </c>
      <c r="BR16" s="294"/>
      <c r="BS16" s="293" t="s">
        <v>193</v>
      </c>
      <c r="BT16" s="294"/>
      <c r="BU16" s="500" t="s">
        <v>192</v>
      </c>
      <c r="BV16" s="501"/>
      <c r="BW16" s="500" t="s">
        <v>273</v>
      </c>
      <c r="BX16" s="501"/>
      <c r="BY16" s="500" t="s">
        <v>191</v>
      </c>
      <c r="BZ16" s="500"/>
      <c r="CA16" s="500"/>
      <c r="CB16" s="501"/>
      <c r="CC16" s="502"/>
      <c r="CD16" s="503" t="s">
        <v>196</v>
      </c>
      <c r="CE16" s="500"/>
      <c r="CF16" s="500"/>
      <c r="CG16" s="500"/>
      <c r="CH16" s="500"/>
      <c r="CI16" s="500"/>
      <c r="CJ16" s="500"/>
      <c r="CK16" s="504"/>
      <c r="CL16" s="51"/>
      <c r="CM16" s="715" t="s">
        <v>77</v>
      </c>
      <c r="CN16" s="698" t="s">
        <v>477</v>
      </c>
      <c r="CO16" s="700" t="s">
        <v>42</v>
      </c>
      <c r="CP16" s="701"/>
      <c r="CQ16" s="700" t="s">
        <v>479</v>
      </c>
      <c r="CR16" s="701"/>
      <c r="CS16" s="704" t="s">
        <v>46</v>
      </c>
      <c r="CT16" s="700" t="s">
        <v>480</v>
      </c>
      <c r="CU16" s="701"/>
      <c r="CV16" s="706" t="str">
        <f>CD17</f>
        <v>Call</v>
      </c>
      <c r="CW16" s="707"/>
      <c r="CX16" s="707"/>
      <c r="CY16" s="708"/>
      <c r="CZ16" s="706" t="str">
        <f>CH17</f>
        <v>Put</v>
      </c>
      <c r="DA16" s="707"/>
      <c r="DB16" s="707"/>
      <c r="DC16" s="726"/>
      <c r="DE16" s="386"/>
      <c r="DF16" s="387"/>
      <c r="DG16" s="387"/>
      <c r="DH16" s="387"/>
      <c r="DI16" s="387"/>
      <c r="DJ16" s="387"/>
      <c r="DK16" s="387"/>
      <c r="DL16" s="387"/>
      <c r="DM16" s="387"/>
      <c r="DN16" s="387"/>
      <c r="DO16" s="633"/>
      <c r="DP16" s="387"/>
      <c r="DQ16" s="387"/>
      <c r="DR16" s="387"/>
      <c r="DS16" s="387"/>
      <c r="DT16" s="387"/>
      <c r="DU16" s="387"/>
      <c r="DV16" s="387"/>
      <c r="DW16" s="387"/>
      <c r="DX16" s="387"/>
      <c r="DY16" s="388"/>
      <c r="DZ16" s="1"/>
      <c r="EA16" s="847" t="s">
        <v>504</v>
      </c>
      <c r="EB16" s="2"/>
      <c r="EC16" s="2"/>
      <c r="ED16" s="2"/>
      <c r="EE16" s="847" t="s">
        <v>500</v>
      </c>
      <c r="EF16" s="848"/>
      <c r="EG16" s="845" t="s">
        <v>107</v>
      </c>
      <c r="EH16" s="2"/>
      <c r="EI16" s="2"/>
      <c r="EJ16" s="2"/>
      <c r="EK16" s="47"/>
      <c r="EP16" s="53"/>
      <c r="EQ16" s="1"/>
      <c r="ER16" s="103"/>
      <c r="ES16" s="103"/>
      <c r="ET16" s="1"/>
      <c r="EU16" s="103"/>
      <c r="EW16" s="242"/>
      <c r="EX16" s="242"/>
      <c r="EY16" s="242"/>
      <c r="EZ16" s="242"/>
      <c r="FA16" s="445"/>
      <c r="FB16" s="36"/>
      <c r="FC16" s="36"/>
      <c r="FD16" s="36"/>
      <c r="FE16" s="36"/>
      <c r="FF16" s="36"/>
      <c r="FG16" s="36"/>
      <c r="FH16" s="36"/>
      <c r="FI16" s="36"/>
      <c r="FJ16" s="36"/>
      <c r="FK16" s="36"/>
      <c r="FL16" s="36"/>
      <c r="FM16" s="36"/>
      <c r="FN16" s="459"/>
      <c r="FO16" s="459"/>
      <c r="FP16" s="7"/>
      <c r="FQ16" s="36"/>
      <c r="FR16" s="36"/>
      <c r="FS16" s="36"/>
      <c r="FT16" s="36"/>
      <c r="FU16" s="36"/>
      <c r="FV16" s="36"/>
      <c r="FW16" s="36"/>
      <c r="FX16" s="36"/>
      <c r="FY16" s="36"/>
      <c r="FZ16" s="36"/>
      <c r="GA16" s="36"/>
      <c r="GB16" s="36"/>
      <c r="GC16" s="36"/>
      <c r="GD16" s="36"/>
      <c r="GE16" s="36"/>
      <c r="GF16" s="36"/>
      <c r="GG16" s="36"/>
      <c r="GH16" s="36"/>
      <c r="GI16" s="36"/>
      <c r="GJ16" s="36"/>
      <c r="GK16" s="36"/>
      <c r="GL16" s="36"/>
      <c r="GM16" s="36"/>
      <c r="GN16" s="36"/>
      <c r="GO16" s="36"/>
      <c r="GP16" s="36"/>
      <c r="GQ16" s="36"/>
      <c r="GR16" s="36"/>
      <c r="GS16" s="36"/>
      <c r="GT16" s="36"/>
      <c r="GU16" s="36"/>
      <c r="GV16" s="36"/>
      <c r="GW16" s="36"/>
      <c r="GX16" s="36"/>
      <c r="GY16" s="36"/>
      <c r="GZ16" s="36"/>
      <c r="HA16" s="36"/>
      <c r="HB16" s="36"/>
      <c r="HC16" s="36"/>
      <c r="HD16" s="36"/>
      <c r="HE16" s="36"/>
      <c r="HF16" s="36"/>
      <c r="HG16" s="36"/>
      <c r="HH16" s="36"/>
      <c r="HI16" s="242"/>
      <c r="HJ16" s="36"/>
      <c r="HK16" s="36"/>
      <c r="HL16" s="36"/>
      <c r="HM16" s="453"/>
      <c r="HN16" s="453"/>
      <c r="HO16" s="453"/>
      <c r="HP16" s="453"/>
      <c r="HQ16" s="453"/>
      <c r="HR16" s="453"/>
      <c r="HS16" s="453"/>
      <c r="HT16" s="454"/>
      <c r="HU16" s="454"/>
      <c r="HV16" s="454"/>
      <c r="HW16" s="454"/>
      <c r="HX16" s="242"/>
      <c r="HY16" s="242"/>
      <c r="HZ16" s="242"/>
      <c r="IA16" s="242"/>
      <c r="IB16" s="447"/>
      <c r="IC16" s="242"/>
      <c r="ID16" s="242"/>
      <c r="IE16" s="242"/>
      <c r="IF16" s="242"/>
      <c r="IG16" s="242"/>
      <c r="IH16" s="242"/>
      <c r="II16" s="242"/>
    </row>
    <row r="17" spans="1:243" ht="15" customHeight="1" thickBot="1">
      <c r="A17" s="595">
        <f>L20*O20*SQRT(2/260/3.14)</f>
        <v>0.52674221034694857</v>
      </c>
      <c r="B17" s="54" t="s">
        <v>120</v>
      </c>
      <c r="C17" s="55"/>
      <c r="D17" s="55"/>
      <c r="E17" s="55"/>
      <c r="F17" s="55"/>
      <c r="G17" s="55"/>
      <c r="H17" s="49"/>
      <c r="I17" s="492">
        <f>Underlying</f>
        <v>1</v>
      </c>
      <c r="J17" s="373"/>
      <c r="K17" s="328"/>
      <c r="L17" s="373"/>
      <c r="M17" s="329"/>
      <c r="N17" s="328"/>
      <c r="O17" s="330"/>
      <c r="P17" s="329"/>
      <c r="Q17" s="328"/>
      <c r="R17" s="373"/>
      <c r="S17" s="479"/>
      <c r="T17" s="165"/>
      <c r="U17" s="377"/>
      <c r="V17" s="186"/>
      <c r="W17" s="414" t="s">
        <v>3</v>
      </c>
      <c r="X17" s="409"/>
      <c r="Y17" s="408" t="s">
        <v>4</v>
      </c>
      <c r="Z17" s="409"/>
      <c r="AA17" s="408" t="s">
        <v>220</v>
      </c>
      <c r="AB17" s="415"/>
      <c r="AC17" s="211" t="s">
        <v>51</v>
      </c>
      <c r="AD17" s="209"/>
      <c r="AE17" s="210" t="s">
        <v>4</v>
      </c>
      <c r="AF17" s="211"/>
      <c r="AG17" s="244" t="s">
        <v>217</v>
      </c>
      <c r="AH17" s="243"/>
      <c r="AI17" s="282" t="s">
        <v>3</v>
      </c>
      <c r="AJ17" s="279"/>
      <c r="AK17" s="280"/>
      <c r="AL17" s="278" t="s">
        <v>4</v>
      </c>
      <c r="AM17" s="279"/>
      <c r="AN17" s="279"/>
      <c r="AO17" s="236" t="s">
        <v>180</v>
      </c>
      <c r="AP17" s="839" t="s">
        <v>186</v>
      </c>
      <c r="AQ17" s="840" t="s">
        <v>180</v>
      </c>
      <c r="AR17" s="237" t="s">
        <v>186</v>
      </c>
      <c r="AS17" s="317" t="s">
        <v>3</v>
      </c>
      <c r="AT17" s="318" t="s">
        <v>4</v>
      </c>
      <c r="AU17" s="233" t="s">
        <v>4</v>
      </c>
      <c r="AV17" s="319" t="s">
        <v>3</v>
      </c>
      <c r="AW17" s="430" t="s">
        <v>179</v>
      </c>
      <c r="AX17" s="230" t="s">
        <v>222</v>
      </c>
      <c r="AY17" s="230"/>
      <c r="AZ17" s="296"/>
      <c r="BA17" s="306" t="s">
        <v>223</v>
      </c>
      <c r="BB17" s="230"/>
      <c r="BC17" s="428"/>
      <c r="BD17" s="347" t="s">
        <v>6</v>
      </c>
      <c r="BE17" s="348" t="s">
        <v>36</v>
      </c>
      <c r="BF17" s="238"/>
      <c r="BG17" s="237"/>
      <c r="BH17" s="253" t="s">
        <v>182</v>
      </c>
      <c r="BI17" s="211" t="s">
        <v>119</v>
      </c>
      <c r="BJ17" s="211"/>
      <c r="BK17" s="211"/>
      <c r="BL17" s="209"/>
      <c r="BM17" s="306" t="s">
        <v>189</v>
      </c>
      <c r="BN17" s="230"/>
      <c r="BO17" s="296"/>
      <c r="BP17" s="295" t="s">
        <v>6</v>
      </c>
      <c r="BQ17" s="230" t="s">
        <v>195</v>
      </c>
      <c r="BR17" s="296"/>
      <c r="BS17" s="230" t="s">
        <v>194</v>
      </c>
      <c r="BT17" s="296"/>
      <c r="BU17" s="505"/>
      <c r="BV17" s="506"/>
      <c r="BW17" s="502"/>
      <c r="BX17" s="506"/>
      <c r="BY17" s="506" t="str">
        <f>CD17</f>
        <v>Call</v>
      </c>
      <c r="BZ17" s="506" t="str">
        <f>CD17</f>
        <v>Call</v>
      </c>
      <c r="CA17" s="506" t="str">
        <f>CH17</f>
        <v>Put</v>
      </c>
      <c r="CB17" s="506" t="str">
        <f>CH17</f>
        <v>Put</v>
      </c>
      <c r="CC17" s="507" t="s">
        <v>19</v>
      </c>
      <c r="CD17" s="508" t="str">
        <f>CONCATENATE(IF(OptControl=4,"Put 1","Call"),IF(OptControl=3," 1",""))</f>
        <v>Call</v>
      </c>
      <c r="CE17" s="508"/>
      <c r="CF17" s="508"/>
      <c r="CG17" s="509"/>
      <c r="CH17" s="510" t="str">
        <f>CONCATENATE(IF(OptControl=3,"Call 2","Put"),IF(OptControl=4," 2",""))</f>
        <v>Put</v>
      </c>
      <c r="CI17" s="508"/>
      <c r="CJ17" s="508"/>
      <c r="CK17" s="511"/>
      <c r="CL17" s="51"/>
      <c r="CM17" s="716" t="s">
        <v>285</v>
      </c>
      <c r="CN17" s="699" t="s">
        <v>478</v>
      </c>
      <c r="CO17" s="702"/>
      <c r="CP17" s="703"/>
      <c r="CQ17" s="702" t="s">
        <v>225</v>
      </c>
      <c r="CR17" s="703"/>
      <c r="CS17" s="705" t="s">
        <v>13</v>
      </c>
      <c r="CT17" s="702" t="s">
        <v>13</v>
      </c>
      <c r="CU17" s="703"/>
      <c r="CV17" s="709"/>
      <c r="CW17" s="710"/>
      <c r="CX17" s="710"/>
      <c r="CY17" s="711"/>
      <c r="CZ17" s="724"/>
      <c r="DA17" s="725"/>
      <c r="DB17" s="725"/>
      <c r="DC17" s="727"/>
      <c r="DE17" s="634" t="s">
        <v>3</v>
      </c>
      <c r="DF17" s="635"/>
      <c r="DG17" s="636"/>
      <c r="DH17" s="634" t="s">
        <v>4</v>
      </c>
      <c r="DI17" s="635"/>
      <c r="DJ17" s="636"/>
      <c r="DK17" s="637" t="s">
        <v>106</v>
      </c>
      <c r="DL17" s="455"/>
      <c r="DM17" s="638" t="s">
        <v>266</v>
      </c>
      <c r="DN17" s="639"/>
      <c r="DO17" s="639"/>
      <c r="DP17" s="634" t="s">
        <v>3</v>
      </c>
      <c r="DQ17" s="635"/>
      <c r="DR17" s="636"/>
      <c r="DS17" s="634" t="s">
        <v>4</v>
      </c>
      <c r="DT17" s="635"/>
      <c r="DU17" s="636"/>
      <c r="DV17" s="634" t="s">
        <v>270</v>
      </c>
      <c r="DW17" s="636"/>
      <c r="DX17" s="634" t="s">
        <v>269</v>
      </c>
      <c r="DY17" s="636"/>
      <c r="DZ17" s="1"/>
      <c r="EA17" s="854" t="s">
        <v>107</v>
      </c>
      <c r="EB17" s="853"/>
      <c r="EC17" s="852" t="s">
        <v>502</v>
      </c>
      <c r="ED17" s="867" t="s">
        <v>13</v>
      </c>
      <c r="EE17" s="870" t="s">
        <v>501</v>
      </c>
      <c r="EF17" s="849"/>
      <c r="EG17" s="846" t="s">
        <v>46</v>
      </c>
      <c r="EH17" s="45" t="s">
        <v>17</v>
      </c>
      <c r="EI17" s="44"/>
      <c r="EJ17" s="45" t="s">
        <v>108</v>
      </c>
      <c r="EK17" s="46"/>
      <c r="EP17" s="53"/>
      <c r="EQ17" s="1"/>
      <c r="ER17" s="675" t="s">
        <v>111</v>
      </c>
      <c r="ES17" s="676"/>
      <c r="ET17" s="1"/>
      <c r="EU17" s="666" t="s">
        <v>121</v>
      </c>
      <c r="EW17" s="484"/>
      <c r="EX17" s="460" t="s">
        <v>228</v>
      </c>
      <c r="EY17" s="821" t="s">
        <v>230</v>
      </c>
      <c r="EZ17" s="795" t="s">
        <v>229</v>
      </c>
      <c r="FA17" s="4" t="s">
        <v>36</v>
      </c>
      <c r="FB17" s="47"/>
      <c r="FC17" s="570"/>
      <c r="FD17" s="571" t="s">
        <v>161</v>
      </c>
      <c r="FE17" s="572"/>
      <c r="FF17" s="572"/>
      <c r="FG17" s="572"/>
      <c r="FH17" s="572"/>
      <c r="FI17" s="572"/>
      <c r="FJ17" s="572"/>
      <c r="FK17" s="572"/>
      <c r="FL17" s="573"/>
      <c r="FM17" s="242"/>
      <c r="FN17" s="242"/>
      <c r="FO17" s="242"/>
      <c r="FP17" s="242"/>
      <c r="FQ17" s="242"/>
      <c r="FR17" s="242"/>
      <c r="FS17" s="242"/>
      <c r="FT17" s="242"/>
      <c r="FU17" s="242"/>
      <c r="FV17" s="242"/>
      <c r="FW17" s="242"/>
      <c r="FX17" s="242"/>
      <c r="FY17" s="242"/>
      <c r="FZ17" s="242"/>
      <c r="GA17" s="242"/>
      <c r="GB17" s="242"/>
      <c r="GC17" s="242"/>
      <c r="GD17" s="242"/>
      <c r="GE17" s="242"/>
      <c r="GF17" s="242"/>
      <c r="GG17" s="242"/>
      <c r="GH17" s="242"/>
      <c r="GI17" s="242"/>
      <c r="GJ17" s="242"/>
      <c r="GK17" s="242"/>
      <c r="GL17" s="242"/>
      <c r="GM17" s="242"/>
      <c r="GN17" s="242"/>
      <c r="GO17" s="242"/>
      <c r="GP17" s="242"/>
      <c r="GQ17" s="242"/>
      <c r="GR17" s="242"/>
      <c r="GS17" s="242"/>
      <c r="GT17" s="242"/>
      <c r="GU17" s="242"/>
      <c r="GV17" s="242"/>
      <c r="GW17" s="242"/>
      <c r="GX17" s="242"/>
      <c r="GY17" s="242"/>
      <c r="GZ17" s="242"/>
      <c r="HA17" s="242"/>
      <c r="HB17" s="242"/>
      <c r="HC17" s="242"/>
      <c r="HD17" s="242"/>
      <c r="HE17" s="242"/>
      <c r="HF17" s="242"/>
      <c r="HG17" s="242"/>
      <c r="HH17" s="242"/>
      <c r="HI17" s="242"/>
      <c r="HJ17" s="242"/>
      <c r="HK17" s="242"/>
      <c r="HL17" s="242"/>
      <c r="HM17" s="242"/>
      <c r="HN17" s="242"/>
      <c r="HO17" s="242"/>
      <c r="HP17" s="242"/>
      <c r="HQ17" s="242"/>
      <c r="HR17" s="242"/>
      <c r="HS17" s="242"/>
      <c r="HT17" s="242"/>
      <c r="HU17" s="242"/>
      <c r="HV17" s="242"/>
      <c r="HW17" s="242"/>
      <c r="HX17" s="242"/>
      <c r="HY17" s="242"/>
      <c r="HZ17" s="242"/>
      <c r="IA17" s="242"/>
      <c r="IB17" s="242"/>
      <c r="IC17" s="242"/>
      <c r="ID17" s="242"/>
      <c r="IE17" s="242"/>
      <c r="IF17" s="242"/>
      <c r="IG17" s="242"/>
      <c r="IH17" s="242"/>
      <c r="II17" s="242"/>
    </row>
    <row r="18" spans="1:243" ht="16.5" customHeight="1" thickBot="1">
      <c r="A18" s="595">
        <f>L21*O21*SQRT(2/260/3.14)</f>
        <v>0.51581356974995329</v>
      </c>
      <c r="B18" s="81"/>
      <c r="C18" s="82" t="s">
        <v>28</v>
      </c>
      <c r="D18" s="60" t="s">
        <v>29</v>
      </c>
      <c r="E18" s="60" t="s">
        <v>30</v>
      </c>
      <c r="F18" s="83" t="str">
        <f>CONCATENATE(DaysForThetaCalculation,"-d Theta")</f>
        <v>1-d Theta</v>
      </c>
      <c r="G18" s="693" t="s">
        <v>1</v>
      </c>
      <c r="H18" s="49"/>
      <c r="I18" s="493">
        <f>Underlying</f>
        <v>1</v>
      </c>
      <c r="J18" s="392" t="s">
        <v>114</v>
      </c>
      <c r="K18" s="332" t="s">
        <v>45</v>
      </c>
      <c r="L18" s="374" t="s">
        <v>118</v>
      </c>
      <c r="M18" s="331" t="s">
        <v>114</v>
      </c>
      <c r="N18" s="332" t="s">
        <v>45</v>
      </c>
      <c r="O18" s="333" t="s">
        <v>118</v>
      </c>
      <c r="P18" s="331" t="s">
        <v>114</v>
      </c>
      <c r="Q18" s="332" t="s">
        <v>45</v>
      </c>
      <c r="R18" s="374" t="s">
        <v>118</v>
      </c>
      <c r="S18" s="805">
        <v>0.99</v>
      </c>
      <c r="T18" s="806">
        <v>0.9</v>
      </c>
      <c r="U18" s="805">
        <v>0.75</v>
      </c>
      <c r="V18" s="97"/>
      <c r="W18" s="416" t="s">
        <v>114</v>
      </c>
      <c r="X18" s="417" t="s">
        <v>209</v>
      </c>
      <c r="Y18" s="417" t="s">
        <v>114</v>
      </c>
      <c r="Z18" s="417" t="s">
        <v>209</v>
      </c>
      <c r="AA18" s="417" t="s">
        <v>114</v>
      </c>
      <c r="AB18" s="418" t="s">
        <v>209</v>
      </c>
      <c r="AC18" s="224" t="s">
        <v>8</v>
      </c>
      <c r="AD18" s="225" t="s">
        <v>44</v>
      </c>
      <c r="AE18" s="225" t="s">
        <v>8</v>
      </c>
      <c r="AF18" s="226" t="s">
        <v>44</v>
      </c>
      <c r="AG18" s="286" t="s">
        <v>3</v>
      </c>
      <c r="AH18" s="227" t="s">
        <v>4</v>
      </c>
      <c r="AI18" s="283" t="s">
        <v>105</v>
      </c>
      <c r="AJ18" s="256" t="s">
        <v>103</v>
      </c>
      <c r="AK18" s="256" t="s">
        <v>104</v>
      </c>
      <c r="AL18" s="256" t="s">
        <v>105</v>
      </c>
      <c r="AM18" s="256" t="s">
        <v>103</v>
      </c>
      <c r="AN18" s="257" t="s">
        <v>104</v>
      </c>
      <c r="AO18" s="836"/>
      <c r="AP18" s="259"/>
      <c r="AQ18" s="843"/>
      <c r="AR18" s="148"/>
      <c r="AS18" s="265" t="s">
        <v>80</v>
      </c>
      <c r="AT18" s="258" t="s">
        <v>41</v>
      </c>
      <c r="AU18" s="259" t="s">
        <v>80</v>
      </c>
      <c r="AV18" s="148" t="s">
        <v>110</v>
      </c>
      <c r="AW18" s="349" t="s">
        <v>79</v>
      </c>
      <c r="AX18" s="234">
        <v>0.3</v>
      </c>
      <c r="AY18" s="234">
        <v>0.2</v>
      </c>
      <c r="AZ18" s="234">
        <v>0.1</v>
      </c>
      <c r="BA18" s="234">
        <v>0.1</v>
      </c>
      <c r="BB18" s="234">
        <v>0.2</v>
      </c>
      <c r="BC18" s="431">
        <v>0.3</v>
      </c>
      <c r="BD18" s="349" t="s">
        <v>211</v>
      </c>
      <c r="BE18" s="350" t="s">
        <v>161</v>
      </c>
      <c r="BF18" s="238"/>
      <c r="BG18" s="148"/>
      <c r="BH18" s="251" t="s">
        <v>264</v>
      </c>
      <c r="BI18" s="298" t="s">
        <v>99</v>
      </c>
      <c r="BJ18" s="258" t="s">
        <v>100</v>
      </c>
      <c r="BK18" s="258" t="s">
        <v>101</v>
      </c>
      <c r="BL18" s="259" t="s">
        <v>102</v>
      </c>
      <c r="BM18" s="256" t="s">
        <v>105</v>
      </c>
      <c r="BN18" s="256" t="s">
        <v>103</v>
      </c>
      <c r="BO18" s="257" t="s">
        <v>104</v>
      </c>
      <c r="BP18" s="307" t="s">
        <v>14</v>
      </c>
      <c r="BQ18" s="308" t="str">
        <f>CD17</f>
        <v>Call</v>
      </c>
      <c r="BR18" s="307" t="str">
        <f>CH17</f>
        <v>Put</v>
      </c>
      <c r="BS18" s="307" t="s">
        <v>95</v>
      </c>
      <c r="BT18" s="307" t="s">
        <v>96</v>
      </c>
      <c r="BU18" s="512" t="s">
        <v>97</v>
      </c>
      <c r="BV18" s="512" t="s">
        <v>98</v>
      </c>
      <c r="BW18" s="512" t="str">
        <f>CD17</f>
        <v>Call</v>
      </c>
      <c r="BX18" s="512" t="str">
        <f>CH17</f>
        <v>Put</v>
      </c>
      <c r="BY18" s="512" t="s">
        <v>97</v>
      </c>
      <c r="BZ18" s="512" t="s">
        <v>98</v>
      </c>
      <c r="CA18" s="512" t="s">
        <v>97</v>
      </c>
      <c r="CB18" s="512" t="s">
        <v>98</v>
      </c>
      <c r="CC18" s="512" t="s">
        <v>94</v>
      </c>
      <c r="CD18" s="513" t="s">
        <v>47</v>
      </c>
      <c r="CE18" s="514" t="s">
        <v>29</v>
      </c>
      <c r="CF18" s="514" t="s">
        <v>30</v>
      </c>
      <c r="CG18" s="514" t="s">
        <v>48</v>
      </c>
      <c r="CH18" s="514" t="s">
        <v>47</v>
      </c>
      <c r="CI18" s="514" t="s">
        <v>29</v>
      </c>
      <c r="CJ18" s="514" t="s">
        <v>30</v>
      </c>
      <c r="CK18" s="515" t="s">
        <v>48</v>
      </c>
      <c r="CL18" s="51"/>
      <c r="CM18" s="717"/>
      <c r="CN18" s="718" t="s">
        <v>14</v>
      </c>
      <c r="CO18" s="719" t="str">
        <f>CD17</f>
        <v>Call</v>
      </c>
      <c r="CP18" s="719" t="str">
        <f>CH17</f>
        <v>Put</v>
      </c>
      <c r="CQ18" s="719" t="str">
        <f>CD17</f>
        <v>Call</v>
      </c>
      <c r="CR18" s="719" t="str">
        <f>CH17</f>
        <v>Put</v>
      </c>
      <c r="CS18" s="720"/>
      <c r="CT18" s="719" t="str">
        <f>CD17</f>
        <v>Call</v>
      </c>
      <c r="CU18" s="719" t="str">
        <f>CH17</f>
        <v>Put</v>
      </c>
      <c r="CV18" s="721" t="s">
        <v>28</v>
      </c>
      <c r="CW18" s="721" t="s">
        <v>29</v>
      </c>
      <c r="CX18" s="721" t="s">
        <v>30</v>
      </c>
      <c r="CY18" s="721" t="s">
        <v>48</v>
      </c>
      <c r="CZ18" s="722" t="s">
        <v>28</v>
      </c>
      <c r="DA18" s="721" t="s">
        <v>29</v>
      </c>
      <c r="DB18" s="721" t="s">
        <v>30</v>
      </c>
      <c r="DC18" s="723" t="s">
        <v>48</v>
      </c>
      <c r="DE18" s="640" t="s">
        <v>1</v>
      </c>
      <c r="DF18" s="641" t="s">
        <v>7</v>
      </c>
      <c r="DG18" s="642" t="s">
        <v>6</v>
      </c>
      <c r="DH18" s="640" t="s">
        <v>1</v>
      </c>
      <c r="DI18" s="641" t="s">
        <v>7</v>
      </c>
      <c r="DJ18" s="642" t="s">
        <v>6</v>
      </c>
      <c r="DK18" s="640" t="s">
        <v>1</v>
      </c>
      <c r="DL18" s="643" t="s">
        <v>6</v>
      </c>
      <c r="DM18" s="644" t="s">
        <v>1</v>
      </c>
      <c r="DN18" s="645" t="s">
        <v>6</v>
      </c>
      <c r="DO18" s="646" t="s">
        <v>15</v>
      </c>
      <c r="DP18" s="647" t="s">
        <v>1</v>
      </c>
      <c r="DQ18" s="641" t="s">
        <v>7</v>
      </c>
      <c r="DR18" s="642" t="s">
        <v>80</v>
      </c>
      <c r="DS18" s="640" t="s">
        <v>1</v>
      </c>
      <c r="DT18" s="641" t="s">
        <v>7</v>
      </c>
      <c r="DU18" s="642" t="s">
        <v>80</v>
      </c>
      <c r="DV18" s="640" t="s">
        <v>1</v>
      </c>
      <c r="DW18" s="642" t="s">
        <v>13</v>
      </c>
      <c r="DX18" s="640" t="s">
        <v>1</v>
      </c>
      <c r="DY18" s="642" t="s">
        <v>13</v>
      </c>
      <c r="DZ18" s="1"/>
      <c r="EA18" s="850" t="s">
        <v>47</v>
      </c>
      <c r="EB18" s="855" t="s">
        <v>30</v>
      </c>
      <c r="EC18" s="856" t="s">
        <v>47</v>
      </c>
      <c r="ED18" s="875" t="s">
        <v>503</v>
      </c>
      <c r="EE18" s="850" t="s">
        <v>3</v>
      </c>
      <c r="EF18" s="851" t="s">
        <v>4</v>
      </c>
      <c r="EG18" s="796" t="s">
        <v>13</v>
      </c>
      <c r="EH18" s="37" t="str">
        <f>CD17</f>
        <v>Call</v>
      </c>
      <c r="EI18" s="38" t="str">
        <f>CH17</f>
        <v>Put</v>
      </c>
      <c r="EJ18" s="8" t="str">
        <f>CD17</f>
        <v>Call</v>
      </c>
      <c r="EK18" s="9" t="str">
        <f>CH17</f>
        <v>Put</v>
      </c>
      <c r="EL18" s="72"/>
      <c r="EM18" s="72"/>
      <c r="EN18" s="72"/>
      <c r="EO18" s="72"/>
      <c r="EP18" s="72"/>
      <c r="EQ18" s="1"/>
      <c r="ER18" s="677" t="s">
        <v>3</v>
      </c>
      <c r="ES18" s="678" t="s">
        <v>4</v>
      </c>
      <c r="ET18" s="1"/>
      <c r="EU18" s="667" t="s">
        <v>122</v>
      </c>
      <c r="EW18" s="485"/>
      <c r="EX18" s="461" t="s">
        <v>231</v>
      </c>
      <c r="EY18" s="822" t="s">
        <v>263</v>
      </c>
      <c r="EZ18" s="7" t="s">
        <v>232</v>
      </c>
      <c r="FA18" s="462" t="s">
        <v>233</v>
      </c>
      <c r="FB18" s="463" t="s">
        <v>13</v>
      </c>
      <c r="FC18" s="242"/>
      <c r="FD18" s="574" t="s">
        <v>282</v>
      </c>
      <c r="FE18" s="567"/>
      <c r="FF18" s="567"/>
      <c r="FG18" s="569" t="s">
        <v>77</v>
      </c>
      <c r="FH18" s="569" t="s">
        <v>14</v>
      </c>
      <c r="FI18" s="568" t="s">
        <v>42</v>
      </c>
      <c r="FJ18" s="566"/>
      <c r="FK18" s="568" t="s">
        <v>281</v>
      </c>
      <c r="FL18" s="575"/>
      <c r="FM18" s="242"/>
      <c r="FN18" s="457" t="s">
        <v>234</v>
      </c>
      <c r="FO18" s="242"/>
      <c r="FP18" s="242"/>
      <c r="FQ18" s="242"/>
      <c r="FR18" s="242"/>
      <c r="FS18" s="242"/>
      <c r="FT18" s="242"/>
      <c r="FU18" s="242"/>
      <c r="FV18" s="242"/>
      <c r="FW18" s="242"/>
      <c r="FX18" s="242"/>
      <c r="FY18" s="242"/>
      <c r="FZ18" s="242"/>
      <c r="GA18" s="242"/>
      <c r="GB18" s="242"/>
      <c r="GC18" s="242"/>
      <c r="GD18" s="242"/>
      <c r="GE18" s="242"/>
      <c r="GF18" s="242"/>
      <c r="GG18" s="242"/>
      <c r="GH18" s="242"/>
      <c r="GI18" s="242"/>
      <c r="GJ18" s="242"/>
      <c r="GK18" s="242"/>
      <c r="GL18" s="242"/>
      <c r="GM18" s="242"/>
      <c r="GN18" s="242"/>
      <c r="GO18" s="242"/>
      <c r="GP18" s="242"/>
      <c r="GQ18" s="242"/>
      <c r="GR18" s="242"/>
      <c r="GS18" s="242"/>
      <c r="GT18" s="242"/>
      <c r="GU18" s="242"/>
      <c r="GV18" s="242"/>
      <c r="GW18" s="242"/>
      <c r="GX18" s="242"/>
      <c r="GY18" s="242"/>
      <c r="GZ18" s="242"/>
      <c r="HA18" s="242"/>
      <c r="HB18" s="242"/>
      <c r="HC18" s="242"/>
      <c r="HD18" s="242"/>
      <c r="HE18" s="242"/>
      <c r="HF18" s="242"/>
      <c r="HG18" s="242"/>
      <c r="HH18" s="242"/>
      <c r="HI18" s="242"/>
      <c r="HJ18" s="242"/>
      <c r="HK18" s="242"/>
      <c r="HL18" s="242"/>
      <c r="HM18" s="242"/>
      <c r="HN18" s="242"/>
      <c r="HO18" s="242"/>
      <c r="HP18" s="242"/>
      <c r="HQ18" s="242"/>
      <c r="HR18" s="242"/>
      <c r="HS18" s="242"/>
      <c r="HT18" s="242"/>
      <c r="HU18" s="242"/>
      <c r="HV18" s="242"/>
      <c r="HW18" s="242"/>
      <c r="HX18" s="242"/>
      <c r="HY18" s="242"/>
      <c r="HZ18" s="242"/>
      <c r="IA18" s="242"/>
      <c r="IB18" s="242"/>
      <c r="IC18" s="242"/>
      <c r="ID18" s="242"/>
      <c r="IE18" s="242"/>
      <c r="IF18" s="242"/>
      <c r="IG18" s="242"/>
      <c r="IH18" s="242"/>
      <c r="II18" s="242"/>
    </row>
    <row r="19" spans="1:243" ht="17.25" customHeight="1" thickBot="1">
      <c r="A19" s="818" t="s">
        <v>493</v>
      </c>
      <c r="B19" s="84" t="str">
        <f>IF(OptControl=2,"",CONCATENATE("Euro ",IF(OptControl=4,"Put 1","Call"),IF(OptControl=3," 1","")))</f>
        <v>Euro Call</v>
      </c>
      <c r="C19" s="523" t="e">
        <f ca="1">_xll.AMER(AN4,Strike1,AN7,AN7,AM10,AN5,IF(OptControl=4,0,1),0)</f>
        <v>#NAME?</v>
      </c>
      <c r="D19" s="91" t="e">
        <f ca="1">_xll.AMER(AN4,Strike1,AN7,AN7,AM10,AN5,IF(OptControl=4,0,1),1)+IF(OR(VolSkewFlag=2,ABS(AM9)&lt;0.0001),0,IF(AM9&gt;0,-1,1)*E19*100*Strike1/AN4^2*AM11/10%)</f>
        <v>#NAME?</v>
      </c>
      <c r="E19" s="91" t="e">
        <f ca="1">_xll.AMER(AN4,Strike1,AN7,AN7,AM10,AN5,IF(OptControl=4,0,1),3)/100</f>
        <v>#NAME?</v>
      </c>
      <c r="F19" s="92" t="e">
        <f ca="1">_xll.AMER(AN4,Strike1,AN7,AN7,AM10,AN5-DaysForThetaCalculation,IF(OptControl=4,0,1),0)-_xll.AMER(AN4,Strike1,AN7,AN7,AM10,AN5,IF(OptControl=4,0,1),0)</f>
        <v>#NAME?</v>
      </c>
      <c r="G19" s="694"/>
      <c r="H19" s="49"/>
      <c r="I19" s="393">
        <v>36982</v>
      </c>
      <c r="J19" s="378"/>
      <c r="K19" s="362"/>
      <c r="L19" s="381"/>
      <c r="M19" s="380"/>
      <c r="N19" s="360"/>
      <c r="O19" s="361"/>
      <c r="P19" s="378"/>
      <c r="Q19" s="362"/>
      <c r="R19" s="370"/>
      <c r="S19" s="807">
        <v>0.34</v>
      </c>
      <c r="T19" s="808">
        <v>0.9</v>
      </c>
      <c r="U19" s="809">
        <v>0.98</v>
      </c>
      <c r="V19" s="368">
        <v>0</v>
      </c>
      <c r="W19" s="597">
        <f ca="1">CHOOSE(AY9,J20*BL4+J21*BM4,(G35*BN4+J20*MAX(0,AJ19-BN4)+J21*(AI19-BN4-MAX(0,AJ19-BN4)))/AI19)</f>
        <v>27.412857142857142</v>
      </c>
      <c r="X19" s="598">
        <f ca="1">CHOOSE(AY9,L20*BL4+L21*BM4,(G35*BN4+L20*MAX(0,AJ19-BN4)+L21*(AI19-BN4-MAX(0,AJ19-BN4)))/AI19)</f>
        <v>27.412857142857142</v>
      </c>
      <c r="Y19" s="599">
        <f ca="1">CHOOSE(AY9,P20*BL5+P21*BM5,(G35*BN5+P20*MAX(0,AM19-BN5)+P21*(AL19-BN5-MAX(0,AM19-BN5)))/AL19)</f>
        <v>25.756666666666668</v>
      </c>
      <c r="Z19" s="599">
        <f ca="1">CHOOSE(AY9,R20*BL5+R21*BM5,(G35*BN5+R20*MAX(0,AM19-BN5)+R21*(AL19-BN5-MAX(0,AM19-BN5)))/AL19)</f>
        <v>25.756666666666668</v>
      </c>
      <c r="AA19" s="420">
        <f t="shared" ref="AA19:AA82" ca="1" si="1">IF(Q21="extra",INDEX(BrentSeasonalityTable,INT((BG19-1)/3)+1)*VLOOKUP(MAX(BF19,$AB$4),PriceSpreadTable,3),W19-Y19)</f>
        <v>1.6561904761904742</v>
      </c>
      <c r="AB19" s="421">
        <f t="shared" ref="AB19:AB82" ca="1" si="2">IF(Q21="extra",INDEX(BrentSeasonalityTable,INT((BG19-1)/3)+1)*VLOOKUP(MAX(BF19,$AB$4),PriceSpreadTable,3),X19-Z19)</f>
        <v>1.6561904761904742</v>
      </c>
      <c r="AC19" s="215">
        <v>36970</v>
      </c>
      <c r="AD19" s="216">
        <v>36965</v>
      </c>
      <c r="AE19" s="216">
        <v>36966</v>
      </c>
      <c r="AF19" s="217">
        <v>36963</v>
      </c>
      <c r="AG19" s="241" t="s">
        <v>495</v>
      </c>
      <c r="AH19" s="239" t="s">
        <v>495</v>
      </c>
      <c r="AI19" s="276">
        <v>20</v>
      </c>
      <c r="AJ19" s="275">
        <v>14</v>
      </c>
      <c r="AK19" s="275">
        <v>6</v>
      </c>
      <c r="AL19" s="284">
        <v>21</v>
      </c>
      <c r="AM19" s="275">
        <v>8</v>
      </c>
      <c r="AN19" s="277">
        <v>13</v>
      </c>
      <c r="AO19" s="835">
        <v>0</v>
      </c>
      <c r="AP19" s="834">
        <v>1</v>
      </c>
      <c r="AQ19" s="833">
        <v>0</v>
      </c>
      <c r="AR19" s="834">
        <v>1</v>
      </c>
      <c r="AS19" s="260">
        <f t="shared" ref="AS19:AS50" si="3">(O20*AJ19+O21*AK19)/AI19</f>
        <v>0.386396973379033</v>
      </c>
      <c r="AT19" s="363"/>
      <c r="AU19" s="261">
        <f t="shared" ref="AU19:AU82" si="4">(AT20*AM19+AT21*AN19)/AL19</f>
        <v>0.38244516791562333</v>
      </c>
      <c r="AV19" s="351"/>
      <c r="AW19" s="150">
        <f t="shared" ref="AW19:AW50" ca="1" si="5">IF($I19-DateToday+15&gt;=$T$8,"",IF($I19-DateToday+15&lt;$T$5,1,MATCH($I19-DateToday+15,$T$5:$T$8)))</f>
        <v>1</v>
      </c>
      <c r="AX19" s="235">
        <f t="shared" ref="AX19:BC20" ca="1" si="6">INDEX(U$5:U$8,$AW19)^((INDEX($T$5:$T$8,$AW19+1)-($I19-DateToday+15))/(INDEX($T$5:$T$8,$AW19+1)-INDEX($T$5:$T$8,$AW19)))/INDEX(U$5:U$8,$AW19+1)^((INDEX($T$5:$T$8,$AW19)-($I19-DateToday+15))/(INDEX($T$5:$T$8,$AW19+1)-INDEX($T$5:$T$8,$AW19)))</f>
        <v>7.6365833648964862E-2</v>
      </c>
      <c r="AY19" s="235">
        <f t="shared" ca="1" si="6"/>
        <v>4.6042211856126038E-2</v>
      </c>
      <c r="AZ19" s="235">
        <f t="shared" ca="1" si="6"/>
        <v>1.8342431619198945E-2</v>
      </c>
      <c r="BA19" s="235">
        <f t="shared" ca="1" si="6"/>
        <v>2.894745650536532E-3</v>
      </c>
      <c r="BB19" s="235">
        <f t="shared" ca="1" si="6"/>
        <v>6.9021604217985371E-3</v>
      </c>
      <c r="BC19" s="235">
        <f t="shared" ca="1" si="6"/>
        <v>1.1578982602146124E-2</v>
      </c>
      <c r="BD19" s="612">
        <f ca="1">IF(OR(DateStart&gt;=I20,DateEnd&lt;I19),0,IF(VolumeOverrideFlag,V19,Volume)*IF(AY9=1,(1-CHOOSE(Underlying,BN4/AI19,BN5/AL19)),1))</f>
        <v>0</v>
      </c>
      <c r="BE19" s="613">
        <f ca="1">IF(OR(DateStart2&gt;=I20,DateEnd2&lt;I19),0,IF(VolumeOverrideFlag,V19,VolumeSwaption)*IF(AY9=1,(1-CHOOSE(Underlying,BN4/AI19,BN5/AL19)),1))</f>
        <v>0</v>
      </c>
      <c r="BF19" s="39">
        <f t="shared" ref="BF19:BF50" si="7">YEAR(I19)</f>
        <v>2001</v>
      </c>
      <c r="BG19" s="138">
        <f t="shared" ref="BG19:BG50" si="8">MONTH(I19)</f>
        <v>4</v>
      </c>
      <c r="BH19" s="858"/>
      <c r="BI19" s="859">
        <f ca="1">MAX(0,(I19-DateToday+1)/365.25)</f>
        <v>0</v>
      </c>
      <c r="BJ19" s="860">
        <f ca="1">MAX(0,BI19+(BL19-BI19)*CHOOSE(Underlying,AJ19/AI19,AM19/AL19))</f>
        <v>4.0246406570841886E-2</v>
      </c>
      <c r="BK19" s="860">
        <f t="shared" ref="BK19:BK50" ca="1" si="9">BJ19+1/365.25</f>
        <v>4.2984257357973989E-2</v>
      </c>
      <c r="BL19" s="860">
        <f ca="1">(I20-DateToday)/365.25</f>
        <v>5.7494866529774126E-2</v>
      </c>
      <c r="BM19" s="614">
        <f ca="1">CHOOSE(Underlying,AI19-BN4,AL19-BN5)</f>
        <v>14</v>
      </c>
      <c r="BN19" s="615">
        <f ca="1">CHOOSE(Underlying,MAX(0,AJ19-BN4),MAX(0,AM19-BN5))</f>
        <v>8</v>
      </c>
      <c r="BO19" s="615">
        <f ca="1">BM19-BN19</f>
        <v>6</v>
      </c>
      <c r="BP19" s="297" t="str">
        <f t="shared" ref="BP19:BP82" ca="1" si="10">IF(BD19,IF(Underlying=1,X19,Z19)+UnderlyingPriceAsian-SwapPriceCurve,"")</f>
        <v/>
      </c>
      <c r="BQ19" s="297" t="str">
        <f t="shared" ref="BQ19:BQ82" ca="1" si="11">IF(BD19,Strike1/BP19-1,"")</f>
        <v/>
      </c>
      <c r="BR19" s="299" t="str">
        <f t="shared" ref="BR19:BR82" ca="1" si="12">IF(BD19,Strike2/BP19-1,"")</f>
        <v/>
      </c>
      <c r="BS19" s="153" t="str">
        <f t="shared" ref="BS19:BS82" ca="1" si="13">IF(BD19,IF(Underlying=1,L20,R20)+UnderlyingPriceAsian-SwapPriceCurve,"")</f>
        <v/>
      </c>
      <c r="BT19" s="153" t="str">
        <f t="shared" ref="BT19:BT82" ca="1" si="14">IF(BD19,IF(Underlying=1,L21,R21)+UnderlyingPriceAsian-SwapPriceCurve,"")</f>
        <v/>
      </c>
      <c r="BU19" s="300" t="str">
        <f t="shared" ref="BU19:BU82" ca="1" si="15">IF(BD19,IF(Underlying=1,O20,AT20),"")</f>
        <v/>
      </c>
      <c r="BV19" s="301" t="str">
        <f t="shared" ref="BV19:BV82" ca="1" si="16">IF(BD19,IF(Underlying=1,O21,AT21),"")</f>
        <v/>
      </c>
      <c r="BW19" s="300" t="str">
        <f t="shared" ref="BW19:BW82" ca="1" si="17">IF(BD19,IF(BQ19&gt;0,IF(BQ19&gt;0.2,BC19-BB19,IF(BQ19&gt;0.1,BB19-BA19,BA19)),IF(BQ19&lt;-0.2,AX19-AY19,IF(BQ19&lt;-0.1,AY19-AZ19,AZ19))),"")</f>
        <v/>
      </c>
      <c r="BX19" s="301" t="str">
        <f t="shared" ref="BX19:BX82" ca="1" si="18">IF(BD19,IF(BR19&gt;0,IF(BR19&gt;0.2,BC19-BB19,IF(BR19&gt;0.1,BB19-BA19,BA19)),IF(BR19&lt;-0.2,AX19-AY19,IF(BR19&lt;-0.1,AY19-AZ19,AZ19))),"")</f>
        <v/>
      </c>
      <c r="BY19" s="146" t="str">
        <f t="shared" ref="BY19:BY82" ca="1" si="19">IF($BD19,$BU19+IF(VolSkewFlag=1,IF(BQ19&gt;0,$BA19*MIN(BQ19/10%,1)+($BB19-$BA19)*MAX(0,MIN(BQ19/10%-1,1))+($BC19-$BB19)*MAX(0,BQ19/10%-2),$AZ19*MIN(-BQ19/10%,1)+($AY19-$AZ19)*MAX(0,MIN(-BQ19/10%-1,1))+($AX19-$AY19)*MAX(0,-BQ19/10%-2)),0),"")</f>
        <v/>
      </c>
      <c r="BZ19" s="146" t="str">
        <f t="shared" ref="BZ19:BZ82" ca="1" si="20">IF($BD19,$BV19+IF(VolSkewFlag=1,IF(BQ19&gt;0,$BA19*MIN(BQ19/10%,1)+($BB19-$BA19)*MAX(0,MIN(BQ19/10%-1,1))+($BC19-$BB19)*MAX(0,BQ19/10%-2),$AZ19*MIN(-BQ19/10%,1)+($AY19-$AZ19)*MAX(0,MIN(-BQ19/10%-1,1))+($AX19-$AY19)*MAX(0,-BQ19/10%-2)),0),"")</f>
        <v/>
      </c>
      <c r="CA19" s="146" t="str">
        <f t="shared" ref="CA19:CA82" ca="1" si="21">IF($BD19,$BU19+IF(VolSkewFlag=1,IF(BR19&gt;0,$BA19*MIN(BR19/10%,1)+($BB19-$BA19)*MAX(0,MIN(BR19/10%-1,1))+($BC19-$BB19)*MAX(0,BR19/10%-2),$AZ19*MIN(-BR19/10%,1)+($AY19-$AZ19)*MAX(0,MIN(-BR19/10%-1,1))+($AX19-$AY19)*MAX(0,-BR19/10%-2)),0),"")</f>
        <v/>
      </c>
      <c r="CB19" s="146" t="str">
        <f t="shared" ref="CB19:CB82" ca="1" si="22">IF($BD19,$BV19+IF(VolSkewFlag=1,IF(BR19&gt;0,$BA19*MIN(BR19/10%,1)+($BB19-$BA19)*MAX(0,MIN(BR19/10%-1,1))+($BC19-$BB19)*MAX(0,BR19/10%-2),$AZ19*MIN(-BR19/10%,1)+($AY19-$AZ19)*MAX(0,MIN(-BR19/10%-1,1))+($AX19-$AY19)*MAX(0,-BR19/10%-2)),0),"")</f>
        <v/>
      </c>
      <c r="CC19" s="302">
        <v>1</v>
      </c>
      <c r="CD19" s="154">
        <f ca="1">IF(BD19,_xll.xCrudeAPO(BS19,BT19,BY19,BZ19,S20,S21,BI19,BL19,BN19,BO19,0,Strike1,AO19,CC19,0,BL19,IF(OptControl=4,0,1),0,1),0)</f>
        <v>0</v>
      </c>
      <c r="CE19" s="155">
        <f ca="1">IF(BD19,_xll.xCrudeAPO(BS19,BT19,BY19,BZ19,S20,S21,BI19,BL19,BN19,BO19,0,Strike1,AO19,CC19,0,BL19,IF(OptControl=4,0,1),1,1)+_xll.xCrudeAPO(BS19,BT19,BY19,BZ19,S20,S21,BI19,BL19,BN19,BO19,0,Strike1,AO19,CC19,0,BL19,IF(OptControl=4,0,1),1,2)+IF(OR(VolSkewFlag=2,ABS(BQ19)&lt;0.0001),0,IF(BQ19&gt;0,-1,1)*CF19*Strike1/BP19^2*BW19/10%),0)</f>
        <v>0</v>
      </c>
      <c r="CF19" s="155">
        <f ca="1">IF(BD19,(_xll.xCrudeAPO(BS19,BT19,BY19,BZ19,S20,S21,BI19,BL19,BN19,BO19,0,Strike1,AO19,CC19,0,BL19,IF(OptControl=4,0,1),3,1)+_xll.xCrudeAPO(BS19,BT19,BY19,BZ19,S20,S21,BI19,BL19,BN19,BO19,0,Strike1,AO19,CC19,0,BL19,IF(OptControl=4,0,1),3,2))/100,0)</f>
        <v>0</v>
      </c>
      <c r="CG19" s="155">
        <f ca="1">IF(BD19,_xll.xCrudeAPO(BS19,BT19,BY19,BZ19,S20,S21,BI19-DaysForThetaCalculation/365.25,BL19-DaysForThetaCalculation/365.25,BN19,BO19,0,Strike1,AO19,CC19,0,BL19,IF(OptControl=4,0,1),0,1)-_xll.xCrudeAPO(BS19,BT19,BY19,BZ19,S20,S21,BI19,BL19,BN19,BO19,0,Strike1,AO19,CC19,0,BL19,IF(OptControl=4,0,1),0,1),0)</f>
        <v>0</v>
      </c>
      <c r="CH19" s="303">
        <f ca="1">IF(BD19,_xll.xCrudeAPO(BS19,BT19,CA19,CB19,S20,S21,BI19,BL19,BN19,BO19,0,Strike2,AO19,CC19,0,BL19,IF(OptControl=3,1,0),0,1),0)</f>
        <v>0</v>
      </c>
      <c r="CI19" s="155">
        <f ca="1">IF(BD19,_xll.xCrudeAPO(BS19,BT19,CA19,CB19,S20,S21,BI19,BL19,BN19,BO19,0,Strike2,AO19,CC19,0,BL19,IF(OptControl=3,1,0),1,1)+_xll.xCrudeAPO(BS19,BT19,CA19,CB19,S20,S21,BI19,BL19,BN19,BO19,0,Strike2,AO19,CC19,0,BL19,IF(OptControl=3,1,0),1,2)+IF(OR(VolSkewFlag=2,ABS(BR19)&lt;0.0001),0,IF(BR19&gt;0,-1,1)*CJ19*Strike2/BP19^2*BX19/10%),0)</f>
        <v>0</v>
      </c>
      <c r="CJ19" s="155">
        <f ca="1">IF(BD19,(_xll.xCrudeAPO(BS19,BT19,CA19,CB19,S20,S21,BI19,BL19,BN19,BO19,0,Strike2,AO19,CC19,0,BL19,IF(OptControl=3,1,0),3,1)+_xll.xCrudeAPO(BS19,BT19,CA19,CB19,S20,S21,BI19,BL19,BN19,BO19,0,Strike2,AO19,CC19,0,BL19,IF(OptControl=3,1,0),3,2))/100,0)</f>
        <v>0</v>
      </c>
      <c r="CK19" s="156">
        <f ca="1">IF(BD19,_xll.xCrudeAPO(BS19,BT19,CA19,CB19,S20,S21,BI19-DaysForThetaCalculation/365.25,BL19-DaysForThetaCalculation/365.25,BN19,BO19,0,Strike2,AO19,CC19,0,BL19,IF(OptControl=3,1,0),0,1)-_xll.xCrudeAPO(BS19,BT19,CA19,CB19,S20,S21,BI19,BL19,BN19,BO19,0,Strike2,AO19,CC19,0,BL19,IF(OptControl=3,1,0),0,1),0)</f>
        <v>0</v>
      </c>
      <c r="CL19" s="497"/>
      <c r="CM19" s="544"/>
      <c r="CN19" s="777"/>
      <c r="CO19" s="777"/>
      <c r="CP19" s="777"/>
      <c r="CQ19" s="777"/>
      <c r="CR19" s="777"/>
      <c r="CS19" s="777"/>
      <c r="CT19" s="777"/>
      <c r="CU19" s="777"/>
      <c r="CV19" s="777"/>
      <c r="CW19" s="777"/>
      <c r="CX19" s="777"/>
      <c r="CY19" s="777"/>
      <c r="CZ19" s="777"/>
      <c r="DA19" s="777"/>
      <c r="DB19" s="777"/>
      <c r="DC19" s="778"/>
      <c r="DD19" s="497"/>
      <c r="DE19" s="648">
        <f ca="1">DATE(YEAR(DateToday),1,1)</f>
        <v>36892</v>
      </c>
      <c r="DF19" s="465">
        <v>1E-4</v>
      </c>
      <c r="DG19" s="649">
        <v>1E-4</v>
      </c>
      <c r="DH19" s="650">
        <f t="shared" ref="DH19:DH50" ca="1" si="23">DE19</f>
        <v>36892</v>
      </c>
      <c r="DI19" s="465">
        <v>1E-4</v>
      </c>
      <c r="DJ19" s="649">
        <v>1E-4</v>
      </c>
      <c r="DK19" s="651">
        <f t="shared" ref="DK19:DK50" ca="1" si="24">DE19</f>
        <v>36892</v>
      </c>
      <c r="DL19" s="652">
        <f t="shared" ref="DL19:DL50" si="25">DI19+BrentPhyBrentSpread</f>
        <v>5.0100000000000006E-2</v>
      </c>
      <c r="DM19" s="651">
        <f ca="1">DE19</f>
        <v>36892</v>
      </c>
      <c r="DN19" s="563">
        <f>DJ19+DO19</f>
        <v>0.60009999999999997</v>
      </c>
      <c r="DO19" s="802">
        <v>0.6</v>
      </c>
      <c r="DP19" s="650">
        <f t="shared" ref="DP19:DP50" ca="1" si="26">DE19</f>
        <v>36892</v>
      </c>
      <c r="DQ19" s="653">
        <v>1E-4</v>
      </c>
      <c r="DR19" s="590">
        <v>1E-4</v>
      </c>
      <c r="DS19" s="650">
        <f t="shared" ref="DS19:DS50" ca="1" si="27">DE19</f>
        <v>36892</v>
      </c>
      <c r="DT19" s="653">
        <v>1E-4</v>
      </c>
      <c r="DU19" s="590">
        <v>1E-4</v>
      </c>
      <c r="DV19" s="651">
        <f t="shared" ref="DV19:DV50" ca="1" si="28">DE19</f>
        <v>36892</v>
      </c>
      <c r="DW19" s="590">
        <v>1E-4</v>
      </c>
      <c r="DX19" s="651">
        <f ca="1">DP19</f>
        <v>36892</v>
      </c>
      <c r="DY19" s="590">
        <f>DR19</f>
        <v>1E-4</v>
      </c>
      <c r="DZ19" s="1"/>
      <c r="EA19" s="871"/>
      <c r="EB19" s="872"/>
      <c r="EC19" s="872"/>
      <c r="ED19" s="873">
        <v>0</v>
      </c>
      <c r="EE19" s="871">
        <f t="shared" ref="EE19:EE82" si="29">AS19+ED19</f>
        <v>0.386396973379033</v>
      </c>
      <c r="EF19" s="874">
        <f t="shared" ref="EF19:EF82" si="30">AU19+ED19</f>
        <v>0.38244516791562333</v>
      </c>
      <c r="EG19" s="861" t="str">
        <f t="shared" ref="EG19:EG50" ca="1" si="31">IF(BD19,IF(Underlying=1,AS19,AU19),"")</f>
        <v/>
      </c>
      <c r="EH19" s="110" t="str">
        <f t="shared" ref="EH19:EH82" ca="1" si="32">IF($BD19,$EG19+IF(VolSkewFlag=1,IF(BQ19&gt;0,$BA19*MIN(BQ19/10%,1)+($BB19-$BA19)*MAX(0,MIN(BQ19/10%-1,1))+($BC19-$BB19)*MAX(0,BQ19/10%-2),$AZ19*MIN(-BQ19/10%,1)+($AY19-$AZ19)*MAX(0,MIN(-BQ19/10%-1,1))+($AX19-$AY19)*MAX(0,-BQ19/10%-2)),0),"")</f>
        <v/>
      </c>
      <c r="EI19" s="111" t="str">
        <f t="shared" ref="EI19:EI82" ca="1" si="33">IF($BD19,$EG19+IF(VolSkewFlag=1,IF(BR19&gt;0,$BA19*MIN(BR19/10%,1)+($BB19-$BA19)*MAX(0,MIN(BR19/10%-1,1))+($BC19-$BB19)*MAX(0,BR19/10%-2),$AZ19*MIN(-BR19/10%,1)+($AY19-$AZ19)*MAX(0,MIN(-BR19/10%-1,1))+($AX19-$AY19)*MAX(0,-BR19/10%-2)),0),"")</f>
        <v/>
      </c>
      <c r="EJ19" s="112">
        <f ca="1">IF(BD19,_xll.xASN(BP19,Strike1,AO19,EH19,0,BM19,0,BI19,BL19,IF(OptControl=4,0,1),0),0)</f>
        <v>0</v>
      </c>
      <c r="EK19" s="113">
        <f ca="1">IF(BD19,_xll.xASN(BP19,Strike2,AO19,EI19,0,BM19,0,BI19,BL19,IF(OptControl=3,1,0),0),0)</f>
        <v>0</v>
      </c>
      <c r="EM19" s="672" t="s">
        <v>409</v>
      </c>
      <c r="EN19" s="673"/>
      <c r="EO19" s="673"/>
      <c r="EP19" s="674"/>
      <c r="EQ19" s="1"/>
      <c r="ER19" s="679">
        <v>36345</v>
      </c>
      <c r="ES19" s="680">
        <v>36519</v>
      </c>
      <c r="ET19" s="1"/>
      <c r="EU19" s="667" t="s">
        <v>123</v>
      </c>
      <c r="EW19" s="486"/>
      <c r="EX19" s="464" t="s">
        <v>183</v>
      </c>
      <c r="EY19" s="823" t="s">
        <v>235</v>
      </c>
      <c r="EZ19" s="796" t="s">
        <v>209</v>
      </c>
      <c r="FA19" s="482">
        <f ca="1">SUM(FA21:FA55)</f>
        <v>11.678636137467146</v>
      </c>
      <c r="FB19" s="483"/>
      <c r="FC19" s="561"/>
      <c r="FD19" s="576" t="s">
        <v>283</v>
      </c>
      <c r="FE19" s="577" t="s">
        <v>284</v>
      </c>
      <c r="FF19" s="578" t="s">
        <v>6</v>
      </c>
      <c r="FG19" s="579" t="s">
        <v>285</v>
      </c>
      <c r="FH19" s="579" t="s">
        <v>209</v>
      </c>
      <c r="FI19" s="580" t="s">
        <v>277</v>
      </c>
      <c r="FJ19" s="581" t="s">
        <v>278</v>
      </c>
      <c r="FK19" s="581" t="s">
        <v>277</v>
      </c>
      <c r="FL19" s="582" t="s">
        <v>278</v>
      </c>
      <c r="FM19" s="242"/>
      <c r="FN19" s="654"/>
      <c r="FO19" s="655">
        <v>1</v>
      </c>
      <c r="FP19" s="655">
        <v>2</v>
      </c>
      <c r="FQ19" s="655">
        <v>3</v>
      </c>
      <c r="FR19" s="655">
        <v>4</v>
      </c>
      <c r="FS19" s="655">
        <v>5</v>
      </c>
      <c r="FT19" s="655">
        <v>6</v>
      </c>
      <c r="FU19" s="655">
        <v>7</v>
      </c>
      <c r="FV19" s="655">
        <v>8</v>
      </c>
      <c r="FW19" s="655">
        <v>9</v>
      </c>
      <c r="FX19" s="655">
        <v>10</v>
      </c>
      <c r="FY19" s="655">
        <v>11</v>
      </c>
      <c r="FZ19" s="655">
        <v>12</v>
      </c>
      <c r="GA19" s="655">
        <v>13</v>
      </c>
      <c r="GB19" s="655">
        <v>14</v>
      </c>
      <c r="GC19" s="655">
        <v>15</v>
      </c>
      <c r="GD19" s="655">
        <v>16</v>
      </c>
      <c r="GE19" s="655">
        <v>17</v>
      </c>
      <c r="GF19" s="655">
        <v>18</v>
      </c>
      <c r="GG19" s="655">
        <v>19</v>
      </c>
      <c r="GH19" s="655">
        <v>20</v>
      </c>
      <c r="GI19" s="655">
        <v>21</v>
      </c>
      <c r="GJ19" s="655">
        <v>22</v>
      </c>
      <c r="GK19" s="655">
        <v>23</v>
      </c>
      <c r="GL19" s="655">
        <v>24</v>
      </c>
      <c r="GM19" s="655">
        <v>25</v>
      </c>
      <c r="GN19" s="655">
        <v>26</v>
      </c>
      <c r="GO19" s="655">
        <v>27</v>
      </c>
      <c r="GP19" s="655">
        <v>28</v>
      </c>
      <c r="GQ19" s="655">
        <v>29</v>
      </c>
      <c r="GR19" s="655">
        <v>30</v>
      </c>
      <c r="GS19" s="655">
        <v>31</v>
      </c>
      <c r="GT19" s="655">
        <v>32</v>
      </c>
      <c r="GU19" s="655">
        <v>33</v>
      </c>
      <c r="GV19" s="655">
        <v>34</v>
      </c>
      <c r="GW19" s="655">
        <v>35</v>
      </c>
      <c r="GX19" s="655">
        <v>36</v>
      </c>
      <c r="GY19" s="655">
        <v>37</v>
      </c>
      <c r="GZ19" s="655">
        <v>38</v>
      </c>
      <c r="HA19" s="655">
        <v>39</v>
      </c>
      <c r="HB19" s="655">
        <v>40</v>
      </c>
      <c r="HC19" s="655">
        <v>41</v>
      </c>
      <c r="HD19" s="655">
        <v>42</v>
      </c>
      <c r="HE19" s="655">
        <v>43</v>
      </c>
      <c r="HF19" s="655">
        <v>44</v>
      </c>
      <c r="HG19" s="655">
        <v>45</v>
      </c>
      <c r="HH19" s="655">
        <v>46</v>
      </c>
      <c r="HI19" s="655">
        <v>47</v>
      </c>
      <c r="HJ19" s="655">
        <v>48</v>
      </c>
      <c r="HK19" s="655">
        <v>49</v>
      </c>
      <c r="HL19" s="655">
        <v>50</v>
      </c>
      <c r="HM19" s="655">
        <v>51</v>
      </c>
      <c r="HN19" s="655">
        <v>52</v>
      </c>
      <c r="HO19" s="655">
        <v>53</v>
      </c>
      <c r="HP19" s="655">
        <v>54</v>
      </c>
      <c r="HQ19" s="655">
        <v>55</v>
      </c>
      <c r="HR19" s="655">
        <v>56</v>
      </c>
      <c r="HS19" s="655">
        <v>57</v>
      </c>
      <c r="HT19" s="655">
        <v>58</v>
      </c>
      <c r="HU19" s="655">
        <v>59</v>
      </c>
      <c r="HV19" s="655">
        <v>60</v>
      </c>
      <c r="HW19" s="655">
        <v>61</v>
      </c>
      <c r="HX19" s="655">
        <v>62</v>
      </c>
      <c r="HY19" s="655">
        <v>63</v>
      </c>
      <c r="HZ19" s="655">
        <v>64</v>
      </c>
      <c r="IA19" s="655">
        <v>65</v>
      </c>
      <c r="IB19" s="655">
        <v>66</v>
      </c>
      <c r="IC19" s="655">
        <v>67</v>
      </c>
      <c r="ID19" s="655">
        <v>68</v>
      </c>
      <c r="IE19" s="655">
        <v>69</v>
      </c>
      <c r="IF19" s="655">
        <v>70</v>
      </c>
      <c r="IG19" s="655">
        <v>71</v>
      </c>
      <c r="IH19" s="656">
        <v>72</v>
      </c>
      <c r="II19" s="242"/>
    </row>
    <row r="20" spans="1:243" ht="16.5" customHeight="1">
      <c r="A20" s="891">
        <f ca="1">INDEX($L$20:$L$260,A37)-INDEX($L$20:$L$260,A38)</f>
        <v>-0.30999999999999872</v>
      </c>
      <c r="B20" s="883" t="str">
        <f>IF(OptControl=2,"",CONCATENATE(IF(OptControl=3,"Call 2","Put"),IF(OptControl=4," 2","")))</f>
        <v>Put</v>
      </c>
      <c r="C20" s="524" t="e">
        <f ca="1">_xll.AMER(AN4,Strike2,AN7,AN7,AN10,AN5,IF(OptControl=3,1,0),0)</f>
        <v>#NAME?</v>
      </c>
      <c r="D20" s="93" t="e">
        <f ca="1">_xll.AMER(AN4,Strike2,AN7,AN7,AN10,AN5,IF(OptControl=3,1,0),1)+IF(OR(VolSkewFlag=2,ABS(AN9)&lt;0.0001),0,IF(AN9&gt;0,-1,1)*E20*100*Strike2/AN4^2*AN11/10%)</f>
        <v>#NAME?</v>
      </c>
      <c r="E20" s="93" t="e">
        <f ca="1">_xll.AMER(AN4,Strike2,AN7,AN7,AN10,AN5,IF(OptControl=3,1,0),3)/100</f>
        <v>#NAME?</v>
      </c>
      <c r="F20" s="689" t="e">
        <f ca="1">_xll.AMER(AN4,Strike2,AN7,AN7,AN10,AN5-DaysForThetaCalculation,IF(OptControl=3,1,0),0)-_xll.AMER(AN4,Strike2,AN7,AN7,AN10,AN5,IF(OptControl=3,1,0),0)</f>
        <v>#NAME?</v>
      </c>
      <c r="G20" s="693" t="s">
        <v>8</v>
      </c>
      <c r="H20" s="49" t="e">
        <f t="shared" ref="H20:H83" ca="1" si="34">VLOOKUP(I20,$EN$20:$EP$54,3)</f>
        <v>#N/A</v>
      </c>
      <c r="I20" s="369">
        <f t="shared" ref="I20:I83" si="35">EOMONTH(I19,0)+1</f>
        <v>37012</v>
      </c>
      <c r="J20" s="367">
        <v>27.28</v>
      </c>
      <c r="K20" s="101">
        <v>0</v>
      </c>
      <c r="L20" s="382">
        <f t="shared" ref="L20:L83" si="36">IF(ISNUMBER(K20),J20+K20/100,IF(K20="extra",L19+VLOOKUP(BF20,PriceSpreadTable,2)/12,IF(K20="inter",interpolateprices($K$19:$L$200,ROW(K20)-ROW(FirstPricingMonth)+1),interpolatechanges($J$19:$K$200,ROW(K20)-ROW(FirstPricingMonth)+1))))</f>
        <v>27.28</v>
      </c>
      <c r="M20" s="163">
        <v>0.39011285015805997</v>
      </c>
      <c r="N20" s="372">
        <v>0</v>
      </c>
      <c r="O20" s="163">
        <f t="shared" ref="O20:O82" si="37">M20+N20</f>
        <v>0.39011285015805997</v>
      </c>
      <c r="P20" s="367">
        <v>25.28</v>
      </c>
      <c r="Q20" s="100">
        <v>0</v>
      </c>
      <c r="R20" s="367">
        <f ca="1">IF(ISNUMBER(Q20),P20+Q20/100,IF(Q20="extra",(Z18*AL18-R19*AM18)/AN18,IF(Q20="inter",interpolateprices($Q$19:$R$260,ROW(Q20)-ROW(FirstPricingMonth)+1),interpolatechanges($P$19:$Q$260,ROW(Q20)-ROW(FirstPricingMonth)+1))))</f>
        <v>25.28</v>
      </c>
      <c r="S20" s="810">
        <f>O20</f>
        <v>0.39011285015805997</v>
      </c>
      <c r="T20" s="811">
        <f>SQRT((1-(1-T19^2/U19)*T$18)*U20)</f>
        <v>0.91171233827074105</v>
      </c>
      <c r="U20" s="812">
        <f>1-(1-U19)*U$18</f>
        <v>0.98499999999999999</v>
      </c>
      <c r="V20" s="379">
        <v>0</v>
      </c>
      <c r="W20" s="422">
        <f>(J21*AJ20+J22*AK20)/AI20</f>
        <v>27.617272727272731</v>
      </c>
      <c r="X20" s="153">
        <f t="shared" ref="X20:X50" si="38">(L21*AJ20+L22*AK20)/AI20</f>
        <v>27.617272727272731</v>
      </c>
      <c r="Y20" s="312">
        <f t="shared" ref="Y20:Y50" si="39">IF(Q22="extra",W20-AA20,(P21*AM20+P22*AN20)/AL20)</f>
        <v>25.871739130434779</v>
      </c>
      <c r="Z20" s="312">
        <f t="shared" ref="Z20:Z50" ca="1" si="40">IF(Q22="extra",X20-AB20,(R21*AM20+R22*AN20)/AL20)</f>
        <v>25.871739130434779</v>
      </c>
      <c r="AA20" s="419">
        <f t="shared" si="1"/>
        <v>1.7455335968379515</v>
      </c>
      <c r="AB20" s="423">
        <f t="shared" ca="1" si="2"/>
        <v>1.7455335968379515</v>
      </c>
      <c r="AC20" s="218">
        <v>37001</v>
      </c>
      <c r="AD20" s="219">
        <v>36998</v>
      </c>
      <c r="AE20" s="219">
        <v>36993</v>
      </c>
      <c r="AF20" s="220">
        <v>36991</v>
      </c>
      <c r="AG20" s="241" t="s">
        <v>495</v>
      </c>
      <c r="AH20" s="239" t="s">
        <v>495</v>
      </c>
      <c r="AI20" s="141">
        <v>22</v>
      </c>
      <c r="AJ20" s="41">
        <v>16</v>
      </c>
      <c r="AK20" s="41">
        <v>6</v>
      </c>
      <c r="AL20" s="285">
        <v>23</v>
      </c>
      <c r="AM20" s="41">
        <v>11</v>
      </c>
      <c r="AN20" s="142">
        <v>12</v>
      </c>
      <c r="AO20" s="364">
        <v>5.1733590724091005E-2</v>
      </c>
      <c r="AP20" s="145">
        <f t="shared" ref="AP20:AP83" ca="1" si="41">(1+AO20/2)^(-2*BL20)</f>
        <v>0.99275479950136469</v>
      </c>
      <c r="AQ20" s="364">
        <v>4.2122523285583302E-2</v>
      </c>
      <c r="AR20" s="145">
        <f ca="1">(1+AQ20/2)^(-2*BH20/365.25)</f>
        <v>0.99908739648757183</v>
      </c>
      <c r="AS20" s="262">
        <f t="shared" si="3"/>
        <v>0.37359395639007364</v>
      </c>
      <c r="AT20" s="149">
        <f t="shared" ref="AT20:AT83" si="42">O20*VLOOKUP(BF20,BrentVolTable,2)+VLOOKUP(BF20,BrentVolTable,3)</f>
        <v>0.39011285015805997</v>
      </c>
      <c r="AU20" s="149">
        <f t="shared" si="4"/>
        <v>0.36982067836416826</v>
      </c>
      <c r="AV20" s="352"/>
      <c r="AW20" s="150">
        <f t="shared" ca="1" si="5"/>
        <v>1</v>
      </c>
      <c r="AX20" s="235">
        <f t="shared" ca="1" si="6"/>
        <v>7.4662375740205997E-2</v>
      </c>
      <c r="AY20" s="235">
        <f t="shared" ca="1" si="6"/>
        <v>4.474315427951861E-2</v>
      </c>
      <c r="AZ20" s="235">
        <f t="shared" ca="1" si="6"/>
        <v>1.7915395669917566E-2</v>
      </c>
      <c r="BA20" s="235">
        <f t="shared" ca="1" si="6"/>
        <v>2.4100297759668109E-3</v>
      </c>
      <c r="BB20" s="235">
        <f t="shared" ca="1" si="6"/>
        <v>5.7935238708850933E-3</v>
      </c>
      <c r="BC20" s="235">
        <f t="shared" ca="1" si="6"/>
        <v>9.6401191038672403E-3</v>
      </c>
      <c r="BD20" s="143">
        <f t="shared" ref="BD20:BD50" ca="1" si="43">IF(OR(DateStart&gt;=I21,DateEnd&lt;I20),0,IF(VolumeOverrideFlag,V20,Volume))</f>
        <v>30</v>
      </c>
      <c r="BE20" s="144">
        <f t="shared" ref="BE20:BE50" ca="1" si="44">IF(OR(DateStart2&gt;=I21,DateEnd2&lt;I20),0,IF(VolumeOverrideFlag,V20,VolumeSwaption))</f>
        <v>30</v>
      </c>
      <c r="BF20" s="40">
        <f t="shared" si="7"/>
        <v>2001</v>
      </c>
      <c r="BG20" s="139">
        <f t="shared" si="8"/>
        <v>5</v>
      </c>
      <c r="BH20" s="140">
        <f t="shared" ref="BH20:BH50" ca="1" si="45">AD20-DateToday+1</f>
        <v>8</v>
      </c>
      <c r="BI20" s="304">
        <f t="shared" ref="BI20:BI50" ca="1" si="46">(I20-DateToday+1)/365.25</f>
        <v>6.0232717316906229E-2</v>
      </c>
      <c r="BJ20" s="42">
        <f t="shared" ref="BJ20:BJ82" ca="1" si="47">BI20+(BL20-BI20)*CHOOSE(Underlying,AJ20/AI20,AM20/AL20)</f>
        <v>0.11996764358160664</v>
      </c>
      <c r="BK20" s="42">
        <f t="shared" ca="1" si="9"/>
        <v>0.12270549436873873</v>
      </c>
      <c r="BL20" s="42">
        <f t="shared" ref="BL20:BL50" ca="1" si="48">(I21-DateToday)/365.25</f>
        <v>0.14236824093086928</v>
      </c>
      <c r="BM20" s="285">
        <f t="shared" ref="BM20:BM83" si="49">CHOOSE(Underlying,AI20,AL20)</f>
        <v>22</v>
      </c>
      <c r="BN20" s="41">
        <f t="shared" ref="BN20:BN82" si="50">CHOOSE(Underlying,AJ20,AM20)</f>
        <v>16</v>
      </c>
      <c r="BO20" s="41">
        <f t="shared" ref="BO20:BO82" si="51">CHOOSE(Underlying,AK20,AN20)</f>
        <v>6</v>
      </c>
      <c r="BP20" s="297">
        <f t="shared" ca="1" si="10"/>
        <v>27.567272727272734</v>
      </c>
      <c r="BQ20" s="297">
        <f t="shared" ca="1" si="11"/>
        <v>-2.4403113045774472E-3</v>
      </c>
      <c r="BR20" s="299">
        <f t="shared" ca="1" si="12"/>
        <v>-2.4403113045774472E-3</v>
      </c>
      <c r="BS20" s="153">
        <f t="shared" ca="1" si="13"/>
        <v>27.540000000000003</v>
      </c>
      <c r="BT20" s="153">
        <f t="shared" ca="1" si="14"/>
        <v>27.639999999999997</v>
      </c>
      <c r="BU20" s="300">
        <f t="shared" ca="1" si="15"/>
        <v>0.37772659422797</v>
      </c>
      <c r="BV20" s="301">
        <f t="shared" ca="1" si="16"/>
        <v>0.36257358882234997</v>
      </c>
      <c r="BW20" s="300">
        <f t="shared" ca="1" si="17"/>
        <v>1.7915395669917566E-2</v>
      </c>
      <c r="BX20" s="301">
        <f t="shared" ca="1" si="18"/>
        <v>1.7915395669917566E-2</v>
      </c>
      <c r="BY20" s="146">
        <f t="shared" ca="1" si="19"/>
        <v>0.3781637856537628</v>
      </c>
      <c r="BZ20" s="146">
        <f t="shared" ca="1" si="20"/>
        <v>0.36301078024814276</v>
      </c>
      <c r="CA20" s="146">
        <f t="shared" ca="1" si="21"/>
        <v>0.3781637856537628</v>
      </c>
      <c r="CB20" s="146">
        <f t="shared" ca="1" si="22"/>
        <v>0.36301078024814276</v>
      </c>
      <c r="CC20" s="302">
        <v>1</v>
      </c>
      <c r="CD20" s="154" t="e">
        <f ca="1">IF(BD20,_xll.xCrudeAPO(BS20,BT20,BY20,BZ20,S21,S22,BI20,BL20,BN20,BO20,0,Strike1,AO20,CC20,0,BL20,IF(OptControl=4,0,1),0,1),0)</f>
        <v>#NAME?</v>
      </c>
      <c r="CE20" s="155" t="e">
        <f ca="1">IF(BD20,_xll.xCrudeAPO(BS20,BT20,BY20,BZ20,S21,S22,BI20,BL20,BN20,BO20,0,Strike1,AO20,CC20,0,BL20,IF(OptControl=4,0,1),1,1)+_xll.xCrudeAPO(BS20,BT20,BY20,BZ20,S21,S22,BI20,BL20,BN20,BO20,0,Strike1,AO20,CC20,0,BL20,IF(OptControl=4,0,1),1,2)+IF(OR(VolSkewFlag=2,ABS(BQ20)&lt;0.0001),0,IF(BQ20&gt;0,-1,1)*CF20*Strike1/BP20^2*BW20/10%),0)</f>
        <v>#NAME?</v>
      </c>
      <c r="CF20" s="155" t="e">
        <f ca="1">IF(BD20,(_xll.xCrudeAPO(BS20,BT20,BY20,BZ20,S21,S22,BI20,BL20,BN20,BO20,0,Strike1,AO20,CC20,0,BL20,IF(OptControl=4,0,1),3,1)+_xll.xCrudeAPO(BS20,BT20,BY20,BZ20,S21,S22,BI20,BL20,BN20,BO20,0,Strike1,AO20,CC20,0,BL20,IF(OptControl=4,0,1),3,2))/100,0)</f>
        <v>#NAME?</v>
      </c>
      <c r="CG20" s="155" t="e">
        <f ca="1">IF(BD20,_xll.xCrudeAPO(BS20,BT20,BY20,BZ20,S21,S22,BI20-DaysForThetaCalculation/365.25,BL20-DaysForThetaCalculation/365.25,BN20,BO20,0,Strike1,AO20,CC20,0,BL20,IF(OptControl=4,0,1),0,1)-_xll.xCrudeAPO(BS20,BT20,BY20,BZ20,S21,S22,BI20,BL20,BN20,BO20,0,Strike1,AO20,CC20,0,BL20,IF(OptControl=4,0,1),0,1),0)</f>
        <v>#NAME?</v>
      </c>
      <c r="CH20" s="303" t="e">
        <f ca="1">IF(BD20,_xll.xCrudeAPO(BS20,BT20,CA20,CB20,S21,S22,BI20,BL20,BN20,BO20,0,Strike2,AO20,CC20,0,BL20,IF(OptControl=3,1,0),0,1),0)</f>
        <v>#NAME?</v>
      </c>
      <c r="CI20" s="155" t="e">
        <f ca="1">IF(BD20,_xll.xCrudeAPO(BS20,BT20,CA20,CB20,S21,S22,BI20,BL20,BN20,BO20,0,Strike2,AO20,CC20,0,BL20,IF(OptControl=3,1,0),1,1)+_xll.xCrudeAPO(BS20,BT20,CA20,CB20,S21,S22,BI20,BL20,BN20,BO20,0,Strike2,AO20,CC20,0,BL20,IF(OptControl=3,1,0),1,2)+IF(OR(VolSkewFlag=2,ABS(BR20)&lt;0.0001),0,IF(BR20&gt;0,-1,1)*CJ20*Strike2/BP20^2*BX20/10%),0)</f>
        <v>#NAME?</v>
      </c>
      <c r="CJ20" s="155" t="e">
        <f ca="1">IF(BD20,(_xll.xCrudeAPO(BS20,BT20,CA20,CB20,S21,S22,BI20,BL20,BN20,BO20,0,Strike2,AO20,CC20,0,BL20,IF(OptControl=3,1,0),3,1)+_xll.xCrudeAPO(BS20,BT20,CA20,CB20,S21,S22,BI20,BL20,BN20,BO20,0,Strike2,AO20,CC20,0,BL20,IF(OptControl=3,1,0),3,2))/100,0)</f>
        <v>#NAME?</v>
      </c>
      <c r="CK20" s="156" t="e">
        <f ca="1">IF(BD20,_xll.xCrudeAPO(BS20,BT20,CA20,CB20,S21,S22,BI20-DaysForThetaCalculation/365.25,BL20-DaysForThetaCalculation/365.25,BN20,BO20,0,Strike2,AO20,CC20,0,BL20,IF(OptControl=3,1,0),0,1)-_xll.xCrudeAPO(BS20,BT20,CA20,CB20,S21,S22,BI20,BL20,BN20,BO20,0,Strike2,AO20,CC20,0,BL20,IF(OptControl=3,1,0),0,1),0)</f>
        <v>#NAME?</v>
      </c>
      <c r="CL20" s="497"/>
      <c r="CM20" s="779">
        <f t="shared" ref="CM20:CM83" ca="1" si="52">IF(BD20,CHOOSE(Underlying,AD20,AF20)-DateToday+1,"")</f>
        <v>8</v>
      </c>
      <c r="CN20" s="780">
        <f t="shared" ref="CN20:CN83" ca="1" si="53">IF(BD20,CHOOSE(Underlying,L20,R20),"")</f>
        <v>27.28</v>
      </c>
      <c r="CO20" s="780">
        <f t="shared" ref="CO20:CO83" ca="1" si="54">IF(BD20,Strike1/CN20-1,"")</f>
        <v>8.0645161290322509E-3</v>
      </c>
      <c r="CP20" s="780">
        <f t="shared" ref="CP20:CP83" ca="1" si="55">IF(BD20,Strike2/CN20-1,"")</f>
        <v>8.0645161290322509E-3</v>
      </c>
      <c r="CQ20" s="780">
        <f t="shared" ref="CQ20:CQ83" ca="1" si="56">IF(BD20,IF(CO20&gt;0,IF(CO20&gt;0.2,BC19-BB19,IF(CO20&gt;0.1,BB19-BA19,BA19)),IF(CO20&lt;-0.2,AX19-AY19,IF(CO20&lt;-0.1,AY19-AZ19,AZ19))),"")</f>
        <v>2.894745650536532E-3</v>
      </c>
      <c r="CR20" s="780">
        <f t="shared" ref="CR20:CR83" ca="1" si="57">IF(BD20,IF(CP20&gt;0,IF(CP20&gt;0.2,BC19-BB19,IF(CP20&gt;0.1,BB19-BA19,BA19)),IF(CP20&lt;-0.2,AX19-AY19,IF(CP20&lt;-0.1,AY19-AZ19,AZ19))),"")</f>
        <v>2.894745650536532E-3</v>
      </c>
      <c r="CS20" s="781">
        <f t="shared" ref="CS20:CS83" ca="1" si="58">IF(BD20,CHOOSE(Underlying,O20,AT20),"")</f>
        <v>0.39011285015805997</v>
      </c>
      <c r="CT20" s="782">
        <f t="shared" ref="CT20:CT83" ca="1" si="59">IF(BD20,CS20+IF(VolSkewFlag=1,IF(CO20&gt;0,BA19*MIN(CO20/10%,1)+(BB19-BA19)*MAX(0,MIN(CO20/10%-1,1))+(BC19-BB19)*MAX(0,CO20/10%-2),AZ19*MIN(-CO20/10%,1)+(AY19-AZ19)*MAX(0,MIN(-CO20/10%-1,1))+(AX19-AY19)*MAX(0,-CO20/10%-2)),0),"")</f>
        <v>0.39034629738794197</v>
      </c>
      <c r="CU20" s="782">
        <f t="shared" ref="CU20:CU83" ca="1" si="60">IF(BD20,CS20+IF(VolSkewFlag=1,IF(CP20&gt;0,BA19*MIN(CP20/10%,1)+(BB19-BA19)*MAX(0,MIN(CP20/10%-1,1))+(BC19-BB19)*MAX(0,CP20/10%-2),AZ19*MIN(-CP20/10%,1)+(AY19-AZ19)*MAX(0,MIN(-CP20/10%-1,1))+(AX19-AY19)*MAX(0,-CP20/10%-2)),0),"")</f>
        <v>0.39034629738794197</v>
      </c>
      <c r="CV20" s="155" t="e">
        <f ca="1">IF(BD20,_xll.EURO(CN20,Strike1,AO20,AO20,CT20,CM20,IF(OptControl=4,0,1),0),0)</f>
        <v>#NAME?</v>
      </c>
      <c r="CW20" s="155" t="e">
        <f ca="1">IF(BD20,_xll.EURO(CN20,Strike1,AO20,AO20,CT20,CM20,IF(OptControl=4,0,1),1)+IF(OR(VolSkewFlag=2,ABS(CO20)&lt;0.0001),0,IF(CO20&gt;0,-1,1)*CX20*100*Strike1/CN20^2*CQ20/10%),0)</f>
        <v>#NAME?</v>
      </c>
      <c r="CX20" s="155" t="e">
        <f ca="1">IF(BD20,_xll.EURO(CN20,Strike1,AO20,AO20,CT20,CM20,IF(OptControl=4,0,1),3)/100,0)</f>
        <v>#NAME?</v>
      </c>
      <c r="CY20" s="155" t="e">
        <f ca="1">IF(BD20,_xll.EURO(CN20,Strike1,AO20,AO20,CT20,CM20,IF(OptControl=4,0,1),0)-_xll.EURO(CN20,Strike1,AO20,AO20,CT20,CM20-1,IF(OptControl=4,0,1),0),0)</f>
        <v>#NAME?</v>
      </c>
      <c r="CZ20" s="155" t="e">
        <f ca="1">IF(BD20,_xll.EURO(CN20,Strike2,AO20,AO20,CU20,CM20,IF(OptControl=3,1,0),0),0)</f>
        <v>#NAME?</v>
      </c>
      <c r="DA20" s="155" t="e">
        <f ca="1">IF(BD20,_xll.EURO(CN20,Strike2,AO20,AO20,CU20,CM20,IF(OptControl=3,1,0),1)+IF(OR(VolSkewFlag=2,ABS(CP20)&lt;0.0001),0,IF(CP20&gt;0,-1,1)*DB20*100*Strike2/CN20^2*CR20/10%),0)</f>
        <v>#NAME?</v>
      </c>
      <c r="DB20" s="155" t="e">
        <f ca="1">IF(BD20,_xll.EURO(CN20,Strike2,AO20,AO20,CU20,CM20,IF(OptControl=3,1,0),3)/100,0)</f>
        <v>#NAME?</v>
      </c>
      <c r="DC20" s="156" t="e">
        <f ca="1">IF(BD20,_xll.EURO(CN20,Strike2,AO20,AO20,CU20,CM20,IF(OptControl=3,1,0),0)-_xll.EURO(CN20,Strike2,AO20,AO20,CU20,CM20-1,IF(OptControl=3,1,0),0),0)</f>
        <v>#NAME?</v>
      </c>
      <c r="DD20" s="497"/>
      <c r="DE20" s="651">
        <f t="shared" ref="DE20:DE83" ca="1" si="61">EOMONTH(DE19,0)+1</f>
        <v>36923</v>
      </c>
      <c r="DF20" s="465">
        <v>1E-4</v>
      </c>
      <c r="DG20" s="649">
        <v>1E-4</v>
      </c>
      <c r="DH20" s="650">
        <f t="shared" ca="1" si="23"/>
        <v>36923</v>
      </c>
      <c r="DI20" s="465">
        <v>1E-4</v>
      </c>
      <c r="DJ20" s="649">
        <v>1E-4</v>
      </c>
      <c r="DK20" s="651">
        <f t="shared" ca="1" si="24"/>
        <v>36923</v>
      </c>
      <c r="DL20" s="652">
        <f t="shared" si="25"/>
        <v>5.0100000000000006E-2</v>
      </c>
      <c r="DM20" s="651">
        <f t="shared" ref="DM20:DM83" ca="1" si="62">DE20</f>
        <v>36923</v>
      </c>
      <c r="DN20" s="563">
        <f t="shared" ref="DN20:DN83" si="63">DJ20+DO20</f>
        <v>0.60009999999999997</v>
      </c>
      <c r="DO20" s="803">
        <v>0.6</v>
      </c>
      <c r="DP20" s="650">
        <f t="shared" ca="1" si="26"/>
        <v>36923</v>
      </c>
      <c r="DQ20" s="653">
        <v>1E-4</v>
      </c>
      <c r="DR20" s="590">
        <v>1E-4</v>
      </c>
      <c r="DS20" s="650">
        <f t="shared" ca="1" si="27"/>
        <v>36923</v>
      </c>
      <c r="DT20" s="653">
        <v>1E-4</v>
      </c>
      <c r="DU20" s="590">
        <v>1E-4</v>
      </c>
      <c r="DV20" s="651">
        <f t="shared" ca="1" si="28"/>
        <v>36923</v>
      </c>
      <c r="DW20" s="590">
        <v>1E-4</v>
      </c>
      <c r="DX20" s="651">
        <f t="shared" ref="DX20:DX83" ca="1" si="64">DP20</f>
        <v>36923</v>
      </c>
      <c r="DY20" s="590">
        <f t="shared" ref="DY20:DY83" si="65">DR20</f>
        <v>1E-4</v>
      </c>
      <c r="DZ20" s="1"/>
      <c r="EA20" s="863" t="e">
        <f ca="1">_xll.ASN(X20,X20,AO20,AS20,0,AI20,0,BI20,BL20,1,0)</f>
        <v>#NAME?</v>
      </c>
      <c r="EB20" s="653" t="e">
        <f ca="1">_xll.ASN(X20,X20,AO20,AS20,0,AI20,0,BI20,BL20,1,3)/100</f>
        <v>#NAME?</v>
      </c>
      <c r="EC20" s="653" t="e">
        <f ca="1">_xll.xCrudeAPO(L21,L22,O21,O22,S21,S22,BI20,BL20,AJ20,AK20,0,X20,AO20,1,0,+BL20,1,0,1)</f>
        <v>#NAME?</v>
      </c>
      <c r="ED20" s="869" t="e">
        <f ca="1">(EC20-EA20)/EB20/100</f>
        <v>#NAME?</v>
      </c>
      <c r="EE20" s="863" t="e">
        <f t="shared" ca="1" si="29"/>
        <v>#NAME?</v>
      </c>
      <c r="EF20" s="590" t="e">
        <f t="shared" ca="1" si="30"/>
        <v>#NAME?</v>
      </c>
      <c r="EG20" s="862">
        <f t="shared" ca="1" si="31"/>
        <v>0.37359395639007364</v>
      </c>
      <c r="EH20" s="114">
        <f t="shared" ca="1" si="32"/>
        <v>0.37403114781586644</v>
      </c>
      <c r="EI20" s="109">
        <f t="shared" ca="1" si="33"/>
        <v>0.37403114781586644</v>
      </c>
      <c r="EJ20" s="115" t="e">
        <f ca="1">IF(BD20,_xll.xASN(BP20,Strike1,AO20,EH20,0,BM20,0,BI20,BL20,IF(OptControl=4,0,1),0),0)</f>
        <v>#NAME?</v>
      </c>
      <c r="EK20" s="108" t="e">
        <f ca="1">IF(BD20,_xll.xASN(BP20,Strike2,AO20,EI20,0,BM20,0,BI20,BL20,IF(OptControl=3,1,0),0),0)</f>
        <v>#NAME?</v>
      </c>
      <c r="EM20" s="668" t="e">
        <f>[1]!'CLc1 MTH'</f>
        <v>#REF!</v>
      </c>
      <c r="EN20" s="669" t="e">
        <f>DATEVALUE(CONCATENATE(LEFT(EM20,3),"-",IF(VALUE(RIGHT(EM20,1))=9,"1999",CONCATENATE("200",RIGHT(EM20,1)))))</f>
        <v>#REF!</v>
      </c>
      <c r="EO20" s="670" t="e">
        <f>[1]!'CLc1 NET.CHNG'</f>
        <v>#REF!</v>
      </c>
      <c r="EP20" s="671">
        <f>IF(ISNUMBER(VALUE(EO20)),VALUE(EO20)*100,0)</f>
        <v>0</v>
      </c>
      <c r="EQ20" s="1"/>
      <c r="ER20" s="681">
        <v>36519</v>
      </c>
      <c r="ES20" s="682">
        <v>36526</v>
      </c>
      <c r="ET20" s="1"/>
      <c r="EU20" s="667" t="s">
        <v>124</v>
      </c>
      <c r="EW20" s="487">
        <v>1</v>
      </c>
      <c r="EX20" s="466">
        <f ca="1">BH20/365.25</f>
        <v>2.190280629705681E-2</v>
      </c>
      <c r="EY20" s="824">
        <f t="shared" ref="EY20:EY51" ca="1" si="66">O20^2*EX20</f>
        <v>3.3333450701370556E-3</v>
      </c>
      <c r="EZ20" s="797">
        <f>S20</f>
        <v>0.39011285015805997</v>
      </c>
      <c r="FA20" s="480"/>
      <c r="FB20" s="481"/>
      <c r="FC20" s="242">
        <v>0</v>
      </c>
      <c r="FD20" s="583"/>
      <c r="FE20" s="584"/>
      <c r="FF20" s="585">
        <f t="shared" ref="FF20:FF51" ca="1" si="67">IF(BE20,2/3*FD21+1/3*FE22,"")</f>
        <v>0.3794216505171692</v>
      </c>
      <c r="FG20" s="592">
        <f t="shared" ref="FG20:FG51" ca="1" si="68">IF(BE20,(I21+I20-1)/2-DateToday,"")</f>
        <v>36</v>
      </c>
      <c r="FH20" s="586">
        <f t="shared" ref="FH20:FH51" ca="1" si="69">IF(BE20,CHOOSE(Underlying,X20,Z20)+SwaptionUnderlyingPrice-$D$26,"")</f>
        <v>27.567272727272734</v>
      </c>
      <c r="FI20" s="586">
        <f t="shared" ref="FI20:FI51" ca="1" si="70">IF(BE20,CollartionFloor/FH20-1,"")</f>
        <v>-2.4403113045774472E-3</v>
      </c>
      <c r="FJ20" s="586">
        <f t="shared" ref="FJ20:FJ51" ca="1" si="71">IF(BE20,CollartionCap/FH20-1,"")</f>
        <v>-2.4403113045774472E-3</v>
      </c>
      <c r="FK20" s="587">
        <f t="shared" ref="FK20:FK51" ca="1" si="72">IF(BE20,IF(VolSkewFlag=1,IF(FI20&gt;0,$BA20*MIN(FI20/10%,1)+($BB20-$BA20)*MAX(0,MIN(FI20/10%-1,1))+($BC20-$BB20)*MAX(0,FI20/10%-2),$AZ20*MIN(-FI20/10%,1)+($AY20-$AZ20)*MAX(0,MIN(-FI20/10%-1,1))+($AX20-$AY20)*MAX(0,-FI20/10%-2)),0),"")</f>
        <v>4.3719142579277682E-4</v>
      </c>
      <c r="FL20" s="588">
        <f t="shared" ref="FL20:FL51" ca="1" si="73">IF(BE20,IF(VolSkewFlag=1,IF(FJ20&gt;0,$BA20*MIN(FJ20/10%,1)+($BB20-$BA20)*MAX(0,MIN(FJ20/10%-1,1))+($BC20-$BB20)*MAX(0,FJ20/10%-2),$AZ20*MIN(-FJ20/10%,1)+($AY20-$AZ20)*MAX(0,MIN(-FJ20/10%-1,1))+($AX20-$AY20)*MAX(0,-FJ20/10%-2)),0),"")</f>
        <v>4.3719142579277682E-4</v>
      </c>
      <c r="FM20" s="242"/>
      <c r="FN20" s="657">
        <v>1</v>
      </c>
      <c r="FO20" s="450">
        <f t="shared" ref="FO20:FO51" ca="1" si="74">IF(FO$19&gt;$FN20,"",MAX(0,IF(FO$19=$FN20,$S20^2*FO$15,FO19*INDEX($T$20:$T$91,$FN20-FO$19)^2/INDEX($U$20:$U$91,$FN20-FO$19))))</f>
        <v>3.3333450701370556E-3</v>
      </c>
      <c r="FP20" s="450" t="str">
        <f t="shared" ref="FP20:FP51" si="75">IF(FP$19&gt;$FN20,"",MAX(0,IF(FP$19=$FN20,$S20^2*FP$15,FP19*INDEX($T$20:$T$91,$FN20-FP$19)^2/INDEX($U$20:$U$91,$FN20-FP$19))))</f>
        <v/>
      </c>
      <c r="FQ20" s="450" t="str">
        <f t="shared" ref="FQ20:FQ51" si="76">IF(FQ$19&gt;$FN20,"",MAX(0,IF(FQ$19=$FN20,$S20^2*FQ$15,FQ19*INDEX($T$20:$T$91,$FN20-FQ$19)^2/INDEX($U$20:$U$91,$FN20-FQ$19))))</f>
        <v/>
      </c>
      <c r="FR20" s="450" t="str">
        <f t="shared" ref="FR20:FR51" si="77">IF(FR$19&gt;$FN20,"",MAX(0,IF(FR$19=$FN20,$S20^2*FR$15,FR19*INDEX($T$20:$T$91,$FN20-FR$19)^2/INDEX($U$20:$U$91,$FN20-FR$19))))</f>
        <v/>
      </c>
      <c r="FS20" s="450" t="str">
        <f t="shared" ref="FS20:FS51" si="78">IF(FS$19&gt;$FN20,"",MAX(0,IF(FS$19=$FN20,$S20^2*FS$15,FS19*INDEX($T$20:$T$91,$FN20-FS$19)^2/INDEX($U$20:$U$91,$FN20-FS$19))))</f>
        <v/>
      </c>
      <c r="FT20" s="450" t="str">
        <f t="shared" ref="FT20:FT51" si="79">IF(FT$19&gt;$FN20,"",MAX(0,IF(FT$19=$FN20,$S20^2*FT$15,FT19*INDEX($T$20:$T$91,$FN20-FT$19)^2/INDEX($U$20:$U$91,$FN20-FT$19))))</f>
        <v/>
      </c>
      <c r="FU20" s="450" t="str">
        <f t="shared" ref="FU20:FU51" si="80">IF(FU$19&gt;$FN20,"",MAX(0,IF(FU$19=$FN20,$S20^2*FU$15,FU19*INDEX($T$20:$T$91,$FN20-FU$19)^2/INDEX($U$20:$U$91,$FN20-FU$19))))</f>
        <v/>
      </c>
      <c r="FV20" s="450" t="str">
        <f t="shared" ref="FV20:FV51" si="81">IF(FV$19&gt;$FN20,"",MAX(0,IF(FV$19=$FN20,$S20^2*FV$15,FV19*INDEX($T$20:$T$91,$FN20-FV$19)^2/INDEX($U$20:$U$91,$FN20-FV$19))))</f>
        <v/>
      </c>
      <c r="FW20" s="450" t="str">
        <f t="shared" ref="FW20:FW51" si="82">IF(FW$19&gt;$FN20,"",MAX(0,IF(FW$19=$FN20,$S20^2*FW$15,FW19*INDEX($T$20:$T$91,$FN20-FW$19)^2/INDEX($U$20:$U$91,$FN20-FW$19))))</f>
        <v/>
      </c>
      <c r="FX20" s="450" t="str">
        <f t="shared" ref="FX20:FX51" si="83">IF(FX$19&gt;$FN20,"",MAX(0,IF(FX$19=$FN20,$S20^2*FX$15,FX19*INDEX($T$20:$T$91,$FN20-FX$19)^2/INDEX($U$20:$U$91,$FN20-FX$19))))</f>
        <v/>
      </c>
      <c r="FY20" s="450" t="str">
        <f t="shared" ref="FY20:FY51" si="84">IF(FY$19&gt;$FN20,"",MAX(0,IF(FY$19=$FN20,$S20^2*FY$15,FY19*INDEX($T$20:$T$91,$FN20-FY$19)^2/INDEX($U$20:$U$91,$FN20-FY$19))))</f>
        <v/>
      </c>
      <c r="FZ20" s="450" t="str">
        <f t="shared" ref="FZ20:FZ51" si="85">IF(FZ$19&gt;$FN20,"",MAX(0,IF(FZ$19=$FN20,$S20^2*FZ$15,FZ19*INDEX($T$20:$T$91,$FN20-FZ$19)^2/INDEX($U$20:$U$91,$FN20-FZ$19))))</f>
        <v/>
      </c>
      <c r="GA20" s="450" t="str">
        <f t="shared" ref="GA20:GA51" si="86">IF(GA$19&gt;$FN20,"",MAX(0,IF(GA$19=$FN20,$S20^2*GA$15,GA19*INDEX($T$20:$T$91,$FN20-GA$19)^2/INDEX($U$20:$U$91,$FN20-GA$19))))</f>
        <v/>
      </c>
      <c r="GB20" s="450" t="str">
        <f t="shared" ref="GB20:GB51" si="87">IF(GB$19&gt;$FN20,"",MAX(0,IF(GB$19=$FN20,$S20^2*GB$15,GB19*INDEX($T$20:$T$91,$FN20-GB$19)^2/INDEX($U$20:$U$91,$FN20-GB$19))))</f>
        <v/>
      </c>
      <c r="GC20" s="450" t="str">
        <f t="shared" ref="GC20:GC51" si="88">IF(GC$19&gt;$FN20,"",MAX(0,IF(GC$19=$FN20,$S20^2*GC$15,GC19*INDEX($T$20:$T$91,$FN20-GC$19)^2/INDEX($U$20:$U$91,$FN20-GC$19))))</f>
        <v/>
      </c>
      <c r="GD20" s="450" t="str">
        <f t="shared" ref="GD20:GD51" si="89">IF(GD$19&gt;$FN20,"",MAX(0,IF(GD$19=$FN20,$S20^2*GD$15,GD19*INDEX($T$20:$T$91,$FN20-GD$19)^2/INDEX($U$20:$U$91,$FN20-GD$19))))</f>
        <v/>
      </c>
      <c r="GE20" s="450" t="str">
        <f t="shared" ref="GE20:GE51" si="90">IF(GE$19&gt;$FN20,"",MAX(0,IF(GE$19=$FN20,$S20^2*GE$15,GE19*INDEX($T$20:$T$91,$FN20-GE$19)^2/INDEX($U$20:$U$91,$FN20-GE$19))))</f>
        <v/>
      </c>
      <c r="GF20" s="450" t="str">
        <f t="shared" ref="GF20:GF51" si="91">IF(GF$19&gt;$FN20,"",MAX(0,IF(GF$19=$FN20,$S20^2*GF$15,GF19*INDEX($T$20:$T$91,$FN20-GF$19)^2/INDEX($U$20:$U$91,$FN20-GF$19))))</f>
        <v/>
      </c>
      <c r="GG20" s="450" t="str">
        <f t="shared" ref="GG20:GG51" si="92">IF(GG$19&gt;$FN20,"",MAX(0,IF(GG$19=$FN20,$S20^2*GG$15,GG19*INDEX($T$20:$T$91,$FN20-GG$19)^2/INDEX($U$20:$U$91,$FN20-GG$19))))</f>
        <v/>
      </c>
      <c r="GH20" s="450" t="str">
        <f t="shared" ref="GH20:GH51" si="93">IF(GH$19&gt;$FN20,"",MAX(0,IF(GH$19=$FN20,$S20^2*GH$15,GH19*INDEX($T$20:$T$91,$FN20-GH$19)^2/INDEX($U$20:$U$91,$FN20-GH$19))))</f>
        <v/>
      </c>
      <c r="GI20" s="450" t="str">
        <f t="shared" ref="GI20:GI51" si="94">IF(GI$19&gt;$FN20,"",MAX(0,IF(GI$19=$FN20,$S20^2*GI$15,GI19*INDEX($T$20:$T$91,$FN20-GI$19)^2/INDEX($U$20:$U$91,$FN20-GI$19))))</f>
        <v/>
      </c>
      <c r="GJ20" s="450" t="str">
        <f t="shared" ref="GJ20:GJ51" si="95">IF(GJ$19&gt;$FN20,"",MAX(0,IF(GJ$19=$FN20,$S20^2*GJ$15,GJ19*INDEX($T$20:$T$91,$FN20-GJ$19)^2/INDEX($U$20:$U$91,$FN20-GJ$19))))</f>
        <v/>
      </c>
      <c r="GK20" s="450" t="str">
        <f t="shared" ref="GK20:GK51" si="96">IF(GK$19&gt;$FN20,"",MAX(0,IF(GK$19=$FN20,$S20^2*GK$15,GK19*INDEX($T$20:$T$91,$FN20-GK$19)^2/INDEX($U$20:$U$91,$FN20-GK$19))))</f>
        <v/>
      </c>
      <c r="GL20" s="450" t="str">
        <f t="shared" ref="GL20:GL51" si="97">IF(GL$19&gt;$FN20,"",MAX(0,IF(GL$19=$FN20,$S20^2*GL$15,GL19*INDEX($T$20:$T$91,$FN20-GL$19)^2/INDEX($U$20:$U$91,$FN20-GL$19))))</f>
        <v/>
      </c>
      <c r="GM20" s="450" t="str">
        <f t="shared" ref="GM20:GM51" si="98">IF(GM$19&gt;$FN20,"",MAX(0,IF(GM$19=$FN20,$S20^2*GM$15,GM19*INDEX($T$20:$T$91,$FN20-GM$19)^2/INDEX($U$20:$U$91,$FN20-GM$19))))</f>
        <v/>
      </c>
      <c r="GN20" s="450" t="str">
        <f t="shared" ref="GN20:GN51" si="99">IF(GN$19&gt;$FN20,"",MAX(0,IF(GN$19=$FN20,$S20^2*GN$15,GN19*INDEX($T$20:$T$91,$FN20-GN$19)^2/INDEX($U$20:$U$91,$FN20-GN$19))))</f>
        <v/>
      </c>
      <c r="GO20" s="450" t="str">
        <f t="shared" ref="GO20:GO51" si="100">IF(GO$19&gt;$FN20,"",MAX(0,IF(GO$19=$FN20,$S20^2*GO$15,GO19*INDEX($T$20:$T$91,$FN20-GO$19)^2/INDEX($U$20:$U$91,$FN20-GO$19))))</f>
        <v/>
      </c>
      <c r="GP20" s="450" t="str">
        <f t="shared" ref="GP20:GP51" si="101">IF(GP$19&gt;$FN20,"",MAX(0,IF(GP$19=$FN20,$S20^2*GP$15,GP19*INDEX($T$20:$T$91,$FN20-GP$19)^2/INDEX($U$20:$U$91,$FN20-GP$19))))</f>
        <v/>
      </c>
      <c r="GQ20" s="450" t="str">
        <f t="shared" ref="GQ20:GQ51" si="102">IF(GQ$19&gt;$FN20,"",MAX(0,IF(GQ$19=$FN20,$S20^2*GQ$15,GQ19*INDEX($T$20:$T$91,$FN20-GQ$19)^2/INDEX($U$20:$U$91,$FN20-GQ$19))))</f>
        <v/>
      </c>
      <c r="GR20" s="450" t="str">
        <f t="shared" ref="GR20:GR51" si="103">IF(GR$19&gt;$FN20,"",MAX(0,IF(GR$19=$FN20,$S20^2*GR$15,GR19*INDEX($T$20:$T$91,$FN20-GR$19)^2/INDEX($U$20:$U$91,$FN20-GR$19))))</f>
        <v/>
      </c>
      <c r="GS20" s="450" t="str">
        <f t="shared" ref="GS20:GS51" si="104">IF(GS$19&gt;$FN20,"",MAX(0,IF(GS$19=$FN20,$S20^2*GS$15,GS19*INDEX($T$20:$T$91,$FN20-GS$19)^2/INDEX($U$20:$U$91,$FN20-GS$19))))</f>
        <v/>
      </c>
      <c r="GT20" s="450" t="str">
        <f t="shared" ref="GT20:GT51" si="105">IF(GT$19&gt;$FN20,"",MAX(0,IF(GT$19=$FN20,$S20^2*GT$15,GT19*INDEX($T$20:$T$91,$FN20-GT$19)^2/INDEX($U$20:$U$91,$FN20-GT$19))))</f>
        <v/>
      </c>
      <c r="GU20" s="450" t="str">
        <f t="shared" ref="GU20:GU51" si="106">IF(GU$19&gt;$FN20,"",MAX(0,IF(GU$19=$FN20,$S20^2*GU$15,GU19*INDEX($T$20:$T$91,$FN20-GU$19)^2/INDEX($U$20:$U$91,$FN20-GU$19))))</f>
        <v/>
      </c>
      <c r="GV20" s="450" t="str">
        <f t="shared" ref="GV20:GV51" si="107">IF(GV$19&gt;$FN20,"",MAX(0,IF(GV$19=$FN20,$S20^2*GV$15,GV19*INDEX($T$20:$T$91,$FN20-GV$19)^2/INDEX($U$20:$U$91,$FN20-GV$19))))</f>
        <v/>
      </c>
      <c r="GW20" s="450" t="str">
        <f t="shared" ref="GW20:GW51" si="108">IF(GW$19&gt;$FN20,"",MAX(0,IF(GW$19=$FN20,$S20^2*GW$15,GW19*INDEX($T$20:$T$91,$FN20-GW$19)^2/INDEX($U$20:$U$91,$FN20-GW$19))))</f>
        <v/>
      </c>
      <c r="GX20" s="450" t="str">
        <f t="shared" ref="GX20:GX51" si="109">IF(GX$19&gt;$FN20,"",MAX(0,IF(GX$19=$FN20,$S20^2*GX$15,GX19*INDEX($T$20:$T$91,$FN20-GX$19)^2/INDEX($U$20:$U$91,$FN20-GX$19))))</f>
        <v/>
      </c>
      <c r="GY20" s="450" t="str">
        <f t="shared" ref="GY20:GY51" si="110">IF(GY$19&gt;$FN20,"",MAX(0,IF(GY$19=$FN20,$S20^2*GY$15,GY19*INDEX($T$20:$T$91,$FN20-GY$19)^2/INDEX($U$20:$U$91,$FN20-GY$19))))</f>
        <v/>
      </c>
      <c r="GZ20" s="450" t="str">
        <f t="shared" ref="GZ20:GZ51" si="111">IF(GZ$19&gt;$FN20,"",MAX(0,IF(GZ$19=$FN20,$S20^2*GZ$15,GZ19*INDEX($T$20:$T$91,$FN20-GZ$19)^2/INDEX($U$20:$U$91,$FN20-GZ$19))))</f>
        <v/>
      </c>
      <c r="HA20" s="450" t="str">
        <f t="shared" ref="HA20:HA51" si="112">IF(HA$19&gt;$FN20,"",MAX(0,IF(HA$19=$FN20,$S20^2*HA$15,HA19*INDEX($T$20:$T$91,$FN20-HA$19)^2/INDEX($U$20:$U$91,$FN20-HA$19))))</f>
        <v/>
      </c>
      <c r="HB20" s="450" t="str">
        <f t="shared" ref="HB20:HB51" si="113">IF(HB$19&gt;$FN20,"",MAX(0,IF(HB$19=$FN20,$S20^2*HB$15,HB19*INDEX($T$20:$T$91,$FN20-HB$19)^2/INDEX($U$20:$U$91,$FN20-HB$19))))</f>
        <v/>
      </c>
      <c r="HC20" s="450" t="str">
        <f t="shared" ref="HC20:HC51" si="114">IF(HC$19&gt;$FN20,"",MAX(0,IF(HC$19=$FN20,$S20^2*HC$15,HC19*INDEX($T$20:$T$91,$FN20-HC$19)^2/INDEX($U$20:$U$91,$FN20-HC$19))))</f>
        <v/>
      </c>
      <c r="HD20" s="450" t="str">
        <f t="shared" ref="HD20:HD51" si="115">IF(HD$19&gt;$FN20,"",MAX(0,IF(HD$19=$FN20,$S20^2*HD$15,HD19*INDEX($T$20:$T$91,$FN20-HD$19)^2/INDEX($U$20:$U$91,$FN20-HD$19))))</f>
        <v/>
      </c>
      <c r="HE20" s="450" t="str">
        <f t="shared" ref="HE20:HE51" si="116">IF(HE$19&gt;$FN20,"",MAX(0,IF(HE$19=$FN20,$S20^2*HE$15,HE19*INDEX($T$20:$T$91,$FN20-HE$19)^2/INDEX($U$20:$U$91,$FN20-HE$19))))</f>
        <v/>
      </c>
      <c r="HF20" s="450" t="str">
        <f t="shared" ref="HF20:HF51" si="117">IF(HF$19&gt;$FN20,"",MAX(0,IF(HF$19=$FN20,$S20^2*HF$15,HF19*INDEX($T$20:$T$91,$FN20-HF$19)^2/INDEX($U$20:$U$91,$FN20-HF$19))))</f>
        <v/>
      </c>
      <c r="HG20" s="450" t="str">
        <f t="shared" ref="HG20:HG51" si="118">IF(HG$19&gt;$FN20,"",MAX(0,IF(HG$19=$FN20,$S20^2*HG$15,HG19*INDEX($T$20:$T$91,$FN20-HG$19)^2/INDEX($U$20:$U$91,$FN20-HG$19))))</f>
        <v/>
      </c>
      <c r="HH20" s="450" t="str">
        <f t="shared" ref="HH20:HH51" si="119">IF(HH$19&gt;$FN20,"",MAX(0,IF(HH$19=$FN20,$S20^2*HH$15,HH19*INDEX($T$20:$T$91,$FN20-HH$19)^2/INDEX($U$20:$U$91,$FN20-HH$19))))</f>
        <v/>
      </c>
      <c r="HI20" s="450" t="str">
        <f t="shared" ref="HI20:HI51" si="120">IF(HI$19&gt;$FN20,"",MAX(0,IF(HI$19=$FN20,$S20^2*HI$15,HI19*INDEX($T$20:$T$91,$FN20-HI$19)^2/INDEX($U$20:$U$91,$FN20-HI$19))))</f>
        <v/>
      </c>
      <c r="HJ20" s="450" t="str">
        <f t="shared" ref="HJ20:HJ51" si="121">IF(HJ$19&gt;$FN20,"",MAX(0,IF(HJ$19=$FN20,$S20^2*HJ$15,HJ19*INDEX($T$20:$T$91,$FN20-HJ$19)^2/INDEX($U$20:$U$91,$FN20-HJ$19))))</f>
        <v/>
      </c>
      <c r="HK20" s="450" t="str">
        <f t="shared" ref="HK20:HK51" si="122">IF(HK$19&gt;$FN20,"",MAX(0,IF(HK$19=$FN20,$S20^2*HK$15,HK19*INDEX($T$20:$T$91,$FN20-HK$19)^2/INDEX($U$20:$U$91,$FN20-HK$19))))</f>
        <v/>
      </c>
      <c r="HL20" s="450" t="str">
        <f t="shared" ref="HL20:HL51" si="123">IF(HL$19&gt;$FN20,"",MAX(0,IF(HL$19=$FN20,$S20^2*HL$15,HL19*INDEX($T$20:$T$91,$FN20-HL$19)^2/INDEX($U$20:$U$91,$FN20-HL$19))))</f>
        <v/>
      </c>
      <c r="HM20" s="450" t="str">
        <f t="shared" ref="HM20:HM51" si="124">IF(HM$19&gt;$FN20,"",MAX(0,IF(HM$19=$FN20,$S20^2*HM$15,HM19*INDEX($T$20:$T$91,$FN20-HM$19)^2/INDEX($U$20:$U$91,$FN20-HM$19))))</f>
        <v/>
      </c>
      <c r="HN20" s="450" t="str">
        <f t="shared" ref="HN20:HN51" si="125">IF(HN$19&gt;$FN20,"",MAX(0,IF(HN$19=$FN20,$S20^2*HN$15,HN19*INDEX($T$20:$T$91,$FN20-HN$19)^2/INDEX($U$20:$U$91,$FN20-HN$19))))</f>
        <v/>
      </c>
      <c r="HO20" s="450" t="str">
        <f t="shared" ref="HO20:HO51" si="126">IF(HO$19&gt;$FN20,"",MAX(0,IF(HO$19=$FN20,$S20^2*HO$15,HO19*INDEX($T$20:$T$91,$FN20-HO$19)^2/INDEX($U$20:$U$91,$FN20-HO$19))))</f>
        <v/>
      </c>
      <c r="HP20" s="450" t="str">
        <f t="shared" ref="HP20:HP51" si="127">IF(HP$19&gt;$FN20,"",MAX(0,IF(HP$19=$FN20,$S20^2*HP$15,HP19*INDEX($T$20:$T$91,$FN20-HP$19)^2/INDEX($U$20:$U$91,$FN20-HP$19))))</f>
        <v/>
      </c>
      <c r="HQ20" s="450" t="str">
        <f t="shared" ref="HQ20:HQ51" si="128">IF(HQ$19&gt;$FN20,"",MAX(0,IF(HQ$19=$FN20,$S20^2*HQ$15,HQ19*INDEX($T$20:$T$91,$FN20-HQ$19)^2/INDEX($U$20:$U$91,$FN20-HQ$19))))</f>
        <v/>
      </c>
      <c r="HR20" s="450" t="str">
        <f t="shared" ref="HR20:HR51" si="129">IF(HR$19&gt;$FN20,"",MAX(0,IF(HR$19=$FN20,$S20^2*HR$15,HR19*INDEX($T$20:$T$91,$FN20-HR$19)^2/INDEX($U$20:$U$91,$FN20-HR$19))))</f>
        <v/>
      </c>
      <c r="HS20" s="450" t="str">
        <f t="shared" ref="HS20:HS51" si="130">IF(HS$19&gt;$FN20,"",MAX(0,IF(HS$19=$FN20,$S20^2*HS$15,HS19*INDEX($T$20:$T$91,$FN20-HS$19)^2/INDEX($U$20:$U$91,$FN20-HS$19))))</f>
        <v/>
      </c>
      <c r="HT20" s="450" t="str">
        <f t="shared" ref="HT20:HT51" si="131">IF(HT$19&gt;$FN20,"",MAX(0,IF(HT$19=$FN20,$S20^2*HT$15,HT19*INDEX($T$20:$T$91,$FN20-HT$19)^2/INDEX($U$20:$U$91,$FN20-HT$19))))</f>
        <v/>
      </c>
      <c r="HU20" s="450" t="str">
        <f t="shared" ref="HU20:HU51" si="132">IF(HU$19&gt;$FN20,"",MAX(0,IF(HU$19=$FN20,$S20^2*HU$15,HU19*INDEX($T$20:$T$91,$FN20-HU$19)^2/INDEX($U$20:$U$91,$FN20-HU$19))))</f>
        <v/>
      </c>
      <c r="HV20" s="450" t="str">
        <f t="shared" ref="HV20:HV51" si="133">IF(HV$19&gt;$FN20,"",MAX(0,IF(HV$19=$FN20,$S20^2*HV$15,HV19*INDEX($T$20:$T$91,$FN20-HV$19)^2/INDEX($U$20:$U$91,$FN20-HV$19))))</f>
        <v/>
      </c>
      <c r="HW20" s="450" t="str">
        <f t="shared" ref="HW20:HW51" si="134">IF(HW$19&gt;$FN20,"",MAX(0,IF(HW$19=$FN20,$S20^2*HW$15,HW19*INDEX($T$20:$T$91,$FN20-HW$19)^2/INDEX($U$20:$U$91,$FN20-HW$19))))</f>
        <v/>
      </c>
      <c r="HX20" s="450" t="str">
        <f t="shared" ref="HX20:HX51" si="135">IF(HX$19&gt;$FN20,"",MAX(0,IF(HX$19=$FN20,$S20^2*HX$15,HX19*INDEX($T$20:$T$91,$FN20-HX$19)^2/INDEX($U$20:$U$91,$FN20-HX$19))))</f>
        <v/>
      </c>
      <c r="HY20" s="450" t="str">
        <f t="shared" ref="HY20:HY51" si="136">IF(HY$19&gt;$FN20,"",MAX(0,IF(HY$19=$FN20,$S20^2*HY$15,HY19*INDEX($T$20:$T$91,$FN20-HY$19)^2/INDEX($U$20:$U$91,$FN20-HY$19))))</f>
        <v/>
      </c>
      <c r="HZ20" s="450" t="str">
        <f t="shared" ref="HZ20:HZ51" si="137">IF(HZ$19&gt;$FN20,"",MAX(0,IF(HZ$19=$FN20,$S20^2*HZ$15,HZ19*INDEX($T$20:$T$91,$FN20-HZ$19)^2/INDEX($U$20:$U$91,$FN20-HZ$19))))</f>
        <v/>
      </c>
      <c r="IA20" s="450" t="str">
        <f t="shared" ref="IA20:IA51" si="138">IF(IA$19&gt;$FN20,"",MAX(0,IF(IA$19=$FN20,$S20^2*IA$15,IA19*INDEX($T$20:$T$91,$FN20-IA$19)^2/INDEX($U$20:$U$91,$FN20-IA$19))))</f>
        <v/>
      </c>
      <c r="IB20" s="450" t="str">
        <f t="shared" ref="IB20:IB51" si="139">IF(IB$19&gt;$FN20,"",MAX(0,IF(IB$19=$FN20,$S20^2*IB$15,IB19*INDEX($T$20:$T$91,$FN20-IB$19)^2/INDEX($U$20:$U$91,$FN20-IB$19))))</f>
        <v/>
      </c>
      <c r="IC20" s="450" t="str">
        <f t="shared" ref="IC20:IC51" si="140">IF(IC$19&gt;$FN20,"",MAX(0,IF(IC$19=$FN20,$S20^2*IC$15,IC19*INDEX($T$20:$T$91,$FN20-IC$19)^2/INDEX($U$20:$U$91,$FN20-IC$19))))</f>
        <v/>
      </c>
      <c r="ID20" s="450" t="str">
        <f t="shared" ref="ID20:ID51" si="141">IF(ID$19&gt;$FN20,"",MAX(0,IF(ID$19=$FN20,$S20^2*ID$15,ID19*INDEX($T$20:$T$91,$FN20-ID$19)^2/INDEX($U$20:$U$91,$FN20-ID$19))))</f>
        <v/>
      </c>
      <c r="IE20" s="450" t="str">
        <f t="shared" ref="IE20:IE51" si="142">IF(IE$19&gt;$FN20,"",MAX(0,IF(IE$19=$FN20,$S20^2*IE$15,IE19*INDEX($T$20:$T$91,$FN20-IE$19)^2/INDEX($U$20:$U$91,$FN20-IE$19))))</f>
        <v/>
      </c>
      <c r="IF20" s="450" t="str">
        <f t="shared" ref="IF20:IF51" si="143">IF(IF$19&gt;$FN20,"",MAX(0,IF(IF$19=$FN20,$S20^2*IF$15,IF19*INDEX($T$20:$T$91,$FN20-IF$19)^2/INDEX($U$20:$U$91,$FN20-IF$19))))</f>
        <v/>
      </c>
      <c r="IG20" s="450" t="str">
        <f t="shared" ref="IG20:IG51" si="144">IF(IG$19&gt;$FN20,"",MAX(0,IF(IG$19=$FN20,$S20^2*IG$15,IG19*INDEX($T$20:$T$91,$FN20-IG$19)^2/INDEX($U$20:$U$91,$FN20-IG$19))))</f>
        <v/>
      </c>
      <c r="IH20" s="658" t="str">
        <f t="shared" ref="IH20:IH51" si="145">IF(IH$19&gt;$FN20,"",MAX(0,IF(IH$19=$FN20,$S20^2*IH$15,IH19*INDEX($T$20:$T$91,$FN20-IH$19)^2/INDEX($U$20:$U$91,$FN20-IH$19))))</f>
        <v/>
      </c>
      <c r="II20" s="242"/>
    </row>
    <row r="21" spans="1:243" ht="16.5" customHeight="1">
      <c r="A21" s="891">
        <f t="shared" ref="A21:A29" ca="1" si="146">INDEX($L$20:$L$260,A38)-INDEX($L$20:$L$260,A39)</f>
        <v>1.2199999999999989</v>
      </c>
      <c r="B21" s="884" t="str">
        <f>IF(OptControl=2,"",IF(OptControl=3,"Call Spread",IF(OptControl=4,"Put Spread","Straddle")))</f>
        <v>Straddle</v>
      </c>
      <c r="C21" s="525" t="e">
        <f ca="1">C19+C20*IF(OptControl&gt;2,-1,1)</f>
        <v>#NAME?</v>
      </c>
      <c r="D21" s="444" t="e">
        <f ca="1">D19+D20*IF(OptControl&gt;2,-1,1)</f>
        <v>#NAME?</v>
      </c>
      <c r="E21" s="444" t="e">
        <f ca="1">E19+E20*IF(OptControl&gt;2,-1,1)</f>
        <v>#NAME?</v>
      </c>
      <c r="F21" s="687" t="e">
        <f ca="1">F19+F20*IF(OptControl&gt;2,-1,1)</f>
        <v>#NAME?</v>
      </c>
      <c r="G21" s="695" t="s">
        <v>14</v>
      </c>
      <c r="H21" s="49" t="e">
        <f t="shared" ca="1" si="34"/>
        <v>#N/A</v>
      </c>
      <c r="I21" s="369">
        <f t="shared" si="35"/>
        <v>37043</v>
      </c>
      <c r="J21" s="367">
        <v>27.59</v>
      </c>
      <c r="K21" s="101">
        <v>0</v>
      </c>
      <c r="L21" s="382">
        <f t="shared" si="36"/>
        <v>27.59</v>
      </c>
      <c r="M21" s="163">
        <v>0.37772659422797</v>
      </c>
      <c r="N21" s="372">
        <v>0</v>
      </c>
      <c r="O21" s="163">
        <f t="shared" si="37"/>
        <v>0.37772659422797</v>
      </c>
      <c r="P21" s="367">
        <v>25.83</v>
      </c>
      <c r="Q21" s="100">
        <v>0</v>
      </c>
      <c r="R21" s="367">
        <f t="shared" ref="R21:R84" ca="1" si="147">IF(ISNUMBER(Q21),P21+Q21/100,IF(Q21="extra",(Z19*AL19-R20*AM19)/AN19,IF(Q21="inter",interpolateprices($Q$19:$R$260,ROW(Q21)-ROW(FirstPricingMonth)+1),interpolatechanges($P$19:$Q$260,ROW(Q21)-ROW(FirstPricingMonth)+1))))</f>
        <v>25.83</v>
      </c>
      <c r="S21" s="371">
        <v>0.39</v>
      </c>
      <c r="T21" s="813">
        <f t="shared" ref="T21:T84" si="148">SQRT((1-(1-T20^2/U20)*T$18)*U21)</f>
        <v>0.92185711241725843</v>
      </c>
      <c r="U21" s="532">
        <f t="shared" ref="U21:U84" si="149">1-(1-U20)*U$18</f>
        <v>0.98875000000000002</v>
      </c>
      <c r="V21" s="379">
        <v>0</v>
      </c>
      <c r="W21" s="424">
        <f t="shared" ref="W21:W50" si="150">(J22*AJ21+J23*AK21)/AI21</f>
        <v>27.626666666666672</v>
      </c>
      <c r="X21" s="405">
        <f t="shared" si="38"/>
        <v>27.626666666666672</v>
      </c>
      <c r="Y21" s="313">
        <f t="shared" si="39"/>
        <v>25.841904761904765</v>
      </c>
      <c r="Z21" s="313">
        <f t="shared" ca="1" si="40"/>
        <v>25.841904761904765</v>
      </c>
      <c r="AA21" s="419">
        <f t="shared" si="1"/>
        <v>1.7847619047619077</v>
      </c>
      <c r="AB21" s="423">
        <f t="shared" ca="1" si="2"/>
        <v>1.7847619047619077</v>
      </c>
      <c r="AC21" s="218">
        <v>37033</v>
      </c>
      <c r="AD21" s="219">
        <v>37028</v>
      </c>
      <c r="AE21" s="219">
        <v>37027</v>
      </c>
      <c r="AF21" s="220">
        <v>37022</v>
      </c>
      <c r="AG21" s="241" t="s">
        <v>495</v>
      </c>
      <c r="AH21" s="239" t="s">
        <v>495</v>
      </c>
      <c r="AI21" s="141">
        <v>21</v>
      </c>
      <c r="AJ21" s="41">
        <v>14</v>
      </c>
      <c r="AK21" s="41">
        <v>7</v>
      </c>
      <c r="AL21" s="285">
        <v>21</v>
      </c>
      <c r="AM21" s="41">
        <v>10</v>
      </c>
      <c r="AN21" s="142">
        <v>11</v>
      </c>
      <c r="AO21" s="364">
        <v>5.0206897293504103E-2</v>
      </c>
      <c r="AP21" s="145">
        <f t="shared" ca="1" si="41"/>
        <v>0.98892925378909036</v>
      </c>
      <c r="AQ21" s="364">
        <v>4.2122523285584204E-2</v>
      </c>
      <c r="AR21" s="145">
        <f t="shared" ref="AR21:AR84" ca="1" si="151">(1+AQ21/2)^(-2*BH21/365.25)</f>
        <v>0.99567254464059018</v>
      </c>
      <c r="AS21" s="264">
        <f t="shared" si="3"/>
        <v>0.35793468415594665</v>
      </c>
      <c r="AT21" s="149">
        <f t="shared" si="42"/>
        <v>0.37772659422797</v>
      </c>
      <c r="AU21" s="149">
        <f t="shared" si="4"/>
        <v>0.35528388148943046</v>
      </c>
      <c r="AV21" s="353">
        <f ca="1">IF(BH20&gt;0,SQRT(MAX(0.000000000001,(O21^2*BH21-S21^2*(BH21-BH20))/BH20)),O21)</f>
        <v>0.32763173676941321</v>
      </c>
      <c r="AW21" s="150">
        <f t="shared" ca="1" si="5"/>
        <v>1</v>
      </c>
      <c r="AX21" s="149">
        <f t="shared" ref="AX21:AX84" ca="1" si="152">IF($AW21="",AX20^2/AX19,INDEX(U$5:U$8,$AW21)^((INDEX($T$5:$T$8,$AW21+1)-($I21-DateToday+15))/(INDEX($T$5:$T$8,$AW21+1)-INDEX($T$5:$T$8,$AW21)))/INDEX(U$5:U$8,$AW21+1)^((INDEX($T$5:$T$8,$AW21)-($I21-DateToday+15))/(INDEX($T$5:$T$8,$AW21+1)-INDEX($T$5:$T$8,$AW21))))</f>
        <v>7.294204523709219E-2</v>
      </c>
      <c r="AY21" s="149">
        <f t="shared" ref="AY21:AY84" ca="1" si="153">IF($AW21="",AY20^2/AY19,INDEX(V$5:V$8,$AW21)^((INDEX($T$5:$T$8,$AW21+1)-($I21-DateToday+15))/(INDEX($T$5:$T$8,$AW21+1)-INDEX($T$5:$T$8,$AW21)))/INDEX(V$5:V$8,$AW21+1)^((INDEX($T$5:$T$8,$AW21)-($I21-DateToday+15))/(INDEX($T$5:$T$8,$AW21+1)-INDEX($T$5:$T$8,$AW21))))</f>
        <v>4.3439287852502083E-2</v>
      </c>
      <c r="AZ21" s="149">
        <f t="shared" ref="AZ21:AZ84" ca="1" si="154">IF($AW21="",AZ20^2/AZ19,INDEX(W$5:W$8,$AW21)^((INDEX($T$5:$T$8,$AW21+1)-($I21-DateToday+15))/(INDEX($T$5:$T$8,$AW21+1)-INDEX($T$5:$T$8,$AW21)))/INDEX(W$5:W$8,$AW21+1)^((INDEX($T$5:$T$8,$AW21)-($I21-DateToday+15))/(INDEX($T$5:$T$8,$AW21+1)-INDEX($T$5:$T$8,$AW21))))</f>
        <v>1.7484567052029169E-2</v>
      </c>
      <c r="BA21" s="149">
        <f t="shared" ref="BA21:BA84" ca="1" si="155">IF($AW21="",BA20^2/BA19,INDEX(X$5:X$8,$AW21)^((INDEX($T$5:$T$8,$AW21+1)-($I21-DateToday+15))/(INDEX($T$5:$T$8,$AW21+1)-INDEX($T$5:$T$8,$AW21)))/INDEX(X$5:X$8,$AW21+1)^((INDEX($T$5:$T$8,$AW21)-($I21-DateToday+15))/(INDEX($T$5:$T$8,$AW21+1)-INDEX($T$5:$T$8,$AW21))))</f>
        <v>1.9942585982993936E-3</v>
      </c>
      <c r="BB21" s="149">
        <f t="shared" ref="BB21:BB84" ca="1" si="156">IF($AW21="",BB20^2/BB19,INDEX(Y$5:Y$8,$AW21)^((INDEX($T$5:$T$8,$AW21+1)-($I21-DateToday+15))/(INDEX($T$5:$T$8,$AW21+1)-INDEX($T$5:$T$8,$AW21)))/INDEX(Y$5:Y$8,$AW21+1)^((INDEX($T$5:$T$8,$AW21)-($I21-DateToday+15))/(INDEX($T$5:$T$8,$AW21+1)-INDEX($T$5:$T$8,$AW21))))</f>
        <v>4.8346585890557091E-3</v>
      </c>
      <c r="BC21" s="149">
        <f t="shared" ref="BC21:BC84" ca="1" si="157">IF($AW21="",BC20^2/BC19,INDEX(Z$5:Z$8,$AW21)^((INDEX($T$5:$T$8,$AW21+1)-($I21-DateToday+15))/(INDEX($T$5:$T$8,$AW21+1)-INDEX($T$5:$T$8,$AW21)))/INDEX(Z$5:Z$8,$AW21+1)^((INDEX($T$5:$T$8,$AW21)-($I21-DateToday+15))/(INDEX($T$5:$T$8,$AW21+1)-INDEX($T$5:$T$8,$AW21))))</f>
        <v>7.9770343931975761E-3</v>
      </c>
      <c r="BD21" s="143">
        <f t="shared" ca="1" si="43"/>
        <v>30</v>
      </c>
      <c r="BE21" s="144">
        <f t="shared" ca="1" si="44"/>
        <v>30</v>
      </c>
      <c r="BF21" s="40">
        <f t="shared" si="7"/>
        <v>2001</v>
      </c>
      <c r="BG21" s="139">
        <f t="shared" si="8"/>
        <v>6</v>
      </c>
      <c r="BH21" s="140">
        <f t="shared" ca="1" si="45"/>
        <v>38</v>
      </c>
      <c r="BI21" s="304">
        <f t="shared" ca="1" si="46"/>
        <v>0.14510609171800137</v>
      </c>
      <c r="BJ21" s="42">
        <f t="shared" ca="1" si="47"/>
        <v>0.19803787360255531</v>
      </c>
      <c r="BK21" s="42">
        <f t="shared" ca="1" si="9"/>
        <v>0.20077572438968741</v>
      </c>
      <c r="BL21" s="42">
        <f t="shared" ca="1" si="48"/>
        <v>0.22450376454483231</v>
      </c>
      <c r="BM21" s="285">
        <f t="shared" si="49"/>
        <v>21</v>
      </c>
      <c r="BN21" s="41">
        <f t="shared" si="50"/>
        <v>14</v>
      </c>
      <c r="BO21" s="41">
        <f t="shared" si="51"/>
        <v>7</v>
      </c>
      <c r="BP21" s="297">
        <f t="shared" ca="1" si="10"/>
        <v>27.576666666666672</v>
      </c>
      <c r="BQ21" s="297">
        <f t="shared" ca="1" si="11"/>
        <v>-2.7801281276442769E-3</v>
      </c>
      <c r="BR21" s="299">
        <f t="shared" ca="1" si="12"/>
        <v>-2.7801281276442769E-3</v>
      </c>
      <c r="BS21" s="153">
        <f t="shared" ca="1" si="13"/>
        <v>27.639999999999997</v>
      </c>
      <c r="BT21" s="153">
        <f t="shared" ca="1" si="14"/>
        <v>27.45</v>
      </c>
      <c r="BU21" s="300">
        <f t="shared" ca="1" si="15"/>
        <v>0.36257358882234997</v>
      </c>
      <c r="BV21" s="301">
        <f t="shared" ca="1" si="16"/>
        <v>0.34865687482313995</v>
      </c>
      <c r="BW21" s="300">
        <f t="shared" ca="1" si="17"/>
        <v>1.7484567052029169E-2</v>
      </c>
      <c r="BX21" s="301">
        <f t="shared" ca="1" si="18"/>
        <v>1.7484567052029169E-2</v>
      </c>
      <c r="BY21" s="146">
        <f t="shared" ca="1" si="19"/>
        <v>0.36305968218896023</v>
      </c>
      <c r="BZ21" s="146">
        <f t="shared" ca="1" si="20"/>
        <v>0.34914296818975021</v>
      </c>
      <c r="CA21" s="146">
        <f t="shared" ca="1" si="21"/>
        <v>0.36305968218896023</v>
      </c>
      <c r="CB21" s="146">
        <f t="shared" ca="1" si="22"/>
        <v>0.34914296818975021</v>
      </c>
      <c r="CC21" s="302">
        <v>1</v>
      </c>
      <c r="CD21" s="154" t="e">
        <f ca="1">IF(BD21,_xll.xCrudeAPO(BS21,BT21,BY21,BZ21,S22,S23,BI21,BL21,BN21,BO21,0,Strike1,AO21,CC21,0,BL21,IF(OptControl=4,0,1),0,1),0)</f>
        <v>#NAME?</v>
      </c>
      <c r="CE21" s="155" t="e">
        <f ca="1">IF(BD21,_xll.xCrudeAPO(BS21,BT21,BY21,BZ21,S22,S23,BI21,BL21,BN21,BO21,0,Strike1,AO21,CC21,0,BL21,IF(OptControl=4,0,1),1,1)+_xll.xCrudeAPO(BS21,BT21,BY21,BZ21,S22,S23,BI21,BL21,BN21,BO21,0,Strike1,AO21,CC21,0,BL21,IF(OptControl=4,0,1),1,2)+IF(OR(VolSkewFlag=2,ABS(BQ21)&lt;0.0001),0,IF(BQ21&gt;0,-1,1)*CF21*Strike1/BP21^2*BW21/10%),0)</f>
        <v>#NAME?</v>
      </c>
      <c r="CF21" s="155" t="e">
        <f ca="1">IF(BD21,(_xll.xCrudeAPO(BS21,BT21,BY21,BZ21,S22,S23,BI21,BL21,BN21,BO21,0,Strike1,AO21,CC21,0,BL21,IF(OptControl=4,0,1),3,1)+_xll.xCrudeAPO(BS21,BT21,BY21,BZ21,S22,S23,BI21,BL21,BN21,BO21,0,Strike1,AO21,CC21,0,BL21,IF(OptControl=4,0,1),3,2))/100,0)</f>
        <v>#NAME?</v>
      </c>
      <c r="CG21" s="155" t="e">
        <f ca="1">IF(BD21,_xll.xCrudeAPO(BS21,BT21,BY21,BZ21,S22,S23,BI21-DaysForThetaCalculation/365.25,BL21-DaysForThetaCalculation/365.25,BN21,BO21,0,Strike1,AO21,CC21,0,BL21,IF(OptControl=4,0,1),0,1)-_xll.xCrudeAPO(BS21,BT21,BY21,BZ21,S22,S23,BI21,BL21,BN21,BO21,0,Strike1,AO21,CC21,0,BL21,IF(OptControl=4,0,1),0,1),0)</f>
        <v>#NAME?</v>
      </c>
      <c r="CH21" s="303" t="e">
        <f ca="1">IF(BD21,_xll.xCrudeAPO(BS21,BT21,CA21,CB21,S22,S23,BI21,BL21,BN21,BO21,0,Strike2,AO21,CC21,0,BL21,IF(OptControl=3,1,0),0,1),0)</f>
        <v>#NAME?</v>
      </c>
      <c r="CI21" s="155" t="e">
        <f ca="1">IF(BD21,_xll.xCrudeAPO(BS21,BT21,CA21,CB21,S22,S23,BI21,BL21,BN21,BO21,0,Strike2,AO21,CC21,0,BL21,IF(OptControl=3,1,0),1,1)+_xll.xCrudeAPO(BS21,BT21,CA21,CB21,S22,S23,BI21,BL21,BN21,BO21,0,Strike2,AO21,CC21,0,BL21,IF(OptControl=3,1,0),1,2)+IF(OR(VolSkewFlag=2,ABS(BR21)&lt;0.0001),0,IF(BR21&gt;0,-1,1)*CJ21*Strike2/BP21^2*BX21/10%),0)</f>
        <v>#NAME?</v>
      </c>
      <c r="CJ21" s="155" t="e">
        <f ca="1">IF(BD21,(_xll.xCrudeAPO(BS21,BT21,CA21,CB21,S22,S23,BI21,BL21,BN21,BO21,0,Strike2,AO21,CC21,0,BL21,IF(OptControl=3,1,0),3,1)+_xll.xCrudeAPO(BS21,BT21,CA21,CB21,S22,S23,BI21,BL21,BN21,BO21,0,Strike2,AO21,CC21,0,BL21,IF(OptControl=3,1,0),3,2))/100,0)</f>
        <v>#NAME?</v>
      </c>
      <c r="CK21" s="156" t="e">
        <f ca="1">IF(BD21,_xll.xCrudeAPO(BS21,BT21,CA21,CB21,S22,S23,BI21-DaysForThetaCalculation/365.25,BL21-DaysForThetaCalculation/365.25,BN21,BO21,0,Strike2,AO21,CC21,0,BL21,IF(OptControl=3,1,0),0,1)-_xll.xCrudeAPO(BS21,BT21,CA21,CB21,S22,S23,BI21,BL21,BN21,BO21,0,Strike2,AO21,CC21,0,BL21,IF(OptControl=3,1,0),0,1),0)</f>
        <v>#NAME?</v>
      </c>
      <c r="CL21" s="497"/>
      <c r="CM21" s="779">
        <f t="shared" ca="1" si="52"/>
        <v>38</v>
      </c>
      <c r="CN21" s="783">
        <f t="shared" ca="1" si="53"/>
        <v>27.59</v>
      </c>
      <c r="CO21" s="780">
        <f t="shared" ca="1" si="54"/>
        <v>-3.2620514679231327E-3</v>
      </c>
      <c r="CP21" s="780">
        <f t="shared" ca="1" si="55"/>
        <v>-3.2620514679231327E-3</v>
      </c>
      <c r="CQ21" s="780">
        <f t="shared" ca="1" si="56"/>
        <v>1.7915395669917566E-2</v>
      </c>
      <c r="CR21" s="780">
        <f t="shared" ca="1" si="57"/>
        <v>1.7915395669917566E-2</v>
      </c>
      <c r="CS21" s="781">
        <f t="shared" ca="1" si="58"/>
        <v>0.37772659422797</v>
      </c>
      <c r="CT21" s="782">
        <f t="shared" ca="1" si="59"/>
        <v>0.37831100365540477</v>
      </c>
      <c r="CU21" s="782">
        <f t="shared" ca="1" si="60"/>
        <v>0.37831100365540477</v>
      </c>
      <c r="CV21" s="155" t="e">
        <f ca="1">IF(BD21,_xll.EURO(CN21,Strike1,AO21,AO21,CT21,CM21,IF(OptControl=4,0,1),0),0)</f>
        <v>#NAME?</v>
      </c>
      <c r="CW21" s="155" t="e">
        <f ca="1">IF(BD21,_xll.EURO(CN21,Strike1,AO21,AO21,CT21,CM21,IF(OptControl=4,0,1),1)+IF(OR(VolSkewFlag=2,ABS(CO21)&lt;0.0001),0,IF(CO21&gt;0,-1,1)*CX21*100*Strike1/CN21^2*CQ21/10%),0)</f>
        <v>#NAME?</v>
      </c>
      <c r="CX21" s="155" t="e">
        <f ca="1">IF(BD21,_xll.EURO(CN21,Strike1,AO21,AO21,CT21,CM21,IF(OptControl=4,0,1),3)/100,0)</f>
        <v>#NAME?</v>
      </c>
      <c r="CY21" s="155" t="e">
        <f ca="1">IF(BD21,_xll.EURO(CN21,Strike1,AO21,AO21,CT21,CM21,IF(OptControl=4,0,1),0)-_xll.EURO(CN21,Strike1,AO21,AO21,CT21,CM21-1,IF(OptControl=4,0,1),0),0)</f>
        <v>#NAME?</v>
      </c>
      <c r="CZ21" s="155" t="e">
        <f ca="1">IF(BD21,_xll.EURO(CN21,Strike2,AO21,AO21,CU21,CM21,IF(OptControl=3,1,0),0),0)</f>
        <v>#NAME?</v>
      </c>
      <c r="DA21" s="155" t="e">
        <f ca="1">IF(BD21,_xll.EURO(CN21,Strike2,AO21,AO21,CU21,CM21,IF(OptControl=3,1,0),1)+IF(OR(VolSkewFlag=2,ABS(CP21)&lt;0.0001),0,IF(CP21&gt;0,-1,1)*DB21*100*Strike2/CN21^2*CR21/10%),0)</f>
        <v>#NAME?</v>
      </c>
      <c r="DB21" s="155" t="e">
        <f ca="1">IF(BD21,_xll.EURO(CN21,Strike2,AO21,AO21,CU21,CM21,IF(OptControl=3,1,0),3)/100,0)</f>
        <v>#NAME?</v>
      </c>
      <c r="DC21" s="156" t="e">
        <f ca="1">IF(BD21,_xll.EURO(CN21,Strike2,AO21,AO21,CU21,CM21,IF(OptControl=3,1,0),0)-_xll.EURO(CN21,Strike2,AO21,AO21,CU21,CM21-1,IF(OptControl=3,1,0),0),0)</f>
        <v>#NAME?</v>
      </c>
      <c r="DD21" s="497"/>
      <c r="DE21" s="651">
        <f t="shared" ca="1" si="61"/>
        <v>36951</v>
      </c>
      <c r="DF21" s="465">
        <v>1E-4</v>
      </c>
      <c r="DG21" s="649">
        <v>1E-4</v>
      </c>
      <c r="DH21" s="650">
        <f t="shared" ca="1" si="23"/>
        <v>36951</v>
      </c>
      <c r="DI21" s="465">
        <v>1E-4</v>
      </c>
      <c r="DJ21" s="649">
        <v>1E-4</v>
      </c>
      <c r="DK21" s="651">
        <f t="shared" ca="1" si="24"/>
        <v>36951</v>
      </c>
      <c r="DL21" s="652">
        <f t="shared" si="25"/>
        <v>5.0100000000000006E-2</v>
      </c>
      <c r="DM21" s="651">
        <f t="shared" ca="1" si="62"/>
        <v>36951</v>
      </c>
      <c r="DN21" s="563">
        <f t="shared" si="63"/>
        <v>0.60009999999999997</v>
      </c>
      <c r="DO21" s="803">
        <v>0.6</v>
      </c>
      <c r="DP21" s="650">
        <f t="shared" ca="1" si="26"/>
        <v>36951</v>
      </c>
      <c r="DQ21" s="653">
        <v>1E-4</v>
      </c>
      <c r="DR21" s="590">
        <v>1E-4</v>
      </c>
      <c r="DS21" s="650">
        <f t="shared" ca="1" si="27"/>
        <v>36951</v>
      </c>
      <c r="DT21" s="653">
        <v>1E-4</v>
      </c>
      <c r="DU21" s="590">
        <v>1E-4</v>
      </c>
      <c r="DV21" s="651">
        <f t="shared" ca="1" si="28"/>
        <v>36951</v>
      </c>
      <c r="DW21" s="590">
        <v>1E-4</v>
      </c>
      <c r="DX21" s="651">
        <f t="shared" ca="1" si="64"/>
        <v>36951</v>
      </c>
      <c r="DY21" s="590">
        <f t="shared" si="65"/>
        <v>1E-4</v>
      </c>
      <c r="DZ21" s="1"/>
      <c r="EA21" s="863" t="e">
        <f ca="1">_xll.ASN(X21,X21,AO21,AS21,0,AI21,0,BI21,BL21,1,0)</f>
        <v>#NAME?</v>
      </c>
      <c r="EB21" s="653" t="e">
        <f ca="1">_xll.ASN(X21,X21,AO21,AS21,0,AI21,0,BI21,BL21,1,3)/100</f>
        <v>#NAME?</v>
      </c>
      <c r="EC21" s="653" t="e">
        <f ca="1">_xll.xCrudeAPO(L22,L23,O22,O23,S22,S23,BI21,BL21,AJ21,AK21,0,X21,AO21,1,0,+BL21,1,0,1)</f>
        <v>#NAME?</v>
      </c>
      <c r="ED21" s="869" t="e">
        <f ca="1">(EC21-EA21)/EB21/100</f>
        <v>#NAME?</v>
      </c>
      <c r="EE21" s="863" t="e">
        <f t="shared" ca="1" si="29"/>
        <v>#NAME?</v>
      </c>
      <c r="EF21" s="590" t="e">
        <f t="shared" ca="1" si="30"/>
        <v>#NAME?</v>
      </c>
      <c r="EG21" s="862">
        <f t="shared" ca="1" si="31"/>
        <v>0.35793468415594665</v>
      </c>
      <c r="EH21" s="114">
        <f t="shared" ca="1" si="32"/>
        <v>0.35842077752255691</v>
      </c>
      <c r="EI21" s="109">
        <f t="shared" ca="1" si="33"/>
        <v>0.35842077752255691</v>
      </c>
      <c r="EJ21" s="115" t="e">
        <f ca="1">IF(BD21,_xll.xASN(BP21,Strike1,AO21,EH21,0,BM21,0,BI21,BL21,IF(OptControl=4,0,1),0),0)</f>
        <v>#NAME?</v>
      </c>
      <c r="EK21" s="108" t="e">
        <f ca="1">IF(BD21,_xll.xASN(BP21,Strike2,AO21,EI21,0,BM21,0,BI21,BL21,IF(OptControl=3,1,0),0),0)</f>
        <v>#NAME?</v>
      </c>
      <c r="EM21" s="473" t="e">
        <f>[1]!'CLc2 MTH'</f>
        <v>#REF!</v>
      </c>
      <c r="EN21" s="474" t="e">
        <f t="shared" ref="EN21:EN54" si="158">DATEVALUE(CONCATENATE(LEFT(EM21,3),"-",IF(VALUE(RIGHT(EM21,1))=9,"1999",CONCATENATE("200",RIGHT(EM21,1)))))</f>
        <v>#REF!</v>
      </c>
      <c r="EO21" s="475" t="e">
        <f>[1]!'CLc2 NET.CHNG'</f>
        <v>#REF!</v>
      </c>
      <c r="EP21" s="476">
        <f t="shared" ref="EP21:EP54" si="159">IF(ISNUMBER(VALUE(EO21)),VALUE(EO21)*100,0)</f>
        <v>0</v>
      </c>
      <c r="EQ21" s="1"/>
      <c r="ER21" s="681">
        <v>36526</v>
      </c>
      <c r="ES21" s="682">
        <v>36885</v>
      </c>
      <c r="ET21" s="1"/>
      <c r="EU21" s="667" t="s">
        <v>125</v>
      </c>
      <c r="EW21" s="488">
        <v>2</v>
      </c>
      <c r="EX21" s="466">
        <f ca="1">BH21/365.25</f>
        <v>0.10403832991101986</v>
      </c>
      <c r="EY21" s="824">
        <f t="shared" ca="1" si="66"/>
        <v>1.4843916329933846E-2</v>
      </c>
      <c r="EZ21" s="798">
        <f t="shared" ref="EZ21:EZ52" ca="1" si="160">SQRT(SUM(FO21:IH21)/EX21)</f>
        <v>0.38355760344022183</v>
      </c>
      <c r="FA21" s="468">
        <f t="shared" ref="FA21:FA52" ca="1" si="161">IF(OR(DateStart2&gt;I20,DateEnd2&lt;I19),"",IF(DateStart2&lt;I20,AK19/AI19*AP19*BE19*SwaptionNumOfMonths/$D$33,0)+IF(DateEnd2&gt;I19,AJ20/AI20*AP20*BE20*SwaptionNumOfMonths/$D$33,0))</f>
        <v>0.72200349054644697</v>
      </c>
      <c r="FB21" s="467">
        <f t="shared" ref="FB21:FB52" ca="1" si="162">IF(FA21="","",SQRT(SUM(FO326:IH326)/SwaptionYearsToExp))</f>
        <v>0.37826197371654402</v>
      </c>
      <c r="FC21" s="242">
        <v>0</v>
      </c>
      <c r="FD21" s="589">
        <f ca="1">IF(OR(FA21="",FA22=""),"",SQRT(SUM(INDEX(FO21:IH21,SwaptionFirstMonthPosition+1):INDEX(FO21:IH21,FN21))/SUM(INDEX($FO$15:$IH$15,SwaptionFirstMonthPosition+1):INDEX($FO$15:$IH$15,FN21))))</f>
        <v>0.39</v>
      </c>
      <c r="FE21" s="565" t="str">
        <f ca="1">IF(OR(FA21="",FA20=""),"",SQRT(SUM(INDEX(FO21:IH21,SwaptionFirstMonthPosition+1):INDEX(FO21:IH21,FN21-1))/SUM(INDEX($FO$15:$IH$15,SwaptionFirstMonthPosition+1):INDEX($FO$15:$IH$15,FN21-1))))</f>
        <v/>
      </c>
      <c r="FF21" s="562">
        <f t="shared" ca="1" si="67"/>
        <v>0.36429440299870419</v>
      </c>
      <c r="FG21" s="562">
        <f t="shared" ca="1" si="68"/>
        <v>66.5</v>
      </c>
      <c r="FH21" s="563">
        <f t="shared" ca="1" si="69"/>
        <v>27.576666666666672</v>
      </c>
      <c r="FI21" s="563">
        <f t="shared" ca="1" si="70"/>
        <v>-2.7801281276442769E-3</v>
      </c>
      <c r="FJ21" s="563">
        <f t="shared" ca="1" si="71"/>
        <v>-2.7801281276442769E-3</v>
      </c>
      <c r="FK21" s="564">
        <f t="shared" ca="1" si="72"/>
        <v>4.8609336661028667E-4</v>
      </c>
      <c r="FL21" s="590">
        <f t="shared" ca="1" si="73"/>
        <v>4.8609336661028667E-4</v>
      </c>
      <c r="FM21" s="242"/>
      <c r="FN21" s="657">
        <v>2</v>
      </c>
      <c r="FO21" s="450">
        <f t="shared" ca="1" si="74"/>
        <v>2.8129350744932097E-3</v>
      </c>
      <c r="FP21" s="450">
        <f t="shared" ca="1" si="75"/>
        <v>1.2492813141683781E-2</v>
      </c>
      <c r="FQ21" s="450" t="str">
        <f t="shared" si="76"/>
        <v/>
      </c>
      <c r="FR21" s="450" t="str">
        <f t="shared" si="77"/>
        <v/>
      </c>
      <c r="FS21" s="450" t="str">
        <f t="shared" si="78"/>
        <v/>
      </c>
      <c r="FT21" s="450" t="str">
        <f t="shared" si="79"/>
        <v/>
      </c>
      <c r="FU21" s="450" t="str">
        <f t="shared" si="80"/>
        <v/>
      </c>
      <c r="FV21" s="450" t="str">
        <f t="shared" si="81"/>
        <v/>
      </c>
      <c r="FW21" s="450" t="str">
        <f t="shared" si="82"/>
        <v/>
      </c>
      <c r="FX21" s="450" t="str">
        <f t="shared" si="83"/>
        <v/>
      </c>
      <c r="FY21" s="450" t="str">
        <f t="shared" si="84"/>
        <v/>
      </c>
      <c r="FZ21" s="450" t="str">
        <f t="shared" si="85"/>
        <v/>
      </c>
      <c r="GA21" s="450" t="str">
        <f t="shared" si="86"/>
        <v/>
      </c>
      <c r="GB21" s="450" t="str">
        <f t="shared" si="87"/>
        <v/>
      </c>
      <c r="GC21" s="450" t="str">
        <f t="shared" si="88"/>
        <v/>
      </c>
      <c r="GD21" s="450" t="str">
        <f t="shared" si="89"/>
        <v/>
      </c>
      <c r="GE21" s="450" t="str">
        <f t="shared" si="90"/>
        <v/>
      </c>
      <c r="GF21" s="450" t="str">
        <f t="shared" si="91"/>
        <v/>
      </c>
      <c r="GG21" s="450" t="str">
        <f t="shared" si="92"/>
        <v/>
      </c>
      <c r="GH21" s="450" t="str">
        <f t="shared" si="93"/>
        <v/>
      </c>
      <c r="GI21" s="450" t="str">
        <f t="shared" si="94"/>
        <v/>
      </c>
      <c r="GJ21" s="450" t="str">
        <f t="shared" si="95"/>
        <v/>
      </c>
      <c r="GK21" s="450" t="str">
        <f t="shared" si="96"/>
        <v/>
      </c>
      <c r="GL21" s="450" t="str">
        <f t="shared" si="97"/>
        <v/>
      </c>
      <c r="GM21" s="450" t="str">
        <f t="shared" si="98"/>
        <v/>
      </c>
      <c r="GN21" s="450" t="str">
        <f t="shared" si="99"/>
        <v/>
      </c>
      <c r="GO21" s="450" t="str">
        <f t="shared" si="100"/>
        <v/>
      </c>
      <c r="GP21" s="450" t="str">
        <f t="shared" si="101"/>
        <v/>
      </c>
      <c r="GQ21" s="450" t="str">
        <f t="shared" si="102"/>
        <v/>
      </c>
      <c r="GR21" s="450" t="str">
        <f t="shared" si="103"/>
        <v/>
      </c>
      <c r="GS21" s="450" t="str">
        <f t="shared" si="104"/>
        <v/>
      </c>
      <c r="GT21" s="450" t="str">
        <f t="shared" si="105"/>
        <v/>
      </c>
      <c r="GU21" s="450" t="str">
        <f t="shared" si="106"/>
        <v/>
      </c>
      <c r="GV21" s="450" t="str">
        <f t="shared" si="107"/>
        <v/>
      </c>
      <c r="GW21" s="450" t="str">
        <f t="shared" si="108"/>
        <v/>
      </c>
      <c r="GX21" s="450" t="str">
        <f t="shared" si="109"/>
        <v/>
      </c>
      <c r="GY21" s="450" t="str">
        <f t="shared" si="110"/>
        <v/>
      </c>
      <c r="GZ21" s="450" t="str">
        <f t="shared" si="111"/>
        <v/>
      </c>
      <c r="HA21" s="450" t="str">
        <f t="shared" si="112"/>
        <v/>
      </c>
      <c r="HB21" s="450" t="str">
        <f t="shared" si="113"/>
        <v/>
      </c>
      <c r="HC21" s="450" t="str">
        <f t="shared" si="114"/>
        <v/>
      </c>
      <c r="HD21" s="450" t="str">
        <f t="shared" si="115"/>
        <v/>
      </c>
      <c r="HE21" s="450" t="str">
        <f t="shared" si="116"/>
        <v/>
      </c>
      <c r="HF21" s="450" t="str">
        <f t="shared" si="117"/>
        <v/>
      </c>
      <c r="HG21" s="450" t="str">
        <f t="shared" si="118"/>
        <v/>
      </c>
      <c r="HH21" s="450" t="str">
        <f t="shared" si="119"/>
        <v/>
      </c>
      <c r="HI21" s="450" t="str">
        <f t="shared" si="120"/>
        <v/>
      </c>
      <c r="HJ21" s="450" t="str">
        <f t="shared" si="121"/>
        <v/>
      </c>
      <c r="HK21" s="450" t="str">
        <f t="shared" si="122"/>
        <v/>
      </c>
      <c r="HL21" s="450" t="str">
        <f t="shared" si="123"/>
        <v/>
      </c>
      <c r="HM21" s="450" t="str">
        <f t="shared" si="124"/>
        <v/>
      </c>
      <c r="HN21" s="450" t="str">
        <f t="shared" si="125"/>
        <v/>
      </c>
      <c r="HO21" s="450" t="str">
        <f t="shared" si="126"/>
        <v/>
      </c>
      <c r="HP21" s="450" t="str">
        <f t="shared" si="127"/>
        <v/>
      </c>
      <c r="HQ21" s="450" t="str">
        <f t="shared" si="128"/>
        <v/>
      </c>
      <c r="HR21" s="450" t="str">
        <f t="shared" si="129"/>
        <v/>
      </c>
      <c r="HS21" s="450" t="str">
        <f t="shared" si="130"/>
        <v/>
      </c>
      <c r="HT21" s="450" t="str">
        <f t="shared" si="131"/>
        <v/>
      </c>
      <c r="HU21" s="450" t="str">
        <f t="shared" si="132"/>
        <v/>
      </c>
      <c r="HV21" s="450" t="str">
        <f t="shared" si="133"/>
        <v/>
      </c>
      <c r="HW21" s="450" t="str">
        <f t="shared" si="134"/>
        <v/>
      </c>
      <c r="HX21" s="450" t="str">
        <f t="shared" si="135"/>
        <v/>
      </c>
      <c r="HY21" s="450" t="str">
        <f t="shared" si="136"/>
        <v/>
      </c>
      <c r="HZ21" s="450" t="str">
        <f t="shared" si="137"/>
        <v/>
      </c>
      <c r="IA21" s="450" t="str">
        <f t="shared" si="138"/>
        <v/>
      </c>
      <c r="IB21" s="450" t="str">
        <f t="shared" si="139"/>
        <v/>
      </c>
      <c r="IC21" s="450" t="str">
        <f t="shared" si="140"/>
        <v/>
      </c>
      <c r="ID21" s="450" t="str">
        <f t="shared" si="141"/>
        <v/>
      </c>
      <c r="IE21" s="450" t="str">
        <f t="shared" si="142"/>
        <v/>
      </c>
      <c r="IF21" s="450" t="str">
        <f t="shared" si="143"/>
        <v/>
      </c>
      <c r="IG21" s="450" t="str">
        <f t="shared" si="144"/>
        <v/>
      </c>
      <c r="IH21" s="658" t="str">
        <f t="shared" si="145"/>
        <v/>
      </c>
      <c r="II21" s="242"/>
    </row>
    <row r="22" spans="1:243" ht="16.5" customHeight="1" thickBot="1">
      <c r="A22" s="891">
        <f t="shared" ca="1" si="146"/>
        <v>2.5300000000000011</v>
      </c>
      <c r="B22" s="885" t="str">
        <f ca="1">IF(OptControl&gt;1,"","Fence")</f>
        <v>Fence</v>
      </c>
      <c r="C22" s="526" t="e">
        <f ca="1">IF(OptControl&gt;2,"",C19-C20)</f>
        <v>#NAME?</v>
      </c>
      <c r="D22" s="94" t="e">
        <f ca="1">IF(OptControl&gt;2,"",D19-D20)</f>
        <v>#NAME?</v>
      </c>
      <c r="E22" s="94" t="e">
        <f ca="1">IF(OptControl&gt;2,"",E19-E20)</f>
        <v>#NAME?</v>
      </c>
      <c r="F22" s="688" t="e">
        <f ca="1">IF(OptControl&gt;2,"",F19-F20)</f>
        <v>#NAME?</v>
      </c>
      <c r="G22" s="773">
        <f ca="1">AN4</f>
        <v>27.28</v>
      </c>
      <c r="H22" s="49" t="e">
        <f t="shared" ca="1" si="34"/>
        <v>#N/A</v>
      </c>
      <c r="I22" s="369">
        <f t="shared" si="35"/>
        <v>37073</v>
      </c>
      <c r="J22" s="367">
        <v>27.69</v>
      </c>
      <c r="K22" s="101" t="s">
        <v>487</v>
      </c>
      <c r="L22" s="382">
        <f t="shared" si="36"/>
        <v>27.69</v>
      </c>
      <c r="M22" s="163">
        <v>0.36257358882234997</v>
      </c>
      <c r="N22" s="372">
        <v>0</v>
      </c>
      <c r="O22" s="163">
        <f t="shared" si="37"/>
        <v>0.36257358882234997</v>
      </c>
      <c r="P22" s="367">
        <v>25.91</v>
      </c>
      <c r="Q22" s="100" t="s">
        <v>487</v>
      </c>
      <c r="R22" s="367">
        <f t="shared" ca="1" si="147"/>
        <v>25.91</v>
      </c>
      <c r="S22" s="814">
        <f t="shared" ref="S22:S121" si="163">S$19+(S21-S$19)*S$18</f>
        <v>0.38950000000000001</v>
      </c>
      <c r="T22" s="813">
        <f t="shared" si="148"/>
        <v>0.93068271483292075</v>
      </c>
      <c r="U22" s="532">
        <f t="shared" si="149"/>
        <v>0.99156250000000001</v>
      </c>
      <c r="V22" s="379">
        <v>0</v>
      </c>
      <c r="W22" s="424">
        <f t="shared" si="150"/>
        <v>27.406666666666666</v>
      </c>
      <c r="X22" s="405">
        <f t="shared" si="38"/>
        <v>27.406666666666666</v>
      </c>
      <c r="Y22" s="313">
        <f t="shared" si="39"/>
        <v>25.670909090909092</v>
      </c>
      <c r="Z22" s="313">
        <f t="shared" ca="1" si="40"/>
        <v>25.670909090909092</v>
      </c>
      <c r="AA22" s="419">
        <f t="shared" si="1"/>
        <v>1.7357575757575745</v>
      </c>
      <c r="AB22" s="423">
        <f t="shared" ca="1" si="2"/>
        <v>1.7357575757575745</v>
      </c>
      <c r="AC22" s="218">
        <v>37062</v>
      </c>
      <c r="AD22" s="219">
        <v>37057</v>
      </c>
      <c r="AE22" s="219">
        <v>37057</v>
      </c>
      <c r="AF22" s="220">
        <v>37054</v>
      </c>
      <c r="AG22" s="241" t="s">
        <v>496</v>
      </c>
      <c r="AH22" s="239" t="s">
        <v>496</v>
      </c>
      <c r="AI22" s="141">
        <v>21</v>
      </c>
      <c r="AJ22" s="41">
        <v>14</v>
      </c>
      <c r="AK22" s="41">
        <v>7</v>
      </c>
      <c r="AL22" s="285">
        <v>22</v>
      </c>
      <c r="AM22" s="41">
        <v>10</v>
      </c>
      <c r="AN22" s="142">
        <v>12</v>
      </c>
      <c r="AO22" s="364">
        <v>4.8881109727493002E-2</v>
      </c>
      <c r="AP22" s="145">
        <f t="shared" ca="1" si="41"/>
        <v>0.98517020940787481</v>
      </c>
      <c r="AQ22" s="364">
        <v>4.2122523285584204E-2</v>
      </c>
      <c r="AR22" s="145">
        <f t="shared" ca="1" si="151"/>
        <v>0.99238261636627612</v>
      </c>
      <c r="AS22" s="264">
        <f t="shared" si="3"/>
        <v>0.34554258909876329</v>
      </c>
      <c r="AT22" s="149">
        <f t="shared" si="42"/>
        <v>0.36257358882234997</v>
      </c>
      <c r="AU22" s="149">
        <f t="shared" si="4"/>
        <v>0.34356077091052362</v>
      </c>
      <c r="AV22" s="263">
        <f t="shared" ref="AV22:AV85" ca="1" si="164">SQRT(MAX(0.000000000001,(O22^2*BH22-S22^2*(BH22-BH21))/BH21))</f>
        <v>0.34059531627770362</v>
      </c>
      <c r="AW22" s="150">
        <f t="shared" ca="1" si="5"/>
        <v>1</v>
      </c>
      <c r="AX22" s="149">
        <f t="shared" ca="1" si="152"/>
        <v>7.1314960218792842E-2</v>
      </c>
      <c r="AY22" s="149">
        <f t="shared" ca="1" si="153"/>
        <v>4.2213670452027112E-2</v>
      </c>
      <c r="AZ22" s="149">
        <f t="shared" ca="1" si="154"/>
        <v>1.7077503318940361E-2</v>
      </c>
      <c r="BA22" s="149">
        <f t="shared" ca="1" si="155"/>
        <v>1.6603263924029243E-3</v>
      </c>
      <c r="BB22" s="149">
        <f t="shared" ca="1" si="156"/>
        <v>4.0581076404444449E-3</v>
      </c>
      <c r="BC22" s="149">
        <f t="shared" ca="1" si="157"/>
        <v>6.6413055696116973E-3</v>
      </c>
      <c r="BD22" s="143">
        <f t="shared" ca="1" si="43"/>
        <v>30</v>
      </c>
      <c r="BE22" s="144">
        <f t="shared" ca="1" si="44"/>
        <v>30</v>
      </c>
      <c r="BF22" s="40">
        <f t="shared" si="7"/>
        <v>2001</v>
      </c>
      <c r="BG22" s="139">
        <f t="shared" si="8"/>
        <v>7</v>
      </c>
      <c r="BH22" s="140">
        <f t="shared" ca="1" si="45"/>
        <v>67</v>
      </c>
      <c r="BI22" s="304">
        <f t="shared" ca="1" si="46"/>
        <v>0.22724161533196441</v>
      </c>
      <c r="BJ22" s="42">
        <f t="shared" ca="1" si="47"/>
        <v>0.28199863107460643</v>
      </c>
      <c r="BK22" s="42">
        <f t="shared" ca="1" si="9"/>
        <v>0.28473648186173856</v>
      </c>
      <c r="BL22" s="42">
        <f t="shared" ca="1" si="48"/>
        <v>0.30937713894592744</v>
      </c>
      <c r="BM22" s="285">
        <f t="shared" si="49"/>
        <v>21</v>
      </c>
      <c r="BN22" s="41">
        <f t="shared" si="50"/>
        <v>14</v>
      </c>
      <c r="BO22" s="41">
        <f t="shared" si="51"/>
        <v>7</v>
      </c>
      <c r="BP22" s="297">
        <f t="shared" ca="1" si="10"/>
        <v>27.356666666666666</v>
      </c>
      <c r="BQ22" s="297">
        <f t="shared" ca="1" si="11"/>
        <v>5.2394297550870661E-3</v>
      </c>
      <c r="BR22" s="299">
        <f t="shared" ca="1" si="12"/>
        <v>5.2394297550870661E-3</v>
      </c>
      <c r="BS22" s="153">
        <f t="shared" ca="1" si="13"/>
        <v>27.45</v>
      </c>
      <c r="BT22" s="153">
        <f t="shared" ca="1" si="14"/>
        <v>27.169999999999998</v>
      </c>
      <c r="BU22" s="300">
        <f t="shared" ca="1" si="15"/>
        <v>0.34865687482313995</v>
      </c>
      <c r="BV22" s="301">
        <f t="shared" ca="1" si="16"/>
        <v>0.33931401765001001</v>
      </c>
      <c r="BW22" s="300">
        <f t="shared" ca="1" si="17"/>
        <v>1.6603263924029243E-3</v>
      </c>
      <c r="BX22" s="301">
        <f t="shared" ca="1" si="18"/>
        <v>1.6603263924029243E-3</v>
      </c>
      <c r="BY22" s="146">
        <f t="shared" ca="1" si="19"/>
        <v>0.34874386645817507</v>
      </c>
      <c r="BZ22" s="146">
        <f t="shared" ca="1" si="20"/>
        <v>0.33940100928504513</v>
      </c>
      <c r="CA22" s="146">
        <f t="shared" ca="1" si="21"/>
        <v>0.34874386645817507</v>
      </c>
      <c r="CB22" s="146">
        <f t="shared" ca="1" si="22"/>
        <v>0.33940100928504513</v>
      </c>
      <c r="CC22" s="302">
        <v>1</v>
      </c>
      <c r="CD22" s="154" t="e">
        <f ca="1">IF(BD22,_xll.xCrudeAPO(BS22,BT22,BY22,BZ22,S23,S24,BI22,BL22,BN22,BO22,0,Strike1,AO22,CC22,0,BL22,IF(OptControl=4,0,1),0,1),0)</f>
        <v>#NAME?</v>
      </c>
      <c r="CE22" s="155" t="e">
        <f ca="1">IF(BD22,_xll.xCrudeAPO(BS22,BT22,BY22,BZ22,S23,S24,BI22,BL22,BN22,BO22,0,Strike1,AO22,CC22,0,BL22,IF(OptControl=4,0,1),1,1)+_xll.xCrudeAPO(BS22,BT22,BY22,BZ22,S23,S24,BI22,BL22,BN22,BO22,0,Strike1,AO22,CC22,0,BL22,IF(OptControl=4,0,1),1,2)+IF(OR(VolSkewFlag=2,ABS(BQ22)&lt;0.0001),0,IF(BQ22&gt;0,-1,1)*CF22*Strike1/BP22^2*BW22/10%),0)</f>
        <v>#NAME?</v>
      </c>
      <c r="CF22" s="155" t="e">
        <f ca="1">IF(BD22,(_xll.xCrudeAPO(BS22,BT22,BY22,BZ22,S23,S24,BI22,BL22,BN22,BO22,0,Strike1,AO22,CC22,0,BL22,IF(OptControl=4,0,1),3,1)+_xll.xCrudeAPO(BS22,BT22,BY22,BZ22,S23,S24,BI22,BL22,BN22,BO22,0,Strike1,AO22,CC22,0,BL22,IF(OptControl=4,0,1),3,2))/100,0)</f>
        <v>#NAME?</v>
      </c>
      <c r="CG22" s="155" t="e">
        <f ca="1">IF(BD22,_xll.xCrudeAPO(BS22,BT22,BY22,BZ22,S23,S24,BI22-DaysForThetaCalculation/365.25,BL22-DaysForThetaCalculation/365.25,BN22,BO22,0,Strike1,AO22,CC22,0,BL22,IF(OptControl=4,0,1),0,1)-_xll.xCrudeAPO(BS22,BT22,BY22,BZ22,S23,S24,BI22,BL22,BN22,BO22,0,Strike1,AO22,CC22,0,BL22,IF(OptControl=4,0,1),0,1),0)</f>
        <v>#NAME?</v>
      </c>
      <c r="CH22" s="303" t="e">
        <f ca="1">IF(BD22,_xll.xCrudeAPO(BS22,BT22,CA22,CB22,S23,S24,BI22,BL22,BN22,BO22,0,Strike2,AO22,CC22,0,BL22,IF(OptControl=3,1,0),0,1),0)</f>
        <v>#NAME?</v>
      </c>
      <c r="CI22" s="155" t="e">
        <f ca="1">IF(BD22,_xll.xCrudeAPO(BS22,BT22,CA22,CB22,S23,S24,BI22,BL22,BN22,BO22,0,Strike2,AO22,CC22,0,BL22,IF(OptControl=3,1,0),1,1)+_xll.xCrudeAPO(BS22,BT22,CA22,CB22,S23,S24,BI22,BL22,BN22,BO22,0,Strike2,AO22,CC22,0,BL22,IF(OptControl=3,1,0),1,2)+IF(OR(VolSkewFlag=2,ABS(BR22)&lt;0.0001),0,IF(BR22&gt;0,-1,1)*CJ22*Strike2/BP22^2*BX22/10%),0)</f>
        <v>#NAME?</v>
      </c>
      <c r="CJ22" s="155" t="e">
        <f ca="1">IF(BD22,(_xll.xCrudeAPO(BS22,BT22,CA22,CB22,S23,S24,BI22,BL22,BN22,BO22,0,Strike2,AO22,CC22,0,BL22,IF(OptControl=3,1,0),3,1)+_xll.xCrudeAPO(BS22,BT22,CA22,CB22,S23,S24,BI22,BL22,BN22,BO22,0,Strike2,AO22,CC22,0,BL22,IF(OptControl=3,1,0),3,2))/100,0)</f>
        <v>#NAME?</v>
      </c>
      <c r="CK22" s="156" t="e">
        <f ca="1">IF(BD22,_xll.xCrudeAPO(BS22,BT22,CA22,CB22,S23,S24,BI22-DaysForThetaCalculation/365.25,BL22-DaysForThetaCalculation/365.25,BN22,BO22,0,Strike2,AO22,CC22,0,BL22,IF(OptControl=3,1,0),0,1)-_xll.xCrudeAPO(BS22,BT22,CA22,CB22,S23,S24,BI22,BL22,BN22,BO22,0,Strike2,AO22,CC22,0,BL22,IF(OptControl=3,1,0),0,1),0)</f>
        <v>#NAME?</v>
      </c>
      <c r="CL22" s="497"/>
      <c r="CM22" s="779">
        <f t="shared" ca="1" si="52"/>
        <v>67</v>
      </c>
      <c r="CN22" s="783">
        <f t="shared" ca="1" si="53"/>
        <v>27.69</v>
      </c>
      <c r="CO22" s="780">
        <f t="shared" ca="1" si="54"/>
        <v>-6.8616829180210281E-3</v>
      </c>
      <c r="CP22" s="780">
        <f t="shared" ca="1" si="55"/>
        <v>-6.8616829180210281E-3</v>
      </c>
      <c r="CQ22" s="780">
        <f t="shared" ca="1" si="56"/>
        <v>1.7484567052029169E-2</v>
      </c>
      <c r="CR22" s="780">
        <f t="shared" ca="1" si="57"/>
        <v>1.7484567052029169E-2</v>
      </c>
      <c r="CS22" s="781">
        <f t="shared" ca="1" si="58"/>
        <v>0.36257358882234997</v>
      </c>
      <c r="CT22" s="782">
        <f t="shared" ca="1" si="59"/>
        <v>0.36377332437304899</v>
      </c>
      <c r="CU22" s="782">
        <f t="shared" ca="1" si="60"/>
        <v>0.36377332437304899</v>
      </c>
      <c r="CV22" s="155" t="e">
        <f ca="1">IF(BD22,_xll.EURO(CN22,Strike1,AO22,AO22,CT22,CM22,IF(OptControl=4,0,1),0),0)</f>
        <v>#NAME?</v>
      </c>
      <c r="CW22" s="155" t="e">
        <f ca="1">IF(BD22,_xll.EURO(CN22,Strike1,AO22,AO22,CT22,CM22,IF(OptControl=4,0,1),1)+IF(OR(VolSkewFlag=2,ABS(CO22)&lt;0.0001),0,IF(CO22&gt;0,-1,1)*CX22*100*Strike1/CN22^2*CQ22/10%),0)</f>
        <v>#NAME?</v>
      </c>
      <c r="CX22" s="155" t="e">
        <f ca="1">IF(BD22,_xll.EURO(CN22,Strike1,AO22,AO22,CT22,CM22,IF(OptControl=4,0,1),3)/100,0)</f>
        <v>#NAME?</v>
      </c>
      <c r="CY22" s="155" t="e">
        <f ca="1">IF(BD22,_xll.EURO(CN22,Strike1,AO22,AO22,CT22,CM22,IF(OptControl=4,0,1),0)-_xll.EURO(CN22,Strike1,AO22,AO22,CT22,CM22-1,IF(OptControl=4,0,1),0),0)</f>
        <v>#NAME?</v>
      </c>
      <c r="CZ22" s="155" t="e">
        <f ca="1">IF(BD22,_xll.EURO(CN22,Strike2,AO22,AO22,CU22,CM22,IF(OptControl=3,1,0),0),0)</f>
        <v>#NAME?</v>
      </c>
      <c r="DA22" s="155" t="e">
        <f ca="1">IF(BD22,_xll.EURO(CN22,Strike2,AO22,AO22,CU22,CM22,IF(OptControl=3,1,0),1)+IF(OR(VolSkewFlag=2,ABS(CP22)&lt;0.0001),0,IF(CP22&gt;0,-1,1)*DB22*100*Strike2/CN22^2*CR22/10%),0)</f>
        <v>#NAME?</v>
      </c>
      <c r="DB22" s="155" t="e">
        <f ca="1">IF(BD22,_xll.EURO(CN22,Strike2,AO22,AO22,CU22,CM22,IF(OptControl=3,1,0),3)/100,0)</f>
        <v>#NAME?</v>
      </c>
      <c r="DC22" s="156" t="e">
        <f ca="1">IF(BD22,_xll.EURO(CN22,Strike2,AO22,AO22,CU22,CM22,IF(OptControl=3,1,0),0)-_xll.EURO(CN22,Strike2,AO22,AO22,CU22,CM22-1,IF(OptControl=3,1,0),0),0)</f>
        <v>#NAME?</v>
      </c>
      <c r="DD22" s="497"/>
      <c r="DE22" s="651">
        <f t="shared" ca="1" si="61"/>
        <v>36982</v>
      </c>
      <c r="DF22" s="465">
        <v>1E-4</v>
      </c>
      <c r="DG22" s="649">
        <v>1E-4</v>
      </c>
      <c r="DH22" s="650">
        <f t="shared" ca="1" si="23"/>
        <v>36982</v>
      </c>
      <c r="DI22" s="465">
        <v>1E-4</v>
      </c>
      <c r="DJ22" s="649">
        <v>1E-4</v>
      </c>
      <c r="DK22" s="651">
        <f t="shared" ca="1" si="24"/>
        <v>36982</v>
      </c>
      <c r="DL22" s="652">
        <f t="shared" si="25"/>
        <v>5.0100000000000006E-2</v>
      </c>
      <c r="DM22" s="651">
        <f t="shared" ca="1" si="62"/>
        <v>36982</v>
      </c>
      <c r="DN22" s="563">
        <f t="shared" si="63"/>
        <v>-0.37990000000000002</v>
      </c>
      <c r="DO22" s="803">
        <v>-0.38</v>
      </c>
      <c r="DP22" s="650">
        <f t="shared" ca="1" si="26"/>
        <v>36982</v>
      </c>
      <c r="DQ22" s="653">
        <v>1E-4</v>
      </c>
      <c r="DR22" s="590">
        <v>1E-4</v>
      </c>
      <c r="DS22" s="650">
        <f t="shared" ca="1" si="27"/>
        <v>36982</v>
      </c>
      <c r="DT22" s="653">
        <v>1E-4</v>
      </c>
      <c r="DU22" s="590">
        <v>1E-4</v>
      </c>
      <c r="DV22" s="651">
        <f t="shared" ca="1" si="28"/>
        <v>36982</v>
      </c>
      <c r="DW22" s="590">
        <v>1E-4</v>
      </c>
      <c r="DX22" s="651">
        <f t="shared" ca="1" si="64"/>
        <v>36982</v>
      </c>
      <c r="DY22" s="590">
        <f t="shared" si="65"/>
        <v>1E-4</v>
      </c>
      <c r="DZ22" s="1"/>
      <c r="EA22" s="863" t="e">
        <f ca="1">_xll.ASN(X22,X22,AO22,AS22,0,AI22,0,BI22,BL22,1,0)</f>
        <v>#NAME?</v>
      </c>
      <c r="EB22" s="653" t="e">
        <f ca="1">_xll.ASN(X22,X22,AO22,AS22,0,AI22,0,BI22,BL22,1,3)/100</f>
        <v>#NAME?</v>
      </c>
      <c r="EC22" s="653" t="e">
        <f ca="1">_xll.xCrudeAPO(L23,L24,O23,O24,S23,S24,BI22,BL22,AJ22,AK22,0,X22,AO22,1,0,+BL22,1,0,1)</f>
        <v>#NAME?</v>
      </c>
      <c r="ED22" s="869" t="e">
        <f t="shared" ref="ED22:ED85" ca="1" si="165">(EC22-EA22)/EB22/100</f>
        <v>#NAME?</v>
      </c>
      <c r="EE22" s="863" t="e">
        <f t="shared" ca="1" si="29"/>
        <v>#NAME?</v>
      </c>
      <c r="EF22" s="590" t="e">
        <f t="shared" ca="1" si="30"/>
        <v>#NAME?</v>
      </c>
      <c r="EG22" s="862">
        <f t="shared" ca="1" si="31"/>
        <v>0.34554258909876329</v>
      </c>
      <c r="EH22" s="114">
        <f t="shared" ca="1" si="32"/>
        <v>0.3456295807337984</v>
      </c>
      <c r="EI22" s="109">
        <f t="shared" ca="1" si="33"/>
        <v>0.3456295807337984</v>
      </c>
      <c r="EJ22" s="115" t="e">
        <f ca="1">IF(BD22,_xll.xASN(BP22,Strike1,AO22,EH22,0,BM22,0,BI22,BL22,IF(OptControl=4,0,1),0),0)</f>
        <v>#NAME?</v>
      </c>
      <c r="EK22" s="108" t="e">
        <f ca="1">IF(BD22,_xll.xASN(BP22,Strike2,AO22,EI22,0,BM22,0,BI22,BL22,IF(OptControl=3,1,0),0),0)</f>
        <v>#NAME?</v>
      </c>
      <c r="EM22" s="473" t="e">
        <f>[1]!'CLc3 MTH'</f>
        <v>#REF!</v>
      </c>
      <c r="EN22" s="474" t="e">
        <f t="shared" si="158"/>
        <v>#REF!</v>
      </c>
      <c r="EO22" s="475" t="e">
        <f>[1]!'CLc3 NET.CHNG'</f>
        <v>#REF!</v>
      </c>
      <c r="EP22" s="476">
        <f t="shared" si="159"/>
        <v>0</v>
      </c>
      <c r="EQ22" s="1"/>
      <c r="ER22" s="681">
        <v>36528</v>
      </c>
      <c r="ES22" s="682">
        <v>36892</v>
      </c>
      <c r="ET22" s="1"/>
      <c r="EU22" s="667" t="s">
        <v>126</v>
      </c>
      <c r="EW22" s="488">
        <v>3</v>
      </c>
      <c r="EX22" s="466">
        <f ca="1">BH22/365.25</f>
        <v>0.1834360027378508</v>
      </c>
      <c r="EY22" s="824">
        <f t="shared" ca="1" si="66"/>
        <v>2.4114424886712501E-2</v>
      </c>
      <c r="EZ22" s="798">
        <f t="shared" ca="1" si="160"/>
        <v>0.36921197689291618</v>
      </c>
      <c r="FA22" s="468">
        <f t="shared" ca="1" si="161"/>
        <v>0.93003747814764448</v>
      </c>
      <c r="FB22" s="467">
        <f t="shared" ca="1" si="162"/>
        <v>0.34857942910955936</v>
      </c>
      <c r="FC22" s="242">
        <v>0</v>
      </c>
      <c r="FD22" s="589">
        <f ca="1">IF(OR(FA22="",FA23=""),"",SQRT(SUM(INDEX(FO22:IH22,SwaptionFirstMonthPosition+1):INDEX(FO22:IH22,FN22))/SUM(INDEX($FO$15:$IH$15,SwaptionFirstMonthPosition+1):INDEX($FO$15:$IH$15,FN22))))</f>
        <v>0.37394394838078643</v>
      </c>
      <c r="FE22" s="565">
        <f ca="1">IF(OR(FA22="",FA21=""),"",SQRT(SUM(INDEX(FO22:IH22,SwaptionFirstMonthPosition+1):INDEX(FO22:IH22,FN22-1))/SUM(INDEX($FO$15:$IH$15,SwaptionFirstMonthPosition+1):INDEX($FO$15:$IH$15,FN22-1))))</f>
        <v>0.35826495155150762</v>
      </c>
      <c r="FF22" s="562">
        <f t="shared" ca="1" si="67"/>
        <v>0.35214800583332584</v>
      </c>
      <c r="FG22" s="593">
        <f t="shared" ca="1" si="68"/>
        <v>97</v>
      </c>
      <c r="FH22" s="563">
        <f t="shared" ca="1" si="69"/>
        <v>27.356666666666666</v>
      </c>
      <c r="FI22" s="563">
        <f t="shared" ca="1" si="70"/>
        <v>5.2394297550870661E-3</v>
      </c>
      <c r="FJ22" s="563">
        <f t="shared" ca="1" si="71"/>
        <v>5.2394297550870661E-3</v>
      </c>
      <c r="FK22" s="564">
        <f t="shared" ca="1" si="72"/>
        <v>8.6991635035122463E-5</v>
      </c>
      <c r="FL22" s="590">
        <f t="shared" ca="1" si="73"/>
        <v>8.6991635035122463E-5</v>
      </c>
      <c r="FM22" s="242"/>
      <c r="FN22" s="657">
        <v>3</v>
      </c>
      <c r="FO22" s="450">
        <f t="shared" ca="1" si="74"/>
        <v>2.4176889931077868E-3</v>
      </c>
      <c r="FP22" s="450">
        <f t="shared" ca="1" si="75"/>
        <v>1.0542404559359682E-2</v>
      </c>
      <c r="FQ22" s="450">
        <f t="shared" ca="1" si="76"/>
        <v>1.2045440793976731E-2</v>
      </c>
      <c r="FR22" s="450" t="str">
        <f t="shared" si="77"/>
        <v/>
      </c>
      <c r="FS22" s="450" t="str">
        <f t="shared" si="78"/>
        <v/>
      </c>
      <c r="FT22" s="450" t="str">
        <f t="shared" si="79"/>
        <v/>
      </c>
      <c r="FU22" s="450" t="str">
        <f t="shared" si="80"/>
        <v/>
      </c>
      <c r="FV22" s="450" t="str">
        <f t="shared" si="81"/>
        <v/>
      </c>
      <c r="FW22" s="450" t="str">
        <f t="shared" si="82"/>
        <v/>
      </c>
      <c r="FX22" s="450" t="str">
        <f t="shared" si="83"/>
        <v/>
      </c>
      <c r="FY22" s="450" t="str">
        <f t="shared" si="84"/>
        <v/>
      </c>
      <c r="FZ22" s="450" t="str">
        <f t="shared" si="85"/>
        <v/>
      </c>
      <c r="GA22" s="450" t="str">
        <f t="shared" si="86"/>
        <v/>
      </c>
      <c r="GB22" s="450" t="str">
        <f t="shared" si="87"/>
        <v/>
      </c>
      <c r="GC22" s="450" t="str">
        <f t="shared" si="88"/>
        <v/>
      </c>
      <c r="GD22" s="450" t="str">
        <f t="shared" si="89"/>
        <v/>
      </c>
      <c r="GE22" s="450" t="str">
        <f t="shared" si="90"/>
        <v/>
      </c>
      <c r="GF22" s="450" t="str">
        <f t="shared" si="91"/>
        <v/>
      </c>
      <c r="GG22" s="450" t="str">
        <f t="shared" si="92"/>
        <v/>
      </c>
      <c r="GH22" s="450" t="str">
        <f t="shared" si="93"/>
        <v/>
      </c>
      <c r="GI22" s="450" t="str">
        <f t="shared" si="94"/>
        <v/>
      </c>
      <c r="GJ22" s="450" t="str">
        <f t="shared" si="95"/>
        <v/>
      </c>
      <c r="GK22" s="450" t="str">
        <f t="shared" si="96"/>
        <v/>
      </c>
      <c r="GL22" s="450" t="str">
        <f t="shared" si="97"/>
        <v/>
      </c>
      <c r="GM22" s="450" t="str">
        <f t="shared" si="98"/>
        <v/>
      </c>
      <c r="GN22" s="450" t="str">
        <f t="shared" si="99"/>
        <v/>
      </c>
      <c r="GO22" s="450" t="str">
        <f t="shared" si="100"/>
        <v/>
      </c>
      <c r="GP22" s="450" t="str">
        <f t="shared" si="101"/>
        <v/>
      </c>
      <c r="GQ22" s="450" t="str">
        <f t="shared" si="102"/>
        <v/>
      </c>
      <c r="GR22" s="450" t="str">
        <f t="shared" si="103"/>
        <v/>
      </c>
      <c r="GS22" s="450" t="str">
        <f t="shared" si="104"/>
        <v/>
      </c>
      <c r="GT22" s="450" t="str">
        <f t="shared" si="105"/>
        <v/>
      </c>
      <c r="GU22" s="450" t="str">
        <f t="shared" si="106"/>
        <v/>
      </c>
      <c r="GV22" s="450" t="str">
        <f t="shared" si="107"/>
        <v/>
      </c>
      <c r="GW22" s="450" t="str">
        <f t="shared" si="108"/>
        <v/>
      </c>
      <c r="GX22" s="450" t="str">
        <f t="shared" si="109"/>
        <v/>
      </c>
      <c r="GY22" s="450" t="str">
        <f t="shared" si="110"/>
        <v/>
      </c>
      <c r="GZ22" s="450" t="str">
        <f t="shared" si="111"/>
        <v/>
      </c>
      <c r="HA22" s="450" t="str">
        <f t="shared" si="112"/>
        <v/>
      </c>
      <c r="HB22" s="450" t="str">
        <f t="shared" si="113"/>
        <v/>
      </c>
      <c r="HC22" s="450" t="str">
        <f t="shared" si="114"/>
        <v/>
      </c>
      <c r="HD22" s="450" t="str">
        <f t="shared" si="115"/>
        <v/>
      </c>
      <c r="HE22" s="450" t="str">
        <f t="shared" si="116"/>
        <v/>
      </c>
      <c r="HF22" s="450" t="str">
        <f t="shared" si="117"/>
        <v/>
      </c>
      <c r="HG22" s="450" t="str">
        <f t="shared" si="118"/>
        <v/>
      </c>
      <c r="HH22" s="450" t="str">
        <f t="shared" si="119"/>
        <v/>
      </c>
      <c r="HI22" s="450" t="str">
        <f t="shared" si="120"/>
        <v/>
      </c>
      <c r="HJ22" s="450" t="str">
        <f t="shared" si="121"/>
        <v/>
      </c>
      <c r="HK22" s="450" t="str">
        <f t="shared" si="122"/>
        <v/>
      </c>
      <c r="HL22" s="450" t="str">
        <f t="shared" si="123"/>
        <v/>
      </c>
      <c r="HM22" s="450" t="str">
        <f t="shared" si="124"/>
        <v/>
      </c>
      <c r="HN22" s="450" t="str">
        <f t="shared" si="125"/>
        <v/>
      </c>
      <c r="HO22" s="450" t="str">
        <f t="shared" si="126"/>
        <v/>
      </c>
      <c r="HP22" s="450" t="str">
        <f t="shared" si="127"/>
        <v/>
      </c>
      <c r="HQ22" s="450" t="str">
        <f t="shared" si="128"/>
        <v/>
      </c>
      <c r="HR22" s="450" t="str">
        <f t="shared" si="129"/>
        <v/>
      </c>
      <c r="HS22" s="450" t="str">
        <f t="shared" si="130"/>
        <v/>
      </c>
      <c r="HT22" s="450" t="str">
        <f t="shared" si="131"/>
        <v/>
      </c>
      <c r="HU22" s="450" t="str">
        <f t="shared" si="132"/>
        <v/>
      </c>
      <c r="HV22" s="450" t="str">
        <f t="shared" si="133"/>
        <v/>
      </c>
      <c r="HW22" s="450" t="str">
        <f t="shared" si="134"/>
        <v/>
      </c>
      <c r="HX22" s="450" t="str">
        <f t="shared" si="135"/>
        <v/>
      </c>
      <c r="HY22" s="450" t="str">
        <f t="shared" si="136"/>
        <v/>
      </c>
      <c r="HZ22" s="450" t="str">
        <f t="shared" si="137"/>
        <v/>
      </c>
      <c r="IA22" s="450" t="str">
        <f t="shared" si="138"/>
        <v/>
      </c>
      <c r="IB22" s="450" t="str">
        <f t="shared" si="139"/>
        <v/>
      </c>
      <c r="IC22" s="450" t="str">
        <f t="shared" si="140"/>
        <v/>
      </c>
      <c r="ID22" s="450" t="str">
        <f t="shared" si="141"/>
        <v/>
      </c>
      <c r="IE22" s="450" t="str">
        <f t="shared" si="142"/>
        <v/>
      </c>
      <c r="IF22" s="450" t="str">
        <f t="shared" si="143"/>
        <v/>
      </c>
      <c r="IG22" s="450" t="str">
        <f t="shared" si="144"/>
        <v/>
      </c>
      <c r="IH22" s="658" t="str">
        <f t="shared" si="145"/>
        <v/>
      </c>
      <c r="II22" s="242"/>
    </row>
    <row r="23" spans="1:243" ht="15" customHeight="1" thickBot="1">
      <c r="A23" s="891">
        <f t="shared" ca="1" si="146"/>
        <v>1.1999999999999993</v>
      </c>
      <c r="B23" s="54" t="s">
        <v>158</v>
      </c>
      <c r="C23" s="98"/>
      <c r="D23" s="98"/>
      <c r="E23" s="98"/>
      <c r="F23" s="98"/>
      <c r="G23" s="98"/>
      <c r="H23" s="49" t="e">
        <f t="shared" ca="1" si="34"/>
        <v>#N/A</v>
      </c>
      <c r="I23" s="369">
        <f t="shared" si="35"/>
        <v>37104</v>
      </c>
      <c r="J23" s="367">
        <v>27.5</v>
      </c>
      <c r="K23" s="101" t="s">
        <v>487</v>
      </c>
      <c r="L23" s="382">
        <f t="shared" si="36"/>
        <v>27.5</v>
      </c>
      <c r="M23" s="163">
        <v>0.34865687482313995</v>
      </c>
      <c r="N23" s="372">
        <v>0</v>
      </c>
      <c r="O23" s="163">
        <f t="shared" si="37"/>
        <v>0.34865687482313995</v>
      </c>
      <c r="P23" s="367">
        <v>25.78</v>
      </c>
      <c r="Q23" s="100" t="s">
        <v>487</v>
      </c>
      <c r="R23" s="367">
        <f t="shared" ca="1" si="147"/>
        <v>25.78</v>
      </c>
      <c r="S23" s="814">
        <f t="shared" si="163"/>
        <v>0.38900499999999999</v>
      </c>
      <c r="T23" s="813">
        <f t="shared" si="148"/>
        <v>0.93839162094692263</v>
      </c>
      <c r="U23" s="532">
        <f t="shared" si="149"/>
        <v>0.99367187499999998</v>
      </c>
      <c r="V23" s="379">
        <v>0</v>
      </c>
      <c r="W23" s="424">
        <f t="shared" si="150"/>
        <v>27.119130434782608</v>
      </c>
      <c r="X23" s="405">
        <f t="shared" si="38"/>
        <v>27.119130434782608</v>
      </c>
      <c r="Y23" s="313">
        <f t="shared" si="39"/>
        <v>25.475652173913044</v>
      </c>
      <c r="Z23" s="313">
        <f t="shared" ca="1" si="40"/>
        <v>25.475652173913044</v>
      </c>
      <c r="AA23" s="419">
        <f t="shared" si="1"/>
        <v>1.6434782608695642</v>
      </c>
      <c r="AB23" s="423">
        <f t="shared" ca="1" si="2"/>
        <v>1.6434782608695642</v>
      </c>
      <c r="AC23" s="218">
        <v>37092</v>
      </c>
      <c r="AD23" s="219">
        <v>37089</v>
      </c>
      <c r="AE23" s="219">
        <v>37088</v>
      </c>
      <c r="AF23" s="220">
        <v>37083</v>
      </c>
      <c r="AG23" s="241" t="s">
        <v>496</v>
      </c>
      <c r="AH23" s="239" t="s">
        <v>496</v>
      </c>
      <c r="AI23" s="141">
        <v>23</v>
      </c>
      <c r="AJ23" s="41">
        <v>15</v>
      </c>
      <c r="AK23" s="41">
        <v>8</v>
      </c>
      <c r="AL23" s="285">
        <v>23</v>
      </c>
      <c r="AM23" s="41">
        <v>11</v>
      </c>
      <c r="AN23" s="142">
        <v>12</v>
      </c>
      <c r="AO23" s="364">
        <v>4.7795282467105502E-2</v>
      </c>
      <c r="AP23" s="145">
        <f t="shared" ca="1" si="41"/>
        <v>0.98155062900915013</v>
      </c>
      <c r="AQ23" s="364">
        <v>4.1940423710909301E-2</v>
      </c>
      <c r="AR23" s="145">
        <f t="shared" ca="1" si="151"/>
        <v>0.98881276459563017</v>
      </c>
      <c r="AS23" s="264">
        <f t="shared" si="3"/>
        <v>0.33622838296240298</v>
      </c>
      <c r="AT23" s="149">
        <f t="shared" si="42"/>
        <v>0.34865687482313995</v>
      </c>
      <c r="AU23" s="149">
        <f t="shared" si="4"/>
        <v>0.33468556561859952</v>
      </c>
      <c r="AV23" s="263">
        <f t="shared" ca="1" si="164"/>
        <v>0.32763748484773486</v>
      </c>
      <c r="AW23" s="150">
        <f t="shared" ca="1" si="5"/>
        <v>1</v>
      </c>
      <c r="AX23" s="149">
        <f t="shared" ca="1" si="152"/>
        <v>6.9671759072614053E-2</v>
      </c>
      <c r="AY23" s="149">
        <f t="shared" ca="1" si="153"/>
        <v>4.0983516061934566E-2</v>
      </c>
      <c r="AZ23" s="149">
        <f t="shared" ca="1" si="154"/>
        <v>1.6666824298089165E-2</v>
      </c>
      <c r="BA23" s="149">
        <f t="shared" ca="1" si="155"/>
        <v>1.3738918153841703E-3</v>
      </c>
      <c r="BB23" s="149">
        <f t="shared" ca="1" si="156"/>
        <v>3.3864648522091943E-3</v>
      </c>
      <c r="BC23" s="149">
        <f t="shared" ca="1" si="157"/>
        <v>5.4955672615366793E-3</v>
      </c>
      <c r="BD23" s="143">
        <f t="shared" ca="1" si="43"/>
        <v>30</v>
      </c>
      <c r="BE23" s="144">
        <f t="shared" ca="1" si="44"/>
        <v>30</v>
      </c>
      <c r="BF23" s="40">
        <f t="shared" si="7"/>
        <v>2001</v>
      </c>
      <c r="BG23" s="139">
        <f t="shared" si="8"/>
        <v>8</v>
      </c>
      <c r="BH23" s="140">
        <f t="shared" ca="1" si="45"/>
        <v>99</v>
      </c>
      <c r="BI23" s="304">
        <f t="shared" ca="1" si="46"/>
        <v>0.31211498973305957</v>
      </c>
      <c r="BJ23" s="42">
        <f t="shared" ca="1" si="47"/>
        <v>0.36568163556825284</v>
      </c>
      <c r="BK23" s="42">
        <f t="shared" ca="1" si="9"/>
        <v>0.36841948635538496</v>
      </c>
      <c r="BL23" s="42">
        <f t="shared" ca="1" si="48"/>
        <v>0.3942505133470226</v>
      </c>
      <c r="BM23" s="285">
        <f t="shared" si="49"/>
        <v>23</v>
      </c>
      <c r="BN23" s="41">
        <f t="shared" si="50"/>
        <v>15</v>
      </c>
      <c r="BO23" s="41">
        <f t="shared" si="51"/>
        <v>8</v>
      </c>
      <c r="BP23" s="297">
        <f t="shared" ca="1" si="10"/>
        <v>27.069130434782604</v>
      </c>
      <c r="BQ23" s="297">
        <f t="shared" ca="1" si="11"/>
        <v>1.5917377407282718E-2</v>
      </c>
      <c r="BR23" s="299">
        <f t="shared" ca="1" si="12"/>
        <v>1.5917377407282718E-2</v>
      </c>
      <c r="BS23" s="153">
        <f t="shared" ca="1" si="13"/>
        <v>27.169999999999998</v>
      </c>
      <c r="BT23" s="153">
        <f t="shared" ca="1" si="14"/>
        <v>26.88</v>
      </c>
      <c r="BU23" s="300">
        <f t="shared" ca="1" si="15"/>
        <v>0.33931401765001001</v>
      </c>
      <c r="BV23" s="301">
        <f t="shared" ca="1" si="16"/>
        <v>0.33044281792313995</v>
      </c>
      <c r="BW23" s="300">
        <f t="shared" ca="1" si="17"/>
        <v>1.3738918153841703E-3</v>
      </c>
      <c r="BX23" s="301">
        <f t="shared" ca="1" si="18"/>
        <v>1.3738918153841703E-3</v>
      </c>
      <c r="BY23" s="146">
        <f t="shared" ca="1" si="19"/>
        <v>0.33953270519543249</v>
      </c>
      <c r="BZ23" s="146">
        <f t="shared" ca="1" si="20"/>
        <v>0.33066150546856243</v>
      </c>
      <c r="CA23" s="146">
        <f t="shared" ca="1" si="21"/>
        <v>0.33953270519543249</v>
      </c>
      <c r="CB23" s="146">
        <f t="shared" ca="1" si="22"/>
        <v>0.33066150546856243</v>
      </c>
      <c r="CC23" s="302">
        <v>1</v>
      </c>
      <c r="CD23" s="154" t="e">
        <f ca="1">IF(BD23,_xll.xCrudeAPO(BS23,BT23,BY23,BZ23,S24,S25,BI23,BL23,BN23,BO23,0,Strike1,AO23,CC23,0,BL23,IF(OptControl=4,0,1),0,1),0)</f>
        <v>#NAME?</v>
      </c>
      <c r="CE23" s="155" t="e">
        <f ca="1">IF(BD23,_xll.xCrudeAPO(BS23,BT23,BY23,BZ23,S24,S25,BI23,BL23,BN23,BO23,0,Strike1,AO23,CC23,0,BL23,IF(OptControl=4,0,1),1,1)+_xll.xCrudeAPO(BS23,BT23,BY23,BZ23,S24,S25,BI23,BL23,BN23,BO23,0,Strike1,AO23,CC23,0,BL23,IF(OptControl=4,0,1),1,2)+IF(OR(VolSkewFlag=2,ABS(BQ23)&lt;0.0001),0,IF(BQ23&gt;0,-1,1)*CF23*Strike1/BP23^2*BW23/10%),0)</f>
        <v>#NAME?</v>
      </c>
      <c r="CF23" s="155" t="e">
        <f ca="1">IF(BD23,(_xll.xCrudeAPO(BS23,BT23,BY23,BZ23,S24,S25,BI23,BL23,BN23,BO23,0,Strike1,AO23,CC23,0,BL23,IF(OptControl=4,0,1),3,1)+_xll.xCrudeAPO(BS23,BT23,BY23,BZ23,S24,S25,BI23,BL23,BN23,BO23,0,Strike1,AO23,CC23,0,BL23,IF(OptControl=4,0,1),3,2))/100,0)</f>
        <v>#NAME?</v>
      </c>
      <c r="CG23" s="155" t="e">
        <f ca="1">IF(BD23,_xll.xCrudeAPO(BS23,BT23,BY23,BZ23,S24,S25,BI23-DaysForThetaCalculation/365.25,BL23-DaysForThetaCalculation/365.25,BN23,BO23,0,Strike1,AO23,CC23,0,BL23,IF(OptControl=4,0,1),0,1)-_xll.xCrudeAPO(BS23,BT23,BY23,BZ23,S24,S25,BI23,BL23,BN23,BO23,0,Strike1,AO23,CC23,0,BL23,IF(OptControl=4,0,1),0,1),0)</f>
        <v>#NAME?</v>
      </c>
      <c r="CH23" s="303" t="e">
        <f ca="1">IF(BD23,_xll.xCrudeAPO(BS23,BT23,CA23,CB23,S24,S25,BI23,BL23,BN23,BO23,0,Strike2,AO23,CC23,0,BL23,IF(OptControl=3,1,0),0,1),0)</f>
        <v>#NAME?</v>
      </c>
      <c r="CI23" s="155" t="e">
        <f ca="1">IF(BD23,_xll.xCrudeAPO(BS23,BT23,CA23,CB23,S24,S25,BI23,BL23,BN23,BO23,0,Strike2,AO23,CC23,0,BL23,IF(OptControl=3,1,0),1,1)+_xll.xCrudeAPO(BS23,BT23,CA23,CB23,S24,S25,BI23,BL23,BN23,BO23,0,Strike2,AO23,CC23,0,BL23,IF(OptControl=3,1,0),1,2)+IF(OR(VolSkewFlag=2,ABS(BR23)&lt;0.0001),0,IF(BR23&gt;0,-1,1)*CJ23*Strike2/BP23^2*BX23/10%),0)</f>
        <v>#NAME?</v>
      </c>
      <c r="CJ23" s="155" t="e">
        <f ca="1">IF(BD23,(_xll.xCrudeAPO(BS23,BT23,CA23,CB23,S24,S25,BI23,BL23,BN23,BO23,0,Strike2,AO23,CC23,0,BL23,IF(OptControl=3,1,0),3,1)+_xll.xCrudeAPO(BS23,BT23,CA23,CB23,S24,S25,BI23,BL23,BN23,BO23,0,Strike2,AO23,CC23,0,BL23,IF(OptControl=3,1,0),3,2))/100,0)</f>
        <v>#NAME?</v>
      </c>
      <c r="CK23" s="156" t="e">
        <f ca="1">IF(BD23,_xll.xCrudeAPO(BS23,BT23,CA23,CB23,S24,S25,BI23-DaysForThetaCalculation/365.25,BL23-DaysForThetaCalculation/365.25,BN23,BO23,0,Strike2,AO23,CC23,0,BL23,IF(OptControl=3,1,0),0,1)-_xll.xCrudeAPO(BS23,BT23,CA23,CB23,S24,S25,BI23,BL23,BN23,BO23,0,Strike2,AO23,CC23,0,BL23,IF(OptControl=3,1,0),0,1),0)</f>
        <v>#NAME?</v>
      </c>
      <c r="CL23" s="497"/>
      <c r="CM23" s="779">
        <f t="shared" ca="1" si="52"/>
        <v>99</v>
      </c>
      <c r="CN23" s="783">
        <f t="shared" ca="1" si="53"/>
        <v>27.5</v>
      </c>
      <c r="CO23" s="780">
        <f t="shared" ca="1" si="54"/>
        <v>0</v>
      </c>
      <c r="CP23" s="780">
        <f t="shared" ca="1" si="55"/>
        <v>0</v>
      </c>
      <c r="CQ23" s="780">
        <f t="shared" ca="1" si="56"/>
        <v>1.7077503318940361E-2</v>
      </c>
      <c r="CR23" s="780">
        <f t="shared" ca="1" si="57"/>
        <v>1.7077503318940361E-2</v>
      </c>
      <c r="CS23" s="781">
        <f t="shared" ca="1" si="58"/>
        <v>0.34865687482313995</v>
      </c>
      <c r="CT23" s="782">
        <f t="shared" ca="1" si="59"/>
        <v>0.34865687482313995</v>
      </c>
      <c r="CU23" s="782">
        <f t="shared" ca="1" si="60"/>
        <v>0.34865687482313995</v>
      </c>
      <c r="CV23" s="155" t="e">
        <f ca="1">IF(BD23,_xll.EURO(CN23,Strike1,AO23,AO23,CT23,CM23,IF(OptControl=4,0,1),0),0)</f>
        <v>#NAME?</v>
      </c>
      <c r="CW23" s="155" t="e">
        <f ca="1">IF(BD23,_xll.EURO(CN23,Strike1,AO23,AO23,CT23,CM23,IF(OptControl=4,0,1),1)+IF(OR(VolSkewFlag=2,ABS(CO23)&lt;0.0001),0,IF(CO23&gt;0,-1,1)*CX23*100*Strike1/CN23^2*CQ23/10%),0)</f>
        <v>#NAME?</v>
      </c>
      <c r="CX23" s="155" t="e">
        <f ca="1">IF(BD23,_xll.EURO(CN23,Strike1,AO23,AO23,CT23,CM23,IF(OptControl=4,0,1),3)/100,0)</f>
        <v>#NAME?</v>
      </c>
      <c r="CY23" s="155" t="e">
        <f ca="1">IF(BD23,_xll.EURO(CN23,Strike1,AO23,AO23,CT23,CM23,IF(OptControl=4,0,1),0)-_xll.EURO(CN23,Strike1,AO23,AO23,CT23,CM23-1,IF(OptControl=4,0,1),0),0)</f>
        <v>#NAME?</v>
      </c>
      <c r="CZ23" s="155" t="e">
        <f ca="1">IF(BD23,_xll.EURO(CN23,Strike2,AO23,AO23,CU23,CM23,IF(OptControl=3,1,0),0),0)</f>
        <v>#NAME?</v>
      </c>
      <c r="DA23" s="155" t="e">
        <f ca="1">IF(BD23,_xll.EURO(CN23,Strike2,AO23,AO23,CU23,CM23,IF(OptControl=3,1,0),1)+IF(OR(VolSkewFlag=2,ABS(CP23)&lt;0.0001),0,IF(CP23&gt;0,-1,1)*DB23*100*Strike2/CN23^2*CR23/10%),0)</f>
        <v>#NAME?</v>
      </c>
      <c r="DB23" s="155" t="e">
        <f ca="1">IF(BD23,_xll.EURO(CN23,Strike2,AO23,AO23,CU23,CM23,IF(OptControl=3,1,0),3)/100,0)</f>
        <v>#NAME?</v>
      </c>
      <c r="DC23" s="156" t="e">
        <f ca="1">IF(BD23,_xll.EURO(CN23,Strike2,AO23,AO23,CU23,CM23,IF(OptControl=3,1,0),0)-_xll.EURO(CN23,Strike2,AO23,AO23,CU23,CM23-1,IF(OptControl=3,1,0),0),0)</f>
        <v>#NAME?</v>
      </c>
      <c r="DD23" s="497"/>
      <c r="DE23" s="651">
        <f t="shared" ca="1" si="61"/>
        <v>37012</v>
      </c>
      <c r="DF23" s="465">
        <v>1E-4</v>
      </c>
      <c r="DG23" s="649">
        <v>1E-4</v>
      </c>
      <c r="DH23" s="650">
        <f t="shared" ca="1" si="23"/>
        <v>37012</v>
      </c>
      <c r="DI23" s="465">
        <v>1E-4</v>
      </c>
      <c r="DJ23" s="649">
        <v>1E-4</v>
      </c>
      <c r="DK23" s="651">
        <f t="shared" ca="1" si="24"/>
        <v>37012</v>
      </c>
      <c r="DL23" s="652">
        <f t="shared" si="25"/>
        <v>5.0100000000000006E-2</v>
      </c>
      <c r="DM23" s="651">
        <f t="shared" ca="1" si="62"/>
        <v>37012</v>
      </c>
      <c r="DN23" s="563">
        <f t="shared" si="63"/>
        <v>-0.14990000000000001</v>
      </c>
      <c r="DO23" s="803">
        <v>-0.15</v>
      </c>
      <c r="DP23" s="650">
        <f t="shared" ca="1" si="26"/>
        <v>37012</v>
      </c>
      <c r="DQ23" s="653">
        <v>1E-4</v>
      </c>
      <c r="DR23" s="590">
        <v>1E-4</v>
      </c>
      <c r="DS23" s="650">
        <f t="shared" ca="1" si="27"/>
        <v>37012</v>
      </c>
      <c r="DT23" s="653">
        <v>1E-4</v>
      </c>
      <c r="DU23" s="590">
        <v>1E-4</v>
      </c>
      <c r="DV23" s="651">
        <f t="shared" ca="1" si="28"/>
        <v>37012</v>
      </c>
      <c r="DW23" s="590">
        <v>1E-4</v>
      </c>
      <c r="DX23" s="651">
        <f t="shared" ca="1" si="64"/>
        <v>37012</v>
      </c>
      <c r="DY23" s="590">
        <f t="shared" si="65"/>
        <v>1E-4</v>
      </c>
      <c r="DZ23" s="1"/>
      <c r="EA23" s="863" t="e">
        <f ca="1">_xll.ASN(X23,X23,AO23,AS23,0,AI23,0,BI23,BL23,1,0)</f>
        <v>#NAME?</v>
      </c>
      <c r="EB23" s="653" t="e">
        <f ca="1">_xll.ASN(X23,X23,AO23,AS23,0,AI23,0,BI23,BL23,1,3)/100</f>
        <v>#NAME?</v>
      </c>
      <c r="EC23" s="653" t="e">
        <f ca="1">_xll.xCrudeAPO(L24,L25,O24,O25,S24,S25,BI23,BL23,AJ23,AK23,0,X23,AO23,1,0,+BL23,1,0,1)</f>
        <v>#NAME?</v>
      </c>
      <c r="ED23" s="869" t="e">
        <f t="shared" ca="1" si="165"/>
        <v>#NAME?</v>
      </c>
      <c r="EE23" s="863" t="e">
        <f t="shared" ca="1" si="29"/>
        <v>#NAME?</v>
      </c>
      <c r="EF23" s="590" t="e">
        <f t="shared" ca="1" si="30"/>
        <v>#NAME?</v>
      </c>
      <c r="EG23" s="862">
        <f t="shared" ca="1" si="31"/>
        <v>0.33622838296240298</v>
      </c>
      <c r="EH23" s="114">
        <f t="shared" ca="1" si="32"/>
        <v>0.33644707050782546</v>
      </c>
      <c r="EI23" s="109">
        <f t="shared" ca="1" si="33"/>
        <v>0.33644707050782546</v>
      </c>
      <c r="EJ23" s="115" t="e">
        <f ca="1">IF(BD23,_xll.xASN(BP23,Strike1,AO23,EH23,0,BM23,0,BI23,BL23,IF(OptControl=4,0,1),0),0)</f>
        <v>#NAME?</v>
      </c>
      <c r="EK23" s="108" t="e">
        <f ca="1">IF(BD23,_xll.xASN(BP23,Strike2,AO23,EI23,0,BM23,0,BI23,BL23,IF(OptControl=3,1,0),0),0)</f>
        <v>#NAME?</v>
      </c>
      <c r="EM23" s="473" t="e">
        <f ca="1">[1]!'CLc4 MTH'</f>
        <v>#REF!</v>
      </c>
      <c r="EN23" s="474" t="e">
        <f t="shared" ca="1" si="158"/>
        <v>#REF!</v>
      </c>
      <c r="EO23" s="475" t="e">
        <f>[1]!'CLc4 NET.CHNG'</f>
        <v>#REF!</v>
      </c>
      <c r="EP23" s="476">
        <f t="shared" si="159"/>
        <v>0</v>
      </c>
      <c r="EQ23" s="1"/>
      <c r="ER23" s="681">
        <v>36853</v>
      </c>
      <c r="ES23" s="682">
        <v>37250</v>
      </c>
      <c r="ET23" s="1"/>
      <c r="EU23" s="667" t="s">
        <v>127</v>
      </c>
      <c r="EW23" s="488">
        <v>4</v>
      </c>
      <c r="EX23" s="466">
        <f ca="1">BH23/365.25</f>
        <v>0.27104722792607805</v>
      </c>
      <c r="EY23" s="824">
        <f t="shared" ca="1" si="66"/>
        <v>3.2948939136981326E-2</v>
      </c>
      <c r="EZ23" s="798">
        <f t="shared" ca="1" si="160"/>
        <v>0.35726331271716755</v>
      </c>
      <c r="FA23" s="468">
        <f t="shared" ca="1" si="161"/>
        <v>0.98642322420161332</v>
      </c>
      <c r="FB23" s="467">
        <f t="shared" ca="1" si="162"/>
        <v>0.32407624233226362</v>
      </c>
      <c r="FC23" s="242">
        <v>0</v>
      </c>
      <c r="FD23" s="589">
        <f ca="1">IF(OR(FA23="",FA24=""),"",SQRT(SUM(INDEX(FO23:IH23,SwaptionFirstMonthPosition+1):INDEX(FO23:IH23,FN23))/SUM(INDEX($FO$15:$IH$15,SwaptionFirstMonthPosition+1):INDEX($FO$15:$IH$15,FN23))))</f>
        <v>0.36108323966758993</v>
      </c>
      <c r="FE23" s="565">
        <f ca="1">IF(OR(FA23="",FA22=""),"",SQRT(SUM(INDEX(FO23:IH23,SwaptionFirstMonthPosition+1):INDEX(FO23:IH23,FN23-1))/SUM(INDEX($FO$15:$IH$15,SwaptionFirstMonthPosition+1):INDEX($FO$15:$IH$15,FN23-1))))</f>
        <v>0.34499531223453966</v>
      </c>
      <c r="FF23" s="562">
        <f t="shared" ca="1" si="67"/>
        <v>0.34026082950094649</v>
      </c>
      <c r="FG23" s="593">
        <f t="shared" ca="1" si="68"/>
        <v>128</v>
      </c>
      <c r="FH23" s="563">
        <f t="shared" ca="1" si="69"/>
        <v>27.069130434782604</v>
      </c>
      <c r="FI23" s="563">
        <f t="shared" ca="1" si="70"/>
        <v>1.5917377407282718E-2</v>
      </c>
      <c r="FJ23" s="563">
        <f t="shared" ca="1" si="71"/>
        <v>1.5917377407282718E-2</v>
      </c>
      <c r="FK23" s="564">
        <f t="shared" ca="1" si="72"/>
        <v>2.1868754542246629E-4</v>
      </c>
      <c r="FL23" s="590">
        <f t="shared" ca="1" si="73"/>
        <v>2.1868754542246629E-4</v>
      </c>
      <c r="FM23" s="242"/>
      <c r="FN23" s="657">
        <v>4</v>
      </c>
      <c r="FO23" s="450">
        <f t="shared" ca="1" si="74"/>
        <v>2.1119500166630442E-3</v>
      </c>
      <c r="FP23" s="450">
        <f t="shared" ca="1" si="75"/>
        <v>9.0610891432129203E-3</v>
      </c>
      <c r="FQ23" s="450">
        <f t="shared" ca="1" si="76"/>
        <v>1.0164877078182406E-2</v>
      </c>
      <c r="FR23" s="450">
        <f t="shared" ca="1" si="77"/>
        <v>1.3257759016563998E-2</v>
      </c>
      <c r="FS23" s="450" t="str">
        <f t="shared" si="78"/>
        <v/>
      </c>
      <c r="FT23" s="450" t="str">
        <f t="shared" si="79"/>
        <v/>
      </c>
      <c r="FU23" s="450" t="str">
        <f t="shared" si="80"/>
        <v/>
      </c>
      <c r="FV23" s="450" t="str">
        <f t="shared" si="81"/>
        <v/>
      </c>
      <c r="FW23" s="450" t="str">
        <f t="shared" si="82"/>
        <v/>
      </c>
      <c r="FX23" s="450" t="str">
        <f t="shared" si="83"/>
        <v/>
      </c>
      <c r="FY23" s="450" t="str">
        <f t="shared" si="84"/>
        <v/>
      </c>
      <c r="FZ23" s="450" t="str">
        <f t="shared" si="85"/>
        <v/>
      </c>
      <c r="GA23" s="450" t="str">
        <f t="shared" si="86"/>
        <v/>
      </c>
      <c r="GB23" s="450" t="str">
        <f t="shared" si="87"/>
        <v/>
      </c>
      <c r="GC23" s="450" t="str">
        <f t="shared" si="88"/>
        <v/>
      </c>
      <c r="GD23" s="450" t="str">
        <f t="shared" si="89"/>
        <v/>
      </c>
      <c r="GE23" s="450" t="str">
        <f t="shared" si="90"/>
        <v/>
      </c>
      <c r="GF23" s="450" t="str">
        <f t="shared" si="91"/>
        <v/>
      </c>
      <c r="GG23" s="450" t="str">
        <f t="shared" si="92"/>
        <v/>
      </c>
      <c r="GH23" s="450" t="str">
        <f t="shared" si="93"/>
        <v/>
      </c>
      <c r="GI23" s="450" t="str">
        <f t="shared" si="94"/>
        <v/>
      </c>
      <c r="GJ23" s="450" t="str">
        <f t="shared" si="95"/>
        <v/>
      </c>
      <c r="GK23" s="450" t="str">
        <f t="shared" si="96"/>
        <v/>
      </c>
      <c r="GL23" s="450" t="str">
        <f t="shared" si="97"/>
        <v/>
      </c>
      <c r="GM23" s="450" t="str">
        <f t="shared" si="98"/>
        <v/>
      </c>
      <c r="GN23" s="450" t="str">
        <f t="shared" si="99"/>
        <v/>
      </c>
      <c r="GO23" s="450" t="str">
        <f t="shared" si="100"/>
        <v/>
      </c>
      <c r="GP23" s="450" t="str">
        <f t="shared" si="101"/>
        <v/>
      </c>
      <c r="GQ23" s="450" t="str">
        <f t="shared" si="102"/>
        <v/>
      </c>
      <c r="GR23" s="450" t="str">
        <f t="shared" si="103"/>
        <v/>
      </c>
      <c r="GS23" s="450" t="str">
        <f t="shared" si="104"/>
        <v/>
      </c>
      <c r="GT23" s="450" t="str">
        <f t="shared" si="105"/>
        <v/>
      </c>
      <c r="GU23" s="450" t="str">
        <f t="shared" si="106"/>
        <v/>
      </c>
      <c r="GV23" s="450" t="str">
        <f t="shared" si="107"/>
        <v/>
      </c>
      <c r="GW23" s="450" t="str">
        <f t="shared" si="108"/>
        <v/>
      </c>
      <c r="GX23" s="450" t="str">
        <f t="shared" si="109"/>
        <v/>
      </c>
      <c r="GY23" s="450" t="str">
        <f t="shared" si="110"/>
        <v/>
      </c>
      <c r="GZ23" s="450" t="str">
        <f t="shared" si="111"/>
        <v/>
      </c>
      <c r="HA23" s="450" t="str">
        <f t="shared" si="112"/>
        <v/>
      </c>
      <c r="HB23" s="450" t="str">
        <f t="shared" si="113"/>
        <v/>
      </c>
      <c r="HC23" s="450" t="str">
        <f t="shared" si="114"/>
        <v/>
      </c>
      <c r="HD23" s="450" t="str">
        <f t="shared" si="115"/>
        <v/>
      </c>
      <c r="HE23" s="450" t="str">
        <f t="shared" si="116"/>
        <v/>
      </c>
      <c r="HF23" s="450" t="str">
        <f t="shared" si="117"/>
        <v/>
      </c>
      <c r="HG23" s="450" t="str">
        <f t="shared" si="118"/>
        <v/>
      </c>
      <c r="HH23" s="450" t="str">
        <f t="shared" si="119"/>
        <v/>
      </c>
      <c r="HI23" s="450" t="str">
        <f t="shared" si="120"/>
        <v/>
      </c>
      <c r="HJ23" s="450" t="str">
        <f t="shared" si="121"/>
        <v/>
      </c>
      <c r="HK23" s="450" t="str">
        <f t="shared" si="122"/>
        <v/>
      </c>
      <c r="HL23" s="450" t="str">
        <f t="shared" si="123"/>
        <v/>
      </c>
      <c r="HM23" s="450" t="str">
        <f t="shared" si="124"/>
        <v/>
      </c>
      <c r="HN23" s="450" t="str">
        <f t="shared" si="125"/>
        <v/>
      </c>
      <c r="HO23" s="450" t="str">
        <f t="shared" si="126"/>
        <v/>
      </c>
      <c r="HP23" s="450" t="str">
        <f t="shared" si="127"/>
        <v/>
      </c>
      <c r="HQ23" s="450" t="str">
        <f t="shared" si="128"/>
        <v/>
      </c>
      <c r="HR23" s="450" t="str">
        <f t="shared" si="129"/>
        <v/>
      </c>
      <c r="HS23" s="450" t="str">
        <f t="shared" si="130"/>
        <v/>
      </c>
      <c r="HT23" s="450" t="str">
        <f t="shared" si="131"/>
        <v/>
      </c>
      <c r="HU23" s="450" t="str">
        <f t="shared" si="132"/>
        <v/>
      </c>
      <c r="HV23" s="450" t="str">
        <f t="shared" si="133"/>
        <v/>
      </c>
      <c r="HW23" s="450" t="str">
        <f t="shared" si="134"/>
        <v/>
      </c>
      <c r="HX23" s="450" t="str">
        <f t="shared" si="135"/>
        <v/>
      </c>
      <c r="HY23" s="450" t="str">
        <f t="shared" si="136"/>
        <v/>
      </c>
      <c r="HZ23" s="450" t="str">
        <f t="shared" si="137"/>
        <v/>
      </c>
      <c r="IA23" s="450" t="str">
        <f t="shared" si="138"/>
        <v/>
      </c>
      <c r="IB23" s="450" t="str">
        <f t="shared" si="139"/>
        <v/>
      </c>
      <c r="IC23" s="450" t="str">
        <f t="shared" si="140"/>
        <v/>
      </c>
      <c r="ID23" s="450" t="str">
        <f t="shared" si="141"/>
        <v/>
      </c>
      <c r="IE23" s="450" t="str">
        <f t="shared" si="142"/>
        <v/>
      </c>
      <c r="IF23" s="450" t="str">
        <f t="shared" si="143"/>
        <v/>
      </c>
      <c r="IG23" s="450" t="str">
        <f t="shared" si="144"/>
        <v/>
      </c>
      <c r="IH23" s="658" t="str">
        <f t="shared" si="145"/>
        <v/>
      </c>
      <c r="II23" s="242"/>
    </row>
    <row r="24" spans="1:243" ht="20.25" customHeight="1" thickBot="1">
      <c r="A24" s="891">
        <f t="shared" ca="1" si="146"/>
        <v>0.37000000000000099</v>
      </c>
      <c r="B24" s="777"/>
      <c r="C24" s="495" t="s">
        <v>271</v>
      </c>
      <c r="D24" s="496"/>
      <c r="E24" s="494" t="s">
        <v>157</v>
      </c>
      <c r="F24" s="538">
        <f ca="1">EOMONTH(NextMonth,SwaptionFirstMonthPosition-2)+1</f>
        <v>37012</v>
      </c>
      <c r="G24" s="208">
        <f ca="1">EOMONTH(DateStart2,SwaptionNumOfMonths-2)+1</f>
        <v>37347</v>
      </c>
      <c r="H24" s="49" t="e">
        <f t="shared" ca="1" si="34"/>
        <v>#N/A</v>
      </c>
      <c r="I24" s="369">
        <f t="shared" si="35"/>
        <v>37135</v>
      </c>
      <c r="J24" s="367">
        <v>27.22</v>
      </c>
      <c r="K24" s="101" t="s">
        <v>487</v>
      </c>
      <c r="L24" s="382">
        <f t="shared" si="36"/>
        <v>27.22</v>
      </c>
      <c r="M24" s="163">
        <v>0.33931401765001001</v>
      </c>
      <c r="N24" s="372">
        <v>0</v>
      </c>
      <c r="O24" s="163">
        <f t="shared" si="37"/>
        <v>0.33931401765001001</v>
      </c>
      <c r="P24" s="367">
        <v>25.58</v>
      </c>
      <c r="Q24" s="100" t="s">
        <v>487</v>
      </c>
      <c r="R24" s="367">
        <f t="shared" ca="1" si="147"/>
        <v>25.58</v>
      </c>
      <c r="S24" s="814">
        <f t="shared" si="163"/>
        <v>0.38851494999999997</v>
      </c>
      <c r="T24" s="813">
        <f t="shared" si="148"/>
        <v>0.94514978657296045</v>
      </c>
      <c r="U24" s="532">
        <f t="shared" si="149"/>
        <v>0.99525390624999999</v>
      </c>
      <c r="V24" s="379">
        <v>0</v>
      </c>
      <c r="W24" s="424">
        <f t="shared" si="150"/>
        <v>26.843</v>
      </c>
      <c r="X24" s="405">
        <f t="shared" si="38"/>
        <v>26.843</v>
      </c>
      <c r="Y24" s="313">
        <f t="shared" si="39"/>
        <v>25.259999999999998</v>
      </c>
      <c r="Z24" s="313">
        <f t="shared" ca="1" si="40"/>
        <v>25.259999999999998</v>
      </c>
      <c r="AA24" s="419">
        <f t="shared" si="1"/>
        <v>1.583000000000002</v>
      </c>
      <c r="AB24" s="423">
        <f t="shared" ca="1" si="2"/>
        <v>1.583000000000002</v>
      </c>
      <c r="AC24" s="218">
        <v>37124</v>
      </c>
      <c r="AD24" s="219">
        <v>37119</v>
      </c>
      <c r="AE24" s="219">
        <v>37119</v>
      </c>
      <c r="AF24" s="220">
        <v>37114</v>
      </c>
      <c r="AG24" s="241" t="s">
        <v>496</v>
      </c>
      <c r="AH24" s="239" t="s">
        <v>496</v>
      </c>
      <c r="AI24" s="141">
        <v>20</v>
      </c>
      <c r="AJ24" s="41">
        <v>14</v>
      </c>
      <c r="AK24" s="41">
        <v>6</v>
      </c>
      <c r="AL24" s="285">
        <v>20</v>
      </c>
      <c r="AM24" s="41">
        <v>8</v>
      </c>
      <c r="AN24" s="142">
        <v>12</v>
      </c>
      <c r="AO24" s="364">
        <v>4.6816655264622302E-2</v>
      </c>
      <c r="AP24" s="145">
        <f t="shared" ca="1" si="41"/>
        <v>0.97819546335850027</v>
      </c>
      <c r="AQ24" s="364">
        <v>4.1694985523070799E-2</v>
      </c>
      <c r="AR24" s="145">
        <f t="shared" ca="1" si="151"/>
        <v>0.98553114393250529</v>
      </c>
      <c r="AS24" s="264">
        <f t="shared" si="3"/>
        <v>0.3276803413019399</v>
      </c>
      <c r="AT24" s="149">
        <f t="shared" si="42"/>
        <v>0.33931401765001001</v>
      </c>
      <c r="AU24" s="149">
        <f t="shared" si="4"/>
        <v>0.32491786468073991</v>
      </c>
      <c r="AV24" s="263">
        <f t="shared" ca="1" si="164"/>
        <v>0.32292805498298061</v>
      </c>
      <c r="AW24" s="150">
        <f t="shared" ca="1" si="5"/>
        <v>1</v>
      </c>
      <c r="AX24" s="149">
        <f t="shared" ca="1" si="152"/>
        <v>6.8066419687817722E-2</v>
      </c>
      <c r="AY24" s="149">
        <f t="shared" ca="1" si="153"/>
        <v>3.9789209770509121E-2</v>
      </c>
      <c r="AZ24" s="149">
        <f t="shared" ca="1" si="154"/>
        <v>1.6266021267598931E-2</v>
      </c>
      <c r="BA24" s="149">
        <f t="shared" ca="1" si="155"/>
        <v>1.1368720807044415E-3</v>
      </c>
      <c r="BB24" s="149">
        <f t="shared" ca="1" si="156"/>
        <v>2.8259832442473739E-3</v>
      </c>
      <c r="BC24" s="149">
        <f t="shared" ca="1" si="157"/>
        <v>4.5474883228177653E-3</v>
      </c>
      <c r="BD24" s="143">
        <f t="shared" ca="1" si="43"/>
        <v>30</v>
      </c>
      <c r="BE24" s="144">
        <f t="shared" ca="1" si="44"/>
        <v>30</v>
      </c>
      <c r="BF24" s="40">
        <f t="shared" si="7"/>
        <v>2001</v>
      </c>
      <c r="BG24" s="139">
        <f t="shared" si="8"/>
        <v>9</v>
      </c>
      <c r="BH24" s="140">
        <f t="shared" ca="1" si="45"/>
        <v>129</v>
      </c>
      <c r="BI24" s="304">
        <f t="shared" ca="1" si="46"/>
        <v>0.39698836413415467</v>
      </c>
      <c r="BJ24" s="42">
        <f t="shared" ca="1" si="47"/>
        <v>0.45256673511293632</v>
      </c>
      <c r="BK24" s="42">
        <f t="shared" ca="1" si="9"/>
        <v>0.45530458590006845</v>
      </c>
      <c r="BL24" s="42">
        <f t="shared" ca="1" si="48"/>
        <v>0.47638603696098564</v>
      </c>
      <c r="BM24" s="285">
        <f t="shared" si="49"/>
        <v>20</v>
      </c>
      <c r="BN24" s="41">
        <f t="shared" si="50"/>
        <v>14</v>
      </c>
      <c r="BO24" s="41">
        <f t="shared" si="51"/>
        <v>6</v>
      </c>
      <c r="BP24" s="297">
        <f t="shared" ca="1" si="10"/>
        <v>26.793000000000003</v>
      </c>
      <c r="BQ24" s="297">
        <f t="shared" ca="1" si="11"/>
        <v>2.6387489269585229E-2</v>
      </c>
      <c r="BR24" s="299">
        <f t="shared" ca="1" si="12"/>
        <v>2.6387489269585229E-2</v>
      </c>
      <c r="BS24" s="153">
        <f t="shared" ca="1" si="13"/>
        <v>26.88</v>
      </c>
      <c r="BT24" s="153">
        <f t="shared" ca="1" si="14"/>
        <v>26.59</v>
      </c>
      <c r="BU24" s="300">
        <f t="shared" ca="1" si="15"/>
        <v>0.33044281792313995</v>
      </c>
      <c r="BV24" s="301">
        <f t="shared" ca="1" si="16"/>
        <v>0.32123456251913995</v>
      </c>
      <c r="BW24" s="300">
        <f t="shared" ca="1" si="17"/>
        <v>1.1368720807044415E-3</v>
      </c>
      <c r="BX24" s="301">
        <f t="shared" ca="1" si="18"/>
        <v>1.1368720807044415E-3</v>
      </c>
      <c r="BY24" s="146">
        <f t="shared" ca="1" si="19"/>
        <v>0.33074280992144472</v>
      </c>
      <c r="BZ24" s="146">
        <f t="shared" ca="1" si="20"/>
        <v>0.32153455451744473</v>
      </c>
      <c r="CA24" s="146">
        <f t="shared" ca="1" si="21"/>
        <v>0.33074280992144472</v>
      </c>
      <c r="CB24" s="146">
        <f t="shared" ca="1" si="22"/>
        <v>0.32153455451744473</v>
      </c>
      <c r="CC24" s="302">
        <v>1</v>
      </c>
      <c r="CD24" s="154" t="e">
        <f ca="1">IF(BD24,_xll.xCrudeAPO(BS24,BT24,BY24,BZ24,S25,S26,BI24,BL24,BN24,BO24,0,Strike1,AO24,CC24,0,BL24,IF(OptControl=4,0,1),0,1),0)</f>
        <v>#NAME?</v>
      </c>
      <c r="CE24" s="155" t="e">
        <f ca="1">IF(BD24,_xll.xCrudeAPO(BS24,BT24,BY24,BZ24,S25,S26,BI24,BL24,BN24,BO24,0,Strike1,AO24,CC24,0,BL24,IF(OptControl=4,0,1),1,1)+_xll.xCrudeAPO(BS24,BT24,BY24,BZ24,S25,S26,BI24,BL24,BN24,BO24,0,Strike1,AO24,CC24,0,BL24,IF(OptControl=4,0,1),1,2)+IF(OR(VolSkewFlag=2,ABS(BQ24)&lt;0.0001),0,IF(BQ24&gt;0,-1,1)*CF24*Strike1/BP24^2*BW24/10%),0)</f>
        <v>#NAME?</v>
      </c>
      <c r="CF24" s="155" t="e">
        <f ca="1">IF(BD24,(_xll.xCrudeAPO(BS24,BT24,BY24,BZ24,S25,S26,BI24,BL24,BN24,BO24,0,Strike1,AO24,CC24,0,BL24,IF(OptControl=4,0,1),3,1)+_xll.xCrudeAPO(BS24,BT24,BY24,BZ24,S25,S26,BI24,BL24,BN24,BO24,0,Strike1,AO24,CC24,0,BL24,IF(OptControl=4,0,1),3,2))/100,0)</f>
        <v>#NAME?</v>
      </c>
      <c r="CG24" s="155" t="e">
        <f ca="1">IF(BD24,_xll.xCrudeAPO(BS24,BT24,BY24,BZ24,S25,S26,BI24-DaysForThetaCalculation/365.25,BL24-DaysForThetaCalculation/365.25,BN24,BO24,0,Strike1,AO24,CC24,0,BL24,IF(OptControl=4,0,1),0,1)-_xll.xCrudeAPO(BS24,BT24,BY24,BZ24,S25,S26,BI24,BL24,BN24,BO24,0,Strike1,AO24,CC24,0,BL24,IF(OptControl=4,0,1),0,1),0)</f>
        <v>#NAME?</v>
      </c>
      <c r="CH24" s="303" t="e">
        <f ca="1">IF(BD24,_xll.xCrudeAPO(BS24,BT24,CA24,CB24,S25,S26,BI24,BL24,BN24,BO24,0,Strike2,AO24,CC24,0,BL24,IF(OptControl=3,1,0),0,1),0)</f>
        <v>#NAME?</v>
      </c>
      <c r="CI24" s="155" t="e">
        <f ca="1">IF(BD24,_xll.xCrudeAPO(BS24,BT24,CA24,CB24,S25,S26,BI24,BL24,BN24,BO24,0,Strike2,AO24,CC24,0,BL24,IF(OptControl=3,1,0),1,1)+_xll.xCrudeAPO(BS24,BT24,CA24,CB24,S25,S26,BI24,BL24,BN24,BO24,0,Strike2,AO24,CC24,0,BL24,IF(OptControl=3,1,0),1,2)+IF(OR(VolSkewFlag=2,ABS(BR24)&lt;0.0001),0,IF(BR24&gt;0,-1,1)*CJ24*Strike2/BP24^2*BX24/10%),0)</f>
        <v>#NAME?</v>
      </c>
      <c r="CJ24" s="155" t="e">
        <f ca="1">IF(BD24,(_xll.xCrudeAPO(BS24,BT24,CA24,CB24,S25,S26,BI24,BL24,BN24,BO24,0,Strike2,AO24,CC24,0,BL24,IF(OptControl=3,1,0),3,1)+_xll.xCrudeAPO(BS24,BT24,CA24,CB24,S25,S26,BI24,BL24,BN24,BO24,0,Strike2,AO24,CC24,0,BL24,IF(OptControl=3,1,0),3,2))/100,0)</f>
        <v>#NAME?</v>
      </c>
      <c r="CK24" s="156" t="e">
        <f ca="1">IF(BD24,_xll.xCrudeAPO(BS24,BT24,CA24,CB24,S25,S26,BI24-DaysForThetaCalculation/365.25,BL24-DaysForThetaCalculation/365.25,BN24,BO24,0,Strike2,AO24,CC24,0,BL24,IF(OptControl=3,1,0),0,1)-_xll.xCrudeAPO(BS24,BT24,CA24,CB24,S25,S26,BI24,BL24,BN24,BO24,0,Strike2,AO24,CC24,0,BL24,IF(OptControl=3,1,0),0,1),0)</f>
        <v>#NAME?</v>
      </c>
      <c r="CL24" s="497"/>
      <c r="CM24" s="779">
        <f t="shared" ca="1" si="52"/>
        <v>129</v>
      </c>
      <c r="CN24" s="783">
        <f t="shared" ca="1" si="53"/>
        <v>27.22</v>
      </c>
      <c r="CO24" s="780">
        <f t="shared" ca="1" si="54"/>
        <v>1.0286554004408588E-2</v>
      </c>
      <c r="CP24" s="780">
        <f t="shared" ca="1" si="55"/>
        <v>1.0286554004408588E-2</v>
      </c>
      <c r="CQ24" s="780">
        <f t="shared" ca="1" si="56"/>
        <v>1.3738918153841703E-3</v>
      </c>
      <c r="CR24" s="780">
        <f t="shared" ca="1" si="57"/>
        <v>1.3738918153841703E-3</v>
      </c>
      <c r="CS24" s="781">
        <f t="shared" ca="1" si="58"/>
        <v>0.33931401765001001</v>
      </c>
      <c r="CT24" s="782">
        <f t="shared" ca="1" si="59"/>
        <v>0.33945534377356168</v>
      </c>
      <c r="CU24" s="782">
        <f t="shared" ca="1" si="60"/>
        <v>0.33945534377356168</v>
      </c>
      <c r="CV24" s="155" t="e">
        <f ca="1">IF(BD24,_xll.EURO(CN24,Strike1,AO24,AO24,CT24,CM24,IF(OptControl=4,0,1),0),0)</f>
        <v>#NAME?</v>
      </c>
      <c r="CW24" s="155" t="e">
        <f ca="1">IF(BD24,_xll.EURO(CN24,Strike1,AO24,AO24,CT24,CM24,IF(OptControl=4,0,1),1)+IF(OR(VolSkewFlag=2,ABS(CO24)&lt;0.0001),0,IF(CO24&gt;0,-1,1)*CX24*100*Strike1/CN24^2*CQ24/10%),0)</f>
        <v>#NAME?</v>
      </c>
      <c r="CX24" s="155" t="e">
        <f ca="1">IF(BD24,_xll.EURO(CN24,Strike1,AO24,AO24,CT24,CM24,IF(OptControl=4,0,1),3)/100,0)</f>
        <v>#NAME?</v>
      </c>
      <c r="CY24" s="155" t="e">
        <f ca="1">IF(BD24,_xll.EURO(CN24,Strike1,AO24,AO24,CT24,CM24,IF(OptControl=4,0,1),0)-_xll.EURO(CN24,Strike1,AO24,AO24,CT24,CM24-1,IF(OptControl=4,0,1),0),0)</f>
        <v>#NAME?</v>
      </c>
      <c r="CZ24" s="155" t="e">
        <f ca="1">IF(BD24,_xll.EURO(CN24,Strike2,AO24,AO24,CU24,CM24,IF(OptControl=3,1,0),0),0)</f>
        <v>#NAME?</v>
      </c>
      <c r="DA24" s="155" t="e">
        <f ca="1">IF(BD24,_xll.EURO(CN24,Strike2,AO24,AO24,CU24,CM24,IF(OptControl=3,1,0),1)+IF(OR(VolSkewFlag=2,ABS(CP24)&lt;0.0001),0,IF(CP24&gt;0,-1,1)*DB24*100*Strike2/CN24^2*CR24/10%),0)</f>
        <v>#NAME?</v>
      </c>
      <c r="DB24" s="155" t="e">
        <f ca="1">IF(BD24,_xll.EURO(CN24,Strike2,AO24,AO24,CU24,CM24,IF(OptControl=3,1,0),3)/100,0)</f>
        <v>#NAME?</v>
      </c>
      <c r="DC24" s="156" t="e">
        <f ca="1">IF(BD24,_xll.EURO(CN24,Strike2,AO24,AO24,CU24,CM24,IF(OptControl=3,1,0),0)-_xll.EURO(CN24,Strike2,AO24,AO24,CU24,CM24-1,IF(OptControl=3,1,0),0),0)</f>
        <v>#NAME?</v>
      </c>
      <c r="DD24" s="497"/>
      <c r="DE24" s="651">
        <f t="shared" ca="1" si="61"/>
        <v>37043</v>
      </c>
      <c r="DF24" s="465">
        <v>1E-4</v>
      </c>
      <c r="DG24" s="649">
        <v>1E-4</v>
      </c>
      <c r="DH24" s="650">
        <f t="shared" ca="1" si="23"/>
        <v>37043</v>
      </c>
      <c r="DI24" s="465">
        <v>1E-4</v>
      </c>
      <c r="DJ24" s="649">
        <v>1E-4</v>
      </c>
      <c r="DK24" s="651">
        <f t="shared" ca="1" si="24"/>
        <v>37043</v>
      </c>
      <c r="DL24" s="652">
        <f t="shared" si="25"/>
        <v>5.0100000000000006E-2</v>
      </c>
      <c r="DM24" s="651">
        <f t="shared" ca="1" si="62"/>
        <v>37043</v>
      </c>
      <c r="DN24" s="563">
        <f t="shared" si="63"/>
        <v>-4.99E-2</v>
      </c>
      <c r="DO24" s="803">
        <v>-0.05</v>
      </c>
      <c r="DP24" s="650">
        <f t="shared" ca="1" si="26"/>
        <v>37043</v>
      </c>
      <c r="DQ24" s="653">
        <v>1E-4</v>
      </c>
      <c r="DR24" s="590">
        <v>1E-4</v>
      </c>
      <c r="DS24" s="650">
        <f t="shared" ca="1" si="27"/>
        <v>37043</v>
      </c>
      <c r="DT24" s="653">
        <v>1E-4</v>
      </c>
      <c r="DU24" s="590">
        <v>1E-4</v>
      </c>
      <c r="DV24" s="651">
        <f t="shared" ca="1" si="28"/>
        <v>37043</v>
      </c>
      <c r="DW24" s="590">
        <v>1E-4</v>
      </c>
      <c r="DX24" s="651">
        <f t="shared" ca="1" si="64"/>
        <v>37043</v>
      </c>
      <c r="DY24" s="590">
        <f t="shared" si="65"/>
        <v>1E-4</v>
      </c>
      <c r="DZ24" s="1"/>
      <c r="EA24" s="863" t="e">
        <f ca="1">_xll.ASN(X24,X24,AO24,AS24,0,AI24,0,BI24,BL24,1,0)</f>
        <v>#NAME?</v>
      </c>
      <c r="EB24" s="653" t="e">
        <f ca="1">_xll.ASN(X24,X24,AO24,AS24,0,AI24,0,BI24,BL24,1,3)/100</f>
        <v>#NAME?</v>
      </c>
      <c r="EC24" s="653" t="e">
        <f ca="1">_xll.xCrudeAPO(L25,L26,O25,O26,S25,S26,BI24,BL24,AJ24,AK24,0,X24,AO24,1,0,+BL24,1,0,1)</f>
        <v>#NAME?</v>
      </c>
      <c r="ED24" s="869" t="e">
        <f t="shared" ca="1" si="165"/>
        <v>#NAME?</v>
      </c>
      <c r="EE24" s="863" t="e">
        <f t="shared" ca="1" si="29"/>
        <v>#NAME?</v>
      </c>
      <c r="EF24" s="590" t="e">
        <f t="shared" ca="1" si="30"/>
        <v>#NAME?</v>
      </c>
      <c r="EG24" s="862">
        <f t="shared" ca="1" si="31"/>
        <v>0.3276803413019399</v>
      </c>
      <c r="EH24" s="114">
        <f t="shared" ca="1" si="32"/>
        <v>0.32798033330024468</v>
      </c>
      <c r="EI24" s="109">
        <f t="shared" ca="1" si="33"/>
        <v>0.32798033330024468</v>
      </c>
      <c r="EJ24" s="115" t="e">
        <f ca="1">IF(BD24,_xll.xASN(BP24,Strike1,AO24,EH24,0,BM24,0,BI24,BL24,IF(OptControl=4,0,1),0),0)</f>
        <v>#NAME?</v>
      </c>
      <c r="EK24" s="108" t="e">
        <f ca="1">IF(BD24,_xll.xASN(BP24,Strike2,AO24,EI24,0,BM24,0,BI24,BL24,IF(OptControl=3,1,0),0),0)</f>
        <v>#NAME?</v>
      </c>
      <c r="EM24" s="473" t="e">
        <f>[1]!'CLc5 MTH'</f>
        <v>#REF!</v>
      </c>
      <c r="EN24" s="474" t="e">
        <f t="shared" si="158"/>
        <v>#REF!</v>
      </c>
      <c r="EO24" s="475" t="e">
        <f>[1]!'CLc5 NET.CHNG'</f>
        <v>#REF!</v>
      </c>
      <c r="EP24" s="476">
        <f t="shared" si="159"/>
        <v>0</v>
      </c>
      <c r="EQ24" s="1"/>
      <c r="ER24" s="681">
        <v>36854</v>
      </c>
      <c r="ES24" s="682">
        <v>37257</v>
      </c>
      <c r="ET24" s="1"/>
      <c r="EU24" s="667" t="s">
        <v>128</v>
      </c>
      <c r="EW24" s="488">
        <v>5</v>
      </c>
      <c r="EX24" s="466">
        <f t="shared" ref="EX24:EX87" ca="1" si="166">BH24/365.25</f>
        <v>0.35318275154004108</v>
      </c>
      <c r="EY24" s="824">
        <f t="shared" ca="1" si="66"/>
        <v>4.0663343824829785E-2</v>
      </c>
      <c r="EZ24" s="798">
        <f t="shared" ca="1" si="160"/>
        <v>0.34529377839868269</v>
      </c>
      <c r="FA24" s="468">
        <f t="shared" ca="1" si="161"/>
        <v>0.96853178437380982</v>
      </c>
      <c r="FB24" s="467">
        <f t="shared" ca="1" si="162"/>
        <v>0.30365853138400511</v>
      </c>
      <c r="FC24" s="242">
        <v>0</v>
      </c>
      <c r="FD24" s="589">
        <f ca="1">IF(OR(FA24="",FA25=""),"",SQRT(SUM(INDEX(FO24:IH24,SwaptionFirstMonthPosition+1):INDEX(FO24:IH24,FN24))/SUM(INDEX($FO$15:$IH$15,SwaptionFirstMonthPosition+1):INDEX($FO$15:$IH$15,FN24))))</f>
        <v>0.34851266017607108</v>
      </c>
      <c r="FE24" s="565">
        <f ca="1">IF(OR(FA24="",FA23=""),"",SQRT(SUM(INDEX(FO24:IH24,SwaptionFirstMonthPosition+1):INDEX(FO24:IH24,FN24-1))/SUM(INDEX($FO$15:$IH$15,SwaptionFirstMonthPosition+1):INDEX($FO$15:$IH$15,FN24-1))))</f>
        <v>0.33427753816479777</v>
      </c>
      <c r="FF24" s="562">
        <f t="shared" ca="1" si="67"/>
        <v>0.33049779440157229</v>
      </c>
      <c r="FG24" s="593">
        <f t="shared" ca="1" si="68"/>
        <v>158.5</v>
      </c>
      <c r="FH24" s="563">
        <f t="shared" ca="1" si="69"/>
        <v>26.793000000000003</v>
      </c>
      <c r="FI24" s="563">
        <f t="shared" ca="1" si="70"/>
        <v>2.6387489269585229E-2</v>
      </c>
      <c r="FJ24" s="563">
        <f t="shared" ca="1" si="71"/>
        <v>2.6387489269585229E-2</v>
      </c>
      <c r="FK24" s="564">
        <f t="shared" ca="1" si="72"/>
        <v>2.9999199830479484E-4</v>
      </c>
      <c r="FL24" s="590">
        <f t="shared" ca="1" si="73"/>
        <v>2.9999199830479484E-4</v>
      </c>
      <c r="FM24" s="242"/>
      <c r="FN24" s="657">
        <v>5</v>
      </c>
      <c r="FO24" s="450">
        <f t="shared" ca="1" si="74"/>
        <v>1.8715820891033036E-3</v>
      </c>
      <c r="FP24" s="450">
        <f t="shared" ca="1" si="75"/>
        <v>7.915231206969681E-3</v>
      </c>
      <c r="FQ24" s="450">
        <f t="shared" ca="1" si="76"/>
        <v>8.736608125462288E-3</v>
      </c>
      <c r="FR24" s="450">
        <f t="shared" ca="1" si="77"/>
        <v>1.1187925210916763E-2</v>
      </c>
      <c r="FS24" s="450">
        <f t="shared" ca="1" si="78"/>
        <v>1.2397853500903694E-2</v>
      </c>
      <c r="FT24" s="450" t="str">
        <f t="shared" si="79"/>
        <v/>
      </c>
      <c r="FU24" s="450" t="str">
        <f t="shared" si="80"/>
        <v/>
      </c>
      <c r="FV24" s="450" t="str">
        <f t="shared" si="81"/>
        <v/>
      </c>
      <c r="FW24" s="450" t="str">
        <f t="shared" si="82"/>
        <v/>
      </c>
      <c r="FX24" s="450" t="str">
        <f t="shared" si="83"/>
        <v/>
      </c>
      <c r="FY24" s="450" t="str">
        <f t="shared" si="84"/>
        <v/>
      </c>
      <c r="FZ24" s="450" t="str">
        <f t="shared" si="85"/>
        <v/>
      </c>
      <c r="GA24" s="450" t="str">
        <f t="shared" si="86"/>
        <v/>
      </c>
      <c r="GB24" s="450" t="str">
        <f t="shared" si="87"/>
        <v/>
      </c>
      <c r="GC24" s="450" t="str">
        <f t="shared" si="88"/>
        <v/>
      </c>
      <c r="GD24" s="450" t="str">
        <f t="shared" si="89"/>
        <v/>
      </c>
      <c r="GE24" s="450" t="str">
        <f t="shared" si="90"/>
        <v/>
      </c>
      <c r="GF24" s="450" t="str">
        <f t="shared" si="91"/>
        <v/>
      </c>
      <c r="GG24" s="450" t="str">
        <f t="shared" si="92"/>
        <v/>
      </c>
      <c r="GH24" s="450" t="str">
        <f t="shared" si="93"/>
        <v/>
      </c>
      <c r="GI24" s="450" t="str">
        <f t="shared" si="94"/>
        <v/>
      </c>
      <c r="GJ24" s="450" t="str">
        <f t="shared" si="95"/>
        <v/>
      </c>
      <c r="GK24" s="450" t="str">
        <f t="shared" si="96"/>
        <v/>
      </c>
      <c r="GL24" s="450" t="str">
        <f t="shared" si="97"/>
        <v/>
      </c>
      <c r="GM24" s="450" t="str">
        <f t="shared" si="98"/>
        <v/>
      </c>
      <c r="GN24" s="450" t="str">
        <f t="shared" si="99"/>
        <v/>
      </c>
      <c r="GO24" s="450" t="str">
        <f t="shared" si="100"/>
        <v/>
      </c>
      <c r="GP24" s="450" t="str">
        <f t="shared" si="101"/>
        <v/>
      </c>
      <c r="GQ24" s="450" t="str">
        <f t="shared" si="102"/>
        <v/>
      </c>
      <c r="GR24" s="450" t="str">
        <f t="shared" si="103"/>
        <v/>
      </c>
      <c r="GS24" s="450" t="str">
        <f t="shared" si="104"/>
        <v/>
      </c>
      <c r="GT24" s="450" t="str">
        <f t="shared" si="105"/>
        <v/>
      </c>
      <c r="GU24" s="450" t="str">
        <f t="shared" si="106"/>
        <v/>
      </c>
      <c r="GV24" s="450" t="str">
        <f t="shared" si="107"/>
        <v/>
      </c>
      <c r="GW24" s="450" t="str">
        <f t="shared" si="108"/>
        <v/>
      </c>
      <c r="GX24" s="450" t="str">
        <f t="shared" si="109"/>
        <v/>
      </c>
      <c r="GY24" s="450" t="str">
        <f t="shared" si="110"/>
        <v/>
      </c>
      <c r="GZ24" s="450" t="str">
        <f t="shared" si="111"/>
        <v/>
      </c>
      <c r="HA24" s="450" t="str">
        <f t="shared" si="112"/>
        <v/>
      </c>
      <c r="HB24" s="450" t="str">
        <f t="shared" si="113"/>
        <v/>
      </c>
      <c r="HC24" s="450" t="str">
        <f t="shared" si="114"/>
        <v/>
      </c>
      <c r="HD24" s="450" t="str">
        <f t="shared" si="115"/>
        <v/>
      </c>
      <c r="HE24" s="450" t="str">
        <f t="shared" si="116"/>
        <v/>
      </c>
      <c r="HF24" s="450" t="str">
        <f t="shared" si="117"/>
        <v/>
      </c>
      <c r="HG24" s="450" t="str">
        <f t="shared" si="118"/>
        <v/>
      </c>
      <c r="HH24" s="450" t="str">
        <f t="shared" si="119"/>
        <v/>
      </c>
      <c r="HI24" s="450" t="str">
        <f t="shared" si="120"/>
        <v/>
      </c>
      <c r="HJ24" s="450" t="str">
        <f t="shared" si="121"/>
        <v/>
      </c>
      <c r="HK24" s="450" t="str">
        <f t="shared" si="122"/>
        <v/>
      </c>
      <c r="HL24" s="450" t="str">
        <f t="shared" si="123"/>
        <v/>
      </c>
      <c r="HM24" s="450" t="str">
        <f t="shared" si="124"/>
        <v/>
      </c>
      <c r="HN24" s="450" t="str">
        <f t="shared" si="125"/>
        <v/>
      </c>
      <c r="HO24" s="450" t="str">
        <f t="shared" si="126"/>
        <v/>
      </c>
      <c r="HP24" s="450" t="str">
        <f t="shared" si="127"/>
        <v/>
      </c>
      <c r="HQ24" s="450" t="str">
        <f t="shared" si="128"/>
        <v/>
      </c>
      <c r="HR24" s="450" t="str">
        <f t="shared" si="129"/>
        <v/>
      </c>
      <c r="HS24" s="450" t="str">
        <f t="shared" si="130"/>
        <v/>
      </c>
      <c r="HT24" s="450" t="str">
        <f t="shared" si="131"/>
        <v/>
      </c>
      <c r="HU24" s="450" t="str">
        <f t="shared" si="132"/>
        <v/>
      </c>
      <c r="HV24" s="450" t="str">
        <f t="shared" si="133"/>
        <v/>
      </c>
      <c r="HW24" s="450" t="str">
        <f t="shared" si="134"/>
        <v/>
      </c>
      <c r="HX24" s="450" t="str">
        <f t="shared" si="135"/>
        <v/>
      </c>
      <c r="HY24" s="450" t="str">
        <f t="shared" si="136"/>
        <v/>
      </c>
      <c r="HZ24" s="450" t="str">
        <f t="shared" si="137"/>
        <v/>
      </c>
      <c r="IA24" s="450" t="str">
        <f t="shared" si="138"/>
        <v/>
      </c>
      <c r="IB24" s="450" t="str">
        <f t="shared" si="139"/>
        <v/>
      </c>
      <c r="IC24" s="450" t="str">
        <f t="shared" si="140"/>
        <v/>
      </c>
      <c r="ID24" s="450" t="str">
        <f t="shared" si="141"/>
        <v/>
      </c>
      <c r="IE24" s="450" t="str">
        <f t="shared" si="142"/>
        <v/>
      </c>
      <c r="IF24" s="450" t="str">
        <f t="shared" si="143"/>
        <v/>
      </c>
      <c r="IG24" s="450" t="str">
        <f t="shared" si="144"/>
        <v/>
      </c>
      <c r="IH24" s="658" t="str">
        <f t="shared" si="145"/>
        <v/>
      </c>
      <c r="II24" s="242"/>
    </row>
    <row r="25" spans="1:243" ht="19.5" customHeight="1">
      <c r="A25" s="891">
        <f t="shared" ca="1" si="146"/>
        <v>0.30999999999999872</v>
      </c>
      <c r="B25" s="886" t="s">
        <v>37</v>
      </c>
      <c r="C25" s="543" t="s">
        <v>6</v>
      </c>
      <c r="D25" s="536" t="s">
        <v>14</v>
      </c>
      <c r="E25" s="537" t="s">
        <v>13</v>
      </c>
      <c r="F25" s="66"/>
      <c r="G25" s="116"/>
      <c r="H25" s="49" t="e">
        <f t="shared" ca="1" si="34"/>
        <v>#N/A</v>
      </c>
      <c r="I25" s="369">
        <f t="shared" si="35"/>
        <v>37165</v>
      </c>
      <c r="J25" s="367">
        <v>26.93</v>
      </c>
      <c r="K25" s="101" t="s">
        <v>487</v>
      </c>
      <c r="L25" s="382">
        <f t="shared" si="36"/>
        <v>26.93</v>
      </c>
      <c r="M25" s="163">
        <v>0.33044281792313995</v>
      </c>
      <c r="N25" s="372">
        <v>0</v>
      </c>
      <c r="O25" s="163">
        <f t="shared" si="37"/>
        <v>0.33044281792313995</v>
      </c>
      <c r="P25" s="367">
        <v>25.38</v>
      </c>
      <c r="Q25" s="100" t="s">
        <v>487</v>
      </c>
      <c r="R25" s="367">
        <f t="shared" ca="1" si="147"/>
        <v>25.38</v>
      </c>
      <c r="S25" s="814">
        <f t="shared" si="163"/>
        <v>0.38802980049999997</v>
      </c>
      <c r="T25" s="813">
        <f t="shared" si="148"/>
        <v>0.9510940211719483</v>
      </c>
      <c r="U25" s="532">
        <f t="shared" si="149"/>
        <v>0.99644042968750002</v>
      </c>
      <c r="V25" s="379">
        <v>0</v>
      </c>
      <c r="W25" s="424">
        <f t="shared" si="150"/>
        <v>26.557826086956524</v>
      </c>
      <c r="X25" s="405">
        <f t="shared" si="38"/>
        <v>26.557826086956524</v>
      </c>
      <c r="Y25" s="313">
        <f t="shared" si="39"/>
        <v>25.054782608695653</v>
      </c>
      <c r="Z25" s="313">
        <f t="shared" ca="1" si="40"/>
        <v>25.054782608695653</v>
      </c>
      <c r="AA25" s="419">
        <f t="shared" si="1"/>
        <v>1.5030434782608708</v>
      </c>
      <c r="AB25" s="423">
        <f t="shared" ca="1" si="2"/>
        <v>1.5030434782608708</v>
      </c>
      <c r="AC25" s="218">
        <v>37154</v>
      </c>
      <c r="AD25" s="219">
        <v>37151</v>
      </c>
      <c r="AE25" s="219">
        <v>37147</v>
      </c>
      <c r="AF25" s="220">
        <v>37145</v>
      </c>
      <c r="AG25" s="241" t="s">
        <v>496</v>
      </c>
      <c r="AH25" s="239" t="s">
        <v>496</v>
      </c>
      <c r="AI25" s="141">
        <v>23</v>
      </c>
      <c r="AJ25" s="41">
        <v>16</v>
      </c>
      <c r="AK25" s="41">
        <v>7</v>
      </c>
      <c r="AL25" s="285">
        <v>23</v>
      </c>
      <c r="AM25" s="41">
        <v>11</v>
      </c>
      <c r="AN25" s="142">
        <v>12</v>
      </c>
      <c r="AO25" s="364">
        <v>4.6070183519646403E-2</v>
      </c>
      <c r="AP25" s="145">
        <f t="shared" ca="1" si="41"/>
        <v>0.97475998549137011</v>
      </c>
      <c r="AQ25" s="364">
        <v>4.14574650999242E-2</v>
      </c>
      <c r="AR25" s="145">
        <f t="shared" ca="1" si="151"/>
        <v>0.98207521711348011</v>
      </c>
      <c r="AS25" s="264">
        <f t="shared" si="3"/>
        <v>0.31909587186291866</v>
      </c>
      <c r="AT25" s="149">
        <f t="shared" si="42"/>
        <v>0.33044281792313995</v>
      </c>
      <c r="AU25" s="149">
        <f t="shared" si="4"/>
        <v>0.31756823567990344</v>
      </c>
      <c r="AV25" s="263">
        <f t="shared" ca="1" si="164"/>
        <v>0.31452976305353819</v>
      </c>
      <c r="AW25" s="150">
        <f t="shared" ca="1" si="5"/>
        <v>2</v>
      </c>
      <c r="AX25" s="149">
        <f t="shared" ca="1" si="152"/>
        <v>6.6460683802927661E-2</v>
      </c>
      <c r="AY25" s="149">
        <f t="shared" ca="1" si="153"/>
        <v>3.8675601224462987E-2</v>
      </c>
      <c r="AZ25" s="149">
        <f t="shared" ca="1" si="154"/>
        <v>1.5893530706229911E-2</v>
      </c>
      <c r="BA25" s="149">
        <f t="shared" ca="1" si="155"/>
        <v>8.9125093813374604E-4</v>
      </c>
      <c r="BB25" s="149">
        <f t="shared" ca="1" si="156"/>
        <v>2.1283498063019621E-3</v>
      </c>
      <c r="BC25" s="149">
        <f t="shared" ca="1" si="157"/>
        <v>3.3262661160676616E-3</v>
      </c>
      <c r="BD25" s="143">
        <f t="shared" ca="1" si="43"/>
        <v>30</v>
      </c>
      <c r="BE25" s="144">
        <f t="shared" ca="1" si="44"/>
        <v>30</v>
      </c>
      <c r="BF25" s="40">
        <f t="shared" si="7"/>
        <v>2001</v>
      </c>
      <c r="BG25" s="139">
        <f t="shared" si="8"/>
        <v>10</v>
      </c>
      <c r="BH25" s="140">
        <f t="shared" ca="1" si="45"/>
        <v>161</v>
      </c>
      <c r="BI25" s="304">
        <f t="shared" ca="1" si="46"/>
        <v>0.4791238877481177</v>
      </c>
      <c r="BJ25" s="42">
        <f t="shared" ca="1" si="47"/>
        <v>0.53626164330565729</v>
      </c>
      <c r="BK25" s="42">
        <f t="shared" ca="1" si="9"/>
        <v>0.53899949409278936</v>
      </c>
      <c r="BL25" s="42">
        <f t="shared" ca="1" si="48"/>
        <v>0.5612594113620808</v>
      </c>
      <c r="BM25" s="285">
        <f t="shared" si="49"/>
        <v>23</v>
      </c>
      <c r="BN25" s="41">
        <f t="shared" si="50"/>
        <v>16</v>
      </c>
      <c r="BO25" s="41">
        <f t="shared" si="51"/>
        <v>7</v>
      </c>
      <c r="BP25" s="297">
        <f t="shared" ca="1" si="10"/>
        <v>26.507826086956523</v>
      </c>
      <c r="BQ25" s="297">
        <f t="shared" ca="1" si="11"/>
        <v>3.7429471198005437E-2</v>
      </c>
      <c r="BR25" s="299">
        <f t="shared" ca="1" si="12"/>
        <v>3.7429471198005437E-2</v>
      </c>
      <c r="BS25" s="153">
        <f t="shared" ca="1" si="13"/>
        <v>26.59</v>
      </c>
      <c r="BT25" s="153">
        <f t="shared" ca="1" si="14"/>
        <v>26.320000000000004</v>
      </c>
      <c r="BU25" s="300">
        <f t="shared" ca="1" si="15"/>
        <v>0.32123456251913995</v>
      </c>
      <c r="BV25" s="301">
        <f t="shared" ca="1" si="16"/>
        <v>0.31420743607726997</v>
      </c>
      <c r="BW25" s="300">
        <f t="shared" ca="1" si="17"/>
        <v>8.9125093813374604E-4</v>
      </c>
      <c r="BX25" s="301">
        <f t="shared" ca="1" si="18"/>
        <v>8.9125093813374604E-4</v>
      </c>
      <c r="BY25" s="146">
        <f t="shared" ca="1" si="19"/>
        <v>0.32156815303233066</v>
      </c>
      <c r="BZ25" s="146">
        <f t="shared" ca="1" si="20"/>
        <v>0.31454102659046068</v>
      </c>
      <c r="CA25" s="146">
        <f t="shared" ca="1" si="21"/>
        <v>0.32156815303233066</v>
      </c>
      <c r="CB25" s="146">
        <f t="shared" ca="1" si="22"/>
        <v>0.31454102659046068</v>
      </c>
      <c r="CC25" s="302">
        <v>1</v>
      </c>
      <c r="CD25" s="154" t="e">
        <f ca="1">IF(BD25,_xll.xCrudeAPO(BS25,BT25,BY25,BZ25,S26,S27,BI25,BL25,BN25,BO25,0,Strike1,AO25,CC25,0,BL25,IF(OptControl=4,0,1),0,1),0)</f>
        <v>#NAME?</v>
      </c>
      <c r="CE25" s="155" t="e">
        <f ca="1">IF(BD25,_xll.xCrudeAPO(BS25,BT25,BY25,BZ25,S26,S27,BI25,BL25,BN25,BO25,0,Strike1,AO25,CC25,0,BL25,IF(OptControl=4,0,1),1,1)+_xll.xCrudeAPO(BS25,BT25,BY25,BZ25,S26,S27,BI25,BL25,BN25,BO25,0,Strike1,AO25,CC25,0,BL25,IF(OptControl=4,0,1),1,2)+IF(OR(VolSkewFlag=2,ABS(BQ25)&lt;0.0001),0,IF(BQ25&gt;0,-1,1)*CF25*Strike1/BP25^2*BW25/10%),0)</f>
        <v>#NAME?</v>
      </c>
      <c r="CF25" s="155" t="e">
        <f ca="1">IF(BD25,(_xll.xCrudeAPO(BS25,BT25,BY25,BZ25,S26,S27,BI25,BL25,BN25,BO25,0,Strike1,AO25,CC25,0,BL25,IF(OptControl=4,0,1),3,1)+_xll.xCrudeAPO(BS25,BT25,BY25,BZ25,S26,S27,BI25,BL25,BN25,BO25,0,Strike1,AO25,CC25,0,BL25,IF(OptControl=4,0,1),3,2))/100,0)</f>
        <v>#NAME?</v>
      </c>
      <c r="CG25" s="155" t="e">
        <f ca="1">IF(BD25,_xll.xCrudeAPO(BS25,BT25,BY25,BZ25,S26,S27,BI25-DaysForThetaCalculation/365.25,BL25-DaysForThetaCalculation/365.25,BN25,BO25,0,Strike1,AO25,CC25,0,BL25,IF(OptControl=4,0,1),0,1)-_xll.xCrudeAPO(BS25,BT25,BY25,BZ25,S26,S27,BI25,BL25,BN25,BO25,0,Strike1,AO25,CC25,0,BL25,IF(OptControl=4,0,1),0,1),0)</f>
        <v>#NAME?</v>
      </c>
      <c r="CH25" s="303" t="e">
        <f ca="1">IF(BD25,_xll.xCrudeAPO(BS25,BT25,CA25,CB25,S26,S27,BI25,BL25,BN25,BO25,0,Strike2,AO25,CC25,0,BL25,IF(OptControl=3,1,0),0,1),0)</f>
        <v>#NAME?</v>
      </c>
      <c r="CI25" s="155" t="e">
        <f ca="1">IF(BD25,_xll.xCrudeAPO(BS25,BT25,CA25,CB25,S26,S27,BI25,BL25,BN25,BO25,0,Strike2,AO25,CC25,0,BL25,IF(OptControl=3,1,0),1,1)+_xll.xCrudeAPO(BS25,BT25,CA25,CB25,S26,S27,BI25,BL25,BN25,BO25,0,Strike2,AO25,CC25,0,BL25,IF(OptControl=3,1,0),1,2)+IF(OR(VolSkewFlag=2,ABS(BR25)&lt;0.0001),0,IF(BR25&gt;0,-1,1)*CJ25*Strike2/BP25^2*BX25/10%),0)</f>
        <v>#NAME?</v>
      </c>
      <c r="CJ25" s="155" t="e">
        <f ca="1">IF(BD25,(_xll.xCrudeAPO(BS25,BT25,CA25,CB25,S26,S27,BI25,BL25,BN25,BO25,0,Strike2,AO25,CC25,0,BL25,IF(OptControl=3,1,0),3,1)+_xll.xCrudeAPO(BS25,BT25,CA25,CB25,S26,S27,BI25,BL25,BN25,BO25,0,Strike2,AO25,CC25,0,BL25,IF(OptControl=3,1,0),3,2))/100,0)</f>
        <v>#NAME?</v>
      </c>
      <c r="CK25" s="156" t="e">
        <f ca="1">IF(BD25,_xll.xCrudeAPO(BS25,BT25,CA25,CB25,S26,S27,BI25-DaysForThetaCalculation/365.25,BL25-DaysForThetaCalculation/365.25,BN25,BO25,0,Strike2,AO25,CC25,0,BL25,IF(OptControl=3,1,0),0,1)-_xll.xCrudeAPO(BS25,BT25,CA25,CB25,S26,S27,BI25,BL25,BN25,BO25,0,Strike2,AO25,CC25,0,BL25,IF(OptControl=3,1,0),0,1),0)</f>
        <v>#NAME?</v>
      </c>
      <c r="CL25" s="497"/>
      <c r="CM25" s="779">
        <f t="shared" ca="1" si="52"/>
        <v>161</v>
      </c>
      <c r="CN25" s="783">
        <f t="shared" ca="1" si="53"/>
        <v>26.93</v>
      </c>
      <c r="CO25" s="780">
        <f t="shared" ca="1" si="54"/>
        <v>2.1165985889342709E-2</v>
      </c>
      <c r="CP25" s="780">
        <f t="shared" ca="1" si="55"/>
        <v>2.1165985889342709E-2</v>
      </c>
      <c r="CQ25" s="780">
        <f t="shared" ca="1" si="56"/>
        <v>1.1368720807044415E-3</v>
      </c>
      <c r="CR25" s="780">
        <f t="shared" ca="1" si="57"/>
        <v>1.1368720807044415E-3</v>
      </c>
      <c r="CS25" s="781">
        <f t="shared" ca="1" si="58"/>
        <v>0.33044281792313995</v>
      </c>
      <c r="CT25" s="782">
        <f t="shared" ca="1" si="59"/>
        <v>0.33068344810732175</v>
      </c>
      <c r="CU25" s="782">
        <f t="shared" ca="1" si="60"/>
        <v>0.33068344810732175</v>
      </c>
      <c r="CV25" s="155" t="e">
        <f ca="1">IF(BD25,_xll.EURO(CN25,Strike1,AO25,AO25,CT25,CM25,IF(OptControl=4,0,1),0),0)</f>
        <v>#NAME?</v>
      </c>
      <c r="CW25" s="155" t="e">
        <f ca="1">IF(BD25,_xll.EURO(CN25,Strike1,AO25,AO25,CT25,CM25,IF(OptControl=4,0,1),1)+IF(OR(VolSkewFlag=2,ABS(CO25)&lt;0.0001),0,IF(CO25&gt;0,-1,1)*CX25*100*Strike1/CN25^2*CQ25/10%),0)</f>
        <v>#NAME?</v>
      </c>
      <c r="CX25" s="155" t="e">
        <f ca="1">IF(BD25,_xll.EURO(CN25,Strike1,AO25,AO25,CT25,CM25,IF(OptControl=4,0,1),3)/100,0)</f>
        <v>#NAME?</v>
      </c>
      <c r="CY25" s="155" t="e">
        <f ca="1">IF(BD25,_xll.EURO(CN25,Strike1,AO25,AO25,CT25,CM25,IF(OptControl=4,0,1),0)-_xll.EURO(CN25,Strike1,AO25,AO25,CT25,CM25-1,IF(OptControl=4,0,1),0),0)</f>
        <v>#NAME?</v>
      </c>
      <c r="CZ25" s="155" t="e">
        <f ca="1">IF(BD25,_xll.EURO(CN25,Strike2,AO25,AO25,CU25,CM25,IF(OptControl=3,1,0),0),0)</f>
        <v>#NAME?</v>
      </c>
      <c r="DA25" s="155" t="e">
        <f ca="1">IF(BD25,_xll.EURO(CN25,Strike2,AO25,AO25,CU25,CM25,IF(OptControl=3,1,0),1)+IF(OR(VolSkewFlag=2,ABS(CP25)&lt;0.0001),0,IF(CP25&gt;0,-1,1)*DB25*100*Strike2/CN25^2*CR25/10%),0)</f>
        <v>#NAME?</v>
      </c>
      <c r="DB25" s="155" t="e">
        <f ca="1">IF(BD25,_xll.EURO(CN25,Strike2,AO25,AO25,CU25,CM25,IF(OptControl=3,1,0),3)/100,0)</f>
        <v>#NAME?</v>
      </c>
      <c r="DC25" s="156" t="e">
        <f ca="1">IF(BD25,_xll.EURO(CN25,Strike2,AO25,AO25,CU25,CM25,IF(OptControl=3,1,0),0)-_xll.EURO(CN25,Strike2,AO25,AO25,CU25,CM25-1,IF(OptControl=3,1,0),0),0)</f>
        <v>#NAME?</v>
      </c>
      <c r="DD25" s="497"/>
      <c r="DE25" s="651">
        <f t="shared" ca="1" si="61"/>
        <v>37073</v>
      </c>
      <c r="DF25" s="465">
        <v>1E-4</v>
      </c>
      <c r="DG25" s="649">
        <v>1E-4</v>
      </c>
      <c r="DH25" s="650">
        <f t="shared" ca="1" si="23"/>
        <v>37073</v>
      </c>
      <c r="DI25" s="465">
        <v>1E-4</v>
      </c>
      <c r="DJ25" s="649">
        <v>1E-4</v>
      </c>
      <c r="DK25" s="651">
        <f t="shared" ca="1" si="24"/>
        <v>37073</v>
      </c>
      <c r="DL25" s="652">
        <f t="shared" si="25"/>
        <v>5.0100000000000006E-2</v>
      </c>
      <c r="DM25" s="651">
        <f t="shared" ca="1" si="62"/>
        <v>37073</v>
      </c>
      <c r="DN25" s="563">
        <f t="shared" si="63"/>
        <v>-3.9899999999999998E-2</v>
      </c>
      <c r="DO25" s="803">
        <v>-0.04</v>
      </c>
      <c r="DP25" s="650">
        <f t="shared" ca="1" si="26"/>
        <v>37073</v>
      </c>
      <c r="DQ25" s="653">
        <v>1E-4</v>
      </c>
      <c r="DR25" s="590">
        <v>1E-4</v>
      </c>
      <c r="DS25" s="650">
        <f t="shared" ca="1" si="27"/>
        <v>37073</v>
      </c>
      <c r="DT25" s="653">
        <v>1E-4</v>
      </c>
      <c r="DU25" s="590">
        <v>1E-4</v>
      </c>
      <c r="DV25" s="651">
        <f t="shared" ca="1" si="28"/>
        <v>37073</v>
      </c>
      <c r="DW25" s="590">
        <v>1E-4</v>
      </c>
      <c r="DX25" s="651">
        <f t="shared" ca="1" si="64"/>
        <v>37073</v>
      </c>
      <c r="DY25" s="590">
        <f t="shared" si="65"/>
        <v>1E-4</v>
      </c>
      <c r="DZ25" s="1"/>
      <c r="EA25" s="863" t="e">
        <f ca="1">_xll.ASN(X25,X25,AO25,AS25,0,AI25,0,BI25,BL25,1,0)</f>
        <v>#NAME?</v>
      </c>
      <c r="EB25" s="653" t="e">
        <f ca="1">_xll.ASN(X25,X25,AO25,AS25,0,AI25,0,BI25,BL25,1,3)/100</f>
        <v>#NAME?</v>
      </c>
      <c r="EC25" s="653" t="e">
        <f ca="1">_xll.xCrudeAPO(L26,L27,O26,O27,S26,S27,BI25,BL25,AJ25,AK25,0,X25,AO25,1,0,+BL25,1,0,1)</f>
        <v>#NAME?</v>
      </c>
      <c r="ED25" s="869" t="e">
        <f t="shared" ca="1" si="165"/>
        <v>#NAME?</v>
      </c>
      <c r="EE25" s="863" t="e">
        <f t="shared" ca="1" si="29"/>
        <v>#NAME?</v>
      </c>
      <c r="EF25" s="590" t="e">
        <f t="shared" ca="1" si="30"/>
        <v>#NAME?</v>
      </c>
      <c r="EG25" s="862">
        <f t="shared" ca="1" si="31"/>
        <v>0.31909587186291866</v>
      </c>
      <c r="EH25" s="114">
        <f t="shared" ca="1" si="32"/>
        <v>0.31942946237610936</v>
      </c>
      <c r="EI25" s="109">
        <f t="shared" ca="1" si="33"/>
        <v>0.31942946237610936</v>
      </c>
      <c r="EJ25" s="115" t="e">
        <f ca="1">IF(BD25,_xll.xASN(BP25,Strike1,AO25,EH25,0,BM25,0,BI25,BL25,IF(OptControl=4,0,1),0),0)</f>
        <v>#NAME?</v>
      </c>
      <c r="EK25" s="108" t="e">
        <f ca="1">IF(BD25,_xll.xASN(BP25,Strike2,AO25,EI25,0,BM25,0,BI25,BL25,IF(OptControl=3,1,0),0),0)</f>
        <v>#NAME?</v>
      </c>
      <c r="EM25" s="473" t="e">
        <f ca="1">[1]!'CLc6 MTH'</f>
        <v>#REF!</v>
      </c>
      <c r="EN25" s="474" t="e">
        <f t="shared" ca="1" si="158"/>
        <v>#REF!</v>
      </c>
      <c r="EO25" s="475" t="e">
        <f>[1]!'CLc6 NET.CHNG'</f>
        <v>#REF!</v>
      </c>
      <c r="EP25" s="476">
        <f t="shared" si="159"/>
        <v>0</v>
      </c>
      <c r="EQ25" s="1"/>
      <c r="ER25" s="681">
        <v>36885</v>
      </c>
      <c r="ES25" s="682">
        <v>37615</v>
      </c>
      <c r="ET25" s="1"/>
      <c r="EU25" s="667" t="s">
        <v>129</v>
      </c>
      <c r="EW25" s="488">
        <v>6</v>
      </c>
      <c r="EX25" s="466">
        <f t="shared" ca="1" si="166"/>
        <v>0.44079397672826831</v>
      </c>
      <c r="EY25" s="824">
        <f t="shared" ca="1" si="66"/>
        <v>4.8131376872374135E-2</v>
      </c>
      <c r="EZ25" s="798">
        <f t="shared" ca="1" si="160"/>
        <v>0.33543134897606885</v>
      </c>
      <c r="FA25" s="468">
        <f t="shared" ca="1" si="161"/>
        <v>1.0261457387889155</v>
      </c>
      <c r="FB25" s="467">
        <f t="shared" ca="1" si="162"/>
        <v>0.28650382117939521</v>
      </c>
      <c r="FC25" s="242">
        <v>0</v>
      </c>
      <c r="FD25" s="589">
        <f ca="1">IF(OR(FA25="",FA26=""),"",SQRT(SUM(INDEX(FO25:IH25,SwaptionFirstMonthPosition+1):INDEX(FO25:IH25,FN25))/SUM(INDEX($FO$15:$IH$15,SwaptionFirstMonthPosition+1):INDEX($FO$15:$IH$15,FN25))))</f>
        <v>0.33821147433446408</v>
      </c>
      <c r="FE25" s="565">
        <f ca="1">IF(OR(FA25="",FA24=""),"",SQRT(SUM(INDEX(FO25:IH25,SwaptionFirstMonthPosition+1):INDEX(FO25:IH25,FN25-1))/SUM(INDEX($FO$15:$IH$15,SwaptionFirstMonthPosition+1):INDEX($FO$15:$IH$15,FN25-1))))</f>
        <v>0.32375716815069727</v>
      </c>
      <c r="FF25" s="562">
        <f t="shared" ca="1" si="67"/>
        <v>0.32086260233922681</v>
      </c>
      <c r="FG25" s="593">
        <f t="shared" ca="1" si="68"/>
        <v>189</v>
      </c>
      <c r="FH25" s="563">
        <f t="shared" ca="1" si="69"/>
        <v>26.507826086956523</v>
      </c>
      <c r="FI25" s="563">
        <f t="shared" ca="1" si="70"/>
        <v>3.7429471198005437E-2</v>
      </c>
      <c r="FJ25" s="563">
        <f t="shared" ca="1" si="71"/>
        <v>3.7429471198005437E-2</v>
      </c>
      <c r="FK25" s="564">
        <f t="shared" ca="1" si="72"/>
        <v>3.3359051319072373E-4</v>
      </c>
      <c r="FL25" s="590">
        <f t="shared" ca="1" si="73"/>
        <v>3.3359051319072373E-4</v>
      </c>
      <c r="FM25" s="242"/>
      <c r="FN25" s="657">
        <v>6</v>
      </c>
      <c r="FO25" s="450">
        <f t="shared" ca="1" si="74"/>
        <v>1.6798723071389328E-3</v>
      </c>
      <c r="FP25" s="450">
        <f t="shared" ca="1" si="75"/>
        <v>7.0143728976515413E-3</v>
      </c>
      <c r="FQ25" s="450">
        <f t="shared" ca="1" si="76"/>
        <v>7.6317837938413282E-3</v>
      </c>
      <c r="FR25" s="450">
        <f t="shared" ca="1" si="77"/>
        <v>9.6159075562808061E-3</v>
      </c>
      <c r="FS25" s="450">
        <f t="shared" ca="1" si="78"/>
        <v>1.0462270250252403E-2</v>
      </c>
      <c r="FT25" s="450">
        <f t="shared" ca="1" si="79"/>
        <v>1.3191370388594749E-2</v>
      </c>
      <c r="FU25" s="450" t="str">
        <f t="shared" si="80"/>
        <v/>
      </c>
      <c r="FV25" s="450" t="str">
        <f t="shared" si="81"/>
        <v/>
      </c>
      <c r="FW25" s="450" t="str">
        <f t="shared" si="82"/>
        <v/>
      </c>
      <c r="FX25" s="450" t="str">
        <f t="shared" si="83"/>
        <v/>
      </c>
      <c r="FY25" s="450" t="str">
        <f t="shared" si="84"/>
        <v/>
      </c>
      <c r="FZ25" s="450" t="str">
        <f t="shared" si="85"/>
        <v/>
      </c>
      <c r="GA25" s="450" t="str">
        <f t="shared" si="86"/>
        <v/>
      </c>
      <c r="GB25" s="450" t="str">
        <f t="shared" si="87"/>
        <v/>
      </c>
      <c r="GC25" s="450" t="str">
        <f t="shared" si="88"/>
        <v/>
      </c>
      <c r="GD25" s="450" t="str">
        <f t="shared" si="89"/>
        <v/>
      </c>
      <c r="GE25" s="450" t="str">
        <f t="shared" si="90"/>
        <v/>
      </c>
      <c r="GF25" s="450" t="str">
        <f t="shared" si="91"/>
        <v/>
      </c>
      <c r="GG25" s="450" t="str">
        <f t="shared" si="92"/>
        <v/>
      </c>
      <c r="GH25" s="450" t="str">
        <f t="shared" si="93"/>
        <v/>
      </c>
      <c r="GI25" s="450" t="str">
        <f t="shared" si="94"/>
        <v/>
      </c>
      <c r="GJ25" s="450" t="str">
        <f t="shared" si="95"/>
        <v/>
      </c>
      <c r="GK25" s="450" t="str">
        <f t="shared" si="96"/>
        <v/>
      </c>
      <c r="GL25" s="450" t="str">
        <f t="shared" si="97"/>
        <v/>
      </c>
      <c r="GM25" s="450" t="str">
        <f t="shared" si="98"/>
        <v/>
      </c>
      <c r="GN25" s="450" t="str">
        <f t="shared" si="99"/>
        <v/>
      </c>
      <c r="GO25" s="450" t="str">
        <f t="shared" si="100"/>
        <v/>
      </c>
      <c r="GP25" s="450" t="str">
        <f t="shared" si="101"/>
        <v/>
      </c>
      <c r="GQ25" s="450" t="str">
        <f t="shared" si="102"/>
        <v/>
      </c>
      <c r="GR25" s="450" t="str">
        <f t="shared" si="103"/>
        <v/>
      </c>
      <c r="GS25" s="450" t="str">
        <f t="shared" si="104"/>
        <v/>
      </c>
      <c r="GT25" s="450" t="str">
        <f t="shared" si="105"/>
        <v/>
      </c>
      <c r="GU25" s="450" t="str">
        <f t="shared" si="106"/>
        <v/>
      </c>
      <c r="GV25" s="450" t="str">
        <f t="shared" si="107"/>
        <v/>
      </c>
      <c r="GW25" s="450" t="str">
        <f t="shared" si="108"/>
        <v/>
      </c>
      <c r="GX25" s="450" t="str">
        <f t="shared" si="109"/>
        <v/>
      </c>
      <c r="GY25" s="450" t="str">
        <f t="shared" si="110"/>
        <v/>
      </c>
      <c r="GZ25" s="450" t="str">
        <f t="shared" si="111"/>
        <v/>
      </c>
      <c r="HA25" s="450" t="str">
        <f t="shared" si="112"/>
        <v/>
      </c>
      <c r="HB25" s="450" t="str">
        <f t="shared" si="113"/>
        <v/>
      </c>
      <c r="HC25" s="450" t="str">
        <f t="shared" si="114"/>
        <v/>
      </c>
      <c r="HD25" s="450" t="str">
        <f t="shared" si="115"/>
        <v/>
      </c>
      <c r="HE25" s="450" t="str">
        <f t="shared" si="116"/>
        <v/>
      </c>
      <c r="HF25" s="450" t="str">
        <f t="shared" si="117"/>
        <v/>
      </c>
      <c r="HG25" s="450" t="str">
        <f t="shared" si="118"/>
        <v/>
      </c>
      <c r="HH25" s="450" t="str">
        <f t="shared" si="119"/>
        <v/>
      </c>
      <c r="HI25" s="450" t="str">
        <f t="shared" si="120"/>
        <v/>
      </c>
      <c r="HJ25" s="450" t="str">
        <f t="shared" si="121"/>
        <v/>
      </c>
      <c r="HK25" s="450" t="str">
        <f t="shared" si="122"/>
        <v/>
      </c>
      <c r="HL25" s="450" t="str">
        <f t="shared" si="123"/>
        <v/>
      </c>
      <c r="HM25" s="450" t="str">
        <f t="shared" si="124"/>
        <v/>
      </c>
      <c r="HN25" s="450" t="str">
        <f t="shared" si="125"/>
        <v/>
      </c>
      <c r="HO25" s="450" t="str">
        <f t="shared" si="126"/>
        <v/>
      </c>
      <c r="HP25" s="450" t="str">
        <f t="shared" si="127"/>
        <v/>
      </c>
      <c r="HQ25" s="450" t="str">
        <f t="shared" si="128"/>
        <v/>
      </c>
      <c r="HR25" s="450" t="str">
        <f t="shared" si="129"/>
        <v/>
      </c>
      <c r="HS25" s="450" t="str">
        <f t="shared" si="130"/>
        <v/>
      </c>
      <c r="HT25" s="450" t="str">
        <f t="shared" si="131"/>
        <v/>
      </c>
      <c r="HU25" s="450" t="str">
        <f t="shared" si="132"/>
        <v/>
      </c>
      <c r="HV25" s="450" t="str">
        <f t="shared" si="133"/>
        <v/>
      </c>
      <c r="HW25" s="450" t="str">
        <f t="shared" si="134"/>
        <v/>
      </c>
      <c r="HX25" s="450" t="str">
        <f t="shared" si="135"/>
        <v/>
      </c>
      <c r="HY25" s="450" t="str">
        <f t="shared" si="136"/>
        <v/>
      </c>
      <c r="HZ25" s="450" t="str">
        <f t="shared" si="137"/>
        <v/>
      </c>
      <c r="IA25" s="450" t="str">
        <f t="shared" si="138"/>
        <v/>
      </c>
      <c r="IB25" s="450" t="str">
        <f t="shared" si="139"/>
        <v/>
      </c>
      <c r="IC25" s="450" t="str">
        <f t="shared" si="140"/>
        <v/>
      </c>
      <c r="ID25" s="450" t="str">
        <f t="shared" si="141"/>
        <v/>
      </c>
      <c r="IE25" s="450" t="str">
        <f t="shared" si="142"/>
        <v/>
      </c>
      <c r="IF25" s="450" t="str">
        <f t="shared" si="143"/>
        <v/>
      </c>
      <c r="IG25" s="450" t="str">
        <f t="shared" si="144"/>
        <v/>
      </c>
      <c r="IH25" s="658" t="str">
        <f t="shared" si="145"/>
        <v/>
      </c>
      <c r="II25" s="242"/>
    </row>
    <row r="26" spans="1:243" ht="17.25" customHeight="1" thickBot="1">
      <c r="A26" s="891">
        <f t="shared" ca="1" si="146"/>
        <v>0.30000000000000071</v>
      </c>
      <c r="B26" s="887">
        <f ca="1">DateStart2-1</f>
        <v>37011</v>
      </c>
      <c r="C26" s="161" t="s">
        <v>76</v>
      </c>
      <c r="D26" s="524">
        <f ca="1">SUMPRODUCT(CHOOSE(Underlying,X19:X258,Z19:Z258),BE19:BE258,AP19:AP258)/E33</f>
        <v>26.457379071531722</v>
      </c>
      <c r="E26" s="532" t="e">
        <f ca="1">_xll.xBASVOL(INDEX(L20:L91,SwaptionFirstMonthPosition+1):INDEX(L20:L91,SwaptionFirstMonthPosition+SwaptionNumOfMonths+1),INDEX(FB20:FB91,SwaptionFirstMonthPosition+1):INDEX(FB20:FB91,SwaptionFirstMonthPosition+SwaptionNumOfMonths+1),INDEX(FC20:FC91,SwaptionFirstMonthPosition+1):INDEX(FC20:FC91,SwaptionFirstMonthPosition+SwaptionNumOfMonths+1),INDEX(FA20:FA91,SwaptionFirstMonthPosition+1):INDEX(FA20:FA91,SwaptionFirstMonthPosition+SwaptionNumOfMonths+1),INDEX(FO170:IH241,SwaptionFirstMonthPosition+1,SwaptionFirstMonthPosition+1):INDEX(FO170:IH241,SwaptionFirstMonthPosition+SwaptionNumOfMonths+1,SwaptionFirstMonthPosition+SwaptionNumOfMonths+1),(DateStart2-DateToday)/365.25)</f>
        <v>#NAME?</v>
      </c>
      <c r="F26" s="157"/>
      <c r="G26" s="539"/>
      <c r="H26" s="49" t="e">
        <f t="shared" ca="1" si="34"/>
        <v>#N/A</v>
      </c>
      <c r="I26" s="369">
        <f t="shared" si="35"/>
        <v>37196</v>
      </c>
      <c r="J26" s="367">
        <v>26.64</v>
      </c>
      <c r="K26" s="101" t="s">
        <v>487</v>
      </c>
      <c r="L26" s="382">
        <f t="shared" si="36"/>
        <v>26.64</v>
      </c>
      <c r="M26" s="163">
        <v>0.32123456251913995</v>
      </c>
      <c r="N26" s="372">
        <v>0</v>
      </c>
      <c r="O26" s="163">
        <f t="shared" si="37"/>
        <v>0.32123456251913995</v>
      </c>
      <c r="P26" s="367">
        <v>25.18</v>
      </c>
      <c r="Q26" s="100" t="s">
        <v>487</v>
      </c>
      <c r="R26" s="367">
        <f t="shared" ca="1" si="147"/>
        <v>25.18</v>
      </c>
      <c r="S26" s="814">
        <f t="shared" si="163"/>
        <v>0.38754950249499998</v>
      </c>
      <c r="T26" s="813">
        <f t="shared" si="148"/>
        <v>0.95633778272800374</v>
      </c>
      <c r="U26" s="532">
        <f t="shared" si="149"/>
        <v>0.99733032226562501</v>
      </c>
      <c r="V26" s="379">
        <v>0</v>
      </c>
      <c r="W26" s="424">
        <f t="shared" si="150"/>
        <v>26.267727272727271</v>
      </c>
      <c r="X26" s="405">
        <f t="shared" si="38"/>
        <v>26.267727272727271</v>
      </c>
      <c r="Y26" s="313">
        <f t="shared" si="39"/>
        <v>24.803636363636368</v>
      </c>
      <c r="Z26" s="313">
        <f t="shared" ca="1" si="40"/>
        <v>24.803636363636368</v>
      </c>
      <c r="AA26" s="419">
        <f t="shared" si="1"/>
        <v>1.4640909090909027</v>
      </c>
      <c r="AB26" s="423">
        <f t="shared" ca="1" si="2"/>
        <v>1.4640909090909027</v>
      </c>
      <c r="AC26" s="218">
        <v>37186</v>
      </c>
      <c r="AD26" s="219">
        <v>37181</v>
      </c>
      <c r="AE26" s="219">
        <v>37180</v>
      </c>
      <c r="AF26" s="220">
        <v>37175</v>
      </c>
      <c r="AG26" s="241" t="s">
        <v>496</v>
      </c>
      <c r="AH26" s="239" t="s">
        <v>496</v>
      </c>
      <c r="AI26" s="141">
        <v>22</v>
      </c>
      <c r="AJ26" s="41">
        <v>13</v>
      </c>
      <c r="AK26" s="41">
        <v>9</v>
      </c>
      <c r="AL26" s="285">
        <v>22</v>
      </c>
      <c r="AM26" s="41">
        <v>10</v>
      </c>
      <c r="AN26" s="142">
        <v>12</v>
      </c>
      <c r="AO26" s="364">
        <v>4.5624649236237304E-2</v>
      </c>
      <c r="AP26" s="145">
        <f t="shared" ca="1" si="41"/>
        <v>0.97139232445099344</v>
      </c>
      <c r="AQ26" s="364">
        <v>4.1228157237016096E-2</v>
      </c>
      <c r="AR26" s="145">
        <f t="shared" ca="1" si="151"/>
        <v>0.97888587796519999</v>
      </c>
      <c r="AS26" s="264">
        <f t="shared" si="3"/>
        <v>0.31243390949196637</v>
      </c>
      <c r="AT26" s="149">
        <f t="shared" si="42"/>
        <v>0.32123456251913995</v>
      </c>
      <c r="AU26" s="149">
        <f t="shared" si="4"/>
        <v>0.31184273396353179</v>
      </c>
      <c r="AV26" s="263">
        <f t="shared" ca="1" si="164"/>
        <v>0.30730005899344376</v>
      </c>
      <c r="AW26" s="150">
        <f t="shared" ca="1" si="5"/>
        <v>2</v>
      </c>
      <c r="AX26" s="149">
        <f t="shared" ca="1" si="152"/>
        <v>6.4636050928992828E-2</v>
      </c>
      <c r="AY26" s="149">
        <f t="shared" ca="1" si="153"/>
        <v>3.7578741926055641E-2</v>
      </c>
      <c r="AZ26" s="149">
        <f t="shared" ca="1" si="154"/>
        <v>1.5532196753864382E-2</v>
      </c>
      <c r="BA26" s="149">
        <f t="shared" ca="1" si="155"/>
        <v>5.9948425031894153E-4</v>
      </c>
      <c r="BB26" s="149">
        <f t="shared" ca="1" si="156"/>
        <v>1.2226064240488446E-3</v>
      </c>
      <c r="BC26" s="149">
        <f t="shared" ca="1" si="157"/>
        <v>1.7621653605394553E-3</v>
      </c>
      <c r="BD26" s="143">
        <f t="shared" ca="1" si="43"/>
        <v>30</v>
      </c>
      <c r="BE26" s="144">
        <f t="shared" ca="1" si="44"/>
        <v>30</v>
      </c>
      <c r="BF26" s="40">
        <f t="shared" si="7"/>
        <v>2001</v>
      </c>
      <c r="BG26" s="139">
        <f t="shared" si="8"/>
        <v>11</v>
      </c>
      <c r="BH26" s="140">
        <f t="shared" ca="1" si="45"/>
        <v>191</v>
      </c>
      <c r="BI26" s="304">
        <f t="shared" ca="1" si="46"/>
        <v>0.56399726214921286</v>
      </c>
      <c r="BJ26" s="42">
        <f t="shared" ca="1" si="47"/>
        <v>0.61091406881961297</v>
      </c>
      <c r="BK26" s="42">
        <f t="shared" ca="1" si="9"/>
        <v>0.61365191960674503</v>
      </c>
      <c r="BL26" s="42">
        <f t="shared" ca="1" si="48"/>
        <v>0.64339493497604383</v>
      </c>
      <c r="BM26" s="285">
        <f t="shared" si="49"/>
        <v>22</v>
      </c>
      <c r="BN26" s="41">
        <f t="shared" si="50"/>
        <v>13</v>
      </c>
      <c r="BO26" s="41">
        <f t="shared" si="51"/>
        <v>9</v>
      </c>
      <c r="BP26" s="297">
        <f t="shared" ca="1" si="10"/>
        <v>26.21772727272727</v>
      </c>
      <c r="BQ26" s="297">
        <f t="shared" ca="1" si="11"/>
        <v>4.8908614920508464E-2</v>
      </c>
      <c r="BR26" s="299">
        <f t="shared" ca="1" si="12"/>
        <v>4.8908614920508464E-2</v>
      </c>
      <c r="BS26" s="153">
        <f t="shared" ca="1" si="13"/>
        <v>26.320000000000004</v>
      </c>
      <c r="BT26" s="153">
        <f t="shared" ca="1" si="14"/>
        <v>26.070000000000004</v>
      </c>
      <c r="BU26" s="300">
        <f t="shared" ca="1" si="15"/>
        <v>0.31420743607726997</v>
      </c>
      <c r="BV26" s="301">
        <f t="shared" ca="1" si="16"/>
        <v>0.30987214886874997</v>
      </c>
      <c r="BW26" s="300">
        <f t="shared" ca="1" si="17"/>
        <v>5.9948425031894153E-4</v>
      </c>
      <c r="BX26" s="301">
        <f t="shared" ca="1" si="18"/>
        <v>5.9948425031894153E-4</v>
      </c>
      <c r="BY26" s="146">
        <f t="shared" ca="1" si="19"/>
        <v>0.31450063552076757</v>
      </c>
      <c r="BZ26" s="146">
        <f t="shared" ca="1" si="20"/>
        <v>0.31016534831224757</v>
      </c>
      <c r="CA26" s="146">
        <f t="shared" ca="1" si="21"/>
        <v>0.31450063552076757</v>
      </c>
      <c r="CB26" s="146">
        <f t="shared" ca="1" si="22"/>
        <v>0.31016534831224757</v>
      </c>
      <c r="CC26" s="302">
        <v>1</v>
      </c>
      <c r="CD26" s="154" t="e">
        <f ca="1">IF(BD26,_xll.xCrudeAPO(BS26,BT26,BY26,BZ26,S27,S28,BI26,BL26,BN26,BO26,0,Strike1,AO26,CC26,0,BL26,IF(OptControl=4,0,1),0,1),0)</f>
        <v>#NAME?</v>
      </c>
      <c r="CE26" s="155" t="e">
        <f ca="1">IF(BD26,_xll.xCrudeAPO(BS26,BT26,BY26,BZ26,S27,S28,BI26,BL26,BN26,BO26,0,Strike1,AO26,CC26,0,BL26,IF(OptControl=4,0,1),1,1)+_xll.xCrudeAPO(BS26,BT26,BY26,BZ26,S27,S28,BI26,BL26,BN26,BO26,0,Strike1,AO26,CC26,0,BL26,IF(OptControl=4,0,1),1,2)+IF(OR(VolSkewFlag=2,ABS(BQ26)&lt;0.0001),0,IF(BQ26&gt;0,-1,1)*CF26*Strike1/BP26^2*BW26/10%),0)</f>
        <v>#NAME?</v>
      </c>
      <c r="CF26" s="155" t="e">
        <f ca="1">IF(BD26,(_xll.xCrudeAPO(BS26,BT26,BY26,BZ26,S27,S28,BI26,BL26,BN26,BO26,0,Strike1,AO26,CC26,0,BL26,IF(OptControl=4,0,1),3,1)+_xll.xCrudeAPO(BS26,BT26,BY26,BZ26,S27,S28,BI26,BL26,BN26,BO26,0,Strike1,AO26,CC26,0,BL26,IF(OptControl=4,0,1),3,2))/100,0)</f>
        <v>#NAME?</v>
      </c>
      <c r="CG26" s="155" t="e">
        <f ca="1">IF(BD26,_xll.xCrudeAPO(BS26,BT26,BY26,BZ26,S27,S28,BI26-DaysForThetaCalculation/365.25,BL26-DaysForThetaCalculation/365.25,BN26,BO26,0,Strike1,AO26,CC26,0,BL26,IF(OptControl=4,0,1),0,1)-_xll.xCrudeAPO(BS26,BT26,BY26,BZ26,S27,S28,BI26,BL26,BN26,BO26,0,Strike1,AO26,CC26,0,BL26,IF(OptControl=4,0,1),0,1),0)</f>
        <v>#NAME?</v>
      </c>
      <c r="CH26" s="303" t="e">
        <f ca="1">IF(BD26,_xll.xCrudeAPO(BS26,BT26,CA26,CB26,S27,S28,BI26,BL26,BN26,BO26,0,Strike2,AO26,CC26,0,BL26,IF(OptControl=3,1,0),0,1),0)</f>
        <v>#NAME?</v>
      </c>
      <c r="CI26" s="155" t="e">
        <f ca="1">IF(BD26,_xll.xCrudeAPO(BS26,BT26,CA26,CB26,S27,S28,BI26,BL26,BN26,BO26,0,Strike2,AO26,CC26,0,BL26,IF(OptControl=3,1,0),1,1)+_xll.xCrudeAPO(BS26,BT26,CA26,CB26,S27,S28,BI26,BL26,BN26,BO26,0,Strike2,AO26,CC26,0,BL26,IF(OptControl=3,1,0),1,2)+IF(OR(VolSkewFlag=2,ABS(BR26)&lt;0.0001),0,IF(BR26&gt;0,-1,1)*CJ26*Strike2/BP26^2*BX26/10%),0)</f>
        <v>#NAME?</v>
      </c>
      <c r="CJ26" s="155" t="e">
        <f ca="1">IF(BD26,(_xll.xCrudeAPO(BS26,BT26,CA26,CB26,S27,S28,BI26,BL26,BN26,BO26,0,Strike2,AO26,CC26,0,BL26,IF(OptControl=3,1,0),3,1)+_xll.xCrudeAPO(BS26,BT26,CA26,CB26,S27,S28,BI26,BL26,BN26,BO26,0,Strike2,AO26,CC26,0,BL26,IF(OptControl=3,1,0),3,2))/100,0)</f>
        <v>#NAME?</v>
      </c>
      <c r="CK26" s="156" t="e">
        <f ca="1">IF(BD26,_xll.xCrudeAPO(BS26,BT26,CA26,CB26,S27,S28,BI26-DaysForThetaCalculation/365.25,BL26-DaysForThetaCalculation/365.25,BN26,BO26,0,Strike2,AO26,CC26,0,BL26,IF(OptControl=3,1,0),0,1)-_xll.xCrudeAPO(BS26,BT26,CA26,CB26,S27,S28,BI26,BL26,BN26,BO26,0,Strike2,AO26,CC26,0,BL26,IF(OptControl=3,1,0),0,1),0)</f>
        <v>#NAME?</v>
      </c>
      <c r="CL26" s="497"/>
      <c r="CM26" s="779">
        <f t="shared" ca="1" si="52"/>
        <v>191</v>
      </c>
      <c r="CN26" s="783">
        <f t="shared" ca="1" si="53"/>
        <v>26.64</v>
      </c>
      <c r="CO26" s="780">
        <f t="shared" ca="1" si="54"/>
        <v>3.228228228228236E-2</v>
      </c>
      <c r="CP26" s="780">
        <f t="shared" ca="1" si="55"/>
        <v>3.228228228228236E-2</v>
      </c>
      <c r="CQ26" s="780">
        <f t="shared" ca="1" si="56"/>
        <v>8.9125093813374604E-4</v>
      </c>
      <c r="CR26" s="780">
        <f t="shared" ca="1" si="57"/>
        <v>8.9125093813374604E-4</v>
      </c>
      <c r="CS26" s="781">
        <f t="shared" ca="1" si="58"/>
        <v>0.32123456251913995</v>
      </c>
      <c r="CT26" s="782">
        <f t="shared" ca="1" si="59"/>
        <v>0.32152227866283178</v>
      </c>
      <c r="CU26" s="782">
        <f t="shared" ca="1" si="60"/>
        <v>0.32152227866283178</v>
      </c>
      <c r="CV26" s="155" t="e">
        <f ca="1">IF(BD26,_xll.EURO(CN26,Strike1,AO26,AO26,CT26,CM26,IF(OptControl=4,0,1),0),0)</f>
        <v>#NAME?</v>
      </c>
      <c r="CW26" s="155" t="e">
        <f ca="1">IF(BD26,_xll.EURO(CN26,Strike1,AO26,AO26,CT26,CM26,IF(OptControl=4,0,1),1)+IF(OR(VolSkewFlag=2,ABS(CO26)&lt;0.0001),0,IF(CO26&gt;0,-1,1)*CX26*100*Strike1/CN26^2*CQ26/10%),0)</f>
        <v>#NAME?</v>
      </c>
      <c r="CX26" s="155" t="e">
        <f ca="1">IF(BD26,_xll.EURO(CN26,Strike1,AO26,AO26,CT26,CM26,IF(OptControl=4,0,1),3)/100,0)</f>
        <v>#NAME?</v>
      </c>
      <c r="CY26" s="155" t="e">
        <f ca="1">IF(BD26,_xll.EURO(CN26,Strike1,AO26,AO26,CT26,CM26,IF(OptControl=4,0,1),0)-_xll.EURO(CN26,Strike1,AO26,AO26,CT26,CM26-1,IF(OptControl=4,0,1),0),0)</f>
        <v>#NAME?</v>
      </c>
      <c r="CZ26" s="155" t="e">
        <f ca="1">IF(BD26,_xll.EURO(CN26,Strike2,AO26,AO26,CU26,CM26,IF(OptControl=3,1,0),0),0)</f>
        <v>#NAME?</v>
      </c>
      <c r="DA26" s="155" t="e">
        <f ca="1">IF(BD26,_xll.EURO(CN26,Strike2,AO26,AO26,CU26,CM26,IF(OptControl=3,1,0),1)+IF(OR(VolSkewFlag=2,ABS(CP26)&lt;0.0001),0,IF(CP26&gt;0,-1,1)*DB26*100*Strike2/CN26^2*CR26/10%),0)</f>
        <v>#NAME?</v>
      </c>
      <c r="DB26" s="155" t="e">
        <f ca="1">IF(BD26,_xll.EURO(CN26,Strike2,AO26,AO26,CU26,CM26,IF(OptControl=3,1,0),3)/100,0)</f>
        <v>#NAME?</v>
      </c>
      <c r="DC26" s="156" t="e">
        <f ca="1">IF(BD26,_xll.EURO(CN26,Strike2,AO26,AO26,CU26,CM26,IF(OptControl=3,1,0),0)-_xll.EURO(CN26,Strike2,AO26,AO26,CU26,CM26-1,IF(OptControl=3,1,0),0),0)</f>
        <v>#NAME?</v>
      </c>
      <c r="DD26" s="497"/>
      <c r="DE26" s="651">
        <f t="shared" ca="1" si="61"/>
        <v>37104</v>
      </c>
      <c r="DF26" s="465">
        <v>1E-4</v>
      </c>
      <c r="DG26" s="649">
        <v>1E-4</v>
      </c>
      <c r="DH26" s="650">
        <f t="shared" ca="1" si="23"/>
        <v>37104</v>
      </c>
      <c r="DI26" s="465">
        <v>1E-4</v>
      </c>
      <c r="DJ26" s="649">
        <v>1E-4</v>
      </c>
      <c r="DK26" s="651">
        <f t="shared" ca="1" si="24"/>
        <v>37104</v>
      </c>
      <c r="DL26" s="652">
        <f t="shared" si="25"/>
        <v>5.0100000000000006E-2</v>
      </c>
      <c r="DM26" s="651">
        <f t="shared" ca="1" si="62"/>
        <v>37104</v>
      </c>
      <c r="DN26" s="563">
        <f t="shared" si="63"/>
        <v>-3.9899999999999998E-2</v>
      </c>
      <c r="DO26" s="803">
        <v>-0.04</v>
      </c>
      <c r="DP26" s="650">
        <f t="shared" ca="1" si="26"/>
        <v>37104</v>
      </c>
      <c r="DQ26" s="653">
        <v>1E-4</v>
      </c>
      <c r="DR26" s="590">
        <v>1E-4</v>
      </c>
      <c r="DS26" s="650">
        <f t="shared" ca="1" si="27"/>
        <v>37104</v>
      </c>
      <c r="DT26" s="653">
        <v>1E-4</v>
      </c>
      <c r="DU26" s="590">
        <v>1E-4</v>
      </c>
      <c r="DV26" s="651">
        <f t="shared" ca="1" si="28"/>
        <v>37104</v>
      </c>
      <c r="DW26" s="590">
        <v>1E-4</v>
      </c>
      <c r="DX26" s="651">
        <f t="shared" ca="1" si="64"/>
        <v>37104</v>
      </c>
      <c r="DY26" s="590">
        <f t="shared" si="65"/>
        <v>1E-4</v>
      </c>
      <c r="DZ26" s="1"/>
      <c r="EA26" s="863" t="e">
        <f ca="1">_xll.ASN(X26,X26,AO26,AS26,0,AI26,0,BI26,BL26,1,0)</f>
        <v>#NAME?</v>
      </c>
      <c r="EB26" s="653" t="e">
        <f ca="1">_xll.ASN(X26,X26,AO26,AS26,0,AI26,0,BI26,BL26,1,3)/100</f>
        <v>#NAME?</v>
      </c>
      <c r="EC26" s="653" t="e">
        <f ca="1">_xll.xCrudeAPO(L27,L28,O27,O28,S27,S28,BI26,BL26,AJ26,AK26,0,X26,AO26,1,0,+BL26,1,0,1)</f>
        <v>#NAME?</v>
      </c>
      <c r="ED26" s="869" t="e">
        <f t="shared" ca="1" si="165"/>
        <v>#NAME?</v>
      </c>
      <c r="EE26" s="863" t="e">
        <f t="shared" ca="1" si="29"/>
        <v>#NAME?</v>
      </c>
      <c r="EF26" s="590" t="e">
        <f t="shared" ca="1" si="30"/>
        <v>#NAME?</v>
      </c>
      <c r="EG26" s="862">
        <f t="shared" ca="1" si="31"/>
        <v>0.31243390949196637</v>
      </c>
      <c r="EH26" s="114">
        <f t="shared" ca="1" si="32"/>
        <v>0.31272710893546396</v>
      </c>
      <c r="EI26" s="109">
        <f t="shared" ca="1" si="33"/>
        <v>0.31272710893546396</v>
      </c>
      <c r="EJ26" s="115" t="e">
        <f ca="1">IF(BD26,_xll.xASN(BP26,Strike1,AO26,EH26,0,BM26,0,BI26,BL26,IF(OptControl=4,0,1),0),0)</f>
        <v>#NAME?</v>
      </c>
      <c r="EK26" s="108" t="e">
        <f ca="1">IF(BD26,_xll.xASN(BP26,Strike2,AO26,EI26,0,BM26,0,BI26,BL26,IF(OptControl=3,1,0),0),0)</f>
        <v>#NAME?</v>
      </c>
      <c r="EM26" s="473" t="e">
        <f ca="1">[1]!'CLc7 MTH'</f>
        <v>#REF!</v>
      </c>
      <c r="EN26" s="474" t="e">
        <f t="shared" ca="1" si="158"/>
        <v>#REF!</v>
      </c>
      <c r="EO26" s="475" t="e">
        <f>[1]!'CLc7 NET.CHNG'</f>
        <v>#REF!</v>
      </c>
      <c r="EP26" s="476">
        <f t="shared" si="159"/>
        <v>0</v>
      </c>
      <c r="EQ26" s="1"/>
      <c r="ER26" s="681">
        <v>36892</v>
      </c>
      <c r="ES26" s="682">
        <v>37622</v>
      </c>
      <c r="ET26" s="1"/>
      <c r="EU26" s="667" t="s">
        <v>130</v>
      </c>
      <c r="EW26" s="488">
        <v>7</v>
      </c>
      <c r="EX26" s="466">
        <f t="shared" ca="1" si="166"/>
        <v>0.5229295003422314</v>
      </c>
      <c r="EY26" s="824">
        <f t="shared" ca="1" si="66"/>
        <v>5.3961954918441829E-2</v>
      </c>
      <c r="EZ26" s="798">
        <f t="shared" ca="1" si="160"/>
        <v>0.3256171124813278</v>
      </c>
      <c r="FA26" s="468">
        <f t="shared" ca="1" si="161"/>
        <v>0.97155254195806839</v>
      </c>
      <c r="FB26" s="467">
        <f t="shared" ca="1" si="162"/>
        <v>0.2719846588311407</v>
      </c>
      <c r="FC26" s="242">
        <v>0</v>
      </c>
      <c r="FD26" s="589">
        <f ca="1">IF(OR(FA26="",FA27=""),"",SQRT(SUM(INDEX(FO26:IH26,SwaptionFirstMonthPosition+1):INDEX(FO26:IH26,FN26))/SUM(INDEX($FO$15:$IH$15,SwaptionFirstMonthPosition+1):INDEX($FO$15:$IH$15,FN26))))</f>
        <v>0.32805148744951829</v>
      </c>
      <c r="FE26" s="565">
        <f ca="1">IF(OR(FA26="",FA25=""),"",SQRT(SUM(INDEX(FO26:IH26,SwaptionFirstMonthPosition+1):INDEX(FO26:IH26,FN26-1))/SUM(INDEX($FO$15:$IH$15,SwaptionFirstMonthPosition+1):INDEX($FO$15:$IH$15,FN26-1))))</f>
        <v>0.31507043453578876</v>
      </c>
      <c r="FF26" s="562">
        <f t="shared" ca="1" si="67"/>
        <v>0.31165872989122084</v>
      </c>
      <c r="FG26" s="593">
        <f t="shared" ca="1" si="68"/>
        <v>219.5</v>
      </c>
      <c r="FH26" s="563">
        <f t="shared" ca="1" si="69"/>
        <v>26.21772727272727</v>
      </c>
      <c r="FI26" s="563">
        <f t="shared" ca="1" si="70"/>
        <v>4.8908614920508464E-2</v>
      </c>
      <c r="FJ26" s="563">
        <f t="shared" ca="1" si="71"/>
        <v>4.8908614920508464E-2</v>
      </c>
      <c r="FK26" s="564">
        <f t="shared" ca="1" si="72"/>
        <v>2.9319944349758816E-4</v>
      </c>
      <c r="FL26" s="590">
        <f t="shared" ca="1" si="73"/>
        <v>2.9319944349758816E-4</v>
      </c>
      <c r="FM26" s="242"/>
      <c r="FN26" s="657">
        <v>7</v>
      </c>
      <c r="FO26" s="450">
        <f t="shared" ca="1" si="74"/>
        <v>1.525006987554956E-3</v>
      </c>
      <c r="FP26" s="450">
        <f t="shared" ca="1" si="75"/>
        <v>6.2958770824507009E-3</v>
      </c>
      <c r="FQ26" s="450">
        <f t="shared" ca="1" si="76"/>
        <v>6.7631855601539004E-3</v>
      </c>
      <c r="FR26" s="450">
        <f t="shared" ca="1" si="77"/>
        <v>8.3998877364339919E-3</v>
      </c>
      <c r="FS26" s="450">
        <f t="shared" ca="1" si="78"/>
        <v>8.9922145222322454E-3</v>
      </c>
      <c r="FT26" s="450">
        <f t="shared" ca="1" si="79"/>
        <v>1.1131901338130469E-2</v>
      </c>
      <c r="FU26" s="450">
        <f t="shared" ca="1" si="80"/>
        <v>1.2336313501775942E-2</v>
      </c>
      <c r="FV26" s="450" t="str">
        <f t="shared" si="81"/>
        <v/>
      </c>
      <c r="FW26" s="450" t="str">
        <f t="shared" si="82"/>
        <v/>
      </c>
      <c r="FX26" s="450" t="str">
        <f t="shared" si="83"/>
        <v/>
      </c>
      <c r="FY26" s="450" t="str">
        <f t="shared" si="84"/>
        <v/>
      </c>
      <c r="FZ26" s="450" t="str">
        <f t="shared" si="85"/>
        <v/>
      </c>
      <c r="GA26" s="450" t="str">
        <f t="shared" si="86"/>
        <v/>
      </c>
      <c r="GB26" s="450" t="str">
        <f t="shared" si="87"/>
        <v/>
      </c>
      <c r="GC26" s="450" t="str">
        <f t="shared" si="88"/>
        <v/>
      </c>
      <c r="GD26" s="450" t="str">
        <f t="shared" si="89"/>
        <v/>
      </c>
      <c r="GE26" s="450" t="str">
        <f t="shared" si="90"/>
        <v/>
      </c>
      <c r="GF26" s="450" t="str">
        <f t="shared" si="91"/>
        <v/>
      </c>
      <c r="GG26" s="450" t="str">
        <f t="shared" si="92"/>
        <v/>
      </c>
      <c r="GH26" s="450" t="str">
        <f t="shared" si="93"/>
        <v/>
      </c>
      <c r="GI26" s="450" t="str">
        <f t="shared" si="94"/>
        <v/>
      </c>
      <c r="GJ26" s="450" t="str">
        <f t="shared" si="95"/>
        <v/>
      </c>
      <c r="GK26" s="450" t="str">
        <f t="shared" si="96"/>
        <v/>
      </c>
      <c r="GL26" s="450" t="str">
        <f t="shared" si="97"/>
        <v/>
      </c>
      <c r="GM26" s="450" t="str">
        <f t="shared" si="98"/>
        <v/>
      </c>
      <c r="GN26" s="450" t="str">
        <f t="shared" si="99"/>
        <v/>
      </c>
      <c r="GO26" s="450" t="str">
        <f t="shared" si="100"/>
        <v/>
      </c>
      <c r="GP26" s="450" t="str">
        <f t="shared" si="101"/>
        <v/>
      </c>
      <c r="GQ26" s="450" t="str">
        <f t="shared" si="102"/>
        <v/>
      </c>
      <c r="GR26" s="450" t="str">
        <f t="shared" si="103"/>
        <v/>
      </c>
      <c r="GS26" s="450" t="str">
        <f t="shared" si="104"/>
        <v/>
      </c>
      <c r="GT26" s="450" t="str">
        <f t="shared" si="105"/>
        <v/>
      </c>
      <c r="GU26" s="450" t="str">
        <f t="shared" si="106"/>
        <v/>
      </c>
      <c r="GV26" s="450" t="str">
        <f t="shared" si="107"/>
        <v/>
      </c>
      <c r="GW26" s="450" t="str">
        <f t="shared" si="108"/>
        <v/>
      </c>
      <c r="GX26" s="450" t="str">
        <f t="shared" si="109"/>
        <v/>
      </c>
      <c r="GY26" s="450" t="str">
        <f t="shared" si="110"/>
        <v/>
      </c>
      <c r="GZ26" s="450" t="str">
        <f t="shared" si="111"/>
        <v/>
      </c>
      <c r="HA26" s="450" t="str">
        <f t="shared" si="112"/>
        <v/>
      </c>
      <c r="HB26" s="450" t="str">
        <f t="shared" si="113"/>
        <v/>
      </c>
      <c r="HC26" s="450" t="str">
        <f t="shared" si="114"/>
        <v/>
      </c>
      <c r="HD26" s="450" t="str">
        <f t="shared" si="115"/>
        <v/>
      </c>
      <c r="HE26" s="450" t="str">
        <f t="shared" si="116"/>
        <v/>
      </c>
      <c r="HF26" s="450" t="str">
        <f t="shared" si="117"/>
        <v/>
      </c>
      <c r="HG26" s="450" t="str">
        <f t="shared" si="118"/>
        <v/>
      </c>
      <c r="HH26" s="450" t="str">
        <f t="shared" si="119"/>
        <v/>
      </c>
      <c r="HI26" s="450" t="str">
        <f t="shared" si="120"/>
        <v/>
      </c>
      <c r="HJ26" s="450" t="str">
        <f t="shared" si="121"/>
        <v/>
      </c>
      <c r="HK26" s="450" t="str">
        <f t="shared" si="122"/>
        <v/>
      </c>
      <c r="HL26" s="450" t="str">
        <f t="shared" si="123"/>
        <v/>
      </c>
      <c r="HM26" s="450" t="str">
        <f t="shared" si="124"/>
        <v/>
      </c>
      <c r="HN26" s="450" t="str">
        <f t="shared" si="125"/>
        <v/>
      </c>
      <c r="HO26" s="450" t="str">
        <f t="shared" si="126"/>
        <v/>
      </c>
      <c r="HP26" s="450" t="str">
        <f t="shared" si="127"/>
        <v/>
      </c>
      <c r="HQ26" s="450" t="str">
        <f t="shared" si="128"/>
        <v/>
      </c>
      <c r="HR26" s="450" t="str">
        <f t="shared" si="129"/>
        <v/>
      </c>
      <c r="HS26" s="450" t="str">
        <f t="shared" si="130"/>
        <v/>
      </c>
      <c r="HT26" s="450" t="str">
        <f t="shared" si="131"/>
        <v/>
      </c>
      <c r="HU26" s="450" t="str">
        <f t="shared" si="132"/>
        <v/>
      </c>
      <c r="HV26" s="450" t="str">
        <f t="shared" si="133"/>
        <v/>
      </c>
      <c r="HW26" s="450" t="str">
        <f t="shared" si="134"/>
        <v/>
      </c>
      <c r="HX26" s="450" t="str">
        <f t="shared" si="135"/>
        <v/>
      </c>
      <c r="HY26" s="450" t="str">
        <f t="shared" si="136"/>
        <v/>
      </c>
      <c r="HZ26" s="450" t="str">
        <f t="shared" si="137"/>
        <v/>
      </c>
      <c r="IA26" s="450" t="str">
        <f t="shared" si="138"/>
        <v/>
      </c>
      <c r="IB26" s="450" t="str">
        <f t="shared" si="139"/>
        <v/>
      </c>
      <c r="IC26" s="450" t="str">
        <f t="shared" si="140"/>
        <v/>
      </c>
      <c r="ID26" s="450" t="str">
        <f t="shared" si="141"/>
        <v/>
      </c>
      <c r="IE26" s="450" t="str">
        <f t="shared" si="142"/>
        <v/>
      </c>
      <c r="IF26" s="450" t="str">
        <f t="shared" si="143"/>
        <v/>
      </c>
      <c r="IG26" s="450" t="str">
        <f t="shared" si="144"/>
        <v/>
      </c>
      <c r="IH26" s="658" t="str">
        <f t="shared" si="145"/>
        <v/>
      </c>
      <c r="II26" s="242"/>
    </row>
    <row r="27" spans="1:243" ht="16.5" customHeight="1" thickBot="1">
      <c r="A27" s="891">
        <f t="shared" ca="1" si="146"/>
        <v>0</v>
      </c>
      <c r="B27" s="888" t="s">
        <v>193</v>
      </c>
      <c r="C27" s="160" t="s">
        <v>15</v>
      </c>
      <c r="D27" s="527">
        <v>-0.05</v>
      </c>
      <c r="E27" s="533">
        <v>0</v>
      </c>
      <c r="F27" s="540" t="s">
        <v>38</v>
      </c>
      <c r="G27" s="529">
        <f ca="1">SwaptionUnderlyingPrice</f>
        <v>26.407379071531722</v>
      </c>
      <c r="H27" s="49" t="e">
        <f t="shared" ca="1" si="34"/>
        <v>#N/A</v>
      </c>
      <c r="I27" s="369">
        <f t="shared" si="35"/>
        <v>37226</v>
      </c>
      <c r="J27" s="367">
        <v>26.37</v>
      </c>
      <c r="K27" s="101">
        <v>0</v>
      </c>
      <c r="L27" s="382">
        <f t="shared" si="36"/>
        <v>26.37</v>
      </c>
      <c r="M27" s="163">
        <v>0.31420743607726997</v>
      </c>
      <c r="N27" s="372">
        <v>0</v>
      </c>
      <c r="O27" s="163">
        <f t="shared" si="37"/>
        <v>0.31420743607726997</v>
      </c>
      <c r="P27" s="367">
        <v>24.94</v>
      </c>
      <c r="Q27" s="100">
        <v>0</v>
      </c>
      <c r="R27" s="367">
        <f t="shared" ca="1" si="147"/>
        <v>24.94</v>
      </c>
      <c r="S27" s="814">
        <f t="shared" si="163"/>
        <v>0.38707400747005</v>
      </c>
      <c r="T27" s="813">
        <f t="shared" si="148"/>
        <v>0.96097573992918128</v>
      </c>
      <c r="U27" s="532">
        <f t="shared" si="149"/>
        <v>0.99799774169921873</v>
      </c>
      <c r="V27" s="379">
        <v>0</v>
      </c>
      <c r="W27" s="424">
        <f t="shared" si="150"/>
        <v>26.036000000000001</v>
      </c>
      <c r="X27" s="405">
        <f t="shared" si="38"/>
        <v>26.036000000000001</v>
      </c>
      <c r="Y27" s="313">
        <f t="shared" si="39"/>
        <v>24.540000000000003</v>
      </c>
      <c r="Z27" s="313">
        <f t="shared" ca="1" si="40"/>
        <v>24.540000000000003</v>
      </c>
      <c r="AA27" s="419">
        <f t="shared" si="1"/>
        <v>1.4959999999999987</v>
      </c>
      <c r="AB27" s="423">
        <f t="shared" ca="1" si="2"/>
        <v>1.4959999999999987</v>
      </c>
      <c r="AC27" s="218">
        <v>37214</v>
      </c>
      <c r="AD27" s="219">
        <v>37209</v>
      </c>
      <c r="AE27" s="219">
        <v>37210</v>
      </c>
      <c r="AF27" s="220">
        <v>37205</v>
      </c>
      <c r="AG27" s="241" t="s">
        <v>495</v>
      </c>
      <c r="AH27" s="239" t="s">
        <v>495</v>
      </c>
      <c r="AI27" s="141">
        <v>20</v>
      </c>
      <c r="AJ27" s="41">
        <v>13</v>
      </c>
      <c r="AK27" s="41">
        <v>7</v>
      </c>
      <c r="AL27" s="285">
        <v>20</v>
      </c>
      <c r="AM27" s="41">
        <v>8</v>
      </c>
      <c r="AN27" s="142">
        <v>12</v>
      </c>
      <c r="AO27" s="364">
        <v>4.5193487089725703E-2</v>
      </c>
      <c r="AP27" s="145">
        <f t="shared" ca="1" si="41"/>
        <v>0.96797731201674353</v>
      </c>
      <c r="AQ27" s="364">
        <v>4.1011676027887099E-2</v>
      </c>
      <c r="AR27" s="145">
        <f t="shared" ca="1" si="151"/>
        <v>0.97595242701315255</v>
      </c>
      <c r="AS27" s="264">
        <f t="shared" si="3"/>
        <v>0.30790236757651246</v>
      </c>
      <c r="AT27" s="149">
        <f t="shared" si="42"/>
        <v>0.31420743607726997</v>
      </c>
      <c r="AU27" s="149">
        <f t="shared" si="4"/>
        <v>0.30649538093919998</v>
      </c>
      <c r="AV27" s="263">
        <f t="shared" ca="1" si="164"/>
        <v>0.30205167962899593</v>
      </c>
      <c r="AW27" s="150">
        <f t="shared" ca="1" si="5"/>
        <v>2</v>
      </c>
      <c r="AX27" s="149">
        <f t="shared" ca="1" si="152"/>
        <v>6.2917987573459455E-2</v>
      </c>
      <c r="AY27" s="149">
        <f t="shared" ca="1" si="153"/>
        <v>3.6546892744832561E-2</v>
      </c>
      <c r="AZ27" s="149">
        <f t="shared" ca="1" si="154"/>
        <v>1.5190342245531232E-2</v>
      </c>
      <c r="BA27" s="149">
        <f t="shared" ca="1" si="155"/>
        <v>4.0842386526745224E-4</v>
      </c>
      <c r="BB27" s="149">
        <f t="shared" ca="1" si="156"/>
        <v>7.1498457415436435E-4</v>
      </c>
      <c r="BC27" s="149">
        <f t="shared" ca="1" si="157"/>
        <v>9.5287659858081259E-4</v>
      </c>
      <c r="BD27" s="143">
        <f t="shared" ca="1" si="43"/>
        <v>30</v>
      </c>
      <c r="BE27" s="144">
        <f t="shared" ca="1" si="44"/>
        <v>30</v>
      </c>
      <c r="BF27" s="40">
        <f t="shared" si="7"/>
        <v>2001</v>
      </c>
      <c r="BG27" s="139">
        <f t="shared" si="8"/>
        <v>12</v>
      </c>
      <c r="BH27" s="140">
        <f t="shared" ca="1" si="45"/>
        <v>219</v>
      </c>
      <c r="BI27" s="304">
        <f t="shared" ca="1" si="46"/>
        <v>0.6461327857631759</v>
      </c>
      <c r="BJ27" s="42">
        <f t="shared" ca="1" si="47"/>
        <v>0.69952087611225189</v>
      </c>
      <c r="BK27" s="42">
        <f t="shared" ca="1" si="9"/>
        <v>0.70225872689938396</v>
      </c>
      <c r="BL27" s="42">
        <f t="shared" ca="1" si="48"/>
        <v>0.72826830937713893</v>
      </c>
      <c r="BM27" s="285">
        <f t="shared" si="49"/>
        <v>20</v>
      </c>
      <c r="BN27" s="41">
        <f t="shared" si="50"/>
        <v>13</v>
      </c>
      <c r="BO27" s="41">
        <f t="shared" si="51"/>
        <v>7</v>
      </c>
      <c r="BP27" s="297">
        <f t="shared" ca="1" si="10"/>
        <v>25.986000000000001</v>
      </c>
      <c r="BQ27" s="297">
        <f t="shared" ca="1" si="11"/>
        <v>5.8262141152928493E-2</v>
      </c>
      <c r="BR27" s="299">
        <f t="shared" ca="1" si="12"/>
        <v>5.8262141152928493E-2</v>
      </c>
      <c r="BS27" s="153">
        <f t="shared" ca="1" si="13"/>
        <v>26.070000000000004</v>
      </c>
      <c r="BT27" s="153">
        <f t="shared" ca="1" si="14"/>
        <v>25.829999999999995</v>
      </c>
      <c r="BU27" s="300">
        <f t="shared" ca="1" si="15"/>
        <v>0.30987214886874997</v>
      </c>
      <c r="BV27" s="301">
        <f t="shared" ca="1" si="16"/>
        <v>0.30424420231949995</v>
      </c>
      <c r="BW27" s="300">
        <f t="shared" ca="1" si="17"/>
        <v>4.0842386526745224E-4</v>
      </c>
      <c r="BX27" s="301">
        <f t="shared" ca="1" si="18"/>
        <v>4.0842386526745224E-4</v>
      </c>
      <c r="BY27" s="146">
        <f t="shared" ca="1" si="19"/>
        <v>0.31011010535763434</v>
      </c>
      <c r="BZ27" s="146">
        <f t="shared" ca="1" si="20"/>
        <v>0.30448215880838431</v>
      </c>
      <c r="CA27" s="146">
        <f t="shared" ca="1" si="21"/>
        <v>0.31011010535763434</v>
      </c>
      <c r="CB27" s="146">
        <f t="shared" ca="1" si="22"/>
        <v>0.30448215880838431</v>
      </c>
      <c r="CC27" s="302">
        <v>1</v>
      </c>
      <c r="CD27" s="154" t="e">
        <f ca="1">IF(BD27,_xll.xCrudeAPO(BS27,BT27,BY27,BZ27,S28,S29,BI27,BL27,BN27,BO27,0,Strike1,AO27,CC27,0,BL27,IF(OptControl=4,0,1),0,1),0)</f>
        <v>#NAME?</v>
      </c>
      <c r="CE27" s="155" t="e">
        <f ca="1">IF(BD27,_xll.xCrudeAPO(BS27,BT27,BY27,BZ27,S28,S29,BI27,BL27,BN27,BO27,0,Strike1,AO27,CC27,0,BL27,IF(OptControl=4,0,1),1,1)+_xll.xCrudeAPO(BS27,BT27,BY27,BZ27,S28,S29,BI27,BL27,BN27,BO27,0,Strike1,AO27,CC27,0,BL27,IF(OptControl=4,0,1),1,2)+IF(OR(VolSkewFlag=2,ABS(BQ27)&lt;0.0001),0,IF(BQ27&gt;0,-1,1)*CF27*Strike1/BP27^2*BW27/10%),0)</f>
        <v>#NAME?</v>
      </c>
      <c r="CF27" s="155" t="e">
        <f ca="1">IF(BD27,(_xll.xCrudeAPO(BS27,BT27,BY27,BZ27,S28,S29,BI27,BL27,BN27,BO27,0,Strike1,AO27,CC27,0,BL27,IF(OptControl=4,0,1),3,1)+_xll.xCrudeAPO(BS27,BT27,BY27,BZ27,S28,S29,BI27,BL27,BN27,BO27,0,Strike1,AO27,CC27,0,BL27,IF(OptControl=4,0,1),3,2))/100,0)</f>
        <v>#NAME?</v>
      </c>
      <c r="CG27" s="155" t="e">
        <f ca="1">IF(BD27,_xll.xCrudeAPO(BS27,BT27,BY27,BZ27,S28,S29,BI27-DaysForThetaCalculation/365.25,BL27-DaysForThetaCalculation/365.25,BN27,BO27,0,Strike1,AO27,CC27,0,BL27,IF(OptControl=4,0,1),0,1)-_xll.xCrudeAPO(BS27,BT27,BY27,BZ27,S28,S29,BI27,BL27,BN27,BO27,0,Strike1,AO27,CC27,0,BL27,IF(OptControl=4,0,1),0,1),0)</f>
        <v>#NAME?</v>
      </c>
      <c r="CH27" s="303" t="e">
        <f ca="1">IF(BD27,_xll.xCrudeAPO(BS27,BT27,CA27,CB27,S28,S29,BI27,BL27,BN27,BO27,0,Strike2,AO27,CC27,0,BL27,IF(OptControl=3,1,0),0,1),0)</f>
        <v>#NAME?</v>
      </c>
      <c r="CI27" s="155" t="e">
        <f ca="1">IF(BD27,_xll.xCrudeAPO(BS27,BT27,CA27,CB27,S28,S29,BI27,BL27,BN27,BO27,0,Strike2,AO27,CC27,0,BL27,IF(OptControl=3,1,0),1,1)+_xll.xCrudeAPO(BS27,BT27,CA27,CB27,S28,S29,BI27,BL27,BN27,BO27,0,Strike2,AO27,CC27,0,BL27,IF(OptControl=3,1,0),1,2)+IF(OR(VolSkewFlag=2,ABS(BR27)&lt;0.0001),0,IF(BR27&gt;0,-1,1)*CJ27*Strike2/BP27^2*BX27/10%),0)</f>
        <v>#NAME?</v>
      </c>
      <c r="CJ27" s="155" t="e">
        <f ca="1">IF(BD27,(_xll.xCrudeAPO(BS27,BT27,CA27,CB27,S28,S29,BI27,BL27,BN27,BO27,0,Strike2,AO27,CC27,0,BL27,IF(OptControl=3,1,0),3,1)+_xll.xCrudeAPO(BS27,BT27,CA27,CB27,S28,S29,BI27,BL27,BN27,BO27,0,Strike2,AO27,CC27,0,BL27,IF(OptControl=3,1,0),3,2))/100,0)</f>
        <v>#NAME?</v>
      </c>
      <c r="CK27" s="156" t="e">
        <f ca="1">IF(BD27,_xll.xCrudeAPO(BS27,BT27,CA27,CB27,S28,S29,BI27-DaysForThetaCalculation/365.25,BL27-DaysForThetaCalculation/365.25,BN27,BO27,0,Strike2,AO27,CC27,0,BL27,IF(OptControl=3,1,0),0,1)-_xll.xCrudeAPO(BS27,BT27,CA27,CB27,S28,S29,BI27,BL27,BN27,BO27,0,Strike2,AO27,CC27,0,BL27,IF(OptControl=3,1,0),0,1),0)</f>
        <v>#NAME?</v>
      </c>
      <c r="CL27" s="497"/>
      <c r="CM27" s="779">
        <f t="shared" ca="1" si="52"/>
        <v>219</v>
      </c>
      <c r="CN27" s="783">
        <f t="shared" ca="1" si="53"/>
        <v>26.37</v>
      </c>
      <c r="CO27" s="780">
        <f t="shared" ca="1" si="54"/>
        <v>4.2851725445582023E-2</v>
      </c>
      <c r="CP27" s="780">
        <f t="shared" ca="1" si="55"/>
        <v>4.2851725445582023E-2</v>
      </c>
      <c r="CQ27" s="780">
        <f t="shared" ca="1" si="56"/>
        <v>5.9948425031894153E-4</v>
      </c>
      <c r="CR27" s="780">
        <f t="shared" ca="1" si="57"/>
        <v>5.9948425031894153E-4</v>
      </c>
      <c r="CS27" s="781">
        <f t="shared" ca="1" si="58"/>
        <v>0.31420743607726997</v>
      </c>
      <c r="CT27" s="782">
        <f t="shared" ca="1" si="59"/>
        <v>0.31446432542230618</v>
      </c>
      <c r="CU27" s="782">
        <f t="shared" ca="1" si="60"/>
        <v>0.31446432542230618</v>
      </c>
      <c r="CV27" s="155" t="e">
        <f ca="1">IF(BD27,_xll.EURO(CN27,Strike1,AO27,AO27,CT27,CM27,IF(OptControl=4,0,1),0),0)</f>
        <v>#NAME?</v>
      </c>
      <c r="CW27" s="155" t="e">
        <f ca="1">IF(BD27,_xll.EURO(CN27,Strike1,AO27,AO27,CT27,CM27,IF(OptControl=4,0,1),1)+IF(OR(VolSkewFlag=2,ABS(CO27)&lt;0.0001),0,IF(CO27&gt;0,-1,1)*CX27*100*Strike1/CN27^2*CQ27/10%),0)</f>
        <v>#NAME?</v>
      </c>
      <c r="CX27" s="155" t="e">
        <f ca="1">IF(BD27,_xll.EURO(CN27,Strike1,AO27,AO27,CT27,CM27,IF(OptControl=4,0,1),3)/100,0)</f>
        <v>#NAME?</v>
      </c>
      <c r="CY27" s="155" t="e">
        <f ca="1">IF(BD27,_xll.EURO(CN27,Strike1,AO27,AO27,CT27,CM27,IF(OptControl=4,0,1),0)-_xll.EURO(CN27,Strike1,AO27,AO27,CT27,CM27-1,IF(OptControl=4,0,1),0),0)</f>
        <v>#NAME?</v>
      </c>
      <c r="CZ27" s="155" t="e">
        <f ca="1">IF(BD27,_xll.EURO(CN27,Strike2,AO27,AO27,CU27,CM27,IF(OptControl=3,1,0),0),0)</f>
        <v>#NAME?</v>
      </c>
      <c r="DA27" s="155" t="e">
        <f ca="1">IF(BD27,_xll.EURO(CN27,Strike2,AO27,AO27,CU27,CM27,IF(OptControl=3,1,0),1)+IF(OR(VolSkewFlag=2,ABS(CP27)&lt;0.0001),0,IF(CP27&gt;0,-1,1)*DB27*100*Strike2/CN27^2*CR27/10%),0)</f>
        <v>#NAME?</v>
      </c>
      <c r="DB27" s="155" t="e">
        <f ca="1">IF(BD27,_xll.EURO(CN27,Strike2,AO27,AO27,CU27,CM27,IF(OptControl=3,1,0),3)/100,0)</f>
        <v>#NAME?</v>
      </c>
      <c r="DC27" s="156" t="e">
        <f ca="1">IF(BD27,_xll.EURO(CN27,Strike2,AO27,AO27,CU27,CM27,IF(OptControl=3,1,0),0)-_xll.EURO(CN27,Strike2,AO27,AO27,CU27,CM27-1,IF(OptControl=3,1,0),0),0)</f>
        <v>#NAME?</v>
      </c>
      <c r="DD27" s="497"/>
      <c r="DE27" s="651">
        <f t="shared" ca="1" si="61"/>
        <v>37135</v>
      </c>
      <c r="DF27" s="465">
        <v>1E-4</v>
      </c>
      <c r="DG27" s="649">
        <v>1E-4</v>
      </c>
      <c r="DH27" s="650">
        <f t="shared" ca="1" si="23"/>
        <v>37135</v>
      </c>
      <c r="DI27" s="465">
        <v>1E-4</v>
      </c>
      <c r="DJ27" s="649">
        <v>1E-4</v>
      </c>
      <c r="DK27" s="651">
        <f t="shared" ca="1" si="24"/>
        <v>37135</v>
      </c>
      <c r="DL27" s="652">
        <f t="shared" si="25"/>
        <v>5.0100000000000006E-2</v>
      </c>
      <c r="DM27" s="651">
        <f t="shared" ca="1" si="62"/>
        <v>37135</v>
      </c>
      <c r="DN27" s="563">
        <f t="shared" si="63"/>
        <v>-3.9899999999999998E-2</v>
      </c>
      <c r="DO27" s="803">
        <v>-0.04</v>
      </c>
      <c r="DP27" s="650">
        <f t="shared" ca="1" si="26"/>
        <v>37135</v>
      </c>
      <c r="DQ27" s="653">
        <v>1E-4</v>
      </c>
      <c r="DR27" s="590">
        <v>1E-4</v>
      </c>
      <c r="DS27" s="650">
        <f t="shared" ca="1" si="27"/>
        <v>37135</v>
      </c>
      <c r="DT27" s="653">
        <v>1E-4</v>
      </c>
      <c r="DU27" s="590">
        <v>1E-4</v>
      </c>
      <c r="DV27" s="651">
        <f t="shared" ca="1" si="28"/>
        <v>37135</v>
      </c>
      <c r="DW27" s="590">
        <v>1E-4</v>
      </c>
      <c r="DX27" s="651">
        <f t="shared" ca="1" si="64"/>
        <v>37135</v>
      </c>
      <c r="DY27" s="590">
        <f t="shared" si="65"/>
        <v>1E-4</v>
      </c>
      <c r="DZ27" s="1"/>
      <c r="EA27" s="863" t="e">
        <f ca="1">_xll.ASN(X27,X27,AO27,AS27,0,AI27,0,BI27,BL27,1,0)</f>
        <v>#NAME?</v>
      </c>
      <c r="EB27" s="653" t="e">
        <f ca="1">_xll.ASN(X27,X27,AO27,AS27,0,AI27,0,BI27,BL27,1,3)/100</f>
        <v>#NAME?</v>
      </c>
      <c r="EC27" s="653" t="e">
        <f ca="1">_xll.xCrudeAPO(L28,L29,O28,O29,S28,S29,BI27,BL27,AJ27,AK27,0,X27,AO27,1,0,+BL27,1,0,1)</f>
        <v>#NAME?</v>
      </c>
      <c r="ED27" s="869" t="e">
        <f t="shared" ca="1" si="165"/>
        <v>#NAME?</v>
      </c>
      <c r="EE27" s="863" t="e">
        <f t="shared" ca="1" si="29"/>
        <v>#NAME?</v>
      </c>
      <c r="EF27" s="590" t="e">
        <f t="shared" ca="1" si="30"/>
        <v>#NAME?</v>
      </c>
      <c r="EG27" s="862">
        <f t="shared" ca="1" si="31"/>
        <v>0.30790236757651246</v>
      </c>
      <c r="EH27" s="114">
        <f t="shared" ca="1" si="32"/>
        <v>0.30814032406539682</v>
      </c>
      <c r="EI27" s="109">
        <f t="shared" ca="1" si="33"/>
        <v>0.30814032406539682</v>
      </c>
      <c r="EJ27" s="115" t="e">
        <f ca="1">IF(BD27,_xll.xASN(BP27,Strike1,AO27,EH27,0,BM27,0,BI27,BL27,IF(OptControl=4,0,1),0),0)</f>
        <v>#NAME?</v>
      </c>
      <c r="EK27" s="108" t="e">
        <f ca="1">IF(BD27,_xll.xASN(BP27,Strike2,AO27,EI27,0,BM27,0,BI27,BL27,IF(OptControl=3,1,0),0),0)</f>
        <v>#NAME?</v>
      </c>
      <c r="EM27" s="473" t="e">
        <f ca="1">[1]!'CLc8 MTH'</f>
        <v>#REF!</v>
      </c>
      <c r="EN27" s="474" t="e">
        <f t="shared" ca="1" si="158"/>
        <v>#REF!</v>
      </c>
      <c r="EO27" s="475" t="e">
        <f>[1]!'CLc8 NET.CHNG'</f>
        <v>#REF!</v>
      </c>
      <c r="EP27" s="476">
        <f t="shared" si="159"/>
        <v>0</v>
      </c>
      <c r="EQ27" s="1"/>
      <c r="ER27" s="681">
        <v>36906</v>
      </c>
      <c r="ES27" s="682">
        <v>37980</v>
      </c>
      <c r="ET27" s="1"/>
      <c r="EU27" s="667" t="s">
        <v>131</v>
      </c>
      <c r="EW27" s="488">
        <v>8</v>
      </c>
      <c r="EX27" s="466">
        <f t="shared" ca="1" si="166"/>
        <v>0.59958932238193019</v>
      </c>
      <c r="EY27" s="824">
        <f t="shared" ca="1" si="66"/>
        <v>5.9195243044734072E-2</v>
      </c>
      <c r="EZ27" s="798">
        <f t="shared" ca="1" si="160"/>
        <v>0.31619643171963546</v>
      </c>
      <c r="FA27" s="468">
        <f t="shared" ca="1" si="161"/>
        <v>0.87067063789825716</v>
      </c>
      <c r="FB27" s="467">
        <f t="shared" ca="1" si="162"/>
        <v>0.25961597682033893</v>
      </c>
      <c r="FC27" s="242">
        <v>0</v>
      </c>
      <c r="FD27" s="589">
        <f ca="1">IF(OR(FA27="",FA28=""),"",SQRT(SUM(INDEX(FO27:IH27,SwaptionFirstMonthPosition+1):INDEX(FO27:IH27,FN27))/SUM(INDEX($FO$15:$IH$15,SwaptionFirstMonthPosition+1):INDEX($FO$15:$IH$15,FN27))))</f>
        <v>0.3183552690541579</v>
      </c>
      <c r="FE27" s="565">
        <f ca="1">IF(OR(FA27="",FA26=""),"",SQRT(SUM(INDEX(FO27:IH27,SwaptionFirstMonthPosition+1):INDEX(FO27:IH27,FN27-1))/SUM(INDEX($FO$15:$IH$15,SwaptionFirstMonthPosition+1):INDEX($FO$15:$IH$15,FN27-1))))</f>
        <v>0.3064848321186438</v>
      </c>
      <c r="FF27" s="562">
        <f t="shared" ca="1" si="67"/>
        <v>0.30431071215036637</v>
      </c>
      <c r="FG27" s="593">
        <f t="shared" ca="1" si="68"/>
        <v>250</v>
      </c>
      <c r="FH27" s="563">
        <f t="shared" ca="1" si="69"/>
        <v>25.986000000000001</v>
      </c>
      <c r="FI27" s="563">
        <f t="shared" ca="1" si="70"/>
        <v>5.8262141152928493E-2</v>
      </c>
      <c r="FJ27" s="563">
        <f t="shared" ca="1" si="71"/>
        <v>5.8262141152928493E-2</v>
      </c>
      <c r="FK27" s="564">
        <f t="shared" ca="1" si="72"/>
        <v>2.3795648888436951E-4</v>
      </c>
      <c r="FL27" s="590">
        <f t="shared" ca="1" si="73"/>
        <v>2.3795648888436951E-4</v>
      </c>
      <c r="FM27" s="242"/>
      <c r="FN27" s="657">
        <v>8</v>
      </c>
      <c r="FO27" s="450">
        <f t="shared" ca="1" si="74"/>
        <v>1.3984773554259781E-3</v>
      </c>
      <c r="FP27" s="450">
        <f t="shared" ca="1" si="75"/>
        <v>5.7154680761877475E-3</v>
      </c>
      <c r="FQ27" s="450">
        <f t="shared" ca="1" si="76"/>
        <v>6.0704193509288022E-3</v>
      </c>
      <c r="FR27" s="450">
        <f t="shared" ca="1" si="77"/>
        <v>7.4438690849455858E-3</v>
      </c>
      <c r="FS27" s="450">
        <f t="shared" ca="1" si="78"/>
        <v>7.8550664143340401E-3</v>
      </c>
      <c r="FT27" s="450">
        <f t="shared" ca="1" si="79"/>
        <v>9.5677556092931583E-3</v>
      </c>
      <c r="FU27" s="450">
        <f t="shared" ca="1" si="80"/>
        <v>1.041033802649868E-2</v>
      </c>
      <c r="FV27" s="450">
        <f t="shared" ca="1" si="81"/>
        <v>1.1485656518137929E-2</v>
      </c>
      <c r="FW27" s="450" t="str">
        <f t="shared" si="82"/>
        <v/>
      </c>
      <c r="FX27" s="450" t="str">
        <f t="shared" si="83"/>
        <v/>
      </c>
      <c r="FY27" s="450" t="str">
        <f t="shared" si="84"/>
        <v/>
      </c>
      <c r="FZ27" s="450" t="str">
        <f t="shared" si="85"/>
        <v/>
      </c>
      <c r="GA27" s="450" t="str">
        <f t="shared" si="86"/>
        <v/>
      </c>
      <c r="GB27" s="450" t="str">
        <f t="shared" si="87"/>
        <v/>
      </c>
      <c r="GC27" s="450" t="str">
        <f t="shared" si="88"/>
        <v/>
      </c>
      <c r="GD27" s="450" t="str">
        <f t="shared" si="89"/>
        <v/>
      </c>
      <c r="GE27" s="450" t="str">
        <f t="shared" si="90"/>
        <v/>
      </c>
      <c r="GF27" s="450" t="str">
        <f t="shared" si="91"/>
        <v/>
      </c>
      <c r="GG27" s="450" t="str">
        <f t="shared" si="92"/>
        <v/>
      </c>
      <c r="GH27" s="450" t="str">
        <f t="shared" si="93"/>
        <v/>
      </c>
      <c r="GI27" s="450" t="str">
        <f t="shared" si="94"/>
        <v/>
      </c>
      <c r="GJ27" s="450" t="str">
        <f t="shared" si="95"/>
        <v/>
      </c>
      <c r="GK27" s="450" t="str">
        <f t="shared" si="96"/>
        <v/>
      </c>
      <c r="GL27" s="450" t="str">
        <f t="shared" si="97"/>
        <v/>
      </c>
      <c r="GM27" s="450" t="str">
        <f t="shared" si="98"/>
        <v/>
      </c>
      <c r="GN27" s="450" t="str">
        <f t="shared" si="99"/>
        <v/>
      </c>
      <c r="GO27" s="450" t="str">
        <f t="shared" si="100"/>
        <v/>
      </c>
      <c r="GP27" s="450" t="str">
        <f t="shared" si="101"/>
        <v/>
      </c>
      <c r="GQ27" s="450" t="str">
        <f t="shared" si="102"/>
        <v/>
      </c>
      <c r="GR27" s="450" t="str">
        <f t="shared" si="103"/>
        <v/>
      </c>
      <c r="GS27" s="450" t="str">
        <f t="shared" si="104"/>
        <v/>
      </c>
      <c r="GT27" s="450" t="str">
        <f t="shared" si="105"/>
        <v/>
      </c>
      <c r="GU27" s="450" t="str">
        <f t="shared" si="106"/>
        <v/>
      </c>
      <c r="GV27" s="450" t="str">
        <f t="shared" si="107"/>
        <v/>
      </c>
      <c r="GW27" s="450" t="str">
        <f t="shared" si="108"/>
        <v/>
      </c>
      <c r="GX27" s="450" t="str">
        <f t="shared" si="109"/>
        <v/>
      </c>
      <c r="GY27" s="450" t="str">
        <f t="shared" si="110"/>
        <v/>
      </c>
      <c r="GZ27" s="450" t="str">
        <f t="shared" si="111"/>
        <v/>
      </c>
      <c r="HA27" s="450" t="str">
        <f t="shared" si="112"/>
        <v/>
      </c>
      <c r="HB27" s="450" t="str">
        <f t="shared" si="113"/>
        <v/>
      </c>
      <c r="HC27" s="450" t="str">
        <f t="shared" si="114"/>
        <v/>
      </c>
      <c r="HD27" s="450" t="str">
        <f t="shared" si="115"/>
        <v/>
      </c>
      <c r="HE27" s="450" t="str">
        <f t="shared" si="116"/>
        <v/>
      </c>
      <c r="HF27" s="450" t="str">
        <f t="shared" si="117"/>
        <v/>
      </c>
      <c r="HG27" s="450" t="str">
        <f t="shared" si="118"/>
        <v/>
      </c>
      <c r="HH27" s="450" t="str">
        <f t="shared" si="119"/>
        <v/>
      </c>
      <c r="HI27" s="450" t="str">
        <f t="shared" si="120"/>
        <v/>
      </c>
      <c r="HJ27" s="450" t="str">
        <f t="shared" si="121"/>
        <v/>
      </c>
      <c r="HK27" s="450" t="str">
        <f t="shared" si="122"/>
        <v/>
      </c>
      <c r="HL27" s="450" t="str">
        <f t="shared" si="123"/>
        <v/>
      </c>
      <c r="HM27" s="450" t="str">
        <f t="shared" si="124"/>
        <v/>
      </c>
      <c r="HN27" s="450" t="str">
        <f t="shared" si="125"/>
        <v/>
      </c>
      <c r="HO27" s="450" t="str">
        <f t="shared" si="126"/>
        <v/>
      </c>
      <c r="HP27" s="450" t="str">
        <f t="shared" si="127"/>
        <v/>
      </c>
      <c r="HQ27" s="450" t="str">
        <f t="shared" si="128"/>
        <v/>
      </c>
      <c r="HR27" s="450" t="str">
        <f t="shared" si="129"/>
        <v/>
      </c>
      <c r="HS27" s="450" t="str">
        <f t="shared" si="130"/>
        <v/>
      </c>
      <c r="HT27" s="450" t="str">
        <f t="shared" si="131"/>
        <v/>
      </c>
      <c r="HU27" s="450" t="str">
        <f t="shared" si="132"/>
        <v/>
      </c>
      <c r="HV27" s="450" t="str">
        <f t="shared" si="133"/>
        <v/>
      </c>
      <c r="HW27" s="450" t="str">
        <f t="shared" si="134"/>
        <v/>
      </c>
      <c r="HX27" s="450" t="str">
        <f t="shared" si="135"/>
        <v/>
      </c>
      <c r="HY27" s="450" t="str">
        <f t="shared" si="136"/>
        <v/>
      </c>
      <c r="HZ27" s="450" t="str">
        <f t="shared" si="137"/>
        <v/>
      </c>
      <c r="IA27" s="450" t="str">
        <f t="shared" si="138"/>
        <v/>
      </c>
      <c r="IB27" s="450" t="str">
        <f t="shared" si="139"/>
        <v/>
      </c>
      <c r="IC27" s="450" t="str">
        <f t="shared" si="140"/>
        <v/>
      </c>
      <c r="ID27" s="450" t="str">
        <f t="shared" si="141"/>
        <v/>
      </c>
      <c r="IE27" s="450" t="str">
        <f t="shared" si="142"/>
        <v/>
      </c>
      <c r="IF27" s="450" t="str">
        <f t="shared" si="143"/>
        <v/>
      </c>
      <c r="IG27" s="450" t="str">
        <f t="shared" si="144"/>
        <v/>
      </c>
      <c r="IH27" s="658" t="str">
        <f t="shared" si="145"/>
        <v/>
      </c>
      <c r="II27" s="242"/>
    </row>
    <row r="28" spans="1:243" ht="15" customHeight="1" thickBot="1">
      <c r="A28" s="891" t="e">
        <f t="shared" ca="1" si="146"/>
        <v>#REF!</v>
      </c>
      <c r="B28" s="889" t="s">
        <v>274</v>
      </c>
      <c r="C28" s="160" t="s">
        <v>16</v>
      </c>
      <c r="D28" s="527">
        <v>0</v>
      </c>
      <c r="E28" s="533">
        <v>0</v>
      </c>
      <c r="F28" s="541" t="s">
        <v>29</v>
      </c>
      <c r="G28" s="542" t="e">
        <f ca="1">_xll.EURO(SwaptionUnderlyingPrice,SwaptionStrike,0,0,E29+BN8,B26-DateToday+1,IF(SwaptionType=1,1,0),1)+IF(OR(VolSkewFlag=2,ABS(BN7)&lt;0.0001),0,IF(BN7&gt;0,-1,1)*_xll.EURO(SwaptionUnderlyingPrice,SwaptionStrike,0,0,E29+BN8,B26-DateToday+1,IF(SwaptionType=1,1,0),3)*E33/D33*SwaptionStrike/SwaptionUnderlyingPrice^2*BN9/10%)</f>
        <v>#NAME?</v>
      </c>
      <c r="H28" s="49" t="e">
        <f t="shared" ca="1" si="34"/>
        <v>#N/A</v>
      </c>
      <c r="I28" s="369">
        <f t="shared" si="35"/>
        <v>37257</v>
      </c>
      <c r="J28" s="367">
        <v>26.12</v>
      </c>
      <c r="K28" s="101" t="s">
        <v>487</v>
      </c>
      <c r="L28" s="382">
        <f t="shared" si="36"/>
        <v>26.12</v>
      </c>
      <c r="M28" s="163">
        <v>0.30987214886874997</v>
      </c>
      <c r="N28" s="372">
        <v>0</v>
      </c>
      <c r="O28" s="163">
        <f t="shared" si="37"/>
        <v>0.30987214886874997</v>
      </c>
      <c r="P28" s="367">
        <v>24.69</v>
      </c>
      <c r="Q28" s="100" t="s">
        <v>487</v>
      </c>
      <c r="R28" s="367">
        <f t="shared" ca="1" si="147"/>
        <v>24.69</v>
      </c>
      <c r="S28" s="814">
        <f t="shared" si="163"/>
        <v>0.3866032673953495</v>
      </c>
      <c r="T28" s="813">
        <f t="shared" si="148"/>
        <v>0.96508737089663732</v>
      </c>
      <c r="U28" s="532">
        <f t="shared" si="149"/>
        <v>0.99849830627441405</v>
      </c>
      <c r="V28" s="379">
        <v>0</v>
      </c>
      <c r="W28" s="424">
        <f t="shared" si="150"/>
        <v>25.806818181818183</v>
      </c>
      <c r="X28" s="405">
        <f t="shared" si="38"/>
        <v>25.806818181818183</v>
      </c>
      <c r="Y28" s="313">
        <f t="shared" si="39"/>
        <v>24.303636363636368</v>
      </c>
      <c r="Z28" s="313">
        <f t="shared" ca="1" si="40"/>
        <v>24.303636363636368</v>
      </c>
      <c r="AA28" s="419">
        <f t="shared" si="1"/>
        <v>1.5031818181818153</v>
      </c>
      <c r="AB28" s="423">
        <f t="shared" ca="1" si="2"/>
        <v>1.5031818181818153</v>
      </c>
      <c r="AC28" s="218">
        <v>37244</v>
      </c>
      <c r="AD28" s="219">
        <v>37239</v>
      </c>
      <c r="AE28" s="219">
        <v>37238</v>
      </c>
      <c r="AF28" s="220">
        <v>37238</v>
      </c>
      <c r="AG28" s="241" t="s">
        <v>496</v>
      </c>
      <c r="AH28" s="239" t="s">
        <v>496</v>
      </c>
      <c r="AI28" s="141">
        <v>22</v>
      </c>
      <c r="AJ28" s="41">
        <v>15</v>
      </c>
      <c r="AK28" s="41">
        <v>7</v>
      </c>
      <c r="AL28" s="285">
        <v>22</v>
      </c>
      <c r="AM28" s="41">
        <v>10</v>
      </c>
      <c r="AN28" s="142">
        <v>12</v>
      </c>
      <c r="AO28" s="364">
        <v>4.4906893791424499E-2</v>
      </c>
      <c r="AP28" s="145">
        <f t="shared" ca="1" si="41"/>
        <v>0.96453250002548274</v>
      </c>
      <c r="AQ28" s="364">
        <v>4.0787979125176801E-2</v>
      </c>
      <c r="AR28" s="145">
        <f t="shared" ca="1" si="151"/>
        <v>0.97284896367676388</v>
      </c>
      <c r="AS28" s="264">
        <f t="shared" si="3"/>
        <v>0.30270380078396952</v>
      </c>
      <c r="AT28" s="149">
        <f t="shared" si="42"/>
        <v>0.30987214886874997</v>
      </c>
      <c r="AU28" s="149">
        <f t="shared" si="4"/>
        <v>0.30160351397287638</v>
      </c>
      <c r="AV28" s="263">
        <f t="shared" ca="1" si="164"/>
        <v>0.29782548153328575</v>
      </c>
      <c r="AW28" s="150">
        <f t="shared" ca="1" si="5"/>
        <v>2</v>
      </c>
      <c r="AX28" s="149">
        <f t="shared" ca="1" si="152"/>
        <v>6.1190617015118937E-2</v>
      </c>
      <c r="AY28" s="149">
        <f t="shared" ca="1" si="153"/>
        <v>3.5510404678301632E-2</v>
      </c>
      <c r="AZ28" s="149">
        <f t="shared" ca="1" si="154"/>
        <v>1.4844995040884551E-2</v>
      </c>
      <c r="BA28" s="149">
        <f t="shared" ca="1" si="155"/>
        <v>2.7471912141256054E-4</v>
      </c>
      <c r="BB28" s="149">
        <f t="shared" ca="1" si="156"/>
        <v>4.1071478516766608E-4</v>
      </c>
      <c r="BC28" s="149">
        <f t="shared" ca="1" si="157"/>
        <v>5.0480811705854876E-4</v>
      </c>
      <c r="BD28" s="143">
        <f t="shared" ca="1" si="43"/>
        <v>30</v>
      </c>
      <c r="BE28" s="144">
        <f t="shared" ca="1" si="44"/>
        <v>30</v>
      </c>
      <c r="BF28" s="40">
        <f t="shared" si="7"/>
        <v>2002</v>
      </c>
      <c r="BG28" s="139">
        <f t="shared" si="8"/>
        <v>1</v>
      </c>
      <c r="BH28" s="140">
        <f t="shared" ca="1" si="45"/>
        <v>249</v>
      </c>
      <c r="BI28" s="304">
        <f t="shared" ca="1" si="46"/>
        <v>0.731006160164271</v>
      </c>
      <c r="BJ28" s="42">
        <f t="shared" ca="1" si="47"/>
        <v>0.78700765353742763</v>
      </c>
      <c r="BK28" s="42">
        <f t="shared" ca="1" si="9"/>
        <v>0.7897455043245597</v>
      </c>
      <c r="BL28" s="42">
        <f t="shared" ca="1" si="48"/>
        <v>0.81314168377823404</v>
      </c>
      <c r="BM28" s="285">
        <f t="shared" si="49"/>
        <v>22</v>
      </c>
      <c r="BN28" s="41">
        <f t="shared" si="50"/>
        <v>15</v>
      </c>
      <c r="BO28" s="41">
        <f t="shared" si="51"/>
        <v>7</v>
      </c>
      <c r="BP28" s="297">
        <f t="shared" ca="1" si="10"/>
        <v>25.756818181818186</v>
      </c>
      <c r="BQ28" s="297">
        <f t="shared" ca="1" si="11"/>
        <v>6.7678461131209566E-2</v>
      </c>
      <c r="BR28" s="299">
        <f t="shared" ca="1" si="12"/>
        <v>6.7678461131209566E-2</v>
      </c>
      <c r="BS28" s="153">
        <f t="shared" ca="1" si="13"/>
        <v>25.829999999999995</v>
      </c>
      <c r="BT28" s="153">
        <f t="shared" ca="1" si="14"/>
        <v>25.599999999999998</v>
      </c>
      <c r="BU28" s="300">
        <f t="shared" ca="1" si="15"/>
        <v>0.30424420231949995</v>
      </c>
      <c r="BV28" s="301">
        <f t="shared" ca="1" si="16"/>
        <v>0.29940294035068998</v>
      </c>
      <c r="BW28" s="300">
        <f t="shared" ca="1" si="17"/>
        <v>2.7471912141256054E-4</v>
      </c>
      <c r="BX28" s="301">
        <f t="shared" ca="1" si="18"/>
        <v>2.7471912141256054E-4</v>
      </c>
      <c r="BY28" s="146">
        <f t="shared" ca="1" si="19"/>
        <v>0.30443012799330516</v>
      </c>
      <c r="BZ28" s="146">
        <f t="shared" ca="1" si="20"/>
        <v>0.29958886602449519</v>
      </c>
      <c r="CA28" s="146">
        <f t="shared" ca="1" si="21"/>
        <v>0.30443012799330516</v>
      </c>
      <c r="CB28" s="146">
        <f t="shared" ca="1" si="22"/>
        <v>0.29958886602449519</v>
      </c>
      <c r="CC28" s="302">
        <v>1</v>
      </c>
      <c r="CD28" s="154" t="e">
        <f ca="1">IF(BD28,_xll.xCrudeAPO(BS28,BT28,BY28,BZ28,S29,S30,BI28,BL28,BN28,BO28,0,Strike1,AO28,CC28,0,BL28,IF(OptControl=4,0,1),0,1),0)</f>
        <v>#NAME?</v>
      </c>
      <c r="CE28" s="155" t="e">
        <f ca="1">IF(BD28,_xll.xCrudeAPO(BS28,BT28,BY28,BZ28,S29,S30,BI28,BL28,BN28,BO28,0,Strike1,AO28,CC28,0,BL28,IF(OptControl=4,0,1),1,1)+_xll.xCrudeAPO(BS28,BT28,BY28,BZ28,S29,S30,BI28,BL28,BN28,BO28,0,Strike1,AO28,CC28,0,BL28,IF(OptControl=4,0,1),1,2)+IF(OR(VolSkewFlag=2,ABS(BQ28)&lt;0.0001),0,IF(BQ28&gt;0,-1,1)*CF28*Strike1/BP28^2*BW28/10%),0)</f>
        <v>#NAME?</v>
      </c>
      <c r="CF28" s="155" t="e">
        <f ca="1">IF(BD28,(_xll.xCrudeAPO(BS28,BT28,BY28,BZ28,S29,S30,BI28,BL28,BN28,BO28,0,Strike1,AO28,CC28,0,BL28,IF(OptControl=4,0,1),3,1)+_xll.xCrudeAPO(BS28,BT28,BY28,BZ28,S29,S30,BI28,BL28,BN28,BO28,0,Strike1,AO28,CC28,0,BL28,IF(OptControl=4,0,1),3,2))/100,0)</f>
        <v>#NAME?</v>
      </c>
      <c r="CG28" s="155" t="e">
        <f ca="1">IF(BD28,_xll.xCrudeAPO(BS28,BT28,BY28,BZ28,S29,S30,BI28-DaysForThetaCalculation/365.25,BL28-DaysForThetaCalculation/365.25,BN28,BO28,0,Strike1,AO28,CC28,0,BL28,IF(OptControl=4,0,1),0,1)-_xll.xCrudeAPO(BS28,BT28,BY28,BZ28,S29,S30,BI28,BL28,BN28,BO28,0,Strike1,AO28,CC28,0,BL28,IF(OptControl=4,0,1),0,1),0)</f>
        <v>#NAME?</v>
      </c>
      <c r="CH28" s="303" t="e">
        <f ca="1">IF(BD28,_xll.xCrudeAPO(BS28,BT28,CA28,CB28,S29,S30,BI28,BL28,BN28,BO28,0,Strike2,AO28,CC28,0,BL28,IF(OptControl=3,1,0),0,1),0)</f>
        <v>#NAME?</v>
      </c>
      <c r="CI28" s="155" t="e">
        <f ca="1">IF(BD28,_xll.xCrudeAPO(BS28,BT28,CA28,CB28,S29,S30,BI28,BL28,BN28,BO28,0,Strike2,AO28,CC28,0,BL28,IF(OptControl=3,1,0),1,1)+_xll.xCrudeAPO(BS28,BT28,CA28,CB28,S29,S30,BI28,BL28,BN28,BO28,0,Strike2,AO28,CC28,0,BL28,IF(OptControl=3,1,0),1,2)+IF(OR(VolSkewFlag=2,ABS(BR28)&lt;0.0001),0,IF(BR28&gt;0,-1,1)*CJ28*Strike2/BP28^2*BX28/10%),0)</f>
        <v>#NAME?</v>
      </c>
      <c r="CJ28" s="155" t="e">
        <f ca="1">IF(BD28,(_xll.xCrudeAPO(BS28,BT28,CA28,CB28,S29,S30,BI28,BL28,BN28,BO28,0,Strike2,AO28,CC28,0,BL28,IF(OptControl=3,1,0),3,1)+_xll.xCrudeAPO(BS28,BT28,CA28,CB28,S29,S30,BI28,BL28,BN28,BO28,0,Strike2,AO28,CC28,0,BL28,IF(OptControl=3,1,0),3,2))/100,0)</f>
        <v>#NAME?</v>
      </c>
      <c r="CK28" s="156" t="e">
        <f ca="1">IF(BD28,_xll.xCrudeAPO(BS28,BT28,CA28,CB28,S29,S30,BI28-DaysForThetaCalculation/365.25,BL28-DaysForThetaCalculation/365.25,BN28,BO28,0,Strike2,AO28,CC28,0,BL28,IF(OptControl=3,1,0),0,1)-_xll.xCrudeAPO(BS28,BT28,CA28,CB28,S29,S30,BI28,BL28,BN28,BO28,0,Strike2,AO28,CC28,0,BL28,IF(OptControl=3,1,0),0,1),0)</f>
        <v>#NAME?</v>
      </c>
      <c r="CL28" s="497"/>
      <c r="CM28" s="779">
        <f t="shared" ca="1" si="52"/>
        <v>249</v>
      </c>
      <c r="CN28" s="783">
        <f t="shared" ca="1" si="53"/>
        <v>26.12</v>
      </c>
      <c r="CO28" s="780">
        <f t="shared" ca="1" si="54"/>
        <v>5.2833078101071962E-2</v>
      </c>
      <c r="CP28" s="780">
        <f t="shared" ca="1" si="55"/>
        <v>5.2833078101071962E-2</v>
      </c>
      <c r="CQ28" s="780">
        <f t="shared" ca="1" si="56"/>
        <v>4.0842386526745224E-4</v>
      </c>
      <c r="CR28" s="780">
        <f t="shared" ca="1" si="57"/>
        <v>4.0842386526745224E-4</v>
      </c>
      <c r="CS28" s="781">
        <f t="shared" ca="1" si="58"/>
        <v>0.30987214886874997</v>
      </c>
      <c r="CT28" s="782">
        <f t="shared" ca="1" si="59"/>
        <v>0.31008793176847016</v>
      </c>
      <c r="CU28" s="782">
        <f t="shared" ca="1" si="60"/>
        <v>0.31008793176847016</v>
      </c>
      <c r="CV28" s="155" t="e">
        <f ca="1">IF(BD28,_xll.EURO(CN28,Strike1,AO28,AO28,CT28,CM28,IF(OptControl=4,0,1),0),0)</f>
        <v>#NAME?</v>
      </c>
      <c r="CW28" s="155" t="e">
        <f ca="1">IF(BD28,_xll.EURO(CN28,Strike1,AO28,AO28,CT28,CM28,IF(OptControl=4,0,1),1)+IF(OR(VolSkewFlag=2,ABS(CO28)&lt;0.0001),0,IF(CO28&gt;0,-1,1)*CX28*100*Strike1/CN28^2*CQ28/10%),0)</f>
        <v>#NAME?</v>
      </c>
      <c r="CX28" s="155" t="e">
        <f ca="1">IF(BD28,_xll.EURO(CN28,Strike1,AO28,AO28,CT28,CM28,IF(OptControl=4,0,1),3)/100,0)</f>
        <v>#NAME?</v>
      </c>
      <c r="CY28" s="155" t="e">
        <f ca="1">IF(BD28,_xll.EURO(CN28,Strike1,AO28,AO28,CT28,CM28,IF(OptControl=4,0,1),0)-_xll.EURO(CN28,Strike1,AO28,AO28,CT28,CM28-1,IF(OptControl=4,0,1),0),0)</f>
        <v>#NAME?</v>
      </c>
      <c r="CZ28" s="155" t="e">
        <f ca="1">IF(BD28,_xll.EURO(CN28,Strike2,AO28,AO28,CU28,CM28,IF(OptControl=3,1,0),0),0)</f>
        <v>#NAME?</v>
      </c>
      <c r="DA28" s="155" t="e">
        <f ca="1">IF(BD28,_xll.EURO(CN28,Strike2,AO28,AO28,CU28,CM28,IF(OptControl=3,1,0),1)+IF(OR(VolSkewFlag=2,ABS(CP28)&lt;0.0001),0,IF(CP28&gt;0,-1,1)*DB28*100*Strike2/CN28^2*CR28/10%),0)</f>
        <v>#NAME?</v>
      </c>
      <c r="DB28" s="155" t="e">
        <f ca="1">IF(BD28,_xll.EURO(CN28,Strike2,AO28,AO28,CU28,CM28,IF(OptControl=3,1,0),3)/100,0)</f>
        <v>#NAME?</v>
      </c>
      <c r="DC28" s="156" t="e">
        <f ca="1">IF(BD28,_xll.EURO(CN28,Strike2,AO28,AO28,CU28,CM28,IF(OptControl=3,1,0),0)-_xll.EURO(CN28,Strike2,AO28,AO28,CU28,CM28-1,IF(OptControl=3,1,0),0),0)</f>
        <v>#NAME?</v>
      </c>
      <c r="DD28" s="497"/>
      <c r="DE28" s="651">
        <f t="shared" ca="1" si="61"/>
        <v>37165</v>
      </c>
      <c r="DF28" s="465">
        <v>1E-4</v>
      </c>
      <c r="DG28" s="649">
        <v>1E-4</v>
      </c>
      <c r="DH28" s="650">
        <f t="shared" ca="1" si="23"/>
        <v>37165</v>
      </c>
      <c r="DI28" s="465">
        <v>1E-4</v>
      </c>
      <c r="DJ28" s="649">
        <v>1E-4</v>
      </c>
      <c r="DK28" s="651">
        <f t="shared" ca="1" si="24"/>
        <v>37165</v>
      </c>
      <c r="DL28" s="652">
        <f t="shared" si="25"/>
        <v>5.0100000000000006E-2</v>
      </c>
      <c r="DM28" s="651">
        <f t="shared" ca="1" si="62"/>
        <v>37165</v>
      </c>
      <c r="DN28" s="563">
        <f t="shared" si="63"/>
        <v>3.0099999999999998E-2</v>
      </c>
      <c r="DO28" s="803">
        <v>0.03</v>
      </c>
      <c r="DP28" s="650">
        <f t="shared" ca="1" si="26"/>
        <v>37165</v>
      </c>
      <c r="DQ28" s="653">
        <v>1E-4</v>
      </c>
      <c r="DR28" s="590">
        <v>1E-4</v>
      </c>
      <c r="DS28" s="650">
        <f t="shared" ca="1" si="27"/>
        <v>37165</v>
      </c>
      <c r="DT28" s="653">
        <v>1E-4</v>
      </c>
      <c r="DU28" s="590">
        <v>1E-4</v>
      </c>
      <c r="DV28" s="651">
        <f t="shared" ca="1" si="28"/>
        <v>37165</v>
      </c>
      <c r="DW28" s="590">
        <v>1E-4</v>
      </c>
      <c r="DX28" s="651">
        <f t="shared" ca="1" si="64"/>
        <v>37165</v>
      </c>
      <c r="DY28" s="590">
        <f t="shared" si="65"/>
        <v>1E-4</v>
      </c>
      <c r="DZ28" s="1"/>
      <c r="EA28" s="863" t="e">
        <f ca="1">_xll.ASN(X28,X28,AO28,AS28,0,AI28,0,BI28,BL28,1,0)</f>
        <v>#NAME?</v>
      </c>
      <c r="EB28" s="653" t="e">
        <f ca="1">_xll.ASN(X28,X28,AO28,AS28,0,AI28,0,BI28,BL28,1,3)/100</f>
        <v>#NAME?</v>
      </c>
      <c r="EC28" s="653" t="e">
        <f ca="1">_xll.xCrudeAPO(L29,L30,O29,O30,S29,S30,BI28,BL28,AJ28,AK28,0,X28,AO28,1,0,+BL28,1,0,1)</f>
        <v>#NAME?</v>
      </c>
      <c r="ED28" s="869" t="e">
        <f t="shared" ca="1" si="165"/>
        <v>#NAME?</v>
      </c>
      <c r="EE28" s="863" t="e">
        <f t="shared" ca="1" si="29"/>
        <v>#NAME?</v>
      </c>
      <c r="EF28" s="590" t="e">
        <f t="shared" ca="1" si="30"/>
        <v>#NAME?</v>
      </c>
      <c r="EG28" s="862">
        <f t="shared" ca="1" si="31"/>
        <v>0.30270380078396952</v>
      </c>
      <c r="EH28" s="114">
        <f t="shared" ca="1" si="32"/>
        <v>0.30288972645777473</v>
      </c>
      <c r="EI28" s="109">
        <f t="shared" ca="1" si="33"/>
        <v>0.30288972645777473</v>
      </c>
      <c r="EJ28" s="115" t="e">
        <f ca="1">IF(BD28,_xll.xASN(BP28,Strike1,AO28,EH28,0,BM28,0,BI28,BL28,IF(OptControl=4,0,1),0),0)</f>
        <v>#NAME?</v>
      </c>
      <c r="EK28" s="108" t="e">
        <f ca="1">IF(BD28,_xll.xASN(BP28,Strike2,AO28,EI28,0,BM28,0,BI28,BL28,IF(OptControl=3,1,0),0),0)</f>
        <v>#NAME?</v>
      </c>
      <c r="EM28" s="473" t="e">
        <f ca="1">[1]!'CLc9 MTH'</f>
        <v>#REF!</v>
      </c>
      <c r="EN28" s="474" t="e">
        <f t="shared" ca="1" si="158"/>
        <v>#REF!</v>
      </c>
      <c r="EO28" s="475" t="e">
        <f>[1]!'CLc9 NET.CHNG'</f>
        <v>#REF!</v>
      </c>
      <c r="EP28" s="476">
        <f t="shared" si="159"/>
        <v>0</v>
      </c>
      <c r="EQ28" s="1"/>
      <c r="ER28" s="681">
        <v>36941</v>
      </c>
      <c r="ES28" s="682">
        <v>37987</v>
      </c>
      <c r="ET28" s="1"/>
      <c r="EU28" s="667" t="s">
        <v>132</v>
      </c>
      <c r="EW28" s="488">
        <v>9</v>
      </c>
      <c r="EX28" s="466">
        <f t="shared" ca="1" si="166"/>
        <v>0.68172484599589322</v>
      </c>
      <c r="EY28" s="824">
        <f t="shared" ca="1" si="66"/>
        <v>6.545973008210719E-2</v>
      </c>
      <c r="EZ28" s="798">
        <f t="shared" ca="1" si="160"/>
        <v>0.30869319169871223</v>
      </c>
      <c r="FA28" s="468">
        <f t="shared" ca="1" si="161"/>
        <v>1.0265730219044715</v>
      </c>
      <c r="FB28" s="467">
        <f t="shared" ca="1" si="162"/>
        <v>0.24901819265442623</v>
      </c>
      <c r="FC28" s="242">
        <v>0</v>
      </c>
      <c r="FD28" s="589">
        <f ca="1">IF(OR(FA28="",FA29=""),"",SQRT(SUM(INDEX(FO28:IH28,SwaptionFirstMonthPosition+1):INDEX(FO28:IH28,FN28))/SUM(INDEX($FO$15:$IH$15,SwaptionFirstMonthPosition+1):INDEX($FO$15:$IH$15,FN28))))</f>
        <v>0.31063399738259617</v>
      </c>
      <c r="FE28" s="565">
        <f ca="1">IF(OR(FA28="",FA27=""),"",SQRT(SUM(INDEX(FO28:IH28,SwaptionFirstMonthPosition+1):INDEX(FO28:IH28,FN28-1))/SUM(INDEX($FO$15:$IH$15,SwaptionFirstMonthPosition+1):INDEX($FO$15:$IH$15,FN28-1))))</f>
        <v>0.29826565156534673</v>
      </c>
      <c r="FF28" s="562">
        <f t="shared" ca="1" si="67"/>
        <v>0.29855166213203865</v>
      </c>
      <c r="FG28" s="593">
        <f t="shared" ca="1" si="68"/>
        <v>281</v>
      </c>
      <c r="FH28" s="563">
        <f t="shared" ca="1" si="69"/>
        <v>25.756818181818186</v>
      </c>
      <c r="FI28" s="563">
        <f t="shared" ca="1" si="70"/>
        <v>6.7678461131209566E-2</v>
      </c>
      <c r="FJ28" s="563">
        <f t="shared" ca="1" si="71"/>
        <v>6.7678461131209566E-2</v>
      </c>
      <c r="FK28" s="564">
        <f t="shared" ca="1" si="72"/>
        <v>1.859256738052002E-4</v>
      </c>
      <c r="FL28" s="590">
        <f t="shared" ca="1" si="73"/>
        <v>1.859256738052002E-4</v>
      </c>
      <c r="FM28" s="242"/>
      <c r="FN28" s="657">
        <v>9</v>
      </c>
      <c r="FO28" s="450">
        <f t="shared" ca="1" si="74"/>
        <v>1.2940490189723784E-3</v>
      </c>
      <c r="FP28" s="450">
        <f t="shared" ca="1" si="75"/>
        <v>5.2412564305844567E-3</v>
      </c>
      <c r="FQ28" s="450">
        <f t="shared" ca="1" si="76"/>
        <v>5.5107950099623926E-3</v>
      </c>
      <c r="FR28" s="450">
        <f t="shared" ca="1" si="77"/>
        <v>6.6813791425835269E-3</v>
      </c>
      <c r="FS28" s="450">
        <f t="shared" ca="1" si="78"/>
        <v>6.9610556565222288E-3</v>
      </c>
      <c r="FT28" s="450">
        <f t="shared" ca="1" si="79"/>
        <v>8.3578250453546898E-3</v>
      </c>
      <c r="FU28" s="450">
        <f t="shared" ca="1" si="80"/>
        <v>8.9475793058365703E-3</v>
      </c>
      <c r="FV28" s="450">
        <f t="shared" ca="1" si="81"/>
        <v>9.6924876943878246E-3</v>
      </c>
      <c r="FW28" s="450">
        <f t="shared" ca="1" si="82"/>
        <v>1.2276146723676395E-2</v>
      </c>
      <c r="FX28" s="450" t="str">
        <f t="shared" si="83"/>
        <v/>
      </c>
      <c r="FY28" s="450" t="str">
        <f t="shared" si="84"/>
        <v/>
      </c>
      <c r="FZ28" s="450" t="str">
        <f t="shared" si="85"/>
        <v/>
      </c>
      <c r="GA28" s="450" t="str">
        <f t="shared" si="86"/>
        <v/>
      </c>
      <c r="GB28" s="450" t="str">
        <f t="shared" si="87"/>
        <v/>
      </c>
      <c r="GC28" s="450" t="str">
        <f t="shared" si="88"/>
        <v/>
      </c>
      <c r="GD28" s="450" t="str">
        <f t="shared" si="89"/>
        <v/>
      </c>
      <c r="GE28" s="450" t="str">
        <f t="shared" si="90"/>
        <v/>
      </c>
      <c r="GF28" s="450" t="str">
        <f t="shared" si="91"/>
        <v/>
      </c>
      <c r="GG28" s="450" t="str">
        <f t="shared" si="92"/>
        <v/>
      </c>
      <c r="GH28" s="450" t="str">
        <f t="shared" si="93"/>
        <v/>
      </c>
      <c r="GI28" s="450" t="str">
        <f t="shared" si="94"/>
        <v/>
      </c>
      <c r="GJ28" s="450" t="str">
        <f t="shared" si="95"/>
        <v/>
      </c>
      <c r="GK28" s="450" t="str">
        <f t="shared" si="96"/>
        <v/>
      </c>
      <c r="GL28" s="450" t="str">
        <f t="shared" si="97"/>
        <v/>
      </c>
      <c r="GM28" s="450" t="str">
        <f t="shared" si="98"/>
        <v/>
      </c>
      <c r="GN28" s="450" t="str">
        <f t="shared" si="99"/>
        <v/>
      </c>
      <c r="GO28" s="450" t="str">
        <f t="shared" si="100"/>
        <v/>
      </c>
      <c r="GP28" s="450" t="str">
        <f t="shared" si="101"/>
        <v/>
      </c>
      <c r="GQ28" s="450" t="str">
        <f t="shared" si="102"/>
        <v/>
      </c>
      <c r="GR28" s="450" t="str">
        <f t="shared" si="103"/>
        <v/>
      </c>
      <c r="GS28" s="450" t="str">
        <f t="shared" si="104"/>
        <v/>
      </c>
      <c r="GT28" s="450" t="str">
        <f t="shared" si="105"/>
        <v/>
      </c>
      <c r="GU28" s="450" t="str">
        <f t="shared" si="106"/>
        <v/>
      </c>
      <c r="GV28" s="450" t="str">
        <f t="shared" si="107"/>
        <v/>
      </c>
      <c r="GW28" s="450" t="str">
        <f t="shared" si="108"/>
        <v/>
      </c>
      <c r="GX28" s="450" t="str">
        <f t="shared" si="109"/>
        <v/>
      </c>
      <c r="GY28" s="450" t="str">
        <f t="shared" si="110"/>
        <v/>
      </c>
      <c r="GZ28" s="450" t="str">
        <f t="shared" si="111"/>
        <v/>
      </c>
      <c r="HA28" s="450" t="str">
        <f t="shared" si="112"/>
        <v/>
      </c>
      <c r="HB28" s="450" t="str">
        <f t="shared" si="113"/>
        <v/>
      </c>
      <c r="HC28" s="450" t="str">
        <f t="shared" si="114"/>
        <v/>
      </c>
      <c r="HD28" s="450" t="str">
        <f t="shared" si="115"/>
        <v/>
      </c>
      <c r="HE28" s="450" t="str">
        <f t="shared" si="116"/>
        <v/>
      </c>
      <c r="HF28" s="450" t="str">
        <f t="shared" si="117"/>
        <v/>
      </c>
      <c r="HG28" s="450" t="str">
        <f t="shared" si="118"/>
        <v/>
      </c>
      <c r="HH28" s="450" t="str">
        <f t="shared" si="119"/>
        <v/>
      </c>
      <c r="HI28" s="450" t="str">
        <f t="shared" si="120"/>
        <v/>
      </c>
      <c r="HJ28" s="450" t="str">
        <f t="shared" si="121"/>
        <v/>
      </c>
      <c r="HK28" s="450" t="str">
        <f t="shared" si="122"/>
        <v/>
      </c>
      <c r="HL28" s="450" t="str">
        <f t="shared" si="123"/>
        <v/>
      </c>
      <c r="HM28" s="450" t="str">
        <f t="shared" si="124"/>
        <v/>
      </c>
      <c r="HN28" s="450" t="str">
        <f t="shared" si="125"/>
        <v/>
      </c>
      <c r="HO28" s="450" t="str">
        <f t="shared" si="126"/>
        <v/>
      </c>
      <c r="HP28" s="450" t="str">
        <f t="shared" si="127"/>
        <v/>
      </c>
      <c r="HQ28" s="450" t="str">
        <f t="shared" si="128"/>
        <v/>
      </c>
      <c r="HR28" s="450" t="str">
        <f t="shared" si="129"/>
        <v/>
      </c>
      <c r="HS28" s="450" t="str">
        <f t="shared" si="130"/>
        <v/>
      </c>
      <c r="HT28" s="450" t="str">
        <f t="shared" si="131"/>
        <v/>
      </c>
      <c r="HU28" s="450" t="str">
        <f t="shared" si="132"/>
        <v/>
      </c>
      <c r="HV28" s="450" t="str">
        <f t="shared" si="133"/>
        <v/>
      </c>
      <c r="HW28" s="450" t="str">
        <f t="shared" si="134"/>
        <v/>
      </c>
      <c r="HX28" s="450" t="str">
        <f t="shared" si="135"/>
        <v/>
      </c>
      <c r="HY28" s="450" t="str">
        <f t="shared" si="136"/>
        <v/>
      </c>
      <c r="HZ28" s="450" t="str">
        <f t="shared" si="137"/>
        <v/>
      </c>
      <c r="IA28" s="450" t="str">
        <f t="shared" si="138"/>
        <v/>
      </c>
      <c r="IB28" s="450" t="str">
        <f t="shared" si="139"/>
        <v/>
      </c>
      <c r="IC28" s="450" t="str">
        <f t="shared" si="140"/>
        <v/>
      </c>
      <c r="ID28" s="450" t="str">
        <f t="shared" si="141"/>
        <v/>
      </c>
      <c r="IE28" s="450" t="str">
        <f t="shared" si="142"/>
        <v/>
      </c>
      <c r="IF28" s="450" t="str">
        <f t="shared" si="143"/>
        <v/>
      </c>
      <c r="IG28" s="450" t="str">
        <f t="shared" si="144"/>
        <v/>
      </c>
      <c r="IH28" s="658" t="str">
        <f t="shared" si="145"/>
        <v/>
      </c>
      <c r="II28" s="242"/>
    </row>
    <row r="29" spans="1:243" ht="14.25" customHeight="1" thickBot="1">
      <c r="A29" s="891" t="e">
        <f t="shared" ca="1" si="146"/>
        <v>#REF!</v>
      </c>
      <c r="B29" s="890">
        <f ca="1">SwaptionUnderlyingPrice-SUMPRODUCT(CHOOSE(Underlying,W19:W258,Y19:Y258),BE19:BE258,AP19:AP258)/E33</f>
        <v>-5.0000000000000711E-2</v>
      </c>
      <c r="C29" s="534" t="s">
        <v>19</v>
      </c>
      <c r="D29" s="526">
        <f ca="1">IF(D28,D28,D26+D27)</f>
        <v>26.407379071531722</v>
      </c>
      <c r="E29" s="535" t="e">
        <f ca="1">IF(E28,E28,E26+E27)</f>
        <v>#NAME?</v>
      </c>
      <c r="F29" s="68" t="s">
        <v>28</v>
      </c>
      <c r="G29" s="528" t="e">
        <f ca="1">_xll.EURO(SwaptionUnderlyingPrice,SwaptionStrike,0,0,E29+BN8,B26-DateToday+1,IF(SwaptionType=1,1,0),0)*E33/D33</f>
        <v>#NAME?</v>
      </c>
      <c r="H29" s="49" t="e">
        <f t="shared" ca="1" si="34"/>
        <v>#N/A</v>
      </c>
      <c r="I29" s="369">
        <f t="shared" si="35"/>
        <v>37288</v>
      </c>
      <c r="J29" s="367">
        <v>25.88</v>
      </c>
      <c r="K29" s="101" t="s">
        <v>487</v>
      </c>
      <c r="L29" s="382">
        <f t="shared" si="36"/>
        <v>25.88</v>
      </c>
      <c r="M29" s="163">
        <v>0.30424420231949995</v>
      </c>
      <c r="N29" s="372">
        <v>0</v>
      </c>
      <c r="O29" s="163">
        <f t="shared" si="37"/>
        <v>0.30424420231949995</v>
      </c>
      <c r="P29" s="367">
        <v>24.44</v>
      </c>
      <c r="Q29" s="100" t="s">
        <v>487</v>
      </c>
      <c r="R29" s="367">
        <f t="shared" ca="1" si="147"/>
        <v>24.44</v>
      </c>
      <c r="S29" s="814">
        <f t="shared" si="163"/>
        <v>0.38613723472139599</v>
      </c>
      <c r="T29" s="813">
        <f t="shared" si="148"/>
        <v>0.96873980855388475</v>
      </c>
      <c r="U29" s="532">
        <f t="shared" si="149"/>
        <v>0.99887372970581056</v>
      </c>
      <c r="V29" s="379">
        <v>0</v>
      </c>
      <c r="W29" s="424">
        <f t="shared" si="150"/>
        <v>25.581</v>
      </c>
      <c r="X29" s="405">
        <f t="shared" si="38"/>
        <v>25.581</v>
      </c>
      <c r="Y29" s="313">
        <f t="shared" si="39"/>
        <v>24.040000000000003</v>
      </c>
      <c r="Z29" s="313">
        <f t="shared" ca="1" si="40"/>
        <v>24.040000000000003</v>
      </c>
      <c r="AA29" s="419">
        <f t="shared" si="1"/>
        <v>1.5409999999999968</v>
      </c>
      <c r="AB29" s="423">
        <f t="shared" ca="1" si="2"/>
        <v>1.5409999999999968</v>
      </c>
      <c r="AC29" s="218">
        <v>37278</v>
      </c>
      <c r="AD29" s="219">
        <v>37272</v>
      </c>
      <c r="AE29" s="219">
        <v>37272</v>
      </c>
      <c r="AF29" s="220">
        <v>37267</v>
      </c>
      <c r="AG29" s="241" t="s">
        <v>496</v>
      </c>
      <c r="AH29" s="239" t="s">
        <v>496</v>
      </c>
      <c r="AI29" s="141">
        <v>20</v>
      </c>
      <c r="AJ29" s="41">
        <v>14</v>
      </c>
      <c r="AK29" s="41">
        <v>6</v>
      </c>
      <c r="AL29" s="285">
        <v>20</v>
      </c>
      <c r="AM29" s="41">
        <v>8</v>
      </c>
      <c r="AN29" s="142">
        <v>12</v>
      </c>
      <c r="AO29" s="364">
        <v>4.4840372465708704E-2</v>
      </c>
      <c r="AP29" s="145">
        <f t="shared" ca="1" si="41"/>
        <v>0.96131000716280623</v>
      </c>
      <c r="AQ29" s="364">
        <v>4.0564282574911299E-2</v>
      </c>
      <c r="AR29" s="145">
        <f t="shared" ca="1" si="151"/>
        <v>0.96947048282401727</v>
      </c>
      <c r="AS29" s="264">
        <f t="shared" si="3"/>
        <v>0.29769673127817198</v>
      </c>
      <c r="AT29" s="149">
        <f t="shared" si="42"/>
        <v>0.30424420231949995</v>
      </c>
      <c r="AU29" s="149">
        <f t="shared" si="4"/>
        <v>0.29599052220565397</v>
      </c>
      <c r="AV29" s="263">
        <f t="shared" ca="1" si="164"/>
        <v>0.29167040013652717</v>
      </c>
      <c r="AW29" s="150">
        <f t="shared" ca="1" si="5"/>
        <v>2</v>
      </c>
      <c r="AX29" s="149">
        <f t="shared" ca="1" si="152"/>
        <v>5.9510670240673857E-2</v>
      </c>
      <c r="AY29" s="149">
        <f t="shared" ca="1" si="153"/>
        <v>3.4503311929166398E-2</v>
      </c>
      <c r="AZ29" s="149">
        <f t="shared" ca="1" si="154"/>
        <v>1.4507499186117252E-2</v>
      </c>
      <c r="BA29" s="149">
        <f t="shared" ca="1" si="155"/>
        <v>1.8478497974222928E-4</v>
      </c>
      <c r="BB29" s="149">
        <f t="shared" ca="1" si="156"/>
        <v>2.3593045340150614E-4</v>
      </c>
      <c r="BC29" s="149">
        <f t="shared" ca="1" si="157"/>
        <v>2.6743361672197186E-4</v>
      </c>
      <c r="BD29" s="143">
        <f t="shared" ca="1" si="43"/>
        <v>30</v>
      </c>
      <c r="BE29" s="144">
        <f t="shared" ca="1" si="44"/>
        <v>30</v>
      </c>
      <c r="BF29" s="40">
        <f t="shared" si="7"/>
        <v>2002</v>
      </c>
      <c r="BG29" s="139">
        <f t="shared" si="8"/>
        <v>2</v>
      </c>
      <c r="BH29" s="140">
        <f t="shared" ca="1" si="45"/>
        <v>282</v>
      </c>
      <c r="BI29" s="304">
        <f t="shared" ca="1" si="46"/>
        <v>0.81587953456536622</v>
      </c>
      <c r="BJ29" s="42">
        <f t="shared" ca="1" si="47"/>
        <v>0.86762491444216294</v>
      </c>
      <c r="BK29" s="42">
        <f t="shared" ca="1" si="9"/>
        <v>0.87036276522929501</v>
      </c>
      <c r="BL29" s="42">
        <f t="shared" ca="1" si="48"/>
        <v>0.88980150581793294</v>
      </c>
      <c r="BM29" s="285">
        <f t="shared" si="49"/>
        <v>20</v>
      </c>
      <c r="BN29" s="41">
        <f t="shared" si="50"/>
        <v>14</v>
      </c>
      <c r="BO29" s="41">
        <f t="shared" si="51"/>
        <v>6</v>
      </c>
      <c r="BP29" s="297">
        <f t="shared" ca="1" si="10"/>
        <v>25.531000000000002</v>
      </c>
      <c r="BQ29" s="297">
        <f t="shared" ca="1" si="11"/>
        <v>7.7121930202498801E-2</v>
      </c>
      <c r="BR29" s="299">
        <f t="shared" ca="1" si="12"/>
        <v>7.7121930202498801E-2</v>
      </c>
      <c r="BS29" s="153">
        <f t="shared" ca="1" si="13"/>
        <v>25.599999999999998</v>
      </c>
      <c r="BT29" s="153">
        <f t="shared" ca="1" si="14"/>
        <v>25.37</v>
      </c>
      <c r="BU29" s="300">
        <f t="shared" ca="1" si="15"/>
        <v>0.29940294035068998</v>
      </c>
      <c r="BV29" s="301">
        <f t="shared" ca="1" si="16"/>
        <v>0.29371557677562998</v>
      </c>
      <c r="BW29" s="300">
        <f t="shared" ca="1" si="17"/>
        <v>1.8478497974222928E-4</v>
      </c>
      <c r="BX29" s="301">
        <f t="shared" ca="1" si="18"/>
        <v>1.8478497974222928E-4</v>
      </c>
      <c r="BY29" s="146">
        <f t="shared" ca="1" si="19"/>
        <v>0.29954545009379147</v>
      </c>
      <c r="BZ29" s="146">
        <f t="shared" ca="1" si="20"/>
        <v>0.29385808651873147</v>
      </c>
      <c r="CA29" s="146">
        <f t="shared" ca="1" si="21"/>
        <v>0.29954545009379147</v>
      </c>
      <c r="CB29" s="146">
        <f t="shared" ca="1" si="22"/>
        <v>0.29385808651873147</v>
      </c>
      <c r="CC29" s="302">
        <v>1</v>
      </c>
      <c r="CD29" s="154" t="e">
        <f ca="1">IF(BD29,_xll.xCrudeAPO(BS29,BT29,BY29,BZ29,S30,S31,BI29,BL29,BN29,BO29,0,Strike1,AO29,CC29,0,BL29,IF(OptControl=4,0,1),0,1),0)</f>
        <v>#NAME?</v>
      </c>
      <c r="CE29" s="155" t="e">
        <f ca="1">IF(BD29,_xll.xCrudeAPO(BS29,BT29,BY29,BZ29,S30,S31,BI29,BL29,BN29,BO29,0,Strike1,AO29,CC29,0,BL29,IF(OptControl=4,0,1),1,1)+_xll.xCrudeAPO(BS29,BT29,BY29,BZ29,S30,S31,BI29,BL29,BN29,BO29,0,Strike1,AO29,CC29,0,BL29,IF(OptControl=4,0,1),1,2)+IF(OR(VolSkewFlag=2,ABS(BQ29)&lt;0.0001),0,IF(BQ29&gt;0,-1,1)*CF29*Strike1/BP29^2*BW29/10%),0)</f>
        <v>#NAME?</v>
      </c>
      <c r="CF29" s="155" t="e">
        <f ca="1">IF(BD29,(_xll.xCrudeAPO(BS29,BT29,BY29,BZ29,S30,S31,BI29,BL29,BN29,BO29,0,Strike1,AO29,CC29,0,BL29,IF(OptControl=4,0,1),3,1)+_xll.xCrudeAPO(BS29,BT29,BY29,BZ29,S30,S31,BI29,BL29,BN29,BO29,0,Strike1,AO29,CC29,0,BL29,IF(OptControl=4,0,1),3,2))/100,0)</f>
        <v>#NAME?</v>
      </c>
      <c r="CG29" s="155" t="e">
        <f ca="1">IF(BD29,_xll.xCrudeAPO(BS29,BT29,BY29,BZ29,S30,S31,BI29-DaysForThetaCalculation/365.25,BL29-DaysForThetaCalculation/365.25,BN29,BO29,0,Strike1,AO29,CC29,0,BL29,IF(OptControl=4,0,1),0,1)-_xll.xCrudeAPO(BS29,BT29,BY29,BZ29,S30,S31,BI29,BL29,BN29,BO29,0,Strike1,AO29,CC29,0,BL29,IF(OptControl=4,0,1),0,1),0)</f>
        <v>#NAME?</v>
      </c>
      <c r="CH29" s="303" t="e">
        <f ca="1">IF(BD29,_xll.xCrudeAPO(BS29,BT29,CA29,CB29,S30,S31,BI29,BL29,BN29,BO29,0,Strike2,AO29,CC29,0,BL29,IF(OptControl=3,1,0),0,1),0)</f>
        <v>#NAME?</v>
      </c>
      <c r="CI29" s="155" t="e">
        <f ca="1">IF(BD29,_xll.xCrudeAPO(BS29,BT29,CA29,CB29,S30,S31,BI29,BL29,BN29,BO29,0,Strike2,AO29,CC29,0,BL29,IF(OptControl=3,1,0),1,1)+_xll.xCrudeAPO(BS29,BT29,CA29,CB29,S30,S31,BI29,BL29,BN29,BO29,0,Strike2,AO29,CC29,0,BL29,IF(OptControl=3,1,0),1,2)+IF(OR(VolSkewFlag=2,ABS(BR29)&lt;0.0001),0,IF(BR29&gt;0,-1,1)*CJ29*Strike2/BP29^2*BX29/10%),0)</f>
        <v>#NAME?</v>
      </c>
      <c r="CJ29" s="155" t="e">
        <f ca="1">IF(BD29,(_xll.xCrudeAPO(BS29,BT29,CA29,CB29,S30,S31,BI29,BL29,BN29,BO29,0,Strike2,AO29,CC29,0,BL29,IF(OptControl=3,1,0),3,1)+_xll.xCrudeAPO(BS29,BT29,CA29,CB29,S30,S31,BI29,BL29,BN29,BO29,0,Strike2,AO29,CC29,0,BL29,IF(OptControl=3,1,0),3,2))/100,0)</f>
        <v>#NAME?</v>
      </c>
      <c r="CK29" s="156" t="e">
        <f ca="1">IF(BD29,_xll.xCrudeAPO(BS29,BT29,CA29,CB29,S30,S31,BI29-DaysForThetaCalculation/365.25,BL29-DaysForThetaCalculation/365.25,BN29,BO29,0,Strike2,AO29,CC29,0,BL29,IF(OptControl=3,1,0),0,1)-_xll.xCrudeAPO(BS29,BT29,CA29,CB29,S30,S31,BI29,BL29,BN29,BO29,0,Strike2,AO29,CC29,0,BL29,IF(OptControl=3,1,0),0,1),0)</f>
        <v>#NAME?</v>
      </c>
      <c r="CL29" s="497"/>
      <c r="CM29" s="779">
        <f t="shared" ca="1" si="52"/>
        <v>282</v>
      </c>
      <c r="CN29" s="783">
        <f t="shared" ca="1" si="53"/>
        <v>25.88</v>
      </c>
      <c r="CO29" s="780">
        <f t="shared" ca="1" si="54"/>
        <v>6.259659969088105E-2</v>
      </c>
      <c r="CP29" s="780">
        <f t="shared" ca="1" si="55"/>
        <v>6.259659969088105E-2</v>
      </c>
      <c r="CQ29" s="780">
        <f t="shared" ca="1" si="56"/>
        <v>2.7471912141256054E-4</v>
      </c>
      <c r="CR29" s="780">
        <f t="shared" ca="1" si="57"/>
        <v>2.7471912141256054E-4</v>
      </c>
      <c r="CS29" s="781">
        <f t="shared" ca="1" si="58"/>
        <v>0.30424420231949995</v>
      </c>
      <c r="CT29" s="782">
        <f t="shared" ca="1" si="59"/>
        <v>0.30441616714820485</v>
      </c>
      <c r="CU29" s="782">
        <f t="shared" ca="1" si="60"/>
        <v>0.30441616714820485</v>
      </c>
      <c r="CV29" s="155" t="e">
        <f ca="1">IF(BD29,_xll.EURO(CN29,Strike1,AO29,AO29,CT29,CM29,IF(OptControl=4,0,1),0),0)</f>
        <v>#NAME?</v>
      </c>
      <c r="CW29" s="155" t="e">
        <f ca="1">IF(BD29,_xll.EURO(CN29,Strike1,AO29,AO29,CT29,CM29,IF(OptControl=4,0,1),1)+IF(OR(VolSkewFlag=2,ABS(CO29)&lt;0.0001),0,IF(CO29&gt;0,-1,1)*CX29*100*Strike1/CN29^2*CQ29/10%),0)</f>
        <v>#NAME?</v>
      </c>
      <c r="CX29" s="155" t="e">
        <f ca="1">IF(BD29,_xll.EURO(CN29,Strike1,AO29,AO29,CT29,CM29,IF(OptControl=4,0,1),3)/100,0)</f>
        <v>#NAME?</v>
      </c>
      <c r="CY29" s="155" t="e">
        <f ca="1">IF(BD29,_xll.EURO(CN29,Strike1,AO29,AO29,CT29,CM29,IF(OptControl=4,0,1),0)-_xll.EURO(CN29,Strike1,AO29,AO29,CT29,CM29-1,IF(OptControl=4,0,1),0),0)</f>
        <v>#NAME?</v>
      </c>
      <c r="CZ29" s="155" t="e">
        <f ca="1">IF(BD29,_xll.EURO(CN29,Strike2,AO29,AO29,CU29,CM29,IF(OptControl=3,1,0),0),0)</f>
        <v>#NAME?</v>
      </c>
      <c r="DA29" s="155" t="e">
        <f ca="1">IF(BD29,_xll.EURO(CN29,Strike2,AO29,AO29,CU29,CM29,IF(OptControl=3,1,0),1)+IF(OR(VolSkewFlag=2,ABS(CP29)&lt;0.0001),0,IF(CP29&gt;0,-1,1)*DB29*100*Strike2/CN29^2*CR29/10%),0)</f>
        <v>#NAME?</v>
      </c>
      <c r="DB29" s="155" t="e">
        <f ca="1">IF(BD29,_xll.EURO(CN29,Strike2,AO29,AO29,CU29,CM29,IF(OptControl=3,1,0),3)/100,0)</f>
        <v>#NAME?</v>
      </c>
      <c r="DC29" s="156" t="e">
        <f ca="1">IF(BD29,_xll.EURO(CN29,Strike2,AO29,AO29,CU29,CM29,IF(OptControl=3,1,0),0)-_xll.EURO(CN29,Strike2,AO29,AO29,CU29,CM29-1,IF(OptControl=3,1,0),0),0)</f>
        <v>#NAME?</v>
      </c>
      <c r="DD29" s="497"/>
      <c r="DE29" s="651">
        <f t="shared" ca="1" si="61"/>
        <v>37196</v>
      </c>
      <c r="DF29" s="465">
        <v>1E-4</v>
      </c>
      <c r="DG29" s="649">
        <v>1E-4</v>
      </c>
      <c r="DH29" s="650">
        <f t="shared" ca="1" si="23"/>
        <v>37196</v>
      </c>
      <c r="DI29" s="465">
        <v>1E-4</v>
      </c>
      <c r="DJ29" s="649">
        <v>1E-4</v>
      </c>
      <c r="DK29" s="651">
        <f t="shared" ca="1" si="24"/>
        <v>37196</v>
      </c>
      <c r="DL29" s="652">
        <f t="shared" si="25"/>
        <v>5.0100000000000006E-2</v>
      </c>
      <c r="DM29" s="651">
        <f t="shared" ca="1" si="62"/>
        <v>37196</v>
      </c>
      <c r="DN29" s="563">
        <f t="shared" si="63"/>
        <v>3.0099999999999998E-2</v>
      </c>
      <c r="DO29" s="803">
        <v>0.03</v>
      </c>
      <c r="DP29" s="650">
        <f t="shared" ca="1" si="26"/>
        <v>37196</v>
      </c>
      <c r="DQ29" s="653">
        <v>1E-4</v>
      </c>
      <c r="DR29" s="590">
        <v>1E-4</v>
      </c>
      <c r="DS29" s="650">
        <f t="shared" ca="1" si="27"/>
        <v>37196</v>
      </c>
      <c r="DT29" s="653">
        <v>1E-4</v>
      </c>
      <c r="DU29" s="590">
        <v>1E-4</v>
      </c>
      <c r="DV29" s="651">
        <f t="shared" ca="1" si="28"/>
        <v>37196</v>
      </c>
      <c r="DW29" s="590">
        <v>1E-4</v>
      </c>
      <c r="DX29" s="651">
        <f t="shared" ca="1" si="64"/>
        <v>37196</v>
      </c>
      <c r="DY29" s="590">
        <f t="shared" si="65"/>
        <v>1E-4</v>
      </c>
      <c r="DZ29" s="1"/>
      <c r="EA29" s="863" t="e">
        <f ca="1">_xll.ASN(X29,X29,AO29,AS29,0,AI29,0,BI29,BL29,1,0)</f>
        <v>#NAME?</v>
      </c>
      <c r="EB29" s="653" t="e">
        <f ca="1">_xll.ASN(X29,X29,AO29,AS29,0,AI29,0,BI29,BL29,1,3)/100</f>
        <v>#NAME?</v>
      </c>
      <c r="EC29" s="653" t="e">
        <f ca="1">_xll.xCrudeAPO(L30,L31,O30,O31,S30,S31,BI29,BL29,AJ29,AK29,0,X29,AO29,1,0,+BL29,1,0,1)</f>
        <v>#NAME?</v>
      </c>
      <c r="ED29" s="869" t="e">
        <f t="shared" ca="1" si="165"/>
        <v>#NAME?</v>
      </c>
      <c r="EE29" s="863" t="e">
        <f t="shared" ca="1" si="29"/>
        <v>#NAME?</v>
      </c>
      <c r="EF29" s="590" t="e">
        <f t="shared" ca="1" si="30"/>
        <v>#NAME?</v>
      </c>
      <c r="EG29" s="862">
        <f t="shared" ca="1" si="31"/>
        <v>0.29769673127817198</v>
      </c>
      <c r="EH29" s="114">
        <f t="shared" ca="1" si="32"/>
        <v>0.29783924102127346</v>
      </c>
      <c r="EI29" s="109">
        <f t="shared" ca="1" si="33"/>
        <v>0.29783924102127346</v>
      </c>
      <c r="EJ29" s="115" t="e">
        <f ca="1">IF(BD29,_xll.xASN(BP29,Strike1,AO29,EH29,0,BM29,0,BI29,BL29,IF(OptControl=4,0,1),0),0)</f>
        <v>#NAME?</v>
      </c>
      <c r="EK29" s="108" t="e">
        <f ca="1">IF(BD29,_xll.xASN(BP29,Strike2,AO29,EI29,0,BM29,0,BI29,BL29,IF(OptControl=3,1,0),0),0)</f>
        <v>#NAME?</v>
      </c>
      <c r="EM29" s="473" t="e">
        <f ca="1">[1]!'CLc10 MTH'</f>
        <v>#REF!</v>
      </c>
      <c r="EN29" s="474" t="e">
        <f t="shared" ca="1" si="158"/>
        <v>#REF!</v>
      </c>
      <c r="EO29" s="475" t="e">
        <f>[1]!'CLc10 NET.CHNG'</f>
        <v>#REF!</v>
      </c>
      <c r="EP29" s="476">
        <f t="shared" si="159"/>
        <v>0</v>
      </c>
      <c r="EQ29" s="1"/>
      <c r="ER29" s="681">
        <v>36994</v>
      </c>
      <c r="ES29" s="682">
        <v>38346</v>
      </c>
      <c r="ET29" s="1"/>
      <c r="EU29" s="667" t="s">
        <v>133</v>
      </c>
      <c r="EV29" s="72"/>
      <c r="EW29" s="488">
        <v>10</v>
      </c>
      <c r="EX29" s="466">
        <f t="shared" ca="1" si="166"/>
        <v>0.77207392197125257</v>
      </c>
      <c r="EY29" s="824">
        <f t="shared" ca="1" si="66"/>
        <v>7.1466663298831279E-2</v>
      </c>
      <c r="EZ29" s="798">
        <f t="shared" ca="1" si="160"/>
        <v>0.3028390049373012</v>
      </c>
      <c r="FA29" s="468">
        <f t="shared" ca="1" si="161"/>
        <v>0.99642785467778017</v>
      </c>
      <c r="FB29" s="467">
        <f t="shared" ca="1" si="162"/>
        <v>0.23989092958920741</v>
      </c>
      <c r="FC29" s="242">
        <v>0</v>
      </c>
      <c r="FD29" s="589">
        <f ca="1">IF(OR(FA29="",FA30=""),"",SQRT(SUM(INDEX(FO29:IH29,SwaptionFirstMonthPosition+1):INDEX(FO29:IH29,FN29))/SUM(INDEX($FO$15:$IH$15,SwaptionFirstMonthPosition+1):INDEX($FO$15:$IH$15,FN29))))</f>
        <v>0.30459825135550167</v>
      </c>
      <c r="FE29" s="565">
        <f ca="1">IF(OR(FA29="",FA28=""),"",SQRT(SUM(INDEX(FO29:IH29,SwaptionFirstMonthPosition+1):INDEX(FO29:IH29,FN29-1))/SUM(INDEX($FO$15:$IH$15,SwaptionFirstMonthPosition+1):INDEX($FO$15:$IH$15,FN29-1))))</f>
        <v>0.29166414168590682</v>
      </c>
      <c r="FF29" s="562">
        <f t="shared" ca="1" si="67"/>
        <v>0.29169275011129281</v>
      </c>
      <c r="FG29" s="593">
        <f t="shared" ca="1" si="68"/>
        <v>310.5</v>
      </c>
      <c r="FH29" s="563">
        <f t="shared" ca="1" si="69"/>
        <v>25.531000000000002</v>
      </c>
      <c r="FI29" s="563">
        <f t="shared" ca="1" si="70"/>
        <v>7.7121930202498801E-2</v>
      </c>
      <c r="FJ29" s="563">
        <f t="shared" ca="1" si="71"/>
        <v>7.7121930202498801E-2</v>
      </c>
      <c r="FK29" s="564">
        <f t="shared" ca="1" si="72"/>
        <v>1.4250974310150362E-4</v>
      </c>
      <c r="FL29" s="590">
        <f t="shared" ca="1" si="73"/>
        <v>1.4250974310150362E-4</v>
      </c>
      <c r="FM29" s="242"/>
      <c r="FN29" s="657">
        <v>10</v>
      </c>
      <c r="FO29" s="450">
        <f t="shared" ca="1" si="74"/>
        <v>1.2070816846535598E-3</v>
      </c>
      <c r="FP29" s="450">
        <f t="shared" ca="1" si="75"/>
        <v>4.8498767004450669E-3</v>
      </c>
      <c r="FQ29" s="450">
        <f t="shared" ca="1" si="76"/>
        <v>5.0535650621398604E-3</v>
      </c>
      <c r="FR29" s="450">
        <f t="shared" ca="1" si="77"/>
        <v>6.0654311852413505E-3</v>
      </c>
      <c r="FS29" s="450">
        <f t="shared" ca="1" si="78"/>
        <v>6.2480212297004248E-3</v>
      </c>
      <c r="FT29" s="450">
        <f t="shared" ca="1" si="79"/>
        <v>7.406593686085582E-3</v>
      </c>
      <c r="FU29" s="450">
        <f t="shared" ca="1" si="80"/>
        <v>7.81607573096685E-3</v>
      </c>
      <c r="FV29" s="450">
        <f t="shared" ca="1" si="81"/>
        <v>8.3305942703906788E-3</v>
      </c>
      <c r="FW29" s="450">
        <f t="shared" ca="1" si="82"/>
        <v>1.0359564633143244E-2</v>
      </c>
      <c r="FX29" s="450">
        <f t="shared" ca="1" si="83"/>
        <v>1.347122467697044E-2</v>
      </c>
      <c r="FY29" s="450" t="str">
        <f t="shared" si="84"/>
        <v/>
      </c>
      <c r="FZ29" s="450" t="str">
        <f t="shared" si="85"/>
        <v/>
      </c>
      <c r="GA29" s="450" t="str">
        <f t="shared" si="86"/>
        <v/>
      </c>
      <c r="GB29" s="450" t="str">
        <f t="shared" si="87"/>
        <v/>
      </c>
      <c r="GC29" s="450" t="str">
        <f t="shared" si="88"/>
        <v/>
      </c>
      <c r="GD29" s="450" t="str">
        <f t="shared" si="89"/>
        <v/>
      </c>
      <c r="GE29" s="450" t="str">
        <f t="shared" si="90"/>
        <v/>
      </c>
      <c r="GF29" s="450" t="str">
        <f t="shared" si="91"/>
        <v/>
      </c>
      <c r="GG29" s="450" t="str">
        <f t="shared" si="92"/>
        <v/>
      </c>
      <c r="GH29" s="450" t="str">
        <f t="shared" si="93"/>
        <v/>
      </c>
      <c r="GI29" s="450" t="str">
        <f t="shared" si="94"/>
        <v/>
      </c>
      <c r="GJ29" s="450" t="str">
        <f t="shared" si="95"/>
        <v/>
      </c>
      <c r="GK29" s="450" t="str">
        <f t="shared" si="96"/>
        <v/>
      </c>
      <c r="GL29" s="450" t="str">
        <f t="shared" si="97"/>
        <v/>
      </c>
      <c r="GM29" s="450" t="str">
        <f t="shared" si="98"/>
        <v/>
      </c>
      <c r="GN29" s="450" t="str">
        <f t="shared" si="99"/>
        <v/>
      </c>
      <c r="GO29" s="450" t="str">
        <f t="shared" si="100"/>
        <v/>
      </c>
      <c r="GP29" s="450" t="str">
        <f t="shared" si="101"/>
        <v/>
      </c>
      <c r="GQ29" s="450" t="str">
        <f t="shared" si="102"/>
        <v/>
      </c>
      <c r="GR29" s="450" t="str">
        <f t="shared" si="103"/>
        <v/>
      </c>
      <c r="GS29" s="450" t="str">
        <f t="shared" si="104"/>
        <v/>
      </c>
      <c r="GT29" s="450" t="str">
        <f t="shared" si="105"/>
        <v/>
      </c>
      <c r="GU29" s="450" t="str">
        <f t="shared" si="106"/>
        <v/>
      </c>
      <c r="GV29" s="450" t="str">
        <f t="shared" si="107"/>
        <v/>
      </c>
      <c r="GW29" s="450" t="str">
        <f t="shared" si="108"/>
        <v/>
      </c>
      <c r="GX29" s="450" t="str">
        <f t="shared" si="109"/>
        <v/>
      </c>
      <c r="GY29" s="450" t="str">
        <f t="shared" si="110"/>
        <v/>
      </c>
      <c r="GZ29" s="450" t="str">
        <f t="shared" si="111"/>
        <v/>
      </c>
      <c r="HA29" s="450" t="str">
        <f t="shared" si="112"/>
        <v/>
      </c>
      <c r="HB29" s="450" t="str">
        <f t="shared" si="113"/>
        <v/>
      </c>
      <c r="HC29" s="450" t="str">
        <f t="shared" si="114"/>
        <v/>
      </c>
      <c r="HD29" s="450" t="str">
        <f t="shared" si="115"/>
        <v/>
      </c>
      <c r="HE29" s="450" t="str">
        <f t="shared" si="116"/>
        <v/>
      </c>
      <c r="HF29" s="450" t="str">
        <f t="shared" si="117"/>
        <v/>
      </c>
      <c r="HG29" s="450" t="str">
        <f t="shared" si="118"/>
        <v/>
      </c>
      <c r="HH29" s="450" t="str">
        <f t="shared" si="119"/>
        <v/>
      </c>
      <c r="HI29" s="450" t="str">
        <f t="shared" si="120"/>
        <v/>
      </c>
      <c r="HJ29" s="450" t="str">
        <f t="shared" si="121"/>
        <v/>
      </c>
      <c r="HK29" s="450" t="str">
        <f t="shared" si="122"/>
        <v/>
      </c>
      <c r="HL29" s="450" t="str">
        <f t="shared" si="123"/>
        <v/>
      </c>
      <c r="HM29" s="450" t="str">
        <f t="shared" si="124"/>
        <v/>
      </c>
      <c r="HN29" s="450" t="str">
        <f t="shared" si="125"/>
        <v/>
      </c>
      <c r="HO29" s="450" t="str">
        <f t="shared" si="126"/>
        <v/>
      </c>
      <c r="HP29" s="450" t="str">
        <f t="shared" si="127"/>
        <v/>
      </c>
      <c r="HQ29" s="450" t="str">
        <f t="shared" si="128"/>
        <v/>
      </c>
      <c r="HR29" s="450" t="str">
        <f t="shared" si="129"/>
        <v/>
      </c>
      <c r="HS29" s="450" t="str">
        <f t="shared" si="130"/>
        <v/>
      </c>
      <c r="HT29" s="450" t="str">
        <f t="shared" si="131"/>
        <v/>
      </c>
      <c r="HU29" s="450" t="str">
        <f t="shared" si="132"/>
        <v/>
      </c>
      <c r="HV29" s="450" t="str">
        <f t="shared" si="133"/>
        <v/>
      </c>
      <c r="HW29" s="450" t="str">
        <f t="shared" si="134"/>
        <v/>
      </c>
      <c r="HX29" s="450" t="str">
        <f t="shared" si="135"/>
        <v/>
      </c>
      <c r="HY29" s="450" t="str">
        <f t="shared" si="136"/>
        <v/>
      </c>
      <c r="HZ29" s="450" t="str">
        <f t="shared" si="137"/>
        <v/>
      </c>
      <c r="IA29" s="450" t="str">
        <f t="shared" si="138"/>
        <v/>
      </c>
      <c r="IB29" s="450" t="str">
        <f t="shared" si="139"/>
        <v/>
      </c>
      <c r="IC29" s="450" t="str">
        <f t="shared" si="140"/>
        <v/>
      </c>
      <c r="ID29" s="450" t="str">
        <f t="shared" si="141"/>
        <v/>
      </c>
      <c r="IE29" s="450" t="str">
        <f t="shared" si="142"/>
        <v/>
      </c>
      <c r="IF29" s="450" t="str">
        <f t="shared" si="143"/>
        <v/>
      </c>
      <c r="IG29" s="450" t="str">
        <f t="shared" si="144"/>
        <v/>
      </c>
      <c r="IH29" s="658" t="str">
        <f t="shared" si="145"/>
        <v/>
      </c>
      <c r="II29" s="242"/>
    </row>
    <row r="30" spans="1:243" ht="13.5" customHeight="1" thickBot="1">
      <c r="A30" s="470"/>
      <c r="B30" s="48"/>
      <c r="C30" s="48"/>
      <c r="D30" s="48"/>
      <c r="E30" s="48"/>
      <c r="F30" s="48"/>
      <c r="G30" s="48"/>
      <c r="H30" s="49" t="e">
        <f t="shared" ca="1" si="34"/>
        <v>#N/A</v>
      </c>
      <c r="I30" s="369">
        <f t="shared" si="35"/>
        <v>37316</v>
      </c>
      <c r="J30" s="367">
        <v>25.65</v>
      </c>
      <c r="K30" s="101" t="s">
        <v>487</v>
      </c>
      <c r="L30" s="382">
        <f t="shared" si="36"/>
        <v>25.65</v>
      </c>
      <c r="M30" s="163">
        <v>0.29940294035068998</v>
      </c>
      <c r="N30" s="372">
        <v>0</v>
      </c>
      <c r="O30" s="163">
        <f t="shared" si="37"/>
        <v>0.29940294035068998</v>
      </c>
      <c r="P30" s="367">
        <v>24.19</v>
      </c>
      <c r="Q30" s="100" t="s">
        <v>487</v>
      </c>
      <c r="R30" s="367">
        <f t="shared" ca="1" si="147"/>
        <v>24.19</v>
      </c>
      <c r="S30" s="814">
        <f t="shared" si="163"/>
        <v>0.38567586237418205</v>
      </c>
      <c r="T30" s="813">
        <f t="shared" si="148"/>
        <v>0.97199009665285352</v>
      </c>
      <c r="U30" s="532">
        <f t="shared" si="149"/>
        <v>0.99915529727935792</v>
      </c>
      <c r="V30" s="379">
        <v>0</v>
      </c>
      <c r="W30" s="424">
        <f t="shared" si="150"/>
        <v>25.35</v>
      </c>
      <c r="X30" s="405">
        <f t="shared" si="38"/>
        <v>25.35</v>
      </c>
      <c r="Y30" s="313">
        <f t="shared" si="39"/>
        <v>23.802857142857142</v>
      </c>
      <c r="Z30" s="313">
        <f t="shared" ca="1" si="40"/>
        <v>23.802857142857142</v>
      </c>
      <c r="AA30" s="419">
        <f t="shared" si="1"/>
        <v>1.5471428571428589</v>
      </c>
      <c r="AB30" s="423">
        <f t="shared" ca="1" si="2"/>
        <v>1.5471428571428589</v>
      </c>
      <c r="AC30" s="218">
        <v>37307</v>
      </c>
      <c r="AD30" s="219">
        <v>37301</v>
      </c>
      <c r="AE30" s="219">
        <v>37300</v>
      </c>
      <c r="AF30" s="220">
        <v>37296</v>
      </c>
      <c r="AG30" s="241" t="s">
        <v>496</v>
      </c>
      <c r="AH30" s="239" t="s">
        <v>496</v>
      </c>
      <c r="AI30" s="141">
        <v>21</v>
      </c>
      <c r="AJ30" s="41">
        <v>14</v>
      </c>
      <c r="AK30" s="41">
        <v>7</v>
      </c>
      <c r="AL30" s="285">
        <v>21</v>
      </c>
      <c r="AM30" s="41">
        <v>9</v>
      </c>
      <c r="AN30" s="142">
        <v>12</v>
      </c>
      <c r="AO30" s="364">
        <v>4.4780288688916599E-2</v>
      </c>
      <c r="AP30" s="145">
        <f t="shared" ca="1" si="41"/>
        <v>0.9577535650094664</v>
      </c>
      <c r="AQ30" s="364">
        <v>4.0362234380861797E-2</v>
      </c>
      <c r="AR30" s="145">
        <f t="shared" ca="1" si="151"/>
        <v>0.96654723719193969</v>
      </c>
      <c r="AS30" s="264">
        <f t="shared" si="3"/>
        <v>0.29201776734135665</v>
      </c>
      <c r="AT30" s="149">
        <f t="shared" si="42"/>
        <v>0.29940294035068998</v>
      </c>
      <c r="AU30" s="149">
        <f t="shared" si="4"/>
        <v>0.2908050463168757</v>
      </c>
      <c r="AV30" s="263">
        <f t="shared" ca="1" si="164"/>
        <v>0.28907451541906692</v>
      </c>
      <c r="AW30" s="150">
        <f t="shared" ca="1" si="5"/>
        <v>2</v>
      </c>
      <c r="AX30" s="149">
        <f t="shared" ca="1" si="152"/>
        <v>5.803297700404153E-2</v>
      </c>
      <c r="AY30" s="149">
        <f t="shared" ca="1" si="153"/>
        <v>3.3618251753297586E-2</v>
      </c>
      <c r="AZ30" s="149">
        <f t="shared" ca="1" si="154"/>
        <v>1.4209264067654053E-2</v>
      </c>
      <c r="BA30" s="149">
        <f t="shared" ca="1" si="155"/>
        <v>1.291549665014886E-4</v>
      </c>
      <c r="BB30" s="149">
        <f t="shared" ca="1" si="156"/>
        <v>1.4299691483087311E-4</v>
      </c>
      <c r="BC30" s="149">
        <f t="shared" ca="1" si="157"/>
        <v>1.5066301902946701E-4</v>
      </c>
      <c r="BD30" s="143">
        <f t="shared" ca="1" si="43"/>
        <v>30</v>
      </c>
      <c r="BE30" s="144">
        <f t="shared" ca="1" si="44"/>
        <v>30</v>
      </c>
      <c r="BF30" s="40">
        <f t="shared" si="7"/>
        <v>2002</v>
      </c>
      <c r="BG30" s="139">
        <f t="shared" si="8"/>
        <v>3</v>
      </c>
      <c r="BH30" s="140">
        <f t="shared" ca="1" si="45"/>
        <v>311</v>
      </c>
      <c r="BI30" s="304">
        <f t="shared" ca="1" si="46"/>
        <v>0.892539356605065</v>
      </c>
      <c r="BJ30" s="42">
        <f t="shared" ca="1" si="47"/>
        <v>0.94729637234770703</v>
      </c>
      <c r="BK30" s="42">
        <f t="shared" ca="1" si="9"/>
        <v>0.9500342231348391</v>
      </c>
      <c r="BL30" s="42">
        <f t="shared" ca="1" si="48"/>
        <v>0.97467488021902804</v>
      </c>
      <c r="BM30" s="285">
        <f t="shared" si="49"/>
        <v>21</v>
      </c>
      <c r="BN30" s="41">
        <f t="shared" si="50"/>
        <v>14</v>
      </c>
      <c r="BO30" s="41">
        <f t="shared" si="51"/>
        <v>7</v>
      </c>
      <c r="BP30" s="297">
        <f t="shared" ca="1" si="10"/>
        <v>25.3</v>
      </c>
      <c r="BQ30" s="297">
        <f t="shared" ca="1" si="11"/>
        <v>8.6956521739130377E-2</v>
      </c>
      <c r="BR30" s="299">
        <f t="shared" ca="1" si="12"/>
        <v>8.6956521739130377E-2</v>
      </c>
      <c r="BS30" s="153">
        <f t="shared" ca="1" si="13"/>
        <v>25.37</v>
      </c>
      <c r="BT30" s="153">
        <f t="shared" ca="1" si="14"/>
        <v>25.16</v>
      </c>
      <c r="BU30" s="300">
        <f t="shared" ca="1" si="15"/>
        <v>0.29371557677562998</v>
      </c>
      <c r="BV30" s="301">
        <f t="shared" ca="1" si="16"/>
        <v>0.28862214847280998</v>
      </c>
      <c r="BW30" s="300">
        <f t="shared" ca="1" si="17"/>
        <v>1.291549665014886E-4</v>
      </c>
      <c r="BX30" s="301">
        <f t="shared" ca="1" si="18"/>
        <v>1.291549665014886E-4</v>
      </c>
      <c r="BY30" s="146">
        <f t="shared" ca="1" si="19"/>
        <v>0.29382788544215299</v>
      </c>
      <c r="BZ30" s="146">
        <f t="shared" ca="1" si="20"/>
        <v>0.28873445713933299</v>
      </c>
      <c r="CA30" s="146">
        <f t="shared" ca="1" si="21"/>
        <v>0.29382788544215299</v>
      </c>
      <c r="CB30" s="146">
        <f t="shared" ca="1" si="22"/>
        <v>0.28873445713933299</v>
      </c>
      <c r="CC30" s="302">
        <v>1</v>
      </c>
      <c r="CD30" s="154" t="e">
        <f ca="1">IF(BD30,_xll.xCrudeAPO(BS30,BT30,BY30,BZ30,S31,S32,BI30,BL30,BN30,BO30,0,Strike1,AO30,CC30,0,BL30,IF(OptControl=4,0,1),0,1),0)</f>
        <v>#NAME?</v>
      </c>
      <c r="CE30" s="155" t="e">
        <f ca="1">IF(BD30,_xll.xCrudeAPO(BS30,BT30,BY30,BZ30,S31,S32,BI30,BL30,BN30,BO30,0,Strike1,AO30,CC30,0,BL30,IF(OptControl=4,0,1),1,1)+_xll.xCrudeAPO(BS30,BT30,BY30,BZ30,S31,S32,BI30,BL30,BN30,BO30,0,Strike1,AO30,CC30,0,BL30,IF(OptControl=4,0,1),1,2)+IF(OR(VolSkewFlag=2,ABS(BQ30)&lt;0.0001),0,IF(BQ30&gt;0,-1,1)*CF30*Strike1/BP30^2*BW30/10%),0)</f>
        <v>#NAME?</v>
      </c>
      <c r="CF30" s="155" t="e">
        <f ca="1">IF(BD30,(_xll.xCrudeAPO(BS30,BT30,BY30,BZ30,S31,S32,BI30,BL30,BN30,BO30,0,Strike1,AO30,CC30,0,BL30,IF(OptControl=4,0,1),3,1)+_xll.xCrudeAPO(BS30,BT30,BY30,BZ30,S31,S32,BI30,BL30,BN30,BO30,0,Strike1,AO30,CC30,0,BL30,IF(OptControl=4,0,1),3,2))/100,0)</f>
        <v>#NAME?</v>
      </c>
      <c r="CG30" s="155" t="e">
        <f ca="1">IF(BD30,_xll.xCrudeAPO(BS30,BT30,BY30,BZ30,S31,S32,BI30-DaysForThetaCalculation/365.25,BL30-DaysForThetaCalculation/365.25,BN30,BO30,0,Strike1,AO30,CC30,0,BL30,IF(OptControl=4,0,1),0,1)-_xll.xCrudeAPO(BS30,BT30,BY30,BZ30,S31,S32,BI30,BL30,BN30,BO30,0,Strike1,AO30,CC30,0,BL30,IF(OptControl=4,0,1),0,1),0)</f>
        <v>#NAME?</v>
      </c>
      <c r="CH30" s="303" t="e">
        <f ca="1">IF(BD30,_xll.xCrudeAPO(BS30,BT30,CA30,CB30,S31,S32,BI30,BL30,BN30,BO30,0,Strike2,AO30,CC30,0,BL30,IF(OptControl=3,1,0),0,1),0)</f>
        <v>#NAME?</v>
      </c>
      <c r="CI30" s="155" t="e">
        <f ca="1">IF(BD30,_xll.xCrudeAPO(BS30,BT30,CA30,CB30,S31,S32,BI30,BL30,BN30,BO30,0,Strike2,AO30,CC30,0,BL30,IF(OptControl=3,1,0),1,1)+_xll.xCrudeAPO(BS30,BT30,CA30,CB30,S31,S32,BI30,BL30,BN30,BO30,0,Strike2,AO30,CC30,0,BL30,IF(OptControl=3,1,0),1,2)+IF(OR(VolSkewFlag=2,ABS(BR30)&lt;0.0001),0,IF(BR30&gt;0,-1,1)*CJ30*Strike2/BP30^2*BX30/10%),0)</f>
        <v>#NAME?</v>
      </c>
      <c r="CJ30" s="155" t="e">
        <f ca="1">IF(BD30,(_xll.xCrudeAPO(BS30,BT30,CA30,CB30,S31,S32,BI30,BL30,BN30,BO30,0,Strike2,AO30,CC30,0,BL30,IF(OptControl=3,1,0),3,1)+_xll.xCrudeAPO(BS30,BT30,CA30,CB30,S31,S32,BI30,BL30,BN30,BO30,0,Strike2,AO30,CC30,0,BL30,IF(OptControl=3,1,0),3,2))/100,0)</f>
        <v>#NAME?</v>
      </c>
      <c r="CK30" s="156" t="e">
        <f ca="1">IF(BD30,_xll.xCrudeAPO(BS30,BT30,CA30,CB30,S31,S32,BI30-DaysForThetaCalculation/365.25,BL30-DaysForThetaCalculation/365.25,BN30,BO30,0,Strike2,AO30,CC30,0,BL30,IF(OptControl=3,1,0),0,1)-_xll.xCrudeAPO(BS30,BT30,CA30,CB30,S31,S32,BI30,BL30,BN30,BO30,0,Strike2,AO30,CC30,0,BL30,IF(OptControl=3,1,0),0,1),0)</f>
        <v>#NAME?</v>
      </c>
      <c r="CL30" s="497"/>
      <c r="CM30" s="779">
        <f t="shared" ca="1" si="52"/>
        <v>311</v>
      </c>
      <c r="CN30" s="783">
        <f t="shared" ca="1" si="53"/>
        <v>25.65</v>
      </c>
      <c r="CO30" s="780">
        <f t="shared" ca="1" si="54"/>
        <v>7.2124756335282703E-2</v>
      </c>
      <c r="CP30" s="780">
        <f t="shared" ca="1" si="55"/>
        <v>7.2124756335282703E-2</v>
      </c>
      <c r="CQ30" s="780">
        <f t="shared" ca="1" si="56"/>
        <v>1.8478497974222928E-4</v>
      </c>
      <c r="CR30" s="780">
        <f t="shared" ca="1" si="57"/>
        <v>1.8478497974222928E-4</v>
      </c>
      <c r="CS30" s="781">
        <f t="shared" ca="1" si="58"/>
        <v>0.29940294035068998</v>
      </c>
      <c r="CT30" s="782">
        <f t="shared" ca="1" si="59"/>
        <v>0.29953621606707326</v>
      </c>
      <c r="CU30" s="782">
        <f t="shared" ca="1" si="60"/>
        <v>0.29953621606707326</v>
      </c>
      <c r="CV30" s="155" t="e">
        <f ca="1">IF(BD30,_xll.EURO(CN30,Strike1,AO30,AO30,CT30,CM30,IF(OptControl=4,0,1),0),0)</f>
        <v>#NAME?</v>
      </c>
      <c r="CW30" s="155" t="e">
        <f ca="1">IF(BD30,_xll.EURO(CN30,Strike1,AO30,AO30,CT30,CM30,IF(OptControl=4,0,1),1)+IF(OR(VolSkewFlag=2,ABS(CO30)&lt;0.0001),0,IF(CO30&gt;0,-1,1)*CX30*100*Strike1/CN30^2*CQ30/10%),0)</f>
        <v>#NAME?</v>
      </c>
      <c r="CX30" s="155" t="e">
        <f ca="1">IF(BD30,_xll.EURO(CN30,Strike1,AO30,AO30,CT30,CM30,IF(OptControl=4,0,1),3)/100,0)</f>
        <v>#NAME?</v>
      </c>
      <c r="CY30" s="155" t="e">
        <f ca="1">IF(BD30,_xll.EURO(CN30,Strike1,AO30,AO30,CT30,CM30,IF(OptControl=4,0,1),0)-_xll.EURO(CN30,Strike1,AO30,AO30,CT30,CM30-1,IF(OptControl=4,0,1),0),0)</f>
        <v>#NAME?</v>
      </c>
      <c r="CZ30" s="155" t="e">
        <f ca="1">IF(BD30,_xll.EURO(CN30,Strike2,AO30,AO30,CU30,CM30,IF(OptControl=3,1,0),0),0)</f>
        <v>#NAME?</v>
      </c>
      <c r="DA30" s="155" t="e">
        <f ca="1">IF(BD30,_xll.EURO(CN30,Strike2,AO30,AO30,CU30,CM30,IF(OptControl=3,1,0),1)+IF(OR(VolSkewFlag=2,ABS(CP30)&lt;0.0001),0,IF(CP30&gt;0,-1,1)*DB30*100*Strike2/CN30^2*CR30/10%),0)</f>
        <v>#NAME?</v>
      </c>
      <c r="DB30" s="155" t="e">
        <f ca="1">IF(BD30,_xll.EURO(CN30,Strike2,AO30,AO30,CU30,CM30,IF(OptControl=3,1,0),3)/100,0)</f>
        <v>#NAME?</v>
      </c>
      <c r="DC30" s="156" t="e">
        <f ca="1">IF(BD30,_xll.EURO(CN30,Strike2,AO30,AO30,CU30,CM30,IF(OptControl=3,1,0),0)-_xll.EURO(CN30,Strike2,AO30,AO30,CU30,CM30-1,IF(OptControl=3,1,0),0),0)</f>
        <v>#NAME?</v>
      </c>
      <c r="DD30" s="497"/>
      <c r="DE30" s="651">
        <f t="shared" ca="1" si="61"/>
        <v>37226</v>
      </c>
      <c r="DF30" s="465">
        <v>1E-4</v>
      </c>
      <c r="DG30" s="649">
        <v>1E-4</v>
      </c>
      <c r="DH30" s="650">
        <f t="shared" ca="1" si="23"/>
        <v>37226</v>
      </c>
      <c r="DI30" s="465">
        <v>1E-4</v>
      </c>
      <c r="DJ30" s="649">
        <v>1E-4</v>
      </c>
      <c r="DK30" s="651">
        <f t="shared" ca="1" si="24"/>
        <v>37226</v>
      </c>
      <c r="DL30" s="652">
        <f t="shared" si="25"/>
        <v>5.0100000000000006E-2</v>
      </c>
      <c r="DM30" s="651">
        <f t="shared" ca="1" si="62"/>
        <v>37226</v>
      </c>
      <c r="DN30" s="563">
        <f t="shared" si="63"/>
        <v>3.0099999999999998E-2</v>
      </c>
      <c r="DO30" s="803">
        <v>0.03</v>
      </c>
      <c r="DP30" s="650">
        <f t="shared" ca="1" si="26"/>
        <v>37226</v>
      </c>
      <c r="DQ30" s="653">
        <v>1E-4</v>
      </c>
      <c r="DR30" s="590">
        <v>1E-4</v>
      </c>
      <c r="DS30" s="650">
        <f t="shared" ca="1" si="27"/>
        <v>37226</v>
      </c>
      <c r="DT30" s="653">
        <v>1E-4</v>
      </c>
      <c r="DU30" s="590">
        <v>1E-4</v>
      </c>
      <c r="DV30" s="651">
        <f t="shared" ca="1" si="28"/>
        <v>37226</v>
      </c>
      <c r="DW30" s="590">
        <v>1E-4</v>
      </c>
      <c r="DX30" s="651">
        <f t="shared" ca="1" si="64"/>
        <v>37226</v>
      </c>
      <c r="DY30" s="590">
        <f t="shared" si="65"/>
        <v>1E-4</v>
      </c>
      <c r="DZ30" s="1"/>
      <c r="EA30" s="863" t="e">
        <f ca="1">_xll.ASN(X30,X30,AO30,AS30,0,AI30,0,BI30,BL30,1,0)</f>
        <v>#NAME?</v>
      </c>
      <c r="EB30" s="653" t="e">
        <f ca="1">_xll.ASN(X30,X30,AO30,AS30,0,AI30,0,BI30,BL30,1,3)/100</f>
        <v>#NAME?</v>
      </c>
      <c r="EC30" s="653" t="e">
        <f ca="1">_xll.xCrudeAPO(L31,L32,O31,O32,S31,S32,BI30,BL30,AJ30,AK30,0,X30,AO30,1,0,+BL30,1,0,1)</f>
        <v>#NAME?</v>
      </c>
      <c r="ED30" s="869" t="e">
        <f t="shared" ca="1" si="165"/>
        <v>#NAME?</v>
      </c>
      <c r="EE30" s="863" t="e">
        <f t="shared" ca="1" si="29"/>
        <v>#NAME?</v>
      </c>
      <c r="EF30" s="590" t="e">
        <f t="shared" ca="1" si="30"/>
        <v>#NAME?</v>
      </c>
      <c r="EG30" s="862">
        <f t="shared" ca="1" si="31"/>
        <v>0.29201776734135665</v>
      </c>
      <c r="EH30" s="114">
        <f t="shared" ca="1" si="32"/>
        <v>0.29213007600787966</v>
      </c>
      <c r="EI30" s="109">
        <f t="shared" ca="1" si="33"/>
        <v>0.29213007600787966</v>
      </c>
      <c r="EJ30" s="115" t="e">
        <f ca="1">IF(BD30,_xll.xASN(BP30,Strike1,AO30,EH30,0,BM30,0,BI30,BL30,IF(OptControl=4,0,1),0),0)</f>
        <v>#NAME?</v>
      </c>
      <c r="EK30" s="108" t="e">
        <f ca="1">IF(BD30,_xll.xASN(BP30,Strike2,AO30,EI30,0,BM30,0,BI30,BL30,IF(OptControl=3,1,0),0),0)</f>
        <v>#NAME?</v>
      </c>
      <c r="EM30" s="473" t="e">
        <f ca="1">[1]!'CLc11 MTH'</f>
        <v>#REF!</v>
      </c>
      <c r="EN30" s="474" t="e">
        <f t="shared" ca="1" si="158"/>
        <v>#REF!</v>
      </c>
      <c r="EO30" s="475" t="e">
        <f>[1]!'CLc11 NET.CHNG'</f>
        <v>#REF!</v>
      </c>
      <c r="EP30" s="476">
        <f t="shared" si="159"/>
        <v>0</v>
      </c>
      <c r="EQ30" s="1"/>
      <c r="ER30" s="681">
        <v>37039</v>
      </c>
      <c r="ES30" s="682">
        <v>38353</v>
      </c>
      <c r="ET30" s="1"/>
      <c r="EU30" s="667" t="s">
        <v>134</v>
      </c>
      <c r="EW30" s="488">
        <v>11</v>
      </c>
      <c r="EX30" s="466">
        <f t="shared" ca="1" si="166"/>
        <v>0.85147159479808354</v>
      </c>
      <c r="EY30" s="824">
        <f t="shared" ca="1" si="66"/>
        <v>7.6327719465540525E-2</v>
      </c>
      <c r="EZ30" s="798">
        <f t="shared" ca="1" si="160"/>
        <v>0.29580055757001017</v>
      </c>
      <c r="FA30" s="468">
        <f t="shared" ca="1" si="161"/>
        <v>0.979813709567527</v>
      </c>
      <c r="FB30" s="467">
        <f t="shared" ca="1" si="162"/>
        <v>0.23199402782797177</v>
      </c>
      <c r="FC30" s="242">
        <v>0</v>
      </c>
      <c r="FD30" s="589">
        <f ca="1">IF(OR(FA30="",FA31=""),"",SQRT(SUM(INDEX(FO30:IH30,SwaptionFirstMonthPosition+1):INDEX(FO30:IH30,FN30))/SUM(INDEX($FO$15:$IH$15,SwaptionFirstMonthPosition+1):INDEX($FO$15:$IH$15,FN30))))</f>
        <v>0.2973904606365666</v>
      </c>
      <c r="FE30" s="565">
        <f ca="1">IF(OR(FA30="",FA29=""),"",SQRT(SUM(INDEX(FO30:IH30,SwaptionFirstMonthPosition+1):INDEX(FO30:IH30,FN30-1))/SUM(INDEX($FO$15:$IH$15,SwaptionFirstMonthPosition+1):INDEX($FO$15:$IH$15,FN30-1))))</f>
        <v>0.28645848368511262</v>
      </c>
      <c r="FF30" s="562">
        <f t="shared" ca="1" si="67"/>
        <v>0.28557828190550594</v>
      </c>
      <c r="FG30" s="593">
        <f t="shared" ca="1" si="68"/>
        <v>340</v>
      </c>
      <c r="FH30" s="563">
        <f t="shared" ca="1" si="69"/>
        <v>25.3</v>
      </c>
      <c r="FI30" s="563">
        <f t="shared" ca="1" si="70"/>
        <v>8.6956521739130377E-2</v>
      </c>
      <c r="FJ30" s="563">
        <f t="shared" ca="1" si="71"/>
        <v>8.6956521739130377E-2</v>
      </c>
      <c r="FK30" s="564">
        <f t="shared" ca="1" si="72"/>
        <v>1.1230866652303348E-4</v>
      </c>
      <c r="FL30" s="590">
        <f t="shared" ca="1" si="73"/>
        <v>1.1230866652303348E-4</v>
      </c>
      <c r="FM30" s="242"/>
      <c r="FN30" s="657">
        <v>11</v>
      </c>
      <c r="FO30" s="450">
        <f t="shared" ca="1" si="74"/>
        <v>1.1340713060726333E-3</v>
      </c>
      <c r="FP30" s="450">
        <f t="shared" ca="1" si="75"/>
        <v>4.5239378509665537E-3</v>
      </c>
      <c r="FQ30" s="450">
        <f t="shared" ca="1" si="76"/>
        <v>4.6762007876653923E-3</v>
      </c>
      <c r="FR30" s="450">
        <f t="shared" ca="1" si="77"/>
        <v>5.5621831458322448E-3</v>
      </c>
      <c r="FS30" s="450">
        <f t="shared" ca="1" si="78"/>
        <v>5.6720239944385402E-3</v>
      </c>
      <c r="FT30" s="450">
        <f t="shared" ca="1" si="79"/>
        <v>6.6479219350973843E-3</v>
      </c>
      <c r="FU30" s="450">
        <f t="shared" ca="1" si="80"/>
        <v>6.9265026301455748E-3</v>
      </c>
      <c r="FV30" s="450">
        <f t="shared" ca="1" si="81"/>
        <v>7.2771141194421934E-3</v>
      </c>
      <c r="FW30" s="450">
        <f t="shared" ca="1" si="82"/>
        <v>8.9039400923434237E-3</v>
      </c>
      <c r="FX30" s="450">
        <f t="shared" ca="1" si="83"/>
        <v>1.1368064089647505E-2</v>
      </c>
      <c r="FY30" s="450">
        <f t="shared" ca="1" si="84"/>
        <v>1.1810075985555106E-2</v>
      </c>
      <c r="FZ30" s="450" t="str">
        <f t="shared" si="85"/>
        <v/>
      </c>
      <c r="GA30" s="450" t="str">
        <f t="shared" si="86"/>
        <v/>
      </c>
      <c r="GB30" s="450" t="str">
        <f t="shared" si="87"/>
        <v/>
      </c>
      <c r="GC30" s="450" t="str">
        <f t="shared" si="88"/>
        <v/>
      </c>
      <c r="GD30" s="450" t="str">
        <f t="shared" si="89"/>
        <v/>
      </c>
      <c r="GE30" s="450" t="str">
        <f t="shared" si="90"/>
        <v/>
      </c>
      <c r="GF30" s="450" t="str">
        <f t="shared" si="91"/>
        <v/>
      </c>
      <c r="GG30" s="450" t="str">
        <f t="shared" si="92"/>
        <v/>
      </c>
      <c r="GH30" s="450" t="str">
        <f t="shared" si="93"/>
        <v/>
      </c>
      <c r="GI30" s="450" t="str">
        <f t="shared" si="94"/>
        <v/>
      </c>
      <c r="GJ30" s="450" t="str">
        <f t="shared" si="95"/>
        <v/>
      </c>
      <c r="GK30" s="450" t="str">
        <f t="shared" si="96"/>
        <v/>
      </c>
      <c r="GL30" s="450" t="str">
        <f t="shared" si="97"/>
        <v/>
      </c>
      <c r="GM30" s="450" t="str">
        <f t="shared" si="98"/>
        <v/>
      </c>
      <c r="GN30" s="450" t="str">
        <f t="shared" si="99"/>
        <v/>
      </c>
      <c r="GO30" s="450" t="str">
        <f t="shared" si="100"/>
        <v/>
      </c>
      <c r="GP30" s="450" t="str">
        <f t="shared" si="101"/>
        <v/>
      </c>
      <c r="GQ30" s="450" t="str">
        <f t="shared" si="102"/>
        <v/>
      </c>
      <c r="GR30" s="450" t="str">
        <f t="shared" si="103"/>
        <v/>
      </c>
      <c r="GS30" s="450" t="str">
        <f t="shared" si="104"/>
        <v/>
      </c>
      <c r="GT30" s="450" t="str">
        <f t="shared" si="105"/>
        <v/>
      </c>
      <c r="GU30" s="450" t="str">
        <f t="shared" si="106"/>
        <v/>
      </c>
      <c r="GV30" s="450" t="str">
        <f t="shared" si="107"/>
        <v/>
      </c>
      <c r="GW30" s="450" t="str">
        <f t="shared" si="108"/>
        <v/>
      </c>
      <c r="GX30" s="450" t="str">
        <f t="shared" si="109"/>
        <v/>
      </c>
      <c r="GY30" s="450" t="str">
        <f t="shared" si="110"/>
        <v/>
      </c>
      <c r="GZ30" s="450" t="str">
        <f t="shared" si="111"/>
        <v/>
      </c>
      <c r="HA30" s="450" t="str">
        <f t="shared" si="112"/>
        <v/>
      </c>
      <c r="HB30" s="450" t="str">
        <f t="shared" si="113"/>
        <v/>
      </c>
      <c r="HC30" s="450" t="str">
        <f t="shared" si="114"/>
        <v/>
      </c>
      <c r="HD30" s="450" t="str">
        <f t="shared" si="115"/>
        <v/>
      </c>
      <c r="HE30" s="450" t="str">
        <f t="shared" si="116"/>
        <v/>
      </c>
      <c r="HF30" s="450" t="str">
        <f t="shared" si="117"/>
        <v/>
      </c>
      <c r="HG30" s="450" t="str">
        <f t="shared" si="118"/>
        <v/>
      </c>
      <c r="HH30" s="450" t="str">
        <f t="shared" si="119"/>
        <v/>
      </c>
      <c r="HI30" s="450" t="str">
        <f t="shared" si="120"/>
        <v/>
      </c>
      <c r="HJ30" s="450" t="str">
        <f t="shared" si="121"/>
        <v/>
      </c>
      <c r="HK30" s="450" t="str">
        <f t="shared" si="122"/>
        <v/>
      </c>
      <c r="HL30" s="450" t="str">
        <f t="shared" si="123"/>
        <v/>
      </c>
      <c r="HM30" s="450" t="str">
        <f t="shared" si="124"/>
        <v/>
      </c>
      <c r="HN30" s="450" t="str">
        <f t="shared" si="125"/>
        <v/>
      </c>
      <c r="HO30" s="450" t="str">
        <f t="shared" si="126"/>
        <v/>
      </c>
      <c r="HP30" s="450" t="str">
        <f t="shared" si="127"/>
        <v/>
      </c>
      <c r="HQ30" s="450" t="str">
        <f t="shared" si="128"/>
        <v/>
      </c>
      <c r="HR30" s="450" t="str">
        <f t="shared" si="129"/>
        <v/>
      </c>
      <c r="HS30" s="450" t="str">
        <f t="shared" si="130"/>
        <v/>
      </c>
      <c r="HT30" s="450" t="str">
        <f t="shared" si="131"/>
        <v/>
      </c>
      <c r="HU30" s="450" t="str">
        <f t="shared" si="132"/>
        <v/>
      </c>
      <c r="HV30" s="450" t="str">
        <f t="shared" si="133"/>
        <v/>
      </c>
      <c r="HW30" s="450" t="str">
        <f t="shared" si="134"/>
        <v/>
      </c>
      <c r="HX30" s="450" t="str">
        <f t="shared" si="135"/>
        <v/>
      </c>
      <c r="HY30" s="450" t="str">
        <f t="shared" si="136"/>
        <v/>
      </c>
      <c r="HZ30" s="450" t="str">
        <f t="shared" si="137"/>
        <v/>
      </c>
      <c r="IA30" s="450" t="str">
        <f t="shared" si="138"/>
        <v/>
      </c>
      <c r="IB30" s="450" t="str">
        <f t="shared" si="139"/>
        <v/>
      </c>
      <c r="IC30" s="450" t="str">
        <f t="shared" si="140"/>
        <v/>
      </c>
      <c r="ID30" s="450" t="str">
        <f t="shared" si="141"/>
        <v/>
      </c>
      <c r="IE30" s="450" t="str">
        <f t="shared" si="142"/>
        <v/>
      </c>
      <c r="IF30" s="450" t="str">
        <f t="shared" si="143"/>
        <v/>
      </c>
      <c r="IG30" s="450" t="str">
        <f t="shared" si="144"/>
        <v/>
      </c>
      <c r="IH30" s="658" t="str">
        <f t="shared" si="145"/>
        <v/>
      </c>
      <c r="II30" s="242"/>
    </row>
    <row r="31" spans="1:243" ht="14.25" customHeight="1">
      <c r="A31" s="826" t="s">
        <v>492</v>
      </c>
      <c r="B31" s="73" t="s">
        <v>112</v>
      </c>
      <c r="C31" s="158" t="s">
        <v>33</v>
      </c>
      <c r="D31" s="158" t="s">
        <v>159</v>
      </c>
      <c r="E31" s="337" t="s">
        <v>160</v>
      </c>
      <c r="F31" s="340" t="s">
        <v>117</v>
      </c>
      <c r="G31" s="326">
        <f ca="1">TODAY()</f>
        <v>36991</v>
      </c>
      <c r="H31" s="49" t="e">
        <f t="shared" ca="1" si="34"/>
        <v>#N/A</v>
      </c>
      <c r="I31" s="369">
        <f t="shared" si="35"/>
        <v>37347</v>
      </c>
      <c r="J31" s="367">
        <v>25.42</v>
      </c>
      <c r="K31" s="101" t="s">
        <v>487</v>
      </c>
      <c r="L31" s="382">
        <f t="shared" si="36"/>
        <v>25.42</v>
      </c>
      <c r="M31" s="163">
        <v>0.29371557677562998</v>
      </c>
      <c r="N31" s="372">
        <v>0</v>
      </c>
      <c r="O31" s="163">
        <f t="shared" si="37"/>
        <v>0.29371557677562998</v>
      </c>
      <c r="P31" s="367">
        <v>23.94</v>
      </c>
      <c r="Q31" s="100" t="s">
        <v>487</v>
      </c>
      <c r="R31" s="367">
        <f t="shared" ca="1" si="147"/>
        <v>23.94</v>
      </c>
      <c r="S31" s="814">
        <f t="shared" si="163"/>
        <v>0.38521910375044022</v>
      </c>
      <c r="T31" s="813">
        <f t="shared" si="148"/>
        <v>0.97488698447343047</v>
      </c>
      <c r="U31" s="532">
        <f t="shared" si="149"/>
        <v>0.99936647295951841</v>
      </c>
      <c r="V31" s="379">
        <v>0</v>
      </c>
      <c r="W31" s="424">
        <f t="shared" si="150"/>
        <v>25.152727272727272</v>
      </c>
      <c r="X31" s="405">
        <f t="shared" si="38"/>
        <v>25.152727272727272</v>
      </c>
      <c r="Y31" s="313">
        <f t="shared" si="39"/>
        <v>23.569090909090907</v>
      </c>
      <c r="Z31" s="313">
        <f t="shared" ca="1" si="40"/>
        <v>23.569090909090907</v>
      </c>
      <c r="AA31" s="419">
        <f t="shared" si="1"/>
        <v>1.5836363636363657</v>
      </c>
      <c r="AB31" s="423">
        <f t="shared" ca="1" si="2"/>
        <v>1.5836363636363657</v>
      </c>
      <c r="AC31" s="218">
        <v>37335</v>
      </c>
      <c r="AD31" s="219">
        <v>37330</v>
      </c>
      <c r="AE31" s="219">
        <v>37329</v>
      </c>
      <c r="AF31" s="220">
        <v>37328</v>
      </c>
      <c r="AG31" s="241" t="s">
        <v>496</v>
      </c>
      <c r="AH31" s="239" t="s">
        <v>496</v>
      </c>
      <c r="AI31" s="141">
        <v>22</v>
      </c>
      <c r="AJ31" s="41">
        <v>16</v>
      </c>
      <c r="AK31" s="41">
        <v>6</v>
      </c>
      <c r="AL31" s="285">
        <v>22</v>
      </c>
      <c r="AM31" s="41">
        <v>10</v>
      </c>
      <c r="AN31" s="142">
        <v>12</v>
      </c>
      <c r="AO31" s="364">
        <v>4.4745815813948604E-2</v>
      </c>
      <c r="AP31" s="145">
        <f t="shared" ca="1" si="41"/>
        <v>0.9543100882443033</v>
      </c>
      <c r="AQ31" s="364">
        <v>4.0138538501480497E-2</v>
      </c>
      <c r="AR31" s="145">
        <f t="shared" ca="1" si="151"/>
        <v>0.96368216545051655</v>
      </c>
      <c r="AS31" s="264">
        <f t="shared" si="3"/>
        <v>0.28726340661275179</v>
      </c>
      <c r="AT31" s="149">
        <f t="shared" si="42"/>
        <v>0.29371557677562998</v>
      </c>
      <c r="AU31" s="149">
        <f t="shared" si="4"/>
        <v>0.28590466475269366</v>
      </c>
      <c r="AV31" s="263">
        <f t="shared" ca="1" si="164"/>
        <v>0.2836826418195546</v>
      </c>
      <c r="AW31" s="150">
        <f t="shared" ca="1" si="5"/>
        <v>3</v>
      </c>
      <c r="AX31" s="149">
        <f t="shared" ca="1" si="152"/>
        <v>5.6684068599224841E-2</v>
      </c>
      <c r="AY31" s="149">
        <f t="shared" ca="1" si="153"/>
        <v>3.2775762245163279E-2</v>
      </c>
      <c r="AZ31" s="149">
        <f t="shared" ca="1" si="154"/>
        <v>1.3934212820427595E-2</v>
      </c>
      <c r="BA31" s="149">
        <f t="shared" ca="1" si="155"/>
        <v>1.0000000000000013E-4</v>
      </c>
      <c r="BB31" s="149">
        <f t="shared" ca="1" si="156"/>
        <v>1.0000000000000013E-4</v>
      </c>
      <c r="BC31" s="149">
        <f t="shared" ca="1" si="157"/>
        <v>1.0000000000000013E-4</v>
      </c>
      <c r="BD31" s="143">
        <f t="shared" ca="1" si="43"/>
        <v>30</v>
      </c>
      <c r="BE31" s="144">
        <f t="shared" ca="1" si="44"/>
        <v>30</v>
      </c>
      <c r="BF31" s="40">
        <f t="shared" si="7"/>
        <v>2002</v>
      </c>
      <c r="BG31" s="139">
        <f t="shared" si="8"/>
        <v>4</v>
      </c>
      <c r="BH31" s="140">
        <f t="shared" ca="1" si="45"/>
        <v>340</v>
      </c>
      <c r="BI31" s="304">
        <f t="shared" ca="1" si="46"/>
        <v>0.97741273100616022</v>
      </c>
      <c r="BJ31" s="42">
        <f t="shared" ca="1" si="47"/>
        <v>1.0351564930620372</v>
      </c>
      <c r="BK31" s="42">
        <f t="shared" ca="1" si="9"/>
        <v>1.0378943438491692</v>
      </c>
      <c r="BL31" s="42">
        <f t="shared" ca="1" si="48"/>
        <v>1.0568104038329911</v>
      </c>
      <c r="BM31" s="285">
        <f t="shared" si="49"/>
        <v>22</v>
      </c>
      <c r="BN31" s="41">
        <f t="shared" si="50"/>
        <v>16</v>
      </c>
      <c r="BO31" s="41">
        <f t="shared" si="51"/>
        <v>6</v>
      </c>
      <c r="BP31" s="297">
        <f t="shared" ca="1" si="10"/>
        <v>25.102727272727275</v>
      </c>
      <c r="BQ31" s="297">
        <f t="shared" ca="1" si="11"/>
        <v>9.5498497084706369E-2</v>
      </c>
      <c r="BR31" s="299">
        <f t="shared" ca="1" si="12"/>
        <v>9.5498497084706369E-2</v>
      </c>
      <c r="BS31" s="153">
        <f t="shared" ca="1" si="13"/>
        <v>25.16</v>
      </c>
      <c r="BT31" s="153">
        <f t="shared" ca="1" si="14"/>
        <v>24.95</v>
      </c>
      <c r="BU31" s="300">
        <f t="shared" ca="1" si="15"/>
        <v>0.28862214847280998</v>
      </c>
      <c r="BV31" s="301">
        <f t="shared" ca="1" si="16"/>
        <v>0.28364009498593001</v>
      </c>
      <c r="BW31" s="300">
        <f t="shared" ca="1" si="17"/>
        <v>1.0000000000000013E-4</v>
      </c>
      <c r="BX31" s="301">
        <f t="shared" ca="1" si="18"/>
        <v>1.0000000000000013E-4</v>
      </c>
      <c r="BY31" s="146">
        <f t="shared" ca="1" si="19"/>
        <v>0.28871764696989471</v>
      </c>
      <c r="BZ31" s="146">
        <f t="shared" ca="1" si="20"/>
        <v>0.28373559348301475</v>
      </c>
      <c r="CA31" s="146">
        <f t="shared" ca="1" si="21"/>
        <v>0.28871764696989471</v>
      </c>
      <c r="CB31" s="146">
        <f t="shared" ca="1" si="22"/>
        <v>0.28373559348301475</v>
      </c>
      <c r="CC31" s="302">
        <v>1</v>
      </c>
      <c r="CD31" s="154" t="e">
        <f ca="1">IF(BD31,_xll.xCrudeAPO(BS31,BT31,BY31,BZ31,S32,S33,BI31,BL31,BN31,BO31,0,Strike1,AO31,CC31,0,BL31,IF(OptControl=4,0,1),0,1),0)</f>
        <v>#NAME?</v>
      </c>
      <c r="CE31" s="155" t="e">
        <f ca="1">IF(BD31,_xll.xCrudeAPO(BS31,BT31,BY31,BZ31,S32,S33,BI31,BL31,BN31,BO31,0,Strike1,AO31,CC31,0,BL31,IF(OptControl=4,0,1),1,1)+_xll.xCrudeAPO(BS31,BT31,BY31,BZ31,S32,S33,BI31,BL31,BN31,BO31,0,Strike1,AO31,CC31,0,BL31,IF(OptControl=4,0,1),1,2)+IF(OR(VolSkewFlag=2,ABS(BQ31)&lt;0.0001),0,IF(BQ31&gt;0,-1,1)*CF31*Strike1/BP31^2*BW31/10%),0)</f>
        <v>#NAME?</v>
      </c>
      <c r="CF31" s="155" t="e">
        <f ca="1">IF(BD31,(_xll.xCrudeAPO(BS31,BT31,BY31,BZ31,S32,S33,BI31,BL31,BN31,BO31,0,Strike1,AO31,CC31,0,BL31,IF(OptControl=4,0,1),3,1)+_xll.xCrudeAPO(BS31,BT31,BY31,BZ31,S32,S33,BI31,BL31,BN31,BO31,0,Strike1,AO31,CC31,0,BL31,IF(OptControl=4,0,1),3,2))/100,0)</f>
        <v>#NAME?</v>
      </c>
      <c r="CG31" s="155" t="e">
        <f ca="1">IF(BD31,_xll.xCrudeAPO(BS31,BT31,BY31,BZ31,S32,S33,BI31-DaysForThetaCalculation/365.25,BL31-DaysForThetaCalculation/365.25,BN31,BO31,0,Strike1,AO31,CC31,0,BL31,IF(OptControl=4,0,1),0,1)-_xll.xCrudeAPO(BS31,BT31,BY31,BZ31,S32,S33,BI31,BL31,BN31,BO31,0,Strike1,AO31,CC31,0,BL31,IF(OptControl=4,0,1),0,1),0)</f>
        <v>#NAME?</v>
      </c>
      <c r="CH31" s="303" t="e">
        <f ca="1">IF(BD31,_xll.xCrudeAPO(BS31,BT31,CA31,CB31,S32,S33,BI31,BL31,BN31,BO31,0,Strike2,AO31,CC31,0,BL31,IF(OptControl=3,1,0),0,1),0)</f>
        <v>#NAME?</v>
      </c>
      <c r="CI31" s="155" t="e">
        <f ca="1">IF(BD31,_xll.xCrudeAPO(BS31,BT31,CA31,CB31,S32,S33,BI31,BL31,BN31,BO31,0,Strike2,AO31,CC31,0,BL31,IF(OptControl=3,1,0),1,1)+_xll.xCrudeAPO(BS31,BT31,CA31,CB31,S32,S33,BI31,BL31,BN31,BO31,0,Strike2,AO31,CC31,0,BL31,IF(OptControl=3,1,0),1,2)+IF(OR(VolSkewFlag=2,ABS(BR31)&lt;0.0001),0,IF(BR31&gt;0,-1,1)*CJ31*Strike2/BP31^2*BX31/10%),0)</f>
        <v>#NAME?</v>
      </c>
      <c r="CJ31" s="155" t="e">
        <f ca="1">IF(BD31,(_xll.xCrudeAPO(BS31,BT31,CA31,CB31,S32,S33,BI31,BL31,BN31,BO31,0,Strike2,AO31,CC31,0,BL31,IF(OptControl=3,1,0),3,1)+_xll.xCrudeAPO(BS31,BT31,CA31,CB31,S32,S33,BI31,BL31,BN31,BO31,0,Strike2,AO31,CC31,0,BL31,IF(OptControl=3,1,0),3,2))/100,0)</f>
        <v>#NAME?</v>
      </c>
      <c r="CK31" s="156" t="e">
        <f ca="1">IF(BD31,_xll.xCrudeAPO(BS31,BT31,CA31,CB31,S32,S33,BI31-DaysForThetaCalculation/365.25,BL31-DaysForThetaCalculation/365.25,BN31,BO31,0,Strike2,AO31,CC31,0,BL31,IF(OptControl=3,1,0),0,1)-_xll.xCrudeAPO(BS31,BT31,CA31,CB31,S32,S33,BI31,BL31,BN31,BO31,0,Strike2,AO31,CC31,0,BL31,IF(OptControl=3,1,0),0,1),0)</f>
        <v>#NAME?</v>
      </c>
      <c r="CL31" s="497"/>
      <c r="CM31" s="779">
        <f t="shared" ca="1" si="52"/>
        <v>340</v>
      </c>
      <c r="CN31" s="783">
        <f t="shared" ca="1" si="53"/>
        <v>25.42</v>
      </c>
      <c r="CO31" s="780">
        <f t="shared" ca="1" si="54"/>
        <v>8.1825334382376047E-2</v>
      </c>
      <c r="CP31" s="780">
        <f t="shared" ca="1" si="55"/>
        <v>8.1825334382376047E-2</v>
      </c>
      <c r="CQ31" s="780">
        <f t="shared" ca="1" si="56"/>
        <v>1.291549665014886E-4</v>
      </c>
      <c r="CR31" s="780">
        <f t="shared" ca="1" si="57"/>
        <v>1.291549665014886E-4</v>
      </c>
      <c r="CS31" s="781">
        <f t="shared" ca="1" si="58"/>
        <v>0.29371557677562998</v>
      </c>
      <c r="CT31" s="782">
        <f t="shared" ca="1" si="59"/>
        <v>0.29382125825884126</v>
      </c>
      <c r="CU31" s="782">
        <f t="shared" ca="1" si="60"/>
        <v>0.29382125825884126</v>
      </c>
      <c r="CV31" s="155" t="e">
        <f ca="1">IF(BD31,_xll.EURO(CN31,Strike1,AO31,AO31,CT31,CM31,IF(OptControl=4,0,1),0),0)</f>
        <v>#NAME?</v>
      </c>
      <c r="CW31" s="155" t="e">
        <f ca="1">IF(BD31,_xll.EURO(CN31,Strike1,AO31,AO31,CT31,CM31,IF(OptControl=4,0,1),1)+IF(OR(VolSkewFlag=2,ABS(CO31)&lt;0.0001),0,IF(CO31&gt;0,-1,1)*CX31*100*Strike1/CN31^2*CQ31/10%),0)</f>
        <v>#NAME?</v>
      </c>
      <c r="CX31" s="155" t="e">
        <f ca="1">IF(BD31,_xll.EURO(CN31,Strike1,AO31,AO31,CT31,CM31,IF(OptControl=4,0,1),3)/100,0)</f>
        <v>#NAME?</v>
      </c>
      <c r="CY31" s="155" t="e">
        <f ca="1">IF(BD31,_xll.EURO(CN31,Strike1,AO31,AO31,CT31,CM31,IF(OptControl=4,0,1),0)-_xll.EURO(CN31,Strike1,AO31,AO31,CT31,CM31-1,IF(OptControl=4,0,1),0),0)</f>
        <v>#NAME?</v>
      </c>
      <c r="CZ31" s="155" t="e">
        <f ca="1">IF(BD31,_xll.EURO(CN31,Strike2,AO31,AO31,CU31,CM31,IF(OptControl=3,1,0),0),0)</f>
        <v>#NAME?</v>
      </c>
      <c r="DA31" s="155" t="e">
        <f ca="1">IF(BD31,_xll.EURO(CN31,Strike2,AO31,AO31,CU31,CM31,IF(OptControl=3,1,0),1)+IF(OR(VolSkewFlag=2,ABS(CP31)&lt;0.0001),0,IF(CP31&gt;0,-1,1)*DB31*100*Strike2/CN31^2*CR31/10%),0)</f>
        <v>#NAME?</v>
      </c>
      <c r="DB31" s="155" t="e">
        <f ca="1">IF(BD31,_xll.EURO(CN31,Strike2,AO31,AO31,CU31,CM31,IF(OptControl=3,1,0),3)/100,0)</f>
        <v>#NAME?</v>
      </c>
      <c r="DC31" s="156" t="e">
        <f ca="1">IF(BD31,_xll.EURO(CN31,Strike2,AO31,AO31,CU31,CM31,IF(OptControl=3,1,0),0)-_xll.EURO(CN31,Strike2,AO31,AO31,CU31,CM31-1,IF(OptControl=3,1,0),0),0)</f>
        <v>#NAME?</v>
      </c>
      <c r="DD31" s="497"/>
      <c r="DE31" s="651">
        <f t="shared" ca="1" si="61"/>
        <v>37257</v>
      </c>
      <c r="DF31" s="465">
        <v>1E-4</v>
      </c>
      <c r="DG31" s="649">
        <v>1E-4</v>
      </c>
      <c r="DH31" s="650">
        <f t="shared" ca="1" si="23"/>
        <v>37257</v>
      </c>
      <c r="DI31" s="465">
        <v>1E-4</v>
      </c>
      <c r="DJ31" s="649">
        <v>1E-4</v>
      </c>
      <c r="DK31" s="651">
        <f t="shared" ca="1" si="24"/>
        <v>37257</v>
      </c>
      <c r="DL31" s="652">
        <f t="shared" si="25"/>
        <v>5.0100000000000006E-2</v>
      </c>
      <c r="DM31" s="651">
        <f t="shared" ca="1" si="62"/>
        <v>37257</v>
      </c>
      <c r="DN31" s="563">
        <f t="shared" si="63"/>
        <v>4.0100000000000004E-2</v>
      </c>
      <c r="DO31" s="803">
        <v>0.04</v>
      </c>
      <c r="DP31" s="650">
        <f t="shared" ca="1" si="26"/>
        <v>37257</v>
      </c>
      <c r="DQ31" s="653">
        <v>1E-4</v>
      </c>
      <c r="DR31" s="590">
        <v>1E-4</v>
      </c>
      <c r="DS31" s="650">
        <f t="shared" ca="1" si="27"/>
        <v>37257</v>
      </c>
      <c r="DT31" s="653">
        <v>1E-4</v>
      </c>
      <c r="DU31" s="590">
        <v>1E-4</v>
      </c>
      <c r="DV31" s="651">
        <f t="shared" ca="1" si="28"/>
        <v>37257</v>
      </c>
      <c r="DW31" s="590">
        <v>1E-4</v>
      </c>
      <c r="DX31" s="651">
        <f t="shared" ca="1" si="64"/>
        <v>37257</v>
      </c>
      <c r="DY31" s="590">
        <f t="shared" si="65"/>
        <v>1E-4</v>
      </c>
      <c r="DZ31" s="1"/>
      <c r="EA31" s="863" t="e">
        <f ca="1">_xll.ASN(X31,X31,AO31,AS31,0,AI31,0,BI31,BL31,1,0)</f>
        <v>#NAME?</v>
      </c>
      <c r="EB31" s="653" t="e">
        <f ca="1">_xll.ASN(X31,X31,AO31,AS31,0,AI31,0,BI31,BL31,1,3)/100</f>
        <v>#NAME?</v>
      </c>
      <c r="EC31" s="653" t="e">
        <f ca="1">_xll.xCrudeAPO(L32,L33,O32,O33,S32,S33,BI31,BL31,AJ31,AK31,0,X31,AO31,1,0,+BL31,1,0,1)</f>
        <v>#NAME?</v>
      </c>
      <c r="ED31" s="869" t="e">
        <f t="shared" ca="1" si="165"/>
        <v>#NAME?</v>
      </c>
      <c r="EE31" s="863" t="e">
        <f t="shared" ca="1" si="29"/>
        <v>#NAME?</v>
      </c>
      <c r="EF31" s="590" t="e">
        <f t="shared" ca="1" si="30"/>
        <v>#NAME?</v>
      </c>
      <c r="EG31" s="862">
        <f t="shared" ca="1" si="31"/>
        <v>0.28726340661275179</v>
      </c>
      <c r="EH31" s="114">
        <f t="shared" ca="1" si="32"/>
        <v>0.28735890510983653</v>
      </c>
      <c r="EI31" s="109">
        <f t="shared" ca="1" si="33"/>
        <v>0.28735890510983653</v>
      </c>
      <c r="EJ31" s="115" t="e">
        <f ca="1">IF(BD31,_xll.xASN(BP31,Strike1,AO31,EH31,0,BM31,0,BI31,BL31,IF(OptControl=4,0,1),0),0)</f>
        <v>#NAME?</v>
      </c>
      <c r="EK31" s="108" t="e">
        <f ca="1">IF(BD31,_xll.xASN(BP31,Strike2,AO31,EI31,0,BM31,0,BI31,BL31,IF(OptControl=3,1,0),0),0)</f>
        <v>#NAME?</v>
      </c>
      <c r="EM31" s="473" t="e">
        <f ca="1">[1]!'CLc12 MTH'</f>
        <v>#REF!</v>
      </c>
      <c r="EN31" s="474" t="e">
        <f t="shared" ca="1" si="158"/>
        <v>#REF!</v>
      </c>
      <c r="EO31" s="475" t="e">
        <f>[1]!'CLc12 NET.CHNG'</f>
        <v>#REF!</v>
      </c>
      <c r="EP31" s="476">
        <f t="shared" si="159"/>
        <v>0</v>
      </c>
      <c r="EQ31" s="1"/>
      <c r="ER31" s="681">
        <v>37076</v>
      </c>
      <c r="ES31" s="682">
        <v>38711</v>
      </c>
      <c r="ET31" s="1"/>
      <c r="EU31" s="667" t="s">
        <v>135</v>
      </c>
      <c r="EW31" s="488">
        <v>12</v>
      </c>
      <c r="EX31" s="466">
        <f t="shared" ca="1" si="166"/>
        <v>0.9308692676249144</v>
      </c>
      <c r="EY31" s="824">
        <f t="shared" ca="1" si="66"/>
        <v>8.0305011947482366E-2</v>
      </c>
      <c r="EZ31" s="798">
        <f t="shared" ca="1" si="160"/>
        <v>0.28952683218947434</v>
      </c>
      <c r="FA31" s="468">
        <f t="shared" ca="1" si="161"/>
        <v>0.92689537882181949</v>
      </c>
      <c r="FB31" s="467">
        <f t="shared" ca="1" si="162"/>
        <v>0.2251336384551951</v>
      </c>
      <c r="FC31" s="242">
        <v>0</v>
      </c>
      <c r="FD31" s="589">
        <f ca="1">IF(OR(FA31="",FA32=""),"",SQRT(SUM(INDEX(FO31:IH31,SwaptionFirstMonthPosition+1):INDEX(FO31:IH31,FN31))/SUM(INDEX($FO$15:$IH$15,SwaptionFirstMonthPosition+1):INDEX($FO$15:$IH$15,FN31))))</f>
        <v>0.29097414575116837</v>
      </c>
      <c r="FE31" s="565">
        <f ca="1">IF(OR(FA31="",FA30=""),"",SQRT(SUM(INDEX(FO31:IH31,SwaptionFirstMonthPosition+1):INDEX(FO31:IH31,FN31-1))/SUM(INDEX($FO$15:$IH$15,SwaptionFirstMonthPosition+1):INDEX($FO$15:$IH$15,FN31-1))))</f>
        <v>0.28029732906074528</v>
      </c>
      <c r="FF31" s="562">
        <f t="shared" ca="1" si="67"/>
        <v>0.2812674930050334</v>
      </c>
      <c r="FG31" s="593">
        <f t="shared" ca="1" si="68"/>
        <v>370.5</v>
      </c>
      <c r="FH31" s="563">
        <f t="shared" ca="1" si="69"/>
        <v>25.102727272727275</v>
      </c>
      <c r="FI31" s="563">
        <f t="shared" ca="1" si="70"/>
        <v>9.5498497084706369E-2</v>
      </c>
      <c r="FJ31" s="563">
        <f t="shared" ca="1" si="71"/>
        <v>9.5498497084706369E-2</v>
      </c>
      <c r="FK31" s="564">
        <f t="shared" ca="1" si="72"/>
        <v>9.5498497084706485E-5</v>
      </c>
      <c r="FL31" s="590">
        <f t="shared" ca="1" si="73"/>
        <v>9.5498497084706485E-5</v>
      </c>
      <c r="FM31" s="242"/>
      <c r="FN31" s="657">
        <v>12</v>
      </c>
      <c r="FO31" s="450">
        <f t="shared" ca="1" si="74"/>
        <v>1.0723363971579121E-3</v>
      </c>
      <c r="FP31" s="450">
        <f t="shared" ca="1" si="75"/>
        <v>4.2503073093264091E-3</v>
      </c>
      <c r="FQ31" s="450">
        <f t="shared" ca="1" si="76"/>
        <v>4.3619339312477214E-3</v>
      </c>
      <c r="FR31" s="450">
        <f t="shared" ca="1" si="77"/>
        <v>5.1468388925156915E-3</v>
      </c>
      <c r="FS31" s="450">
        <f t="shared" ca="1" si="78"/>
        <v>5.2014168986679833E-3</v>
      </c>
      <c r="FT31" s="450">
        <f t="shared" ca="1" si="79"/>
        <v>6.0350583557211464E-3</v>
      </c>
      <c r="FU31" s="450">
        <f t="shared" ca="1" si="80"/>
        <v>6.2170075368060936E-3</v>
      </c>
      <c r="FV31" s="450">
        <f t="shared" ca="1" si="81"/>
        <v>6.4488819995031903E-3</v>
      </c>
      <c r="FW31" s="450">
        <f t="shared" ca="1" si="82"/>
        <v>7.7779550967881994E-3</v>
      </c>
      <c r="FX31" s="450">
        <f t="shared" ca="1" si="83"/>
        <v>9.7707350843980554E-3</v>
      </c>
      <c r="FY31" s="450">
        <f t="shared" ca="1" si="84"/>
        <v>9.9662580000551768E-3</v>
      </c>
      <c r="FZ31" s="450">
        <f t="shared" ca="1" si="85"/>
        <v>1.1782119038834979E-2</v>
      </c>
      <c r="GA31" s="450" t="str">
        <f t="shared" si="86"/>
        <v/>
      </c>
      <c r="GB31" s="450" t="str">
        <f t="shared" si="87"/>
        <v/>
      </c>
      <c r="GC31" s="450" t="str">
        <f t="shared" si="88"/>
        <v/>
      </c>
      <c r="GD31" s="450" t="str">
        <f t="shared" si="89"/>
        <v/>
      </c>
      <c r="GE31" s="450" t="str">
        <f t="shared" si="90"/>
        <v/>
      </c>
      <c r="GF31" s="450" t="str">
        <f t="shared" si="91"/>
        <v/>
      </c>
      <c r="GG31" s="450" t="str">
        <f t="shared" si="92"/>
        <v/>
      </c>
      <c r="GH31" s="450" t="str">
        <f t="shared" si="93"/>
        <v/>
      </c>
      <c r="GI31" s="450" t="str">
        <f t="shared" si="94"/>
        <v/>
      </c>
      <c r="GJ31" s="450" t="str">
        <f t="shared" si="95"/>
        <v/>
      </c>
      <c r="GK31" s="450" t="str">
        <f t="shared" si="96"/>
        <v/>
      </c>
      <c r="GL31" s="450" t="str">
        <f t="shared" si="97"/>
        <v/>
      </c>
      <c r="GM31" s="450" t="str">
        <f t="shared" si="98"/>
        <v/>
      </c>
      <c r="GN31" s="450" t="str">
        <f t="shared" si="99"/>
        <v/>
      </c>
      <c r="GO31" s="450" t="str">
        <f t="shared" si="100"/>
        <v/>
      </c>
      <c r="GP31" s="450" t="str">
        <f t="shared" si="101"/>
        <v/>
      </c>
      <c r="GQ31" s="450" t="str">
        <f t="shared" si="102"/>
        <v/>
      </c>
      <c r="GR31" s="450" t="str">
        <f t="shared" si="103"/>
        <v/>
      </c>
      <c r="GS31" s="450" t="str">
        <f t="shared" si="104"/>
        <v/>
      </c>
      <c r="GT31" s="450" t="str">
        <f t="shared" si="105"/>
        <v/>
      </c>
      <c r="GU31" s="450" t="str">
        <f t="shared" si="106"/>
        <v/>
      </c>
      <c r="GV31" s="450" t="str">
        <f t="shared" si="107"/>
        <v/>
      </c>
      <c r="GW31" s="450" t="str">
        <f t="shared" si="108"/>
        <v/>
      </c>
      <c r="GX31" s="450" t="str">
        <f t="shared" si="109"/>
        <v/>
      </c>
      <c r="GY31" s="450" t="str">
        <f t="shared" si="110"/>
        <v/>
      </c>
      <c r="GZ31" s="450" t="str">
        <f t="shared" si="111"/>
        <v/>
      </c>
      <c r="HA31" s="450" t="str">
        <f t="shared" si="112"/>
        <v/>
      </c>
      <c r="HB31" s="450" t="str">
        <f t="shared" si="113"/>
        <v/>
      </c>
      <c r="HC31" s="450" t="str">
        <f t="shared" si="114"/>
        <v/>
      </c>
      <c r="HD31" s="450" t="str">
        <f t="shared" si="115"/>
        <v/>
      </c>
      <c r="HE31" s="450" t="str">
        <f t="shared" si="116"/>
        <v/>
      </c>
      <c r="HF31" s="450" t="str">
        <f t="shared" si="117"/>
        <v/>
      </c>
      <c r="HG31" s="450" t="str">
        <f t="shared" si="118"/>
        <v/>
      </c>
      <c r="HH31" s="450" t="str">
        <f t="shared" si="119"/>
        <v/>
      </c>
      <c r="HI31" s="450" t="str">
        <f t="shared" si="120"/>
        <v/>
      </c>
      <c r="HJ31" s="450" t="str">
        <f t="shared" si="121"/>
        <v/>
      </c>
      <c r="HK31" s="450" t="str">
        <f t="shared" si="122"/>
        <v/>
      </c>
      <c r="HL31" s="450" t="str">
        <f t="shared" si="123"/>
        <v/>
      </c>
      <c r="HM31" s="450" t="str">
        <f t="shared" si="124"/>
        <v/>
      </c>
      <c r="HN31" s="450" t="str">
        <f t="shared" si="125"/>
        <v/>
      </c>
      <c r="HO31" s="450" t="str">
        <f t="shared" si="126"/>
        <v/>
      </c>
      <c r="HP31" s="450" t="str">
        <f t="shared" si="127"/>
        <v/>
      </c>
      <c r="HQ31" s="450" t="str">
        <f t="shared" si="128"/>
        <v/>
      </c>
      <c r="HR31" s="450" t="str">
        <f t="shared" si="129"/>
        <v/>
      </c>
      <c r="HS31" s="450" t="str">
        <f t="shared" si="130"/>
        <v/>
      </c>
      <c r="HT31" s="450" t="str">
        <f t="shared" si="131"/>
        <v/>
      </c>
      <c r="HU31" s="450" t="str">
        <f t="shared" si="132"/>
        <v/>
      </c>
      <c r="HV31" s="450" t="str">
        <f t="shared" si="133"/>
        <v/>
      </c>
      <c r="HW31" s="450" t="str">
        <f t="shared" si="134"/>
        <v/>
      </c>
      <c r="HX31" s="450" t="str">
        <f t="shared" si="135"/>
        <v/>
      </c>
      <c r="HY31" s="450" t="str">
        <f t="shared" si="136"/>
        <v/>
      </c>
      <c r="HZ31" s="450" t="str">
        <f t="shared" si="137"/>
        <v/>
      </c>
      <c r="IA31" s="450" t="str">
        <f t="shared" si="138"/>
        <v/>
      </c>
      <c r="IB31" s="450" t="str">
        <f t="shared" si="139"/>
        <v/>
      </c>
      <c r="IC31" s="450" t="str">
        <f t="shared" si="140"/>
        <v/>
      </c>
      <c r="ID31" s="450" t="str">
        <f t="shared" si="141"/>
        <v/>
      </c>
      <c r="IE31" s="450" t="str">
        <f t="shared" si="142"/>
        <v/>
      </c>
      <c r="IF31" s="450" t="str">
        <f t="shared" si="143"/>
        <v/>
      </c>
      <c r="IG31" s="450" t="str">
        <f t="shared" si="144"/>
        <v/>
      </c>
      <c r="IH31" s="658" t="str">
        <f t="shared" si="145"/>
        <v/>
      </c>
      <c r="II31" s="242"/>
    </row>
    <row r="32" spans="1:243" ht="14.25" customHeight="1">
      <c r="A32" s="827" t="e">
        <f ca="1">_xll.xASTRIP(INDEX(BP19:BP260,SwapFirstMonthPosition):INDEX(BP19:BP260,SwapFirstMonthPosition+SwapNumOfMonths-1),INDEX(EH19:EH260,SwapFirstMonthPosition):INDEX(EH19:EH260,SwapFirstMonthPosition+SwapNumOfMonths-1),INDEX(BI19:BI260,SwapFirstMonthPosition):INDEX(BI19:BI260,SwapFirstMonthPosition+SwapNumOfMonths-1),INDEX(BL19:BL260,SwapFirstMonthPosition):INDEX(BL19:BL260,SwapFirstMonthPosition+SwapNumOfMonths-1),INDEX(BM19:BM260,SwapFirstMonthPosition):INDEX(BM19:BM260,SwapFirstMonthPosition+SwapNumOfMonths-1),0,Strike1,INDEX(AO19:AO260,SwapFirstMonthPosition):INDEX(AO19:AO260,SwapFirstMonthPosition+SwapNumOfMonths-1),1,0,INDEX(BL19:BL260,SwapFirstMonthPosition+SwapNumOfMonths-1),IF(OptControl=4,0,1),0,1)</f>
        <v>#NAME?</v>
      </c>
      <c r="B32" s="77" t="s">
        <v>35</v>
      </c>
      <c r="C32" s="32">
        <v>30</v>
      </c>
      <c r="D32" s="95">
        <f ca="1">SUM(BD19:BD258)</f>
        <v>360</v>
      </c>
      <c r="E32" s="338">
        <f ca="1">SUMPRODUCT(BD19:BD258,AP19:AP258)</f>
        <v>350.35908412401437</v>
      </c>
      <c r="F32" s="341" t="s">
        <v>209</v>
      </c>
      <c r="G32" s="344">
        <f ca="1">DateToday-1-IF(WEEKDAY(DateToday)&lt;=2,WEEKDAY(DateToday),0)</f>
        <v>36990</v>
      </c>
      <c r="H32" s="49" t="e">
        <f t="shared" ca="1" si="34"/>
        <v>#N/A</v>
      </c>
      <c r="I32" s="369">
        <f t="shared" si="35"/>
        <v>37377</v>
      </c>
      <c r="J32" s="367">
        <v>25.21</v>
      </c>
      <c r="K32" s="101" t="s">
        <v>487</v>
      </c>
      <c r="L32" s="382">
        <f t="shared" si="36"/>
        <v>25.21</v>
      </c>
      <c r="M32" s="163">
        <v>0.28862214847280998</v>
      </c>
      <c r="N32" s="372">
        <v>0</v>
      </c>
      <c r="O32" s="163">
        <f t="shared" si="37"/>
        <v>0.28862214847280998</v>
      </c>
      <c r="P32" s="367">
        <v>23.7</v>
      </c>
      <c r="Q32" s="100" t="s">
        <v>268</v>
      </c>
      <c r="R32" s="367">
        <f t="shared" ca="1" si="147"/>
        <v>23.700000000000003</v>
      </c>
      <c r="S32" s="814">
        <f t="shared" si="163"/>
        <v>0.38476691271293584</v>
      </c>
      <c r="T32" s="813">
        <f t="shared" si="148"/>
        <v>0.97747236006020355</v>
      </c>
      <c r="U32" s="532">
        <f t="shared" si="149"/>
        <v>0.99952485471963881</v>
      </c>
      <c r="V32" s="379">
        <v>0</v>
      </c>
      <c r="W32" s="424">
        <f t="shared" si="150"/>
        <v>24.926956521739129</v>
      </c>
      <c r="X32" s="405">
        <f t="shared" si="38"/>
        <v>24.926956521739129</v>
      </c>
      <c r="Y32" s="313">
        <f t="shared" si="39"/>
        <v>23.381739130434781</v>
      </c>
      <c r="Z32" s="313">
        <f ca="1">IF(Q34="extra",X32-AB32,(R33*AM32+R34*AN32)/AL32)</f>
        <v>23.381739130434781</v>
      </c>
      <c r="AA32" s="419">
        <f t="shared" si="1"/>
        <v>1.5452173913043481</v>
      </c>
      <c r="AB32" s="423">
        <f t="shared" ca="1" si="2"/>
        <v>1.5452173913043481</v>
      </c>
      <c r="AC32" s="218">
        <v>37368</v>
      </c>
      <c r="AD32" s="219">
        <v>37363</v>
      </c>
      <c r="AE32" s="219">
        <v>37361</v>
      </c>
      <c r="AF32" s="220">
        <v>37356</v>
      </c>
      <c r="AG32" s="241" t="s">
        <v>496</v>
      </c>
      <c r="AH32" s="239" t="s">
        <v>90</v>
      </c>
      <c r="AI32" s="141">
        <v>23</v>
      </c>
      <c r="AJ32" s="41">
        <v>15</v>
      </c>
      <c r="AK32" s="41">
        <v>8</v>
      </c>
      <c r="AL32" s="285">
        <v>23</v>
      </c>
      <c r="AM32" s="41">
        <v>11</v>
      </c>
      <c r="AN32" s="142">
        <v>12</v>
      </c>
      <c r="AO32" s="364">
        <v>4.4753570012179299E-2</v>
      </c>
      <c r="AP32" s="145">
        <f t="shared" ca="1" si="41"/>
        <v>0.95072431521901901</v>
      </c>
      <c r="AQ32" s="364">
        <v>4.0108962818340199E-2</v>
      </c>
      <c r="AR32" s="145">
        <f t="shared" ca="1" si="151"/>
        <v>0.960256634589299</v>
      </c>
      <c r="AS32" s="264">
        <f t="shared" si="3"/>
        <v>0.28209939516832999</v>
      </c>
      <c r="AT32" s="149">
        <f t="shared" si="42"/>
        <v>0.28862214847280998</v>
      </c>
      <c r="AU32" s="149">
        <f t="shared" si="4"/>
        <v>0.28132904525953001</v>
      </c>
      <c r="AV32" s="263">
        <f t="shared" ca="1" si="164"/>
        <v>0.27752275840330232</v>
      </c>
      <c r="AW32" s="150">
        <f t="shared" ca="1" si="5"/>
        <v>3</v>
      </c>
      <c r="AX32" s="149">
        <f t="shared" ca="1" si="152"/>
        <v>5.5831309346784132E-2</v>
      </c>
      <c r="AY32" s="149">
        <f t="shared" ca="1" si="153"/>
        <v>3.2171918968574499E-2</v>
      </c>
      <c r="AZ32" s="149">
        <f t="shared" ca="1" si="154"/>
        <v>1.3756360238567101E-2</v>
      </c>
      <c r="BA32" s="149">
        <f t="shared" ca="1" si="155"/>
        <v>1.0000000000000009E-4</v>
      </c>
      <c r="BB32" s="149">
        <f t="shared" ca="1" si="156"/>
        <v>1.0000000000000009E-4</v>
      </c>
      <c r="BC32" s="149">
        <f t="shared" ca="1" si="157"/>
        <v>1.0000000000000009E-4</v>
      </c>
      <c r="BD32" s="143">
        <f t="shared" ca="1" si="43"/>
        <v>0</v>
      </c>
      <c r="BE32" s="144">
        <f t="shared" ca="1" si="44"/>
        <v>0</v>
      </c>
      <c r="BF32" s="40">
        <f t="shared" si="7"/>
        <v>2002</v>
      </c>
      <c r="BG32" s="139">
        <f t="shared" si="8"/>
        <v>5</v>
      </c>
      <c r="BH32" s="140">
        <f t="shared" ca="1" si="45"/>
        <v>373</v>
      </c>
      <c r="BI32" s="304">
        <f t="shared" ca="1" si="46"/>
        <v>1.0595482546201231</v>
      </c>
      <c r="BJ32" s="42">
        <f t="shared" ca="1" si="47"/>
        <v>1.1131149004553165</v>
      </c>
      <c r="BK32" s="42">
        <f t="shared" ca="1" si="9"/>
        <v>1.1158527512424485</v>
      </c>
      <c r="BL32" s="42">
        <f t="shared" ca="1" si="48"/>
        <v>1.1416837782340863</v>
      </c>
      <c r="BM32" s="285">
        <f t="shared" si="49"/>
        <v>23</v>
      </c>
      <c r="BN32" s="41">
        <f t="shared" si="50"/>
        <v>15</v>
      </c>
      <c r="BO32" s="41">
        <f t="shared" si="51"/>
        <v>8</v>
      </c>
      <c r="BP32" s="297" t="str">
        <f t="shared" ca="1" si="10"/>
        <v/>
      </c>
      <c r="BQ32" s="297" t="str">
        <f t="shared" ca="1" si="11"/>
        <v/>
      </c>
      <c r="BR32" s="299" t="str">
        <f t="shared" ca="1" si="12"/>
        <v/>
      </c>
      <c r="BS32" s="153" t="str">
        <f t="shared" ca="1" si="13"/>
        <v/>
      </c>
      <c r="BT32" s="153" t="str">
        <f t="shared" ca="1" si="14"/>
        <v/>
      </c>
      <c r="BU32" s="300" t="str">
        <f t="shared" ca="1" si="15"/>
        <v/>
      </c>
      <c r="BV32" s="301" t="str">
        <f t="shared" ca="1" si="16"/>
        <v/>
      </c>
      <c r="BW32" s="300" t="str">
        <f t="shared" ca="1" si="17"/>
        <v/>
      </c>
      <c r="BX32" s="301" t="str">
        <f t="shared" ca="1" si="18"/>
        <v/>
      </c>
      <c r="BY32" s="146" t="str">
        <f t="shared" ca="1" si="19"/>
        <v/>
      </c>
      <c r="BZ32" s="146" t="str">
        <f t="shared" ca="1" si="20"/>
        <v/>
      </c>
      <c r="CA32" s="146" t="str">
        <f t="shared" ca="1" si="21"/>
        <v/>
      </c>
      <c r="CB32" s="146" t="str">
        <f t="shared" ca="1" si="22"/>
        <v/>
      </c>
      <c r="CC32" s="302">
        <v>1</v>
      </c>
      <c r="CD32" s="154">
        <f ca="1">IF(BD32,_xll.xCrudeAPO(BS32,BT32,BY32,BZ32,S33,S34,BI32,BL32,BN32,BO32,0,Strike1,AO32,CC32,0,BL32,IF(OptControl=4,0,1),0,1),0)</f>
        <v>0</v>
      </c>
      <c r="CE32" s="155">
        <f ca="1">IF(BD32,_xll.xCrudeAPO(BS32,BT32,BY32,BZ32,S33,S34,BI32,BL32,BN32,BO32,0,Strike1,AO32,CC32,0,BL32,IF(OptControl=4,0,1),1,1)+_xll.xCrudeAPO(BS32,BT32,BY32,BZ32,S33,S34,BI32,BL32,BN32,BO32,0,Strike1,AO32,CC32,0,BL32,IF(OptControl=4,0,1),1,2)+IF(OR(VolSkewFlag=2,ABS(BQ32)&lt;0.0001),0,IF(BQ32&gt;0,-1,1)*CF32*Strike1/BP32^2*BW32/10%),0)</f>
        <v>0</v>
      </c>
      <c r="CF32" s="155">
        <f ca="1">IF(BD32,(_xll.xCrudeAPO(BS32,BT32,BY32,BZ32,S33,S34,BI32,BL32,BN32,BO32,0,Strike1,AO32,CC32,0,BL32,IF(OptControl=4,0,1),3,1)+_xll.xCrudeAPO(BS32,BT32,BY32,BZ32,S33,S34,BI32,BL32,BN32,BO32,0,Strike1,AO32,CC32,0,BL32,IF(OptControl=4,0,1),3,2))/100,0)</f>
        <v>0</v>
      </c>
      <c r="CG32" s="155">
        <f ca="1">IF(BD32,_xll.xCrudeAPO(BS32,BT32,BY32,BZ32,S33,S34,BI32-DaysForThetaCalculation/365.25,BL32-DaysForThetaCalculation/365.25,BN32,BO32,0,Strike1,AO32,CC32,0,BL32,IF(OptControl=4,0,1),0,1)-_xll.xCrudeAPO(BS32,BT32,BY32,BZ32,S33,S34,BI32,BL32,BN32,BO32,0,Strike1,AO32,CC32,0,BL32,IF(OptControl=4,0,1),0,1),0)</f>
        <v>0</v>
      </c>
      <c r="CH32" s="303">
        <f ca="1">IF(BD32,_xll.xCrudeAPO(BS32,BT32,CA32,CB32,S33,S34,BI32,BL32,BN32,BO32,0,Strike2,AO32,CC32,0,BL32,IF(OptControl=3,1,0),0,1),0)</f>
        <v>0</v>
      </c>
      <c r="CI32" s="155">
        <f ca="1">IF(BD32,_xll.xCrudeAPO(BS32,BT32,CA32,CB32,S33,S34,BI32,BL32,BN32,BO32,0,Strike2,AO32,CC32,0,BL32,IF(OptControl=3,1,0),1,1)+_xll.xCrudeAPO(BS32,BT32,CA32,CB32,S33,S34,BI32,BL32,BN32,BO32,0,Strike2,AO32,CC32,0,BL32,IF(OptControl=3,1,0),1,2)+IF(OR(VolSkewFlag=2,ABS(BR32)&lt;0.0001),0,IF(BR32&gt;0,-1,1)*CJ32*Strike2/BP32^2*BX32/10%),0)</f>
        <v>0</v>
      </c>
      <c r="CJ32" s="155">
        <f ca="1">IF(BD32,(_xll.xCrudeAPO(BS32,BT32,CA32,CB32,S33,S34,BI32,BL32,BN32,BO32,0,Strike2,AO32,CC32,0,BL32,IF(OptControl=3,1,0),3,1)+_xll.xCrudeAPO(BS32,BT32,CA32,CB32,S33,S34,BI32,BL32,BN32,BO32,0,Strike2,AO32,CC32,0,BL32,IF(OptControl=3,1,0),3,2))/100,0)</f>
        <v>0</v>
      </c>
      <c r="CK32" s="156">
        <f ca="1">IF(BD32,_xll.xCrudeAPO(BS32,BT32,CA32,CB32,S33,S34,BI32-DaysForThetaCalculation/365.25,BL32-DaysForThetaCalculation/365.25,BN32,BO32,0,Strike2,AO32,CC32,0,BL32,IF(OptControl=3,1,0),0,1)-_xll.xCrudeAPO(BS32,BT32,CA32,CB32,S33,S34,BI32,BL32,BN32,BO32,0,Strike2,AO32,CC32,0,BL32,IF(OptControl=3,1,0),0,1),0)</f>
        <v>0</v>
      </c>
      <c r="CL32" s="497"/>
      <c r="CM32" s="779" t="str">
        <f t="shared" ca="1" si="52"/>
        <v/>
      </c>
      <c r="CN32" s="783" t="str">
        <f t="shared" ca="1" si="53"/>
        <v/>
      </c>
      <c r="CO32" s="780" t="str">
        <f t="shared" ca="1" si="54"/>
        <v/>
      </c>
      <c r="CP32" s="780" t="str">
        <f t="shared" ca="1" si="55"/>
        <v/>
      </c>
      <c r="CQ32" s="780" t="str">
        <f t="shared" ca="1" si="56"/>
        <v/>
      </c>
      <c r="CR32" s="780" t="str">
        <f t="shared" ca="1" si="57"/>
        <v/>
      </c>
      <c r="CS32" s="781" t="str">
        <f t="shared" ca="1" si="58"/>
        <v/>
      </c>
      <c r="CT32" s="782" t="str">
        <f t="shared" ca="1" si="59"/>
        <v/>
      </c>
      <c r="CU32" s="782" t="str">
        <f t="shared" ca="1" si="60"/>
        <v/>
      </c>
      <c r="CV32" s="155">
        <f ca="1">IF(BD32,_xll.EURO(CN32,Strike1,AO32,AO32,CT32,CM32,IF(OptControl=4,0,1),0),0)</f>
        <v>0</v>
      </c>
      <c r="CW32" s="155">
        <f ca="1">IF(BD32,_xll.EURO(CN32,Strike1,AO32,AO32,CT32,CM32,IF(OptControl=4,0,1),1)+IF(OR(VolSkewFlag=2,ABS(CO32)&lt;0.0001),0,IF(CO32&gt;0,-1,1)*CX32*100*Strike1/CN32^2*CQ32/10%),0)</f>
        <v>0</v>
      </c>
      <c r="CX32" s="155">
        <f ca="1">IF(BD32,_xll.EURO(CN32,Strike1,AO32,AO32,CT32,CM32,IF(OptControl=4,0,1),3)/100,0)</f>
        <v>0</v>
      </c>
      <c r="CY32" s="155">
        <f ca="1">IF(BD32,_xll.EURO(CN32,Strike1,AO32,AO32,CT32,CM32,IF(OptControl=4,0,1),0)-_xll.EURO(CN32,Strike1,AO32,AO32,CT32,CM32-1,IF(OptControl=4,0,1),0),0)</f>
        <v>0</v>
      </c>
      <c r="CZ32" s="155">
        <f ca="1">IF(BD32,_xll.EURO(CN32,Strike2,AO32,AO32,CU32,CM32,IF(OptControl=3,1,0),0),0)</f>
        <v>0</v>
      </c>
      <c r="DA32" s="155">
        <f ca="1">IF(BD32,_xll.EURO(CN32,Strike2,AO32,AO32,CU32,CM32,IF(OptControl=3,1,0),1)+IF(OR(VolSkewFlag=2,ABS(CP32)&lt;0.0001),0,IF(CP32&gt;0,-1,1)*DB32*100*Strike2/CN32^2*CR32/10%),0)</f>
        <v>0</v>
      </c>
      <c r="DB32" s="155">
        <f ca="1">IF(BD32,_xll.EURO(CN32,Strike2,AO32,AO32,CU32,CM32,IF(OptControl=3,1,0),3)/100,0)</f>
        <v>0</v>
      </c>
      <c r="DC32" s="156">
        <f ca="1">IF(BD32,_xll.EURO(CN32,Strike2,AO32,AO32,CU32,CM32,IF(OptControl=3,1,0),0)-_xll.EURO(CN32,Strike2,AO32,AO32,CU32,CM32-1,IF(OptControl=3,1,0),0),0)</f>
        <v>0</v>
      </c>
      <c r="DD32" s="497"/>
      <c r="DE32" s="651">
        <f t="shared" ca="1" si="61"/>
        <v>37288</v>
      </c>
      <c r="DF32" s="465">
        <v>1E-4</v>
      </c>
      <c r="DG32" s="649">
        <v>1E-4</v>
      </c>
      <c r="DH32" s="650">
        <f t="shared" ca="1" si="23"/>
        <v>37288</v>
      </c>
      <c r="DI32" s="465">
        <v>1E-4</v>
      </c>
      <c r="DJ32" s="649">
        <v>1E-4</v>
      </c>
      <c r="DK32" s="651">
        <f t="shared" ca="1" si="24"/>
        <v>37288</v>
      </c>
      <c r="DL32" s="652">
        <f t="shared" si="25"/>
        <v>5.0100000000000006E-2</v>
      </c>
      <c r="DM32" s="651">
        <f t="shared" ca="1" si="62"/>
        <v>37288</v>
      </c>
      <c r="DN32" s="563">
        <f t="shared" si="63"/>
        <v>4.0100000000000004E-2</v>
      </c>
      <c r="DO32" s="803">
        <v>0.04</v>
      </c>
      <c r="DP32" s="650">
        <f t="shared" ca="1" si="26"/>
        <v>37288</v>
      </c>
      <c r="DQ32" s="653">
        <v>1E-4</v>
      </c>
      <c r="DR32" s="590">
        <v>1E-4</v>
      </c>
      <c r="DS32" s="650">
        <f t="shared" ca="1" si="27"/>
        <v>37288</v>
      </c>
      <c r="DT32" s="653">
        <v>1E-4</v>
      </c>
      <c r="DU32" s="590">
        <v>1E-4</v>
      </c>
      <c r="DV32" s="651">
        <f t="shared" ca="1" si="28"/>
        <v>37288</v>
      </c>
      <c r="DW32" s="590">
        <v>1E-4</v>
      </c>
      <c r="DX32" s="651">
        <f t="shared" ca="1" si="64"/>
        <v>37288</v>
      </c>
      <c r="DY32" s="590">
        <f t="shared" si="65"/>
        <v>1E-4</v>
      </c>
      <c r="DZ32" s="1"/>
      <c r="EA32" s="863" t="e">
        <f ca="1">_xll.ASN(X32,X32,AO32,AS32,0,AI32,0,BI32,BL32,1,0)</f>
        <v>#NAME?</v>
      </c>
      <c r="EB32" s="653" t="e">
        <f ca="1">_xll.ASN(X32,X32,AO32,AS32,0,AI32,0,BI32,BL32,1,3)/100</f>
        <v>#NAME?</v>
      </c>
      <c r="EC32" s="653" t="e">
        <f ca="1">_xll.xCrudeAPO(L33,L34,O33,O34,S33,S34,BI32,BL32,AJ32,AK32,0,X32,AO32,1,0,+BL32,1,0,1)</f>
        <v>#NAME?</v>
      </c>
      <c r="ED32" s="869" t="e">
        <f t="shared" ca="1" si="165"/>
        <v>#NAME?</v>
      </c>
      <c r="EE32" s="863" t="e">
        <f t="shared" ca="1" si="29"/>
        <v>#NAME?</v>
      </c>
      <c r="EF32" s="590" t="e">
        <f t="shared" ca="1" si="30"/>
        <v>#NAME?</v>
      </c>
      <c r="EG32" s="862" t="str">
        <f t="shared" ca="1" si="31"/>
        <v/>
      </c>
      <c r="EH32" s="114" t="str">
        <f t="shared" ca="1" si="32"/>
        <v/>
      </c>
      <c r="EI32" s="109" t="str">
        <f t="shared" ca="1" si="33"/>
        <v/>
      </c>
      <c r="EJ32" s="115">
        <f ca="1">IF(BD32,_xll.xASN(BP32,Strike1,AO32,EH32,0,BM32,0,BI32,BL32,IF(OptControl=4,0,1),0),0)</f>
        <v>0</v>
      </c>
      <c r="EK32" s="108">
        <f ca="1">IF(BD32,_xll.xASN(BP32,Strike2,AO32,EI32,0,BM32,0,BI32,BL32,IF(OptControl=3,1,0),0),0)</f>
        <v>0</v>
      </c>
      <c r="EM32" s="473" t="e">
        <f>[1]!'CLc13 MTH'</f>
        <v>#REF!</v>
      </c>
      <c r="EN32" s="474" t="e">
        <f t="shared" si="158"/>
        <v>#REF!</v>
      </c>
      <c r="EO32" s="475" t="e">
        <f>[1]!'CLc13 NET.CHNG'</f>
        <v>#REF!</v>
      </c>
      <c r="EP32" s="476">
        <f t="shared" si="159"/>
        <v>0</v>
      </c>
      <c r="EQ32" s="1"/>
      <c r="ER32" s="681">
        <v>37250</v>
      </c>
      <c r="ES32" s="682">
        <v>38718</v>
      </c>
      <c r="ET32" s="1"/>
      <c r="EU32" s="667" t="s">
        <v>136</v>
      </c>
      <c r="EW32" s="488">
        <v>13</v>
      </c>
      <c r="EX32" s="466">
        <f t="shared" ca="1" si="166"/>
        <v>1.0212183436002737</v>
      </c>
      <c r="EY32" s="824">
        <f t="shared" ca="1" si="66"/>
        <v>8.5070290846597313E-2</v>
      </c>
      <c r="EZ32" s="798">
        <f t="shared" ca="1" si="160"/>
        <v>0.28513919161415058</v>
      </c>
      <c r="FA32" s="468">
        <f t="shared" ca="1" si="161"/>
        <v>1.0132948888778004</v>
      </c>
      <c r="FB32" s="467">
        <f t="shared" ca="1" si="162"/>
        <v>0.2191519122348288</v>
      </c>
      <c r="FC32" s="242">
        <v>0</v>
      </c>
      <c r="FD32" s="589">
        <f ca="1">IF(OR(FA32="",FA33=""),"",SQRT(SUM(INDEX(FO32:IH32,SwaptionFirstMonthPosition+1):INDEX(FO32:IH32,FN32))/SUM(INDEX($FO$15:$IH$15,SwaptionFirstMonthPosition+1):INDEX($FO$15:$IH$15,FN32))))</f>
        <v>0.28647141897672795</v>
      </c>
      <c r="FE32" s="565">
        <f ca="1">IF(OR(FA32="",FA31=""),"",SQRT(SUM(INDEX(FO32:IH32,SwaptionFirstMonthPosition+1):INDEX(FO32:IH32,FN32-1))/SUM(INDEX($FO$15:$IH$15,SwaptionFirstMonthPosition+1):INDEX($FO$15:$IH$15,FN32-1))))</f>
        <v>0.27478655421418124</v>
      </c>
      <c r="FF32" s="562" t="str">
        <f t="shared" ca="1" si="67"/>
        <v/>
      </c>
      <c r="FG32" s="593" t="str">
        <f t="shared" ca="1" si="68"/>
        <v/>
      </c>
      <c r="FH32" s="563" t="str">
        <f t="shared" ca="1" si="69"/>
        <v/>
      </c>
      <c r="FI32" s="563" t="str">
        <f t="shared" ca="1" si="70"/>
        <v/>
      </c>
      <c r="FJ32" s="563" t="str">
        <f t="shared" ca="1" si="71"/>
        <v/>
      </c>
      <c r="FK32" s="564" t="str">
        <f t="shared" ca="1" si="72"/>
        <v/>
      </c>
      <c r="FL32" s="590" t="str">
        <f t="shared" ca="1" si="73"/>
        <v/>
      </c>
      <c r="FM32" s="242"/>
      <c r="FN32" s="657">
        <v>13</v>
      </c>
      <c r="FO32" s="450">
        <f t="shared" ca="1" si="74"/>
        <v>1.0197995500434505E-3</v>
      </c>
      <c r="FP32" s="450">
        <f t="shared" ca="1" si="75"/>
        <v>4.0189353195795542E-3</v>
      </c>
      <c r="FQ32" s="450">
        <f t="shared" ca="1" si="76"/>
        <v>4.0981022024473733E-3</v>
      </c>
      <c r="FR32" s="450">
        <f t="shared" ca="1" si="77"/>
        <v>4.8009425222174766E-3</v>
      </c>
      <c r="FS32" s="450">
        <f t="shared" ca="1" si="78"/>
        <v>4.8130121012488021E-3</v>
      </c>
      <c r="FT32" s="450">
        <f t="shared" ca="1" si="79"/>
        <v>5.5343303460412604E-3</v>
      </c>
      <c r="FU32" s="450">
        <f t="shared" ca="1" si="80"/>
        <v>5.6438694149667885E-3</v>
      </c>
      <c r="FV32" s="450">
        <f t="shared" ca="1" si="81"/>
        <v>5.7883105133595897E-3</v>
      </c>
      <c r="FW32" s="450">
        <f t="shared" ca="1" si="82"/>
        <v>6.8927206298183379E-3</v>
      </c>
      <c r="FX32" s="450">
        <f t="shared" ca="1" si="83"/>
        <v>8.5351359017353523E-3</v>
      </c>
      <c r="FY32" s="450">
        <f t="shared" ca="1" si="84"/>
        <v>8.5658970545372214E-3</v>
      </c>
      <c r="FZ32" s="450">
        <f t="shared" ca="1" si="85"/>
        <v>9.9426657603229884E-3</v>
      </c>
      <c r="GA32" s="450">
        <f t="shared" ca="1" si="86"/>
        <v>1.3375781094908288E-2</v>
      </c>
      <c r="GB32" s="450" t="str">
        <f t="shared" si="87"/>
        <v/>
      </c>
      <c r="GC32" s="450" t="str">
        <f t="shared" si="88"/>
        <v/>
      </c>
      <c r="GD32" s="450" t="str">
        <f t="shared" si="89"/>
        <v/>
      </c>
      <c r="GE32" s="450" t="str">
        <f t="shared" si="90"/>
        <v/>
      </c>
      <c r="GF32" s="450" t="str">
        <f t="shared" si="91"/>
        <v/>
      </c>
      <c r="GG32" s="450" t="str">
        <f t="shared" si="92"/>
        <v/>
      </c>
      <c r="GH32" s="450" t="str">
        <f t="shared" si="93"/>
        <v/>
      </c>
      <c r="GI32" s="450" t="str">
        <f t="shared" si="94"/>
        <v/>
      </c>
      <c r="GJ32" s="450" t="str">
        <f t="shared" si="95"/>
        <v/>
      </c>
      <c r="GK32" s="450" t="str">
        <f t="shared" si="96"/>
        <v/>
      </c>
      <c r="GL32" s="450" t="str">
        <f t="shared" si="97"/>
        <v/>
      </c>
      <c r="GM32" s="450" t="str">
        <f t="shared" si="98"/>
        <v/>
      </c>
      <c r="GN32" s="450" t="str">
        <f t="shared" si="99"/>
        <v/>
      </c>
      <c r="GO32" s="450" t="str">
        <f t="shared" si="100"/>
        <v/>
      </c>
      <c r="GP32" s="450" t="str">
        <f t="shared" si="101"/>
        <v/>
      </c>
      <c r="GQ32" s="450" t="str">
        <f t="shared" si="102"/>
        <v/>
      </c>
      <c r="GR32" s="450" t="str">
        <f t="shared" si="103"/>
        <v/>
      </c>
      <c r="GS32" s="450" t="str">
        <f t="shared" si="104"/>
        <v/>
      </c>
      <c r="GT32" s="450" t="str">
        <f t="shared" si="105"/>
        <v/>
      </c>
      <c r="GU32" s="450" t="str">
        <f t="shared" si="106"/>
        <v/>
      </c>
      <c r="GV32" s="450" t="str">
        <f t="shared" si="107"/>
        <v/>
      </c>
      <c r="GW32" s="450" t="str">
        <f t="shared" si="108"/>
        <v/>
      </c>
      <c r="GX32" s="450" t="str">
        <f t="shared" si="109"/>
        <v/>
      </c>
      <c r="GY32" s="450" t="str">
        <f t="shared" si="110"/>
        <v/>
      </c>
      <c r="GZ32" s="450" t="str">
        <f t="shared" si="111"/>
        <v/>
      </c>
      <c r="HA32" s="450" t="str">
        <f t="shared" si="112"/>
        <v/>
      </c>
      <c r="HB32" s="450" t="str">
        <f t="shared" si="113"/>
        <v/>
      </c>
      <c r="HC32" s="450" t="str">
        <f t="shared" si="114"/>
        <v/>
      </c>
      <c r="HD32" s="450" t="str">
        <f t="shared" si="115"/>
        <v/>
      </c>
      <c r="HE32" s="450" t="str">
        <f t="shared" si="116"/>
        <v/>
      </c>
      <c r="HF32" s="450" t="str">
        <f t="shared" si="117"/>
        <v/>
      </c>
      <c r="HG32" s="450" t="str">
        <f t="shared" si="118"/>
        <v/>
      </c>
      <c r="HH32" s="450" t="str">
        <f t="shared" si="119"/>
        <v/>
      </c>
      <c r="HI32" s="450" t="str">
        <f t="shared" si="120"/>
        <v/>
      </c>
      <c r="HJ32" s="450" t="str">
        <f t="shared" si="121"/>
        <v/>
      </c>
      <c r="HK32" s="450" t="str">
        <f t="shared" si="122"/>
        <v/>
      </c>
      <c r="HL32" s="450" t="str">
        <f t="shared" si="123"/>
        <v/>
      </c>
      <c r="HM32" s="450" t="str">
        <f t="shared" si="124"/>
        <v/>
      </c>
      <c r="HN32" s="450" t="str">
        <f t="shared" si="125"/>
        <v/>
      </c>
      <c r="HO32" s="450" t="str">
        <f t="shared" si="126"/>
        <v/>
      </c>
      <c r="HP32" s="450" t="str">
        <f t="shared" si="127"/>
        <v/>
      </c>
      <c r="HQ32" s="450" t="str">
        <f t="shared" si="128"/>
        <v/>
      </c>
      <c r="HR32" s="450" t="str">
        <f t="shared" si="129"/>
        <v/>
      </c>
      <c r="HS32" s="450" t="str">
        <f t="shared" si="130"/>
        <v/>
      </c>
      <c r="HT32" s="450" t="str">
        <f t="shared" si="131"/>
        <v/>
      </c>
      <c r="HU32" s="450" t="str">
        <f t="shared" si="132"/>
        <v/>
      </c>
      <c r="HV32" s="450" t="str">
        <f t="shared" si="133"/>
        <v/>
      </c>
      <c r="HW32" s="450" t="str">
        <f t="shared" si="134"/>
        <v/>
      </c>
      <c r="HX32" s="450" t="str">
        <f t="shared" si="135"/>
        <v/>
      </c>
      <c r="HY32" s="450" t="str">
        <f t="shared" si="136"/>
        <v/>
      </c>
      <c r="HZ32" s="450" t="str">
        <f t="shared" si="137"/>
        <v/>
      </c>
      <c r="IA32" s="450" t="str">
        <f t="shared" si="138"/>
        <v/>
      </c>
      <c r="IB32" s="450" t="str">
        <f t="shared" si="139"/>
        <v/>
      </c>
      <c r="IC32" s="450" t="str">
        <f t="shared" si="140"/>
        <v/>
      </c>
      <c r="ID32" s="450" t="str">
        <f t="shared" si="141"/>
        <v/>
      </c>
      <c r="IE32" s="450" t="str">
        <f t="shared" si="142"/>
        <v/>
      </c>
      <c r="IF32" s="450" t="str">
        <f t="shared" si="143"/>
        <v/>
      </c>
      <c r="IG32" s="450" t="str">
        <f t="shared" si="144"/>
        <v/>
      </c>
      <c r="IH32" s="658" t="str">
        <f t="shared" si="145"/>
        <v/>
      </c>
      <c r="II32" s="242"/>
    </row>
    <row r="33" spans="1:243" ht="16.5" customHeight="1" thickBot="1">
      <c r="A33" s="828" t="e">
        <f ca="1">_xll.xASTRIP(INDEX(BP19:BP260,SwapFirstMonthPosition):INDEX(BP19:BP260,SwapFirstMonthPosition+SwapNumOfMonths-1),INDEX(EI19:EI260,SwapFirstMonthPosition):INDEX(EI19:EI260,SwapFirstMonthPosition+SwapNumOfMonths-1),INDEX(BI19:BI260,SwapFirstMonthPosition):INDEX(BI19:BI260,SwapFirstMonthPosition+SwapNumOfMonths-1),INDEX(BL19:BL260,SwapFirstMonthPosition):INDEX(BL19:BL260,SwapFirstMonthPosition+SwapNumOfMonths-1),INDEX(BM19:BM260,SwapFirstMonthPosition):INDEX(BM19:BM260,SwapFirstMonthPosition+SwapNumOfMonths-1),0,Strike2,INDEX(AO19:AO260,SwapFirstMonthPosition):INDEX(AO19:AO260,SwapFirstMonthPosition+SwapNumOfMonths-1),1,0,INDEX(BL19:BL260,SwapFirstMonthPosition+SwapNumOfMonths-1),IF(OptControl=3,1,0),0,1)</f>
        <v>#NAME?</v>
      </c>
      <c r="B33" s="80" t="s">
        <v>36</v>
      </c>
      <c r="C33" s="33">
        <f ca="1">Volume</f>
        <v>30</v>
      </c>
      <c r="D33" s="96">
        <f ca="1">SUM(BE19:BE258)</f>
        <v>360</v>
      </c>
      <c r="E33" s="339">
        <f ca="1">SUMPRODUCT(BE19:BE258,AP19:AP258)</f>
        <v>350.35908412401437</v>
      </c>
      <c r="F33" s="342"/>
      <c r="G33" s="343"/>
      <c r="H33" s="49" t="e">
        <f t="shared" ca="1" si="34"/>
        <v>#N/A</v>
      </c>
      <c r="I33" s="369">
        <f t="shared" si="35"/>
        <v>37408</v>
      </c>
      <c r="J33" s="367">
        <v>25</v>
      </c>
      <c r="K33" s="101" t="s">
        <v>487</v>
      </c>
      <c r="L33" s="382">
        <f t="shared" si="36"/>
        <v>25</v>
      </c>
      <c r="M33" s="163">
        <v>0.28364009498593001</v>
      </c>
      <c r="N33" s="372">
        <v>0</v>
      </c>
      <c r="O33" s="163">
        <f t="shared" si="37"/>
        <v>0.28364009498593001</v>
      </c>
      <c r="P33" s="367">
        <v>23.46</v>
      </c>
      <c r="Q33" s="101">
        <v>0</v>
      </c>
      <c r="R33" s="367">
        <f t="shared" ca="1" si="147"/>
        <v>23.46</v>
      </c>
      <c r="S33" s="814">
        <f t="shared" si="163"/>
        <v>0.38431924358580649</v>
      </c>
      <c r="T33" s="813">
        <f t="shared" si="148"/>
        <v>0.97978239985299276</v>
      </c>
      <c r="U33" s="532">
        <f t="shared" si="149"/>
        <v>0.99964364103972914</v>
      </c>
      <c r="V33" s="379">
        <v>0</v>
      </c>
      <c r="W33" s="424">
        <f t="shared" si="150"/>
        <v>24.73</v>
      </c>
      <c r="X33" s="405">
        <f t="shared" si="38"/>
        <v>24.73</v>
      </c>
      <c r="Y33" s="313">
        <f t="shared" si="39"/>
        <v>23.22</v>
      </c>
      <c r="Z33" s="313">
        <f t="shared" ca="1" si="40"/>
        <v>23.220000000000002</v>
      </c>
      <c r="AA33" s="419">
        <f t="shared" si="1"/>
        <v>1.5100000000000016</v>
      </c>
      <c r="AB33" s="423">
        <f t="shared" ca="1" si="2"/>
        <v>1.509999999999998</v>
      </c>
      <c r="AC33" s="218">
        <v>37397</v>
      </c>
      <c r="AD33" s="219">
        <v>37392</v>
      </c>
      <c r="AE33" s="219">
        <v>37392</v>
      </c>
      <c r="AF33" s="220">
        <v>37387</v>
      </c>
      <c r="AG33" s="241" t="s">
        <v>496</v>
      </c>
      <c r="AH33" s="239" t="s">
        <v>495</v>
      </c>
      <c r="AI33" s="141">
        <v>20</v>
      </c>
      <c r="AJ33" s="41">
        <v>14</v>
      </c>
      <c r="AK33" s="41">
        <v>6</v>
      </c>
      <c r="AL33" s="285">
        <v>20</v>
      </c>
      <c r="AM33" s="41">
        <v>8</v>
      </c>
      <c r="AN33" s="142">
        <v>12</v>
      </c>
      <c r="AO33" s="364">
        <v>4.4761582683705101E-2</v>
      </c>
      <c r="AP33" s="145">
        <f t="shared" ca="1" si="41"/>
        <v>0.94726530339026094</v>
      </c>
      <c r="AQ33" s="364">
        <v>4.0148631877073598E-2</v>
      </c>
      <c r="AR33" s="145">
        <f t="shared" ca="1" si="151"/>
        <v>0.95719269870489743</v>
      </c>
      <c r="AS33" s="264">
        <f t="shared" si="3"/>
        <v>0.27810608487134902</v>
      </c>
      <c r="AT33" s="149">
        <f t="shared" si="42"/>
        <v>0.28364009498593001</v>
      </c>
      <c r="AU33" s="149">
        <f t="shared" si="4"/>
        <v>0.27700158673236802</v>
      </c>
      <c r="AV33" s="263">
        <f t="shared" ca="1" si="164"/>
        <v>0.27426845252928483</v>
      </c>
      <c r="AW33" s="150">
        <f t="shared" ca="1" si="5"/>
        <v>3</v>
      </c>
      <c r="AX33" s="149">
        <f t="shared" ca="1" si="152"/>
        <v>5.4963600072892305E-2</v>
      </c>
      <c r="AY33" s="149">
        <f t="shared" ca="1" si="153"/>
        <v>3.155963249307122E-2</v>
      </c>
      <c r="AZ33" s="149">
        <f t="shared" ca="1" si="154"/>
        <v>1.3574963725338099E-2</v>
      </c>
      <c r="BA33" s="149">
        <f t="shared" ca="1" si="155"/>
        <v>1.0000000000000006E-4</v>
      </c>
      <c r="BB33" s="149">
        <f t="shared" ca="1" si="156"/>
        <v>1.0000000000000006E-4</v>
      </c>
      <c r="BC33" s="149">
        <f t="shared" ca="1" si="157"/>
        <v>1.0000000000000006E-4</v>
      </c>
      <c r="BD33" s="143">
        <f t="shared" ca="1" si="43"/>
        <v>0</v>
      </c>
      <c r="BE33" s="144">
        <f t="shared" ca="1" si="44"/>
        <v>0</v>
      </c>
      <c r="BF33" s="40">
        <f t="shared" si="7"/>
        <v>2002</v>
      </c>
      <c r="BG33" s="139">
        <f t="shared" si="8"/>
        <v>6</v>
      </c>
      <c r="BH33" s="140">
        <f t="shared" ca="1" si="45"/>
        <v>402</v>
      </c>
      <c r="BI33" s="304">
        <f t="shared" ca="1" si="46"/>
        <v>1.1444216290212184</v>
      </c>
      <c r="BJ33" s="42">
        <f t="shared" ca="1" si="47"/>
        <v>1.2</v>
      </c>
      <c r="BK33" s="42">
        <f t="shared" ca="1" si="9"/>
        <v>1.202737850787132</v>
      </c>
      <c r="BL33" s="42">
        <f t="shared" ca="1" si="48"/>
        <v>1.2238193018480492</v>
      </c>
      <c r="BM33" s="285">
        <f t="shared" si="49"/>
        <v>20</v>
      </c>
      <c r="BN33" s="41">
        <f t="shared" si="50"/>
        <v>14</v>
      </c>
      <c r="BO33" s="41">
        <f t="shared" si="51"/>
        <v>6</v>
      </c>
      <c r="BP33" s="297" t="str">
        <f t="shared" ca="1" si="10"/>
        <v/>
      </c>
      <c r="BQ33" s="297" t="str">
        <f t="shared" ca="1" si="11"/>
        <v/>
      </c>
      <c r="BR33" s="299" t="str">
        <f t="shared" ca="1" si="12"/>
        <v/>
      </c>
      <c r="BS33" s="153" t="str">
        <f t="shared" ca="1" si="13"/>
        <v/>
      </c>
      <c r="BT33" s="153" t="str">
        <f t="shared" ca="1" si="14"/>
        <v/>
      </c>
      <c r="BU33" s="300" t="str">
        <f t="shared" ca="1" si="15"/>
        <v/>
      </c>
      <c r="BV33" s="301" t="str">
        <f t="shared" ca="1" si="16"/>
        <v/>
      </c>
      <c r="BW33" s="300" t="str">
        <f t="shared" ca="1" si="17"/>
        <v/>
      </c>
      <c r="BX33" s="301" t="str">
        <f t="shared" ca="1" si="18"/>
        <v/>
      </c>
      <c r="BY33" s="146" t="str">
        <f t="shared" ca="1" si="19"/>
        <v/>
      </c>
      <c r="BZ33" s="146" t="str">
        <f t="shared" ca="1" si="20"/>
        <v/>
      </c>
      <c r="CA33" s="146" t="str">
        <f t="shared" ca="1" si="21"/>
        <v/>
      </c>
      <c r="CB33" s="146" t="str">
        <f t="shared" ca="1" si="22"/>
        <v/>
      </c>
      <c r="CC33" s="302">
        <v>1</v>
      </c>
      <c r="CD33" s="154">
        <f ca="1">IF(BD33,_xll.xCrudeAPO(BS33,BT33,BY33,BZ33,S34,S35,BI33,BL33,BN33,BO33,0,Strike1,AO33,CC33,0,BL33,IF(OptControl=4,0,1),0,1),0)</f>
        <v>0</v>
      </c>
      <c r="CE33" s="155">
        <f ca="1">IF(BD33,_xll.xCrudeAPO(BS33,BT33,BY33,BZ33,S34,S35,BI33,BL33,BN33,BO33,0,Strike1,AO33,CC33,0,BL33,IF(OptControl=4,0,1),1,1)+_xll.xCrudeAPO(BS33,BT33,BY33,BZ33,S34,S35,BI33,BL33,BN33,BO33,0,Strike1,AO33,CC33,0,BL33,IF(OptControl=4,0,1),1,2)+IF(OR(VolSkewFlag=2,ABS(BQ33)&lt;0.0001),0,IF(BQ33&gt;0,-1,1)*CF33*Strike1/BP33^2*BW33/10%),0)</f>
        <v>0</v>
      </c>
      <c r="CF33" s="155">
        <f ca="1">IF(BD33,(_xll.xCrudeAPO(BS33,BT33,BY33,BZ33,S34,S35,BI33,BL33,BN33,BO33,0,Strike1,AO33,CC33,0,BL33,IF(OptControl=4,0,1),3,1)+_xll.xCrudeAPO(BS33,BT33,BY33,BZ33,S34,S35,BI33,BL33,BN33,BO33,0,Strike1,AO33,CC33,0,BL33,IF(OptControl=4,0,1),3,2))/100,0)</f>
        <v>0</v>
      </c>
      <c r="CG33" s="155">
        <f ca="1">IF(BD33,_xll.xCrudeAPO(BS33,BT33,BY33,BZ33,S34,S35,BI33-DaysForThetaCalculation/365.25,BL33-DaysForThetaCalculation/365.25,BN33,BO33,0,Strike1,AO33,CC33,0,BL33,IF(OptControl=4,0,1),0,1)-_xll.xCrudeAPO(BS33,BT33,BY33,BZ33,S34,S35,BI33,BL33,BN33,BO33,0,Strike1,AO33,CC33,0,BL33,IF(OptControl=4,0,1),0,1),0)</f>
        <v>0</v>
      </c>
      <c r="CH33" s="303">
        <f ca="1">IF(BD33,_xll.xCrudeAPO(BS33,BT33,CA33,CB33,S34,S35,BI33,BL33,BN33,BO33,0,Strike2,AO33,CC33,0,BL33,IF(OptControl=3,1,0),0,1),0)</f>
        <v>0</v>
      </c>
      <c r="CI33" s="155">
        <f ca="1">IF(BD33,_xll.xCrudeAPO(BS33,BT33,CA33,CB33,S34,S35,BI33,BL33,BN33,BO33,0,Strike2,AO33,CC33,0,BL33,IF(OptControl=3,1,0),1,1)+_xll.xCrudeAPO(BS33,BT33,CA33,CB33,S34,S35,BI33,BL33,BN33,BO33,0,Strike2,AO33,CC33,0,BL33,IF(OptControl=3,1,0),1,2)+IF(OR(VolSkewFlag=2,ABS(BR33)&lt;0.0001),0,IF(BR33&gt;0,-1,1)*CJ33*Strike2/BP33^2*BX33/10%),0)</f>
        <v>0</v>
      </c>
      <c r="CJ33" s="155">
        <f ca="1">IF(BD33,(_xll.xCrudeAPO(BS33,BT33,CA33,CB33,S34,S35,BI33,BL33,BN33,BO33,0,Strike2,AO33,CC33,0,BL33,IF(OptControl=3,1,0),3,1)+_xll.xCrudeAPO(BS33,BT33,CA33,CB33,S34,S35,BI33,BL33,BN33,BO33,0,Strike2,AO33,CC33,0,BL33,IF(OptControl=3,1,0),3,2))/100,0)</f>
        <v>0</v>
      </c>
      <c r="CK33" s="156">
        <f ca="1">IF(BD33,_xll.xCrudeAPO(BS33,BT33,CA33,CB33,S34,S35,BI33-DaysForThetaCalculation/365.25,BL33-DaysForThetaCalculation/365.25,BN33,BO33,0,Strike2,AO33,CC33,0,BL33,IF(OptControl=3,1,0),0,1)-_xll.xCrudeAPO(BS33,BT33,CA33,CB33,S34,S35,BI33,BL33,BN33,BO33,0,Strike2,AO33,CC33,0,BL33,IF(OptControl=3,1,0),0,1),0)</f>
        <v>0</v>
      </c>
      <c r="CL33" s="497"/>
      <c r="CM33" s="779" t="str">
        <f t="shared" ca="1" si="52"/>
        <v/>
      </c>
      <c r="CN33" s="783" t="str">
        <f t="shared" ca="1" si="53"/>
        <v/>
      </c>
      <c r="CO33" s="780" t="str">
        <f t="shared" ca="1" si="54"/>
        <v/>
      </c>
      <c r="CP33" s="780" t="str">
        <f t="shared" ca="1" si="55"/>
        <v/>
      </c>
      <c r="CQ33" s="780" t="str">
        <f t="shared" ca="1" si="56"/>
        <v/>
      </c>
      <c r="CR33" s="780" t="str">
        <f t="shared" ca="1" si="57"/>
        <v/>
      </c>
      <c r="CS33" s="781" t="str">
        <f t="shared" ca="1" si="58"/>
        <v/>
      </c>
      <c r="CT33" s="782" t="str">
        <f t="shared" ca="1" si="59"/>
        <v/>
      </c>
      <c r="CU33" s="782" t="str">
        <f t="shared" ca="1" si="60"/>
        <v/>
      </c>
      <c r="CV33" s="155">
        <f ca="1">IF(BD33,_xll.EURO(CN33,Strike1,AO33,AO33,CT33,CM33,IF(OptControl=4,0,1),0),0)</f>
        <v>0</v>
      </c>
      <c r="CW33" s="155">
        <f ca="1">IF(BD33,_xll.EURO(CN33,Strike1,AO33,AO33,CT33,CM33,IF(OptControl=4,0,1),1)+IF(OR(VolSkewFlag=2,ABS(CO33)&lt;0.0001),0,IF(CO33&gt;0,-1,1)*CX33*100*Strike1/CN33^2*CQ33/10%),0)</f>
        <v>0</v>
      </c>
      <c r="CX33" s="155">
        <f ca="1">IF(BD33,_xll.EURO(CN33,Strike1,AO33,AO33,CT33,CM33,IF(OptControl=4,0,1),3)/100,0)</f>
        <v>0</v>
      </c>
      <c r="CY33" s="155">
        <f ca="1">IF(BD33,_xll.EURO(CN33,Strike1,AO33,AO33,CT33,CM33,IF(OptControl=4,0,1),0)-_xll.EURO(CN33,Strike1,AO33,AO33,CT33,CM33-1,IF(OptControl=4,0,1),0),0)</f>
        <v>0</v>
      </c>
      <c r="CZ33" s="155">
        <f ca="1">IF(BD33,_xll.EURO(CN33,Strike2,AO33,AO33,CU33,CM33,IF(OptControl=3,1,0),0),0)</f>
        <v>0</v>
      </c>
      <c r="DA33" s="155">
        <f ca="1">IF(BD33,_xll.EURO(CN33,Strike2,AO33,AO33,CU33,CM33,IF(OptControl=3,1,0),1)+IF(OR(VolSkewFlag=2,ABS(CP33)&lt;0.0001),0,IF(CP33&gt;0,-1,1)*DB33*100*Strike2/CN33^2*CR33/10%),0)</f>
        <v>0</v>
      </c>
      <c r="DB33" s="155">
        <f ca="1">IF(BD33,_xll.EURO(CN33,Strike2,AO33,AO33,CU33,CM33,IF(OptControl=3,1,0),3)/100,0)</f>
        <v>0</v>
      </c>
      <c r="DC33" s="156">
        <f ca="1">IF(BD33,_xll.EURO(CN33,Strike2,AO33,AO33,CU33,CM33,IF(OptControl=3,1,0),0)-_xll.EURO(CN33,Strike2,AO33,AO33,CU33,CM33-1,IF(OptControl=3,1,0),0),0)</f>
        <v>0</v>
      </c>
      <c r="DD33" s="497"/>
      <c r="DE33" s="651">
        <f t="shared" ca="1" si="61"/>
        <v>37316</v>
      </c>
      <c r="DF33" s="465">
        <v>1E-4</v>
      </c>
      <c r="DG33" s="649">
        <v>1E-4</v>
      </c>
      <c r="DH33" s="650">
        <f t="shared" ca="1" si="23"/>
        <v>37316</v>
      </c>
      <c r="DI33" s="465">
        <v>1E-4</v>
      </c>
      <c r="DJ33" s="649">
        <v>1E-4</v>
      </c>
      <c r="DK33" s="651">
        <f t="shared" ca="1" si="24"/>
        <v>37316</v>
      </c>
      <c r="DL33" s="652">
        <f t="shared" si="25"/>
        <v>5.0100000000000006E-2</v>
      </c>
      <c r="DM33" s="651">
        <f t="shared" ca="1" si="62"/>
        <v>37316</v>
      </c>
      <c r="DN33" s="563">
        <f t="shared" si="63"/>
        <v>4.0100000000000004E-2</v>
      </c>
      <c r="DO33" s="803">
        <v>0.04</v>
      </c>
      <c r="DP33" s="650">
        <f t="shared" ca="1" si="26"/>
        <v>37316</v>
      </c>
      <c r="DQ33" s="653">
        <v>1E-4</v>
      </c>
      <c r="DR33" s="590">
        <v>1E-4</v>
      </c>
      <c r="DS33" s="650">
        <f t="shared" ca="1" si="27"/>
        <v>37316</v>
      </c>
      <c r="DT33" s="653">
        <v>1E-4</v>
      </c>
      <c r="DU33" s="590">
        <v>1E-4</v>
      </c>
      <c r="DV33" s="651">
        <f t="shared" ca="1" si="28"/>
        <v>37316</v>
      </c>
      <c r="DW33" s="590">
        <v>1E-4</v>
      </c>
      <c r="DX33" s="651">
        <f t="shared" ca="1" si="64"/>
        <v>37316</v>
      </c>
      <c r="DY33" s="590">
        <f t="shared" si="65"/>
        <v>1E-4</v>
      </c>
      <c r="DZ33" s="1"/>
      <c r="EA33" s="863" t="e">
        <f ca="1">_xll.ASN(X33,X33,AO33,AS33,0,AI33,0,BI33,BL33,1,0)</f>
        <v>#NAME?</v>
      </c>
      <c r="EB33" s="653" t="e">
        <f ca="1">_xll.ASN(X33,X33,AO33,AS33,0,AI33,0,BI33,BL33,1,3)/100</f>
        <v>#NAME?</v>
      </c>
      <c r="EC33" s="653" t="e">
        <f ca="1">_xll.xCrudeAPO(L34,L35,O34,O35,S34,S35,BI33,BL33,AJ33,AK33,0,X33,AO33,1,0,+BL33,1,0,1)</f>
        <v>#NAME?</v>
      </c>
      <c r="ED33" s="869" t="e">
        <f t="shared" ca="1" si="165"/>
        <v>#NAME?</v>
      </c>
      <c r="EE33" s="863" t="e">
        <f t="shared" ca="1" si="29"/>
        <v>#NAME?</v>
      </c>
      <c r="EF33" s="590" t="e">
        <f t="shared" ca="1" si="30"/>
        <v>#NAME?</v>
      </c>
      <c r="EG33" s="862" t="str">
        <f t="shared" ca="1" si="31"/>
        <v/>
      </c>
      <c r="EH33" s="114" t="str">
        <f t="shared" ca="1" si="32"/>
        <v/>
      </c>
      <c r="EI33" s="109" t="str">
        <f t="shared" ca="1" si="33"/>
        <v/>
      </c>
      <c r="EJ33" s="115">
        <f ca="1">IF(BD33,_xll.xASN(BP33,Strike1,AO33,EH33,0,BM33,0,BI33,BL33,IF(OptControl=4,0,1),0),0)</f>
        <v>0</v>
      </c>
      <c r="EK33" s="108">
        <f ca="1">IF(BD33,_xll.xASN(BP33,Strike2,AO33,EI33,0,BM33,0,BI33,BL33,IF(OptControl=3,1,0),0),0)</f>
        <v>0</v>
      </c>
      <c r="EM33" s="473" t="e">
        <f>[1]!'CLc14 MTH'</f>
        <v>#REF!</v>
      </c>
      <c r="EN33" s="474" t="e">
        <f t="shared" si="158"/>
        <v>#REF!</v>
      </c>
      <c r="EO33" s="475" t="e">
        <f>[1]!'CLc14 NET.CHNG'</f>
        <v>#REF!</v>
      </c>
      <c r="EP33" s="476">
        <f t="shared" si="159"/>
        <v>0</v>
      </c>
      <c r="EQ33" s="1"/>
      <c r="ER33" s="681">
        <v>37257</v>
      </c>
      <c r="ES33" s="682">
        <v>39076</v>
      </c>
      <c r="ET33" s="1"/>
      <c r="EU33" s="667" t="s">
        <v>137</v>
      </c>
      <c r="EW33" s="488">
        <v>14</v>
      </c>
      <c r="EX33" s="466">
        <f t="shared" ca="1" si="166"/>
        <v>1.1006160164271048</v>
      </c>
      <c r="EY33" s="824">
        <f t="shared" ca="1" si="66"/>
        <v>8.8546433402924618E-2</v>
      </c>
      <c r="EZ33" s="798">
        <f t="shared" ca="1" si="160"/>
        <v>0.27955899820031715</v>
      </c>
      <c r="FA33" s="468">
        <f t="shared" ca="1" si="161"/>
        <v>0.26026638770299176</v>
      </c>
      <c r="FB33" s="467">
        <f t="shared" ca="1" si="162"/>
        <v>0.21391926506404446</v>
      </c>
      <c r="FC33" s="242">
        <v>0</v>
      </c>
      <c r="FD33" s="589" t="str">
        <f ca="1">IF(OR(FA33="",FA34=""),"",SQRT(SUM(INDEX(FO33:IH33,SwaptionFirstMonthPosition+1):INDEX(FO33:IH33,FN33))/SUM(INDEX($FO$15:$IH$15,SwaptionFirstMonthPosition+1):INDEX($FO$15:$IH$15,FN33))))</f>
        <v/>
      </c>
      <c r="FE33" s="565">
        <f ca="1">IF(OR(FA33="",FA32=""),"",SQRT(SUM(INDEX(FO33:IH33,SwaptionFirstMonthPosition+1):INDEX(FO33:IH33,FN33-1))/SUM(INDEX($FO$15:$IH$15,SwaptionFirstMonthPosition+1):INDEX($FO$15:$IH$15,FN33-1))))</f>
        <v>0.27085964106164445</v>
      </c>
      <c r="FF33" s="562" t="str">
        <f t="shared" ca="1" si="67"/>
        <v/>
      </c>
      <c r="FG33" s="593" t="str">
        <f t="shared" ca="1" si="68"/>
        <v/>
      </c>
      <c r="FH33" s="563" t="str">
        <f t="shared" ca="1" si="69"/>
        <v/>
      </c>
      <c r="FI33" s="563" t="str">
        <f t="shared" ca="1" si="70"/>
        <v/>
      </c>
      <c r="FJ33" s="563" t="str">
        <f t="shared" ca="1" si="71"/>
        <v/>
      </c>
      <c r="FK33" s="564" t="str">
        <f t="shared" ca="1" si="72"/>
        <v/>
      </c>
      <c r="FL33" s="590" t="str">
        <f t="shared" ca="1" si="73"/>
        <v/>
      </c>
      <c r="FM33" s="242"/>
      <c r="FN33" s="657">
        <v>14</v>
      </c>
      <c r="FO33" s="450">
        <f t="shared" ca="1" si="74"/>
        <v>9.7483292588425394E-4</v>
      </c>
      <c r="FP33" s="450">
        <f t="shared" ca="1" si="75"/>
        <v>3.8220361086535181E-3</v>
      </c>
      <c r="FQ33" s="450">
        <f t="shared" ca="1" si="76"/>
        <v>3.8750157308678657E-3</v>
      </c>
      <c r="FR33" s="450">
        <f t="shared" ca="1" si="77"/>
        <v>4.5105573431954227E-3</v>
      </c>
      <c r="FS33" s="450">
        <f t="shared" ca="1" si="78"/>
        <v>4.4895507590948392E-3</v>
      </c>
      <c r="FT33" s="450">
        <f t="shared" ca="1" si="79"/>
        <v>5.1210659415949532E-3</v>
      </c>
      <c r="FU33" s="450">
        <f t="shared" ca="1" si="80"/>
        <v>5.1755983010063986E-3</v>
      </c>
      <c r="FV33" s="450">
        <f t="shared" ca="1" si="81"/>
        <v>5.2546934320533084E-3</v>
      </c>
      <c r="FW33" s="450">
        <f t="shared" ca="1" si="82"/>
        <v>6.1866858922680909E-3</v>
      </c>
      <c r="FX33" s="450">
        <f t="shared" ca="1" si="83"/>
        <v>7.5637242149273363E-3</v>
      </c>
      <c r="FY33" s="450">
        <f t="shared" ca="1" si="84"/>
        <v>7.4826607055894691E-3</v>
      </c>
      <c r="FZ33" s="450">
        <f t="shared" ca="1" si="85"/>
        <v>8.545619765224546E-3</v>
      </c>
      <c r="GA33" s="450">
        <f t="shared" ca="1" si="86"/>
        <v>1.1287521393356282E-2</v>
      </c>
      <c r="GB33" s="450">
        <f t="shared" ca="1" si="87"/>
        <v>1.1727137984176962E-2</v>
      </c>
      <c r="GC33" s="450" t="str">
        <f t="shared" si="88"/>
        <v/>
      </c>
      <c r="GD33" s="450" t="str">
        <f t="shared" si="89"/>
        <v/>
      </c>
      <c r="GE33" s="450" t="str">
        <f t="shared" si="90"/>
        <v/>
      </c>
      <c r="GF33" s="450" t="str">
        <f t="shared" si="91"/>
        <v/>
      </c>
      <c r="GG33" s="450" t="str">
        <f t="shared" si="92"/>
        <v/>
      </c>
      <c r="GH33" s="450" t="str">
        <f t="shared" si="93"/>
        <v/>
      </c>
      <c r="GI33" s="450" t="str">
        <f t="shared" si="94"/>
        <v/>
      </c>
      <c r="GJ33" s="450" t="str">
        <f t="shared" si="95"/>
        <v/>
      </c>
      <c r="GK33" s="450" t="str">
        <f t="shared" si="96"/>
        <v/>
      </c>
      <c r="GL33" s="450" t="str">
        <f t="shared" si="97"/>
        <v/>
      </c>
      <c r="GM33" s="450" t="str">
        <f t="shared" si="98"/>
        <v/>
      </c>
      <c r="GN33" s="450" t="str">
        <f t="shared" si="99"/>
        <v/>
      </c>
      <c r="GO33" s="450" t="str">
        <f t="shared" si="100"/>
        <v/>
      </c>
      <c r="GP33" s="450" t="str">
        <f t="shared" si="101"/>
        <v/>
      </c>
      <c r="GQ33" s="450" t="str">
        <f t="shared" si="102"/>
        <v/>
      </c>
      <c r="GR33" s="450" t="str">
        <f t="shared" si="103"/>
        <v/>
      </c>
      <c r="GS33" s="450" t="str">
        <f t="shared" si="104"/>
        <v/>
      </c>
      <c r="GT33" s="450" t="str">
        <f t="shared" si="105"/>
        <v/>
      </c>
      <c r="GU33" s="450" t="str">
        <f t="shared" si="106"/>
        <v/>
      </c>
      <c r="GV33" s="450" t="str">
        <f t="shared" si="107"/>
        <v/>
      </c>
      <c r="GW33" s="450" t="str">
        <f t="shared" si="108"/>
        <v/>
      </c>
      <c r="GX33" s="450" t="str">
        <f t="shared" si="109"/>
        <v/>
      </c>
      <c r="GY33" s="450" t="str">
        <f t="shared" si="110"/>
        <v/>
      </c>
      <c r="GZ33" s="450" t="str">
        <f t="shared" si="111"/>
        <v/>
      </c>
      <c r="HA33" s="450" t="str">
        <f t="shared" si="112"/>
        <v/>
      </c>
      <c r="HB33" s="450" t="str">
        <f t="shared" si="113"/>
        <v/>
      </c>
      <c r="HC33" s="450" t="str">
        <f t="shared" si="114"/>
        <v/>
      </c>
      <c r="HD33" s="450" t="str">
        <f t="shared" si="115"/>
        <v/>
      </c>
      <c r="HE33" s="450" t="str">
        <f t="shared" si="116"/>
        <v/>
      </c>
      <c r="HF33" s="450" t="str">
        <f t="shared" si="117"/>
        <v/>
      </c>
      <c r="HG33" s="450" t="str">
        <f t="shared" si="118"/>
        <v/>
      </c>
      <c r="HH33" s="450" t="str">
        <f t="shared" si="119"/>
        <v/>
      </c>
      <c r="HI33" s="450" t="str">
        <f t="shared" si="120"/>
        <v/>
      </c>
      <c r="HJ33" s="450" t="str">
        <f t="shared" si="121"/>
        <v/>
      </c>
      <c r="HK33" s="450" t="str">
        <f t="shared" si="122"/>
        <v/>
      </c>
      <c r="HL33" s="450" t="str">
        <f t="shared" si="123"/>
        <v/>
      </c>
      <c r="HM33" s="450" t="str">
        <f t="shared" si="124"/>
        <v/>
      </c>
      <c r="HN33" s="450" t="str">
        <f t="shared" si="125"/>
        <v/>
      </c>
      <c r="HO33" s="450" t="str">
        <f t="shared" si="126"/>
        <v/>
      </c>
      <c r="HP33" s="450" t="str">
        <f t="shared" si="127"/>
        <v/>
      </c>
      <c r="HQ33" s="450" t="str">
        <f t="shared" si="128"/>
        <v/>
      </c>
      <c r="HR33" s="450" t="str">
        <f t="shared" si="129"/>
        <v/>
      </c>
      <c r="HS33" s="450" t="str">
        <f t="shared" si="130"/>
        <v/>
      </c>
      <c r="HT33" s="450" t="str">
        <f t="shared" si="131"/>
        <v/>
      </c>
      <c r="HU33" s="450" t="str">
        <f t="shared" si="132"/>
        <v/>
      </c>
      <c r="HV33" s="450" t="str">
        <f t="shared" si="133"/>
        <v/>
      </c>
      <c r="HW33" s="450" t="str">
        <f t="shared" si="134"/>
        <v/>
      </c>
      <c r="HX33" s="450" t="str">
        <f t="shared" si="135"/>
        <v/>
      </c>
      <c r="HY33" s="450" t="str">
        <f t="shared" si="136"/>
        <v/>
      </c>
      <c r="HZ33" s="450" t="str">
        <f t="shared" si="137"/>
        <v/>
      </c>
      <c r="IA33" s="450" t="str">
        <f t="shared" si="138"/>
        <v/>
      </c>
      <c r="IB33" s="450" t="str">
        <f t="shared" si="139"/>
        <v/>
      </c>
      <c r="IC33" s="450" t="str">
        <f t="shared" si="140"/>
        <v/>
      </c>
      <c r="ID33" s="450" t="str">
        <f t="shared" si="141"/>
        <v/>
      </c>
      <c r="IE33" s="450" t="str">
        <f t="shared" si="142"/>
        <v/>
      </c>
      <c r="IF33" s="450" t="str">
        <f t="shared" si="143"/>
        <v/>
      </c>
      <c r="IG33" s="450" t="str">
        <f t="shared" si="144"/>
        <v/>
      </c>
      <c r="IH33" s="658" t="str">
        <f t="shared" si="145"/>
        <v/>
      </c>
      <c r="II33" s="242"/>
    </row>
    <row r="34" spans="1:243" ht="15.75" customHeight="1" thickBot="1">
      <c r="A34" s="828" t="e">
        <f ca="1">A32+A33*IF(OptControl&gt;2,-1,1)</f>
        <v>#NAME?</v>
      </c>
      <c r="B34" s="355" t="s">
        <v>212</v>
      </c>
      <c r="C34" s="354"/>
      <c r="D34" s="354"/>
      <c r="E34" s="354"/>
      <c r="F34" s="354"/>
      <c r="G34" s="354"/>
      <c r="H34" s="49" t="e">
        <f t="shared" ca="1" si="34"/>
        <v>#N/A</v>
      </c>
      <c r="I34" s="369">
        <f t="shared" si="35"/>
        <v>37438</v>
      </c>
      <c r="J34" s="367">
        <v>24.79</v>
      </c>
      <c r="K34" s="101" t="s">
        <v>487</v>
      </c>
      <c r="L34" s="382">
        <f t="shared" si="36"/>
        <v>24.79</v>
      </c>
      <c r="M34" s="163">
        <v>0.27921058301033003</v>
      </c>
      <c r="N34" s="372">
        <v>0</v>
      </c>
      <c r="O34" s="163">
        <f t="shared" si="37"/>
        <v>0.27921058301033003</v>
      </c>
      <c r="P34" s="367">
        <v>23.31</v>
      </c>
      <c r="Q34" s="100" t="s">
        <v>268</v>
      </c>
      <c r="R34" s="367">
        <f t="shared" ca="1" si="147"/>
        <v>23.310000000000002</v>
      </c>
      <c r="S34" s="814">
        <f t="shared" si="163"/>
        <v>0.38387605114994844</v>
      </c>
      <c r="T34" s="813">
        <f t="shared" si="148"/>
        <v>0.98184849538381136</v>
      </c>
      <c r="U34" s="532">
        <f t="shared" si="149"/>
        <v>0.99973273077979685</v>
      </c>
      <c r="V34" s="379">
        <v>0</v>
      </c>
      <c r="W34" s="424">
        <f t="shared" si="150"/>
        <v>24.526363636363637</v>
      </c>
      <c r="X34" s="405">
        <f t="shared" si="38"/>
        <v>24.526363636363637</v>
      </c>
      <c r="Y34" s="313">
        <f t="shared" si="39"/>
        <v>23.081739130434784</v>
      </c>
      <c r="Z34" s="313">
        <f ca="1">IF(Q36="extra",X34-AB34,(R35*AM34+R36*AN34)/AL34)</f>
        <v>23.081739130434784</v>
      </c>
      <c r="AA34" s="419">
        <f t="shared" si="1"/>
        <v>1.4446245059288536</v>
      </c>
      <c r="AB34" s="423">
        <f t="shared" ca="1" si="2"/>
        <v>1.4446245059288536</v>
      </c>
      <c r="AC34" s="218">
        <v>37427</v>
      </c>
      <c r="AD34" s="219">
        <v>37424</v>
      </c>
      <c r="AE34" s="219">
        <v>37420</v>
      </c>
      <c r="AF34" s="220">
        <v>37419</v>
      </c>
      <c r="AG34" s="241" t="s">
        <v>496</v>
      </c>
      <c r="AH34" s="239" t="s">
        <v>90</v>
      </c>
      <c r="AI34" s="141">
        <v>22</v>
      </c>
      <c r="AJ34" s="41">
        <v>15</v>
      </c>
      <c r="AK34" s="41">
        <v>7</v>
      </c>
      <c r="AL34" s="285">
        <v>23</v>
      </c>
      <c r="AM34" s="41">
        <v>11</v>
      </c>
      <c r="AN34" s="142">
        <v>12</v>
      </c>
      <c r="AO34" s="364">
        <v>4.4820469492645697E-2</v>
      </c>
      <c r="AP34" s="145">
        <f t="shared" ca="1" si="41"/>
        <v>0.94364180602077807</v>
      </c>
      <c r="AQ34" s="364">
        <v>4.01870212993072E-2</v>
      </c>
      <c r="AR34" s="145">
        <f t="shared" ca="1" si="151"/>
        <v>0.95382229458510659</v>
      </c>
      <c r="AS34" s="264">
        <f t="shared" si="3"/>
        <v>0.27422422990503864</v>
      </c>
      <c r="AT34" s="149">
        <f t="shared" si="42"/>
        <v>0.27921058301033003</v>
      </c>
      <c r="AU34" s="149">
        <f t="shared" si="4"/>
        <v>0.27338955076138521</v>
      </c>
      <c r="AV34" s="263">
        <f t="shared" ca="1" si="164"/>
        <v>0.26913563610503938</v>
      </c>
      <c r="AW34" s="150">
        <f t="shared" ca="1" si="5"/>
        <v>3</v>
      </c>
      <c r="AX34" s="149">
        <f t="shared" ca="1" si="152"/>
        <v>5.4136723674146119E-2</v>
      </c>
      <c r="AY34" s="149">
        <f t="shared" ca="1" si="153"/>
        <v>3.0978194546639755E-2</v>
      </c>
      <c r="AZ34" s="149">
        <f t="shared" ca="1" si="154"/>
        <v>1.34016965032619E-2</v>
      </c>
      <c r="BA34" s="149">
        <f t="shared" ca="1" si="155"/>
        <v>1.000000000000001E-4</v>
      </c>
      <c r="BB34" s="149">
        <f t="shared" ca="1" si="156"/>
        <v>1.000000000000001E-4</v>
      </c>
      <c r="BC34" s="149">
        <f t="shared" ca="1" si="157"/>
        <v>1.000000000000001E-4</v>
      </c>
      <c r="BD34" s="143">
        <f t="shared" ca="1" si="43"/>
        <v>0</v>
      </c>
      <c r="BE34" s="144">
        <f t="shared" ca="1" si="44"/>
        <v>0</v>
      </c>
      <c r="BF34" s="40">
        <f t="shared" si="7"/>
        <v>2002</v>
      </c>
      <c r="BG34" s="139">
        <f t="shared" si="8"/>
        <v>7</v>
      </c>
      <c r="BH34" s="140">
        <f t="shared" ca="1" si="45"/>
        <v>434</v>
      </c>
      <c r="BI34" s="304">
        <f t="shared" ca="1" si="46"/>
        <v>1.2265571526351813</v>
      </c>
      <c r="BJ34" s="42">
        <f t="shared" ca="1" si="47"/>
        <v>1.282558646008338</v>
      </c>
      <c r="BK34" s="42">
        <f t="shared" ca="1" si="9"/>
        <v>1.2852964967954701</v>
      </c>
      <c r="BL34" s="42">
        <f t="shared" ca="1" si="48"/>
        <v>1.3086926762491444</v>
      </c>
      <c r="BM34" s="285">
        <f t="shared" si="49"/>
        <v>22</v>
      </c>
      <c r="BN34" s="41">
        <f t="shared" si="50"/>
        <v>15</v>
      </c>
      <c r="BO34" s="41">
        <f t="shared" si="51"/>
        <v>7</v>
      </c>
      <c r="BP34" s="297" t="str">
        <f t="shared" ca="1" si="10"/>
        <v/>
      </c>
      <c r="BQ34" s="297" t="str">
        <f t="shared" ca="1" si="11"/>
        <v/>
      </c>
      <c r="BR34" s="299" t="str">
        <f t="shared" ca="1" si="12"/>
        <v/>
      </c>
      <c r="BS34" s="153" t="str">
        <f t="shared" ca="1" si="13"/>
        <v/>
      </c>
      <c r="BT34" s="153" t="str">
        <f t="shared" ca="1" si="14"/>
        <v/>
      </c>
      <c r="BU34" s="300" t="str">
        <f t="shared" ca="1" si="15"/>
        <v/>
      </c>
      <c r="BV34" s="301" t="str">
        <f t="shared" ca="1" si="16"/>
        <v/>
      </c>
      <c r="BW34" s="300" t="str">
        <f t="shared" ca="1" si="17"/>
        <v/>
      </c>
      <c r="BX34" s="301" t="str">
        <f t="shared" ca="1" si="18"/>
        <v/>
      </c>
      <c r="BY34" s="146" t="str">
        <f t="shared" ca="1" si="19"/>
        <v/>
      </c>
      <c r="BZ34" s="146" t="str">
        <f t="shared" ca="1" si="20"/>
        <v/>
      </c>
      <c r="CA34" s="146" t="str">
        <f t="shared" ca="1" si="21"/>
        <v/>
      </c>
      <c r="CB34" s="146" t="str">
        <f t="shared" ca="1" si="22"/>
        <v/>
      </c>
      <c r="CC34" s="302">
        <v>1</v>
      </c>
      <c r="CD34" s="154">
        <f ca="1">IF(BD34,_xll.xCrudeAPO(BS34,BT34,BY34,BZ34,S35,S36,BI34,BL34,BN34,BO34,0,Strike1,AO34,CC34,0,BL34,IF(OptControl=4,0,1),0,1),0)</f>
        <v>0</v>
      </c>
      <c r="CE34" s="155">
        <f ca="1">IF(BD34,_xll.xCrudeAPO(BS34,BT34,BY34,BZ34,S35,S36,BI34,BL34,BN34,BO34,0,Strike1,AO34,CC34,0,BL34,IF(OptControl=4,0,1),1,1)+_xll.xCrudeAPO(BS34,BT34,BY34,BZ34,S35,S36,BI34,BL34,BN34,BO34,0,Strike1,AO34,CC34,0,BL34,IF(OptControl=4,0,1),1,2)+IF(OR(VolSkewFlag=2,ABS(BQ34)&lt;0.0001),0,IF(BQ34&gt;0,-1,1)*CF34*Strike1/BP34^2*BW34/10%),0)</f>
        <v>0</v>
      </c>
      <c r="CF34" s="155">
        <f ca="1">IF(BD34,(_xll.xCrudeAPO(BS34,BT34,BY34,BZ34,S35,S36,BI34,BL34,BN34,BO34,0,Strike1,AO34,CC34,0,BL34,IF(OptControl=4,0,1),3,1)+_xll.xCrudeAPO(BS34,BT34,BY34,BZ34,S35,S36,BI34,BL34,BN34,BO34,0,Strike1,AO34,CC34,0,BL34,IF(OptControl=4,0,1),3,2))/100,0)</f>
        <v>0</v>
      </c>
      <c r="CG34" s="155">
        <f ca="1">IF(BD34,_xll.xCrudeAPO(BS34,BT34,BY34,BZ34,S35,S36,BI34-DaysForThetaCalculation/365.25,BL34-DaysForThetaCalculation/365.25,BN34,BO34,0,Strike1,AO34,CC34,0,BL34,IF(OptControl=4,0,1),0,1)-_xll.xCrudeAPO(BS34,BT34,BY34,BZ34,S35,S36,BI34,BL34,BN34,BO34,0,Strike1,AO34,CC34,0,BL34,IF(OptControl=4,0,1),0,1),0)</f>
        <v>0</v>
      </c>
      <c r="CH34" s="303">
        <f ca="1">IF(BD34,_xll.xCrudeAPO(BS34,BT34,CA34,CB34,S35,S36,BI34,BL34,BN34,BO34,0,Strike2,AO34,CC34,0,BL34,IF(OptControl=3,1,0),0,1),0)</f>
        <v>0</v>
      </c>
      <c r="CI34" s="155">
        <f ca="1">IF(BD34,_xll.xCrudeAPO(BS34,BT34,CA34,CB34,S35,S36,BI34,BL34,BN34,BO34,0,Strike2,AO34,CC34,0,BL34,IF(OptControl=3,1,0),1,1)+_xll.xCrudeAPO(BS34,BT34,CA34,CB34,S35,S36,BI34,BL34,BN34,BO34,0,Strike2,AO34,CC34,0,BL34,IF(OptControl=3,1,0),1,2)+IF(OR(VolSkewFlag=2,ABS(BR34)&lt;0.0001),0,IF(BR34&gt;0,-1,1)*CJ34*Strike2/BP34^2*BX34/10%),0)</f>
        <v>0</v>
      </c>
      <c r="CJ34" s="155">
        <f ca="1">IF(BD34,(_xll.xCrudeAPO(BS34,BT34,CA34,CB34,S35,S36,BI34,BL34,BN34,BO34,0,Strike2,AO34,CC34,0,BL34,IF(OptControl=3,1,0),3,1)+_xll.xCrudeAPO(BS34,BT34,CA34,CB34,S35,S36,BI34,BL34,BN34,BO34,0,Strike2,AO34,CC34,0,BL34,IF(OptControl=3,1,0),3,2))/100,0)</f>
        <v>0</v>
      </c>
      <c r="CK34" s="156">
        <f ca="1">IF(BD34,_xll.xCrudeAPO(BS34,BT34,CA34,CB34,S35,S36,BI34-DaysForThetaCalculation/365.25,BL34-DaysForThetaCalculation/365.25,BN34,BO34,0,Strike2,AO34,CC34,0,BL34,IF(OptControl=3,1,0),0,1)-_xll.xCrudeAPO(BS34,BT34,CA34,CB34,S35,S36,BI34,BL34,BN34,BO34,0,Strike2,AO34,CC34,0,BL34,IF(OptControl=3,1,0),0,1),0)</f>
        <v>0</v>
      </c>
      <c r="CL34" s="497"/>
      <c r="CM34" s="779" t="str">
        <f t="shared" ca="1" si="52"/>
        <v/>
      </c>
      <c r="CN34" s="783" t="str">
        <f t="shared" ca="1" si="53"/>
        <v/>
      </c>
      <c r="CO34" s="780" t="str">
        <f t="shared" ca="1" si="54"/>
        <v/>
      </c>
      <c r="CP34" s="780" t="str">
        <f t="shared" ca="1" si="55"/>
        <v/>
      </c>
      <c r="CQ34" s="780" t="str">
        <f t="shared" ca="1" si="56"/>
        <v/>
      </c>
      <c r="CR34" s="780" t="str">
        <f t="shared" ca="1" si="57"/>
        <v/>
      </c>
      <c r="CS34" s="781" t="str">
        <f t="shared" ca="1" si="58"/>
        <v/>
      </c>
      <c r="CT34" s="782" t="str">
        <f t="shared" ca="1" si="59"/>
        <v/>
      </c>
      <c r="CU34" s="782" t="str">
        <f t="shared" ca="1" si="60"/>
        <v/>
      </c>
      <c r="CV34" s="155">
        <f ca="1">IF(BD34,_xll.EURO(CN34,Strike1,AO34,AO34,CT34,CM34,IF(OptControl=4,0,1),0),0)</f>
        <v>0</v>
      </c>
      <c r="CW34" s="155">
        <f ca="1">IF(BD34,_xll.EURO(CN34,Strike1,AO34,AO34,CT34,CM34,IF(OptControl=4,0,1),1)+IF(OR(VolSkewFlag=2,ABS(CO34)&lt;0.0001),0,IF(CO34&gt;0,-1,1)*CX34*100*Strike1/CN34^2*CQ34/10%),0)</f>
        <v>0</v>
      </c>
      <c r="CX34" s="155">
        <f ca="1">IF(BD34,_xll.EURO(CN34,Strike1,AO34,AO34,CT34,CM34,IF(OptControl=4,0,1),3)/100,0)</f>
        <v>0</v>
      </c>
      <c r="CY34" s="155">
        <f ca="1">IF(BD34,_xll.EURO(CN34,Strike1,AO34,AO34,CT34,CM34,IF(OptControl=4,0,1),0)-_xll.EURO(CN34,Strike1,AO34,AO34,CT34,CM34-1,IF(OptControl=4,0,1),0),0)</f>
        <v>0</v>
      </c>
      <c r="CZ34" s="155">
        <f ca="1">IF(BD34,_xll.EURO(CN34,Strike2,AO34,AO34,CU34,CM34,IF(OptControl=3,1,0),0),0)</f>
        <v>0</v>
      </c>
      <c r="DA34" s="155">
        <f ca="1">IF(BD34,_xll.EURO(CN34,Strike2,AO34,AO34,CU34,CM34,IF(OptControl=3,1,0),1)+IF(OR(VolSkewFlag=2,ABS(CP34)&lt;0.0001),0,IF(CP34&gt;0,-1,1)*DB34*100*Strike2/CN34^2*CR34/10%),0)</f>
        <v>0</v>
      </c>
      <c r="DB34" s="155">
        <f ca="1">IF(BD34,_xll.EURO(CN34,Strike2,AO34,AO34,CU34,CM34,IF(OptControl=3,1,0),3)/100,0)</f>
        <v>0</v>
      </c>
      <c r="DC34" s="156">
        <f ca="1">IF(BD34,_xll.EURO(CN34,Strike2,AO34,AO34,CU34,CM34,IF(OptControl=3,1,0),0)-_xll.EURO(CN34,Strike2,AO34,AO34,CU34,CM34-1,IF(OptControl=3,1,0),0),0)</f>
        <v>0</v>
      </c>
      <c r="DD34" s="497"/>
      <c r="DE34" s="651">
        <f t="shared" ca="1" si="61"/>
        <v>37347</v>
      </c>
      <c r="DF34" s="465">
        <v>1E-4</v>
      </c>
      <c r="DG34" s="649">
        <v>1E-4</v>
      </c>
      <c r="DH34" s="650">
        <f t="shared" ca="1" si="23"/>
        <v>37347</v>
      </c>
      <c r="DI34" s="465">
        <v>1E-4</v>
      </c>
      <c r="DJ34" s="649">
        <v>1E-4</v>
      </c>
      <c r="DK34" s="651">
        <f t="shared" ca="1" si="24"/>
        <v>37347</v>
      </c>
      <c r="DL34" s="652">
        <f t="shared" si="25"/>
        <v>5.0100000000000006E-2</v>
      </c>
      <c r="DM34" s="651">
        <f t="shared" ca="1" si="62"/>
        <v>37347</v>
      </c>
      <c r="DN34" s="563">
        <f t="shared" si="63"/>
        <v>-4.99E-2</v>
      </c>
      <c r="DO34" s="803">
        <v>-0.05</v>
      </c>
      <c r="DP34" s="650">
        <f t="shared" ca="1" si="26"/>
        <v>37347</v>
      </c>
      <c r="DQ34" s="653">
        <v>1E-4</v>
      </c>
      <c r="DR34" s="590">
        <v>1E-4</v>
      </c>
      <c r="DS34" s="650">
        <f t="shared" ca="1" si="27"/>
        <v>37347</v>
      </c>
      <c r="DT34" s="653">
        <v>1E-4</v>
      </c>
      <c r="DU34" s="590">
        <v>1E-4</v>
      </c>
      <c r="DV34" s="651">
        <f t="shared" ca="1" si="28"/>
        <v>37347</v>
      </c>
      <c r="DW34" s="590">
        <v>1E-4</v>
      </c>
      <c r="DX34" s="651">
        <f t="shared" ca="1" si="64"/>
        <v>37347</v>
      </c>
      <c r="DY34" s="590">
        <f t="shared" si="65"/>
        <v>1E-4</v>
      </c>
      <c r="DZ34" s="1"/>
      <c r="EA34" s="863" t="e">
        <f ca="1">_xll.ASN(X34,X34,AO34,AS34,0,AI34,0,BI34,BL34,1,0)</f>
        <v>#NAME?</v>
      </c>
      <c r="EB34" s="653" t="e">
        <f ca="1">_xll.ASN(X34,X34,AO34,AS34,0,AI34,0,BI34,BL34,1,3)/100</f>
        <v>#NAME?</v>
      </c>
      <c r="EC34" s="653" t="e">
        <f ca="1">_xll.xCrudeAPO(L35,L36,O35,O36,S35,S36,BI34,BL34,AJ34,AK34,0,X34,AO34,1,0,+BL34,1,0,1)</f>
        <v>#NAME?</v>
      </c>
      <c r="ED34" s="869" t="e">
        <f t="shared" ca="1" si="165"/>
        <v>#NAME?</v>
      </c>
      <c r="EE34" s="863" t="e">
        <f t="shared" ca="1" si="29"/>
        <v>#NAME?</v>
      </c>
      <c r="EF34" s="590" t="e">
        <f t="shared" ca="1" si="30"/>
        <v>#NAME?</v>
      </c>
      <c r="EG34" s="862" t="str">
        <f t="shared" ca="1" si="31"/>
        <v/>
      </c>
      <c r="EH34" s="114" t="str">
        <f t="shared" ca="1" si="32"/>
        <v/>
      </c>
      <c r="EI34" s="109" t="str">
        <f t="shared" ca="1" si="33"/>
        <v/>
      </c>
      <c r="EJ34" s="115">
        <f ca="1">IF(BD34,_xll.xASN(BP34,Strike1,AO34,EH34,0,BM34,0,BI34,BL34,IF(OptControl=4,0,1),0),0)</f>
        <v>0</v>
      </c>
      <c r="EK34" s="108">
        <f ca="1">IF(BD34,_xll.xASN(BP34,Strike2,AO34,EI34,0,BM34,0,BI34,BL34,IF(OptControl=3,1,0),0),0)</f>
        <v>0</v>
      </c>
      <c r="EM34" s="473" t="e">
        <f>[1]!'CLc15 MTH'</f>
        <v>#REF!</v>
      </c>
      <c r="EN34" s="474" t="e">
        <f t="shared" si="158"/>
        <v>#REF!</v>
      </c>
      <c r="EO34" s="475" t="e">
        <f>[1]!'CLc15 NET.CHNG'</f>
        <v>#REF!</v>
      </c>
      <c r="EP34" s="476">
        <f t="shared" si="159"/>
        <v>0</v>
      </c>
      <c r="EQ34" s="1"/>
      <c r="ER34" s="681">
        <v>37441</v>
      </c>
      <c r="ES34" s="682">
        <v>39083</v>
      </c>
      <c r="ET34" s="1"/>
      <c r="EU34" s="667" t="s">
        <v>138</v>
      </c>
      <c r="EW34" s="488">
        <v>15</v>
      </c>
      <c r="EX34" s="466">
        <f t="shared" ca="1" si="166"/>
        <v>1.1882272416153319</v>
      </c>
      <c r="EY34" s="824">
        <f t="shared" ca="1" si="66"/>
        <v>9.2632472428737248E-2</v>
      </c>
      <c r="EZ34" s="798">
        <f t="shared" ca="1" si="160"/>
        <v>0.27544707956926617</v>
      </c>
      <c r="FA34" s="468" t="str">
        <f t="shared" ca="1" si="161"/>
        <v/>
      </c>
      <c r="FB34" s="467" t="str">
        <f t="shared" ca="1" si="162"/>
        <v/>
      </c>
      <c r="FC34" s="242">
        <v>0</v>
      </c>
      <c r="FD34" s="589" t="str">
        <f ca="1">IF(OR(FA34="",FA35=""),"",SQRT(SUM(INDEX(FO34:IH34,SwaptionFirstMonthPosition+1):INDEX(FO34:IH34,FN34))/SUM(INDEX($FO$15:$IH$15,SwaptionFirstMonthPosition+1):INDEX($FO$15:$IH$15,FN34))))</f>
        <v/>
      </c>
      <c r="FE34" s="565" t="str">
        <f ca="1">IF(OR(FA34="",FA33=""),"",SQRT(SUM(INDEX(FO34:IH34,SwaptionFirstMonthPosition+1):INDEX(FO34:IH34,FN34-1))/SUM(INDEX($FO$15:$IH$15,SwaptionFirstMonthPosition+1):INDEX($FO$15:$IH$15,FN34-1))))</f>
        <v/>
      </c>
      <c r="FF34" s="562" t="str">
        <f t="shared" ca="1" si="67"/>
        <v/>
      </c>
      <c r="FG34" s="593" t="str">
        <f t="shared" ca="1" si="68"/>
        <v/>
      </c>
      <c r="FH34" s="563" t="str">
        <f t="shared" ca="1" si="69"/>
        <v/>
      </c>
      <c r="FI34" s="563" t="str">
        <f t="shared" ca="1" si="70"/>
        <v/>
      </c>
      <c r="FJ34" s="563" t="str">
        <f t="shared" ca="1" si="71"/>
        <v/>
      </c>
      <c r="FK34" s="564" t="str">
        <f t="shared" ca="1" si="72"/>
        <v/>
      </c>
      <c r="FL34" s="590" t="str">
        <f t="shared" ca="1" si="73"/>
        <v/>
      </c>
      <c r="FM34" s="242"/>
      <c r="FN34" s="657">
        <v>15</v>
      </c>
      <c r="FO34" s="450">
        <f t="shared" ca="1" si="74"/>
        <v>9.3614743007780705E-4</v>
      </c>
      <c r="FP34" s="450">
        <f t="shared" ca="1" si="75"/>
        <v>3.6535088120751087E-3</v>
      </c>
      <c r="FQ34" s="450">
        <f t="shared" ca="1" si="76"/>
        <v>3.6851675549052628E-3</v>
      </c>
      <c r="FR34" s="450">
        <f t="shared" ca="1" si="77"/>
        <v>4.2650182441584155E-3</v>
      </c>
      <c r="FS34" s="450">
        <f t="shared" ca="1" si="78"/>
        <v>4.2180001219282448E-3</v>
      </c>
      <c r="FT34" s="450">
        <f t="shared" ca="1" si="79"/>
        <v>4.7769016577990618E-3</v>
      </c>
      <c r="FU34" s="450">
        <f t="shared" ca="1" si="80"/>
        <v>4.7891214527191091E-3</v>
      </c>
      <c r="FV34" s="450">
        <f t="shared" ca="1" si="81"/>
        <v>4.8187121989612192E-3</v>
      </c>
      <c r="FW34" s="450">
        <f t="shared" ca="1" si="82"/>
        <v>5.6163430847819863E-3</v>
      </c>
      <c r="FX34" s="450">
        <f t="shared" ca="1" si="83"/>
        <v>6.7889572792290565E-3</v>
      </c>
      <c r="FY34" s="450">
        <f t="shared" ca="1" si="84"/>
        <v>6.6310346575085182E-3</v>
      </c>
      <c r="FZ34" s="450">
        <f t="shared" ca="1" si="85"/>
        <v>7.4649476657303862E-3</v>
      </c>
      <c r="GA34" s="450">
        <f t="shared" ca="1" si="86"/>
        <v>9.7015094587999968E-3</v>
      </c>
      <c r="GB34" s="450">
        <f t="shared" ca="1" si="87"/>
        <v>9.8962684825656625E-3</v>
      </c>
      <c r="GC34" s="450">
        <f t="shared" ca="1" si="88"/>
        <v>1.2910462216802959E-2</v>
      </c>
      <c r="GD34" s="450" t="str">
        <f t="shared" si="89"/>
        <v/>
      </c>
      <c r="GE34" s="450" t="str">
        <f t="shared" si="90"/>
        <v/>
      </c>
      <c r="GF34" s="450" t="str">
        <f t="shared" si="91"/>
        <v/>
      </c>
      <c r="GG34" s="450" t="str">
        <f t="shared" si="92"/>
        <v/>
      </c>
      <c r="GH34" s="450" t="str">
        <f t="shared" si="93"/>
        <v/>
      </c>
      <c r="GI34" s="450" t="str">
        <f t="shared" si="94"/>
        <v/>
      </c>
      <c r="GJ34" s="450" t="str">
        <f t="shared" si="95"/>
        <v/>
      </c>
      <c r="GK34" s="450" t="str">
        <f t="shared" si="96"/>
        <v/>
      </c>
      <c r="GL34" s="450" t="str">
        <f t="shared" si="97"/>
        <v/>
      </c>
      <c r="GM34" s="450" t="str">
        <f t="shared" si="98"/>
        <v/>
      </c>
      <c r="GN34" s="450" t="str">
        <f t="shared" si="99"/>
        <v/>
      </c>
      <c r="GO34" s="450" t="str">
        <f t="shared" si="100"/>
        <v/>
      </c>
      <c r="GP34" s="450" t="str">
        <f t="shared" si="101"/>
        <v/>
      </c>
      <c r="GQ34" s="450" t="str">
        <f t="shared" si="102"/>
        <v/>
      </c>
      <c r="GR34" s="450" t="str">
        <f t="shared" si="103"/>
        <v/>
      </c>
      <c r="GS34" s="450" t="str">
        <f t="shared" si="104"/>
        <v/>
      </c>
      <c r="GT34" s="450" t="str">
        <f t="shared" si="105"/>
        <v/>
      </c>
      <c r="GU34" s="450" t="str">
        <f t="shared" si="106"/>
        <v/>
      </c>
      <c r="GV34" s="450" t="str">
        <f t="shared" si="107"/>
        <v/>
      </c>
      <c r="GW34" s="450" t="str">
        <f t="shared" si="108"/>
        <v/>
      </c>
      <c r="GX34" s="450" t="str">
        <f t="shared" si="109"/>
        <v/>
      </c>
      <c r="GY34" s="450" t="str">
        <f t="shared" si="110"/>
        <v/>
      </c>
      <c r="GZ34" s="450" t="str">
        <f t="shared" si="111"/>
        <v/>
      </c>
      <c r="HA34" s="450" t="str">
        <f t="shared" si="112"/>
        <v/>
      </c>
      <c r="HB34" s="450" t="str">
        <f t="shared" si="113"/>
        <v/>
      </c>
      <c r="HC34" s="450" t="str">
        <f t="shared" si="114"/>
        <v/>
      </c>
      <c r="HD34" s="450" t="str">
        <f t="shared" si="115"/>
        <v/>
      </c>
      <c r="HE34" s="450" t="str">
        <f t="shared" si="116"/>
        <v/>
      </c>
      <c r="HF34" s="450" t="str">
        <f t="shared" si="117"/>
        <v/>
      </c>
      <c r="HG34" s="450" t="str">
        <f t="shared" si="118"/>
        <v/>
      </c>
      <c r="HH34" s="450" t="str">
        <f t="shared" si="119"/>
        <v/>
      </c>
      <c r="HI34" s="450" t="str">
        <f t="shared" si="120"/>
        <v/>
      </c>
      <c r="HJ34" s="450" t="str">
        <f t="shared" si="121"/>
        <v/>
      </c>
      <c r="HK34" s="450" t="str">
        <f t="shared" si="122"/>
        <v/>
      </c>
      <c r="HL34" s="450" t="str">
        <f t="shared" si="123"/>
        <v/>
      </c>
      <c r="HM34" s="450" t="str">
        <f t="shared" si="124"/>
        <v/>
      </c>
      <c r="HN34" s="450" t="str">
        <f t="shared" si="125"/>
        <v/>
      </c>
      <c r="HO34" s="450" t="str">
        <f t="shared" si="126"/>
        <v/>
      </c>
      <c r="HP34" s="450" t="str">
        <f t="shared" si="127"/>
        <v/>
      </c>
      <c r="HQ34" s="450" t="str">
        <f t="shared" si="128"/>
        <v/>
      </c>
      <c r="HR34" s="450" t="str">
        <f t="shared" si="129"/>
        <v/>
      </c>
      <c r="HS34" s="450" t="str">
        <f t="shared" si="130"/>
        <v/>
      </c>
      <c r="HT34" s="450" t="str">
        <f t="shared" si="131"/>
        <v/>
      </c>
      <c r="HU34" s="450" t="str">
        <f t="shared" si="132"/>
        <v/>
      </c>
      <c r="HV34" s="450" t="str">
        <f t="shared" si="133"/>
        <v/>
      </c>
      <c r="HW34" s="450" t="str">
        <f t="shared" si="134"/>
        <v/>
      </c>
      <c r="HX34" s="450" t="str">
        <f t="shared" si="135"/>
        <v/>
      </c>
      <c r="HY34" s="450" t="str">
        <f t="shared" si="136"/>
        <v/>
      </c>
      <c r="HZ34" s="450" t="str">
        <f t="shared" si="137"/>
        <v/>
      </c>
      <c r="IA34" s="450" t="str">
        <f t="shared" si="138"/>
        <v/>
      </c>
      <c r="IB34" s="450" t="str">
        <f t="shared" si="139"/>
        <v/>
      </c>
      <c r="IC34" s="450" t="str">
        <f t="shared" si="140"/>
        <v/>
      </c>
      <c r="ID34" s="450" t="str">
        <f t="shared" si="141"/>
        <v/>
      </c>
      <c r="IE34" s="450" t="str">
        <f t="shared" si="142"/>
        <v/>
      </c>
      <c r="IF34" s="450" t="str">
        <f t="shared" si="143"/>
        <v/>
      </c>
      <c r="IG34" s="450" t="str">
        <f t="shared" si="144"/>
        <v/>
      </c>
      <c r="IH34" s="658" t="str">
        <f t="shared" si="145"/>
        <v/>
      </c>
      <c r="II34" s="242"/>
    </row>
    <row r="35" spans="1:243" s="51" customFormat="1" ht="20.25" customHeight="1" thickBot="1">
      <c r="A35" s="829" t="e">
        <f ca="1">IF(OptControl&gt;2,"",A32-A33)</f>
        <v>#NAME?</v>
      </c>
      <c r="B35" s="545" t="s">
        <v>276</v>
      </c>
      <c r="C35" s="546"/>
      <c r="D35" s="547"/>
      <c r="E35" s="548" t="s">
        <v>275</v>
      </c>
      <c r="F35" s="549"/>
      <c r="G35" s="550">
        <v>20</v>
      </c>
      <c r="H35" s="49" t="e">
        <f t="shared" ca="1" si="34"/>
        <v>#N/A</v>
      </c>
      <c r="I35" s="369">
        <f t="shared" si="35"/>
        <v>37469</v>
      </c>
      <c r="J35" s="367">
        <v>24.59</v>
      </c>
      <c r="K35" s="101" t="s">
        <v>487</v>
      </c>
      <c r="L35" s="382">
        <f t="shared" si="36"/>
        <v>24.59</v>
      </c>
      <c r="M35" s="163">
        <v>0.27552892254706002</v>
      </c>
      <c r="N35" s="372">
        <v>0</v>
      </c>
      <c r="O35" s="163">
        <f t="shared" si="37"/>
        <v>0.27552892254706002</v>
      </c>
      <c r="P35" s="367">
        <v>23.16</v>
      </c>
      <c r="Q35" s="101" t="s">
        <v>268</v>
      </c>
      <c r="R35" s="367">
        <f t="shared" ca="1" si="147"/>
        <v>23.16</v>
      </c>
      <c r="S35" s="814">
        <f t="shared" si="163"/>
        <v>0.38343729063844895</v>
      </c>
      <c r="T35" s="813">
        <f t="shared" si="148"/>
        <v>0.98369800431385801</v>
      </c>
      <c r="U35" s="532">
        <f t="shared" si="149"/>
        <v>0.99979954808484761</v>
      </c>
      <c r="V35" s="379">
        <v>0</v>
      </c>
      <c r="W35" s="424">
        <f t="shared" si="150"/>
        <v>24.317272727272726</v>
      </c>
      <c r="X35" s="405">
        <f t="shared" si="38"/>
        <v>24.317272727272726</v>
      </c>
      <c r="Y35" s="313">
        <f t="shared" si="39"/>
        <v>22.948333333333348</v>
      </c>
      <c r="Z35" s="313">
        <f t="shared" ca="1" si="40"/>
        <v>22.948333333333334</v>
      </c>
      <c r="AA35" s="419">
        <f t="shared" si="1"/>
        <v>1.3689393939393781</v>
      </c>
      <c r="AB35" s="423">
        <f t="shared" ca="1" si="2"/>
        <v>1.3689393939393923</v>
      </c>
      <c r="AC35" s="218">
        <v>37459</v>
      </c>
      <c r="AD35" s="219">
        <v>37454</v>
      </c>
      <c r="AE35" s="219">
        <v>37453</v>
      </c>
      <c r="AF35" s="220">
        <v>37448</v>
      </c>
      <c r="AG35" s="241" t="s">
        <v>496</v>
      </c>
      <c r="AH35" s="239" t="s">
        <v>90</v>
      </c>
      <c r="AI35" s="141">
        <v>22</v>
      </c>
      <c r="AJ35" s="41">
        <v>14</v>
      </c>
      <c r="AK35" s="41">
        <v>8</v>
      </c>
      <c r="AL35" s="285">
        <v>22</v>
      </c>
      <c r="AM35" s="41">
        <v>11</v>
      </c>
      <c r="AN35" s="142">
        <v>11</v>
      </c>
      <c r="AO35" s="364">
        <v>4.4965047802688798E-2</v>
      </c>
      <c r="AP35" s="145">
        <f t="shared" ca="1" si="41"/>
        <v>0.93991319883048263</v>
      </c>
      <c r="AQ35" s="364">
        <v>4.0226690379856003E-2</v>
      </c>
      <c r="AR35" s="145">
        <f t="shared" ca="1" si="151"/>
        <v>0.95066327154708397</v>
      </c>
      <c r="AS35" s="264">
        <f t="shared" si="3"/>
        <v>0.2700759941005263</v>
      </c>
      <c r="AT35" s="149">
        <f t="shared" si="42"/>
        <v>0.27552892254706002</v>
      </c>
      <c r="AU35" s="149">
        <f t="shared" si="4"/>
        <v>0.26956881940402994</v>
      </c>
      <c r="AV35" s="263">
        <f t="shared" ca="1" si="164"/>
        <v>0.26645992153587789</v>
      </c>
      <c r="AW35" s="150">
        <f t="shared" ca="1" si="5"/>
        <v>3</v>
      </c>
      <c r="AX35" s="149">
        <f t="shared" ca="1" si="152"/>
        <v>5.3295351015332018E-2</v>
      </c>
      <c r="AY35" s="149">
        <f t="shared" ca="1" si="153"/>
        <v>3.0388626682349654E-2</v>
      </c>
      <c r="AZ35" s="149">
        <f t="shared" ca="1" si="154"/>
        <v>1.3224976718748751E-2</v>
      </c>
      <c r="BA35" s="149">
        <f t="shared" ca="1" si="155"/>
        <v>1.0000000000000005E-4</v>
      </c>
      <c r="BB35" s="149">
        <f t="shared" ca="1" si="156"/>
        <v>1.0000000000000005E-4</v>
      </c>
      <c r="BC35" s="149">
        <f t="shared" ca="1" si="157"/>
        <v>1.0000000000000005E-4</v>
      </c>
      <c r="BD35" s="143">
        <f t="shared" ca="1" si="43"/>
        <v>0</v>
      </c>
      <c r="BE35" s="144">
        <f t="shared" ca="1" si="44"/>
        <v>0</v>
      </c>
      <c r="BF35" s="40">
        <f t="shared" si="7"/>
        <v>2002</v>
      </c>
      <c r="BG35" s="139">
        <f t="shared" si="8"/>
        <v>8</v>
      </c>
      <c r="BH35" s="140">
        <f t="shared" ca="1" si="45"/>
        <v>464</v>
      </c>
      <c r="BI35" s="304">
        <f t="shared" ca="1" si="46"/>
        <v>1.3114305270362765</v>
      </c>
      <c r="BJ35" s="42">
        <f t="shared" ca="1" si="47"/>
        <v>1.3636985875178893</v>
      </c>
      <c r="BK35" s="42">
        <f t="shared" ca="1" si="9"/>
        <v>1.3664364383050214</v>
      </c>
      <c r="BL35" s="42">
        <f t="shared" ca="1" si="48"/>
        <v>1.3935660506502396</v>
      </c>
      <c r="BM35" s="285">
        <f t="shared" si="49"/>
        <v>22</v>
      </c>
      <c r="BN35" s="41">
        <f t="shared" si="50"/>
        <v>14</v>
      </c>
      <c r="BO35" s="41">
        <f t="shared" si="51"/>
        <v>8</v>
      </c>
      <c r="BP35" s="297" t="str">
        <f t="shared" ca="1" si="10"/>
        <v/>
      </c>
      <c r="BQ35" s="297" t="str">
        <f t="shared" ca="1" si="11"/>
        <v/>
      </c>
      <c r="BR35" s="299" t="str">
        <f t="shared" ca="1" si="12"/>
        <v/>
      </c>
      <c r="BS35" s="153" t="str">
        <f t="shared" ca="1" si="13"/>
        <v/>
      </c>
      <c r="BT35" s="153" t="str">
        <f t="shared" ca="1" si="14"/>
        <v/>
      </c>
      <c r="BU35" s="300" t="str">
        <f t="shared" ca="1" si="15"/>
        <v/>
      </c>
      <c r="BV35" s="301" t="str">
        <f t="shared" ca="1" si="16"/>
        <v/>
      </c>
      <c r="BW35" s="300" t="str">
        <f t="shared" ca="1" si="17"/>
        <v/>
      </c>
      <c r="BX35" s="301" t="str">
        <f t="shared" ca="1" si="18"/>
        <v/>
      </c>
      <c r="BY35" s="146" t="str">
        <f t="shared" ca="1" si="19"/>
        <v/>
      </c>
      <c r="BZ35" s="146" t="str">
        <f t="shared" ca="1" si="20"/>
        <v/>
      </c>
      <c r="CA35" s="146" t="str">
        <f t="shared" ca="1" si="21"/>
        <v/>
      </c>
      <c r="CB35" s="146" t="str">
        <f t="shared" ca="1" si="22"/>
        <v/>
      </c>
      <c r="CC35" s="302">
        <v>1</v>
      </c>
      <c r="CD35" s="154">
        <f ca="1">IF(BD35,_xll.xCrudeAPO(BS35,BT35,BY35,BZ35,S36,S37,BI35,BL35,BN35,BO35,0,Strike1,AO35,CC35,0,BL35,IF(OptControl=4,0,1),0,1),0)</f>
        <v>0</v>
      </c>
      <c r="CE35" s="155">
        <f ca="1">IF(BD35,_xll.xCrudeAPO(BS35,BT35,BY35,BZ35,S36,S37,BI35,BL35,BN35,BO35,0,Strike1,AO35,CC35,0,BL35,IF(OptControl=4,0,1),1,1)+_xll.xCrudeAPO(BS35,BT35,BY35,BZ35,S36,S37,BI35,BL35,BN35,BO35,0,Strike1,AO35,CC35,0,BL35,IF(OptControl=4,0,1),1,2)+IF(OR(VolSkewFlag=2,ABS(BQ35)&lt;0.0001),0,IF(BQ35&gt;0,-1,1)*CF35*Strike1/BP35^2*BW35/10%),0)</f>
        <v>0</v>
      </c>
      <c r="CF35" s="155">
        <f ca="1">IF(BD35,(_xll.xCrudeAPO(BS35,BT35,BY35,BZ35,S36,S37,BI35,BL35,BN35,BO35,0,Strike1,AO35,CC35,0,BL35,IF(OptControl=4,0,1),3,1)+_xll.xCrudeAPO(BS35,BT35,BY35,BZ35,S36,S37,BI35,BL35,BN35,BO35,0,Strike1,AO35,CC35,0,BL35,IF(OptControl=4,0,1),3,2))/100,0)</f>
        <v>0</v>
      </c>
      <c r="CG35" s="155">
        <f ca="1">IF(BD35,_xll.xCrudeAPO(BS35,BT35,BY35,BZ35,S36,S37,BI35-DaysForThetaCalculation/365.25,BL35-DaysForThetaCalculation/365.25,BN35,BO35,0,Strike1,AO35,CC35,0,BL35,IF(OptControl=4,0,1),0,1)-_xll.xCrudeAPO(BS35,BT35,BY35,BZ35,S36,S37,BI35,BL35,BN35,BO35,0,Strike1,AO35,CC35,0,BL35,IF(OptControl=4,0,1),0,1),0)</f>
        <v>0</v>
      </c>
      <c r="CH35" s="303">
        <f ca="1">IF(BD35,_xll.xCrudeAPO(BS35,BT35,CA35,CB35,S36,S37,BI35,BL35,BN35,BO35,0,Strike2,AO35,CC35,0,BL35,IF(OptControl=3,1,0),0,1),0)</f>
        <v>0</v>
      </c>
      <c r="CI35" s="155">
        <f ca="1">IF(BD35,_xll.xCrudeAPO(BS35,BT35,CA35,CB35,S36,S37,BI35,BL35,BN35,BO35,0,Strike2,AO35,CC35,0,BL35,IF(OptControl=3,1,0),1,1)+_xll.xCrudeAPO(BS35,BT35,CA35,CB35,S36,S37,BI35,BL35,BN35,BO35,0,Strike2,AO35,CC35,0,BL35,IF(OptControl=3,1,0),1,2)+IF(OR(VolSkewFlag=2,ABS(BR35)&lt;0.0001),0,IF(BR35&gt;0,-1,1)*CJ35*Strike2/BP35^2*BX35/10%),0)</f>
        <v>0</v>
      </c>
      <c r="CJ35" s="155">
        <f ca="1">IF(BD35,(_xll.xCrudeAPO(BS35,BT35,CA35,CB35,S36,S37,BI35,BL35,BN35,BO35,0,Strike2,AO35,CC35,0,BL35,IF(OptControl=3,1,0),3,1)+_xll.xCrudeAPO(BS35,BT35,CA35,CB35,S36,S37,BI35,BL35,BN35,BO35,0,Strike2,AO35,CC35,0,BL35,IF(OptControl=3,1,0),3,2))/100,0)</f>
        <v>0</v>
      </c>
      <c r="CK35" s="156">
        <f ca="1">IF(BD35,_xll.xCrudeAPO(BS35,BT35,CA35,CB35,S36,S37,BI35-DaysForThetaCalculation/365.25,BL35-DaysForThetaCalculation/365.25,BN35,BO35,0,Strike2,AO35,CC35,0,BL35,IF(OptControl=3,1,0),0,1)-_xll.xCrudeAPO(BS35,BT35,CA35,CB35,S36,S37,BI35,BL35,BN35,BO35,0,Strike2,AO35,CC35,0,BL35,IF(OptControl=3,1,0),0,1),0)</f>
        <v>0</v>
      </c>
      <c r="CL35" s="53"/>
      <c r="CM35" s="779" t="str">
        <f t="shared" ca="1" si="52"/>
        <v/>
      </c>
      <c r="CN35" s="783" t="str">
        <f t="shared" ca="1" si="53"/>
        <v/>
      </c>
      <c r="CO35" s="780" t="str">
        <f t="shared" ca="1" si="54"/>
        <v/>
      </c>
      <c r="CP35" s="780" t="str">
        <f t="shared" ca="1" si="55"/>
        <v/>
      </c>
      <c r="CQ35" s="780" t="str">
        <f t="shared" ca="1" si="56"/>
        <v/>
      </c>
      <c r="CR35" s="780" t="str">
        <f t="shared" ca="1" si="57"/>
        <v/>
      </c>
      <c r="CS35" s="781" t="str">
        <f t="shared" ca="1" si="58"/>
        <v/>
      </c>
      <c r="CT35" s="782" t="str">
        <f t="shared" ca="1" si="59"/>
        <v/>
      </c>
      <c r="CU35" s="782" t="str">
        <f t="shared" ca="1" si="60"/>
        <v/>
      </c>
      <c r="CV35" s="155">
        <f ca="1">IF(BD35,_xll.EURO(CN35,Strike1,AO35,AO35,CT35,CM35,IF(OptControl=4,0,1),0),0)</f>
        <v>0</v>
      </c>
      <c r="CW35" s="155">
        <f ca="1">IF(BD35,_xll.EURO(CN35,Strike1,AO35,AO35,CT35,CM35,IF(OptControl=4,0,1),1)+IF(OR(VolSkewFlag=2,ABS(CO35)&lt;0.0001),0,IF(CO35&gt;0,-1,1)*CX35*100*Strike1/CN35^2*CQ35/10%),0)</f>
        <v>0</v>
      </c>
      <c r="CX35" s="155">
        <f ca="1">IF(BD35,_xll.EURO(CN35,Strike1,AO35,AO35,CT35,CM35,IF(OptControl=4,0,1),3)/100,0)</f>
        <v>0</v>
      </c>
      <c r="CY35" s="155">
        <f ca="1">IF(BD35,_xll.EURO(CN35,Strike1,AO35,AO35,CT35,CM35,IF(OptControl=4,0,1),0)-_xll.EURO(CN35,Strike1,AO35,AO35,CT35,CM35-1,IF(OptControl=4,0,1),0),0)</f>
        <v>0</v>
      </c>
      <c r="CZ35" s="155">
        <f ca="1">IF(BD35,_xll.EURO(CN35,Strike2,AO35,AO35,CU35,CM35,IF(OptControl=3,1,0),0),0)</f>
        <v>0</v>
      </c>
      <c r="DA35" s="155">
        <f ca="1">IF(BD35,_xll.EURO(CN35,Strike2,AO35,AO35,CU35,CM35,IF(OptControl=3,1,0),1)+IF(OR(VolSkewFlag=2,ABS(CP35)&lt;0.0001),0,IF(CP35&gt;0,-1,1)*DB35*100*Strike2/CN35^2*CR35/10%),0)</f>
        <v>0</v>
      </c>
      <c r="DB35" s="155">
        <f ca="1">IF(BD35,_xll.EURO(CN35,Strike2,AO35,AO35,CU35,CM35,IF(OptControl=3,1,0),3)/100,0)</f>
        <v>0</v>
      </c>
      <c r="DC35" s="156">
        <f ca="1">IF(BD35,_xll.EURO(CN35,Strike2,AO35,AO35,CU35,CM35,IF(OptControl=3,1,0),0)-_xll.EURO(CN35,Strike2,AO35,AO35,CU35,CM35-1,IF(OptControl=3,1,0),0),0)</f>
        <v>0</v>
      </c>
      <c r="DD35" s="53"/>
      <c r="DE35" s="651">
        <f t="shared" ca="1" si="61"/>
        <v>37377</v>
      </c>
      <c r="DF35" s="465">
        <v>1E-4</v>
      </c>
      <c r="DG35" s="649">
        <v>1E-4</v>
      </c>
      <c r="DH35" s="650">
        <f t="shared" ca="1" si="23"/>
        <v>37377</v>
      </c>
      <c r="DI35" s="465">
        <v>1E-4</v>
      </c>
      <c r="DJ35" s="649">
        <v>1E-4</v>
      </c>
      <c r="DK35" s="651">
        <f t="shared" ca="1" si="24"/>
        <v>37377</v>
      </c>
      <c r="DL35" s="652">
        <f t="shared" si="25"/>
        <v>5.0100000000000006E-2</v>
      </c>
      <c r="DM35" s="651">
        <f t="shared" ca="1" si="62"/>
        <v>37377</v>
      </c>
      <c r="DN35" s="563">
        <f t="shared" si="63"/>
        <v>-4.99E-2</v>
      </c>
      <c r="DO35" s="803">
        <v>-0.05</v>
      </c>
      <c r="DP35" s="650">
        <f t="shared" ca="1" si="26"/>
        <v>37377</v>
      </c>
      <c r="DQ35" s="653">
        <v>1E-4</v>
      </c>
      <c r="DR35" s="590">
        <v>1E-4</v>
      </c>
      <c r="DS35" s="650">
        <f t="shared" ca="1" si="27"/>
        <v>37377</v>
      </c>
      <c r="DT35" s="653">
        <v>1E-4</v>
      </c>
      <c r="DU35" s="590">
        <v>1E-4</v>
      </c>
      <c r="DV35" s="651">
        <f t="shared" ca="1" si="28"/>
        <v>37377</v>
      </c>
      <c r="DW35" s="590">
        <v>1E-4</v>
      </c>
      <c r="DX35" s="651">
        <f t="shared" ca="1" si="64"/>
        <v>37377</v>
      </c>
      <c r="DY35" s="590">
        <f t="shared" si="65"/>
        <v>1E-4</v>
      </c>
      <c r="DZ35" s="1"/>
      <c r="EA35" s="863" t="e">
        <f ca="1">_xll.ASN(X35,X35,AO35,AS35,0,AI35,0,BI35,BL35,1,0)</f>
        <v>#NAME?</v>
      </c>
      <c r="EB35" s="653" t="e">
        <f ca="1">_xll.ASN(X35,X35,AO35,AS35,0,AI35,0,BI35,BL35,1,3)/100</f>
        <v>#NAME?</v>
      </c>
      <c r="EC35" s="653" t="e">
        <f ca="1">_xll.xCrudeAPO(L36,L37,O36,O37,S36,S37,BI35,BL35,AJ35,AK35,0,X35,AO35,1,0,+BL35,1,0,1)</f>
        <v>#NAME?</v>
      </c>
      <c r="ED35" s="869" t="e">
        <f t="shared" ca="1" si="165"/>
        <v>#NAME?</v>
      </c>
      <c r="EE35" s="863" t="e">
        <f t="shared" ca="1" si="29"/>
        <v>#NAME?</v>
      </c>
      <c r="EF35" s="590" t="e">
        <f t="shared" ca="1" si="30"/>
        <v>#NAME?</v>
      </c>
      <c r="EG35" s="862" t="str">
        <f t="shared" ca="1" si="31"/>
        <v/>
      </c>
      <c r="EH35" s="114" t="str">
        <f t="shared" ca="1" si="32"/>
        <v/>
      </c>
      <c r="EI35" s="109" t="str">
        <f t="shared" ca="1" si="33"/>
        <v/>
      </c>
      <c r="EJ35" s="115">
        <f ca="1">IF(BD35,_xll.xASN(BP35,Strike1,AO35,EH35,0,BM35,0,BI35,BL35,IF(OptControl=4,0,1),0),0)</f>
        <v>0</v>
      </c>
      <c r="EK35" s="108">
        <f ca="1">IF(BD35,_xll.xASN(BP35,Strike2,AO35,EI35,0,BM35,0,BI35,BL35,IF(OptControl=3,1,0),0),0)</f>
        <v>0</v>
      </c>
      <c r="EL35" s="53"/>
      <c r="EM35" s="473" t="e">
        <f>[1]!'CLc16 MTH'</f>
        <v>#REF!</v>
      </c>
      <c r="EN35" s="474" t="e">
        <f t="shared" si="158"/>
        <v>#REF!</v>
      </c>
      <c r="EO35" s="475" t="e">
        <f>[1]!'CLc16 NET.CHNG'</f>
        <v>#REF!</v>
      </c>
      <c r="EP35" s="476">
        <f t="shared" si="159"/>
        <v>0</v>
      </c>
      <c r="EQ35" s="1"/>
      <c r="ER35" s="681">
        <v>37615</v>
      </c>
      <c r="ES35" s="682">
        <v>39441</v>
      </c>
      <c r="ET35" s="1"/>
      <c r="EU35" s="667" t="s">
        <v>139</v>
      </c>
      <c r="EV35" s="53"/>
      <c r="EW35" s="488">
        <v>16</v>
      </c>
      <c r="EX35" s="466">
        <f t="shared" ca="1" si="166"/>
        <v>1.270362765229295</v>
      </c>
      <c r="EY35" s="824">
        <f t="shared" ca="1" si="66"/>
        <v>9.6441097446170909E-2</v>
      </c>
      <c r="EZ35" s="798">
        <f t="shared" ca="1" si="160"/>
        <v>0.27089471330442688</v>
      </c>
      <c r="FA35" s="468" t="str">
        <f t="shared" ca="1" si="161"/>
        <v/>
      </c>
      <c r="FB35" s="467" t="str">
        <f t="shared" ca="1" si="162"/>
        <v/>
      </c>
      <c r="FC35" s="242">
        <v>0</v>
      </c>
      <c r="FD35" s="589" t="str">
        <f ca="1">IF(OR(FA35="",FA36=""),"",SQRT(SUM(INDEX(FO35:IH35,SwaptionFirstMonthPosition+1):INDEX(FO35:IH35,FN35))/SUM(INDEX($FO$15:$IH$15,SwaptionFirstMonthPosition+1):INDEX($FO$15:$IH$15,FN35))))</f>
        <v/>
      </c>
      <c r="FE35" s="565" t="str">
        <f ca="1">IF(OR(FA35="",FA34=""),"",SQRT(SUM(INDEX(FO35:IH35,SwaptionFirstMonthPosition+1):INDEX(FO35:IH35,FN35-1))/SUM(INDEX($FO$15:$IH$15,SwaptionFirstMonthPosition+1):INDEX($FO$15:$IH$15,FN35-1))))</f>
        <v/>
      </c>
      <c r="FF35" s="562" t="str">
        <f t="shared" ca="1" si="67"/>
        <v/>
      </c>
      <c r="FG35" s="593" t="str">
        <f t="shared" ca="1" si="68"/>
        <v/>
      </c>
      <c r="FH35" s="563" t="str">
        <f t="shared" ca="1" si="69"/>
        <v/>
      </c>
      <c r="FI35" s="563" t="str">
        <f t="shared" ca="1" si="70"/>
        <v/>
      </c>
      <c r="FJ35" s="563" t="str">
        <f t="shared" ca="1" si="71"/>
        <v/>
      </c>
      <c r="FK35" s="564" t="str">
        <f t="shared" ca="1" si="72"/>
        <v/>
      </c>
      <c r="FL35" s="590" t="str">
        <f t="shared" ca="1" si="73"/>
        <v/>
      </c>
      <c r="FM35" s="242"/>
      <c r="FN35" s="657">
        <v>16</v>
      </c>
      <c r="FO35" s="450">
        <f t="shared" ca="1" si="74"/>
        <v>9.0271216761693277E-4</v>
      </c>
      <c r="FP35" s="450">
        <f t="shared" ca="1" si="75"/>
        <v>3.5085221214582085E-3</v>
      </c>
      <c r="FQ35" s="450">
        <f t="shared" ca="1" si="76"/>
        <v>3.5226752843428469E-3</v>
      </c>
      <c r="FR35" s="450">
        <f t="shared" ca="1" si="77"/>
        <v>4.0560627223393195E-3</v>
      </c>
      <c r="FS35" s="450">
        <f t="shared" ca="1" si="78"/>
        <v>3.9883868234212054E-3</v>
      </c>
      <c r="FT35" s="450">
        <f t="shared" ca="1" si="79"/>
        <v>4.4879705913154688E-3</v>
      </c>
      <c r="FU35" s="450">
        <f t="shared" ca="1" si="80"/>
        <v>4.4672656958152507E-3</v>
      </c>
      <c r="FV35" s="450">
        <f t="shared" ca="1" si="81"/>
        <v>4.4588850649473766E-3</v>
      </c>
      <c r="FW35" s="450">
        <f t="shared" ca="1" si="82"/>
        <v>5.1503558268698414E-3</v>
      </c>
      <c r="FX35" s="450">
        <f t="shared" ca="1" si="83"/>
        <v>6.1630918284910673E-3</v>
      </c>
      <c r="FY35" s="450">
        <f t="shared" ca="1" si="84"/>
        <v>5.9518049214523196E-3</v>
      </c>
      <c r="FZ35" s="450">
        <f t="shared" ca="1" si="85"/>
        <v>6.6153375965542953E-3</v>
      </c>
      <c r="GA35" s="450">
        <f t="shared" ca="1" si="86"/>
        <v>8.4746644922397089E-3</v>
      </c>
      <c r="GB35" s="450">
        <f t="shared" ca="1" si="87"/>
        <v>8.5057417784337331E-3</v>
      </c>
      <c r="GC35" s="450">
        <f t="shared" ca="1" si="88"/>
        <v>1.0894849238057194E-2</v>
      </c>
      <c r="GD35" s="450">
        <f t="shared" ca="1" si="89"/>
        <v>1.2075906024817623E-2</v>
      </c>
      <c r="GE35" s="450" t="str">
        <f t="shared" si="90"/>
        <v/>
      </c>
      <c r="GF35" s="450" t="str">
        <f t="shared" si="91"/>
        <v/>
      </c>
      <c r="GG35" s="450" t="str">
        <f t="shared" si="92"/>
        <v/>
      </c>
      <c r="GH35" s="450" t="str">
        <f t="shared" si="93"/>
        <v/>
      </c>
      <c r="GI35" s="450" t="str">
        <f t="shared" si="94"/>
        <v/>
      </c>
      <c r="GJ35" s="450" t="str">
        <f t="shared" si="95"/>
        <v/>
      </c>
      <c r="GK35" s="450" t="str">
        <f t="shared" si="96"/>
        <v/>
      </c>
      <c r="GL35" s="450" t="str">
        <f t="shared" si="97"/>
        <v/>
      </c>
      <c r="GM35" s="450" t="str">
        <f t="shared" si="98"/>
        <v/>
      </c>
      <c r="GN35" s="450" t="str">
        <f t="shared" si="99"/>
        <v/>
      </c>
      <c r="GO35" s="450" t="str">
        <f t="shared" si="100"/>
        <v/>
      </c>
      <c r="GP35" s="450" t="str">
        <f t="shared" si="101"/>
        <v/>
      </c>
      <c r="GQ35" s="450" t="str">
        <f t="shared" si="102"/>
        <v/>
      </c>
      <c r="GR35" s="450" t="str">
        <f t="shared" si="103"/>
        <v/>
      </c>
      <c r="GS35" s="450" t="str">
        <f t="shared" si="104"/>
        <v/>
      </c>
      <c r="GT35" s="450" t="str">
        <f t="shared" si="105"/>
        <v/>
      </c>
      <c r="GU35" s="450" t="str">
        <f t="shared" si="106"/>
        <v/>
      </c>
      <c r="GV35" s="450" t="str">
        <f t="shared" si="107"/>
        <v/>
      </c>
      <c r="GW35" s="450" t="str">
        <f t="shared" si="108"/>
        <v/>
      </c>
      <c r="GX35" s="450" t="str">
        <f t="shared" si="109"/>
        <v/>
      </c>
      <c r="GY35" s="450" t="str">
        <f t="shared" si="110"/>
        <v/>
      </c>
      <c r="GZ35" s="450" t="str">
        <f t="shared" si="111"/>
        <v/>
      </c>
      <c r="HA35" s="450" t="str">
        <f t="shared" si="112"/>
        <v/>
      </c>
      <c r="HB35" s="450" t="str">
        <f t="shared" si="113"/>
        <v/>
      </c>
      <c r="HC35" s="450" t="str">
        <f t="shared" si="114"/>
        <v/>
      </c>
      <c r="HD35" s="450" t="str">
        <f t="shared" si="115"/>
        <v/>
      </c>
      <c r="HE35" s="450" t="str">
        <f t="shared" si="116"/>
        <v/>
      </c>
      <c r="HF35" s="450" t="str">
        <f t="shared" si="117"/>
        <v/>
      </c>
      <c r="HG35" s="450" t="str">
        <f t="shared" si="118"/>
        <v/>
      </c>
      <c r="HH35" s="450" t="str">
        <f t="shared" si="119"/>
        <v/>
      </c>
      <c r="HI35" s="450" t="str">
        <f t="shared" si="120"/>
        <v/>
      </c>
      <c r="HJ35" s="450" t="str">
        <f t="shared" si="121"/>
        <v/>
      </c>
      <c r="HK35" s="450" t="str">
        <f t="shared" si="122"/>
        <v/>
      </c>
      <c r="HL35" s="450" t="str">
        <f t="shared" si="123"/>
        <v/>
      </c>
      <c r="HM35" s="450" t="str">
        <f t="shared" si="124"/>
        <v/>
      </c>
      <c r="HN35" s="450" t="str">
        <f t="shared" si="125"/>
        <v/>
      </c>
      <c r="HO35" s="450" t="str">
        <f t="shared" si="126"/>
        <v/>
      </c>
      <c r="HP35" s="450" t="str">
        <f t="shared" si="127"/>
        <v/>
      </c>
      <c r="HQ35" s="450" t="str">
        <f t="shared" si="128"/>
        <v/>
      </c>
      <c r="HR35" s="450" t="str">
        <f t="shared" si="129"/>
        <v/>
      </c>
      <c r="HS35" s="450" t="str">
        <f t="shared" si="130"/>
        <v/>
      </c>
      <c r="HT35" s="450" t="str">
        <f t="shared" si="131"/>
        <v/>
      </c>
      <c r="HU35" s="450" t="str">
        <f t="shared" si="132"/>
        <v/>
      </c>
      <c r="HV35" s="450" t="str">
        <f t="shared" si="133"/>
        <v/>
      </c>
      <c r="HW35" s="450" t="str">
        <f t="shared" si="134"/>
        <v/>
      </c>
      <c r="HX35" s="450" t="str">
        <f t="shared" si="135"/>
        <v/>
      </c>
      <c r="HY35" s="450" t="str">
        <f t="shared" si="136"/>
        <v/>
      </c>
      <c r="HZ35" s="450" t="str">
        <f t="shared" si="137"/>
        <v/>
      </c>
      <c r="IA35" s="450" t="str">
        <f t="shared" si="138"/>
        <v/>
      </c>
      <c r="IB35" s="450" t="str">
        <f t="shared" si="139"/>
        <v/>
      </c>
      <c r="IC35" s="450" t="str">
        <f t="shared" si="140"/>
        <v/>
      </c>
      <c r="ID35" s="450" t="str">
        <f t="shared" si="141"/>
        <v/>
      </c>
      <c r="IE35" s="450" t="str">
        <f t="shared" si="142"/>
        <v/>
      </c>
      <c r="IF35" s="450" t="str">
        <f t="shared" si="143"/>
        <v/>
      </c>
      <c r="IG35" s="450" t="str">
        <f t="shared" si="144"/>
        <v/>
      </c>
      <c r="IH35" s="658" t="str">
        <f t="shared" si="145"/>
        <v/>
      </c>
      <c r="II35" s="242"/>
    </row>
    <row r="36" spans="1:243" s="51" customFormat="1" ht="15.75" customHeight="1" thickBot="1">
      <c r="A36" s="49"/>
      <c r="B36" s="54" t="s">
        <v>474</v>
      </c>
      <c r="C36" s="55"/>
      <c r="D36" s="55"/>
      <c r="E36" s="55"/>
      <c r="F36" s="55"/>
      <c r="G36" s="55"/>
      <c r="H36" s="49" t="e">
        <f t="shared" ca="1" si="34"/>
        <v>#N/A</v>
      </c>
      <c r="I36" s="369">
        <f t="shared" si="35"/>
        <v>37500</v>
      </c>
      <c r="J36" s="367">
        <v>24.39</v>
      </c>
      <c r="K36" s="101" t="s">
        <v>487</v>
      </c>
      <c r="L36" s="382">
        <f t="shared" si="36"/>
        <v>24.39</v>
      </c>
      <c r="M36" s="163">
        <v>0.27142845995784998</v>
      </c>
      <c r="N36" s="372">
        <v>0</v>
      </c>
      <c r="O36" s="163">
        <f t="shared" si="37"/>
        <v>0.27142845995784998</v>
      </c>
      <c r="P36" s="367">
        <v>23.01</v>
      </c>
      <c r="Q36" s="101" t="s">
        <v>487</v>
      </c>
      <c r="R36" s="367">
        <f t="shared" ca="1" si="147"/>
        <v>23.01</v>
      </c>
      <c r="S36" s="814">
        <f t="shared" si="163"/>
        <v>0.38300291773206446</v>
      </c>
      <c r="T36" s="813">
        <f t="shared" si="148"/>
        <v>0.98535486265128325</v>
      </c>
      <c r="U36" s="532">
        <f t="shared" si="149"/>
        <v>0.99984966106363571</v>
      </c>
      <c r="V36" s="379">
        <v>0</v>
      </c>
      <c r="W36" s="424">
        <f t="shared" si="150"/>
        <v>24.138571428571431</v>
      </c>
      <c r="X36" s="405">
        <f t="shared" si="38"/>
        <v>24.138571428571431</v>
      </c>
      <c r="Y36" s="313">
        <f t="shared" si="39"/>
        <v>22.810317460317453</v>
      </c>
      <c r="Z36" s="313">
        <f t="shared" ca="1" si="40"/>
        <v>22.81031746031746</v>
      </c>
      <c r="AA36" s="419">
        <f t="shared" si="1"/>
        <v>1.3282539682539785</v>
      </c>
      <c r="AB36" s="423">
        <f t="shared" ca="1" si="2"/>
        <v>1.3282539682539714</v>
      </c>
      <c r="AC36" s="218">
        <v>37488</v>
      </c>
      <c r="AD36" s="219">
        <v>37483</v>
      </c>
      <c r="AE36" s="219">
        <v>37484</v>
      </c>
      <c r="AF36" s="220">
        <v>37479</v>
      </c>
      <c r="AG36" s="241" t="s">
        <v>496</v>
      </c>
      <c r="AH36" s="239" t="s">
        <v>496</v>
      </c>
      <c r="AI36" s="141">
        <v>21</v>
      </c>
      <c r="AJ36" s="41">
        <v>15</v>
      </c>
      <c r="AK36" s="41">
        <v>6</v>
      </c>
      <c r="AL36" s="285">
        <v>21</v>
      </c>
      <c r="AM36" s="41">
        <v>8</v>
      </c>
      <c r="AN36" s="142">
        <v>13</v>
      </c>
      <c r="AO36" s="364">
        <v>4.5109626119728602E-2</v>
      </c>
      <c r="AP36" s="145">
        <f t="shared" ca="1" si="41"/>
        <v>0.93629121045403751</v>
      </c>
      <c r="AQ36" s="364">
        <v>4.0266359471492E-2</v>
      </c>
      <c r="AR36" s="145">
        <f t="shared" ca="1" si="151"/>
        <v>0.94761208376066364</v>
      </c>
      <c r="AS36" s="264">
        <f t="shared" si="3"/>
        <v>0.2669871935352271</v>
      </c>
      <c r="AT36" s="149">
        <f t="shared" si="42"/>
        <v>0.27142845995784998</v>
      </c>
      <c r="AU36" s="149">
        <f t="shared" si="4"/>
        <v>0.26614487733441383</v>
      </c>
      <c r="AV36" s="263">
        <f t="shared" ca="1" si="164"/>
        <v>0.26288741838062285</v>
      </c>
      <c r="AW36" s="150">
        <f t="shared" ca="1" si="5"/>
        <v>3</v>
      </c>
      <c r="AX36" s="149">
        <f t="shared" ca="1" si="152"/>
        <v>5.2467054654877991E-2</v>
      </c>
      <c r="AY36" s="149">
        <f t="shared" ca="1" si="153"/>
        <v>2.9810279299811011E-2</v>
      </c>
      <c r="AZ36" s="149">
        <f t="shared" ca="1" si="154"/>
        <v>1.3050587227436223E-2</v>
      </c>
      <c r="BA36" s="149">
        <f t="shared" ca="1" si="155"/>
        <v>1.0000000000000019E-4</v>
      </c>
      <c r="BB36" s="149">
        <f t="shared" ca="1" si="156"/>
        <v>1.0000000000000019E-4</v>
      </c>
      <c r="BC36" s="149">
        <f t="shared" ca="1" si="157"/>
        <v>1.0000000000000019E-4</v>
      </c>
      <c r="BD36" s="143">
        <f t="shared" ca="1" si="43"/>
        <v>0</v>
      </c>
      <c r="BE36" s="144">
        <f t="shared" ca="1" si="44"/>
        <v>0</v>
      </c>
      <c r="BF36" s="40">
        <f t="shared" si="7"/>
        <v>2002</v>
      </c>
      <c r="BG36" s="139">
        <f t="shared" si="8"/>
        <v>9</v>
      </c>
      <c r="BH36" s="140">
        <f t="shared" ca="1" si="45"/>
        <v>493</v>
      </c>
      <c r="BI36" s="304">
        <f t="shared" ca="1" si="46"/>
        <v>1.3963039014373717</v>
      </c>
      <c r="BJ36" s="42">
        <f t="shared" ca="1" si="47"/>
        <v>1.4530165248851081</v>
      </c>
      <c r="BK36" s="42">
        <f t="shared" ca="1" si="9"/>
        <v>1.4557543756722402</v>
      </c>
      <c r="BL36" s="42">
        <f t="shared" ca="1" si="48"/>
        <v>1.4757015742642026</v>
      </c>
      <c r="BM36" s="285">
        <f t="shared" si="49"/>
        <v>21</v>
      </c>
      <c r="BN36" s="41">
        <f t="shared" si="50"/>
        <v>15</v>
      </c>
      <c r="BO36" s="41">
        <f t="shared" si="51"/>
        <v>6</v>
      </c>
      <c r="BP36" s="297" t="str">
        <f t="shared" ca="1" si="10"/>
        <v/>
      </c>
      <c r="BQ36" s="297" t="str">
        <f t="shared" ca="1" si="11"/>
        <v/>
      </c>
      <c r="BR36" s="299" t="str">
        <f t="shared" ca="1" si="12"/>
        <v/>
      </c>
      <c r="BS36" s="153" t="str">
        <f t="shared" ca="1" si="13"/>
        <v/>
      </c>
      <c r="BT36" s="153" t="str">
        <f t="shared" ca="1" si="14"/>
        <v/>
      </c>
      <c r="BU36" s="300" t="str">
        <f t="shared" ca="1" si="15"/>
        <v/>
      </c>
      <c r="BV36" s="301" t="str">
        <f t="shared" ca="1" si="16"/>
        <v/>
      </c>
      <c r="BW36" s="300" t="str">
        <f t="shared" ca="1" si="17"/>
        <v/>
      </c>
      <c r="BX36" s="301" t="str">
        <f t="shared" ca="1" si="18"/>
        <v/>
      </c>
      <c r="BY36" s="146" t="str">
        <f t="shared" ca="1" si="19"/>
        <v/>
      </c>
      <c r="BZ36" s="146" t="str">
        <f t="shared" ca="1" si="20"/>
        <v/>
      </c>
      <c r="CA36" s="146" t="str">
        <f t="shared" ca="1" si="21"/>
        <v/>
      </c>
      <c r="CB36" s="146" t="str">
        <f t="shared" ca="1" si="22"/>
        <v/>
      </c>
      <c r="CC36" s="302">
        <v>1</v>
      </c>
      <c r="CD36" s="154">
        <f ca="1">IF(BD36,_xll.xCrudeAPO(BS36,BT36,BY36,BZ36,S37,S38,BI36,BL36,BN36,BO36,0,Strike1,AO36,CC36,0,BL36,IF(OptControl=4,0,1),0,1),0)</f>
        <v>0</v>
      </c>
      <c r="CE36" s="155">
        <f ca="1">IF(BD36,_xll.xCrudeAPO(BS36,BT36,BY36,BZ36,S37,S38,BI36,BL36,BN36,BO36,0,Strike1,AO36,CC36,0,BL36,IF(OptControl=4,0,1),1,1)+_xll.xCrudeAPO(BS36,BT36,BY36,BZ36,S37,S38,BI36,BL36,BN36,BO36,0,Strike1,AO36,CC36,0,BL36,IF(OptControl=4,0,1),1,2)+IF(OR(VolSkewFlag=2,ABS(BQ36)&lt;0.0001),0,IF(BQ36&gt;0,-1,1)*CF36*Strike1/BP36^2*BW36/10%),0)</f>
        <v>0</v>
      </c>
      <c r="CF36" s="155">
        <f ca="1">IF(BD36,(_xll.xCrudeAPO(BS36,BT36,BY36,BZ36,S37,S38,BI36,BL36,BN36,BO36,0,Strike1,AO36,CC36,0,BL36,IF(OptControl=4,0,1),3,1)+_xll.xCrudeAPO(BS36,BT36,BY36,BZ36,S37,S38,BI36,BL36,BN36,BO36,0,Strike1,AO36,CC36,0,BL36,IF(OptControl=4,0,1),3,2))/100,0)</f>
        <v>0</v>
      </c>
      <c r="CG36" s="155">
        <f ca="1">IF(BD36,_xll.xCrudeAPO(BS36,BT36,BY36,BZ36,S37,S38,BI36-DaysForThetaCalculation/365.25,BL36-DaysForThetaCalculation/365.25,BN36,BO36,0,Strike1,AO36,CC36,0,BL36,IF(OptControl=4,0,1),0,1)-_xll.xCrudeAPO(BS36,BT36,BY36,BZ36,S37,S38,BI36,BL36,BN36,BO36,0,Strike1,AO36,CC36,0,BL36,IF(OptControl=4,0,1),0,1),0)</f>
        <v>0</v>
      </c>
      <c r="CH36" s="303">
        <f ca="1">IF(BD36,_xll.xCrudeAPO(BS36,BT36,CA36,CB36,S37,S38,BI36,BL36,BN36,BO36,0,Strike2,AO36,CC36,0,BL36,IF(OptControl=3,1,0),0,1),0)</f>
        <v>0</v>
      </c>
      <c r="CI36" s="155">
        <f ca="1">IF(BD36,_xll.xCrudeAPO(BS36,BT36,CA36,CB36,S37,S38,BI36,BL36,BN36,BO36,0,Strike2,AO36,CC36,0,BL36,IF(OptControl=3,1,0),1,1)+_xll.xCrudeAPO(BS36,BT36,CA36,CB36,S37,S38,BI36,BL36,BN36,BO36,0,Strike2,AO36,CC36,0,BL36,IF(OptControl=3,1,0),1,2)+IF(OR(VolSkewFlag=2,ABS(BR36)&lt;0.0001),0,IF(BR36&gt;0,-1,1)*CJ36*Strike2/BP36^2*BX36/10%),0)</f>
        <v>0</v>
      </c>
      <c r="CJ36" s="155">
        <f ca="1">IF(BD36,(_xll.xCrudeAPO(BS36,BT36,CA36,CB36,S37,S38,BI36,BL36,BN36,BO36,0,Strike2,AO36,CC36,0,BL36,IF(OptControl=3,1,0),3,1)+_xll.xCrudeAPO(BS36,BT36,CA36,CB36,S37,S38,BI36,BL36,BN36,BO36,0,Strike2,AO36,CC36,0,BL36,IF(OptControl=3,1,0),3,2))/100,0)</f>
        <v>0</v>
      </c>
      <c r="CK36" s="156">
        <f ca="1">IF(BD36,_xll.xCrudeAPO(BS36,BT36,CA36,CB36,S37,S38,BI36-DaysForThetaCalculation/365.25,BL36-DaysForThetaCalculation/365.25,BN36,BO36,0,Strike2,AO36,CC36,0,BL36,IF(OptControl=3,1,0),0,1)-_xll.xCrudeAPO(BS36,BT36,CA36,CB36,S37,S38,BI36,BL36,BN36,BO36,0,Strike2,AO36,CC36,0,BL36,IF(OptControl=3,1,0),0,1),0)</f>
        <v>0</v>
      </c>
      <c r="CL36" s="53"/>
      <c r="CM36" s="779" t="str">
        <f t="shared" ca="1" si="52"/>
        <v/>
      </c>
      <c r="CN36" s="783" t="str">
        <f t="shared" ca="1" si="53"/>
        <v/>
      </c>
      <c r="CO36" s="780" t="str">
        <f t="shared" ca="1" si="54"/>
        <v/>
      </c>
      <c r="CP36" s="780" t="str">
        <f t="shared" ca="1" si="55"/>
        <v/>
      </c>
      <c r="CQ36" s="780" t="str">
        <f t="shared" ca="1" si="56"/>
        <v/>
      </c>
      <c r="CR36" s="780" t="str">
        <f t="shared" ca="1" si="57"/>
        <v/>
      </c>
      <c r="CS36" s="781" t="str">
        <f t="shared" ca="1" si="58"/>
        <v/>
      </c>
      <c r="CT36" s="782" t="str">
        <f t="shared" ca="1" si="59"/>
        <v/>
      </c>
      <c r="CU36" s="782" t="str">
        <f t="shared" ca="1" si="60"/>
        <v/>
      </c>
      <c r="CV36" s="155">
        <f ca="1">IF(BD36,_xll.EURO(CN36,Strike1,AO36,AO36,CT36,CM36,IF(OptControl=4,0,1),0),0)</f>
        <v>0</v>
      </c>
      <c r="CW36" s="155">
        <f ca="1">IF(BD36,_xll.EURO(CN36,Strike1,AO36,AO36,CT36,CM36,IF(OptControl=4,0,1),1)+IF(OR(VolSkewFlag=2,ABS(CO36)&lt;0.0001),0,IF(CO36&gt;0,-1,1)*CX36*100*Strike1/CN36^2*CQ36/10%),0)</f>
        <v>0</v>
      </c>
      <c r="CX36" s="155">
        <f ca="1">IF(BD36,_xll.EURO(CN36,Strike1,AO36,AO36,CT36,CM36,IF(OptControl=4,0,1),3)/100,0)</f>
        <v>0</v>
      </c>
      <c r="CY36" s="155">
        <f ca="1">IF(BD36,_xll.EURO(CN36,Strike1,AO36,AO36,CT36,CM36,IF(OptControl=4,0,1),0)-_xll.EURO(CN36,Strike1,AO36,AO36,CT36,CM36-1,IF(OptControl=4,0,1),0),0)</f>
        <v>0</v>
      </c>
      <c r="CZ36" s="155">
        <f ca="1">IF(BD36,_xll.EURO(CN36,Strike2,AO36,AO36,CU36,CM36,IF(OptControl=3,1,0),0),0)</f>
        <v>0</v>
      </c>
      <c r="DA36" s="155">
        <f ca="1">IF(BD36,_xll.EURO(CN36,Strike2,AO36,AO36,CU36,CM36,IF(OptControl=3,1,0),1)+IF(OR(VolSkewFlag=2,ABS(CP36)&lt;0.0001),0,IF(CP36&gt;0,-1,1)*DB36*100*Strike2/CN36^2*CR36/10%),0)</f>
        <v>0</v>
      </c>
      <c r="DB36" s="155">
        <f ca="1">IF(BD36,_xll.EURO(CN36,Strike2,AO36,AO36,CU36,CM36,IF(OptControl=3,1,0),3)/100,0)</f>
        <v>0</v>
      </c>
      <c r="DC36" s="156">
        <f ca="1">IF(BD36,_xll.EURO(CN36,Strike2,AO36,AO36,CU36,CM36,IF(OptControl=3,1,0),0)-_xll.EURO(CN36,Strike2,AO36,AO36,CU36,CM36-1,IF(OptControl=3,1,0),0),0)</f>
        <v>0</v>
      </c>
      <c r="DD36" s="53"/>
      <c r="DE36" s="651">
        <f t="shared" ca="1" si="61"/>
        <v>37408</v>
      </c>
      <c r="DF36" s="465">
        <v>1E-4</v>
      </c>
      <c r="DG36" s="649">
        <v>1E-4</v>
      </c>
      <c r="DH36" s="650">
        <f t="shared" ca="1" si="23"/>
        <v>37408</v>
      </c>
      <c r="DI36" s="465">
        <v>1E-4</v>
      </c>
      <c r="DJ36" s="649">
        <v>1E-4</v>
      </c>
      <c r="DK36" s="651">
        <f t="shared" ca="1" si="24"/>
        <v>37408</v>
      </c>
      <c r="DL36" s="652">
        <f t="shared" si="25"/>
        <v>5.0100000000000006E-2</v>
      </c>
      <c r="DM36" s="651">
        <f t="shared" ca="1" si="62"/>
        <v>37408</v>
      </c>
      <c r="DN36" s="563">
        <f t="shared" si="63"/>
        <v>-4.99E-2</v>
      </c>
      <c r="DO36" s="803">
        <v>-0.05</v>
      </c>
      <c r="DP36" s="650">
        <f t="shared" ca="1" si="26"/>
        <v>37408</v>
      </c>
      <c r="DQ36" s="653">
        <v>1E-4</v>
      </c>
      <c r="DR36" s="590">
        <v>1E-4</v>
      </c>
      <c r="DS36" s="650">
        <f t="shared" ca="1" si="27"/>
        <v>37408</v>
      </c>
      <c r="DT36" s="653">
        <v>1E-4</v>
      </c>
      <c r="DU36" s="590">
        <v>1E-4</v>
      </c>
      <c r="DV36" s="651">
        <f t="shared" ca="1" si="28"/>
        <v>37408</v>
      </c>
      <c r="DW36" s="590">
        <v>1E-4</v>
      </c>
      <c r="DX36" s="651">
        <f t="shared" ca="1" si="64"/>
        <v>37408</v>
      </c>
      <c r="DY36" s="590">
        <f t="shared" si="65"/>
        <v>1E-4</v>
      </c>
      <c r="DZ36" s="1"/>
      <c r="EA36" s="863" t="e">
        <f ca="1">_xll.ASN(X36,X36,AO36,AS36,0,AI36,0,BI36,BL36,1,0)</f>
        <v>#NAME?</v>
      </c>
      <c r="EB36" s="653" t="e">
        <f ca="1">_xll.ASN(X36,X36,AO36,AS36,0,AI36,0,BI36,BL36,1,3)/100</f>
        <v>#NAME?</v>
      </c>
      <c r="EC36" s="653" t="e">
        <f ca="1">_xll.xCrudeAPO(L37,L38,O37,O38,S37,S38,BI36,BL36,AJ36,AK36,0,X36,AO36,1,0,+BL36,1,0,1)</f>
        <v>#NAME?</v>
      </c>
      <c r="ED36" s="869" t="e">
        <f t="shared" ca="1" si="165"/>
        <v>#NAME?</v>
      </c>
      <c r="EE36" s="863" t="e">
        <f t="shared" ca="1" si="29"/>
        <v>#NAME?</v>
      </c>
      <c r="EF36" s="590" t="e">
        <f t="shared" ca="1" si="30"/>
        <v>#NAME?</v>
      </c>
      <c r="EG36" s="862" t="str">
        <f t="shared" ca="1" si="31"/>
        <v/>
      </c>
      <c r="EH36" s="114" t="str">
        <f t="shared" ca="1" si="32"/>
        <v/>
      </c>
      <c r="EI36" s="109" t="str">
        <f t="shared" ca="1" si="33"/>
        <v/>
      </c>
      <c r="EJ36" s="115">
        <f ca="1">IF(BD36,_xll.xASN(BP36,Strike1,AO36,EH36,0,BM36,0,BI36,BL36,IF(OptControl=4,0,1),0),0)</f>
        <v>0</v>
      </c>
      <c r="EK36" s="108">
        <f ca="1">IF(BD36,_xll.xASN(BP36,Strike2,AO36,EI36,0,BM36,0,BI36,BL36,IF(OptControl=3,1,0),0),0)</f>
        <v>0</v>
      </c>
      <c r="EM36" s="473" t="e">
        <f>[1]!'CLc17 MTH'</f>
        <v>#REF!</v>
      </c>
      <c r="EN36" s="474" t="e">
        <f t="shared" si="158"/>
        <v>#REF!</v>
      </c>
      <c r="EO36" s="475" t="e">
        <f>[1]!'CLc17 NET.CHNG'</f>
        <v>#REF!</v>
      </c>
      <c r="EP36" s="476">
        <f t="shared" si="159"/>
        <v>0</v>
      </c>
      <c r="EQ36" s="1"/>
      <c r="ER36" s="681">
        <v>37622</v>
      </c>
      <c r="ES36" s="682">
        <v>39448</v>
      </c>
      <c r="ET36" s="1"/>
      <c r="EU36" s="667" t="s">
        <v>140</v>
      </c>
      <c r="EV36" s="53"/>
      <c r="EW36" s="488">
        <v>17</v>
      </c>
      <c r="EX36" s="466">
        <f t="shared" ca="1" si="166"/>
        <v>1.3497604380561259</v>
      </c>
      <c r="EY36" s="824">
        <f t="shared" ca="1" si="66"/>
        <v>9.9441452636329766E-2</v>
      </c>
      <c r="EZ36" s="798">
        <f t="shared" ca="1" si="160"/>
        <v>0.26642637099322936</v>
      </c>
      <c r="FA36" s="468" t="str">
        <f t="shared" ca="1" si="161"/>
        <v/>
      </c>
      <c r="FB36" s="467" t="str">
        <f t="shared" ca="1" si="162"/>
        <v/>
      </c>
      <c r="FC36" s="242">
        <v>0</v>
      </c>
      <c r="FD36" s="589" t="str">
        <f ca="1">IF(OR(FA36="",FA37=""),"",SQRT(SUM(INDEX(FO36:IH36,SwaptionFirstMonthPosition+1):INDEX(FO36:IH36,FN36))/SUM(INDEX($FO$15:$IH$15,SwaptionFirstMonthPosition+1):INDEX($FO$15:$IH$15,FN36))))</f>
        <v/>
      </c>
      <c r="FE36" s="565" t="str">
        <f ca="1">IF(OR(FA36="",FA35=""),"",SQRT(SUM(INDEX(FO36:IH36,SwaptionFirstMonthPosition+1):INDEX(FO36:IH36,FN36-1))/SUM(INDEX($FO$15:$IH$15,SwaptionFirstMonthPosition+1):INDEX($FO$15:$IH$15,FN36-1))))</f>
        <v/>
      </c>
      <c r="FF36" s="562" t="str">
        <f t="shared" ca="1" si="67"/>
        <v/>
      </c>
      <c r="FG36" s="593" t="str">
        <f t="shared" ca="1" si="68"/>
        <v/>
      </c>
      <c r="FH36" s="563" t="str">
        <f t="shared" ca="1" si="69"/>
        <v/>
      </c>
      <c r="FI36" s="563" t="str">
        <f t="shared" ca="1" si="70"/>
        <v/>
      </c>
      <c r="FJ36" s="563" t="str">
        <f t="shared" ca="1" si="71"/>
        <v/>
      </c>
      <c r="FK36" s="564" t="str">
        <f t="shared" ca="1" si="72"/>
        <v/>
      </c>
      <c r="FL36" s="590" t="str">
        <f t="shared" ca="1" si="73"/>
        <v/>
      </c>
      <c r="FM36" s="242"/>
      <c r="FN36" s="657">
        <v>17</v>
      </c>
      <c r="FO36" s="450">
        <f t="shared" ca="1" si="74"/>
        <v>8.7369518209409747E-4</v>
      </c>
      <c r="FP36" s="450">
        <f t="shared" ca="1" si="75"/>
        <v>3.3832124167987739E-3</v>
      </c>
      <c r="FQ36" s="450">
        <f t="shared" ca="1" si="76"/>
        <v>3.3828806217689445E-3</v>
      </c>
      <c r="FR36" s="450">
        <f t="shared" ca="1" si="77"/>
        <v>3.8772163519974335E-3</v>
      </c>
      <c r="FS36" s="450">
        <f t="shared" ca="1" si="78"/>
        <v>3.792984271264285E-3</v>
      </c>
      <c r="FT36" s="450">
        <f t="shared" ca="1" si="79"/>
        <v>4.2436610367193811E-3</v>
      </c>
      <c r="FU36" s="450">
        <f t="shared" ca="1" si="80"/>
        <v>4.1970629714928554E-3</v>
      </c>
      <c r="FV36" s="450">
        <f t="shared" ca="1" si="81"/>
        <v>4.1592230409844781E-3</v>
      </c>
      <c r="FW36" s="450">
        <f t="shared" ca="1" si="82"/>
        <v>4.7657639069096543E-3</v>
      </c>
      <c r="FX36" s="450">
        <f t="shared" ca="1" si="83"/>
        <v>5.6517408981675539E-3</v>
      </c>
      <c r="FY36" s="450">
        <f t="shared" ca="1" si="84"/>
        <v>5.4031154958661355E-3</v>
      </c>
      <c r="FZ36" s="450">
        <f t="shared" ca="1" si="85"/>
        <v>5.9377157408847161E-3</v>
      </c>
      <c r="GA36" s="450">
        <f t="shared" ca="1" si="86"/>
        <v>7.5101352540040559E-3</v>
      </c>
      <c r="GB36" s="450">
        <f t="shared" ca="1" si="87"/>
        <v>7.4301126165956808E-3</v>
      </c>
      <c r="GC36" s="450">
        <f t="shared" ca="1" si="88"/>
        <v>9.3640117481791577E-3</v>
      </c>
      <c r="GD36" s="450">
        <f t="shared" ca="1" si="89"/>
        <v>1.0190586002575689E-2</v>
      </c>
      <c r="GE36" s="450">
        <f t="shared" ca="1" si="90"/>
        <v>1.1646942682400978E-2</v>
      </c>
      <c r="GF36" s="450" t="str">
        <f t="shared" si="91"/>
        <v/>
      </c>
      <c r="GG36" s="450" t="str">
        <f t="shared" si="92"/>
        <v/>
      </c>
      <c r="GH36" s="450" t="str">
        <f t="shared" si="93"/>
        <v/>
      </c>
      <c r="GI36" s="450" t="str">
        <f t="shared" si="94"/>
        <v/>
      </c>
      <c r="GJ36" s="450" t="str">
        <f t="shared" si="95"/>
        <v/>
      </c>
      <c r="GK36" s="450" t="str">
        <f t="shared" si="96"/>
        <v/>
      </c>
      <c r="GL36" s="450" t="str">
        <f t="shared" si="97"/>
        <v/>
      </c>
      <c r="GM36" s="450" t="str">
        <f t="shared" si="98"/>
        <v/>
      </c>
      <c r="GN36" s="450" t="str">
        <f t="shared" si="99"/>
        <v/>
      </c>
      <c r="GO36" s="450" t="str">
        <f t="shared" si="100"/>
        <v/>
      </c>
      <c r="GP36" s="450" t="str">
        <f t="shared" si="101"/>
        <v/>
      </c>
      <c r="GQ36" s="450" t="str">
        <f t="shared" si="102"/>
        <v/>
      </c>
      <c r="GR36" s="450" t="str">
        <f t="shared" si="103"/>
        <v/>
      </c>
      <c r="GS36" s="450" t="str">
        <f t="shared" si="104"/>
        <v/>
      </c>
      <c r="GT36" s="450" t="str">
        <f t="shared" si="105"/>
        <v/>
      </c>
      <c r="GU36" s="450" t="str">
        <f t="shared" si="106"/>
        <v/>
      </c>
      <c r="GV36" s="450" t="str">
        <f t="shared" si="107"/>
        <v/>
      </c>
      <c r="GW36" s="450" t="str">
        <f t="shared" si="108"/>
        <v/>
      </c>
      <c r="GX36" s="450" t="str">
        <f t="shared" si="109"/>
        <v/>
      </c>
      <c r="GY36" s="450" t="str">
        <f t="shared" si="110"/>
        <v/>
      </c>
      <c r="GZ36" s="450" t="str">
        <f t="shared" si="111"/>
        <v/>
      </c>
      <c r="HA36" s="450" t="str">
        <f t="shared" si="112"/>
        <v/>
      </c>
      <c r="HB36" s="450" t="str">
        <f t="shared" si="113"/>
        <v/>
      </c>
      <c r="HC36" s="450" t="str">
        <f t="shared" si="114"/>
        <v/>
      </c>
      <c r="HD36" s="450" t="str">
        <f t="shared" si="115"/>
        <v/>
      </c>
      <c r="HE36" s="450" t="str">
        <f t="shared" si="116"/>
        <v/>
      </c>
      <c r="HF36" s="450" t="str">
        <f t="shared" si="117"/>
        <v/>
      </c>
      <c r="HG36" s="450" t="str">
        <f t="shared" si="118"/>
        <v/>
      </c>
      <c r="HH36" s="450" t="str">
        <f t="shared" si="119"/>
        <v/>
      </c>
      <c r="HI36" s="450" t="str">
        <f t="shared" si="120"/>
        <v/>
      </c>
      <c r="HJ36" s="450" t="str">
        <f t="shared" si="121"/>
        <v/>
      </c>
      <c r="HK36" s="450" t="str">
        <f t="shared" si="122"/>
        <v/>
      </c>
      <c r="HL36" s="450" t="str">
        <f t="shared" si="123"/>
        <v/>
      </c>
      <c r="HM36" s="450" t="str">
        <f t="shared" si="124"/>
        <v/>
      </c>
      <c r="HN36" s="450" t="str">
        <f t="shared" si="125"/>
        <v/>
      </c>
      <c r="HO36" s="450" t="str">
        <f t="shared" si="126"/>
        <v/>
      </c>
      <c r="HP36" s="450" t="str">
        <f t="shared" si="127"/>
        <v/>
      </c>
      <c r="HQ36" s="450" t="str">
        <f t="shared" si="128"/>
        <v/>
      </c>
      <c r="HR36" s="450" t="str">
        <f t="shared" si="129"/>
        <v/>
      </c>
      <c r="HS36" s="450" t="str">
        <f t="shared" si="130"/>
        <v/>
      </c>
      <c r="HT36" s="450" t="str">
        <f t="shared" si="131"/>
        <v/>
      </c>
      <c r="HU36" s="450" t="str">
        <f t="shared" si="132"/>
        <v/>
      </c>
      <c r="HV36" s="450" t="str">
        <f t="shared" si="133"/>
        <v/>
      </c>
      <c r="HW36" s="450" t="str">
        <f t="shared" si="134"/>
        <v/>
      </c>
      <c r="HX36" s="450" t="str">
        <f t="shared" si="135"/>
        <v/>
      </c>
      <c r="HY36" s="450" t="str">
        <f t="shared" si="136"/>
        <v/>
      </c>
      <c r="HZ36" s="450" t="str">
        <f t="shared" si="137"/>
        <v/>
      </c>
      <c r="IA36" s="450" t="str">
        <f t="shared" si="138"/>
        <v/>
      </c>
      <c r="IB36" s="450" t="str">
        <f t="shared" si="139"/>
        <v/>
      </c>
      <c r="IC36" s="450" t="str">
        <f t="shared" si="140"/>
        <v/>
      </c>
      <c r="ID36" s="450" t="str">
        <f t="shared" si="141"/>
        <v/>
      </c>
      <c r="IE36" s="450" t="str">
        <f t="shared" si="142"/>
        <v/>
      </c>
      <c r="IF36" s="450" t="str">
        <f t="shared" si="143"/>
        <v/>
      </c>
      <c r="IG36" s="450" t="str">
        <f t="shared" si="144"/>
        <v/>
      </c>
      <c r="IH36" s="658" t="str">
        <f t="shared" si="145"/>
        <v/>
      </c>
      <c r="II36" s="242"/>
    </row>
    <row r="37" spans="1:243" s="51" customFormat="1" ht="15.75" customHeight="1" thickBot="1">
      <c r="A37" s="49">
        <f ca="1">IF(DateToday&gt;AC20,2,1)</f>
        <v>1</v>
      </c>
      <c r="B37" s="81"/>
      <c r="C37" s="82" t="s">
        <v>28</v>
      </c>
      <c r="D37" s="60" t="s">
        <v>29</v>
      </c>
      <c r="E37" s="60" t="s">
        <v>30</v>
      </c>
      <c r="F37" s="83" t="str">
        <f>CONCATENATE(DaysForThetaCalculation,"-d Theta")</f>
        <v>1-d Theta</v>
      </c>
      <c r="G37" s="771" t="s">
        <v>8</v>
      </c>
      <c r="H37" s="49" t="e">
        <f t="shared" ca="1" si="34"/>
        <v>#N/A</v>
      </c>
      <c r="I37" s="369">
        <f t="shared" si="35"/>
        <v>37530</v>
      </c>
      <c r="J37" s="367">
        <v>24.19</v>
      </c>
      <c r="K37" s="101" t="s">
        <v>487</v>
      </c>
      <c r="L37" s="382">
        <f t="shared" si="36"/>
        <v>24.19</v>
      </c>
      <c r="M37" s="163">
        <v>0.26770917885020995</v>
      </c>
      <c r="N37" s="372">
        <v>0</v>
      </c>
      <c r="O37" s="163">
        <f t="shared" si="37"/>
        <v>0.26770917885020995</v>
      </c>
      <c r="P37" s="367">
        <v>22.886666666666699</v>
      </c>
      <c r="Q37" s="100" t="s">
        <v>268</v>
      </c>
      <c r="R37" s="367">
        <f t="shared" ca="1" si="147"/>
        <v>22.886666666666667</v>
      </c>
      <c r="S37" s="814">
        <f t="shared" si="163"/>
        <v>0.38257288855474381</v>
      </c>
      <c r="T37" s="813">
        <f t="shared" si="148"/>
        <v>0.98684008687770985</v>
      </c>
      <c r="U37" s="532">
        <f t="shared" si="149"/>
        <v>0.99988724579772681</v>
      </c>
      <c r="V37" s="379">
        <v>0</v>
      </c>
      <c r="W37" s="424">
        <f t="shared" si="150"/>
        <v>23.958260869565216</v>
      </c>
      <c r="X37" s="405">
        <f t="shared" si="38"/>
        <v>23.958260869565216</v>
      </c>
      <c r="Y37" s="313">
        <f t="shared" si="39"/>
        <v>22.698985507246363</v>
      </c>
      <c r="Z37" s="313">
        <f t="shared" ca="1" si="40"/>
        <v>22.69898550724638</v>
      </c>
      <c r="AA37" s="419">
        <f t="shared" si="1"/>
        <v>1.2592753623188528</v>
      </c>
      <c r="AB37" s="423">
        <f t="shared" ca="1" si="2"/>
        <v>1.2592753623188351</v>
      </c>
      <c r="AC37" s="218">
        <v>37519</v>
      </c>
      <c r="AD37" s="221">
        <v>37516</v>
      </c>
      <c r="AE37" s="219">
        <v>37511</v>
      </c>
      <c r="AF37" s="220">
        <v>37510</v>
      </c>
      <c r="AG37" s="241" t="s">
        <v>496</v>
      </c>
      <c r="AH37" s="239" t="s">
        <v>90</v>
      </c>
      <c r="AI37" s="141">
        <v>23</v>
      </c>
      <c r="AJ37" s="41">
        <v>16</v>
      </c>
      <c r="AK37" s="41">
        <v>7</v>
      </c>
      <c r="AL37" s="285">
        <v>23</v>
      </c>
      <c r="AM37" s="41">
        <v>11</v>
      </c>
      <c r="AN37" s="142">
        <v>12</v>
      </c>
      <c r="AO37" s="364">
        <v>4.5281015395305206E-2</v>
      </c>
      <c r="AP37" s="145">
        <f t="shared" ca="1" si="41"/>
        <v>0.93250911588368224</v>
      </c>
      <c r="AQ37" s="364">
        <v>4.0304748925565896E-2</v>
      </c>
      <c r="AR37" s="145">
        <f t="shared" ca="1" si="151"/>
        <v>0.94415386049387395</v>
      </c>
      <c r="AS37" s="264">
        <f t="shared" si="3"/>
        <v>0.2638308646407404</v>
      </c>
      <c r="AT37" s="149">
        <f t="shared" si="42"/>
        <v>0.26770917885020995</v>
      </c>
      <c r="AU37" s="149">
        <f t="shared" si="4"/>
        <v>0.26286560349286214</v>
      </c>
      <c r="AV37" s="263">
        <f t="shared" ca="1" si="164"/>
        <v>0.25820227710150701</v>
      </c>
      <c r="AW37" s="150">
        <f t="shared" ca="1" si="5"/>
        <v>3</v>
      </c>
      <c r="AX37" s="149">
        <f t="shared" ca="1" si="152"/>
        <v>5.1677736467053509E-2</v>
      </c>
      <c r="AY37" s="149">
        <f t="shared" ca="1" si="153"/>
        <v>2.9261070509675816E-2</v>
      </c>
      <c r="AZ37" s="149">
        <f t="shared" ca="1" si="154"/>
        <v>1.2884013007341592E-2</v>
      </c>
      <c r="BA37" s="149">
        <f t="shared" ca="1" si="155"/>
        <v>1.0000000000000009E-4</v>
      </c>
      <c r="BB37" s="149">
        <f t="shared" ca="1" si="156"/>
        <v>1.0000000000000009E-4</v>
      </c>
      <c r="BC37" s="149">
        <f t="shared" ca="1" si="157"/>
        <v>1.0000000000000009E-4</v>
      </c>
      <c r="BD37" s="143">
        <f t="shared" ca="1" si="43"/>
        <v>0</v>
      </c>
      <c r="BE37" s="144">
        <f t="shared" ca="1" si="44"/>
        <v>0</v>
      </c>
      <c r="BF37" s="40">
        <f t="shared" si="7"/>
        <v>2002</v>
      </c>
      <c r="BG37" s="139">
        <f t="shared" si="8"/>
        <v>10</v>
      </c>
      <c r="BH37" s="140">
        <f t="shared" ca="1" si="45"/>
        <v>526</v>
      </c>
      <c r="BI37" s="304">
        <f t="shared" ca="1" si="46"/>
        <v>1.4784394250513346</v>
      </c>
      <c r="BJ37" s="42">
        <f t="shared" ca="1" si="47"/>
        <v>1.5355771806088743</v>
      </c>
      <c r="BK37" s="42">
        <f t="shared" ca="1" si="9"/>
        <v>1.5383150313960063</v>
      </c>
      <c r="BL37" s="42">
        <f t="shared" ca="1" si="48"/>
        <v>1.5605749486652978</v>
      </c>
      <c r="BM37" s="285">
        <f t="shared" si="49"/>
        <v>23</v>
      </c>
      <c r="BN37" s="41">
        <f t="shared" si="50"/>
        <v>16</v>
      </c>
      <c r="BO37" s="41">
        <f t="shared" si="51"/>
        <v>7</v>
      </c>
      <c r="BP37" s="297" t="str">
        <f t="shared" ca="1" si="10"/>
        <v/>
      </c>
      <c r="BQ37" s="297" t="str">
        <f t="shared" ca="1" si="11"/>
        <v/>
      </c>
      <c r="BR37" s="299" t="str">
        <f t="shared" ca="1" si="12"/>
        <v/>
      </c>
      <c r="BS37" s="153" t="str">
        <f t="shared" ca="1" si="13"/>
        <v/>
      </c>
      <c r="BT37" s="153" t="str">
        <f t="shared" ca="1" si="14"/>
        <v/>
      </c>
      <c r="BU37" s="300" t="str">
        <f t="shared" ca="1" si="15"/>
        <v/>
      </c>
      <c r="BV37" s="301" t="str">
        <f t="shared" ca="1" si="16"/>
        <v/>
      </c>
      <c r="BW37" s="300" t="str">
        <f t="shared" ca="1" si="17"/>
        <v/>
      </c>
      <c r="BX37" s="301" t="str">
        <f t="shared" ca="1" si="18"/>
        <v/>
      </c>
      <c r="BY37" s="146" t="str">
        <f t="shared" ca="1" si="19"/>
        <v/>
      </c>
      <c r="BZ37" s="146" t="str">
        <f t="shared" ca="1" si="20"/>
        <v/>
      </c>
      <c r="CA37" s="146" t="str">
        <f t="shared" ca="1" si="21"/>
        <v/>
      </c>
      <c r="CB37" s="146" t="str">
        <f t="shared" ca="1" si="22"/>
        <v/>
      </c>
      <c r="CC37" s="302">
        <v>1</v>
      </c>
      <c r="CD37" s="154">
        <f ca="1">IF(BD37,_xll.xCrudeAPO(BS37,BT37,BY37,BZ37,S38,S39,BI37,BL37,BN37,BO37,0,Strike1,AO37,CC37,0,BL37,IF(OptControl=4,0,1),0,1),0)</f>
        <v>0</v>
      </c>
      <c r="CE37" s="155">
        <f ca="1">IF(BD37,_xll.xCrudeAPO(BS37,BT37,BY37,BZ37,S38,S39,BI37,BL37,BN37,BO37,0,Strike1,AO37,CC37,0,BL37,IF(OptControl=4,0,1),1,1)+_xll.xCrudeAPO(BS37,BT37,BY37,BZ37,S38,S39,BI37,BL37,BN37,BO37,0,Strike1,AO37,CC37,0,BL37,IF(OptControl=4,0,1),1,2)+IF(OR(VolSkewFlag=2,ABS(BQ37)&lt;0.0001),0,IF(BQ37&gt;0,-1,1)*CF37*Strike1/BP37^2*BW37/10%),0)</f>
        <v>0</v>
      </c>
      <c r="CF37" s="155">
        <f ca="1">IF(BD37,(_xll.xCrudeAPO(BS37,BT37,BY37,BZ37,S38,S39,BI37,BL37,BN37,BO37,0,Strike1,AO37,CC37,0,BL37,IF(OptControl=4,0,1),3,1)+_xll.xCrudeAPO(BS37,BT37,BY37,BZ37,S38,S39,BI37,BL37,BN37,BO37,0,Strike1,AO37,CC37,0,BL37,IF(OptControl=4,0,1),3,2))/100,0)</f>
        <v>0</v>
      </c>
      <c r="CG37" s="155">
        <f ca="1">IF(BD37,_xll.xCrudeAPO(BS37,BT37,BY37,BZ37,S38,S39,BI37-DaysForThetaCalculation/365.25,BL37-DaysForThetaCalculation/365.25,BN37,BO37,0,Strike1,AO37,CC37,0,BL37,IF(OptControl=4,0,1),0,1)-_xll.xCrudeAPO(BS37,BT37,BY37,BZ37,S38,S39,BI37,BL37,BN37,BO37,0,Strike1,AO37,CC37,0,BL37,IF(OptControl=4,0,1),0,1),0)</f>
        <v>0</v>
      </c>
      <c r="CH37" s="303">
        <f ca="1">IF(BD37,_xll.xCrudeAPO(BS37,BT37,CA37,CB37,S38,S39,BI37,BL37,BN37,BO37,0,Strike2,AO37,CC37,0,BL37,IF(OptControl=3,1,0),0,1),0)</f>
        <v>0</v>
      </c>
      <c r="CI37" s="155">
        <f ca="1">IF(BD37,_xll.xCrudeAPO(BS37,BT37,CA37,CB37,S38,S39,BI37,BL37,BN37,BO37,0,Strike2,AO37,CC37,0,BL37,IF(OptControl=3,1,0),1,1)+_xll.xCrudeAPO(BS37,BT37,CA37,CB37,S38,S39,BI37,BL37,BN37,BO37,0,Strike2,AO37,CC37,0,BL37,IF(OptControl=3,1,0),1,2)+IF(OR(VolSkewFlag=2,ABS(BR37)&lt;0.0001),0,IF(BR37&gt;0,-1,1)*CJ37*Strike2/BP37^2*BX37/10%),0)</f>
        <v>0</v>
      </c>
      <c r="CJ37" s="155">
        <f ca="1">IF(BD37,(_xll.xCrudeAPO(BS37,BT37,CA37,CB37,S38,S39,BI37,BL37,BN37,BO37,0,Strike2,AO37,CC37,0,BL37,IF(OptControl=3,1,0),3,1)+_xll.xCrudeAPO(BS37,BT37,CA37,CB37,S38,S39,BI37,BL37,BN37,BO37,0,Strike2,AO37,CC37,0,BL37,IF(OptControl=3,1,0),3,2))/100,0)</f>
        <v>0</v>
      </c>
      <c r="CK37" s="156">
        <f ca="1">IF(BD37,_xll.xCrudeAPO(BS37,BT37,CA37,CB37,S38,S39,BI37-DaysForThetaCalculation/365.25,BL37-DaysForThetaCalculation/365.25,BN37,BO37,0,Strike2,AO37,CC37,0,BL37,IF(OptControl=3,1,0),0,1)-_xll.xCrudeAPO(BS37,BT37,CA37,CB37,S38,S39,BI37,BL37,BN37,BO37,0,Strike2,AO37,CC37,0,BL37,IF(OptControl=3,1,0),0,1),0)</f>
        <v>0</v>
      </c>
      <c r="CL37" s="53"/>
      <c r="CM37" s="779" t="str">
        <f t="shared" ca="1" si="52"/>
        <v/>
      </c>
      <c r="CN37" s="783" t="str">
        <f t="shared" ca="1" si="53"/>
        <v/>
      </c>
      <c r="CO37" s="780" t="str">
        <f t="shared" ca="1" si="54"/>
        <v/>
      </c>
      <c r="CP37" s="780" t="str">
        <f t="shared" ca="1" si="55"/>
        <v/>
      </c>
      <c r="CQ37" s="780" t="str">
        <f t="shared" ca="1" si="56"/>
        <v/>
      </c>
      <c r="CR37" s="780" t="str">
        <f t="shared" ca="1" si="57"/>
        <v/>
      </c>
      <c r="CS37" s="781" t="str">
        <f t="shared" ca="1" si="58"/>
        <v/>
      </c>
      <c r="CT37" s="782" t="str">
        <f t="shared" ca="1" si="59"/>
        <v/>
      </c>
      <c r="CU37" s="782" t="str">
        <f t="shared" ca="1" si="60"/>
        <v/>
      </c>
      <c r="CV37" s="155">
        <f ca="1">IF(BD37,_xll.EURO(CN37,Strike1,AO37,AO37,CT37,CM37,IF(OptControl=4,0,1),0),0)</f>
        <v>0</v>
      </c>
      <c r="CW37" s="155">
        <f ca="1">IF(BD37,_xll.EURO(CN37,Strike1,AO37,AO37,CT37,CM37,IF(OptControl=4,0,1),1)+IF(OR(VolSkewFlag=2,ABS(CO37)&lt;0.0001),0,IF(CO37&gt;0,-1,1)*CX37*100*Strike1/CN37^2*CQ37/10%),0)</f>
        <v>0</v>
      </c>
      <c r="CX37" s="155">
        <f ca="1">IF(BD37,_xll.EURO(CN37,Strike1,AO37,AO37,CT37,CM37,IF(OptControl=4,0,1),3)/100,0)</f>
        <v>0</v>
      </c>
      <c r="CY37" s="155">
        <f ca="1">IF(BD37,_xll.EURO(CN37,Strike1,AO37,AO37,CT37,CM37,IF(OptControl=4,0,1),0)-_xll.EURO(CN37,Strike1,AO37,AO37,CT37,CM37-1,IF(OptControl=4,0,1),0),0)</f>
        <v>0</v>
      </c>
      <c r="CZ37" s="155">
        <f ca="1">IF(BD37,_xll.EURO(CN37,Strike2,AO37,AO37,CU37,CM37,IF(OptControl=3,1,0),0),0)</f>
        <v>0</v>
      </c>
      <c r="DA37" s="155">
        <f ca="1">IF(BD37,_xll.EURO(CN37,Strike2,AO37,AO37,CU37,CM37,IF(OptControl=3,1,0),1)+IF(OR(VolSkewFlag=2,ABS(CP37)&lt;0.0001),0,IF(CP37&gt;0,-1,1)*DB37*100*Strike2/CN37^2*CR37/10%),0)</f>
        <v>0</v>
      </c>
      <c r="DB37" s="155">
        <f ca="1">IF(BD37,_xll.EURO(CN37,Strike2,AO37,AO37,CU37,CM37,IF(OptControl=3,1,0),3)/100,0)</f>
        <v>0</v>
      </c>
      <c r="DC37" s="156">
        <f ca="1">IF(BD37,_xll.EURO(CN37,Strike2,AO37,AO37,CU37,CM37,IF(OptControl=3,1,0),0)-_xll.EURO(CN37,Strike2,AO37,AO37,CU37,CM37-1,IF(OptControl=3,1,0),0),0)</f>
        <v>0</v>
      </c>
      <c r="DD37" s="53"/>
      <c r="DE37" s="651">
        <f t="shared" ca="1" si="61"/>
        <v>37438</v>
      </c>
      <c r="DF37" s="465">
        <v>1E-4</v>
      </c>
      <c r="DG37" s="649">
        <v>1E-4</v>
      </c>
      <c r="DH37" s="650">
        <f t="shared" ca="1" si="23"/>
        <v>37438</v>
      </c>
      <c r="DI37" s="465">
        <v>1E-4</v>
      </c>
      <c r="DJ37" s="649">
        <v>1E-4</v>
      </c>
      <c r="DK37" s="651">
        <f t="shared" ca="1" si="24"/>
        <v>37438</v>
      </c>
      <c r="DL37" s="652">
        <f t="shared" si="25"/>
        <v>5.0100000000000006E-2</v>
      </c>
      <c r="DM37" s="651">
        <f t="shared" ca="1" si="62"/>
        <v>37438</v>
      </c>
      <c r="DN37" s="563">
        <f t="shared" si="63"/>
        <v>-4.99E-2</v>
      </c>
      <c r="DO37" s="803">
        <v>-0.05</v>
      </c>
      <c r="DP37" s="650">
        <f t="shared" ca="1" si="26"/>
        <v>37438</v>
      </c>
      <c r="DQ37" s="653">
        <v>1E-4</v>
      </c>
      <c r="DR37" s="590">
        <v>1E-4</v>
      </c>
      <c r="DS37" s="650">
        <f t="shared" ca="1" si="27"/>
        <v>37438</v>
      </c>
      <c r="DT37" s="653">
        <v>1E-4</v>
      </c>
      <c r="DU37" s="590">
        <v>1E-4</v>
      </c>
      <c r="DV37" s="651">
        <f t="shared" ca="1" si="28"/>
        <v>37438</v>
      </c>
      <c r="DW37" s="590">
        <v>1E-4</v>
      </c>
      <c r="DX37" s="651">
        <f t="shared" ca="1" si="64"/>
        <v>37438</v>
      </c>
      <c r="DY37" s="590">
        <f t="shared" si="65"/>
        <v>1E-4</v>
      </c>
      <c r="DZ37" s="1"/>
      <c r="EA37" s="863" t="e">
        <f ca="1">_xll.ASN(X37,X37,AO37,AS37,0,AI37,0,BI37,BL37,1,0)</f>
        <v>#NAME?</v>
      </c>
      <c r="EB37" s="653" t="e">
        <f ca="1">_xll.ASN(X37,X37,AO37,AS37,0,AI37,0,BI37,BL37,1,3)/100</f>
        <v>#NAME?</v>
      </c>
      <c r="EC37" s="653" t="e">
        <f ca="1">_xll.xCrudeAPO(L38,L39,O38,O39,S38,S39,BI37,BL37,AJ37,AK37,0,X37,AO37,1,0,+BL37,1,0,1)</f>
        <v>#NAME?</v>
      </c>
      <c r="ED37" s="869" t="e">
        <f t="shared" ca="1" si="165"/>
        <v>#NAME?</v>
      </c>
      <c r="EE37" s="863" t="e">
        <f t="shared" ca="1" si="29"/>
        <v>#NAME?</v>
      </c>
      <c r="EF37" s="590" t="e">
        <f t="shared" ca="1" si="30"/>
        <v>#NAME?</v>
      </c>
      <c r="EG37" s="862" t="str">
        <f t="shared" ca="1" si="31"/>
        <v/>
      </c>
      <c r="EH37" s="114" t="str">
        <f t="shared" ca="1" si="32"/>
        <v/>
      </c>
      <c r="EI37" s="109" t="str">
        <f t="shared" ca="1" si="33"/>
        <v/>
      </c>
      <c r="EJ37" s="115">
        <f ca="1">IF(BD37,_xll.xASN(BP37,Strike1,AO37,EH37,0,BM37,0,BI37,BL37,IF(OptControl=4,0,1),0),0)</f>
        <v>0</v>
      </c>
      <c r="EK37" s="108">
        <f ca="1">IF(BD37,_xll.xASN(BP37,Strike2,AO37,EI37,0,BM37,0,BI37,BL37,IF(OptControl=3,1,0),0),0)</f>
        <v>0</v>
      </c>
      <c r="EM37" s="473" t="e">
        <f>[1]!'CLc18 MTH'</f>
        <v>#REF!</v>
      </c>
      <c r="EN37" s="474" t="e">
        <f t="shared" si="158"/>
        <v>#REF!</v>
      </c>
      <c r="EO37" s="475" t="e">
        <f>[1]!'CLc18 NET.CHNG'</f>
        <v>#REF!</v>
      </c>
      <c r="EP37" s="476">
        <f t="shared" si="159"/>
        <v>0</v>
      </c>
      <c r="EQ37" s="1"/>
      <c r="ER37" s="681">
        <v>37806</v>
      </c>
      <c r="ES37" s="682">
        <v>39807</v>
      </c>
      <c r="ET37" s="1"/>
      <c r="EU37" s="667" t="s">
        <v>141</v>
      </c>
      <c r="EV37" s="53"/>
      <c r="EW37" s="488">
        <v>18</v>
      </c>
      <c r="EX37" s="466">
        <f t="shared" ca="1" si="166"/>
        <v>1.4401095140314852</v>
      </c>
      <c r="EY37" s="824">
        <f t="shared" ca="1" si="66"/>
        <v>0.10321006306853893</v>
      </c>
      <c r="EZ37" s="798">
        <f t="shared" ca="1" si="160"/>
        <v>0.26349005588200347</v>
      </c>
      <c r="FA37" s="468" t="str">
        <f t="shared" ca="1" si="161"/>
        <v/>
      </c>
      <c r="FB37" s="467" t="str">
        <f t="shared" ca="1" si="162"/>
        <v/>
      </c>
      <c r="FC37" s="242">
        <v>0</v>
      </c>
      <c r="FD37" s="589" t="str">
        <f ca="1">IF(OR(FA37="",FA38=""),"",SQRT(SUM(INDEX(FO37:IH37,SwaptionFirstMonthPosition+1):INDEX(FO37:IH37,FN37))/SUM(INDEX($FO$15:$IH$15,SwaptionFirstMonthPosition+1):INDEX($FO$15:$IH$15,FN37))))</f>
        <v/>
      </c>
      <c r="FE37" s="565" t="str">
        <f ca="1">IF(OR(FA37="",FA36=""),"",SQRT(SUM(INDEX(FO37:IH37,SwaptionFirstMonthPosition+1):INDEX(FO37:IH37,FN37-1))/SUM(INDEX($FO$15:$IH$15,SwaptionFirstMonthPosition+1):INDEX($FO$15:$IH$15,FN37-1))))</f>
        <v/>
      </c>
      <c r="FF37" s="562" t="str">
        <f t="shared" ca="1" si="67"/>
        <v/>
      </c>
      <c r="FG37" s="593" t="str">
        <f t="shared" ca="1" si="68"/>
        <v/>
      </c>
      <c r="FH37" s="563" t="str">
        <f t="shared" ca="1" si="69"/>
        <v/>
      </c>
      <c r="FI37" s="563" t="str">
        <f t="shared" ca="1" si="70"/>
        <v/>
      </c>
      <c r="FJ37" s="563" t="str">
        <f t="shared" ca="1" si="71"/>
        <v/>
      </c>
      <c r="FK37" s="564" t="str">
        <f t="shared" ca="1" si="72"/>
        <v/>
      </c>
      <c r="FL37" s="590" t="str">
        <f t="shared" ca="1" si="73"/>
        <v/>
      </c>
      <c r="FM37" s="242"/>
      <c r="FN37" s="657">
        <v>18</v>
      </c>
      <c r="FO37" s="450">
        <f t="shared" ca="1" si="74"/>
        <v>8.4841935085609613E-4</v>
      </c>
      <c r="FP37" s="450">
        <f t="shared" ca="1" si="75"/>
        <v>3.2744616662931203E-3</v>
      </c>
      <c r="FQ37" s="450">
        <f t="shared" ca="1" si="76"/>
        <v>3.26205830486823E-3</v>
      </c>
      <c r="FR37" s="450">
        <f t="shared" ca="1" si="77"/>
        <v>3.7233519995086943E-3</v>
      </c>
      <c r="FS37" s="450">
        <f t="shared" ca="1" si="78"/>
        <v>3.6257379745185982E-3</v>
      </c>
      <c r="FT37" s="450">
        <f t="shared" ca="1" si="79"/>
        <v>4.0357518659753684E-3</v>
      </c>
      <c r="FU37" s="450">
        <f t="shared" ca="1" si="80"/>
        <v>3.9685894188449533E-3</v>
      </c>
      <c r="FV37" s="450">
        <f t="shared" ca="1" si="81"/>
        <v>3.907652287583524E-3</v>
      </c>
      <c r="FW37" s="450">
        <f t="shared" ca="1" si="82"/>
        <v>4.445477907770376E-3</v>
      </c>
      <c r="FX37" s="450">
        <f t="shared" ca="1" si="83"/>
        <v>5.2297091092562246E-3</v>
      </c>
      <c r="FY37" s="450">
        <f t="shared" ca="1" si="84"/>
        <v>4.9548197033737838E-3</v>
      </c>
      <c r="FZ37" s="450">
        <f t="shared" ca="1" si="85"/>
        <v>5.3903251791716997E-3</v>
      </c>
      <c r="GA37" s="450">
        <f t="shared" ca="1" si="86"/>
        <v>6.7408575394701121E-3</v>
      </c>
      <c r="GB37" s="450">
        <f t="shared" ca="1" si="87"/>
        <v>6.5844672381087091E-3</v>
      </c>
      <c r="GC37" s="450">
        <f t="shared" ca="1" si="88"/>
        <v>8.1798464665956468E-3</v>
      </c>
      <c r="GD37" s="450">
        <f t="shared" ca="1" si="89"/>
        <v>8.7587046836423519E-3</v>
      </c>
      <c r="GE37" s="450">
        <f t="shared" ca="1" si="90"/>
        <v>9.8285934676996013E-3</v>
      </c>
      <c r="GF37" s="450">
        <f t="shared" ca="1" si="91"/>
        <v>1.3223672818302463E-2</v>
      </c>
      <c r="GG37" s="450" t="str">
        <f t="shared" si="92"/>
        <v/>
      </c>
      <c r="GH37" s="450" t="str">
        <f t="shared" si="93"/>
        <v/>
      </c>
      <c r="GI37" s="450" t="str">
        <f t="shared" si="94"/>
        <v/>
      </c>
      <c r="GJ37" s="450" t="str">
        <f t="shared" si="95"/>
        <v/>
      </c>
      <c r="GK37" s="450" t="str">
        <f t="shared" si="96"/>
        <v/>
      </c>
      <c r="GL37" s="450" t="str">
        <f t="shared" si="97"/>
        <v/>
      </c>
      <c r="GM37" s="450" t="str">
        <f t="shared" si="98"/>
        <v/>
      </c>
      <c r="GN37" s="450" t="str">
        <f t="shared" si="99"/>
        <v/>
      </c>
      <c r="GO37" s="450" t="str">
        <f t="shared" si="100"/>
        <v/>
      </c>
      <c r="GP37" s="450" t="str">
        <f t="shared" si="101"/>
        <v/>
      </c>
      <c r="GQ37" s="450" t="str">
        <f t="shared" si="102"/>
        <v/>
      </c>
      <c r="GR37" s="450" t="str">
        <f t="shared" si="103"/>
        <v/>
      </c>
      <c r="GS37" s="450" t="str">
        <f t="shared" si="104"/>
        <v/>
      </c>
      <c r="GT37" s="450" t="str">
        <f t="shared" si="105"/>
        <v/>
      </c>
      <c r="GU37" s="450" t="str">
        <f t="shared" si="106"/>
        <v/>
      </c>
      <c r="GV37" s="450" t="str">
        <f t="shared" si="107"/>
        <v/>
      </c>
      <c r="GW37" s="450" t="str">
        <f t="shared" si="108"/>
        <v/>
      </c>
      <c r="GX37" s="450" t="str">
        <f t="shared" si="109"/>
        <v/>
      </c>
      <c r="GY37" s="450" t="str">
        <f t="shared" si="110"/>
        <v/>
      </c>
      <c r="GZ37" s="450" t="str">
        <f t="shared" si="111"/>
        <v/>
      </c>
      <c r="HA37" s="450" t="str">
        <f t="shared" si="112"/>
        <v/>
      </c>
      <c r="HB37" s="450" t="str">
        <f t="shared" si="113"/>
        <v/>
      </c>
      <c r="HC37" s="450" t="str">
        <f t="shared" si="114"/>
        <v/>
      </c>
      <c r="HD37" s="450" t="str">
        <f t="shared" si="115"/>
        <v/>
      </c>
      <c r="HE37" s="450" t="str">
        <f t="shared" si="116"/>
        <v/>
      </c>
      <c r="HF37" s="450" t="str">
        <f t="shared" si="117"/>
        <v/>
      </c>
      <c r="HG37" s="450" t="str">
        <f t="shared" si="118"/>
        <v/>
      </c>
      <c r="HH37" s="450" t="str">
        <f t="shared" si="119"/>
        <v/>
      </c>
      <c r="HI37" s="450" t="str">
        <f t="shared" si="120"/>
        <v/>
      </c>
      <c r="HJ37" s="450" t="str">
        <f t="shared" si="121"/>
        <v/>
      </c>
      <c r="HK37" s="450" t="str">
        <f t="shared" si="122"/>
        <v/>
      </c>
      <c r="HL37" s="450" t="str">
        <f t="shared" si="123"/>
        <v/>
      </c>
      <c r="HM37" s="450" t="str">
        <f t="shared" si="124"/>
        <v/>
      </c>
      <c r="HN37" s="450" t="str">
        <f t="shared" si="125"/>
        <v/>
      </c>
      <c r="HO37" s="450" t="str">
        <f t="shared" si="126"/>
        <v/>
      </c>
      <c r="HP37" s="450" t="str">
        <f t="shared" si="127"/>
        <v/>
      </c>
      <c r="HQ37" s="450" t="str">
        <f t="shared" si="128"/>
        <v/>
      </c>
      <c r="HR37" s="450" t="str">
        <f t="shared" si="129"/>
        <v/>
      </c>
      <c r="HS37" s="450" t="str">
        <f t="shared" si="130"/>
        <v/>
      </c>
      <c r="HT37" s="450" t="str">
        <f t="shared" si="131"/>
        <v/>
      </c>
      <c r="HU37" s="450" t="str">
        <f t="shared" si="132"/>
        <v/>
      </c>
      <c r="HV37" s="450" t="str">
        <f t="shared" si="133"/>
        <v/>
      </c>
      <c r="HW37" s="450" t="str">
        <f t="shared" si="134"/>
        <v/>
      </c>
      <c r="HX37" s="450" t="str">
        <f t="shared" si="135"/>
        <v/>
      </c>
      <c r="HY37" s="450" t="str">
        <f t="shared" si="136"/>
        <v/>
      </c>
      <c r="HZ37" s="450" t="str">
        <f t="shared" si="137"/>
        <v/>
      </c>
      <c r="IA37" s="450" t="str">
        <f t="shared" si="138"/>
        <v/>
      </c>
      <c r="IB37" s="450" t="str">
        <f t="shared" si="139"/>
        <v/>
      </c>
      <c r="IC37" s="450" t="str">
        <f t="shared" si="140"/>
        <v/>
      </c>
      <c r="ID37" s="450" t="str">
        <f t="shared" si="141"/>
        <v/>
      </c>
      <c r="IE37" s="450" t="str">
        <f t="shared" si="142"/>
        <v/>
      </c>
      <c r="IF37" s="450" t="str">
        <f t="shared" si="143"/>
        <v/>
      </c>
      <c r="IG37" s="450" t="str">
        <f t="shared" si="144"/>
        <v/>
      </c>
      <c r="IH37" s="658" t="str">
        <f t="shared" si="145"/>
        <v/>
      </c>
      <c r="II37" s="242"/>
    </row>
    <row r="38" spans="1:243" ht="18.75" customHeight="1">
      <c r="A38" s="49">
        <f ca="1">getpositionofnumber(IntradayWTIPriceChanges,A37)</f>
        <v>2</v>
      </c>
      <c r="B38" s="84" t="str">
        <f>CONCATENATE("Euro ",IF(OptControl=4,"Put 1","Call"),IF(OptControl=3," 1",""))</f>
        <v>Euro Call</v>
      </c>
      <c r="C38" s="91" t="e">
        <f ca="1">SUMPRODUCT($BD19:$BD258,CV19:CV258)/NominalVolume</f>
        <v>#NAME?</v>
      </c>
      <c r="D38" s="91" t="e">
        <f ca="1">SUMPRODUCT($BD19:$BD258,CW19:CW258)/NominalVolume</f>
        <v>#NAME?</v>
      </c>
      <c r="E38" s="91" t="e">
        <f ca="1">SUMPRODUCT($BD19:$BD258,CX19:CX258)/NominalVolume</f>
        <v>#NAME?</v>
      </c>
      <c r="F38" s="686" t="e">
        <f ca="1">SUMPRODUCT($BD19:$BD258,CY19:CY258)/NominalVolume</f>
        <v>#NAME?</v>
      </c>
      <c r="G38" s="772" t="s">
        <v>114</v>
      </c>
      <c r="H38" s="49" t="e">
        <f t="shared" ca="1" si="34"/>
        <v>#N/A</v>
      </c>
      <c r="I38" s="369">
        <f t="shared" si="35"/>
        <v>37561</v>
      </c>
      <c r="J38" s="367">
        <v>24.01</v>
      </c>
      <c r="K38" s="101" t="s">
        <v>487</v>
      </c>
      <c r="L38" s="382">
        <f t="shared" si="36"/>
        <v>24.01</v>
      </c>
      <c r="M38" s="163">
        <v>0.26518223024776999</v>
      </c>
      <c r="N38" s="372">
        <v>0</v>
      </c>
      <c r="O38" s="163">
        <f t="shared" si="37"/>
        <v>0.26518223024776999</v>
      </c>
      <c r="P38" s="367">
        <v>22.7633333333333</v>
      </c>
      <c r="Q38" s="101" t="s">
        <v>268</v>
      </c>
      <c r="R38" s="367">
        <f t="shared" ca="1" si="147"/>
        <v>22.763333333333335</v>
      </c>
      <c r="S38" s="814">
        <f t="shared" si="163"/>
        <v>0.38214715966919638</v>
      </c>
      <c r="T38" s="813">
        <f t="shared" si="148"/>
        <v>0.98817218840946786</v>
      </c>
      <c r="U38" s="532">
        <f t="shared" si="149"/>
        <v>0.99991543434829511</v>
      </c>
      <c r="V38" s="379">
        <v>0</v>
      </c>
      <c r="W38" s="424">
        <f t="shared" si="150"/>
        <v>23.786666666666665</v>
      </c>
      <c r="X38" s="405">
        <f t="shared" si="38"/>
        <v>23.786666666666665</v>
      </c>
      <c r="Y38" s="313">
        <f t="shared" si="39"/>
        <v>22.552698412698398</v>
      </c>
      <c r="Z38" s="313">
        <f t="shared" ca="1" si="40"/>
        <v>22.552698412698412</v>
      </c>
      <c r="AA38" s="419">
        <f t="shared" si="1"/>
        <v>1.2339682539682677</v>
      </c>
      <c r="AB38" s="423">
        <f t="shared" ca="1" si="2"/>
        <v>1.2339682539682535</v>
      </c>
      <c r="AC38" s="218">
        <v>37551</v>
      </c>
      <c r="AD38" s="221">
        <v>37546</v>
      </c>
      <c r="AE38" s="219">
        <v>37545</v>
      </c>
      <c r="AF38" s="220">
        <v>37540</v>
      </c>
      <c r="AG38" s="241" t="s">
        <v>496</v>
      </c>
      <c r="AH38" s="239" t="s">
        <v>90</v>
      </c>
      <c r="AI38" s="141">
        <v>21</v>
      </c>
      <c r="AJ38" s="41">
        <v>14</v>
      </c>
      <c r="AK38" s="41">
        <v>7</v>
      </c>
      <c r="AL38" s="285">
        <v>21</v>
      </c>
      <c r="AM38" s="41">
        <v>10</v>
      </c>
      <c r="AN38" s="142">
        <v>11</v>
      </c>
      <c r="AO38" s="364">
        <v>4.5503120284642803E-2</v>
      </c>
      <c r="AP38" s="145">
        <f t="shared" ca="1" si="41"/>
        <v>0.92875452432615491</v>
      </c>
      <c r="AQ38" s="364">
        <v>4.0344418039016401E-2</v>
      </c>
      <c r="AR38" s="145">
        <f t="shared" ca="1" si="151"/>
        <v>0.94100872502393562</v>
      </c>
      <c r="AS38" s="264">
        <f t="shared" si="3"/>
        <v>0.25944423593163995</v>
      </c>
      <c r="AT38" s="149">
        <f t="shared" si="42"/>
        <v>0.26518223024776999</v>
      </c>
      <c r="AU38" s="149">
        <f t="shared" si="4"/>
        <v>0.25870263991113135</v>
      </c>
      <c r="AV38" s="263">
        <f t="shared" ca="1" si="164"/>
        <v>0.25691103238698038</v>
      </c>
      <c r="AW38" s="150">
        <f t="shared" ca="1" si="5"/>
        <v>3</v>
      </c>
      <c r="AX38" s="149">
        <f t="shared" ca="1" si="152"/>
        <v>5.0874580465325545E-2</v>
      </c>
      <c r="AY38" s="149">
        <f t="shared" ca="1" si="153"/>
        <v>2.8704182443740962E-2</v>
      </c>
      <c r="AZ38" s="149">
        <f t="shared" ca="1" si="154"/>
        <v>1.2714119591103737E-2</v>
      </c>
      <c r="BA38" s="149">
        <f t="shared" ca="1" si="155"/>
        <v>1.000000000000001E-4</v>
      </c>
      <c r="BB38" s="149">
        <f t="shared" ca="1" si="156"/>
        <v>1.000000000000001E-4</v>
      </c>
      <c r="BC38" s="149">
        <f t="shared" ca="1" si="157"/>
        <v>1.000000000000001E-4</v>
      </c>
      <c r="BD38" s="143">
        <f t="shared" ca="1" si="43"/>
        <v>0</v>
      </c>
      <c r="BE38" s="144">
        <f t="shared" ca="1" si="44"/>
        <v>0</v>
      </c>
      <c r="BF38" s="40">
        <f t="shared" si="7"/>
        <v>2002</v>
      </c>
      <c r="BG38" s="139">
        <f t="shared" si="8"/>
        <v>11</v>
      </c>
      <c r="BH38" s="140">
        <f t="shared" ca="1" si="45"/>
        <v>556</v>
      </c>
      <c r="BI38" s="304">
        <f t="shared" ca="1" si="46"/>
        <v>1.5633127994524298</v>
      </c>
      <c r="BJ38" s="42">
        <f t="shared" ca="1" si="47"/>
        <v>1.6162445813369837</v>
      </c>
      <c r="BK38" s="42">
        <f t="shared" ca="1" si="9"/>
        <v>1.6189824321241157</v>
      </c>
      <c r="BL38" s="42">
        <f t="shared" ca="1" si="48"/>
        <v>1.6427104722792607</v>
      </c>
      <c r="BM38" s="285">
        <f t="shared" si="49"/>
        <v>21</v>
      </c>
      <c r="BN38" s="41">
        <f t="shared" si="50"/>
        <v>14</v>
      </c>
      <c r="BO38" s="41">
        <f t="shared" si="51"/>
        <v>7</v>
      </c>
      <c r="BP38" s="297" t="str">
        <f t="shared" ca="1" si="10"/>
        <v/>
      </c>
      <c r="BQ38" s="297" t="str">
        <f t="shared" ca="1" si="11"/>
        <v/>
      </c>
      <c r="BR38" s="299" t="str">
        <f t="shared" ca="1" si="12"/>
        <v/>
      </c>
      <c r="BS38" s="153" t="str">
        <f t="shared" ca="1" si="13"/>
        <v/>
      </c>
      <c r="BT38" s="153" t="str">
        <f t="shared" ca="1" si="14"/>
        <v/>
      </c>
      <c r="BU38" s="300" t="str">
        <f t="shared" ca="1" si="15"/>
        <v/>
      </c>
      <c r="BV38" s="301" t="str">
        <f t="shared" ca="1" si="16"/>
        <v/>
      </c>
      <c r="BW38" s="300" t="str">
        <f t="shared" ca="1" si="17"/>
        <v/>
      </c>
      <c r="BX38" s="301" t="str">
        <f t="shared" ca="1" si="18"/>
        <v/>
      </c>
      <c r="BY38" s="146" t="str">
        <f t="shared" ca="1" si="19"/>
        <v/>
      </c>
      <c r="BZ38" s="146" t="str">
        <f t="shared" ca="1" si="20"/>
        <v/>
      </c>
      <c r="CA38" s="146" t="str">
        <f t="shared" ca="1" si="21"/>
        <v/>
      </c>
      <c r="CB38" s="146" t="str">
        <f t="shared" ca="1" si="22"/>
        <v/>
      </c>
      <c r="CC38" s="302">
        <v>1</v>
      </c>
      <c r="CD38" s="154">
        <f ca="1">IF(BD38,_xll.xCrudeAPO(BS38,BT38,BY38,BZ38,S39,S40,BI38,BL38,BN38,BO38,0,Strike1,AO38,CC38,0,BL38,IF(OptControl=4,0,1),0,1),0)</f>
        <v>0</v>
      </c>
      <c r="CE38" s="155">
        <f ca="1">IF(BD38,_xll.xCrudeAPO(BS38,BT38,BY38,BZ38,S39,S40,BI38,BL38,BN38,BO38,0,Strike1,AO38,CC38,0,BL38,IF(OptControl=4,0,1),1,1)+_xll.xCrudeAPO(BS38,BT38,BY38,BZ38,S39,S40,BI38,BL38,BN38,BO38,0,Strike1,AO38,CC38,0,BL38,IF(OptControl=4,0,1),1,2)+IF(OR(VolSkewFlag=2,ABS(BQ38)&lt;0.0001),0,IF(BQ38&gt;0,-1,1)*CF38*Strike1/BP38^2*BW38/10%),0)</f>
        <v>0</v>
      </c>
      <c r="CF38" s="155">
        <f ca="1">IF(BD38,(_xll.xCrudeAPO(BS38,BT38,BY38,BZ38,S39,S40,BI38,BL38,BN38,BO38,0,Strike1,AO38,CC38,0,BL38,IF(OptControl=4,0,1),3,1)+_xll.xCrudeAPO(BS38,BT38,BY38,BZ38,S39,S40,BI38,BL38,BN38,BO38,0,Strike1,AO38,CC38,0,BL38,IF(OptControl=4,0,1),3,2))/100,0)</f>
        <v>0</v>
      </c>
      <c r="CG38" s="155">
        <f ca="1">IF(BD38,_xll.xCrudeAPO(BS38,BT38,BY38,BZ38,S39,S40,BI38-DaysForThetaCalculation/365.25,BL38-DaysForThetaCalculation/365.25,BN38,BO38,0,Strike1,AO38,CC38,0,BL38,IF(OptControl=4,0,1),0,1)-_xll.xCrudeAPO(BS38,BT38,BY38,BZ38,S39,S40,BI38,BL38,BN38,BO38,0,Strike1,AO38,CC38,0,BL38,IF(OptControl=4,0,1),0,1),0)</f>
        <v>0</v>
      </c>
      <c r="CH38" s="303">
        <f ca="1">IF(BD38,_xll.xCrudeAPO(BS38,BT38,CA38,CB38,S39,S40,BI38,BL38,BN38,BO38,0,Strike2,AO38,CC38,0,BL38,IF(OptControl=3,1,0),0,1),0)</f>
        <v>0</v>
      </c>
      <c r="CI38" s="155">
        <f ca="1">IF(BD38,_xll.xCrudeAPO(BS38,BT38,CA38,CB38,S39,S40,BI38,BL38,BN38,BO38,0,Strike2,AO38,CC38,0,BL38,IF(OptControl=3,1,0),1,1)+_xll.xCrudeAPO(BS38,BT38,CA38,CB38,S39,S40,BI38,BL38,BN38,BO38,0,Strike2,AO38,CC38,0,BL38,IF(OptControl=3,1,0),1,2)+IF(OR(VolSkewFlag=2,ABS(BR38)&lt;0.0001),0,IF(BR38&gt;0,-1,1)*CJ38*Strike2/BP38^2*BX38/10%),0)</f>
        <v>0</v>
      </c>
      <c r="CJ38" s="155">
        <f ca="1">IF(BD38,(_xll.xCrudeAPO(BS38,BT38,CA38,CB38,S39,S40,BI38,BL38,BN38,BO38,0,Strike2,AO38,CC38,0,BL38,IF(OptControl=3,1,0),3,1)+_xll.xCrudeAPO(BS38,BT38,CA38,CB38,S39,S40,BI38,BL38,BN38,BO38,0,Strike2,AO38,CC38,0,BL38,IF(OptControl=3,1,0),3,2))/100,0)</f>
        <v>0</v>
      </c>
      <c r="CK38" s="156">
        <f ca="1">IF(BD38,_xll.xCrudeAPO(BS38,BT38,CA38,CB38,S39,S40,BI38-DaysForThetaCalculation/365.25,BL38-DaysForThetaCalculation/365.25,BN38,BO38,0,Strike2,AO38,CC38,0,BL38,IF(OptControl=3,1,0),0,1)-_xll.xCrudeAPO(BS38,BT38,CA38,CB38,S39,S40,BI38,BL38,BN38,BO38,0,Strike2,AO38,CC38,0,BL38,IF(OptControl=3,1,0),0,1),0)</f>
        <v>0</v>
      </c>
      <c r="CM38" s="779" t="str">
        <f t="shared" ca="1" si="52"/>
        <v/>
      </c>
      <c r="CN38" s="783" t="str">
        <f t="shared" ca="1" si="53"/>
        <v/>
      </c>
      <c r="CO38" s="780" t="str">
        <f t="shared" ca="1" si="54"/>
        <v/>
      </c>
      <c r="CP38" s="780" t="str">
        <f t="shared" ca="1" si="55"/>
        <v/>
      </c>
      <c r="CQ38" s="780" t="str">
        <f t="shared" ca="1" si="56"/>
        <v/>
      </c>
      <c r="CR38" s="780" t="str">
        <f t="shared" ca="1" si="57"/>
        <v/>
      </c>
      <c r="CS38" s="781" t="str">
        <f t="shared" ca="1" si="58"/>
        <v/>
      </c>
      <c r="CT38" s="782" t="str">
        <f t="shared" ca="1" si="59"/>
        <v/>
      </c>
      <c r="CU38" s="782" t="str">
        <f t="shared" ca="1" si="60"/>
        <v/>
      </c>
      <c r="CV38" s="155">
        <f ca="1">IF(BD38,_xll.EURO(CN38,Strike1,AO38,AO38,CT38,CM38,IF(OptControl=4,0,1),0),0)</f>
        <v>0</v>
      </c>
      <c r="CW38" s="155">
        <f ca="1">IF(BD38,_xll.EURO(CN38,Strike1,AO38,AO38,CT38,CM38,IF(OptControl=4,0,1),1)+IF(OR(VolSkewFlag=2,ABS(CO38)&lt;0.0001),0,IF(CO38&gt;0,-1,1)*CX38*100*Strike1/CN38^2*CQ38/10%),0)</f>
        <v>0</v>
      </c>
      <c r="CX38" s="155">
        <f ca="1">IF(BD38,_xll.EURO(CN38,Strike1,AO38,AO38,CT38,CM38,IF(OptControl=4,0,1),3)/100,0)</f>
        <v>0</v>
      </c>
      <c r="CY38" s="155">
        <f ca="1">IF(BD38,_xll.EURO(CN38,Strike1,AO38,AO38,CT38,CM38,IF(OptControl=4,0,1),0)-_xll.EURO(CN38,Strike1,AO38,AO38,CT38,CM38-1,IF(OptControl=4,0,1),0),0)</f>
        <v>0</v>
      </c>
      <c r="CZ38" s="155">
        <f ca="1">IF(BD38,_xll.EURO(CN38,Strike2,AO38,AO38,CU38,CM38,IF(OptControl=3,1,0),0),0)</f>
        <v>0</v>
      </c>
      <c r="DA38" s="155">
        <f ca="1">IF(BD38,_xll.EURO(CN38,Strike2,AO38,AO38,CU38,CM38,IF(OptControl=3,1,0),1)+IF(OR(VolSkewFlag=2,ABS(CP38)&lt;0.0001),0,IF(CP38&gt;0,-1,1)*DB38*100*Strike2/CN38^2*CR38/10%),0)</f>
        <v>0</v>
      </c>
      <c r="DB38" s="155">
        <f ca="1">IF(BD38,_xll.EURO(CN38,Strike2,AO38,AO38,CU38,CM38,IF(OptControl=3,1,0),3)/100,0)</f>
        <v>0</v>
      </c>
      <c r="DC38" s="156">
        <f ca="1">IF(BD38,_xll.EURO(CN38,Strike2,AO38,AO38,CU38,CM38,IF(OptControl=3,1,0),0)-_xll.EURO(CN38,Strike2,AO38,AO38,CU38,CM38-1,IF(OptControl=3,1,0),0),0)</f>
        <v>0</v>
      </c>
      <c r="DD38" s="53"/>
      <c r="DE38" s="651">
        <f t="shared" ca="1" si="61"/>
        <v>37469</v>
      </c>
      <c r="DF38" s="465">
        <v>1E-4</v>
      </c>
      <c r="DG38" s="649">
        <v>1E-4</v>
      </c>
      <c r="DH38" s="650">
        <f t="shared" ca="1" si="23"/>
        <v>37469</v>
      </c>
      <c r="DI38" s="465">
        <v>1E-4</v>
      </c>
      <c r="DJ38" s="649">
        <v>1E-4</v>
      </c>
      <c r="DK38" s="651">
        <f t="shared" ca="1" si="24"/>
        <v>37469</v>
      </c>
      <c r="DL38" s="652">
        <f t="shared" si="25"/>
        <v>5.0100000000000006E-2</v>
      </c>
      <c r="DM38" s="651">
        <f t="shared" ca="1" si="62"/>
        <v>37469</v>
      </c>
      <c r="DN38" s="563">
        <f t="shared" si="63"/>
        <v>-4.99E-2</v>
      </c>
      <c r="DO38" s="803">
        <v>-0.05</v>
      </c>
      <c r="DP38" s="650">
        <f t="shared" ca="1" si="26"/>
        <v>37469</v>
      </c>
      <c r="DQ38" s="653">
        <v>1E-4</v>
      </c>
      <c r="DR38" s="590">
        <v>1E-4</v>
      </c>
      <c r="DS38" s="650">
        <f t="shared" ca="1" si="27"/>
        <v>37469</v>
      </c>
      <c r="DT38" s="653">
        <v>1E-4</v>
      </c>
      <c r="DU38" s="590">
        <v>1E-4</v>
      </c>
      <c r="DV38" s="651">
        <f t="shared" ca="1" si="28"/>
        <v>37469</v>
      </c>
      <c r="DW38" s="590">
        <v>1E-4</v>
      </c>
      <c r="DX38" s="651">
        <f t="shared" ca="1" si="64"/>
        <v>37469</v>
      </c>
      <c r="DY38" s="590">
        <f t="shared" si="65"/>
        <v>1E-4</v>
      </c>
      <c r="DZ38" s="1"/>
      <c r="EA38" s="863" t="e">
        <f ca="1">_xll.ASN(X38,X38,AO38,AS38,0,AI38,0,BI38,BL38,1,0)</f>
        <v>#NAME?</v>
      </c>
      <c r="EB38" s="653" t="e">
        <f ca="1">_xll.ASN(X38,X38,AO38,AS38,0,AI38,0,BI38,BL38,1,3)/100</f>
        <v>#NAME?</v>
      </c>
      <c r="EC38" s="653" t="e">
        <f ca="1">_xll.xCrudeAPO(L39,L40,O39,O40,S39,S40,BI38,BL38,AJ38,AK38,0,X38,AO38,1,0,+BL38,1,0,1)</f>
        <v>#NAME?</v>
      </c>
      <c r="ED38" s="869" t="e">
        <f t="shared" ca="1" si="165"/>
        <v>#NAME?</v>
      </c>
      <c r="EE38" s="863" t="e">
        <f t="shared" ca="1" si="29"/>
        <v>#NAME?</v>
      </c>
      <c r="EF38" s="590" t="e">
        <f t="shared" ca="1" si="30"/>
        <v>#NAME?</v>
      </c>
      <c r="EG38" s="862" t="str">
        <f t="shared" ca="1" si="31"/>
        <v/>
      </c>
      <c r="EH38" s="114" t="str">
        <f t="shared" ca="1" si="32"/>
        <v/>
      </c>
      <c r="EI38" s="109" t="str">
        <f t="shared" ca="1" si="33"/>
        <v/>
      </c>
      <c r="EJ38" s="115">
        <f ca="1">IF(BD38,_xll.xASN(BP38,Strike1,AO38,EH38,0,BM38,0,BI38,BL38,IF(OptControl=4,0,1),0),0)</f>
        <v>0</v>
      </c>
      <c r="EK38" s="108">
        <f ca="1">IF(BD38,_xll.xASN(BP38,Strike2,AO38,EI38,0,BM38,0,BI38,BL38,IF(OptControl=3,1,0),0),0)</f>
        <v>0</v>
      </c>
      <c r="EL38" s="51"/>
      <c r="EM38" s="473" t="e">
        <f>[1]!'CLc19 MTH'</f>
        <v>#REF!</v>
      </c>
      <c r="EN38" s="474" t="e">
        <f t="shared" si="158"/>
        <v>#REF!</v>
      </c>
      <c r="EO38" s="475" t="e">
        <f>[1]!'CLc19 NET.CHNG'</f>
        <v>#REF!</v>
      </c>
      <c r="EP38" s="476">
        <f t="shared" si="159"/>
        <v>0</v>
      </c>
      <c r="EQ38" s="1"/>
      <c r="ER38" s="681">
        <v>37980</v>
      </c>
      <c r="ES38" s="682">
        <v>39814</v>
      </c>
      <c r="ET38" s="1"/>
      <c r="EU38" s="667" t="s">
        <v>142</v>
      </c>
      <c r="EW38" s="488">
        <v>19</v>
      </c>
      <c r="EX38" s="466">
        <f t="shared" ca="1" si="166"/>
        <v>1.5222450376454484</v>
      </c>
      <c r="EY38" s="824">
        <f t="shared" ca="1" si="66"/>
        <v>0.10704672983705628</v>
      </c>
      <c r="EZ38" s="798">
        <f t="shared" ca="1" si="160"/>
        <v>0.25971215435223005</v>
      </c>
      <c r="FA38" s="468" t="str">
        <f t="shared" ca="1" si="161"/>
        <v/>
      </c>
      <c r="FB38" s="467" t="str">
        <f t="shared" ca="1" si="162"/>
        <v/>
      </c>
      <c r="FC38" s="242">
        <v>0</v>
      </c>
      <c r="FD38" s="589" t="str">
        <f ca="1">IF(OR(FA38="",FA39=""),"",SQRT(SUM(INDEX(FO38:IH38,SwaptionFirstMonthPosition+1):INDEX(FO38:IH38,FN38))/SUM(INDEX($FO$15:$IH$15,SwaptionFirstMonthPosition+1):INDEX($FO$15:$IH$15,FN38))))</f>
        <v/>
      </c>
      <c r="FE38" s="565" t="str">
        <f ca="1">IF(OR(FA38="",FA37=""),"",SQRT(SUM(INDEX(FO38:IH38,SwaptionFirstMonthPosition+1):INDEX(FO38:IH38,FN38-1))/SUM(INDEX($FO$15:$IH$15,SwaptionFirstMonthPosition+1):INDEX($FO$15:$IH$15,FN38-1))))</f>
        <v/>
      </c>
      <c r="FF38" s="562" t="str">
        <f t="shared" ca="1" si="67"/>
        <v/>
      </c>
      <c r="FG38" s="593" t="str">
        <f t="shared" ca="1" si="68"/>
        <v/>
      </c>
      <c r="FH38" s="563" t="str">
        <f t="shared" ca="1" si="69"/>
        <v/>
      </c>
      <c r="FI38" s="563" t="str">
        <f t="shared" ca="1" si="70"/>
        <v/>
      </c>
      <c r="FJ38" s="563" t="str">
        <f t="shared" ca="1" si="71"/>
        <v/>
      </c>
      <c r="FK38" s="564" t="str">
        <f t="shared" ca="1" si="72"/>
        <v/>
      </c>
      <c r="FL38" s="590" t="str">
        <f t="shared" ca="1" si="73"/>
        <v/>
      </c>
      <c r="FM38" s="242"/>
      <c r="FN38" s="657">
        <v>19</v>
      </c>
      <c r="FO38" s="450">
        <f t="shared" ca="1" si="74"/>
        <v>8.2632920512368507E-4</v>
      </c>
      <c r="FP38" s="450">
        <f t="shared" ca="1" si="75"/>
        <v>3.1797321288425913E-3</v>
      </c>
      <c r="FQ38" s="450">
        <f t="shared" ca="1" si="76"/>
        <v>3.1572019597312347E-3</v>
      </c>
      <c r="FR38" s="450">
        <f t="shared" ca="1" si="77"/>
        <v>3.5903694720370895E-3</v>
      </c>
      <c r="FS38" s="450">
        <f t="shared" ca="1" si="78"/>
        <v>3.4818533482568379E-3</v>
      </c>
      <c r="FT38" s="450">
        <f t="shared" ca="1" si="79"/>
        <v>3.8578010742248148E-3</v>
      </c>
      <c r="FU38" s="450">
        <f t="shared" ca="1" si="80"/>
        <v>3.7741567985305428E-3</v>
      </c>
      <c r="FV38" s="450">
        <f t="shared" ca="1" si="81"/>
        <v>3.6949332488840996E-3</v>
      </c>
      <c r="FW38" s="450">
        <f t="shared" ca="1" si="82"/>
        <v>4.1765930185819417E-3</v>
      </c>
      <c r="FX38" s="450">
        <f t="shared" ca="1" si="83"/>
        <v>4.8782433967316467E-3</v>
      </c>
      <c r="FY38" s="450">
        <f t="shared" ca="1" si="84"/>
        <v>4.5848290295575208E-3</v>
      </c>
      <c r="FZ38" s="450">
        <f t="shared" ca="1" si="85"/>
        <v>4.9430905975979657E-3</v>
      </c>
      <c r="GA38" s="450">
        <f t="shared" ca="1" si="86"/>
        <v>6.1194263433704188E-3</v>
      </c>
      <c r="GB38" s="450">
        <f t="shared" ca="1" si="87"/>
        <v>5.9100074931054056E-3</v>
      </c>
      <c r="GC38" s="450">
        <f t="shared" ca="1" si="88"/>
        <v>7.2488714305296489E-3</v>
      </c>
      <c r="GD38" s="450">
        <f t="shared" ca="1" si="89"/>
        <v>7.6510860393119492E-3</v>
      </c>
      <c r="GE38" s="450">
        <f t="shared" ca="1" si="90"/>
        <v>8.4475757937177293E-3</v>
      </c>
      <c r="GF38" s="450">
        <f t="shared" ca="1" si="91"/>
        <v>1.1159160633404223E-2</v>
      </c>
      <c r="GG38" s="450">
        <f t="shared" ca="1" si="92"/>
        <v>1.1994780422442257E-2</v>
      </c>
      <c r="GH38" s="450" t="str">
        <f t="shared" si="93"/>
        <v/>
      </c>
      <c r="GI38" s="450" t="str">
        <f t="shared" si="94"/>
        <v/>
      </c>
      <c r="GJ38" s="450" t="str">
        <f t="shared" si="95"/>
        <v/>
      </c>
      <c r="GK38" s="450" t="str">
        <f t="shared" si="96"/>
        <v/>
      </c>
      <c r="GL38" s="450" t="str">
        <f t="shared" si="97"/>
        <v/>
      </c>
      <c r="GM38" s="450" t="str">
        <f t="shared" si="98"/>
        <v/>
      </c>
      <c r="GN38" s="450" t="str">
        <f t="shared" si="99"/>
        <v/>
      </c>
      <c r="GO38" s="450" t="str">
        <f t="shared" si="100"/>
        <v/>
      </c>
      <c r="GP38" s="450" t="str">
        <f t="shared" si="101"/>
        <v/>
      </c>
      <c r="GQ38" s="450" t="str">
        <f t="shared" si="102"/>
        <v/>
      </c>
      <c r="GR38" s="450" t="str">
        <f t="shared" si="103"/>
        <v/>
      </c>
      <c r="GS38" s="450" t="str">
        <f t="shared" si="104"/>
        <v/>
      </c>
      <c r="GT38" s="450" t="str">
        <f t="shared" si="105"/>
        <v/>
      </c>
      <c r="GU38" s="450" t="str">
        <f t="shared" si="106"/>
        <v/>
      </c>
      <c r="GV38" s="450" t="str">
        <f t="shared" si="107"/>
        <v/>
      </c>
      <c r="GW38" s="450" t="str">
        <f t="shared" si="108"/>
        <v/>
      </c>
      <c r="GX38" s="450" t="str">
        <f t="shared" si="109"/>
        <v/>
      </c>
      <c r="GY38" s="450" t="str">
        <f t="shared" si="110"/>
        <v/>
      </c>
      <c r="GZ38" s="450" t="str">
        <f t="shared" si="111"/>
        <v/>
      </c>
      <c r="HA38" s="450" t="str">
        <f t="shared" si="112"/>
        <v/>
      </c>
      <c r="HB38" s="450" t="str">
        <f t="shared" si="113"/>
        <v/>
      </c>
      <c r="HC38" s="450" t="str">
        <f t="shared" si="114"/>
        <v/>
      </c>
      <c r="HD38" s="450" t="str">
        <f t="shared" si="115"/>
        <v/>
      </c>
      <c r="HE38" s="450" t="str">
        <f t="shared" si="116"/>
        <v/>
      </c>
      <c r="HF38" s="450" t="str">
        <f t="shared" si="117"/>
        <v/>
      </c>
      <c r="HG38" s="450" t="str">
        <f t="shared" si="118"/>
        <v/>
      </c>
      <c r="HH38" s="450" t="str">
        <f t="shared" si="119"/>
        <v/>
      </c>
      <c r="HI38" s="450" t="str">
        <f t="shared" si="120"/>
        <v/>
      </c>
      <c r="HJ38" s="450" t="str">
        <f t="shared" si="121"/>
        <v/>
      </c>
      <c r="HK38" s="450" t="str">
        <f t="shared" si="122"/>
        <v/>
      </c>
      <c r="HL38" s="450" t="str">
        <f t="shared" si="123"/>
        <v/>
      </c>
      <c r="HM38" s="450" t="str">
        <f t="shared" si="124"/>
        <v/>
      </c>
      <c r="HN38" s="450" t="str">
        <f t="shared" si="125"/>
        <v/>
      </c>
      <c r="HO38" s="450" t="str">
        <f t="shared" si="126"/>
        <v/>
      </c>
      <c r="HP38" s="450" t="str">
        <f t="shared" si="127"/>
        <v/>
      </c>
      <c r="HQ38" s="450" t="str">
        <f t="shared" si="128"/>
        <v/>
      </c>
      <c r="HR38" s="450" t="str">
        <f t="shared" si="129"/>
        <v/>
      </c>
      <c r="HS38" s="450" t="str">
        <f t="shared" si="130"/>
        <v/>
      </c>
      <c r="HT38" s="450" t="str">
        <f t="shared" si="131"/>
        <v/>
      </c>
      <c r="HU38" s="450" t="str">
        <f t="shared" si="132"/>
        <v/>
      </c>
      <c r="HV38" s="450" t="str">
        <f t="shared" si="133"/>
        <v/>
      </c>
      <c r="HW38" s="450" t="str">
        <f t="shared" si="134"/>
        <v/>
      </c>
      <c r="HX38" s="450" t="str">
        <f t="shared" si="135"/>
        <v/>
      </c>
      <c r="HY38" s="450" t="str">
        <f t="shared" si="136"/>
        <v/>
      </c>
      <c r="HZ38" s="450" t="str">
        <f t="shared" si="137"/>
        <v/>
      </c>
      <c r="IA38" s="450" t="str">
        <f t="shared" si="138"/>
        <v/>
      </c>
      <c r="IB38" s="450" t="str">
        <f t="shared" si="139"/>
        <v/>
      </c>
      <c r="IC38" s="450" t="str">
        <f t="shared" si="140"/>
        <v/>
      </c>
      <c r="ID38" s="450" t="str">
        <f t="shared" si="141"/>
        <v/>
      </c>
      <c r="IE38" s="450" t="str">
        <f t="shared" si="142"/>
        <v/>
      </c>
      <c r="IF38" s="450" t="str">
        <f t="shared" si="143"/>
        <v/>
      </c>
      <c r="IG38" s="450" t="str">
        <f t="shared" si="144"/>
        <v/>
      </c>
      <c r="IH38" s="658" t="str">
        <f t="shared" si="145"/>
        <v/>
      </c>
      <c r="II38" s="242"/>
    </row>
    <row r="39" spans="1:243" ht="14.25" customHeight="1" thickBot="1">
      <c r="A39" s="49">
        <f t="shared" ref="A39:A47" ca="1" si="167">getpositionofnumber(IntradayWTIPriceChanges,A38)</f>
        <v>8</v>
      </c>
      <c r="B39" s="85" t="str">
        <f>CONCATENATE(IF(OptControl=3,"Call 2","Put"),IF(OptControl=4," 2",""))</f>
        <v>Put</v>
      </c>
      <c r="C39" s="93" t="e">
        <f ca="1">SUMPRODUCT($BD19:$BD258,CZ19:CZ258)/NominalVolume</f>
        <v>#NAME?</v>
      </c>
      <c r="D39" s="93" t="e">
        <f ca="1">SUMPRODUCT($BD19:$BD258,DA19:DA258)/NominalVolume</f>
        <v>#NAME?</v>
      </c>
      <c r="E39" s="93" t="e">
        <f ca="1">SUMPRODUCT($BD19:$BD258,DB19:DB258)/NominalVolume</f>
        <v>#NAME?</v>
      </c>
      <c r="F39" s="689" t="e">
        <f ca="1">SUMPRODUCT($BD19:$BD258,DC19:DC258)/NominalVolume</f>
        <v>#NAME?</v>
      </c>
      <c r="G39" s="774">
        <f ca="1">SUMPRODUCT(CHOOSE(Underlying,J19:J258,P19:P258),BD19:BD258,AP19:AP258)/E32</f>
        <v>26.699724540024874</v>
      </c>
      <c r="H39" s="49" t="e">
        <f t="shared" ca="1" si="34"/>
        <v>#N/A</v>
      </c>
      <c r="I39" s="369">
        <f t="shared" si="35"/>
        <v>37591</v>
      </c>
      <c r="J39" s="367">
        <v>23.84</v>
      </c>
      <c r="K39" s="101">
        <v>0</v>
      </c>
      <c r="L39" s="382">
        <f t="shared" si="36"/>
        <v>23.84</v>
      </c>
      <c r="M39" s="163">
        <v>0.26074202896752996</v>
      </c>
      <c r="N39" s="372">
        <v>0</v>
      </c>
      <c r="O39" s="163">
        <f t="shared" si="37"/>
        <v>0.26074202896752996</v>
      </c>
      <c r="P39" s="367">
        <v>22.64</v>
      </c>
      <c r="Q39" s="101">
        <v>0</v>
      </c>
      <c r="R39" s="367">
        <f t="shared" ca="1" si="147"/>
        <v>22.64</v>
      </c>
      <c r="S39" s="814">
        <f t="shared" si="163"/>
        <v>0.3817256880725044</v>
      </c>
      <c r="T39" s="813">
        <f t="shared" si="148"/>
        <v>0.98936751792766975</v>
      </c>
      <c r="U39" s="532">
        <f t="shared" si="149"/>
        <v>0.9999365757612213</v>
      </c>
      <c r="V39" s="379">
        <v>0</v>
      </c>
      <c r="W39" s="424">
        <f t="shared" si="150"/>
        <v>23.64</v>
      </c>
      <c r="X39" s="405">
        <f t="shared" si="38"/>
        <v>23.64</v>
      </c>
      <c r="Y39" s="313">
        <f t="shared" si="39"/>
        <v>22.386031746031748</v>
      </c>
      <c r="Z39" s="313">
        <f t="shared" ca="1" si="40"/>
        <v>22.386031746031748</v>
      </c>
      <c r="AA39" s="419">
        <f t="shared" si="1"/>
        <v>1.2539682539682531</v>
      </c>
      <c r="AB39" s="423">
        <f t="shared" ca="1" si="2"/>
        <v>1.2539682539682531</v>
      </c>
      <c r="AC39" s="218">
        <v>37580</v>
      </c>
      <c r="AD39" s="221">
        <v>37575</v>
      </c>
      <c r="AE39" s="219">
        <v>37575</v>
      </c>
      <c r="AF39" s="220">
        <v>37570</v>
      </c>
      <c r="AG39" s="241" t="s">
        <v>495</v>
      </c>
      <c r="AH39" s="239" t="s">
        <v>495</v>
      </c>
      <c r="AI39" s="141">
        <v>21</v>
      </c>
      <c r="AJ39" s="41">
        <v>15</v>
      </c>
      <c r="AK39" s="41">
        <v>6</v>
      </c>
      <c r="AL39" s="285">
        <v>21</v>
      </c>
      <c r="AM39" s="41">
        <v>10</v>
      </c>
      <c r="AN39" s="142">
        <v>11</v>
      </c>
      <c r="AO39" s="364">
        <v>4.57180605158478E-2</v>
      </c>
      <c r="AP39" s="145">
        <f t="shared" ca="1" si="41"/>
        <v>0.92487879298242803</v>
      </c>
      <c r="AQ39" s="364">
        <v>4.0382807514201001E-2</v>
      </c>
      <c r="AR39" s="145">
        <f t="shared" ca="1" si="151"/>
        <v>0.93797262971507445</v>
      </c>
      <c r="AS39" s="264">
        <f t="shared" si="3"/>
        <v>0.25528329791591997</v>
      </c>
      <c r="AT39" s="149">
        <f t="shared" si="42"/>
        <v>0.26074202896752996</v>
      </c>
      <c r="AU39" s="149">
        <f t="shared" si="4"/>
        <v>0.25397883796263665</v>
      </c>
      <c r="AV39" s="263">
        <f t="shared" ca="1" si="164"/>
        <v>0.25284825968928548</v>
      </c>
      <c r="AW39" s="150">
        <f t="shared" ca="1" si="5"/>
        <v>3</v>
      </c>
      <c r="AX39" s="149">
        <f t="shared" ca="1" si="152"/>
        <v>5.0109219575079945E-2</v>
      </c>
      <c r="AY39" s="149">
        <f t="shared" ca="1" si="153"/>
        <v>2.817535179599032E-2</v>
      </c>
      <c r="AZ39" s="149">
        <f t="shared" ca="1" si="154"/>
        <v>1.2551839954320371E-2</v>
      </c>
      <c r="BA39" s="149">
        <f t="shared" ca="1" si="155"/>
        <v>1.0000000000000009E-4</v>
      </c>
      <c r="BB39" s="149">
        <f t="shared" ca="1" si="156"/>
        <v>1.0000000000000009E-4</v>
      </c>
      <c r="BC39" s="149">
        <f t="shared" ca="1" si="157"/>
        <v>1.0000000000000009E-4</v>
      </c>
      <c r="BD39" s="143">
        <f t="shared" ca="1" si="43"/>
        <v>0</v>
      </c>
      <c r="BE39" s="144">
        <f t="shared" ca="1" si="44"/>
        <v>0</v>
      </c>
      <c r="BF39" s="40">
        <f t="shared" si="7"/>
        <v>2002</v>
      </c>
      <c r="BG39" s="139">
        <f t="shared" si="8"/>
        <v>12</v>
      </c>
      <c r="BH39" s="140">
        <f t="shared" ca="1" si="45"/>
        <v>585</v>
      </c>
      <c r="BI39" s="304">
        <f t="shared" ca="1" si="46"/>
        <v>1.6454483230663928</v>
      </c>
      <c r="BJ39" s="42">
        <f t="shared" ca="1" si="47"/>
        <v>1.7041165542192236</v>
      </c>
      <c r="BK39" s="42">
        <f t="shared" ca="1" si="9"/>
        <v>1.7068544050063557</v>
      </c>
      <c r="BL39" s="42">
        <f t="shared" ca="1" si="48"/>
        <v>1.7275838466803559</v>
      </c>
      <c r="BM39" s="285">
        <f t="shared" si="49"/>
        <v>21</v>
      </c>
      <c r="BN39" s="41">
        <f t="shared" si="50"/>
        <v>15</v>
      </c>
      <c r="BO39" s="41">
        <f t="shared" si="51"/>
        <v>6</v>
      </c>
      <c r="BP39" s="297" t="str">
        <f t="shared" ca="1" si="10"/>
        <v/>
      </c>
      <c r="BQ39" s="297" t="str">
        <f t="shared" ca="1" si="11"/>
        <v/>
      </c>
      <c r="BR39" s="299" t="str">
        <f t="shared" ca="1" si="12"/>
        <v/>
      </c>
      <c r="BS39" s="153" t="str">
        <f t="shared" ca="1" si="13"/>
        <v/>
      </c>
      <c r="BT39" s="153" t="str">
        <f t="shared" ca="1" si="14"/>
        <v/>
      </c>
      <c r="BU39" s="300" t="str">
        <f t="shared" ca="1" si="15"/>
        <v/>
      </c>
      <c r="BV39" s="301" t="str">
        <f t="shared" ca="1" si="16"/>
        <v/>
      </c>
      <c r="BW39" s="300" t="str">
        <f t="shared" ca="1" si="17"/>
        <v/>
      </c>
      <c r="BX39" s="301" t="str">
        <f t="shared" ca="1" si="18"/>
        <v/>
      </c>
      <c r="BY39" s="146" t="str">
        <f t="shared" ca="1" si="19"/>
        <v/>
      </c>
      <c r="BZ39" s="146" t="str">
        <f t="shared" ca="1" si="20"/>
        <v/>
      </c>
      <c r="CA39" s="146" t="str">
        <f t="shared" ca="1" si="21"/>
        <v/>
      </c>
      <c r="CB39" s="146" t="str">
        <f t="shared" ca="1" si="22"/>
        <v/>
      </c>
      <c r="CC39" s="302">
        <v>1</v>
      </c>
      <c r="CD39" s="154">
        <f ca="1">IF(BD39,_xll.xCrudeAPO(BS39,BT39,BY39,BZ39,S40,S41,BI39,BL39,BN39,BO39,0,Strike1,AO39,CC39,0,BL39,IF(OptControl=4,0,1),0,1),0)</f>
        <v>0</v>
      </c>
      <c r="CE39" s="155">
        <f ca="1">IF(BD39,_xll.xCrudeAPO(BS39,BT39,BY39,BZ39,S40,S41,BI39,BL39,BN39,BO39,0,Strike1,AO39,CC39,0,BL39,IF(OptControl=4,0,1),1,1)+_xll.xCrudeAPO(BS39,BT39,BY39,BZ39,S40,S41,BI39,BL39,BN39,BO39,0,Strike1,AO39,CC39,0,BL39,IF(OptControl=4,0,1),1,2)+IF(OR(VolSkewFlag=2,ABS(BQ39)&lt;0.0001),0,IF(BQ39&gt;0,-1,1)*CF39*Strike1/BP39^2*BW39/10%),0)</f>
        <v>0</v>
      </c>
      <c r="CF39" s="155">
        <f ca="1">IF(BD39,(_xll.xCrudeAPO(BS39,BT39,BY39,BZ39,S40,S41,BI39,BL39,BN39,BO39,0,Strike1,AO39,CC39,0,BL39,IF(OptControl=4,0,1),3,1)+_xll.xCrudeAPO(BS39,BT39,BY39,BZ39,S40,S41,BI39,BL39,BN39,BO39,0,Strike1,AO39,CC39,0,BL39,IF(OptControl=4,0,1),3,2))/100,0)</f>
        <v>0</v>
      </c>
      <c r="CG39" s="155">
        <f ca="1">IF(BD39,_xll.xCrudeAPO(BS39,BT39,BY39,BZ39,S40,S41,BI39-DaysForThetaCalculation/365.25,BL39-DaysForThetaCalculation/365.25,BN39,BO39,0,Strike1,AO39,CC39,0,BL39,IF(OptControl=4,0,1),0,1)-_xll.xCrudeAPO(BS39,BT39,BY39,BZ39,S40,S41,BI39,BL39,BN39,BO39,0,Strike1,AO39,CC39,0,BL39,IF(OptControl=4,0,1),0,1),0)</f>
        <v>0</v>
      </c>
      <c r="CH39" s="303">
        <f ca="1">IF(BD39,_xll.xCrudeAPO(BS39,BT39,CA39,CB39,S40,S41,BI39,BL39,BN39,BO39,0,Strike2,AO39,CC39,0,BL39,IF(OptControl=3,1,0),0,1),0)</f>
        <v>0</v>
      </c>
      <c r="CI39" s="155">
        <f ca="1">IF(BD39,_xll.xCrudeAPO(BS39,BT39,CA39,CB39,S40,S41,BI39,BL39,BN39,BO39,0,Strike2,AO39,CC39,0,BL39,IF(OptControl=3,1,0),1,1)+_xll.xCrudeAPO(BS39,BT39,CA39,CB39,S40,S41,BI39,BL39,BN39,BO39,0,Strike2,AO39,CC39,0,BL39,IF(OptControl=3,1,0),1,2)+IF(OR(VolSkewFlag=2,ABS(BR39)&lt;0.0001),0,IF(BR39&gt;0,-1,1)*CJ39*Strike2/BP39^2*BX39/10%),0)</f>
        <v>0</v>
      </c>
      <c r="CJ39" s="155">
        <f ca="1">IF(BD39,(_xll.xCrudeAPO(BS39,BT39,CA39,CB39,S40,S41,BI39,BL39,BN39,BO39,0,Strike2,AO39,CC39,0,BL39,IF(OptControl=3,1,0),3,1)+_xll.xCrudeAPO(BS39,BT39,CA39,CB39,S40,S41,BI39,BL39,BN39,BO39,0,Strike2,AO39,CC39,0,BL39,IF(OptControl=3,1,0),3,2))/100,0)</f>
        <v>0</v>
      </c>
      <c r="CK39" s="156">
        <f ca="1">IF(BD39,_xll.xCrudeAPO(BS39,BT39,CA39,CB39,S40,S41,BI39-DaysForThetaCalculation/365.25,BL39-DaysForThetaCalculation/365.25,BN39,BO39,0,Strike2,AO39,CC39,0,BL39,IF(OptControl=3,1,0),0,1)-_xll.xCrudeAPO(BS39,BT39,CA39,CB39,S40,S41,BI39,BL39,BN39,BO39,0,Strike2,AO39,CC39,0,BL39,IF(OptControl=3,1,0),0,1),0)</f>
        <v>0</v>
      </c>
      <c r="CM39" s="779" t="str">
        <f t="shared" ca="1" si="52"/>
        <v/>
      </c>
      <c r="CN39" s="783" t="str">
        <f t="shared" ca="1" si="53"/>
        <v/>
      </c>
      <c r="CO39" s="780" t="str">
        <f t="shared" ca="1" si="54"/>
        <v/>
      </c>
      <c r="CP39" s="780" t="str">
        <f t="shared" ca="1" si="55"/>
        <v/>
      </c>
      <c r="CQ39" s="780" t="str">
        <f t="shared" ca="1" si="56"/>
        <v/>
      </c>
      <c r="CR39" s="780" t="str">
        <f t="shared" ca="1" si="57"/>
        <v/>
      </c>
      <c r="CS39" s="781" t="str">
        <f t="shared" ca="1" si="58"/>
        <v/>
      </c>
      <c r="CT39" s="782" t="str">
        <f t="shared" ca="1" si="59"/>
        <v/>
      </c>
      <c r="CU39" s="782" t="str">
        <f t="shared" ca="1" si="60"/>
        <v/>
      </c>
      <c r="CV39" s="155">
        <f ca="1">IF(BD39,_xll.EURO(CN39,Strike1,AO39,AO39,CT39,CM39,IF(OptControl=4,0,1),0),0)</f>
        <v>0</v>
      </c>
      <c r="CW39" s="155">
        <f ca="1">IF(BD39,_xll.EURO(CN39,Strike1,AO39,AO39,CT39,CM39,IF(OptControl=4,0,1),1)+IF(OR(VolSkewFlag=2,ABS(CO39)&lt;0.0001),0,IF(CO39&gt;0,-1,1)*CX39*100*Strike1/CN39^2*CQ39/10%),0)</f>
        <v>0</v>
      </c>
      <c r="CX39" s="155">
        <f ca="1">IF(BD39,_xll.EURO(CN39,Strike1,AO39,AO39,CT39,CM39,IF(OptControl=4,0,1),3)/100,0)</f>
        <v>0</v>
      </c>
      <c r="CY39" s="155">
        <f ca="1">IF(BD39,_xll.EURO(CN39,Strike1,AO39,AO39,CT39,CM39,IF(OptControl=4,0,1),0)-_xll.EURO(CN39,Strike1,AO39,AO39,CT39,CM39-1,IF(OptControl=4,0,1),0),0)</f>
        <v>0</v>
      </c>
      <c r="CZ39" s="155">
        <f ca="1">IF(BD39,_xll.EURO(CN39,Strike2,AO39,AO39,CU39,CM39,IF(OptControl=3,1,0),0),0)</f>
        <v>0</v>
      </c>
      <c r="DA39" s="155">
        <f ca="1">IF(BD39,_xll.EURO(CN39,Strike2,AO39,AO39,CU39,CM39,IF(OptControl=3,1,0),1)+IF(OR(VolSkewFlag=2,ABS(CP39)&lt;0.0001),0,IF(CP39&gt;0,-1,1)*DB39*100*Strike2/CN39^2*CR39/10%),0)</f>
        <v>0</v>
      </c>
      <c r="DB39" s="155">
        <f ca="1">IF(BD39,_xll.EURO(CN39,Strike2,AO39,AO39,CU39,CM39,IF(OptControl=3,1,0),3)/100,0)</f>
        <v>0</v>
      </c>
      <c r="DC39" s="156">
        <f ca="1">IF(BD39,_xll.EURO(CN39,Strike2,AO39,AO39,CU39,CM39,IF(OptControl=3,1,0),0)-_xll.EURO(CN39,Strike2,AO39,AO39,CU39,CM39-1,IF(OptControl=3,1,0),0),0)</f>
        <v>0</v>
      </c>
      <c r="DD39" s="53"/>
      <c r="DE39" s="651">
        <f t="shared" ca="1" si="61"/>
        <v>37500</v>
      </c>
      <c r="DF39" s="465">
        <v>1E-4</v>
      </c>
      <c r="DG39" s="649">
        <v>1E-4</v>
      </c>
      <c r="DH39" s="650">
        <f t="shared" ca="1" si="23"/>
        <v>37500</v>
      </c>
      <c r="DI39" s="465">
        <v>1E-4</v>
      </c>
      <c r="DJ39" s="649">
        <v>1E-4</v>
      </c>
      <c r="DK39" s="651">
        <f t="shared" ca="1" si="24"/>
        <v>37500</v>
      </c>
      <c r="DL39" s="652">
        <f t="shared" si="25"/>
        <v>5.0100000000000006E-2</v>
      </c>
      <c r="DM39" s="651">
        <f t="shared" ca="1" si="62"/>
        <v>37500</v>
      </c>
      <c r="DN39" s="563">
        <f t="shared" si="63"/>
        <v>-4.99E-2</v>
      </c>
      <c r="DO39" s="803">
        <v>-0.05</v>
      </c>
      <c r="DP39" s="650">
        <f t="shared" ca="1" si="26"/>
        <v>37500</v>
      </c>
      <c r="DQ39" s="653">
        <v>1E-4</v>
      </c>
      <c r="DR39" s="590">
        <v>1E-4</v>
      </c>
      <c r="DS39" s="650">
        <f t="shared" ca="1" si="27"/>
        <v>37500</v>
      </c>
      <c r="DT39" s="653">
        <v>1E-4</v>
      </c>
      <c r="DU39" s="590">
        <v>1E-4</v>
      </c>
      <c r="DV39" s="651">
        <f t="shared" ca="1" si="28"/>
        <v>37500</v>
      </c>
      <c r="DW39" s="590">
        <v>1E-4</v>
      </c>
      <c r="DX39" s="651">
        <f t="shared" ca="1" si="64"/>
        <v>37500</v>
      </c>
      <c r="DY39" s="590">
        <f t="shared" si="65"/>
        <v>1E-4</v>
      </c>
      <c r="DZ39" s="1"/>
      <c r="EA39" s="863" t="e">
        <f ca="1">_xll.ASN(X39,X39,AO39,AS39,0,AI39,0,BI39,BL39,1,0)</f>
        <v>#NAME?</v>
      </c>
      <c r="EB39" s="653" t="e">
        <f ca="1">_xll.ASN(X39,X39,AO39,AS39,0,AI39,0,BI39,BL39,1,3)/100</f>
        <v>#NAME?</v>
      </c>
      <c r="EC39" s="653" t="e">
        <f ca="1">_xll.xCrudeAPO(L40,L41,O40,O41,S40,S41,BI39,BL39,AJ39,AK39,0,X39,AO39,1,0,+BL39,1,0,1)</f>
        <v>#NAME?</v>
      </c>
      <c r="ED39" s="869" t="e">
        <f t="shared" ca="1" si="165"/>
        <v>#NAME?</v>
      </c>
      <c r="EE39" s="863" t="e">
        <f t="shared" ca="1" si="29"/>
        <v>#NAME?</v>
      </c>
      <c r="EF39" s="590" t="e">
        <f t="shared" ca="1" si="30"/>
        <v>#NAME?</v>
      </c>
      <c r="EG39" s="862" t="str">
        <f t="shared" ca="1" si="31"/>
        <v/>
      </c>
      <c r="EH39" s="114" t="str">
        <f t="shared" ca="1" si="32"/>
        <v/>
      </c>
      <c r="EI39" s="109" t="str">
        <f t="shared" ca="1" si="33"/>
        <v/>
      </c>
      <c r="EJ39" s="115">
        <f ca="1">IF(BD39,_xll.xASN(BP39,Strike1,AO39,EH39,0,BM39,0,BI39,BL39,IF(OptControl=4,0,1),0),0)</f>
        <v>0</v>
      </c>
      <c r="EK39" s="108">
        <f ca="1">IF(BD39,_xll.xASN(BP39,Strike2,AO39,EI39,0,BM39,0,BI39,BL39,IF(OptControl=3,1,0),0),0)</f>
        <v>0</v>
      </c>
      <c r="EM39" s="473" t="e">
        <f>[1]!'CLc20 MTH'</f>
        <v>#REF!</v>
      </c>
      <c r="EN39" s="474" t="e">
        <f t="shared" si="158"/>
        <v>#REF!</v>
      </c>
      <c r="EO39" s="475" t="e">
        <f>[1]!'CLc20 NET.CHNG'</f>
        <v>#REF!</v>
      </c>
      <c r="EP39" s="476">
        <f t="shared" si="159"/>
        <v>0</v>
      </c>
      <c r="EQ39" s="1"/>
      <c r="ER39" s="681">
        <v>37987</v>
      </c>
      <c r="ES39" s="682">
        <v>40172</v>
      </c>
      <c r="ET39" s="1"/>
      <c r="EU39" s="667" t="s">
        <v>143</v>
      </c>
      <c r="EW39" s="488">
        <v>20</v>
      </c>
      <c r="EX39" s="466">
        <f t="shared" ca="1" si="166"/>
        <v>1.6016427104722792</v>
      </c>
      <c r="EY39" s="824">
        <f t="shared" ca="1" si="66"/>
        <v>0.10888993105273369</v>
      </c>
      <c r="EZ39" s="798">
        <f t="shared" ca="1" si="160"/>
        <v>0.25596578448891866</v>
      </c>
      <c r="FA39" s="468" t="str">
        <f t="shared" ca="1" si="161"/>
        <v/>
      </c>
      <c r="FB39" s="467" t="str">
        <f t="shared" ca="1" si="162"/>
        <v/>
      </c>
      <c r="FC39" s="242">
        <v>0</v>
      </c>
      <c r="FD39" s="589" t="str">
        <f ca="1">IF(OR(FA39="",FA40=""),"",SQRT(SUM(INDEX(FO39:IH39,SwaptionFirstMonthPosition+1):INDEX(FO39:IH39,FN39))/SUM(INDEX($FO$15:$IH$15,SwaptionFirstMonthPosition+1):INDEX($FO$15:$IH$15,FN39))))</f>
        <v/>
      </c>
      <c r="FE39" s="565" t="str">
        <f ca="1">IF(OR(FA39="",FA38=""),"",SQRT(SUM(INDEX(FO39:IH39,SwaptionFirstMonthPosition+1):INDEX(FO39:IH39,FN39-1))/SUM(INDEX($FO$15:$IH$15,SwaptionFirstMonthPosition+1):INDEX($FO$15:$IH$15,FN39-1))))</f>
        <v/>
      </c>
      <c r="FF39" s="562" t="str">
        <f t="shared" ca="1" si="67"/>
        <v/>
      </c>
      <c r="FG39" s="593" t="str">
        <f t="shared" ca="1" si="68"/>
        <v/>
      </c>
      <c r="FH39" s="563" t="str">
        <f t="shared" ca="1" si="69"/>
        <v/>
      </c>
      <c r="FI39" s="563" t="str">
        <f t="shared" ca="1" si="70"/>
        <v/>
      </c>
      <c r="FJ39" s="563" t="str">
        <f t="shared" ca="1" si="71"/>
        <v/>
      </c>
      <c r="FK39" s="564" t="str">
        <f t="shared" ca="1" si="72"/>
        <v/>
      </c>
      <c r="FL39" s="590" t="str">
        <f t="shared" ca="1" si="73"/>
        <v/>
      </c>
      <c r="FM39" s="242"/>
      <c r="FN39" s="657">
        <v>20</v>
      </c>
      <c r="FO39" s="450">
        <f t="shared" ca="1" si="74"/>
        <v>8.0696571548717492E-4</v>
      </c>
      <c r="FP39" s="450">
        <f t="shared" ca="1" si="75"/>
        <v>3.0969420014777616E-3</v>
      </c>
      <c r="FQ39" s="450">
        <f t="shared" ca="1" si="76"/>
        <v>3.0658647227246338E-3</v>
      </c>
      <c r="FR39" s="450">
        <f t="shared" ca="1" si="77"/>
        <v>3.4749598179645638E-3</v>
      </c>
      <c r="FS39" s="450">
        <f t="shared" ca="1" si="78"/>
        <v>3.3574961403974248E-3</v>
      </c>
      <c r="FT39" s="450">
        <f t="shared" ca="1" si="79"/>
        <v>3.7047072021198523E-3</v>
      </c>
      <c r="FU39" s="450">
        <f t="shared" ca="1" si="80"/>
        <v>3.6077406726652507E-3</v>
      </c>
      <c r="FV39" s="450">
        <f t="shared" ca="1" si="81"/>
        <v>3.5139078321312456E-3</v>
      </c>
      <c r="FW39" s="450">
        <f t="shared" ca="1" si="82"/>
        <v>3.9492337791801977E-3</v>
      </c>
      <c r="FX39" s="450">
        <f t="shared" ca="1" si="83"/>
        <v>4.5831826715682922E-3</v>
      </c>
      <c r="FY39" s="450">
        <f t="shared" ca="1" si="84"/>
        <v>4.2767028665124836E-3</v>
      </c>
      <c r="FZ39" s="450">
        <f t="shared" ca="1" si="85"/>
        <v>4.5739757699293044E-3</v>
      </c>
      <c r="GA39" s="450">
        <f t="shared" ca="1" si="86"/>
        <v>5.6116983326886761E-3</v>
      </c>
      <c r="GB39" s="450">
        <f t="shared" ca="1" si="87"/>
        <v>5.3651713199784857E-3</v>
      </c>
      <c r="GC39" s="450">
        <f t="shared" ca="1" si="88"/>
        <v>6.5063554759660922E-3</v>
      </c>
      <c r="GD39" s="450">
        <f t="shared" ca="1" si="89"/>
        <v>6.7802909540397695E-3</v>
      </c>
      <c r="GE39" s="450">
        <f t="shared" ca="1" si="90"/>
        <v>7.3793022548244262E-3</v>
      </c>
      <c r="GF39" s="450">
        <f t="shared" ca="1" si="91"/>
        <v>9.5911846954248748E-3</v>
      </c>
      <c r="GG39" s="450">
        <f t="shared" ca="1" si="92"/>
        <v>1.012212592791811E-2</v>
      </c>
      <c r="GH39" s="450">
        <f t="shared" ca="1" si="93"/>
        <v>1.1569392271316568E-2</v>
      </c>
      <c r="GI39" s="450" t="str">
        <f t="shared" si="94"/>
        <v/>
      </c>
      <c r="GJ39" s="450" t="str">
        <f t="shared" si="95"/>
        <v/>
      </c>
      <c r="GK39" s="450" t="str">
        <f t="shared" si="96"/>
        <v/>
      </c>
      <c r="GL39" s="450" t="str">
        <f t="shared" si="97"/>
        <v/>
      </c>
      <c r="GM39" s="450" t="str">
        <f t="shared" si="98"/>
        <v/>
      </c>
      <c r="GN39" s="450" t="str">
        <f t="shared" si="99"/>
        <v/>
      </c>
      <c r="GO39" s="450" t="str">
        <f t="shared" si="100"/>
        <v/>
      </c>
      <c r="GP39" s="450" t="str">
        <f t="shared" si="101"/>
        <v/>
      </c>
      <c r="GQ39" s="450" t="str">
        <f t="shared" si="102"/>
        <v/>
      </c>
      <c r="GR39" s="450" t="str">
        <f t="shared" si="103"/>
        <v/>
      </c>
      <c r="GS39" s="450" t="str">
        <f t="shared" si="104"/>
        <v/>
      </c>
      <c r="GT39" s="450" t="str">
        <f t="shared" si="105"/>
        <v/>
      </c>
      <c r="GU39" s="450" t="str">
        <f t="shared" si="106"/>
        <v/>
      </c>
      <c r="GV39" s="450" t="str">
        <f t="shared" si="107"/>
        <v/>
      </c>
      <c r="GW39" s="450" t="str">
        <f t="shared" si="108"/>
        <v/>
      </c>
      <c r="GX39" s="450" t="str">
        <f t="shared" si="109"/>
        <v/>
      </c>
      <c r="GY39" s="450" t="str">
        <f t="shared" si="110"/>
        <v/>
      </c>
      <c r="GZ39" s="450" t="str">
        <f t="shared" si="111"/>
        <v/>
      </c>
      <c r="HA39" s="450" t="str">
        <f t="shared" si="112"/>
        <v/>
      </c>
      <c r="HB39" s="450" t="str">
        <f t="shared" si="113"/>
        <v/>
      </c>
      <c r="HC39" s="450" t="str">
        <f t="shared" si="114"/>
        <v/>
      </c>
      <c r="HD39" s="450" t="str">
        <f t="shared" si="115"/>
        <v/>
      </c>
      <c r="HE39" s="450" t="str">
        <f t="shared" si="116"/>
        <v/>
      </c>
      <c r="HF39" s="450" t="str">
        <f t="shared" si="117"/>
        <v/>
      </c>
      <c r="HG39" s="450" t="str">
        <f t="shared" si="118"/>
        <v/>
      </c>
      <c r="HH39" s="450" t="str">
        <f t="shared" si="119"/>
        <v/>
      </c>
      <c r="HI39" s="450" t="str">
        <f t="shared" si="120"/>
        <v/>
      </c>
      <c r="HJ39" s="450" t="str">
        <f t="shared" si="121"/>
        <v/>
      </c>
      <c r="HK39" s="450" t="str">
        <f t="shared" si="122"/>
        <v/>
      </c>
      <c r="HL39" s="450" t="str">
        <f t="shared" si="123"/>
        <v/>
      </c>
      <c r="HM39" s="450" t="str">
        <f t="shared" si="124"/>
        <v/>
      </c>
      <c r="HN39" s="450" t="str">
        <f t="shared" si="125"/>
        <v/>
      </c>
      <c r="HO39" s="450" t="str">
        <f t="shared" si="126"/>
        <v/>
      </c>
      <c r="HP39" s="450" t="str">
        <f t="shared" si="127"/>
        <v/>
      </c>
      <c r="HQ39" s="450" t="str">
        <f t="shared" si="128"/>
        <v/>
      </c>
      <c r="HR39" s="450" t="str">
        <f t="shared" si="129"/>
        <v/>
      </c>
      <c r="HS39" s="450" t="str">
        <f t="shared" si="130"/>
        <v/>
      </c>
      <c r="HT39" s="450" t="str">
        <f t="shared" si="131"/>
        <v/>
      </c>
      <c r="HU39" s="450" t="str">
        <f t="shared" si="132"/>
        <v/>
      </c>
      <c r="HV39" s="450" t="str">
        <f t="shared" si="133"/>
        <v/>
      </c>
      <c r="HW39" s="450" t="str">
        <f t="shared" si="134"/>
        <v/>
      </c>
      <c r="HX39" s="450" t="str">
        <f t="shared" si="135"/>
        <v/>
      </c>
      <c r="HY39" s="450" t="str">
        <f t="shared" si="136"/>
        <v/>
      </c>
      <c r="HZ39" s="450" t="str">
        <f t="shared" si="137"/>
        <v/>
      </c>
      <c r="IA39" s="450" t="str">
        <f t="shared" si="138"/>
        <v/>
      </c>
      <c r="IB39" s="450" t="str">
        <f t="shared" si="139"/>
        <v/>
      </c>
      <c r="IC39" s="450" t="str">
        <f t="shared" si="140"/>
        <v/>
      </c>
      <c r="ID39" s="450" t="str">
        <f t="shared" si="141"/>
        <v/>
      </c>
      <c r="IE39" s="450" t="str">
        <f t="shared" si="142"/>
        <v/>
      </c>
      <c r="IF39" s="450" t="str">
        <f t="shared" si="143"/>
        <v/>
      </c>
      <c r="IG39" s="450" t="str">
        <f t="shared" si="144"/>
        <v/>
      </c>
      <c r="IH39" s="658" t="str">
        <f t="shared" si="145"/>
        <v/>
      </c>
      <c r="II39" s="242"/>
    </row>
    <row r="40" spans="1:243" ht="15.75" customHeight="1">
      <c r="A40" s="49">
        <f t="shared" ca="1" si="167"/>
        <v>20</v>
      </c>
      <c r="B40" s="443" t="str">
        <f>IF(OptControl=3,"Call Spread",IF(OptControl=4,"Put Spread","Straddle"))</f>
        <v>Straddle</v>
      </c>
      <c r="C40" s="444" t="e">
        <f ca="1">C38+C39*IF(OptControl&gt;2,-1,1)</f>
        <v>#NAME?</v>
      </c>
      <c r="D40" s="444" t="e">
        <f ca="1">D38+D39*IF(OptControl&gt;2,-1,1)</f>
        <v>#NAME?</v>
      </c>
      <c r="E40" s="444" t="e">
        <f ca="1">E38+E39*IF(OptControl&gt;2,-1,1)</f>
        <v>#NAME?</v>
      </c>
      <c r="F40" s="687" t="e">
        <f ca="1">F38+F39*IF(OptControl&gt;2,-1,1)</f>
        <v>#NAME?</v>
      </c>
      <c r="G40" s="772" t="s">
        <v>209</v>
      </c>
      <c r="H40" s="49" t="e">
        <f t="shared" ca="1" si="34"/>
        <v>#N/A</v>
      </c>
      <c r="I40" s="369">
        <f t="shared" si="35"/>
        <v>37622</v>
      </c>
      <c r="J40" s="367">
        <v>23.68</v>
      </c>
      <c r="K40" s="101" t="s">
        <v>487</v>
      </c>
      <c r="L40" s="382">
        <f t="shared" si="36"/>
        <v>23.68</v>
      </c>
      <c r="M40" s="163">
        <v>0.25684864985985995</v>
      </c>
      <c r="N40" s="372">
        <v>0</v>
      </c>
      <c r="O40" s="163">
        <f t="shared" si="37"/>
        <v>0.25684864985985995</v>
      </c>
      <c r="P40" s="367">
        <v>22.473333333333301</v>
      </c>
      <c r="Q40" s="100" t="s">
        <v>268</v>
      </c>
      <c r="R40" s="367">
        <f t="shared" ca="1" si="147"/>
        <v>22.473333333333333</v>
      </c>
      <c r="S40" s="814">
        <f t="shared" si="163"/>
        <v>0.38130843119177937</v>
      </c>
      <c r="T40" s="813">
        <f t="shared" si="148"/>
        <v>0.99044055331540559</v>
      </c>
      <c r="U40" s="532">
        <f t="shared" si="149"/>
        <v>0.99995243182091598</v>
      </c>
      <c r="V40" s="379">
        <v>0</v>
      </c>
      <c r="W40" s="424">
        <f t="shared" si="150"/>
        <v>23.482727272727274</v>
      </c>
      <c r="X40" s="405">
        <f t="shared" si="38"/>
        <v>23.482727272727274</v>
      </c>
      <c r="Y40" s="313">
        <f t="shared" si="39"/>
        <v>22.208181818181831</v>
      </c>
      <c r="Z40" s="313">
        <f t="shared" ca="1" si="40"/>
        <v>22.208181818181821</v>
      </c>
      <c r="AA40" s="419">
        <f t="shared" si="1"/>
        <v>1.2745454545454429</v>
      </c>
      <c r="AB40" s="423">
        <f t="shared" ca="1" si="2"/>
        <v>1.2745454545454535</v>
      </c>
      <c r="AC40" s="218">
        <v>37610</v>
      </c>
      <c r="AD40" s="221">
        <v>37606</v>
      </c>
      <c r="AE40" s="219">
        <v>37605</v>
      </c>
      <c r="AF40" s="220">
        <v>37601</v>
      </c>
      <c r="AG40" s="241" t="s">
        <v>496</v>
      </c>
      <c r="AH40" s="239" t="s">
        <v>90</v>
      </c>
      <c r="AI40" s="141">
        <v>22</v>
      </c>
      <c r="AJ40" s="41">
        <v>13</v>
      </c>
      <c r="AK40" s="41">
        <v>9</v>
      </c>
      <c r="AL40" s="285">
        <v>22</v>
      </c>
      <c r="AM40" s="41">
        <v>9</v>
      </c>
      <c r="AN40" s="142">
        <v>13</v>
      </c>
      <c r="AO40" s="364">
        <v>4.5968626520101405E-2</v>
      </c>
      <c r="AP40" s="145">
        <f t="shared" ca="1" si="41"/>
        <v>0.92092828735258658</v>
      </c>
      <c r="AQ40" s="364">
        <v>4.04270740171686E-2</v>
      </c>
      <c r="AR40" s="145">
        <f t="shared" ca="1" si="151"/>
        <v>0.93472681456310913</v>
      </c>
      <c r="AS40" s="264">
        <f t="shared" si="3"/>
        <v>0.24961303554699088</v>
      </c>
      <c r="AT40" s="149">
        <f t="shared" si="42"/>
        <v>0.25684864985985995</v>
      </c>
      <c r="AU40" s="149">
        <f t="shared" si="4"/>
        <v>0.2488321988762891</v>
      </c>
      <c r="AV40" s="263">
        <f t="shared" ca="1" si="164"/>
        <v>0.24852039869919867</v>
      </c>
      <c r="AW40" s="150">
        <f t="shared" ca="1" si="5"/>
        <v>3</v>
      </c>
      <c r="AX40" s="149">
        <f t="shared" ca="1" si="152"/>
        <v>4.93304408747147E-2</v>
      </c>
      <c r="AY40" s="149">
        <f t="shared" ca="1" si="153"/>
        <v>2.7639126808476126E-2</v>
      </c>
      <c r="AZ40" s="149">
        <f t="shared" ca="1" si="154"/>
        <v>1.2386326696246584E-2</v>
      </c>
      <c r="BA40" s="149">
        <f t="shared" ca="1" si="155"/>
        <v>1.0000000000000013E-4</v>
      </c>
      <c r="BB40" s="149">
        <f t="shared" ca="1" si="156"/>
        <v>1.0000000000000013E-4</v>
      </c>
      <c r="BC40" s="149">
        <f t="shared" ca="1" si="157"/>
        <v>1.0000000000000013E-4</v>
      </c>
      <c r="BD40" s="143">
        <f t="shared" ca="1" si="43"/>
        <v>0</v>
      </c>
      <c r="BE40" s="144">
        <f t="shared" ca="1" si="44"/>
        <v>0</v>
      </c>
      <c r="BF40" s="40">
        <f t="shared" si="7"/>
        <v>2003</v>
      </c>
      <c r="BG40" s="139">
        <f t="shared" si="8"/>
        <v>1</v>
      </c>
      <c r="BH40" s="140">
        <f t="shared" ca="1" si="45"/>
        <v>616</v>
      </c>
      <c r="BI40" s="304">
        <f t="shared" ca="1" si="46"/>
        <v>1.730321697467488</v>
      </c>
      <c r="BJ40" s="42">
        <f t="shared" ca="1" si="47"/>
        <v>1.7788563250575571</v>
      </c>
      <c r="BK40" s="42">
        <f t="shared" ca="1" si="9"/>
        <v>1.7815941758446892</v>
      </c>
      <c r="BL40" s="42">
        <f t="shared" ca="1" si="48"/>
        <v>1.8124572210814511</v>
      </c>
      <c r="BM40" s="285">
        <f t="shared" si="49"/>
        <v>22</v>
      </c>
      <c r="BN40" s="41">
        <f t="shared" si="50"/>
        <v>13</v>
      </c>
      <c r="BO40" s="41">
        <f t="shared" si="51"/>
        <v>9</v>
      </c>
      <c r="BP40" s="297" t="str">
        <f t="shared" ca="1" si="10"/>
        <v/>
      </c>
      <c r="BQ40" s="297" t="str">
        <f t="shared" ca="1" si="11"/>
        <v/>
      </c>
      <c r="BR40" s="299" t="str">
        <f t="shared" ca="1" si="12"/>
        <v/>
      </c>
      <c r="BS40" s="153" t="str">
        <f t="shared" ca="1" si="13"/>
        <v/>
      </c>
      <c r="BT40" s="153" t="str">
        <f t="shared" ca="1" si="14"/>
        <v/>
      </c>
      <c r="BU40" s="300" t="str">
        <f t="shared" ca="1" si="15"/>
        <v/>
      </c>
      <c r="BV40" s="301" t="str">
        <f t="shared" ca="1" si="16"/>
        <v/>
      </c>
      <c r="BW40" s="300" t="str">
        <f t="shared" ca="1" si="17"/>
        <v/>
      </c>
      <c r="BX40" s="301" t="str">
        <f t="shared" ca="1" si="18"/>
        <v/>
      </c>
      <c r="BY40" s="146" t="str">
        <f t="shared" ca="1" si="19"/>
        <v/>
      </c>
      <c r="BZ40" s="146" t="str">
        <f t="shared" ca="1" si="20"/>
        <v/>
      </c>
      <c r="CA40" s="146" t="str">
        <f t="shared" ca="1" si="21"/>
        <v/>
      </c>
      <c r="CB40" s="146" t="str">
        <f t="shared" ca="1" si="22"/>
        <v/>
      </c>
      <c r="CC40" s="302">
        <v>1</v>
      </c>
      <c r="CD40" s="154">
        <f ca="1">IF(BD40,_xll.xCrudeAPO(BS40,BT40,BY40,BZ40,S41,S42,BI40,BL40,BN40,BO40,0,Strike1,AO40,CC40,0,BL40,IF(OptControl=4,0,1),0,1),0)</f>
        <v>0</v>
      </c>
      <c r="CE40" s="155">
        <f ca="1">IF(BD40,_xll.xCrudeAPO(BS40,BT40,BY40,BZ40,S41,S42,BI40,BL40,BN40,BO40,0,Strike1,AO40,CC40,0,BL40,IF(OptControl=4,0,1),1,1)+_xll.xCrudeAPO(BS40,BT40,BY40,BZ40,S41,S42,BI40,BL40,BN40,BO40,0,Strike1,AO40,CC40,0,BL40,IF(OptControl=4,0,1),1,2)+IF(OR(VolSkewFlag=2,ABS(BQ40)&lt;0.0001),0,IF(BQ40&gt;0,-1,1)*CF40*Strike1/BP40^2*BW40/10%),0)</f>
        <v>0</v>
      </c>
      <c r="CF40" s="155">
        <f ca="1">IF(BD40,(_xll.xCrudeAPO(BS40,BT40,BY40,BZ40,S41,S42,BI40,BL40,BN40,BO40,0,Strike1,AO40,CC40,0,BL40,IF(OptControl=4,0,1),3,1)+_xll.xCrudeAPO(BS40,BT40,BY40,BZ40,S41,S42,BI40,BL40,BN40,BO40,0,Strike1,AO40,CC40,0,BL40,IF(OptControl=4,0,1),3,2))/100,0)</f>
        <v>0</v>
      </c>
      <c r="CG40" s="155">
        <f ca="1">IF(BD40,_xll.xCrudeAPO(BS40,BT40,BY40,BZ40,S41,S42,BI40-DaysForThetaCalculation/365.25,BL40-DaysForThetaCalculation/365.25,BN40,BO40,0,Strike1,AO40,CC40,0,BL40,IF(OptControl=4,0,1),0,1)-_xll.xCrudeAPO(BS40,BT40,BY40,BZ40,S41,S42,BI40,BL40,BN40,BO40,0,Strike1,AO40,CC40,0,BL40,IF(OptControl=4,0,1),0,1),0)</f>
        <v>0</v>
      </c>
      <c r="CH40" s="303">
        <f ca="1">IF(BD40,_xll.xCrudeAPO(BS40,BT40,CA40,CB40,S41,S42,BI40,BL40,BN40,BO40,0,Strike2,AO40,CC40,0,BL40,IF(OptControl=3,1,0),0,1),0)</f>
        <v>0</v>
      </c>
      <c r="CI40" s="155">
        <f ca="1">IF(BD40,_xll.xCrudeAPO(BS40,BT40,CA40,CB40,S41,S42,BI40,BL40,BN40,BO40,0,Strike2,AO40,CC40,0,BL40,IF(OptControl=3,1,0),1,1)+_xll.xCrudeAPO(BS40,BT40,CA40,CB40,S41,S42,BI40,BL40,BN40,BO40,0,Strike2,AO40,CC40,0,BL40,IF(OptControl=3,1,0),1,2)+IF(OR(VolSkewFlag=2,ABS(BR40)&lt;0.0001),0,IF(BR40&gt;0,-1,1)*CJ40*Strike2/BP40^2*BX40/10%),0)</f>
        <v>0</v>
      </c>
      <c r="CJ40" s="155">
        <f ca="1">IF(BD40,(_xll.xCrudeAPO(BS40,BT40,CA40,CB40,S41,S42,BI40,BL40,BN40,BO40,0,Strike2,AO40,CC40,0,BL40,IF(OptControl=3,1,0),3,1)+_xll.xCrudeAPO(BS40,BT40,CA40,CB40,S41,S42,BI40,BL40,BN40,BO40,0,Strike2,AO40,CC40,0,BL40,IF(OptControl=3,1,0),3,2))/100,0)</f>
        <v>0</v>
      </c>
      <c r="CK40" s="156">
        <f ca="1">IF(BD40,_xll.xCrudeAPO(BS40,BT40,CA40,CB40,S41,S42,BI40-DaysForThetaCalculation/365.25,BL40-DaysForThetaCalculation/365.25,BN40,BO40,0,Strike2,AO40,CC40,0,BL40,IF(OptControl=3,1,0),0,1)-_xll.xCrudeAPO(BS40,BT40,CA40,CB40,S41,S42,BI40,BL40,BN40,BO40,0,Strike2,AO40,CC40,0,BL40,IF(OptControl=3,1,0),0,1),0)</f>
        <v>0</v>
      </c>
      <c r="CM40" s="779" t="str">
        <f t="shared" ca="1" si="52"/>
        <v/>
      </c>
      <c r="CN40" s="783" t="str">
        <f t="shared" ca="1" si="53"/>
        <v/>
      </c>
      <c r="CO40" s="780" t="str">
        <f t="shared" ca="1" si="54"/>
        <v/>
      </c>
      <c r="CP40" s="780" t="str">
        <f t="shared" ca="1" si="55"/>
        <v/>
      </c>
      <c r="CQ40" s="780" t="str">
        <f t="shared" ca="1" si="56"/>
        <v/>
      </c>
      <c r="CR40" s="780" t="str">
        <f t="shared" ca="1" si="57"/>
        <v/>
      </c>
      <c r="CS40" s="781" t="str">
        <f t="shared" ca="1" si="58"/>
        <v/>
      </c>
      <c r="CT40" s="782" t="str">
        <f t="shared" ca="1" si="59"/>
        <v/>
      </c>
      <c r="CU40" s="782" t="str">
        <f t="shared" ca="1" si="60"/>
        <v/>
      </c>
      <c r="CV40" s="155">
        <f ca="1">IF(BD40,_xll.EURO(CN40,Strike1,AO40,AO40,CT40,CM40,IF(OptControl=4,0,1),0),0)</f>
        <v>0</v>
      </c>
      <c r="CW40" s="155">
        <f ca="1">IF(BD40,_xll.EURO(CN40,Strike1,AO40,AO40,CT40,CM40,IF(OptControl=4,0,1),1)+IF(OR(VolSkewFlag=2,ABS(CO40)&lt;0.0001),0,IF(CO40&gt;0,-1,1)*CX40*100*Strike1/CN40^2*CQ40/10%),0)</f>
        <v>0</v>
      </c>
      <c r="CX40" s="155">
        <f ca="1">IF(BD40,_xll.EURO(CN40,Strike1,AO40,AO40,CT40,CM40,IF(OptControl=4,0,1),3)/100,0)</f>
        <v>0</v>
      </c>
      <c r="CY40" s="155">
        <f ca="1">IF(BD40,_xll.EURO(CN40,Strike1,AO40,AO40,CT40,CM40,IF(OptControl=4,0,1),0)-_xll.EURO(CN40,Strike1,AO40,AO40,CT40,CM40-1,IF(OptControl=4,0,1),0),0)</f>
        <v>0</v>
      </c>
      <c r="CZ40" s="155">
        <f ca="1">IF(BD40,_xll.EURO(CN40,Strike2,AO40,AO40,CU40,CM40,IF(OptControl=3,1,0),0),0)</f>
        <v>0</v>
      </c>
      <c r="DA40" s="155">
        <f ca="1">IF(BD40,_xll.EURO(CN40,Strike2,AO40,AO40,CU40,CM40,IF(OptControl=3,1,0),1)+IF(OR(VolSkewFlag=2,ABS(CP40)&lt;0.0001),0,IF(CP40&gt;0,-1,1)*DB40*100*Strike2/CN40^2*CR40/10%),0)</f>
        <v>0</v>
      </c>
      <c r="DB40" s="155">
        <f ca="1">IF(BD40,_xll.EURO(CN40,Strike2,AO40,AO40,CU40,CM40,IF(OptControl=3,1,0),3)/100,0)</f>
        <v>0</v>
      </c>
      <c r="DC40" s="156">
        <f ca="1">IF(BD40,_xll.EURO(CN40,Strike2,AO40,AO40,CU40,CM40,IF(OptControl=3,1,0),0)-_xll.EURO(CN40,Strike2,AO40,AO40,CU40,CM40-1,IF(OptControl=3,1,0),0),0)</f>
        <v>0</v>
      </c>
      <c r="DD40" s="53"/>
      <c r="DE40" s="651">
        <f t="shared" ca="1" si="61"/>
        <v>37530</v>
      </c>
      <c r="DF40" s="465">
        <v>1E-4</v>
      </c>
      <c r="DG40" s="649">
        <v>1E-4</v>
      </c>
      <c r="DH40" s="650">
        <f t="shared" ca="1" si="23"/>
        <v>37530</v>
      </c>
      <c r="DI40" s="465">
        <v>1E-4</v>
      </c>
      <c r="DJ40" s="649">
        <v>1E-4</v>
      </c>
      <c r="DK40" s="651">
        <f t="shared" ca="1" si="24"/>
        <v>37530</v>
      </c>
      <c r="DL40" s="652">
        <f t="shared" si="25"/>
        <v>5.0100000000000006E-2</v>
      </c>
      <c r="DM40" s="651">
        <f t="shared" ca="1" si="62"/>
        <v>37530</v>
      </c>
      <c r="DN40" s="563">
        <f t="shared" si="63"/>
        <v>-4.99E-2</v>
      </c>
      <c r="DO40" s="803">
        <v>-0.05</v>
      </c>
      <c r="DP40" s="650">
        <f t="shared" ca="1" si="26"/>
        <v>37530</v>
      </c>
      <c r="DQ40" s="653">
        <v>1E-4</v>
      </c>
      <c r="DR40" s="590">
        <v>1E-4</v>
      </c>
      <c r="DS40" s="650">
        <f t="shared" ca="1" si="27"/>
        <v>37530</v>
      </c>
      <c r="DT40" s="653">
        <v>1E-4</v>
      </c>
      <c r="DU40" s="590">
        <v>1E-4</v>
      </c>
      <c r="DV40" s="651">
        <f t="shared" ca="1" si="28"/>
        <v>37530</v>
      </c>
      <c r="DW40" s="590">
        <v>1E-4</v>
      </c>
      <c r="DX40" s="651">
        <f t="shared" ca="1" si="64"/>
        <v>37530</v>
      </c>
      <c r="DY40" s="590">
        <f t="shared" si="65"/>
        <v>1E-4</v>
      </c>
      <c r="DZ40" s="1"/>
      <c r="EA40" s="863" t="e">
        <f ca="1">_xll.ASN(X40,X40,AO40,AS40,0,AI40,0,BI40,BL40,1,0)</f>
        <v>#NAME?</v>
      </c>
      <c r="EB40" s="653" t="e">
        <f ca="1">_xll.ASN(X40,X40,AO40,AS40,0,AI40,0,BI40,BL40,1,3)/100</f>
        <v>#NAME?</v>
      </c>
      <c r="EC40" s="653" t="e">
        <f ca="1">_xll.xCrudeAPO(L41,L42,O41,O42,S41,S42,BI40,BL40,AJ40,AK40,0,X40,AO40,1,0,+BL40,1,0,1)</f>
        <v>#NAME?</v>
      </c>
      <c r="ED40" s="869" t="e">
        <f t="shared" ca="1" si="165"/>
        <v>#NAME?</v>
      </c>
      <c r="EE40" s="863" t="e">
        <f t="shared" ca="1" si="29"/>
        <v>#NAME?</v>
      </c>
      <c r="EF40" s="590" t="e">
        <f t="shared" ca="1" si="30"/>
        <v>#NAME?</v>
      </c>
      <c r="EG40" s="862" t="str">
        <f t="shared" ca="1" si="31"/>
        <v/>
      </c>
      <c r="EH40" s="114" t="str">
        <f t="shared" ca="1" si="32"/>
        <v/>
      </c>
      <c r="EI40" s="109" t="str">
        <f t="shared" ca="1" si="33"/>
        <v/>
      </c>
      <c r="EJ40" s="115">
        <f ca="1">IF(BD40,_xll.xASN(BP40,Strike1,AO40,EH40,0,BM40,0,BI40,BL40,IF(OptControl=4,0,1),0),0)</f>
        <v>0</v>
      </c>
      <c r="EK40" s="108">
        <f ca="1">IF(BD40,_xll.xASN(BP40,Strike2,AO40,EI40,0,BM40,0,BI40,BL40,IF(OptControl=3,1,0),0),0)</f>
        <v>0</v>
      </c>
      <c r="EM40" s="473" t="e">
        <f>[1]!'CLc21 MTH'</f>
        <v>#REF!</v>
      </c>
      <c r="EN40" s="474" t="e">
        <f t="shared" si="158"/>
        <v>#REF!</v>
      </c>
      <c r="EO40" s="475" t="e">
        <f>[1]!'CLc21 NET.CHNG'</f>
        <v>#REF!</v>
      </c>
      <c r="EP40" s="476">
        <f t="shared" si="159"/>
        <v>0</v>
      </c>
      <c r="EQ40" s="1"/>
      <c r="ER40" s="681">
        <v>38172</v>
      </c>
      <c r="ES40" s="682">
        <v>40179</v>
      </c>
      <c r="ET40" s="1"/>
      <c r="EU40" s="667" t="s">
        <v>144</v>
      </c>
      <c r="EW40" s="488">
        <v>21</v>
      </c>
      <c r="EX40" s="466">
        <f t="shared" ca="1" si="166"/>
        <v>1.6865160848733745</v>
      </c>
      <c r="EY40" s="824">
        <f t="shared" ca="1" si="66"/>
        <v>0.1112615387374595</v>
      </c>
      <c r="EZ40" s="798">
        <f t="shared" ca="1" si="160"/>
        <v>0.25307981646419059</v>
      </c>
      <c r="FA40" s="468" t="str">
        <f t="shared" ca="1" si="161"/>
        <v/>
      </c>
      <c r="FB40" s="467" t="str">
        <f t="shared" ca="1" si="162"/>
        <v/>
      </c>
      <c r="FC40" s="242">
        <v>0</v>
      </c>
      <c r="FD40" s="589" t="str">
        <f ca="1">IF(OR(FA40="",FA41=""),"",SQRT(SUM(INDEX(FO40:IH40,SwaptionFirstMonthPosition+1):INDEX(FO40:IH40,FN40))/SUM(INDEX($FO$15:$IH$15,SwaptionFirstMonthPosition+1):INDEX($FO$15:$IH$15,FN40))))</f>
        <v/>
      </c>
      <c r="FE40" s="565" t="str">
        <f ca="1">IF(OR(FA40="",FA39=""),"",SQRT(SUM(INDEX(FO40:IH40,SwaptionFirstMonthPosition+1):INDEX(FO40:IH40,FN40-1))/SUM(INDEX($FO$15:$IH$15,SwaptionFirstMonthPosition+1):INDEX($FO$15:$IH$15,FN40-1))))</f>
        <v/>
      </c>
      <c r="FF40" s="562" t="str">
        <f t="shared" ca="1" si="67"/>
        <v/>
      </c>
      <c r="FG40" s="593" t="str">
        <f t="shared" ca="1" si="68"/>
        <v/>
      </c>
      <c r="FH40" s="563" t="str">
        <f t="shared" ca="1" si="69"/>
        <v/>
      </c>
      <c r="FI40" s="563" t="str">
        <f t="shared" ca="1" si="70"/>
        <v/>
      </c>
      <c r="FJ40" s="563" t="str">
        <f t="shared" ca="1" si="71"/>
        <v/>
      </c>
      <c r="FK40" s="564" t="str">
        <f t="shared" ca="1" si="72"/>
        <v/>
      </c>
      <c r="FL40" s="590" t="str">
        <f t="shared" ca="1" si="73"/>
        <v/>
      </c>
      <c r="FM40" s="242"/>
      <c r="FN40" s="657">
        <v>21</v>
      </c>
      <c r="FO40" s="450">
        <f t="shared" ca="1" si="74"/>
        <v>7.8994694747707599E-4</v>
      </c>
      <c r="FP40" s="450">
        <f t="shared" ca="1" si="75"/>
        <v>3.024370919663569E-3</v>
      </c>
      <c r="FQ40" s="450">
        <f t="shared" ca="1" si="76"/>
        <v>2.9860393410280624E-3</v>
      </c>
      <c r="FR40" s="450">
        <f t="shared" ca="1" si="77"/>
        <v>3.3744299080854813E-3</v>
      </c>
      <c r="FS40" s="450">
        <f t="shared" ca="1" si="78"/>
        <v>3.2495720197377046E-3</v>
      </c>
      <c r="FT40" s="450">
        <f t="shared" ca="1" si="79"/>
        <v>3.572390588663708E-3</v>
      </c>
      <c r="FU40" s="450">
        <f t="shared" ca="1" si="80"/>
        <v>3.4645702555021864E-3</v>
      </c>
      <c r="FV40" s="450">
        <f t="shared" ca="1" si="81"/>
        <v>3.3589670177224034E-3</v>
      </c>
      <c r="FW40" s="450">
        <f t="shared" ca="1" si="82"/>
        <v>3.7557494473735398E-3</v>
      </c>
      <c r="FX40" s="450">
        <f t="shared" ca="1" si="83"/>
        <v>4.3336901015211355E-3</v>
      </c>
      <c r="FY40" s="450">
        <f t="shared" ca="1" si="84"/>
        <v>4.0180263416906975E-3</v>
      </c>
      <c r="FZ40" s="450">
        <f t="shared" ca="1" si="85"/>
        <v>4.2665790066556027E-3</v>
      </c>
      <c r="GA40" s="450">
        <f t="shared" ca="1" si="86"/>
        <v>5.1926566375990807E-3</v>
      </c>
      <c r="GB40" s="450">
        <f t="shared" ca="1" si="87"/>
        <v>4.9200237508422772E-3</v>
      </c>
      <c r="GC40" s="450">
        <f t="shared" ca="1" si="88"/>
        <v>5.9065427307768157E-3</v>
      </c>
      <c r="GD40" s="450">
        <f t="shared" ca="1" si="89"/>
        <v>6.0857726061554233E-3</v>
      </c>
      <c r="GE40" s="450">
        <f t="shared" ca="1" si="90"/>
        <v>6.539439769522027E-3</v>
      </c>
      <c r="GF40" s="450">
        <f t="shared" ca="1" si="91"/>
        <v>8.3782913083799739E-3</v>
      </c>
      <c r="GG40" s="450">
        <f t="shared" ca="1" si="92"/>
        <v>8.6998639480463519E-3</v>
      </c>
      <c r="GH40" s="450">
        <f t="shared" ca="1" si="93"/>
        <v>9.763150416713065E-3</v>
      </c>
      <c r="GI40" s="450">
        <f t="shared" ca="1" si="94"/>
        <v>1.2340259303589373E-2</v>
      </c>
      <c r="GJ40" s="450" t="str">
        <f t="shared" si="95"/>
        <v/>
      </c>
      <c r="GK40" s="450" t="str">
        <f t="shared" si="96"/>
        <v/>
      </c>
      <c r="GL40" s="450" t="str">
        <f t="shared" si="97"/>
        <v/>
      </c>
      <c r="GM40" s="450" t="str">
        <f t="shared" si="98"/>
        <v/>
      </c>
      <c r="GN40" s="450" t="str">
        <f t="shared" si="99"/>
        <v/>
      </c>
      <c r="GO40" s="450" t="str">
        <f t="shared" si="100"/>
        <v/>
      </c>
      <c r="GP40" s="450" t="str">
        <f t="shared" si="101"/>
        <v/>
      </c>
      <c r="GQ40" s="450" t="str">
        <f t="shared" si="102"/>
        <v/>
      </c>
      <c r="GR40" s="450" t="str">
        <f t="shared" si="103"/>
        <v/>
      </c>
      <c r="GS40" s="450" t="str">
        <f t="shared" si="104"/>
        <v/>
      </c>
      <c r="GT40" s="450" t="str">
        <f t="shared" si="105"/>
        <v/>
      </c>
      <c r="GU40" s="450" t="str">
        <f t="shared" si="106"/>
        <v/>
      </c>
      <c r="GV40" s="450" t="str">
        <f t="shared" si="107"/>
        <v/>
      </c>
      <c r="GW40" s="450" t="str">
        <f t="shared" si="108"/>
        <v/>
      </c>
      <c r="GX40" s="450" t="str">
        <f t="shared" si="109"/>
        <v/>
      </c>
      <c r="GY40" s="450" t="str">
        <f t="shared" si="110"/>
        <v/>
      </c>
      <c r="GZ40" s="450" t="str">
        <f t="shared" si="111"/>
        <v/>
      </c>
      <c r="HA40" s="450" t="str">
        <f t="shared" si="112"/>
        <v/>
      </c>
      <c r="HB40" s="450" t="str">
        <f t="shared" si="113"/>
        <v/>
      </c>
      <c r="HC40" s="450" t="str">
        <f t="shared" si="114"/>
        <v/>
      </c>
      <c r="HD40" s="450" t="str">
        <f t="shared" si="115"/>
        <v/>
      </c>
      <c r="HE40" s="450" t="str">
        <f t="shared" si="116"/>
        <v/>
      </c>
      <c r="HF40" s="450" t="str">
        <f t="shared" si="117"/>
        <v/>
      </c>
      <c r="HG40" s="450" t="str">
        <f t="shared" si="118"/>
        <v/>
      </c>
      <c r="HH40" s="450" t="str">
        <f t="shared" si="119"/>
        <v/>
      </c>
      <c r="HI40" s="450" t="str">
        <f t="shared" si="120"/>
        <v/>
      </c>
      <c r="HJ40" s="450" t="str">
        <f t="shared" si="121"/>
        <v/>
      </c>
      <c r="HK40" s="450" t="str">
        <f t="shared" si="122"/>
        <v/>
      </c>
      <c r="HL40" s="450" t="str">
        <f t="shared" si="123"/>
        <v/>
      </c>
      <c r="HM40" s="450" t="str">
        <f t="shared" si="124"/>
        <v/>
      </c>
      <c r="HN40" s="450" t="str">
        <f t="shared" si="125"/>
        <v/>
      </c>
      <c r="HO40" s="450" t="str">
        <f t="shared" si="126"/>
        <v/>
      </c>
      <c r="HP40" s="450" t="str">
        <f t="shared" si="127"/>
        <v/>
      </c>
      <c r="HQ40" s="450" t="str">
        <f t="shared" si="128"/>
        <v/>
      </c>
      <c r="HR40" s="450" t="str">
        <f t="shared" si="129"/>
        <v/>
      </c>
      <c r="HS40" s="450" t="str">
        <f t="shared" si="130"/>
        <v/>
      </c>
      <c r="HT40" s="450" t="str">
        <f t="shared" si="131"/>
        <v/>
      </c>
      <c r="HU40" s="450" t="str">
        <f t="shared" si="132"/>
        <v/>
      </c>
      <c r="HV40" s="450" t="str">
        <f t="shared" si="133"/>
        <v/>
      </c>
      <c r="HW40" s="450" t="str">
        <f t="shared" si="134"/>
        <v/>
      </c>
      <c r="HX40" s="450" t="str">
        <f t="shared" si="135"/>
        <v/>
      </c>
      <c r="HY40" s="450" t="str">
        <f t="shared" si="136"/>
        <v/>
      </c>
      <c r="HZ40" s="450" t="str">
        <f t="shared" si="137"/>
        <v/>
      </c>
      <c r="IA40" s="450" t="str">
        <f t="shared" si="138"/>
        <v/>
      </c>
      <c r="IB40" s="450" t="str">
        <f t="shared" si="139"/>
        <v/>
      </c>
      <c r="IC40" s="450" t="str">
        <f t="shared" si="140"/>
        <v/>
      </c>
      <c r="ID40" s="450" t="str">
        <f t="shared" si="141"/>
        <v/>
      </c>
      <c r="IE40" s="450" t="str">
        <f t="shared" si="142"/>
        <v/>
      </c>
      <c r="IF40" s="450" t="str">
        <f t="shared" si="143"/>
        <v/>
      </c>
      <c r="IG40" s="450" t="str">
        <f t="shared" si="144"/>
        <v/>
      </c>
      <c r="IH40" s="658" t="str">
        <f t="shared" si="145"/>
        <v/>
      </c>
      <c r="II40" s="242"/>
    </row>
    <row r="41" spans="1:243" ht="15.75" customHeight="1" thickBot="1">
      <c r="A41" s="49">
        <f t="shared" ca="1" si="167"/>
        <v>32</v>
      </c>
      <c r="B41" s="86" t="str">
        <f>IF(OptControl&gt;2,"","Fence")</f>
        <v>Fence</v>
      </c>
      <c r="C41" s="94" t="e">
        <f ca="1">IF(OptControl&gt;2,"",C38-C39)</f>
        <v>#NAME?</v>
      </c>
      <c r="D41" s="94" t="e">
        <f ca="1">IF(OptControl&gt;2,"",D38-D39)</f>
        <v>#NAME?</v>
      </c>
      <c r="E41" s="94" t="e">
        <f ca="1">IF(OptControl&gt;2,"",E38-E39)</f>
        <v>#NAME?</v>
      </c>
      <c r="F41" s="688" t="e">
        <f ca="1">IF(OptControl&gt;2,"",F38-F39)</f>
        <v>#NAME?</v>
      </c>
      <c r="G41" s="774">
        <f ca="1">SUMPRODUCT(CHOOSE(Underlying,L19:L258,R19:R258),BD19:BD258,AP19:AP258)/E32</f>
        <v>26.699724540024874</v>
      </c>
      <c r="H41" s="49" t="e">
        <f t="shared" ca="1" si="34"/>
        <v>#N/A</v>
      </c>
      <c r="I41" s="369">
        <f t="shared" si="35"/>
        <v>37653</v>
      </c>
      <c r="J41" s="367">
        <v>23.54</v>
      </c>
      <c r="K41" s="101" t="s">
        <v>487</v>
      </c>
      <c r="L41" s="382">
        <f t="shared" si="36"/>
        <v>23.54</v>
      </c>
      <c r="M41" s="163">
        <v>0.25136991805607001</v>
      </c>
      <c r="N41" s="372">
        <v>0</v>
      </c>
      <c r="O41" s="163">
        <f t="shared" si="37"/>
        <v>0.25136991805607001</v>
      </c>
      <c r="P41" s="367">
        <v>22.3066666666667</v>
      </c>
      <c r="Q41" s="101" t="s">
        <v>268</v>
      </c>
      <c r="R41" s="367">
        <f t="shared" ca="1" si="147"/>
        <v>22.306666666666668</v>
      </c>
      <c r="S41" s="814">
        <f t="shared" si="163"/>
        <v>0.3808953468798616</v>
      </c>
      <c r="T41" s="813">
        <f t="shared" si="148"/>
        <v>0.99140414199480897</v>
      </c>
      <c r="U41" s="532">
        <f t="shared" si="149"/>
        <v>0.99996432386568701</v>
      </c>
      <c r="V41" s="379">
        <v>0</v>
      </c>
      <c r="W41" s="424">
        <f t="shared" si="150"/>
        <v>23.363999999999997</v>
      </c>
      <c r="X41" s="405">
        <f t="shared" si="38"/>
        <v>23.363999999999997</v>
      </c>
      <c r="Y41" s="313">
        <f t="shared" si="39"/>
        <v>22.066666666666652</v>
      </c>
      <c r="Z41" s="313">
        <f t="shared" ca="1" si="40"/>
        <v>22.06666666666667</v>
      </c>
      <c r="AA41" s="419">
        <f t="shared" si="1"/>
        <v>1.297333333333345</v>
      </c>
      <c r="AB41" s="423">
        <f t="shared" ca="1" si="2"/>
        <v>1.2973333333333272</v>
      </c>
      <c r="AC41" s="218">
        <v>37641</v>
      </c>
      <c r="AD41" s="221">
        <v>37637</v>
      </c>
      <c r="AE41" s="219">
        <v>37636</v>
      </c>
      <c r="AF41" s="220">
        <v>37632</v>
      </c>
      <c r="AG41" s="241" t="s">
        <v>496</v>
      </c>
      <c r="AH41" s="239" t="s">
        <v>90</v>
      </c>
      <c r="AI41" s="141">
        <v>20</v>
      </c>
      <c r="AJ41" s="41">
        <v>14</v>
      </c>
      <c r="AK41" s="41">
        <v>6</v>
      </c>
      <c r="AL41" s="285">
        <v>20</v>
      </c>
      <c r="AM41" s="41">
        <v>10</v>
      </c>
      <c r="AN41" s="142">
        <v>10</v>
      </c>
      <c r="AO41" s="364">
        <v>4.62537524344366E-2</v>
      </c>
      <c r="AP41" s="145">
        <f t="shared" ca="1" si="41"/>
        <v>0.91724224886926919</v>
      </c>
      <c r="AQ41" s="364">
        <v>4.0609261677271302E-2</v>
      </c>
      <c r="AR41" s="145">
        <f t="shared" ca="1" si="151"/>
        <v>0.93126234714533329</v>
      </c>
      <c r="AS41" s="264">
        <f t="shared" si="3"/>
        <v>0.24632126187254705</v>
      </c>
      <c r="AT41" s="149">
        <f t="shared" si="42"/>
        <v>0.25136991805607001</v>
      </c>
      <c r="AU41" s="149">
        <f t="shared" si="4"/>
        <v>0.24581855887610499</v>
      </c>
      <c r="AV41" s="263">
        <f t="shared" ca="1" si="164"/>
        <v>0.24303399993508004</v>
      </c>
      <c r="AW41" s="150">
        <f t="shared" ca="1" si="5"/>
        <v>3</v>
      </c>
      <c r="AX41" s="149">
        <f t="shared" ca="1" si="152"/>
        <v>4.8563765660879173E-2</v>
      </c>
      <c r="AY41" s="149">
        <f t="shared" ca="1" si="153"/>
        <v>2.7113107096811414E-2</v>
      </c>
      <c r="AZ41" s="149">
        <f t="shared" ca="1" si="154"/>
        <v>1.222299595792271E-2</v>
      </c>
      <c r="BA41" s="149">
        <f t="shared" ca="1" si="155"/>
        <v>1.0000000000000002E-4</v>
      </c>
      <c r="BB41" s="149">
        <f t="shared" ca="1" si="156"/>
        <v>1.0000000000000002E-4</v>
      </c>
      <c r="BC41" s="149">
        <f t="shared" ca="1" si="157"/>
        <v>1.0000000000000002E-4</v>
      </c>
      <c r="BD41" s="143">
        <f t="shared" ca="1" si="43"/>
        <v>0</v>
      </c>
      <c r="BE41" s="144">
        <f t="shared" ca="1" si="44"/>
        <v>0</v>
      </c>
      <c r="BF41" s="40">
        <f t="shared" si="7"/>
        <v>2003</v>
      </c>
      <c r="BG41" s="139">
        <f t="shared" si="8"/>
        <v>2</v>
      </c>
      <c r="BH41" s="140">
        <f t="shared" ca="1" si="45"/>
        <v>647</v>
      </c>
      <c r="BI41" s="304">
        <f t="shared" ca="1" si="46"/>
        <v>1.8151950718685832</v>
      </c>
      <c r="BJ41" s="42">
        <f t="shared" ca="1" si="47"/>
        <v>1.8669404517453798</v>
      </c>
      <c r="BK41" s="42">
        <f t="shared" ca="1" si="9"/>
        <v>1.8696783025325119</v>
      </c>
      <c r="BL41" s="42">
        <f t="shared" ca="1" si="48"/>
        <v>1.8891170431211499</v>
      </c>
      <c r="BM41" s="285">
        <f t="shared" si="49"/>
        <v>20</v>
      </c>
      <c r="BN41" s="41">
        <f t="shared" si="50"/>
        <v>14</v>
      </c>
      <c r="BO41" s="41">
        <f t="shared" si="51"/>
        <v>6</v>
      </c>
      <c r="BP41" s="297" t="str">
        <f t="shared" ca="1" si="10"/>
        <v/>
      </c>
      <c r="BQ41" s="297" t="str">
        <f t="shared" ca="1" si="11"/>
        <v/>
      </c>
      <c r="BR41" s="299" t="str">
        <f t="shared" ca="1" si="12"/>
        <v/>
      </c>
      <c r="BS41" s="153" t="str">
        <f t="shared" ca="1" si="13"/>
        <v/>
      </c>
      <c r="BT41" s="153" t="str">
        <f t="shared" ca="1" si="14"/>
        <v/>
      </c>
      <c r="BU41" s="300" t="str">
        <f t="shared" ca="1" si="15"/>
        <v/>
      </c>
      <c r="BV41" s="301" t="str">
        <f t="shared" ca="1" si="16"/>
        <v/>
      </c>
      <c r="BW41" s="300" t="str">
        <f t="shared" ca="1" si="17"/>
        <v/>
      </c>
      <c r="BX41" s="301" t="str">
        <f t="shared" ca="1" si="18"/>
        <v/>
      </c>
      <c r="BY41" s="146" t="str">
        <f t="shared" ca="1" si="19"/>
        <v/>
      </c>
      <c r="BZ41" s="146" t="str">
        <f t="shared" ca="1" si="20"/>
        <v/>
      </c>
      <c r="CA41" s="146" t="str">
        <f t="shared" ca="1" si="21"/>
        <v/>
      </c>
      <c r="CB41" s="146" t="str">
        <f t="shared" ca="1" si="22"/>
        <v/>
      </c>
      <c r="CC41" s="302">
        <v>1</v>
      </c>
      <c r="CD41" s="154">
        <f ca="1">IF(BD41,_xll.xCrudeAPO(BS41,BT41,BY41,BZ41,S42,S43,BI41,BL41,BN41,BO41,0,Strike1,AO41,CC41,0,BL41,IF(OptControl=4,0,1),0,1),0)</f>
        <v>0</v>
      </c>
      <c r="CE41" s="155">
        <f ca="1">IF(BD41,_xll.xCrudeAPO(BS41,BT41,BY41,BZ41,S42,S43,BI41,BL41,BN41,BO41,0,Strike1,AO41,CC41,0,BL41,IF(OptControl=4,0,1),1,1)+_xll.xCrudeAPO(BS41,BT41,BY41,BZ41,S42,S43,BI41,BL41,BN41,BO41,0,Strike1,AO41,CC41,0,BL41,IF(OptControl=4,0,1),1,2)+IF(OR(VolSkewFlag=2,ABS(BQ41)&lt;0.0001),0,IF(BQ41&gt;0,-1,1)*CF41*Strike1/BP41^2*BW41/10%),0)</f>
        <v>0</v>
      </c>
      <c r="CF41" s="155">
        <f ca="1">IF(BD41,(_xll.xCrudeAPO(BS41,BT41,BY41,BZ41,S42,S43,BI41,BL41,BN41,BO41,0,Strike1,AO41,CC41,0,BL41,IF(OptControl=4,0,1),3,1)+_xll.xCrudeAPO(BS41,BT41,BY41,BZ41,S42,S43,BI41,BL41,BN41,BO41,0,Strike1,AO41,CC41,0,BL41,IF(OptControl=4,0,1),3,2))/100,0)</f>
        <v>0</v>
      </c>
      <c r="CG41" s="155">
        <f ca="1">IF(BD41,_xll.xCrudeAPO(BS41,BT41,BY41,BZ41,S42,S43,BI41-DaysForThetaCalculation/365.25,BL41-DaysForThetaCalculation/365.25,BN41,BO41,0,Strike1,AO41,CC41,0,BL41,IF(OptControl=4,0,1),0,1)-_xll.xCrudeAPO(BS41,BT41,BY41,BZ41,S42,S43,BI41,BL41,BN41,BO41,0,Strike1,AO41,CC41,0,BL41,IF(OptControl=4,0,1),0,1),0)</f>
        <v>0</v>
      </c>
      <c r="CH41" s="303">
        <f ca="1">IF(BD41,_xll.xCrudeAPO(BS41,BT41,CA41,CB41,S42,S43,BI41,BL41,BN41,BO41,0,Strike2,AO41,CC41,0,BL41,IF(OptControl=3,1,0),0,1),0)</f>
        <v>0</v>
      </c>
      <c r="CI41" s="155">
        <f ca="1">IF(BD41,_xll.xCrudeAPO(BS41,BT41,CA41,CB41,S42,S43,BI41,BL41,BN41,BO41,0,Strike2,AO41,CC41,0,BL41,IF(OptControl=3,1,0),1,1)+_xll.xCrudeAPO(BS41,BT41,CA41,CB41,S42,S43,BI41,BL41,BN41,BO41,0,Strike2,AO41,CC41,0,BL41,IF(OptControl=3,1,0),1,2)+IF(OR(VolSkewFlag=2,ABS(BR41)&lt;0.0001),0,IF(BR41&gt;0,-1,1)*CJ41*Strike2/BP41^2*BX41/10%),0)</f>
        <v>0</v>
      </c>
      <c r="CJ41" s="155">
        <f ca="1">IF(BD41,(_xll.xCrudeAPO(BS41,BT41,CA41,CB41,S42,S43,BI41,BL41,BN41,BO41,0,Strike2,AO41,CC41,0,BL41,IF(OptControl=3,1,0),3,1)+_xll.xCrudeAPO(BS41,BT41,CA41,CB41,S42,S43,BI41,BL41,BN41,BO41,0,Strike2,AO41,CC41,0,BL41,IF(OptControl=3,1,0),3,2))/100,0)</f>
        <v>0</v>
      </c>
      <c r="CK41" s="156">
        <f ca="1">IF(BD41,_xll.xCrudeAPO(BS41,BT41,CA41,CB41,S42,S43,BI41-DaysForThetaCalculation/365.25,BL41-DaysForThetaCalculation/365.25,BN41,BO41,0,Strike2,AO41,CC41,0,BL41,IF(OptControl=3,1,0),0,1)-_xll.xCrudeAPO(BS41,BT41,CA41,CB41,S42,S43,BI41,BL41,BN41,BO41,0,Strike2,AO41,CC41,0,BL41,IF(OptControl=3,1,0),0,1),0)</f>
        <v>0</v>
      </c>
      <c r="CM41" s="779" t="str">
        <f t="shared" ca="1" si="52"/>
        <v/>
      </c>
      <c r="CN41" s="783" t="str">
        <f t="shared" ca="1" si="53"/>
        <v/>
      </c>
      <c r="CO41" s="780" t="str">
        <f t="shared" ca="1" si="54"/>
        <v/>
      </c>
      <c r="CP41" s="780" t="str">
        <f t="shared" ca="1" si="55"/>
        <v/>
      </c>
      <c r="CQ41" s="780" t="str">
        <f t="shared" ca="1" si="56"/>
        <v/>
      </c>
      <c r="CR41" s="780" t="str">
        <f t="shared" ca="1" si="57"/>
        <v/>
      </c>
      <c r="CS41" s="781" t="str">
        <f t="shared" ca="1" si="58"/>
        <v/>
      </c>
      <c r="CT41" s="782" t="str">
        <f t="shared" ca="1" si="59"/>
        <v/>
      </c>
      <c r="CU41" s="782" t="str">
        <f t="shared" ca="1" si="60"/>
        <v/>
      </c>
      <c r="CV41" s="155">
        <f ca="1">IF(BD41,_xll.EURO(CN41,Strike1,AO41,AO41,CT41,CM41,IF(OptControl=4,0,1),0),0)</f>
        <v>0</v>
      </c>
      <c r="CW41" s="155">
        <f ca="1">IF(BD41,_xll.EURO(CN41,Strike1,AO41,AO41,CT41,CM41,IF(OptControl=4,0,1),1)+IF(OR(VolSkewFlag=2,ABS(CO41)&lt;0.0001),0,IF(CO41&gt;0,-1,1)*CX41*100*Strike1/CN41^2*CQ41/10%),0)</f>
        <v>0</v>
      </c>
      <c r="CX41" s="155">
        <f ca="1">IF(BD41,_xll.EURO(CN41,Strike1,AO41,AO41,CT41,CM41,IF(OptControl=4,0,1),3)/100,0)</f>
        <v>0</v>
      </c>
      <c r="CY41" s="155">
        <f ca="1">IF(BD41,_xll.EURO(CN41,Strike1,AO41,AO41,CT41,CM41,IF(OptControl=4,0,1),0)-_xll.EURO(CN41,Strike1,AO41,AO41,CT41,CM41-1,IF(OptControl=4,0,1),0),0)</f>
        <v>0</v>
      </c>
      <c r="CZ41" s="155">
        <f ca="1">IF(BD41,_xll.EURO(CN41,Strike2,AO41,AO41,CU41,CM41,IF(OptControl=3,1,0),0),0)</f>
        <v>0</v>
      </c>
      <c r="DA41" s="155">
        <f ca="1">IF(BD41,_xll.EURO(CN41,Strike2,AO41,AO41,CU41,CM41,IF(OptControl=3,1,0),1)+IF(OR(VolSkewFlag=2,ABS(CP41)&lt;0.0001),0,IF(CP41&gt;0,-1,1)*DB41*100*Strike2/CN41^2*CR41/10%),0)</f>
        <v>0</v>
      </c>
      <c r="DB41" s="155">
        <f ca="1">IF(BD41,_xll.EURO(CN41,Strike2,AO41,AO41,CU41,CM41,IF(OptControl=3,1,0),3)/100,0)</f>
        <v>0</v>
      </c>
      <c r="DC41" s="156">
        <f ca="1">IF(BD41,_xll.EURO(CN41,Strike2,AO41,AO41,CU41,CM41,IF(OptControl=3,1,0),0)-_xll.EURO(CN41,Strike2,AO41,AO41,CU41,CM41-1,IF(OptControl=3,1,0),0),0)</f>
        <v>0</v>
      </c>
      <c r="DD41" s="53"/>
      <c r="DE41" s="651">
        <f t="shared" ca="1" si="61"/>
        <v>37561</v>
      </c>
      <c r="DF41" s="465">
        <v>1E-4</v>
      </c>
      <c r="DG41" s="649">
        <v>1E-4</v>
      </c>
      <c r="DH41" s="650">
        <f t="shared" ca="1" si="23"/>
        <v>37561</v>
      </c>
      <c r="DI41" s="465">
        <v>1E-4</v>
      </c>
      <c r="DJ41" s="649">
        <v>1E-4</v>
      </c>
      <c r="DK41" s="651">
        <f t="shared" ca="1" si="24"/>
        <v>37561</v>
      </c>
      <c r="DL41" s="652">
        <f t="shared" si="25"/>
        <v>5.0100000000000006E-2</v>
      </c>
      <c r="DM41" s="651">
        <f t="shared" ca="1" si="62"/>
        <v>37561</v>
      </c>
      <c r="DN41" s="563">
        <f t="shared" si="63"/>
        <v>-4.99E-2</v>
      </c>
      <c r="DO41" s="803">
        <v>-0.05</v>
      </c>
      <c r="DP41" s="650">
        <f t="shared" ca="1" si="26"/>
        <v>37561</v>
      </c>
      <c r="DQ41" s="653">
        <v>1E-4</v>
      </c>
      <c r="DR41" s="590">
        <v>1E-4</v>
      </c>
      <c r="DS41" s="650">
        <f t="shared" ca="1" si="27"/>
        <v>37561</v>
      </c>
      <c r="DT41" s="653">
        <v>1E-4</v>
      </c>
      <c r="DU41" s="590">
        <v>1E-4</v>
      </c>
      <c r="DV41" s="651">
        <f t="shared" ca="1" si="28"/>
        <v>37561</v>
      </c>
      <c r="DW41" s="590">
        <v>1E-4</v>
      </c>
      <c r="DX41" s="651">
        <f t="shared" ca="1" si="64"/>
        <v>37561</v>
      </c>
      <c r="DY41" s="590">
        <f t="shared" si="65"/>
        <v>1E-4</v>
      </c>
      <c r="DZ41" s="1"/>
      <c r="EA41" s="863" t="e">
        <f ca="1">_xll.ASN(X41,X41,AO41,AS41,0,AI41,0,BI41,BL41,1,0)</f>
        <v>#NAME?</v>
      </c>
      <c r="EB41" s="653" t="e">
        <f ca="1">_xll.ASN(X41,X41,AO41,AS41,0,AI41,0,BI41,BL41,1,3)/100</f>
        <v>#NAME?</v>
      </c>
      <c r="EC41" s="653" t="e">
        <f ca="1">_xll.xCrudeAPO(L42,L43,O42,O43,S42,S43,BI41,BL41,AJ41,AK41,0,X41,AO41,1,0,+BL41,1,0,1)</f>
        <v>#NAME?</v>
      </c>
      <c r="ED41" s="869" t="e">
        <f t="shared" ca="1" si="165"/>
        <v>#NAME?</v>
      </c>
      <c r="EE41" s="863" t="e">
        <f t="shared" ca="1" si="29"/>
        <v>#NAME?</v>
      </c>
      <c r="EF41" s="590" t="e">
        <f t="shared" ca="1" si="30"/>
        <v>#NAME?</v>
      </c>
      <c r="EG41" s="862" t="str">
        <f t="shared" ca="1" si="31"/>
        <v/>
      </c>
      <c r="EH41" s="114" t="str">
        <f t="shared" ca="1" si="32"/>
        <v/>
      </c>
      <c r="EI41" s="109" t="str">
        <f t="shared" ca="1" si="33"/>
        <v/>
      </c>
      <c r="EJ41" s="115">
        <f ca="1">IF(BD41,_xll.xASN(BP41,Strike1,AO41,EH41,0,BM41,0,BI41,BL41,IF(OptControl=4,0,1),0),0)</f>
        <v>0</v>
      </c>
      <c r="EK41" s="108">
        <f ca="1">IF(BD41,_xll.xASN(BP41,Strike2,AO41,EI41,0,BM41,0,BI41,BL41,IF(OptControl=3,1,0),0),0)</f>
        <v>0</v>
      </c>
      <c r="EM41" s="473" t="e">
        <f>[1]!'CLc22 MTH'</f>
        <v>#REF!</v>
      </c>
      <c r="EN41" s="474" t="e">
        <f t="shared" si="158"/>
        <v>#REF!</v>
      </c>
      <c r="EO41" s="475" t="e">
        <f>[1]!'CLc22 NET.CHNG'</f>
        <v>#REF!</v>
      </c>
      <c r="EP41" s="476">
        <f t="shared" si="159"/>
        <v>0</v>
      </c>
      <c r="EQ41" s="1"/>
      <c r="ER41" s="681">
        <v>38346</v>
      </c>
      <c r="ES41" s="682">
        <v>40537</v>
      </c>
      <c r="ET41" s="1"/>
      <c r="EU41" s="667" t="s">
        <v>145</v>
      </c>
      <c r="EW41" s="488">
        <v>22</v>
      </c>
      <c r="EX41" s="466">
        <f t="shared" ca="1" si="166"/>
        <v>1.7713894592744694</v>
      </c>
      <c r="EY41" s="824">
        <f t="shared" ca="1" si="66"/>
        <v>0.11192849473011481</v>
      </c>
      <c r="EZ41" s="798">
        <f t="shared" ca="1" si="160"/>
        <v>0.25031069401987188</v>
      </c>
      <c r="FA41" s="468" t="str">
        <f t="shared" ca="1" si="161"/>
        <v/>
      </c>
      <c r="FB41" s="467" t="str">
        <f t="shared" ca="1" si="162"/>
        <v/>
      </c>
      <c r="FC41" s="242">
        <v>0</v>
      </c>
      <c r="FD41" s="589" t="str">
        <f ca="1">IF(OR(FA41="",FA42=""),"",SQRT(SUM(INDEX(FO41:IH41,SwaptionFirstMonthPosition+1):INDEX(FO41:IH41,FN41))/SUM(INDEX($FO$15:$IH$15,SwaptionFirstMonthPosition+1):INDEX($FO$15:$IH$15,FN41))))</f>
        <v/>
      </c>
      <c r="FE41" s="565" t="str">
        <f ca="1">IF(OR(FA41="",FA40=""),"",SQRT(SUM(INDEX(FO41:IH41,SwaptionFirstMonthPosition+1):INDEX(FO41:IH41,FN41-1))/SUM(INDEX($FO$15:$IH$15,SwaptionFirstMonthPosition+1):INDEX($FO$15:$IH$15,FN41-1))))</f>
        <v/>
      </c>
      <c r="FF41" s="562" t="str">
        <f t="shared" ca="1" si="67"/>
        <v/>
      </c>
      <c r="FG41" s="593" t="str">
        <f t="shared" ca="1" si="68"/>
        <v/>
      </c>
      <c r="FH41" s="563" t="str">
        <f t="shared" ca="1" si="69"/>
        <v/>
      </c>
      <c r="FI41" s="563" t="str">
        <f t="shared" ca="1" si="70"/>
        <v/>
      </c>
      <c r="FJ41" s="563" t="str">
        <f t="shared" ca="1" si="71"/>
        <v/>
      </c>
      <c r="FK41" s="564" t="str">
        <f t="shared" ca="1" si="72"/>
        <v/>
      </c>
      <c r="FL41" s="590" t="str">
        <f t="shared" ca="1" si="73"/>
        <v/>
      </c>
      <c r="FM41" s="242"/>
      <c r="FN41" s="657">
        <v>22</v>
      </c>
      <c r="FO41" s="450">
        <f t="shared" ca="1" si="74"/>
        <v>7.7495308686658683E-4</v>
      </c>
      <c r="FP41" s="450">
        <f t="shared" ca="1" si="75"/>
        <v>2.9605874576522119E-3</v>
      </c>
      <c r="FQ41" s="450">
        <f t="shared" ca="1" si="76"/>
        <v>2.9160670570089419E-3</v>
      </c>
      <c r="FR41" s="450">
        <f t="shared" ca="1" si="77"/>
        <v>3.286570468813854E-3</v>
      </c>
      <c r="FS41" s="450">
        <f t="shared" ca="1" si="78"/>
        <v>3.1555625349082741E-3</v>
      </c>
      <c r="FT41" s="450">
        <f t="shared" ca="1" si="79"/>
        <v>3.4575588519133111E-3</v>
      </c>
      <c r="FU41" s="450">
        <f t="shared" ca="1" si="80"/>
        <v>3.3408303272761098E-3</v>
      </c>
      <c r="FV41" s="450">
        <f t="shared" ca="1" si="81"/>
        <v>3.2256689919502191E-3</v>
      </c>
      <c r="FW41" s="450">
        <f t="shared" ca="1" si="82"/>
        <v>3.5901449677197095E-3</v>
      </c>
      <c r="FX41" s="450">
        <f t="shared" ca="1" si="83"/>
        <v>4.1213701477188554E-3</v>
      </c>
      <c r="FY41" s="450">
        <f t="shared" ca="1" si="84"/>
        <v>3.7992989222656801E-3</v>
      </c>
      <c r="FZ41" s="450">
        <f t="shared" ca="1" si="85"/>
        <v>4.0085148238569361E-3</v>
      </c>
      <c r="GA41" s="450">
        <f t="shared" ca="1" si="86"/>
        <v>4.8436810584795769E-3</v>
      </c>
      <c r="GB41" s="450">
        <f t="shared" ca="1" si="87"/>
        <v>4.5526313911310552E-3</v>
      </c>
      <c r="GC41" s="450">
        <f t="shared" ca="1" si="88"/>
        <v>5.4164776458439853E-3</v>
      </c>
      <c r="GD41" s="450">
        <f t="shared" ca="1" si="89"/>
        <v>5.5247328678595742E-3</v>
      </c>
      <c r="GE41" s="450">
        <f t="shared" ca="1" si="90"/>
        <v>5.8695922754242111E-3</v>
      </c>
      <c r="GF41" s="450">
        <f t="shared" ca="1" si="91"/>
        <v>7.4247306168873442E-3</v>
      </c>
      <c r="GG41" s="450">
        <f t="shared" ca="1" si="92"/>
        <v>7.599686255106165E-3</v>
      </c>
      <c r="GH41" s="450">
        <f t="shared" ca="1" si="93"/>
        <v>8.3913281591810364E-3</v>
      </c>
      <c r="GI41" s="450">
        <f t="shared" ca="1" si="94"/>
        <v>1.041366780006981E-2</v>
      </c>
      <c r="GJ41" s="450">
        <f t="shared" ca="1" si="95"/>
        <v>1.2313536546246749E-2</v>
      </c>
      <c r="GK41" s="450" t="str">
        <f t="shared" si="96"/>
        <v/>
      </c>
      <c r="GL41" s="450" t="str">
        <f t="shared" si="97"/>
        <v/>
      </c>
      <c r="GM41" s="450" t="str">
        <f t="shared" si="98"/>
        <v/>
      </c>
      <c r="GN41" s="450" t="str">
        <f t="shared" si="99"/>
        <v/>
      </c>
      <c r="GO41" s="450" t="str">
        <f t="shared" si="100"/>
        <v/>
      </c>
      <c r="GP41" s="450" t="str">
        <f t="shared" si="101"/>
        <v/>
      </c>
      <c r="GQ41" s="450" t="str">
        <f t="shared" si="102"/>
        <v/>
      </c>
      <c r="GR41" s="450" t="str">
        <f t="shared" si="103"/>
        <v/>
      </c>
      <c r="GS41" s="450" t="str">
        <f t="shared" si="104"/>
        <v/>
      </c>
      <c r="GT41" s="450" t="str">
        <f t="shared" si="105"/>
        <v/>
      </c>
      <c r="GU41" s="450" t="str">
        <f t="shared" si="106"/>
        <v/>
      </c>
      <c r="GV41" s="450" t="str">
        <f t="shared" si="107"/>
        <v/>
      </c>
      <c r="GW41" s="450" t="str">
        <f t="shared" si="108"/>
        <v/>
      </c>
      <c r="GX41" s="450" t="str">
        <f t="shared" si="109"/>
        <v/>
      </c>
      <c r="GY41" s="450" t="str">
        <f t="shared" si="110"/>
        <v/>
      </c>
      <c r="GZ41" s="450" t="str">
        <f t="shared" si="111"/>
        <v/>
      </c>
      <c r="HA41" s="450" t="str">
        <f t="shared" si="112"/>
        <v/>
      </c>
      <c r="HB41" s="450" t="str">
        <f t="shared" si="113"/>
        <v/>
      </c>
      <c r="HC41" s="450" t="str">
        <f t="shared" si="114"/>
        <v/>
      </c>
      <c r="HD41" s="450" t="str">
        <f t="shared" si="115"/>
        <v/>
      </c>
      <c r="HE41" s="450" t="str">
        <f t="shared" si="116"/>
        <v/>
      </c>
      <c r="HF41" s="450" t="str">
        <f t="shared" si="117"/>
        <v/>
      </c>
      <c r="HG41" s="450" t="str">
        <f t="shared" si="118"/>
        <v/>
      </c>
      <c r="HH41" s="450" t="str">
        <f t="shared" si="119"/>
        <v/>
      </c>
      <c r="HI41" s="450" t="str">
        <f t="shared" si="120"/>
        <v/>
      </c>
      <c r="HJ41" s="450" t="str">
        <f t="shared" si="121"/>
        <v/>
      </c>
      <c r="HK41" s="450" t="str">
        <f t="shared" si="122"/>
        <v/>
      </c>
      <c r="HL41" s="450" t="str">
        <f t="shared" si="123"/>
        <v/>
      </c>
      <c r="HM41" s="450" t="str">
        <f t="shared" si="124"/>
        <v/>
      </c>
      <c r="HN41" s="450" t="str">
        <f t="shared" si="125"/>
        <v/>
      </c>
      <c r="HO41" s="450" t="str">
        <f t="shared" si="126"/>
        <v/>
      </c>
      <c r="HP41" s="450" t="str">
        <f t="shared" si="127"/>
        <v/>
      </c>
      <c r="HQ41" s="450" t="str">
        <f t="shared" si="128"/>
        <v/>
      </c>
      <c r="HR41" s="450" t="str">
        <f t="shared" si="129"/>
        <v/>
      </c>
      <c r="HS41" s="450" t="str">
        <f t="shared" si="130"/>
        <v/>
      </c>
      <c r="HT41" s="450" t="str">
        <f t="shared" si="131"/>
        <v/>
      </c>
      <c r="HU41" s="450" t="str">
        <f t="shared" si="132"/>
        <v/>
      </c>
      <c r="HV41" s="450" t="str">
        <f t="shared" si="133"/>
        <v/>
      </c>
      <c r="HW41" s="450" t="str">
        <f t="shared" si="134"/>
        <v/>
      </c>
      <c r="HX41" s="450" t="str">
        <f t="shared" si="135"/>
        <v/>
      </c>
      <c r="HY41" s="450" t="str">
        <f t="shared" si="136"/>
        <v/>
      </c>
      <c r="HZ41" s="450" t="str">
        <f t="shared" si="137"/>
        <v/>
      </c>
      <c r="IA41" s="450" t="str">
        <f t="shared" si="138"/>
        <v/>
      </c>
      <c r="IB41" s="450" t="str">
        <f t="shared" si="139"/>
        <v/>
      </c>
      <c r="IC41" s="450" t="str">
        <f t="shared" si="140"/>
        <v/>
      </c>
      <c r="ID41" s="450" t="str">
        <f t="shared" si="141"/>
        <v/>
      </c>
      <c r="IE41" s="450" t="str">
        <f t="shared" si="142"/>
        <v/>
      </c>
      <c r="IF41" s="450" t="str">
        <f t="shared" si="143"/>
        <v/>
      </c>
      <c r="IG41" s="450" t="str">
        <f t="shared" si="144"/>
        <v/>
      </c>
      <c r="IH41" s="658" t="str">
        <f t="shared" si="145"/>
        <v/>
      </c>
      <c r="II41" s="242"/>
    </row>
    <row r="42" spans="1:243" ht="15.75" customHeight="1" thickBot="1">
      <c r="A42" s="49">
        <f t="shared" ca="1" si="167"/>
        <v>44</v>
      </c>
      <c r="B42" s="355" t="s">
        <v>161</v>
      </c>
      <c r="C42" s="354"/>
      <c r="D42" s="354"/>
      <c r="E42" s="354"/>
      <c r="F42" s="354"/>
      <c r="G42" s="354"/>
      <c r="H42" s="49" t="e">
        <f t="shared" ca="1" si="34"/>
        <v>#N/A</v>
      </c>
      <c r="I42" s="369">
        <f t="shared" si="35"/>
        <v>37681</v>
      </c>
      <c r="J42" s="367">
        <v>23.4</v>
      </c>
      <c r="K42" s="101" t="s">
        <v>487</v>
      </c>
      <c r="L42" s="382">
        <f t="shared" si="36"/>
        <v>23.4</v>
      </c>
      <c r="M42" s="163">
        <v>0.24707531636721</v>
      </c>
      <c r="N42" s="372">
        <v>0</v>
      </c>
      <c r="O42" s="163">
        <f t="shared" si="37"/>
        <v>0.24707531636721</v>
      </c>
      <c r="P42" s="367">
        <v>22.14</v>
      </c>
      <c r="Q42" s="101" t="s">
        <v>487</v>
      </c>
      <c r="R42" s="367">
        <f t="shared" ca="1" si="147"/>
        <v>22.14</v>
      </c>
      <c r="S42" s="814">
        <f t="shared" si="163"/>
        <v>0.380486393411063</v>
      </c>
      <c r="T42" s="813">
        <f t="shared" si="148"/>
        <v>0.99226970616996091</v>
      </c>
      <c r="U42" s="532">
        <f t="shared" si="149"/>
        <v>0.99997324289926526</v>
      </c>
      <c r="V42" s="379">
        <v>0</v>
      </c>
      <c r="W42" s="424">
        <f t="shared" si="150"/>
        <v>23.243333333333332</v>
      </c>
      <c r="X42" s="405">
        <f t="shared" si="38"/>
        <v>23.243333333333332</v>
      </c>
      <c r="Y42" s="313">
        <f t="shared" si="39"/>
        <v>21.916507936507937</v>
      </c>
      <c r="Z42" s="313">
        <f t="shared" ca="1" si="40"/>
        <v>21.916507936507937</v>
      </c>
      <c r="AA42" s="419">
        <f t="shared" si="1"/>
        <v>1.3268253968253951</v>
      </c>
      <c r="AB42" s="423">
        <f t="shared" ca="1" si="2"/>
        <v>1.3268253968253951</v>
      </c>
      <c r="AC42" s="218">
        <v>37672</v>
      </c>
      <c r="AD42" s="221">
        <v>37668</v>
      </c>
      <c r="AE42" s="219">
        <v>37667</v>
      </c>
      <c r="AF42" s="220">
        <v>37663</v>
      </c>
      <c r="AG42" s="241" t="s">
        <v>496</v>
      </c>
      <c r="AH42" s="239" t="s">
        <v>496</v>
      </c>
      <c r="AI42" s="141">
        <v>21</v>
      </c>
      <c r="AJ42" s="41">
        <v>14</v>
      </c>
      <c r="AK42" s="41">
        <v>7</v>
      </c>
      <c r="AL42" s="285">
        <v>21</v>
      </c>
      <c r="AM42" s="41">
        <v>10</v>
      </c>
      <c r="AN42" s="142">
        <v>11</v>
      </c>
      <c r="AO42" s="364">
        <v>4.6511285541725102E-2</v>
      </c>
      <c r="AP42" s="145">
        <f t="shared" ca="1" si="41"/>
        <v>0.91323547616633816</v>
      </c>
      <c r="AQ42" s="364">
        <v>4.0773818474451003E-2</v>
      </c>
      <c r="AR42" s="145">
        <f t="shared" ca="1" si="151"/>
        <v>0.92781238250685605</v>
      </c>
      <c r="AS42" s="264">
        <f t="shared" si="3"/>
        <v>0.24369825720441002</v>
      </c>
      <c r="AT42" s="149">
        <f t="shared" si="42"/>
        <v>0.24707531636721</v>
      </c>
      <c r="AU42" s="149">
        <f t="shared" si="4"/>
        <v>0.24320480338693001</v>
      </c>
      <c r="AV42" s="263">
        <f t="shared" ca="1" si="164"/>
        <v>0.2388194332703388</v>
      </c>
      <c r="AW42" s="150">
        <f t="shared" ca="1" si="5"/>
        <v>3</v>
      </c>
      <c r="AX42" s="149">
        <f t="shared" ca="1" si="152"/>
        <v>4.7881531501267269E-2</v>
      </c>
      <c r="AY42" s="149">
        <f t="shared" ca="1" si="153"/>
        <v>2.6646602541770412E-2</v>
      </c>
      <c r="AZ42" s="149">
        <f t="shared" ca="1" si="154"/>
        <v>1.2077323396047158E-2</v>
      </c>
      <c r="BA42" s="149">
        <f t="shared" ca="1" si="155"/>
        <v>1.0000000000000007E-4</v>
      </c>
      <c r="BB42" s="149">
        <f t="shared" ca="1" si="156"/>
        <v>1.0000000000000007E-4</v>
      </c>
      <c r="BC42" s="149">
        <f t="shared" ca="1" si="157"/>
        <v>1.0000000000000007E-4</v>
      </c>
      <c r="BD42" s="143">
        <f t="shared" ca="1" si="43"/>
        <v>0</v>
      </c>
      <c r="BE42" s="144">
        <f t="shared" ca="1" si="44"/>
        <v>0</v>
      </c>
      <c r="BF42" s="40">
        <f t="shared" si="7"/>
        <v>2003</v>
      </c>
      <c r="BG42" s="139">
        <f t="shared" si="8"/>
        <v>3</v>
      </c>
      <c r="BH42" s="140">
        <f t="shared" ca="1" si="45"/>
        <v>678</v>
      </c>
      <c r="BI42" s="304">
        <f t="shared" ca="1" si="46"/>
        <v>1.891854893908282</v>
      </c>
      <c r="BJ42" s="42">
        <f t="shared" ca="1" si="47"/>
        <v>1.946611909650924</v>
      </c>
      <c r="BK42" s="42">
        <f t="shared" ca="1" si="9"/>
        <v>1.9493497604380561</v>
      </c>
      <c r="BL42" s="42">
        <f t="shared" ca="1" si="48"/>
        <v>1.9739904175222451</v>
      </c>
      <c r="BM42" s="285">
        <f t="shared" si="49"/>
        <v>21</v>
      </c>
      <c r="BN42" s="41">
        <f t="shared" si="50"/>
        <v>14</v>
      </c>
      <c r="BO42" s="41">
        <f t="shared" si="51"/>
        <v>7</v>
      </c>
      <c r="BP42" s="297" t="str">
        <f t="shared" ca="1" si="10"/>
        <v/>
      </c>
      <c r="BQ42" s="297" t="str">
        <f t="shared" ca="1" si="11"/>
        <v/>
      </c>
      <c r="BR42" s="299" t="str">
        <f t="shared" ca="1" si="12"/>
        <v/>
      </c>
      <c r="BS42" s="153" t="str">
        <f t="shared" ca="1" si="13"/>
        <v/>
      </c>
      <c r="BT42" s="153" t="str">
        <f t="shared" ca="1" si="14"/>
        <v/>
      </c>
      <c r="BU42" s="300" t="str">
        <f t="shared" ca="1" si="15"/>
        <v/>
      </c>
      <c r="BV42" s="301" t="str">
        <f t="shared" ca="1" si="16"/>
        <v/>
      </c>
      <c r="BW42" s="300" t="str">
        <f t="shared" ca="1" si="17"/>
        <v/>
      </c>
      <c r="BX42" s="301" t="str">
        <f t="shared" ca="1" si="18"/>
        <v/>
      </c>
      <c r="BY42" s="146" t="str">
        <f t="shared" ca="1" si="19"/>
        <v/>
      </c>
      <c r="BZ42" s="146" t="str">
        <f t="shared" ca="1" si="20"/>
        <v/>
      </c>
      <c r="CA42" s="146" t="str">
        <f t="shared" ca="1" si="21"/>
        <v/>
      </c>
      <c r="CB42" s="146" t="str">
        <f t="shared" ca="1" si="22"/>
        <v/>
      </c>
      <c r="CC42" s="302">
        <v>1</v>
      </c>
      <c r="CD42" s="154">
        <f ca="1">IF(BD42,_xll.xCrudeAPO(BS42,BT42,BY42,BZ42,S43,S44,BI42,BL42,BN42,BO42,0,Strike1,AO42,CC42,0,BL42,IF(OptControl=4,0,1),0,1),0)</f>
        <v>0</v>
      </c>
      <c r="CE42" s="155">
        <f ca="1">IF(BD42,_xll.xCrudeAPO(BS42,BT42,BY42,BZ42,S43,S44,BI42,BL42,BN42,BO42,0,Strike1,AO42,CC42,0,BL42,IF(OptControl=4,0,1),1,1)+_xll.xCrudeAPO(BS42,BT42,BY42,BZ42,S43,S44,BI42,BL42,BN42,BO42,0,Strike1,AO42,CC42,0,BL42,IF(OptControl=4,0,1),1,2)+IF(OR(VolSkewFlag=2,ABS(BQ42)&lt;0.0001),0,IF(BQ42&gt;0,-1,1)*CF42*Strike1/BP42^2*BW42/10%),0)</f>
        <v>0</v>
      </c>
      <c r="CF42" s="155">
        <f ca="1">IF(BD42,(_xll.xCrudeAPO(BS42,BT42,BY42,BZ42,S43,S44,BI42,BL42,BN42,BO42,0,Strike1,AO42,CC42,0,BL42,IF(OptControl=4,0,1),3,1)+_xll.xCrudeAPO(BS42,BT42,BY42,BZ42,S43,S44,BI42,BL42,BN42,BO42,0,Strike1,AO42,CC42,0,BL42,IF(OptControl=4,0,1),3,2))/100,0)</f>
        <v>0</v>
      </c>
      <c r="CG42" s="155">
        <f ca="1">IF(BD42,_xll.xCrudeAPO(BS42,BT42,BY42,BZ42,S43,S44,BI42-DaysForThetaCalculation/365.25,BL42-DaysForThetaCalculation/365.25,BN42,BO42,0,Strike1,AO42,CC42,0,BL42,IF(OptControl=4,0,1),0,1)-_xll.xCrudeAPO(BS42,BT42,BY42,BZ42,S43,S44,BI42,BL42,BN42,BO42,0,Strike1,AO42,CC42,0,BL42,IF(OptControl=4,0,1),0,1),0)</f>
        <v>0</v>
      </c>
      <c r="CH42" s="303">
        <f ca="1">IF(BD42,_xll.xCrudeAPO(BS42,BT42,CA42,CB42,S43,S44,BI42,BL42,BN42,BO42,0,Strike2,AO42,CC42,0,BL42,IF(OptControl=3,1,0),0,1),0)</f>
        <v>0</v>
      </c>
      <c r="CI42" s="155">
        <f ca="1">IF(BD42,_xll.xCrudeAPO(BS42,BT42,CA42,CB42,S43,S44,BI42,BL42,BN42,BO42,0,Strike2,AO42,CC42,0,BL42,IF(OptControl=3,1,0),1,1)+_xll.xCrudeAPO(BS42,BT42,CA42,CB42,S43,S44,BI42,BL42,BN42,BO42,0,Strike2,AO42,CC42,0,BL42,IF(OptControl=3,1,0),1,2)+IF(OR(VolSkewFlag=2,ABS(BR42)&lt;0.0001),0,IF(BR42&gt;0,-1,1)*CJ42*Strike2/BP42^2*BX42/10%),0)</f>
        <v>0</v>
      </c>
      <c r="CJ42" s="155">
        <f ca="1">IF(BD42,(_xll.xCrudeAPO(BS42,BT42,CA42,CB42,S43,S44,BI42,BL42,BN42,BO42,0,Strike2,AO42,CC42,0,BL42,IF(OptControl=3,1,0),3,1)+_xll.xCrudeAPO(BS42,BT42,CA42,CB42,S43,S44,BI42,BL42,BN42,BO42,0,Strike2,AO42,CC42,0,BL42,IF(OptControl=3,1,0),3,2))/100,0)</f>
        <v>0</v>
      </c>
      <c r="CK42" s="156">
        <f ca="1">IF(BD42,_xll.xCrudeAPO(BS42,BT42,CA42,CB42,S43,S44,BI42-DaysForThetaCalculation/365.25,BL42-DaysForThetaCalculation/365.25,BN42,BO42,0,Strike2,AO42,CC42,0,BL42,IF(OptControl=3,1,0),0,1)-_xll.xCrudeAPO(BS42,BT42,CA42,CB42,S43,S44,BI42,BL42,BN42,BO42,0,Strike2,AO42,CC42,0,BL42,IF(OptControl=3,1,0),0,1),0)</f>
        <v>0</v>
      </c>
      <c r="CM42" s="779" t="str">
        <f t="shared" ca="1" si="52"/>
        <v/>
      </c>
      <c r="CN42" s="783" t="str">
        <f t="shared" ca="1" si="53"/>
        <v/>
      </c>
      <c r="CO42" s="780" t="str">
        <f t="shared" ca="1" si="54"/>
        <v/>
      </c>
      <c r="CP42" s="780" t="str">
        <f t="shared" ca="1" si="55"/>
        <v/>
      </c>
      <c r="CQ42" s="780" t="str">
        <f t="shared" ca="1" si="56"/>
        <v/>
      </c>
      <c r="CR42" s="780" t="str">
        <f t="shared" ca="1" si="57"/>
        <v/>
      </c>
      <c r="CS42" s="781" t="str">
        <f t="shared" ca="1" si="58"/>
        <v/>
      </c>
      <c r="CT42" s="782" t="str">
        <f t="shared" ca="1" si="59"/>
        <v/>
      </c>
      <c r="CU42" s="782" t="str">
        <f t="shared" ca="1" si="60"/>
        <v/>
      </c>
      <c r="CV42" s="155">
        <f ca="1">IF(BD42,_xll.EURO(CN42,Strike1,AO42,AO42,CT42,CM42,IF(OptControl=4,0,1),0),0)</f>
        <v>0</v>
      </c>
      <c r="CW42" s="155">
        <f ca="1">IF(BD42,_xll.EURO(CN42,Strike1,AO42,AO42,CT42,CM42,IF(OptControl=4,0,1),1)+IF(OR(VolSkewFlag=2,ABS(CO42)&lt;0.0001),0,IF(CO42&gt;0,-1,1)*CX42*100*Strike1/CN42^2*CQ42/10%),0)</f>
        <v>0</v>
      </c>
      <c r="CX42" s="155">
        <f ca="1">IF(BD42,_xll.EURO(CN42,Strike1,AO42,AO42,CT42,CM42,IF(OptControl=4,0,1),3)/100,0)</f>
        <v>0</v>
      </c>
      <c r="CY42" s="155">
        <f ca="1">IF(BD42,_xll.EURO(CN42,Strike1,AO42,AO42,CT42,CM42,IF(OptControl=4,0,1),0)-_xll.EURO(CN42,Strike1,AO42,AO42,CT42,CM42-1,IF(OptControl=4,0,1),0),0)</f>
        <v>0</v>
      </c>
      <c r="CZ42" s="155">
        <f ca="1">IF(BD42,_xll.EURO(CN42,Strike2,AO42,AO42,CU42,CM42,IF(OptControl=3,1,0),0),0)</f>
        <v>0</v>
      </c>
      <c r="DA42" s="155">
        <f ca="1">IF(BD42,_xll.EURO(CN42,Strike2,AO42,AO42,CU42,CM42,IF(OptControl=3,1,0),1)+IF(OR(VolSkewFlag=2,ABS(CP42)&lt;0.0001),0,IF(CP42&gt;0,-1,1)*DB42*100*Strike2/CN42^2*CR42/10%),0)</f>
        <v>0</v>
      </c>
      <c r="DB42" s="155">
        <f ca="1">IF(BD42,_xll.EURO(CN42,Strike2,AO42,AO42,CU42,CM42,IF(OptControl=3,1,0),3)/100,0)</f>
        <v>0</v>
      </c>
      <c r="DC42" s="156">
        <f ca="1">IF(BD42,_xll.EURO(CN42,Strike2,AO42,AO42,CU42,CM42,IF(OptControl=3,1,0),0)-_xll.EURO(CN42,Strike2,AO42,AO42,CU42,CM42-1,IF(OptControl=3,1,0),0),0)</f>
        <v>0</v>
      </c>
      <c r="DD42" s="53"/>
      <c r="DE42" s="651">
        <f t="shared" ca="1" si="61"/>
        <v>37591</v>
      </c>
      <c r="DF42" s="465">
        <v>1E-4</v>
      </c>
      <c r="DG42" s="649">
        <v>1E-4</v>
      </c>
      <c r="DH42" s="650">
        <f t="shared" ca="1" si="23"/>
        <v>37591</v>
      </c>
      <c r="DI42" s="465">
        <v>1E-4</v>
      </c>
      <c r="DJ42" s="649">
        <v>1E-4</v>
      </c>
      <c r="DK42" s="651">
        <f t="shared" ca="1" si="24"/>
        <v>37591</v>
      </c>
      <c r="DL42" s="652">
        <f t="shared" si="25"/>
        <v>5.0100000000000006E-2</v>
      </c>
      <c r="DM42" s="651">
        <f t="shared" ca="1" si="62"/>
        <v>37591</v>
      </c>
      <c r="DN42" s="563">
        <f t="shared" si="63"/>
        <v>-4.99E-2</v>
      </c>
      <c r="DO42" s="803">
        <v>-0.05</v>
      </c>
      <c r="DP42" s="650">
        <f t="shared" ca="1" si="26"/>
        <v>37591</v>
      </c>
      <c r="DQ42" s="653">
        <v>1E-4</v>
      </c>
      <c r="DR42" s="590">
        <v>1E-4</v>
      </c>
      <c r="DS42" s="650">
        <f t="shared" ca="1" si="27"/>
        <v>37591</v>
      </c>
      <c r="DT42" s="653">
        <v>1E-4</v>
      </c>
      <c r="DU42" s="590">
        <v>1E-4</v>
      </c>
      <c r="DV42" s="651">
        <f t="shared" ca="1" si="28"/>
        <v>37591</v>
      </c>
      <c r="DW42" s="590">
        <v>1E-4</v>
      </c>
      <c r="DX42" s="651">
        <f t="shared" ca="1" si="64"/>
        <v>37591</v>
      </c>
      <c r="DY42" s="590">
        <f t="shared" si="65"/>
        <v>1E-4</v>
      </c>
      <c r="DZ42" s="106"/>
      <c r="EA42" s="863" t="e">
        <f ca="1">_xll.ASN(X42,X42,AO42,AS42,0,AI42,0,BI42,BL42,1,0)</f>
        <v>#NAME?</v>
      </c>
      <c r="EB42" s="653" t="e">
        <f ca="1">_xll.ASN(X42,X42,AO42,AS42,0,AI42,0,BI42,BL42,1,3)/100</f>
        <v>#NAME?</v>
      </c>
      <c r="EC42" s="653" t="e">
        <f ca="1">_xll.xCrudeAPO(L43,L44,O43,O44,S43,S44,BI42,BL42,AJ42,AK42,0,X42,AO42,1,0,+BL42,1,0,1)</f>
        <v>#NAME?</v>
      </c>
      <c r="ED42" s="869" t="e">
        <f t="shared" ca="1" si="165"/>
        <v>#NAME?</v>
      </c>
      <c r="EE42" s="863" t="e">
        <f t="shared" ca="1" si="29"/>
        <v>#NAME?</v>
      </c>
      <c r="EF42" s="590" t="e">
        <f t="shared" ca="1" si="30"/>
        <v>#NAME?</v>
      </c>
      <c r="EG42" s="862" t="str">
        <f t="shared" ca="1" si="31"/>
        <v/>
      </c>
      <c r="EH42" s="114" t="str">
        <f t="shared" ca="1" si="32"/>
        <v/>
      </c>
      <c r="EI42" s="109" t="str">
        <f t="shared" ca="1" si="33"/>
        <v/>
      </c>
      <c r="EJ42" s="115">
        <f ca="1">IF(BD42,_xll.xASN(BP42,Strike1,AO42,EH42,0,BM42,0,BI42,BL42,IF(OptControl=4,0,1),0),0)</f>
        <v>0</v>
      </c>
      <c r="EK42" s="108">
        <f ca="1">IF(BD42,_xll.xASN(BP42,Strike2,AO42,EI42,0,BM42,0,BI42,BL42,IF(OptControl=3,1,0),0),0)</f>
        <v>0</v>
      </c>
      <c r="EM42" s="473" t="e">
        <f>[1]!'CLc23 MTH'</f>
        <v>#REF!</v>
      </c>
      <c r="EN42" s="474" t="e">
        <f t="shared" si="158"/>
        <v>#REF!</v>
      </c>
      <c r="EO42" s="475" t="e">
        <f>[1]!'CLc23 NET.CHNG'</f>
        <v>#REF!</v>
      </c>
      <c r="EP42" s="476">
        <f t="shared" si="159"/>
        <v>0</v>
      </c>
      <c r="EQ42" s="106"/>
      <c r="ER42" s="681">
        <v>38353</v>
      </c>
      <c r="ES42" s="682">
        <v>40544</v>
      </c>
      <c r="ET42" s="106"/>
      <c r="EU42" s="667" t="s">
        <v>146</v>
      </c>
      <c r="EW42" s="488">
        <v>23</v>
      </c>
      <c r="EX42" s="466">
        <f t="shared" ca="1" si="166"/>
        <v>1.8562628336755647</v>
      </c>
      <c r="EY42" s="824">
        <f t="shared" ca="1" si="66"/>
        <v>0.11331781439423623</v>
      </c>
      <c r="EZ42" s="798">
        <f t="shared" ca="1" si="160"/>
        <v>0.24766335772065048</v>
      </c>
      <c r="FA42" s="468" t="str">
        <f t="shared" ca="1" si="161"/>
        <v/>
      </c>
      <c r="FB42" s="467" t="str">
        <f t="shared" ca="1" si="162"/>
        <v/>
      </c>
      <c r="FC42" s="242">
        <v>0</v>
      </c>
      <c r="FD42" s="589" t="str">
        <f ca="1">IF(OR(FA42="",FA43=""),"",SQRT(SUM(INDEX(FO42:IH42,SwaptionFirstMonthPosition+1):INDEX(FO42:IH42,FN42))/SUM(INDEX($FO$15:$IH$15,SwaptionFirstMonthPosition+1):INDEX($FO$15:$IH$15,FN42))))</f>
        <v/>
      </c>
      <c r="FE42" s="565" t="str">
        <f ca="1">IF(OR(FA42="",FA41=""),"",SQRT(SUM(INDEX(FO42:IH42,SwaptionFirstMonthPosition+1):INDEX(FO42:IH42,FN42-1))/SUM(INDEX($FO$15:$IH$15,SwaptionFirstMonthPosition+1):INDEX($FO$15:$IH$15,FN42-1))))</f>
        <v/>
      </c>
      <c r="FF42" s="562" t="str">
        <f t="shared" ca="1" si="67"/>
        <v/>
      </c>
      <c r="FG42" s="593" t="str">
        <f t="shared" ca="1" si="68"/>
        <v/>
      </c>
      <c r="FH42" s="563" t="str">
        <f t="shared" ca="1" si="69"/>
        <v/>
      </c>
      <c r="FI42" s="563" t="str">
        <f t="shared" ca="1" si="70"/>
        <v/>
      </c>
      <c r="FJ42" s="563" t="str">
        <f t="shared" ca="1" si="71"/>
        <v/>
      </c>
      <c r="FK42" s="564" t="str">
        <f t="shared" ca="1" si="72"/>
        <v/>
      </c>
      <c r="FL42" s="590" t="str">
        <f t="shared" ca="1" si="73"/>
        <v/>
      </c>
      <c r="FM42" s="242"/>
      <c r="FN42" s="657">
        <v>23</v>
      </c>
      <c r="FO42" s="450">
        <f t="shared" ca="1" si="74"/>
        <v>7.617147488476469E-4</v>
      </c>
      <c r="FP42" s="450">
        <f t="shared" ca="1" si="75"/>
        <v>2.9043930058513991E-3</v>
      </c>
      <c r="FQ42" s="450">
        <f t="shared" ca="1" si="76"/>
        <v>2.8545677048150684E-3</v>
      </c>
      <c r="FR42" s="450">
        <f t="shared" ca="1" si="77"/>
        <v>3.2095557961895073E-3</v>
      </c>
      <c r="FS42" s="450">
        <f t="shared" ca="1" si="78"/>
        <v>3.0734017070187139E-3</v>
      </c>
      <c r="FT42" s="450">
        <f t="shared" ca="1" si="79"/>
        <v>3.3575323485887155E-3</v>
      </c>
      <c r="FU42" s="450">
        <f t="shared" ca="1" si="80"/>
        <v>3.2334419163092634E-3</v>
      </c>
      <c r="FV42" s="450">
        <f t="shared" ca="1" si="81"/>
        <v>3.1104616155343103E-3</v>
      </c>
      <c r="FW42" s="450">
        <f t="shared" ca="1" si="82"/>
        <v>3.4476728225905575E-3</v>
      </c>
      <c r="FX42" s="450">
        <f t="shared" ca="1" si="83"/>
        <v>3.9396441384795793E-3</v>
      </c>
      <c r="FY42" s="450">
        <f t="shared" ca="1" si="84"/>
        <v>3.6131603307283291E-3</v>
      </c>
      <c r="FZ42" s="450">
        <f t="shared" ca="1" si="85"/>
        <v>3.7903051784766053E-3</v>
      </c>
      <c r="GA42" s="450">
        <f t="shared" ca="1" si="86"/>
        <v>4.550710837573314E-3</v>
      </c>
      <c r="GB42" s="450">
        <f t="shared" ca="1" si="87"/>
        <v>4.2466690895350484E-3</v>
      </c>
      <c r="GC42" s="450">
        <f t="shared" ca="1" si="88"/>
        <v>5.0120136423340367E-3</v>
      </c>
      <c r="GD42" s="450">
        <f t="shared" ca="1" si="89"/>
        <v>5.0663464977735466E-3</v>
      </c>
      <c r="GE42" s="450">
        <f t="shared" ca="1" si="90"/>
        <v>5.3284819304900985E-3</v>
      </c>
      <c r="GF42" s="450">
        <f t="shared" ca="1" si="91"/>
        <v>6.6642010649136845E-3</v>
      </c>
      <c r="GG42" s="450">
        <f t="shared" ca="1" si="92"/>
        <v>6.7347411471104755E-3</v>
      </c>
      <c r="GH42" s="450">
        <f t="shared" ca="1" si="93"/>
        <v>7.3301676502348073E-3</v>
      </c>
      <c r="GI42" s="450">
        <f t="shared" ca="1" si="94"/>
        <v>8.9504412122436757E-3</v>
      </c>
      <c r="GJ42" s="450">
        <f t="shared" ca="1" si="95"/>
        <v>1.0391117065047003E-2</v>
      </c>
      <c r="GK42" s="450">
        <f t="shared" ca="1" si="96"/>
        <v>1.2287109548801392E-2</v>
      </c>
      <c r="GL42" s="450" t="str">
        <f t="shared" si="97"/>
        <v/>
      </c>
      <c r="GM42" s="450" t="str">
        <f t="shared" si="98"/>
        <v/>
      </c>
      <c r="GN42" s="450" t="str">
        <f t="shared" si="99"/>
        <v/>
      </c>
      <c r="GO42" s="450" t="str">
        <f t="shared" si="100"/>
        <v/>
      </c>
      <c r="GP42" s="450" t="str">
        <f t="shared" si="101"/>
        <v/>
      </c>
      <c r="GQ42" s="450" t="str">
        <f t="shared" si="102"/>
        <v/>
      </c>
      <c r="GR42" s="450" t="str">
        <f t="shared" si="103"/>
        <v/>
      </c>
      <c r="GS42" s="450" t="str">
        <f t="shared" si="104"/>
        <v/>
      </c>
      <c r="GT42" s="450" t="str">
        <f t="shared" si="105"/>
        <v/>
      </c>
      <c r="GU42" s="450" t="str">
        <f t="shared" si="106"/>
        <v/>
      </c>
      <c r="GV42" s="450" t="str">
        <f t="shared" si="107"/>
        <v/>
      </c>
      <c r="GW42" s="450" t="str">
        <f t="shared" si="108"/>
        <v/>
      </c>
      <c r="GX42" s="450" t="str">
        <f t="shared" si="109"/>
        <v/>
      </c>
      <c r="GY42" s="450" t="str">
        <f t="shared" si="110"/>
        <v/>
      </c>
      <c r="GZ42" s="450" t="str">
        <f t="shared" si="111"/>
        <v/>
      </c>
      <c r="HA42" s="450" t="str">
        <f t="shared" si="112"/>
        <v/>
      </c>
      <c r="HB42" s="450" t="str">
        <f t="shared" si="113"/>
        <v/>
      </c>
      <c r="HC42" s="450" t="str">
        <f t="shared" si="114"/>
        <v/>
      </c>
      <c r="HD42" s="450" t="str">
        <f t="shared" si="115"/>
        <v/>
      </c>
      <c r="HE42" s="450" t="str">
        <f t="shared" si="116"/>
        <v/>
      </c>
      <c r="HF42" s="450" t="str">
        <f t="shared" si="117"/>
        <v/>
      </c>
      <c r="HG42" s="450" t="str">
        <f t="shared" si="118"/>
        <v/>
      </c>
      <c r="HH42" s="450" t="str">
        <f t="shared" si="119"/>
        <v/>
      </c>
      <c r="HI42" s="450" t="str">
        <f t="shared" si="120"/>
        <v/>
      </c>
      <c r="HJ42" s="450" t="str">
        <f t="shared" si="121"/>
        <v/>
      </c>
      <c r="HK42" s="450" t="str">
        <f t="shared" si="122"/>
        <v/>
      </c>
      <c r="HL42" s="450" t="str">
        <f t="shared" si="123"/>
        <v/>
      </c>
      <c r="HM42" s="450" t="str">
        <f t="shared" si="124"/>
        <v/>
      </c>
      <c r="HN42" s="450" t="str">
        <f t="shared" si="125"/>
        <v/>
      </c>
      <c r="HO42" s="450" t="str">
        <f t="shared" si="126"/>
        <v/>
      </c>
      <c r="HP42" s="450" t="str">
        <f t="shared" si="127"/>
        <v/>
      </c>
      <c r="HQ42" s="450" t="str">
        <f t="shared" si="128"/>
        <v/>
      </c>
      <c r="HR42" s="450" t="str">
        <f t="shared" si="129"/>
        <v/>
      </c>
      <c r="HS42" s="450" t="str">
        <f t="shared" si="130"/>
        <v/>
      </c>
      <c r="HT42" s="450" t="str">
        <f t="shared" si="131"/>
        <v/>
      </c>
      <c r="HU42" s="450" t="str">
        <f t="shared" si="132"/>
        <v/>
      </c>
      <c r="HV42" s="450" t="str">
        <f t="shared" si="133"/>
        <v/>
      </c>
      <c r="HW42" s="450" t="str">
        <f t="shared" si="134"/>
        <v/>
      </c>
      <c r="HX42" s="450" t="str">
        <f t="shared" si="135"/>
        <v/>
      </c>
      <c r="HY42" s="450" t="str">
        <f t="shared" si="136"/>
        <v/>
      </c>
      <c r="HZ42" s="450" t="str">
        <f t="shared" si="137"/>
        <v/>
      </c>
      <c r="IA42" s="450" t="str">
        <f t="shared" si="138"/>
        <v/>
      </c>
      <c r="IB42" s="450" t="str">
        <f t="shared" si="139"/>
        <v/>
      </c>
      <c r="IC42" s="450" t="str">
        <f t="shared" si="140"/>
        <v/>
      </c>
      <c r="ID42" s="450" t="str">
        <f t="shared" si="141"/>
        <v/>
      </c>
      <c r="IE42" s="450" t="str">
        <f t="shared" si="142"/>
        <v/>
      </c>
      <c r="IF42" s="450" t="str">
        <f t="shared" si="143"/>
        <v/>
      </c>
      <c r="IG42" s="450" t="str">
        <f t="shared" si="144"/>
        <v/>
      </c>
      <c r="IH42" s="658" t="str">
        <f t="shared" si="145"/>
        <v/>
      </c>
      <c r="II42" s="242"/>
    </row>
    <row r="43" spans="1:243" ht="17.25" customHeight="1">
      <c r="A43" s="49">
        <f t="shared" ca="1" si="167"/>
        <v>56</v>
      </c>
      <c r="B43" s="76" t="s">
        <v>277</v>
      </c>
      <c r="C43" s="551" t="s">
        <v>278</v>
      </c>
      <c r="D43" s="559" t="s">
        <v>279</v>
      </c>
      <c r="E43" s="559" t="s">
        <v>280</v>
      </c>
      <c r="F43" s="551" t="s">
        <v>28</v>
      </c>
      <c r="G43" s="552" t="s">
        <v>29</v>
      </c>
      <c r="H43" s="49" t="e">
        <f t="shared" ca="1" si="34"/>
        <v>#N/A</v>
      </c>
      <c r="I43" s="369">
        <f t="shared" si="35"/>
        <v>37712</v>
      </c>
      <c r="J43" s="367">
        <v>23.28</v>
      </c>
      <c r="K43" s="101" t="s">
        <v>487</v>
      </c>
      <c r="L43" s="382">
        <f t="shared" si="36"/>
        <v>23.28</v>
      </c>
      <c r="M43" s="163">
        <v>0.24456180138500003</v>
      </c>
      <c r="N43" s="372">
        <v>0</v>
      </c>
      <c r="O43" s="163">
        <f t="shared" si="37"/>
        <v>0.24456180138500003</v>
      </c>
      <c r="P43" s="367">
        <v>21.9933333333333</v>
      </c>
      <c r="Q43" s="100" t="s">
        <v>268</v>
      </c>
      <c r="R43" s="367">
        <f t="shared" ca="1" si="147"/>
        <v>21.993333333333336</v>
      </c>
      <c r="S43" s="814">
        <f t="shared" si="163"/>
        <v>0.3800815294769524</v>
      </c>
      <c r="T43" s="813">
        <f t="shared" si="148"/>
        <v>0.99304741770457605</v>
      </c>
      <c r="U43" s="532">
        <f t="shared" si="149"/>
        <v>0.99997993217444892</v>
      </c>
      <c r="V43" s="379">
        <v>0</v>
      </c>
      <c r="W43" s="424">
        <f t="shared" si="150"/>
        <v>23.133636363636363</v>
      </c>
      <c r="X43" s="405">
        <f t="shared" si="38"/>
        <v>23.133636363636363</v>
      </c>
      <c r="Y43" s="313">
        <f t="shared" si="39"/>
        <v>21.76666666666668</v>
      </c>
      <c r="Z43" s="313">
        <f t="shared" ca="1" si="40"/>
        <v>21.766666666666666</v>
      </c>
      <c r="AA43" s="419">
        <f t="shared" si="1"/>
        <v>1.366969696969683</v>
      </c>
      <c r="AB43" s="423">
        <f t="shared" ca="1" si="2"/>
        <v>1.3669696969696972</v>
      </c>
      <c r="AC43" s="218">
        <v>37700</v>
      </c>
      <c r="AD43" s="221">
        <v>37696</v>
      </c>
      <c r="AE43" s="219">
        <v>37695</v>
      </c>
      <c r="AF43" s="220">
        <v>37691</v>
      </c>
      <c r="AG43" s="241" t="s">
        <v>496</v>
      </c>
      <c r="AH43" s="239" t="s">
        <v>90</v>
      </c>
      <c r="AI43" s="141">
        <v>22</v>
      </c>
      <c r="AJ43" s="41">
        <v>14</v>
      </c>
      <c r="AK43" s="41">
        <v>8</v>
      </c>
      <c r="AL43" s="285">
        <v>22</v>
      </c>
      <c r="AM43" s="41">
        <v>10</v>
      </c>
      <c r="AN43" s="142">
        <v>12</v>
      </c>
      <c r="AO43" s="364">
        <v>4.6786775819961601E-2</v>
      </c>
      <c r="AP43" s="145">
        <f t="shared" ca="1" si="41"/>
        <v>0.90928970019822941</v>
      </c>
      <c r="AQ43" s="364">
        <v>4.0956006579513801E-2</v>
      </c>
      <c r="AR43" s="145">
        <f t="shared" ca="1" si="151"/>
        <v>0.92462676219854278</v>
      </c>
      <c r="AS43" s="264">
        <f t="shared" si="3"/>
        <v>0.24142378319651361</v>
      </c>
      <c r="AT43" s="149">
        <f t="shared" si="42"/>
        <v>0.24456180138500003</v>
      </c>
      <c r="AU43" s="149">
        <f t="shared" si="4"/>
        <v>0.24115009037315546</v>
      </c>
      <c r="AV43" s="263">
        <f t="shared" ca="1" si="164"/>
        <v>0.23730685362310747</v>
      </c>
      <c r="AW43" s="150" t="str">
        <f t="shared" ca="1" si="5"/>
        <v/>
      </c>
      <c r="AX43" s="149">
        <f t="shared" ca="1" si="152"/>
        <v>4.7208881512944542E-2</v>
      </c>
      <c r="AY43" s="149">
        <f t="shared" ca="1" si="153"/>
        <v>2.6188124602753052E-2</v>
      </c>
      <c r="AZ43" s="149">
        <f t="shared" ca="1" si="154"/>
        <v>1.1933386946607252E-2</v>
      </c>
      <c r="BA43" s="149">
        <f t="shared" ca="1" si="155"/>
        <v>1.0000000000000013E-4</v>
      </c>
      <c r="BB43" s="149">
        <f t="shared" ca="1" si="156"/>
        <v>1.0000000000000013E-4</v>
      </c>
      <c r="BC43" s="149">
        <f t="shared" ca="1" si="157"/>
        <v>1.0000000000000013E-4</v>
      </c>
      <c r="BD43" s="143">
        <f t="shared" ca="1" si="43"/>
        <v>0</v>
      </c>
      <c r="BE43" s="144">
        <f t="shared" ca="1" si="44"/>
        <v>0</v>
      </c>
      <c r="BF43" s="40">
        <f t="shared" si="7"/>
        <v>2003</v>
      </c>
      <c r="BG43" s="139">
        <f t="shared" si="8"/>
        <v>4</v>
      </c>
      <c r="BH43" s="140">
        <f t="shared" ca="1" si="45"/>
        <v>706</v>
      </c>
      <c r="BI43" s="304">
        <f t="shared" ca="1" si="46"/>
        <v>1.9767282683093772</v>
      </c>
      <c r="BJ43" s="42">
        <f t="shared" ca="1" si="47"/>
        <v>2.0272540601082696</v>
      </c>
      <c r="BK43" s="42">
        <f t="shared" ca="1" si="9"/>
        <v>2.0299919108954017</v>
      </c>
      <c r="BL43" s="42">
        <f t="shared" ca="1" si="48"/>
        <v>2.0561259411362083</v>
      </c>
      <c r="BM43" s="285">
        <f t="shared" si="49"/>
        <v>22</v>
      </c>
      <c r="BN43" s="41">
        <f t="shared" si="50"/>
        <v>14</v>
      </c>
      <c r="BO43" s="41">
        <f t="shared" si="51"/>
        <v>8</v>
      </c>
      <c r="BP43" s="297" t="str">
        <f t="shared" ca="1" si="10"/>
        <v/>
      </c>
      <c r="BQ43" s="297" t="str">
        <f t="shared" ca="1" si="11"/>
        <v/>
      </c>
      <c r="BR43" s="299" t="str">
        <f t="shared" ca="1" si="12"/>
        <v/>
      </c>
      <c r="BS43" s="153" t="str">
        <f t="shared" ca="1" si="13"/>
        <v/>
      </c>
      <c r="BT43" s="153" t="str">
        <f t="shared" ca="1" si="14"/>
        <v/>
      </c>
      <c r="BU43" s="300" t="str">
        <f t="shared" ca="1" si="15"/>
        <v/>
      </c>
      <c r="BV43" s="301" t="str">
        <f t="shared" ca="1" si="16"/>
        <v/>
      </c>
      <c r="BW43" s="300" t="str">
        <f t="shared" ca="1" si="17"/>
        <v/>
      </c>
      <c r="BX43" s="301" t="str">
        <f t="shared" ca="1" si="18"/>
        <v/>
      </c>
      <c r="BY43" s="146" t="str">
        <f t="shared" ca="1" si="19"/>
        <v/>
      </c>
      <c r="BZ43" s="146" t="str">
        <f t="shared" ca="1" si="20"/>
        <v/>
      </c>
      <c r="CA43" s="146" t="str">
        <f t="shared" ca="1" si="21"/>
        <v/>
      </c>
      <c r="CB43" s="146" t="str">
        <f t="shared" ca="1" si="22"/>
        <v/>
      </c>
      <c r="CC43" s="302">
        <v>1</v>
      </c>
      <c r="CD43" s="154">
        <f ca="1">IF(BD43,_xll.xCrudeAPO(BS43,BT43,BY43,BZ43,S44,S45,BI43,BL43,BN43,BO43,0,Strike1,AO43,CC43,0,BL43,IF(OptControl=4,0,1),0,1),0)</f>
        <v>0</v>
      </c>
      <c r="CE43" s="155">
        <f ca="1">IF(BD43,_xll.xCrudeAPO(BS43,BT43,BY43,BZ43,S44,S45,BI43,BL43,BN43,BO43,0,Strike1,AO43,CC43,0,BL43,IF(OptControl=4,0,1),1,1)+_xll.xCrudeAPO(BS43,BT43,BY43,BZ43,S44,S45,BI43,BL43,BN43,BO43,0,Strike1,AO43,CC43,0,BL43,IF(OptControl=4,0,1),1,2)+IF(OR(VolSkewFlag=2,ABS(BQ43)&lt;0.0001),0,IF(BQ43&gt;0,-1,1)*CF43*Strike1/BP43^2*BW43/10%),0)</f>
        <v>0</v>
      </c>
      <c r="CF43" s="155">
        <f ca="1">IF(BD43,(_xll.xCrudeAPO(BS43,BT43,BY43,BZ43,S44,S45,BI43,BL43,BN43,BO43,0,Strike1,AO43,CC43,0,BL43,IF(OptControl=4,0,1),3,1)+_xll.xCrudeAPO(BS43,BT43,BY43,BZ43,S44,S45,BI43,BL43,BN43,BO43,0,Strike1,AO43,CC43,0,BL43,IF(OptControl=4,0,1),3,2))/100,0)</f>
        <v>0</v>
      </c>
      <c r="CG43" s="155">
        <f ca="1">IF(BD43,_xll.xCrudeAPO(BS43,BT43,BY43,BZ43,S44,S45,BI43-DaysForThetaCalculation/365.25,BL43-DaysForThetaCalculation/365.25,BN43,BO43,0,Strike1,AO43,CC43,0,BL43,IF(OptControl=4,0,1),0,1)-_xll.xCrudeAPO(BS43,BT43,BY43,BZ43,S44,S45,BI43,BL43,BN43,BO43,0,Strike1,AO43,CC43,0,BL43,IF(OptControl=4,0,1),0,1),0)</f>
        <v>0</v>
      </c>
      <c r="CH43" s="303">
        <f ca="1">IF(BD43,_xll.xCrudeAPO(BS43,BT43,CA43,CB43,S44,S45,BI43,BL43,BN43,BO43,0,Strike2,AO43,CC43,0,BL43,IF(OptControl=3,1,0),0,1),0)</f>
        <v>0</v>
      </c>
      <c r="CI43" s="155">
        <f ca="1">IF(BD43,_xll.xCrudeAPO(BS43,BT43,CA43,CB43,S44,S45,BI43,BL43,BN43,BO43,0,Strike2,AO43,CC43,0,BL43,IF(OptControl=3,1,0),1,1)+_xll.xCrudeAPO(BS43,BT43,CA43,CB43,S44,S45,BI43,BL43,BN43,BO43,0,Strike2,AO43,CC43,0,BL43,IF(OptControl=3,1,0),1,2)+IF(OR(VolSkewFlag=2,ABS(BR43)&lt;0.0001),0,IF(BR43&gt;0,-1,1)*CJ43*Strike2/BP43^2*BX43/10%),0)</f>
        <v>0</v>
      </c>
      <c r="CJ43" s="155">
        <f ca="1">IF(BD43,(_xll.xCrudeAPO(BS43,BT43,CA43,CB43,S44,S45,BI43,BL43,BN43,BO43,0,Strike2,AO43,CC43,0,BL43,IF(OptControl=3,1,0),3,1)+_xll.xCrudeAPO(BS43,BT43,CA43,CB43,S44,S45,BI43,BL43,BN43,BO43,0,Strike2,AO43,CC43,0,BL43,IF(OptControl=3,1,0),3,2))/100,0)</f>
        <v>0</v>
      </c>
      <c r="CK43" s="156">
        <f ca="1">IF(BD43,_xll.xCrudeAPO(BS43,BT43,CA43,CB43,S44,S45,BI43-DaysForThetaCalculation/365.25,BL43-DaysForThetaCalculation/365.25,BN43,BO43,0,Strike2,AO43,CC43,0,BL43,IF(OptControl=3,1,0),0,1)-_xll.xCrudeAPO(BS43,BT43,CA43,CB43,S44,S45,BI43,BL43,BN43,BO43,0,Strike2,AO43,CC43,0,BL43,IF(OptControl=3,1,0),0,1),0)</f>
        <v>0</v>
      </c>
      <c r="CM43" s="779" t="str">
        <f t="shared" ca="1" si="52"/>
        <v/>
      </c>
      <c r="CN43" s="783" t="str">
        <f t="shared" ca="1" si="53"/>
        <v/>
      </c>
      <c r="CO43" s="780" t="str">
        <f t="shared" ca="1" si="54"/>
        <v/>
      </c>
      <c r="CP43" s="780" t="str">
        <f t="shared" ca="1" si="55"/>
        <v/>
      </c>
      <c r="CQ43" s="780" t="str">
        <f t="shared" ca="1" si="56"/>
        <v/>
      </c>
      <c r="CR43" s="780" t="str">
        <f t="shared" ca="1" si="57"/>
        <v/>
      </c>
      <c r="CS43" s="781" t="str">
        <f t="shared" ca="1" si="58"/>
        <v/>
      </c>
      <c r="CT43" s="782" t="str">
        <f t="shared" ca="1" si="59"/>
        <v/>
      </c>
      <c r="CU43" s="782" t="str">
        <f t="shared" ca="1" si="60"/>
        <v/>
      </c>
      <c r="CV43" s="155">
        <f ca="1">IF(BD43,_xll.EURO(CN43,Strike1,AO43,AO43,CT43,CM43,IF(OptControl=4,0,1),0),0)</f>
        <v>0</v>
      </c>
      <c r="CW43" s="155">
        <f ca="1">IF(BD43,_xll.EURO(CN43,Strike1,AO43,AO43,CT43,CM43,IF(OptControl=4,0,1),1)+IF(OR(VolSkewFlag=2,ABS(CO43)&lt;0.0001),0,IF(CO43&gt;0,-1,1)*CX43*100*Strike1/CN43^2*CQ43/10%),0)</f>
        <v>0</v>
      </c>
      <c r="CX43" s="155">
        <f ca="1">IF(BD43,_xll.EURO(CN43,Strike1,AO43,AO43,CT43,CM43,IF(OptControl=4,0,1),3)/100,0)</f>
        <v>0</v>
      </c>
      <c r="CY43" s="155">
        <f ca="1">IF(BD43,_xll.EURO(CN43,Strike1,AO43,AO43,CT43,CM43,IF(OptControl=4,0,1),0)-_xll.EURO(CN43,Strike1,AO43,AO43,CT43,CM43-1,IF(OptControl=4,0,1),0),0)</f>
        <v>0</v>
      </c>
      <c r="CZ43" s="155">
        <f ca="1">IF(BD43,_xll.EURO(CN43,Strike2,AO43,AO43,CU43,CM43,IF(OptControl=3,1,0),0),0)</f>
        <v>0</v>
      </c>
      <c r="DA43" s="155">
        <f ca="1">IF(BD43,_xll.EURO(CN43,Strike2,AO43,AO43,CU43,CM43,IF(OptControl=3,1,0),1)+IF(OR(VolSkewFlag=2,ABS(CP43)&lt;0.0001),0,IF(CP43&gt;0,-1,1)*DB43*100*Strike2/CN43^2*CR43/10%),0)</f>
        <v>0</v>
      </c>
      <c r="DB43" s="155">
        <f ca="1">IF(BD43,_xll.EURO(CN43,Strike2,AO43,AO43,CU43,CM43,IF(OptControl=3,1,0),3)/100,0)</f>
        <v>0</v>
      </c>
      <c r="DC43" s="156">
        <f ca="1">IF(BD43,_xll.EURO(CN43,Strike2,AO43,AO43,CU43,CM43,IF(OptControl=3,1,0),0)-_xll.EURO(CN43,Strike2,AO43,AO43,CU43,CM43-1,IF(OptControl=3,1,0),0),0)</f>
        <v>0</v>
      </c>
      <c r="DD43" s="53"/>
      <c r="DE43" s="651">
        <f t="shared" ca="1" si="61"/>
        <v>37622</v>
      </c>
      <c r="DF43" s="465">
        <v>1E-4</v>
      </c>
      <c r="DG43" s="649">
        <v>1E-4</v>
      </c>
      <c r="DH43" s="650">
        <f t="shared" ca="1" si="23"/>
        <v>37622</v>
      </c>
      <c r="DI43" s="465">
        <v>1E-4</v>
      </c>
      <c r="DJ43" s="649">
        <v>1E-4</v>
      </c>
      <c r="DK43" s="651">
        <f t="shared" ca="1" si="24"/>
        <v>37622</v>
      </c>
      <c r="DL43" s="652">
        <f t="shared" si="25"/>
        <v>5.0100000000000006E-2</v>
      </c>
      <c r="DM43" s="651">
        <f t="shared" ca="1" si="62"/>
        <v>37622</v>
      </c>
      <c r="DN43" s="563">
        <f t="shared" si="63"/>
        <v>-0.12990000000000002</v>
      </c>
      <c r="DO43" s="803">
        <v>-0.13</v>
      </c>
      <c r="DP43" s="650">
        <f t="shared" ca="1" si="26"/>
        <v>37622</v>
      </c>
      <c r="DQ43" s="653">
        <v>1E-4</v>
      </c>
      <c r="DR43" s="590">
        <v>1E-4</v>
      </c>
      <c r="DS43" s="650">
        <f t="shared" ca="1" si="27"/>
        <v>37622</v>
      </c>
      <c r="DT43" s="653">
        <v>1E-4</v>
      </c>
      <c r="DU43" s="590">
        <v>1E-4</v>
      </c>
      <c r="DV43" s="651">
        <f t="shared" ca="1" si="28"/>
        <v>37622</v>
      </c>
      <c r="DW43" s="590">
        <v>1E-4</v>
      </c>
      <c r="DX43" s="651">
        <f t="shared" ca="1" si="64"/>
        <v>37622</v>
      </c>
      <c r="DY43" s="590">
        <f t="shared" si="65"/>
        <v>1E-4</v>
      </c>
      <c r="DZ43" s="106"/>
      <c r="EA43" s="863" t="e">
        <f ca="1">_xll.ASN(X43,X43,AO43,AS43,0,AI43,0,BI43,BL43,1,0)</f>
        <v>#NAME?</v>
      </c>
      <c r="EB43" s="653" t="e">
        <f ca="1">_xll.ASN(X43,X43,AO43,AS43,0,AI43,0,BI43,BL43,1,3)/100</f>
        <v>#NAME?</v>
      </c>
      <c r="EC43" s="653" t="e">
        <f ca="1">_xll.xCrudeAPO(L44,L45,O44,O45,S44,S45,BI43,BL43,AJ43,AK43,0,X43,AO43,1,0,+BL43,1,0,1)</f>
        <v>#NAME?</v>
      </c>
      <c r="ED43" s="869" t="e">
        <f t="shared" ca="1" si="165"/>
        <v>#NAME?</v>
      </c>
      <c r="EE43" s="863" t="e">
        <f t="shared" ca="1" si="29"/>
        <v>#NAME?</v>
      </c>
      <c r="EF43" s="590" t="e">
        <f t="shared" ca="1" si="30"/>
        <v>#NAME?</v>
      </c>
      <c r="EG43" s="862" t="str">
        <f t="shared" ca="1" si="31"/>
        <v/>
      </c>
      <c r="EH43" s="114" t="str">
        <f t="shared" ca="1" si="32"/>
        <v/>
      </c>
      <c r="EI43" s="109" t="str">
        <f t="shared" ca="1" si="33"/>
        <v/>
      </c>
      <c r="EJ43" s="115">
        <f ca="1">IF(BD43,_xll.xASN(BP43,Strike1,AO43,EH43,0,BM43,0,BI43,BL43,IF(OptControl=4,0,1),0),0)</f>
        <v>0</v>
      </c>
      <c r="EK43" s="108">
        <f ca="1">IF(BD43,_xll.xASN(BP43,Strike2,AO43,EI43,0,BM43,0,BI43,BL43,IF(OptControl=3,1,0),0),0)</f>
        <v>0</v>
      </c>
      <c r="EM43" s="473" t="e">
        <f>[1]!'CLc24 MTH'</f>
        <v>#REF!</v>
      </c>
      <c r="EN43" s="474" t="e">
        <f t="shared" si="158"/>
        <v>#REF!</v>
      </c>
      <c r="EO43" s="475" t="e">
        <f>[1]!'CLc24 NET.CHNG'</f>
        <v>#REF!</v>
      </c>
      <c r="EP43" s="476">
        <f t="shared" si="159"/>
        <v>0</v>
      </c>
      <c r="EQ43" s="106"/>
      <c r="ER43" s="681">
        <v>38537</v>
      </c>
      <c r="ES43" s="682">
        <v>40902</v>
      </c>
      <c r="ET43" s="106"/>
      <c r="EU43" s="667" t="s">
        <v>147</v>
      </c>
      <c r="EW43" s="488">
        <v>24</v>
      </c>
      <c r="EX43" s="466">
        <f t="shared" ca="1" si="166"/>
        <v>1.9329226557152634</v>
      </c>
      <c r="EY43" s="824">
        <f t="shared" ca="1" si="66"/>
        <v>0.11560902159028992</v>
      </c>
      <c r="EZ43" s="798">
        <f t="shared" ca="1" si="160"/>
        <v>0.24440526924733372</v>
      </c>
      <c r="FA43" s="468" t="str">
        <f t="shared" ca="1" si="161"/>
        <v/>
      </c>
      <c r="FB43" s="467" t="str">
        <f t="shared" ca="1" si="162"/>
        <v/>
      </c>
      <c r="FC43" s="242">
        <v>0</v>
      </c>
      <c r="FD43" s="589" t="str">
        <f ca="1">IF(OR(FA43="",FA44=""),"",SQRT(SUM(INDEX(FO43:IH43,SwaptionFirstMonthPosition+1):INDEX(FO43:IH43,FN43))/SUM(INDEX($FO$15:$IH$15,SwaptionFirstMonthPosition+1):INDEX($FO$15:$IH$15,FN43))))</f>
        <v/>
      </c>
      <c r="FE43" s="565" t="str">
        <f ca="1">IF(OR(FA43="",FA42=""),"",SQRT(SUM(INDEX(FO43:IH43,SwaptionFirstMonthPosition+1):INDEX(FO43:IH43,FN43-1))/SUM(INDEX($FO$15:$IH$15,SwaptionFirstMonthPosition+1):INDEX($FO$15:$IH$15,FN43-1))))</f>
        <v/>
      </c>
      <c r="FF43" s="562" t="str">
        <f t="shared" ca="1" si="67"/>
        <v/>
      </c>
      <c r="FG43" s="593" t="str">
        <f t="shared" ca="1" si="68"/>
        <v/>
      </c>
      <c r="FH43" s="563" t="str">
        <f t="shared" ca="1" si="69"/>
        <v/>
      </c>
      <c r="FI43" s="563" t="str">
        <f t="shared" ca="1" si="70"/>
        <v/>
      </c>
      <c r="FJ43" s="563" t="str">
        <f t="shared" ca="1" si="71"/>
        <v/>
      </c>
      <c r="FK43" s="564" t="str">
        <f t="shared" ca="1" si="72"/>
        <v/>
      </c>
      <c r="FL43" s="590" t="str">
        <f t="shared" ca="1" si="73"/>
        <v/>
      </c>
      <c r="FM43" s="242"/>
      <c r="FN43" s="657">
        <v>24</v>
      </c>
      <c r="FO43" s="450">
        <f t="shared" ca="1" si="74"/>
        <v>7.5000377725318982E-4</v>
      </c>
      <c r="FP43" s="450">
        <f t="shared" ca="1" si="75"/>
        <v>2.8547779555949115E-3</v>
      </c>
      <c r="FQ43" s="450">
        <f t="shared" ca="1" si="76"/>
        <v>2.8003855975154601E-3</v>
      </c>
      <c r="FR43" s="450">
        <f t="shared" ca="1" si="77"/>
        <v>3.141866817014176E-3</v>
      </c>
      <c r="FS43" s="450">
        <f t="shared" ca="1" si="78"/>
        <v>3.0013822482682735E-3</v>
      </c>
      <c r="FT43" s="450">
        <f t="shared" ca="1" si="79"/>
        <v>3.2701128681080199E-3</v>
      </c>
      <c r="FU43" s="450">
        <f t="shared" ca="1" si="80"/>
        <v>3.1398990722264737E-3</v>
      </c>
      <c r="FV43" s="450">
        <f t="shared" ca="1" si="81"/>
        <v>3.0104782289078055E-3</v>
      </c>
      <c r="FW43" s="450">
        <f t="shared" ca="1" si="82"/>
        <v>3.3245363998446681E-3</v>
      </c>
      <c r="FX43" s="450">
        <f t="shared" ca="1" si="83"/>
        <v>3.7833023872407209E-3</v>
      </c>
      <c r="FY43" s="450">
        <f t="shared" ca="1" si="84"/>
        <v>3.4538431172505858E-3</v>
      </c>
      <c r="FZ43" s="450">
        <f t="shared" ca="1" si="85"/>
        <v>3.6046072163384668E-3</v>
      </c>
      <c r="GA43" s="450">
        <f t="shared" ca="1" si="86"/>
        <v>4.3029859215557046E-3</v>
      </c>
      <c r="GB43" s="450">
        <f t="shared" ca="1" si="87"/>
        <v>3.9898091587807693E-3</v>
      </c>
      <c r="GC43" s="450">
        <f t="shared" ca="1" si="88"/>
        <v>4.6751782831994321E-3</v>
      </c>
      <c r="GD43" s="450">
        <f t="shared" ca="1" si="89"/>
        <v>4.6880277966467364E-3</v>
      </c>
      <c r="GE43" s="450">
        <f t="shared" ca="1" si="90"/>
        <v>4.8863784752450961E-3</v>
      </c>
      <c r="GF43" s="450">
        <f t="shared" ca="1" si="91"/>
        <v>6.0498367329916503E-3</v>
      </c>
      <c r="GG43" s="450">
        <f t="shared" ca="1" si="92"/>
        <v>6.0448885542607467E-3</v>
      </c>
      <c r="GH43" s="450">
        <f t="shared" ca="1" si="93"/>
        <v>6.4958973347202771E-3</v>
      </c>
      <c r="GI43" s="450">
        <f t="shared" ca="1" si="94"/>
        <v>7.818575723025965E-3</v>
      </c>
      <c r="GJ43" s="450">
        <f t="shared" ca="1" si="95"/>
        <v>8.9310590856011129E-3</v>
      </c>
      <c r="GK43" s="450">
        <f t="shared" ca="1" si="96"/>
        <v>1.0368815915161993E-2</v>
      </c>
      <c r="GL43" s="450">
        <f t="shared" ca="1" si="97"/>
        <v>1.1074428838842167E-2</v>
      </c>
      <c r="GM43" s="450" t="str">
        <f t="shared" si="98"/>
        <v/>
      </c>
      <c r="GN43" s="450" t="str">
        <f t="shared" si="99"/>
        <v/>
      </c>
      <c r="GO43" s="450" t="str">
        <f t="shared" si="100"/>
        <v/>
      </c>
      <c r="GP43" s="450" t="str">
        <f t="shared" si="101"/>
        <v/>
      </c>
      <c r="GQ43" s="450" t="str">
        <f t="shared" si="102"/>
        <v/>
      </c>
      <c r="GR43" s="450" t="str">
        <f t="shared" si="103"/>
        <v/>
      </c>
      <c r="GS43" s="450" t="str">
        <f t="shared" si="104"/>
        <v/>
      </c>
      <c r="GT43" s="450" t="str">
        <f t="shared" si="105"/>
        <v/>
      </c>
      <c r="GU43" s="450" t="str">
        <f t="shared" si="106"/>
        <v/>
      </c>
      <c r="GV43" s="450" t="str">
        <f t="shared" si="107"/>
        <v/>
      </c>
      <c r="GW43" s="450" t="str">
        <f t="shared" si="108"/>
        <v/>
      </c>
      <c r="GX43" s="450" t="str">
        <f t="shared" si="109"/>
        <v/>
      </c>
      <c r="GY43" s="450" t="str">
        <f t="shared" si="110"/>
        <v/>
      </c>
      <c r="GZ43" s="450" t="str">
        <f t="shared" si="111"/>
        <v/>
      </c>
      <c r="HA43" s="450" t="str">
        <f t="shared" si="112"/>
        <v/>
      </c>
      <c r="HB43" s="450" t="str">
        <f t="shared" si="113"/>
        <v/>
      </c>
      <c r="HC43" s="450" t="str">
        <f t="shared" si="114"/>
        <v/>
      </c>
      <c r="HD43" s="450" t="str">
        <f t="shared" si="115"/>
        <v/>
      </c>
      <c r="HE43" s="450" t="str">
        <f t="shared" si="116"/>
        <v/>
      </c>
      <c r="HF43" s="450" t="str">
        <f t="shared" si="117"/>
        <v/>
      </c>
      <c r="HG43" s="450" t="str">
        <f t="shared" si="118"/>
        <v/>
      </c>
      <c r="HH43" s="450" t="str">
        <f t="shared" si="119"/>
        <v/>
      </c>
      <c r="HI43" s="450" t="str">
        <f t="shared" si="120"/>
        <v/>
      </c>
      <c r="HJ43" s="450" t="str">
        <f t="shared" si="121"/>
        <v/>
      </c>
      <c r="HK43" s="450" t="str">
        <f t="shared" si="122"/>
        <v/>
      </c>
      <c r="HL43" s="450" t="str">
        <f t="shared" si="123"/>
        <v/>
      </c>
      <c r="HM43" s="450" t="str">
        <f t="shared" si="124"/>
        <v/>
      </c>
      <c r="HN43" s="450" t="str">
        <f t="shared" si="125"/>
        <v/>
      </c>
      <c r="HO43" s="450" t="str">
        <f t="shared" si="126"/>
        <v/>
      </c>
      <c r="HP43" s="450" t="str">
        <f t="shared" si="127"/>
        <v/>
      </c>
      <c r="HQ43" s="450" t="str">
        <f t="shared" si="128"/>
        <v/>
      </c>
      <c r="HR43" s="450" t="str">
        <f t="shared" si="129"/>
        <v/>
      </c>
      <c r="HS43" s="450" t="str">
        <f t="shared" si="130"/>
        <v/>
      </c>
      <c r="HT43" s="450" t="str">
        <f t="shared" si="131"/>
        <v/>
      </c>
      <c r="HU43" s="450" t="str">
        <f t="shared" si="132"/>
        <v/>
      </c>
      <c r="HV43" s="450" t="str">
        <f t="shared" si="133"/>
        <v/>
      </c>
      <c r="HW43" s="450" t="str">
        <f t="shared" si="134"/>
        <v/>
      </c>
      <c r="HX43" s="450" t="str">
        <f t="shared" si="135"/>
        <v/>
      </c>
      <c r="HY43" s="450" t="str">
        <f t="shared" si="136"/>
        <v/>
      </c>
      <c r="HZ43" s="450" t="str">
        <f t="shared" si="137"/>
        <v/>
      </c>
      <c r="IA43" s="450" t="str">
        <f t="shared" si="138"/>
        <v/>
      </c>
      <c r="IB43" s="450" t="str">
        <f t="shared" si="139"/>
        <v/>
      </c>
      <c r="IC43" s="450" t="str">
        <f t="shared" si="140"/>
        <v/>
      </c>
      <c r="ID43" s="450" t="str">
        <f t="shared" si="141"/>
        <v/>
      </c>
      <c r="IE43" s="450" t="str">
        <f t="shared" si="142"/>
        <v/>
      </c>
      <c r="IF43" s="450" t="str">
        <f t="shared" si="143"/>
        <v/>
      </c>
      <c r="IG43" s="450" t="str">
        <f t="shared" si="144"/>
        <v/>
      </c>
      <c r="IH43" s="658" t="str">
        <f t="shared" si="145"/>
        <v/>
      </c>
      <c r="II43" s="242"/>
    </row>
    <row r="44" spans="1:243" ht="14.25" customHeight="1" thickBot="1">
      <c r="A44" s="49">
        <f t="shared" ca="1" si="167"/>
        <v>68</v>
      </c>
      <c r="B44" s="553">
        <f>StrikeSpec2</f>
        <v>27.5</v>
      </c>
      <c r="C44" s="554">
        <f>StrikeSpec1</f>
        <v>27.5</v>
      </c>
      <c r="D44" s="591">
        <f ca="1">AVERAGE(FL20:FL55)-AVERAGE(FK20:FK55)</f>
        <v>0</v>
      </c>
      <c r="E44" s="560">
        <v>0</v>
      </c>
      <c r="F44" s="594" t="e">
        <f ca="1">_xll.xXCOL2(INDEX(FH20:FH55,SwaptionFirstMonthPosition):INDEX(FH20:FH55,SwaptionFirstMonthPosition+SwaptionNumOfMonths-1),INDEX(AO20:AO55,SwaptionFirstMonthPosition):INDEX(AO20:AO55,SwaptionFirstMonthPosition+SwaptionNumOfMonths-1),INDEX(FF20:FF55,SwaptionFirstMonthPosition):INDEX(FF20:FF55,SwaptionFirstMonthPosition+SwaptionNumOfMonths-1),INDEX(FG20:FG55,SwaptionFirstMonthPosition):INDEX(FG20:FG55,SwaptionFirstMonthPosition+SwaptionNumOfMonths-1),E29+E44,D44,B26-DateToday+1,CollartionCap,CollartionFloor,0.05,100,0)</f>
        <v>#NAME?</v>
      </c>
      <c r="G44" s="596" t="e">
        <f ca="1">_xll.xXCOL2(INDEX(FH20:FH55,SwaptionFirstMonthPosition):INDEX(FH20:FH55,SwaptionFirstMonthPosition+SwaptionNumOfMonths-1),INDEX(AO20:AO55,SwaptionFirstMonthPosition):INDEX(AO20:AO55,SwaptionFirstMonthPosition+SwaptionNumOfMonths-1),INDEX(FF20:FF55,SwaptionFirstMonthPosition):INDEX(FF20:FF55,SwaptionFirstMonthPosition+SwaptionNumOfMonths-1),INDEX(FG20:FG55,SwaptionFirstMonthPosition):INDEX(FG20:FG55,SwaptionFirstMonthPosition+SwaptionNumOfMonths-1),E29+E44,D44,B26-DateToday+1,CollartionCap,CollartionFloor,0.05,100,1)</f>
        <v>#NAME?</v>
      </c>
      <c r="H44" s="49" t="e">
        <f t="shared" ca="1" si="34"/>
        <v>#N/A</v>
      </c>
      <c r="I44" s="369">
        <f t="shared" si="35"/>
        <v>37742</v>
      </c>
      <c r="J44" s="367">
        <v>23.17</v>
      </c>
      <c r="K44" s="101" t="s">
        <v>487</v>
      </c>
      <c r="L44" s="382">
        <f t="shared" si="36"/>
        <v>23.17</v>
      </c>
      <c r="M44" s="163">
        <v>0.24197116884323</v>
      </c>
      <c r="N44" s="372">
        <v>0</v>
      </c>
      <c r="O44" s="163">
        <f t="shared" si="37"/>
        <v>0.24197116884323</v>
      </c>
      <c r="P44" s="367">
        <v>21.8466666666667</v>
      </c>
      <c r="Q44" s="101" t="s">
        <v>268</v>
      </c>
      <c r="R44" s="367">
        <f t="shared" ca="1" si="147"/>
        <v>21.846666666666664</v>
      </c>
      <c r="S44" s="814">
        <f t="shared" si="163"/>
        <v>0.37968071418218285</v>
      </c>
      <c r="T44" s="813">
        <f t="shared" si="148"/>
        <v>0.99374634798059058</v>
      </c>
      <c r="U44" s="532">
        <f t="shared" si="149"/>
        <v>0.99998494913083669</v>
      </c>
      <c r="V44" s="379">
        <v>0</v>
      </c>
      <c r="W44" s="424">
        <f t="shared" si="150"/>
        <v>23.040909090909089</v>
      </c>
      <c r="X44" s="405">
        <f t="shared" si="38"/>
        <v>23.040909090909089</v>
      </c>
      <c r="Y44" s="313">
        <f t="shared" si="39"/>
        <v>21.680363636363637</v>
      </c>
      <c r="Z44" s="313">
        <f t="shared" ca="1" si="40"/>
        <v>21.680363636363637</v>
      </c>
      <c r="AA44" s="419">
        <f t="shared" si="1"/>
        <v>1.3605454545454521</v>
      </c>
      <c r="AB44" s="423">
        <f t="shared" ca="1" si="2"/>
        <v>1.3605454545454521</v>
      </c>
      <c r="AC44" s="218">
        <v>37731</v>
      </c>
      <c r="AD44" s="221">
        <v>37727</v>
      </c>
      <c r="AE44" s="219">
        <v>37726</v>
      </c>
      <c r="AF44" s="220">
        <v>37722</v>
      </c>
      <c r="AG44" s="241" t="s">
        <v>496</v>
      </c>
      <c r="AH44" s="239" t="s">
        <v>90</v>
      </c>
      <c r="AI44" s="141">
        <v>22</v>
      </c>
      <c r="AJ44" s="41">
        <v>14</v>
      </c>
      <c r="AK44" s="41">
        <v>8</v>
      </c>
      <c r="AL44" s="285">
        <v>22</v>
      </c>
      <c r="AM44" s="41">
        <v>10</v>
      </c>
      <c r="AN44" s="142">
        <v>12</v>
      </c>
      <c r="AO44" s="364">
        <v>4.7038657752795504E-2</v>
      </c>
      <c r="AP44" s="145">
        <f t="shared" ca="1" si="41"/>
        <v>0.90525041730301214</v>
      </c>
      <c r="AQ44" s="364">
        <v>4.11323178715031E-2</v>
      </c>
      <c r="AR44" s="145">
        <f t="shared" ca="1" si="151"/>
        <v>0.92112945739667429</v>
      </c>
      <c r="AS44" s="264">
        <f t="shared" si="3"/>
        <v>0.23911781319189451</v>
      </c>
      <c r="AT44" s="149">
        <f t="shared" si="42"/>
        <v>0.24197116884323</v>
      </c>
      <c r="AU44" s="149">
        <f t="shared" si="4"/>
        <v>0.23844379063046181</v>
      </c>
      <c r="AV44" s="263">
        <f t="shared" ca="1" si="164"/>
        <v>0.23407494841584872</v>
      </c>
      <c r="AW44" s="150" t="str">
        <f t="shared" ca="1" si="5"/>
        <v/>
      </c>
      <c r="AX44" s="149">
        <f t="shared" ca="1" si="152"/>
        <v>4.6545681055424289E-2</v>
      </c>
      <c r="AY44" s="149">
        <f t="shared" ca="1" si="153"/>
        <v>2.5737535174859622E-2</v>
      </c>
      <c r="AZ44" s="149">
        <f t="shared" ca="1" si="154"/>
        <v>1.1791165918771785E-2</v>
      </c>
      <c r="BA44" s="149">
        <f t="shared" ca="1" si="155"/>
        <v>1.0000000000000018E-4</v>
      </c>
      <c r="BB44" s="149">
        <f t="shared" ca="1" si="156"/>
        <v>1.0000000000000018E-4</v>
      </c>
      <c r="BC44" s="149">
        <f t="shared" ca="1" si="157"/>
        <v>1.0000000000000018E-4</v>
      </c>
      <c r="BD44" s="143">
        <f t="shared" ca="1" si="43"/>
        <v>0</v>
      </c>
      <c r="BE44" s="144">
        <f t="shared" ca="1" si="44"/>
        <v>0</v>
      </c>
      <c r="BF44" s="40">
        <f t="shared" si="7"/>
        <v>2003</v>
      </c>
      <c r="BG44" s="139">
        <f t="shared" si="8"/>
        <v>5</v>
      </c>
      <c r="BH44" s="140">
        <f t="shared" ca="1" si="45"/>
        <v>737</v>
      </c>
      <c r="BI44" s="304">
        <f t="shared" ca="1" si="46"/>
        <v>2.0588637919233403</v>
      </c>
      <c r="BJ44" s="42">
        <f t="shared" ca="1" si="47"/>
        <v>2.1111318524049532</v>
      </c>
      <c r="BK44" s="42">
        <f t="shared" ca="1" si="9"/>
        <v>2.1138697031920852</v>
      </c>
      <c r="BL44" s="42">
        <f t="shared" ca="1" si="48"/>
        <v>2.1409993155373033</v>
      </c>
      <c r="BM44" s="285">
        <f t="shared" si="49"/>
        <v>22</v>
      </c>
      <c r="BN44" s="41">
        <f t="shared" si="50"/>
        <v>14</v>
      </c>
      <c r="BO44" s="41">
        <f t="shared" si="51"/>
        <v>8</v>
      </c>
      <c r="BP44" s="297" t="str">
        <f t="shared" ca="1" si="10"/>
        <v/>
      </c>
      <c r="BQ44" s="297" t="str">
        <f t="shared" ca="1" si="11"/>
        <v/>
      </c>
      <c r="BR44" s="299" t="str">
        <f t="shared" ca="1" si="12"/>
        <v/>
      </c>
      <c r="BS44" s="153" t="str">
        <f t="shared" ca="1" si="13"/>
        <v/>
      </c>
      <c r="BT44" s="153" t="str">
        <f t="shared" ca="1" si="14"/>
        <v/>
      </c>
      <c r="BU44" s="300" t="str">
        <f t="shared" ca="1" si="15"/>
        <v/>
      </c>
      <c r="BV44" s="301" t="str">
        <f t="shared" ca="1" si="16"/>
        <v/>
      </c>
      <c r="BW44" s="300" t="str">
        <f t="shared" ca="1" si="17"/>
        <v/>
      </c>
      <c r="BX44" s="301" t="str">
        <f t="shared" ca="1" si="18"/>
        <v/>
      </c>
      <c r="BY44" s="146" t="str">
        <f t="shared" ca="1" si="19"/>
        <v/>
      </c>
      <c r="BZ44" s="146" t="str">
        <f t="shared" ca="1" si="20"/>
        <v/>
      </c>
      <c r="CA44" s="146" t="str">
        <f t="shared" ca="1" si="21"/>
        <v/>
      </c>
      <c r="CB44" s="146" t="str">
        <f t="shared" ca="1" si="22"/>
        <v/>
      </c>
      <c r="CC44" s="302">
        <v>1</v>
      </c>
      <c r="CD44" s="154">
        <f ca="1">IF(BD44,_xll.xCrudeAPO(BS44,BT44,BY44,BZ44,S45,S46,BI44,BL44,BN44,BO44,0,Strike1,AO44,CC44,0,BL44,IF(OptControl=4,0,1),0,1),0)</f>
        <v>0</v>
      </c>
      <c r="CE44" s="155">
        <f ca="1">IF(BD44,_xll.xCrudeAPO(BS44,BT44,BY44,BZ44,S45,S46,BI44,BL44,BN44,BO44,0,Strike1,AO44,CC44,0,BL44,IF(OptControl=4,0,1),1,1)+_xll.xCrudeAPO(BS44,BT44,BY44,BZ44,S45,S46,BI44,BL44,BN44,BO44,0,Strike1,AO44,CC44,0,BL44,IF(OptControl=4,0,1),1,2)+IF(OR(VolSkewFlag=2,ABS(BQ44)&lt;0.0001),0,IF(BQ44&gt;0,-1,1)*CF44*Strike1/BP44^2*BW44/10%),0)</f>
        <v>0</v>
      </c>
      <c r="CF44" s="155">
        <f ca="1">IF(BD44,(_xll.xCrudeAPO(BS44,BT44,BY44,BZ44,S45,S46,BI44,BL44,BN44,BO44,0,Strike1,AO44,CC44,0,BL44,IF(OptControl=4,0,1),3,1)+_xll.xCrudeAPO(BS44,BT44,BY44,BZ44,S45,S46,BI44,BL44,BN44,BO44,0,Strike1,AO44,CC44,0,BL44,IF(OptControl=4,0,1),3,2))/100,0)</f>
        <v>0</v>
      </c>
      <c r="CG44" s="155">
        <f ca="1">IF(BD44,_xll.xCrudeAPO(BS44,BT44,BY44,BZ44,S45,S46,BI44-DaysForThetaCalculation/365.25,BL44-DaysForThetaCalculation/365.25,BN44,BO44,0,Strike1,AO44,CC44,0,BL44,IF(OptControl=4,0,1),0,1)-_xll.xCrudeAPO(BS44,BT44,BY44,BZ44,S45,S46,BI44,BL44,BN44,BO44,0,Strike1,AO44,CC44,0,BL44,IF(OptControl=4,0,1),0,1),0)</f>
        <v>0</v>
      </c>
      <c r="CH44" s="303">
        <f ca="1">IF(BD44,_xll.xCrudeAPO(BS44,BT44,CA44,CB44,S45,S46,BI44,BL44,BN44,BO44,0,Strike2,AO44,CC44,0,BL44,IF(OptControl=3,1,0),0,1),0)</f>
        <v>0</v>
      </c>
      <c r="CI44" s="155">
        <f ca="1">IF(BD44,_xll.xCrudeAPO(BS44,BT44,CA44,CB44,S45,S46,BI44,BL44,BN44,BO44,0,Strike2,AO44,CC44,0,BL44,IF(OptControl=3,1,0),1,1)+_xll.xCrudeAPO(BS44,BT44,CA44,CB44,S45,S46,BI44,BL44,BN44,BO44,0,Strike2,AO44,CC44,0,BL44,IF(OptControl=3,1,0),1,2)+IF(OR(VolSkewFlag=2,ABS(BR44)&lt;0.0001),0,IF(BR44&gt;0,-1,1)*CJ44*Strike2/BP44^2*BX44/10%),0)</f>
        <v>0</v>
      </c>
      <c r="CJ44" s="155">
        <f ca="1">IF(BD44,(_xll.xCrudeAPO(BS44,BT44,CA44,CB44,S45,S46,BI44,BL44,BN44,BO44,0,Strike2,AO44,CC44,0,BL44,IF(OptControl=3,1,0),3,1)+_xll.xCrudeAPO(BS44,BT44,CA44,CB44,S45,S46,BI44,BL44,BN44,BO44,0,Strike2,AO44,CC44,0,BL44,IF(OptControl=3,1,0),3,2))/100,0)</f>
        <v>0</v>
      </c>
      <c r="CK44" s="156">
        <f ca="1">IF(BD44,_xll.xCrudeAPO(BS44,BT44,CA44,CB44,S45,S46,BI44-DaysForThetaCalculation/365.25,BL44-DaysForThetaCalculation/365.25,BN44,BO44,0,Strike2,AO44,CC44,0,BL44,IF(OptControl=3,1,0),0,1)-_xll.xCrudeAPO(BS44,BT44,CA44,CB44,S45,S46,BI44,BL44,BN44,BO44,0,Strike2,AO44,CC44,0,BL44,IF(OptControl=3,1,0),0,1),0)</f>
        <v>0</v>
      </c>
      <c r="CL44" s="51"/>
      <c r="CM44" s="779" t="str">
        <f t="shared" ca="1" si="52"/>
        <v/>
      </c>
      <c r="CN44" s="783" t="str">
        <f t="shared" ca="1" si="53"/>
        <v/>
      </c>
      <c r="CO44" s="780" t="str">
        <f t="shared" ca="1" si="54"/>
        <v/>
      </c>
      <c r="CP44" s="780" t="str">
        <f t="shared" ca="1" si="55"/>
        <v/>
      </c>
      <c r="CQ44" s="780" t="str">
        <f t="shared" ca="1" si="56"/>
        <v/>
      </c>
      <c r="CR44" s="780" t="str">
        <f t="shared" ca="1" si="57"/>
        <v/>
      </c>
      <c r="CS44" s="781" t="str">
        <f t="shared" ca="1" si="58"/>
        <v/>
      </c>
      <c r="CT44" s="782" t="str">
        <f t="shared" ca="1" si="59"/>
        <v/>
      </c>
      <c r="CU44" s="782" t="str">
        <f t="shared" ca="1" si="60"/>
        <v/>
      </c>
      <c r="CV44" s="155">
        <f ca="1">IF(BD44,_xll.EURO(CN44,Strike1,AO44,AO44,CT44,CM44,IF(OptControl=4,0,1),0),0)</f>
        <v>0</v>
      </c>
      <c r="CW44" s="155">
        <f ca="1">IF(BD44,_xll.EURO(CN44,Strike1,AO44,AO44,CT44,CM44,IF(OptControl=4,0,1),1)+IF(OR(VolSkewFlag=2,ABS(CO44)&lt;0.0001),0,IF(CO44&gt;0,-1,1)*CX44*100*Strike1/CN44^2*CQ44/10%),0)</f>
        <v>0</v>
      </c>
      <c r="CX44" s="155">
        <f ca="1">IF(BD44,_xll.EURO(CN44,Strike1,AO44,AO44,CT44,CM44,IF(OptControl=4,0,1),3)/100,0)</f>
        <v>0</v>
      </c>
      <c r="CY44" s="155">
        <f ca="1">IF(BD44,_xll.EURO(CN44,Strike1,AO44,AO44,CT44,CM44,IF(OptControl=4,0,1),0)-_xll.EURO(CN44,Strike1,AO44,AO44,CT44,CM44-1,IF(OptControl=4,0,1),0),0)</f>
        <v>0</v>
      </c>
      <c r="CZ44" s="155">
        <f ca="1">IF(BD44,_xll.EURO(CN44,Strike2,AO44,AO44,CU44,CM44,IF(OptControl=3,1,0),0),0)</f>
        <v>0</v>
      </c>
      <c r="DA44" s="155">
        <f ca="1">IF(BD44,_xll.EURO(CN44,Strike2,AO44,AO44,CU44,CM44,IF(OptControl=3,1,0),1)+IF(OR(VolSkewFlag=2,ABS(CP44)&lt;0.0001),0,IF(CP44&gt;0,-1,1)*DB44*100*Strike2/CN44^2*CR44/10%),0)</f>
        <v>0</v>
      </c>
      <c r="DB44" s="155">
        <f ca="1">IF(BD44,_xll.EURO(CN44,Strike2,AO44,AO44,CU44,CM44,IF(OptControl=3,1,0),3)/100,0)</f>
        <v>0</v>
      </c>
      <c r="DC44" s="156">
        <f ca="1">IF(BD44,_xll.EURO(CN44,Strike2,AO44,AO44,CU44,CM44,IF(OptControl=3,1,0),0)-_xll.EURO(CN44,Strike2,AO44,AO44,CU44,CM44-1,IF(OptControl=3,1,0),0),0)</f>
        <v>0</v>
      </c>
      <c r="DE44" s="651">
        <f t="shared" ca="1" si="61"/>
        <v>37653</v>
      </c>
      <c r="DF44" s="465">
        <v>1E-4</v>
      </c>
      <c r="DG44" s="649">
        <v>1E-4</v>
      </c>
      <c r="DH44" s="650">
        <f t="shared" ca="1" si="23"/>
        <v>37653</v>
      </c>
      <c r="DI44" s="465">
        <v>1E-4</v>
      </c>
      <c r="DJ44" s="649">
        <v>1E-4</v>
      </c>
      <c r="DK44" s="651">
        <f t="shared" ca="1" si="24"/>
        <v>37653</v>
      </c>
      <c r="DL44" s="652">
        <f t="shared" si="25"/>
        <v>5.0100000000000006E-2</v>
      </c>
      <c r="DM44" s="651">
        <f t="shared" ca="1" si="62"/>
        <v>37653</v>
      </c>
      <c r="DN44" s="563">
        <f t="shared" si="63"/>
        <v>-0.12990000000000002</v>
      </c>
      <c r="DO44" s="803">
        <v>-0.13</v>
      </c>
      <c r="DP44" s="650">
        <f t="shared" ca="1" si="26"/>
        <v>37653</v>
      </c>
      <c r="DQ44" s="653">
        <v>1E-4</v>
      </c>
      <c r="DR44" s="590">
        <v>1E-4</v>
      </c>
      <c r="DS44" s="650">
        <f t="shared" ca="1" si="27"/>
        <v>37653</v>
      </c>
      <c r="DT44" s="653">
        <v>1E-4</v>
      </c>
      <c r="DU44" s="590">
        <v>1E-4</v>
      </c>
      <c r="DV44" s="651">
        <f t="shared" ca="1" si="28"/>
        <v>37653</v>
      </c>
      <c r="DW44" s="590">
        <v>1E-4</v>
      </c>
      <c r="DX44" s="651">
        <f t="shared" ca="1" si="64"/>
        <v>37653</v>
      </c>
      <c r="DY44" s="590">
        <f t="shared" si="65"/>
        <v>1E-4</v>
      </c>
      <c r="DZ44" s="106"/>
      <c r="EA44" s="863" t="e">
        <f ca="1">_xll.ASN(X44,X44,AO44,AS44,0,AI44,0,BI44,BL44,1,0)</f>
        <v>#NAME?</v>
      </c>
      <c r="EB44" s="653" t="e">
        <f ca="1">_xll.ASN(X44,X44,AO44,AS44,0,AI44,0,BI44,BL44,1,3)/100</f>
        <v>#NAME?</v>
      </c>
      <c r="EC44" s="653" t="e">
        <f ca="1">_xll.xCrudeAPO(L45,L46,O45,O46,S45,S46,BI44,BL44,AJ44,AK44,0,X44,AO44,1,0,+BL44,1,0,1)</f>
        <v>#NAME?</v>
      </c>
      <c r="ED44" s="869" t="e">
        <f t="shared" ca="1" si="165"/>
        <v>#NAME?</v>
      </c>
      <c r="EE44" s="863" t="e">
        <f t="shared" ca="1" si="29"/>
        <v>#NAME?</v>
      </c>
      <c r="EF44" s="590" t="e">
        <f t="shared" ca="1" si="30"/>
        <v>#NAME?</v>
      </c>
      <c r="EG44" s="862" t="str">
        <f t="shared" ca="1" si="31"/>
        <v/>
      </c>
      <c r="EH44" s="114" t="str">
        <f t="shared" ca="1" si="32"/>
        <v/>
      </c>
      <c r="EI44" s="109" t="str">
        <f t="shared" ca="1" si="33"/>
        <v/>
      </c>
      <c r="EJ44" s="115">
        <f ca="1">IF(BD44,_xll.xASN(BP44,Strike1,AO44,EH44,0,BM44,0,BI44,BL44,IF(OptControl=4,0,1),0),0)</f>
        <v>0</v>
      </c>
      <c r="EK44" s="108">
        <f ca="1">IF(BD44,_xll.xASN(BP44,Strike2,AO44,EI44,0,BM44,0,BI44,BL44,IF(OptControl=3,1,0),0),0)</f>
        <v>0</v>
      </c>
      <c r="EM44" s="473" t="e">
        <f>[1]!'CLc25 MTH'</f>
        <v>#REF!</v>
      </c>
      <c r="EN44" s="474" t="e">
        <f t="shared" si="158"/>
        <v>#REF!</v>
      </c>
      <c r="EO44" s="475" t="e">
        <f>[1]!'CLc25 NET.CHNG'</f>
        <v>#REF!</v>
      </c>
      <c r="EP44" s="476">
        <f t="shared" si="159"/>
        <v>0</v>
      </c>
      <c r="EQ44" s="106"/>
      <c r="ER44" s="681">
        <v>38711</v>
      </c>
      <c r="ES44" s="682">
        <v>40909</v>
      </c>
      <c r="ET44" s="106"/>
      <c r="EU44" s="667" t="s">
        <v>148</v>
      </c>
      <c r="EW44" s="488">
        <v>25</v>
      </c>
      <c r="EX44" s="466">
        <f t="shared" ca="1" si="166"/>
        <v>2.0177960301163584</v>
      </c>
      <c r="EY44" s="824">
        <f t="shared" ca="1" si="66"/>
        <v>0.11814205149446001</v>
      </c>
      <c r="EZ44" s="798">
        <f t="shared" ca="1" si="160"/>
        <v>0.24220162321674549</v>
      </c>
      <c r="FA44" s="468" t="str">
        <f t="shared" ca="1" si="161"/>
        <v/>
      </c>
      <c r="FB44" s="467" t="str">
        <f t="shared" ca="1" si="162"/>
        <v/>
      </c>
      <c r="FC44" s="242">
        <v>0</v>
      </c>
      <c r="FD44" s="589" t="str">
        <f ca="1">IF(OR(FA44="",FA45=""),"",SQRT(SUM(INDEX(FO44:IH44,SwaptionFirstMonthPosition+1):INDEX(FO44:IH44,FN44))/SUM(INDEX($FO$15:$IH$15,SwaptionFirstMonthPosition+1):INDEX($FO$15:$IH$15,FN44))))</f>
        <v/>
      </c>
      <c r="FE44" s="565" t="str">
        <f ca="1">IF(OR(FA44="",FA43=""),"",SQRT(SUM(INDEX(FO44:IH44,SwaptionFirstMonthPosition+1):INDEX(FO44:IH44,FN44-1))/SUM(INDEX($FO$15:$IH$15,SwaptionFirstMonthPosition+1):INDEX($FO$15:$IH$15,FN44-1))))</f>
        <v/>
      </c>
      <c r="FF44" s="562" t="str">
        <f t="shared" ca="1" si="67"/>
        <v/>
      </c>
      <c r="FG44" s="593" t="str">
        <f t="shared" ca="1" si="68"/>
        <v/>
      </c>
      <c r="FH44" s="563" t="str">
        <f t="shared" ca="1" si="69"/>
        <v/>
      </c>
      <c r="FI44" s="563" t="str">
        <f t="shared" ca="1" si="70"/>
        <v/>
      </c>
      <c r="FJ44" s="563" t="str">
        <f t="shared" ca="1" si="71"/>
        <v/>
      </c>
      <c r="FK44" s="564" t="str">
        <f t="shared" ca="1" si="72"/>
        <v/>
      </c>
      <c r="FL44" s="590" t="str">
        <f t="shared" ca="1" si="73"/>
        <v/>
      </c>
      <c r="FM44" s="242"/>
      <c r="FN44" s="657">
        <v>25</v>
      </c>
      <c r="FO44" s="450">
        <f t="shared" ca="1" si="74"/>
        <v>7.3962594795424054E-4</v>
      </c>
      <c r="FP44" s="450">
        <f t="shared" ca="1" si="75"/>
        <v>2.810887216184874E-3</v>
      </c>
      <c r="FQ44" s="450">
        <f t="shared" ca="1" si="76"/>
        <v>2.7525472809108017E-3</v>
      </c>
      <c r="FR44" s="450">
        <f t="shared" ca="1" si="77"/>
        <v>3.0822315297819296E-3</v>
      </c>
      <c r="FS44" s="450">
        <f t="shared" ca="1" si="78"/>
        <v>2.9380836133788479E-3</v>
      </c>
      <c r="FT44" s="450">
        <f t="shared" ca="1" si="79"/>
        <v>3.193483848778671E-3</v>
      </c>
      <c r="FU44" s="450">
        <f t="shared" ca="1" si="80"/>
        <v>3.0581460711656696E-3</v>
      </c>
      <c r="FV44" s="450">
        <f t="shared" ca="1" si="81"/>
        <v>2.9233856808212168E-3</v>
      </c>
      <c r="FW44" s="450">
        <f t="shared" ca="1" si="82"/>
        <v>3.217671744592377E-3</v>
      </c>
      <c r="FX44" s="450">
        <f t="shared" ca="1" si="83"/>
        <v>3.6481786831936646E-3</v>
      </c>
      <c r="FY44" s="450">
        <f t="shared" ca="1" si="84"/>
        <v>3.3167800063515318E-3</v>
      </c>
      <c r="FZ44" s="450">
        <f t="shared" ca="1" si="85"/>
        <v>3.4456671403875474E-3</v>
      </c>
      <c r="GA44" s="450">
        <f t="shared" ca="1" si="86"/>
        <v>4.0921702539204272E-3</v>
      </c>
      <c r="GB44" s="450">
        <f t="shared" ca="1" si="87"/>
        <v>3.7726177849354667E-3</v>
      </c>
      <c r="GC44" s="450">
        <f t="shared" ca="1" si="88"/>
        <v>4.3923999586424805E-3</v>
      </c>
      <c r="GD44" s="450">
        <f t="shared" ca="1" si="89"/>
        <v>4.3729660990530434E-3</v>
      </c>
      <c r="GE44" s="450">
        <f t="shared" ca="1" si="90"/>
        <v>4.5214985052744053E-3</v>
      </c>
      <c r="GF44" s="450">
        <f t="shared" ca="1" si="91"/>
        <v>5.5478825632647886E-3</v>
      </c>
      <c r="GG44" s="450">
        <f t="shared" ca="1" si="92"/>
        <v>5.48761786539541E-3</v>
      </c>
      <c r="GH44" s="450">
        <f t="shared" ca="1" si="93"/>
        <v>5.8305099766382106E-3</v>
      </c>
      <c r="GI44" s="450">
        <f t="shared" ca="1" si="94"/>
        <v>6.9287180899452036E-3</v>
      </c>
      <c r="GJ44" s="450">
        <f t="shared" ca="1" si="95"/>
        <v>7.8016446442964755E-3</v>
      </c>
      <c r="GK44" s="450">
        <f t="shared" ca="1" si="96"/>
        <v>8.9118914748377021E-3</v>
      </c>
      <c r="GL44" s="450">
        <f t="shared" ca="1" si="97"/>
        <v>9.345461887471913E-3</v>
      </c>
      <c r="GM44" s="450">
        <f t="shared" ca="1" si="98"/>
        <v>1.2235128778586332E-2</v>
      </c>
      <c r="GN44" s="450" t="str">
        <f t="shared" si="99"/>
        <v/>
      </c>
      <c r="GO44" s="450" t="str">
        <f t="shared" si="100"/>
        <v/>
      </c>
      <c r="GP44" s="450" t="str">
        <f t="shared" si="101"/>
        <v/>
      </c>
      <c r="GQ44" s="450" t="str">
        <f t="shared" si="102"/>
        <v/>
      </c>
      <c r="GR44" s="450" t="str">
        <f t="shared" si="103"/>
        <v/>
      </c>
      <c r="GS44" s="450" t="str">
        <f t="shared" si="104"/>
        <v/>
      </c>
      <c r="GT44" s="450" t="str">
        <f t="shared" si="105"/>
        <v/>
      </c>
      <c r="GU44" s="450" t="str">
        <f t="shared" si="106"/>
        <v/>
      </c>
      <c r="GV44" s="450" t="str">
        <f t="shared" si="107"/>
        <v/>
      </c>
      <c r="GW44" s="450" t="str">
        <f t="shared" si="108"/>
        <v/>
      </c>
      <c r="GX44" s="450" t="str">
        <f t="shared" si="109"/>
        <v/>
      </c>
      <c r="GY44" s="450" t="str">
        <f t="shared" si="110"/>
        <v/>
      </c>
      <c r="GZ44" s="450" t="str">
        <f t="shared" si="111"/>
        <v/>
      </c>
      <c r="HA44" s="450" t="str">
        <f t="shared" si="112"/>
        <v/>
      </c>
      <c r="HB44" s="450" t="str">
        <f t="shared" si="113"/>
        <v/>
      </c>
      <c r="HC44" s="450" t="str">
        <f t="shared" si="114"/>
        <v/>
      </c>
      <c r="HD44" s="450" t="str">
        <f t="shared" si="115"/>
        <v/>
      </c>
      <c r="HE44" s="450" t="str">
        <f t="shared" si="116"/>
        <v/>
      </c>
      <c r="HF44" s="450" t="str">
        <f t="shared" si="117"/>
        <v/>
      </c>
      <c r="HG44" s="450" t="str">
        <f t="shared" si="118"/>
        <v/>
      </c>
      <c r="HH44" s="450" t="str">
        <f t="shared" si="119"/>
        <v/>
      </c>
      <c r="HI44" s="450" t="str">
        <f t="shared" si="120"/>
        <v/>
      </c>
      <c r="HJ44" s="450" t="str">
        <f t="shared" si="121"/>
        <v/>
      </c>
      <c r="HK44" s="450" t="str">
        <f t="shared" si="122"/>
        <v/>
      </c>
      <c r="HL44" s="450" t="str">
        <f t="shared" si="123"/>
        <v/>
      </c>
      <c r="HM44" s="450" t="str">
        <f t="shared" si="124"/>
        <v/>
      </c>
      <c r="HN44" s="450" t="str">
        <f t="shared" si="125"/>
        <v/>
      </c>
      <c r="HO44" s="450" t="str">
        <f t="shared" si="126"/>
        <v/>
      </c>
      <c r="HP44" s="450" t="str">
        <f t="shared" si="127"/>
        <v/>
      </c>
      <c r="HQ44" s="450" t="str">
        <f t="shared" si="128"/>
        <v/>
      </c>
      <c r="HR44" s="450" t="str">
        <f t="shared" si="129"/>
        <v/>
      </c>
      <c r="HS44" s="450" t="str">
        <f t="shared" si="130"/>
        <v/>
      </c>
      <c r="HT44" s="450" t="str">
        <f t="shared" si="131"/>
        <v/>
      </c>
      <c r="HU44" s="450" t="str">
        <f t="shared" si="132"/>
        <v/>
      </c>
      <c r="HV44" s="450" t="str">
        <f t="shared" si="133"/>
        <v/>
      </c>
      <c r="HW44" s="450" t="str">
        <f t="shared" si="134"/>
        <v/>
      </c>
      <c r="HX44" s="450" t="str">
        <f t="shared" si="135"/>
        <v/>
      </c>
      <c r="HY44" s="450" t="str">
        <f t="shared" si="136"/>
        <v/>
      </c>
      <c r="HZ44" s="450" t="str">
        <f t="shared" si="137"/>
        <v/>
      </c>
      <c r="IA44" s="450" t="str">
        <f t="shared" si="138"/>
        <v/>
      </c>
      <c r="IB44" s="450" t="str">
        <f t="shared" si="139"/>
        <v/>
      </c>
      <c r="IC44" s="450" t="str">
        <f t="shared" si="140"/>
        <v/>
      </c>
      <c r="ID44" s="450" t="str">
        <f t="shared" si="141"/>
        <v/>
      </c>
      <c r="IE44" s="450" t="str">
        <f t="shared" si="142"/>
        <v/>
      </c>
      <c r="IF44" s="450" t="str">
        <f t="shared" si="143"/>
        <v/>
      </c>
      <c r="IG44" s="450" t="str">
        <f t="shared" si="144"/>
        <v/>
      </c>
      <c r="IH44" s="658" t="str">
        <f t="shared" si="145"/>
        <v/>
      </c>
      <c r="II44" s="242"/>
    </row>
    <row r="45" spans="1:243" ht="14.25" customHeight="1" thickBot="1">
      <c r="A45" s="49">
        <f ca="1">getpositionofnumber(IntradayWTIPriceChanges,A44)</f>
        <v>80</v>
      </c>
      <c r="B45" s="54" t="s">
        <v>32</v>
      </c>
      <c r="C45" s="98"/>
      <c r="D45" s="98"/>
      <c r="E45" s="98"/>
      <c r="F45" s="354"/>
      <c r="G45" s="354"/>
      <c r="H45" s="49" t="e">
        <f t="shared" ca="1" si="34"/>
        <v>#N/A</v>
      </c>
      <c r="I45" s="369">
        <f t="shared" si="35"/>
        <v>37773</v>
      </c>
      <c r="J45" s="367">
        <v>23.07</v>
      </c>
      <c r="K45" s="101" t="s">
        <v>487</v>
      </c>
      <c r="L45" s="382">
        <f t="shared" si="36"/>
        <v>23.07</v>
      </c>
      <c r="M45" s="163">
        <v>0.24046585831475997</v>
      </c>
      <c r="N45" s="372">
        <v>0</v>
      </c>
      <c r="O45" s="163">
        <f t="shared" si="37"/>
        <v>0.24046585831475997</v>
      </c>
      <c r="P45" s="367">
        <v>21.7</v>
      </c>
      <c r="Q45" s="101">
        <v>0</v>
      </c>
      <c r="R45" s="367">
        <f t="shared" ca="1" si="147"/>
        <v>21.7</v>
      </c>
      <c r="S45" s="814">
        <f t="shared" si="163"/>
        <v>0.37928390704036102</v>
      </c>
      <c r="T45" s="813">
        <f t="shared" si="148"/>
        <v>0.99437459700563902</v>
      </c>
      <c r="U45" s="532">
        <f t="shared" si="149"/>
        <v>0.99998871184812754</v>
      </c>
      <c r="V45" s="379">
        <v>0</v>
      </c>
      <c r="W45" s="424">
        <f t="shared" si="150"/>
        <v>22.967142857142854</v>
      </c>
      <c r="X45" s="405">
        <f t="shared" si="38"/>
        <v>22.967142857142854</v>
      </c>
      <c r="Y45" s="313">
        <f t="shared" si="39"/>
        <v>21.645142857142858</v>
      </c>
      <c r="Z45" s="313">
        <f t="shared" ca="1" si="40"/>
        <v>21.645142857142858</v>
      </c>
      <c r="AA45" s="419">
        <f t="shared" si="1"/>
        <v>1.3219999999999956</v>
      </c>
      <c r="AB45" s="423">
        <f t="shared" ca="1" si="2"/>
        <v>1.3219999999999956</v>
      </c>
      <c r="AC45" s="218">
        <v>37761</v>
      </c>
      <c r="AD45" s="221">
        <v>37757</v>
      </c>
      <c r="AE45" s="219">
        <v>37756</v>
      </c>
      <c r="AF45" s="220">
        <v>37752</v>
      </c>
      <c r="AG45" s="241" t="s">
        <v>496</v>
      </c>
      <c r="AH45" s="239" t="s">
        <v>495</v>
      </c>
      <c r="AI45" s="141">
        <v>21</v>
      </c>
      <c r="AJ45" s="41">
        <v>15</v>
      </c>
      <c r="AK45" s="41">
        <v>6</v>
      </c>
      <c r="AL45" s="285">
        <v>21</v>
      </c>
      <c r="AM45" s="41">
        <v>10</v>
      </c>
      <c r="AN45" s="142">
        <v>11</v>
      </c>
      <c r="AO45" s="364">
        <v>4.7298935772343204E-2</v>
      </c>
      <c r="AP45" s="145">
        <f t="shared" ca="1" si="41"/>
        <v>0.90129038531278272</v>
      </c>
      <c r="AQ45" s="364">
        <v>4.1314506436532103E-2</v>
      </c>
      <c r="AR45" s="145">
        <f t="shared" ca="1" si="151"/>
        <v>0.91771012990906609</v>
      </c>
      <c r="AS45" s="264">
        <f t="shared" si="3"/>
        <v>0.23614015052675141</v>
      </c>
      <c r="AT45" s="149">
        <f t="shared" si="42"/>
        <v>0.24046585831475997</v>
      </c>
      <c r="AU45" s="149">
        <f t="shared" si="4"/>
        <v>0.23562466410997762</v>
      </c>
      <c r="AV45" s="263">
        <f t="shared" ca="1" si="164"/>
        <v>0.23307043906571609</v>
      </c>
      <c r="AW45" s="150" t="str">
        <f t="shared" ca="1" si="5"/>
        <v/>
      </c>
      <c r="AX45" s="149">
        <f t="shared" ca="1" si="152"/>
        <v>4.5891797379678127E-2</v>
      </c>
      <c r="AY45" s="149">
        <f t="shared" ca="1" si="153"/>
        <v>2.5294698529405146E-2</v>
      </c>
      <c r="AZ45" s="149">
        <f t="shared" ca="1" si="154"/>
        <v>1.1650639868301008E-2</v>
      </c>
      <c r="BA45" s="149">
        <f t="shared" ca="1" si="155"/>
        <v>1.0000000000000024E-4</v>
      </c>
      <c r="BB45" s="149">
        <f t="shared" ca="1" si="156"/>
        <v>1.0000000000000024E-4</v>
      </c>
      <c r="BC45" s="149">
        <f t="shared" ca="1" si="157"/>
        <v>1.0000000000000024E-4</v>
      </c>
      <c r="BD45" s="143">
        <f t="shared" ca="1" si="43"/>
        <v>0</v>
      </c>
      <c r="BE45" s="144">
        <f t="shared" ca="1" si="44"/>
        <v>0</v>
      </c>
      <c r="BF45" s="40">
        <f t="shared" si="7"/>
        <v>2003</v>
      </c>
      <c r="BG45" s="139">
        <f t="shared" si="8"/>
        <v>6</v>
      </c>
      <c r="BH45" s="140">
        <f t="shared" ca="1" si="45"/>
        <v>767</v>
      </c>
      <c r="BI45" s="304">
        <f t="shared" ca="1" si="46"/>
        <v>2.1437371663244353</v>
      </c>
      <c r="BJ45" s="42">
        <f t="shared" ca="1" si="47"/>
        <v>2.2004497897721715</v>
      </c>
      <c r="BK45" s="42">
        <f t="shared" ca="1" si="9"/>
        <v>2.2031876405593036</v>
      </c>
      <c r="BL45" s="42">
        <f t="shared" ca="1" si="48"/>
        <v>2.2231348391512662</v>
      </c>
      <c r="BM45" s="285">
        <f t="shared" si="49"/>
        <v>21</v>
      </c>
      <c r="BN45" s="41">
        <f t="shared" si="50"/>
        <v>15</v>
      </c>
      <c r="BO45" s="41">
        <f t="shared" si="51"/>
        <v>6</v>
      </c>
      <c r="BP45" s="297" t="str">
        <f t="shared" ca="1" si="10"/>
        <v/>
      </c>
      <c r="BQ45" s="297" t="str">
        <f t="shared" ca="1" si="11"/>
        <v/>
      </c>
      <c r="BR45" s="299" t="str">
        <f t="shared" ca="1" si="12"/>
        <v/>
      </c>
      <c r="BS45" s="153" t="str">
        <f t="shared" ca="1" si="13"/>
        <v/>
      </c>
      <c r="BT45" s="153" t="str">
        <f t="shared" ca="1" si="14"/>
        <v/>
      </c>
      <c r="BU45" s="300" t="str">
        <f t="shared" ca="1" si="15"/>
        <v/>
      </c>
      <c r="BV45" s="301" t="str">
        <f t="shared" ca="1" si="16"/>
        <v/>
      </c>
      <c r="BW45" s="300" t="str">
        <f t="shared" ca="1" si="17"/>
        <v/>
      </c>
      <c r="BX45" s="301" t="str">
        <f t="shared" ca="1" si="18"/>
        <v/>
      </c>
      <c r="BY45" s="146" t="str">
        <f t="shared" ca="1" si="19"/>
        <v/>
      </c>
      <c r="BZ45" s="146" t="str">
        <f t="shared" ca="1" si="20"/>
        <v/>
      </c>
      <c r="CA45" s="146" t="str">
        <f t="shared" ca="1" si="21"/>
        <v/>
      </c>
      <c r="CB45" s="146" t="str">
        <f t="shared" ca="1" si="22"/>
        <v/>
      </c>
      <c r="CC45" s="302">
        <v>1</v>
      </c>
      <c r="CD45" s="154">
        <f ca="1">IF(BD45,_xll.xCrudeAPO(BS45,BT45,BY45,BZ45,S46,S47,BI45,BL45,BN45,BO45,0,Strike1,AO45,CC45,0,BL45,IF(OptControl=4,0,1),0,1),0)</f>
        <v>0</v>
      </c>
      <c r="CE45" s="155">
        <f ca="1">IF(BD45,_xll.xCrudeAPO(BS45,BT45,BY45,BZ45,S46,S47,BI45,BL45,BN45,BO45,0,Strike1,AO45,CC45,0,BL45,IF(OptControl=4,0,1),1,1)+_xll.xCrudeAPO(BS45,BT45,BY45,BZ45,S46,S47,BI45,BL45,BN45,BO45,0,Strike1,AO45,CC45,0,BL45,IF(OptControl=4,0,1),1,2)+IF(OR(VolSkewFlag=2,ABS(BQ45)&lt;0.0001),0,IF(BQ45&gt;0,-1,1)*CF45*Strike1/BP45^2*BW45/10%),0)</f>
        <v>0</v>
      </c>
      <c r="CF45" s="155">
        <f ca="1">IF(BD45,(_xll.xCrudeAPO(BS45,BT45,BY45,BZ45,S46,S47,BI45,BL45,BN45,BO45,0,Strike1,AO45,CC45,0,BL45,IF(OptControl=4,0,1),3,1)+_xll.xCrudeAPO(BS45,BT45,BY45,BZ45,S46,S47,BI45,BL45,BN45,BO45,0,Strike1,AO45,CC45,0,BL45,IF(OptControl=4,0,1),3,2))/100,0)</f>
        <v>0</v>
      </c>
      <c r="CG45" s="155">
        <f ca="1">IF(BD45,_xll.xCrudeAPO(BS45,BT45,BY45,BZ45,S46,S47,BI45-DaysForThetaCalculation/365.25,BL45-DaysForThetaCalculation/365.25,BN45,BO45,0,Strike1,AO45,CC45,0,BL45,IF(OptControl=4,0,1),0,1)-_xll.xCrudeAPO(BS45,BT45,BY45,BZ45,S46,S47,BI45,BL45,BN45,BO45,0,Strike1,AO45,CC45,0,BL45,IF(OptControl=4,0,1),0,1),0)</f>
        <v>0</v>
      </c>
      <c r="CH45" s="303">
        <f ca="1">IF(BD45,_xll.xCrudeAPO(BS45,BT45,CA45,CB45,S46,S47,BI45,BL45,BN45,BO45,0,Strike2,AO45,CC45,0,BL45,IF(OptControl=3,1,0),0,1),0)</f>
        <v>0</v>
      </c>
      <c r="CI45" s="155">
        <f ca="1">IF(BD45,_xll.xCrudeAPO(BS45,BT45,CA45,CB45,S46,S47,BI45,BL45,BN45,BO45,0,Strike2,AO45,CC45,0,BL45,IF(OptControl=3,1,0),1,1)+_xll.xCrudeAPO(BS45,BT45,CA45,CB45,S46,S47,BI45,BL45,BN45,BO45,0,Strike2,AO45,CC45,0,BL45,IF(OptControl=3,1,0),1,2)+IF(OR(VolSkewFlag=2,ABS(BR45)&lt;0.0001),0,IF(BR45&gt;0,-1,1)*CJ45*Strike2/BP45^2*BX45/10%),0)</f>
        <v>0</v>
      </c>
      <c r="CJ45" s="155">
        <f ca="1">IF(BD45,(_xll.xCrudeAPO(BS45,BT45,CA45,CB45,S46,S47,BI45,BL45,BN45,BO45,0,Strike2,AO45,CC45,0,BL45,IF(OptControl=3,1,0),3,1)+_xll.xCrudeAPO(BS45,BT45,CA45,CB45,S46,S47,BI45,BL45,BN45,BO45,0,Strike2,AO45,CC45,0,BL45,IF(OptControl=3,1,0),3,2))/100,0)</f>
        <v>0</v>
      </c>
      <c r="CK45" s="156">
        <f ca="1">IF(BD45,_xll.xCrudeAPO(BS45,BT45,CA45,CB45,S46,S47,BI45-DaysForThetaCalculation/365.25,BL45-DaysForThetaCalculation/365.25,BN45,BO45,0,Strike2,AO45,CC45,0,BL45,IF(OptControl=3,1,0),0,1)-_xll.xCrudeAPO(BS45,BT45,CA45,CB45,S46,S47,BI45,BL45,BN45,BO45,0,Strike2,AO45,CC45,0,BL45,IF(OptControl=3,1,0),0,1),0)</f>
        <v>0</v>
      </c>
      <c r="CL45" s="51"/>
      <c r="CM45" s="779" t="str">
        <f t="shared" ca="1" si="52"/>
        <v/>
      </c>
      <c r="CN45" s="783" t="str">
        <f t="shared" ca="1" si="53"/>
        <v/>
      </c>
      <c r="CO45" s="780" t="str">
        <f t="shared" ca="1" si="54"/>
        <v/>
      </c>
      <c r="CP45" s="780" t="str">
        <f t="shared" ca="1" si="55"/>
        <v/>
      </c>
      <c r="CQ45" s="780" t="str">
        <f t="shared" ca="1" si="56"/>
        <v/>
      </c>
      <c r="CR45" s="780" t="str">
        <f t="shared" ca="1" si="57"/>
        <v/>
      </c>
      <c r="CS45" s="781" t="str">
        <f t="shared" ca="1" si="58"/>
        <v/>
      </c>
      <c r="CT45" s="782" t="str">
        <f t="shared" ca="1" si="59"/>
        <v/>
      </c>
      <c r="CU45" s="782" t="str">
        <f t="shared" ca="1" si="60"/>
        <v/>
      </c>
      <c r="CV45" s="155">
        <f ca="1">IF(BD45,_xll.EURO(CN45,Strike1,AO45,AO45,CT45,CM45,IF(OptControl=4,0,1),0),0)</f>
        <v>0</v>
      </c>
      <c r="CW45" s="155">
        <f ca="1">IF(BD45,_xll.EURO(CN45,Strike1,AO45,AO45,CT45,CM45,IF(OptControl=4,0,1),1)+IF(OR(VolSkewFlag=2,ABS(CO45)&lt;0.0001),0,IF(CO45&gt;0,-1,1)*CX45*100*Strike1/CN45^2*CQ45/10%),0)</f>
        <v>0</v>
      </c>
      <c r="CX45" s="155">
        <f ca="1">IF(BD45,_xll.EURO(CN45,Strike1,AO45,AO45,CT45,CM45,IF(OptControl=4,0,1),3)/100,0)</f>
        <v>0</v>
      </c>
      <c r="CY45" s="155">
        <f ca="1">IF(BD45,_xll.EURO(CN45,Strike1,AO45,AO45,CT45,CM45,IF(OptControl=4,0,1),0)-_xll.EURO(CN45,Strike1,AO45,AO45,CT45,CM45-1,IF(OptControl=4,0,1),0),0)</f>
        <v>0</v>
      </c>
      <c r="CZ45" s="155">
        <f ca="1">IF(BD45,_xll.EURO(CN45,Strike2,AO45,AO45,CU45,CM45,IF(OptControl=3,1,0),0),0)</f>
        <v>0</v>
      </c>
      <c r="DA45" s="155">
        <f ca="1">IF(BD45,_xll.EURO(CN45,Strike2,AO45,AO45,CU45,CM45,IF(OptControl=3,1,0),1)+IF(OR(VolSkewFlag=2,ABS(CP45)&lt;0.0001),0,IF(CP45&gt;0,-1,1)*DB45*100*Strike2/CN45^2*CR45/10%),0)</f>
        <v>0</v>
      </c>
      <c r="DB45" s="155">
        <f ca="1">IF(BD45,_xll.EURO(CN45,Strike2,AO45,AO45,CU45,CM45,IF(OptControl=3,1,0),3)/100,0)</f>
        <v>0</v>
      </c>
      <c r="DC45" s="156">
        <f ca="1">IF(BD45,_xll.EURO(CN45,Strike2,AO45,AO45,CU45,CM45,IF(OptControl=3,1,0),0)-_xll.EURO(CN45,Strike2,AO45,AO45,CU45,CM45-1,IF(OptControl=3,1,0),0),0)</f>
        <v>0</v>
      </c>
      <c r="DE45" s="651">
        <f t="shared" ca="1" si="61"/>
        <v>37681</v>
      </c>
      <c r="DF45" s="465">
        <v>1E-4</v>
      </c>
      <c r="DG45" s="649">
        <v>1E-4</v>
      </c>
      <c r="DH45" s="650">
        <f t="shared" ca="1" si="23"/>
        <v>37681</v>
      </c>
      <c r="DI45" s="465">
        <v>1E-4</v>
      </c>
      <c r="DJ45" s="649">
        <v>1E-4</v>
      </c>
      <c r="DK45" s="651">
        <f t="shared" ca="1" si="24"/>
        <v>37681</v>
      </c>
      <c r="DL45" s="652">
        <f t="shared" si="25"/>
        <v>5.0100000000000006E-2</v>
      </c>
      <c r="DM45" s="651">
        <f t="shared" ca="1" si="62"/>
        <v>37681</v>
      </c>
      <c r="DN45" s="563">
        <f t="shared" si="63"/>
        <v>-0.12990000000000002</v>
      </c>
      <c r="DO45" s="803">
        <v>-0.13</v>
      </c>
      <c r="DP45" s="650">
        <f t="shared" ca="1" si="26"/>
        <v>37681</v>
      </c>
      <c r="DQ45" s="653">
        <v>1E-4</v>
      </c>
      <c r="DR45" s="590">
        <v>1E-4</v>
      </c>
      <c r="DS45" s="650">
        <f t="shared" ca="1" si="27"/>
        <v>37681</v>
      </c>
      <c r="DT45" s="653">
        <v>1E-4</v>
      </c>
      <c r="DU45" s="590">
        <v>1E-4</v>
      </c>
      <c r="DV45" s="651">
        <f t="shared" ca="1" si="28"/>
        <v>37681</v>
      </c>
      <c r="DW45" s="590">
        <v>1E-4</v>
      </c>
      <c r="DX45" s="651">
        <f t="shared" ca="1" si="64"/>
        <v>37681</v>
      </c>
      <c r="DY45" s="590">
        <f t="shared" si="65"/>
        <v>1E-4</v>
      </c>
      <c r="DZ45" s="1"/>
      <c r="EA45" s="863" t="e">
        <f ca="1">_xll.ASN(X45,X45,AO45,AS45,0,AI45,0,BI45,BL45,1,0)</f>
        <v>#NAME?</v>
      </c>
      <c r="EB45" s="653" t="e">
        <f ca="1">_xll.ASN(X45,X45,AO45,AS45,0,AI45,0,BI45,BL45,1,3)/100</f>
        <v>#NAME?</v>
      </c>
      <c r="EC45" s="653" t="e">
        <f ca="1">_xll.xCrudeAPO(L46,L47,O46,O47,S46,S47,BI45,BL45,AJ45,AK45,0,X45,AO45,1,0,+BL45,1,0,1)</f>
        <v>#NAME?</v>
      </c>
      <c r="ED45" s="869" t="e">
        <f t="shared" ca="1" si="165"/>
        <v>#NAME?</v>
      </c>
      <c r="EE45" s="863" t="e">
        <f t="shared" ca="1" si="29"/>
        <v>#NAME?</v>
      </c>
      <c r="EF45" s="590" t="e">
        <f t="shared" ca="1" si="30"/>
        <v>#NAME?</v>
      </c>
      <c r="EG45" s="862" t="str">
        <f t="shared" ca="1" si="31"/>
        <v/>
      </c>
      <c r="EH45" s="114" t="str">
        <f t="shared" ca="1" si="32"/>
        <v/>
      </c>
      <c r="EI45" s="109" t="str">
        <f t="shared" ca="1" si="33"/>
        <v/>
      </c>
      <c r="EJ45" s="115">
        <f ca="1">IF(BD45,_xll.xASN(BP45,Strike1,AO45,EH45,0,BM45,0,BI45,BL45,IF(OptControl=4,0,1),0),0)</f>
        <v>0</v>
      </c>
      <c r="EK45" s="108">
        <f ca="1">IF(BD45,_xll.xASN(BP45,Strike2,AO45,EI45,0,BM45,0,BI45,BL45,IF(OptControl=3,1,0),0),0)</f>
        <v>0</v>
      </c>
      <c r="EM45" s="473" t="e">
        <f>[1]!'CLc26 MTH'</f>
        <v>#REF!</v>
      </c>
      <c r="EN45" s="474" t="e">
        <f t="shared" si="158"/>
        <v>#REF!</v>
      </c>
      <c r="EO45" s="475" t="e">
        <f>[1]!'CLc26 NET.CHNG'</f>
        <v>#REF!</v>
      </c>
      <c r="EP45" s="476">
        <f t="shared" si="159"/>
        <v>0</v>
      </c>
      <c r="EQ45" s="1"/>
      <c r="ER45" s="681">
        <v>38718</v>
      </c>
      <c r="ES45" s="682">
        <v>41268</v>
      </c>
      <c r="ET45" s="1"/>
      <c r="EU45" s="667" t="s">
        <v>149</v>
      </c>
      <c r="EW45" s="488">
        <v>26</v>
      </c>
      <c r="EX45" s="466">
        <f t="shared" ca="1" si="166"/>
        <v>2.0999315537303218</v>
      </c>
      <c r="EY45" s="824">
        <f t="shared" ca="1" si="66"/>
        <v>0.12142608310621926</v>
      </c>
      <c r="EZ45" s="798">
        <f t="shared" ca="1" si="160"/>
        <v>0.23982089215907526</v>
      </c>
      <c r="FA45" s="468" t="str">
        <f t="shared" ca="1" si="161"/>
        <v/>
      </c>
      <c r="FB45" s="467" t="str">
        <f t="shared" ca="1" si="162"/>
        <v/>
      </c>
      <c r="FC45" s="242">
        <v>0</v>
      </c>
      <c r="FD45" s="589" t="str">
        <f ca="1">IF(OR(FA45="",FA46=""),"",SQRT(SUM(INDEX(FO45:IH45,SwaptionFirstMonthPosition+1):INDEX(FO45:IH45,FN45))/SUM(INDEX($FO$15:$IH$15,SwaptionFirstMonthPosition+1):INDEX($FO$15:$IH$15,FN45))))</f>
        <v/>
      </c>
      <c r="FE45" s="565" t="str">
        <f ca="1">IF(OR(FA45="",FA44=""),"",SQRT(SUM(INDEX(FO45:IH45,SwaptionFirstMonthPosition+1):INDEX(FO45:IH45,FN45-1))/SUM(INDEX($FO$15:$IH$15,SwaptionFirstMonthPosition+1):INDEX($FO$15:$IH$15,FN45-1))))</f>
        <v/>
      </c>
      <c r="FF45" s="562" t="str">
        <f t="shared" ca="1" si="67"/>
        <v/>
      </c>
      <c r="FG45" s="593" t="str">
        <f t="shared" ca="1" si="68"/>
        <v/>
      </c>
      <c r="FH45" s="563" t="str">
        <f t="shared" ca="1" si="69"/>
        <v/>
      </c>
      <c r="FI45" s="563" t="str">
        <f t="shared" ca="1" si="70"/>
        <v/>
      </c>
      <c r="FJ45" s="563" t="str">
        <f t="shared" ca="1" si="71"/>
        <v/>
      </c>
      <c r="FK45" s="564" t="str">
        <f t="shared" ca="1" si="72"/>
        <v/>
      </c>
      <c r="FL45" s="590" t="str">
        <f t="shared" ca="1" si="73"/>
        <v/>
      </c>
      <c r="FM45" s="242"/>
      <c r="FN45" s="657">
        <v>26</v>
      </c>
      <c r="FO45" s="450">
        <f t="shared" ca="1" si="74"/>
        <v>7.3041514014344697E-4</v>
      </c>
      <c r="FP45" s="450">
        <f t="shared" ca="1" si="75"/>
        <v>2.7719928684590521E-3</v>
      </c>
      <c r="FQ45" s="450">
        <f t="shared" ca="1" si="76"/>
        <v>2.7102282854234321E-3</v>
      </c>
      <c r="FR45" s="450">
        <f t="shared" ca="1" si="77"/>
        <v>3.0295785066049119E-3</v>
      </c>
      <c r="FS45" s="450">
        <f t="shared" ca="1" si="78"/>
        <v>2.8823163035592947E-3</v>
      </c>
      <c r="FT45" s="450">
        <f t="shared" ca="1" si="79"/>
        <v>3.1261338242072421E-3</v>
      </c>
      <c r="FU45" s="450">
        <f t="shared" ca="1" si="80"/>
        <v>2.9864840998971034E-3</v>
      </c>
      <c r="FV45" s="450">
        <f t="shared" ca="1" si="81"/>
        <v>2.8472700009322303E-3</v>
      </c>
      <c r="FW45" s="450">
        <f t="shared" ca="1" si="82"/>
        <v>3.1245851285020033E-3</v>
      </c>
      <c r="FX45" s="450">
        <f t="shared" ca="1" si="83"/>
        <v>3.530910796670761E-3</v>
      </c>
      <c r="FY45" s="450">
        <f t="shared" ca="1" si="84"/>
        <v>3.1983185263813026E-3</v>
      </c>
      <c r="FZ45" s="450">
        <f t="shared" ca="1" si="85"/>
        <v>3.3089284868495963E-3</v>
      </c>
      <c r="GA45" s="450">
        <f t="shared" ca="1" si="86"/>
        <v>3.9117317728526108E-3</v>
      </c>
      <c r="GB45" s="450">
        <f t="shared" ca="1" si="87"/>
        <v>3.5877863791249761E-3</v>
      </c>
      <c r="GC45" s="450">
        <f t="shared" ca="1" si="88"/>
        <v>4.1532929378477476E-3</v>
      </c>
      <c r="GD45" s="450">
        <f t="shared" ca="1" si="89"/>
        <v>4.1084670891910445E-3</v>
      </c>
      <c r="GE45" s="450">
        <f t="shared" ca="1" si="90"/>
        <v>4.2176285077974154E-3</v>
      </c>
      <c r="GF45" s="450">
        <f t="shared" ca="1" si="91"/>
        <v>5.1336061756823799E-3</v>
      </c>
      <c r="GG45" s="450">
        <f t="shared" ca="1" si="92"/>
        <v>5.0323109222540326E-3</v>
      </c>
      <c r="GH45" s="450">
        <f t="shared" ca="1" si="93"/>
        <v>5.2930025797769059E-3</v>
      </c>
      <c r="GI45" s="450">
        <f t="shared" ca="1" si="94"/>
        <v>6.2189960627631671E-3</v>
      </c>
      <c r="GJ45" s="450">
        <f t="shared" ca="1" si="95"/>
        <v>6.9137139925710724E-3</v>
      </c>
      <c r="GK45" s="450">
        <f t="shared" ca="1" si="96"/>
        <v>7.7849009539431762E-3</v>
      </c>
      <c r="GL45" s="450">
        <f t="shared" ca="1" si="97"/>
        <v>8.0323291304261156E-3</v>
      </c>
      <c r="GM45" s="450">
        <f t="shared" ca="1" si="98"/>
        <v>1.0324950510092752E-2</v>
      </c>
      <c r="GN45" s="450">
        <f t="shared" ca="1" si="99"/>
        <v>1.1815711058710621E-2</v>
      </c>
      <c r="GO45" s="450" t="str">
        <f t="shared" si="100"/>
        <v/>
      </c>
      <c r="GP45" s="450" t="str">
        <f t="shared" si="101"/>
        <v/>
      </c>
      <c r="GQ45" s="450" t="str">
        <f t="shared" si="102"/>
        <v/>
      </c>
      <c r="GR45" s="450" t="str">
        <f t="shared" si="103"/>
        <v/>
      </c>
      <c r="GS45" s="450" t="str">
        <f t="shared" si="104"/>
        <v/>
      </c>
      <c r="GT45" s="450" t="str">
        <f t="shared" si="105"/>
        <v/>
      </c>
      <c r="GU45" s="450" t="str">
        <f t="shared" si="106"/>
        <v/>
      </c>
      <c r="GV45" s="450" t="str">
        <f t="shared" si="107"/>
        <v/>
      </c>
      <c r="GW45" s="450" t="str">
        <f t="shared" si="108"/>
        <v/>
      </c>
      <c r="GX45" s="450" t="str">
        <f t="shared" si="109"/>
        <v/>
      </c>
      <c r="GY45" s="450" t="str">
        <f t="shared" si="110"/>
        <v/>
      </c>
      <c r="GZ45" s="450" t="str">
        <f t="shared" si="111"/>
        <v/>
      </c>
      <c r="HA45" s="450" t="str">
        <f t="shared" si="112"/>
        <v/>
      </c>
      <c r="HB45" s="450" t="str">
        <f t="shared" si="113"/>
        <v/>
      </c>
      <c r="HC45" s="450" t="str">
        <f t="shared" si="114"/>
        <v/>
      </c>
      <c r="HD45" s="450" t="str">
        <f t="shared" si="115"/>
        <v/>
      </c>
      <c r="HE45" s="450" t="str">
        <f t="shared" si="116"/>
        <v/>
      </c>
      <c r="HF45" s="450" t="str">
        <f t="shared" si="117"/>
        <v/>
      </c>
      <c r="HG45" s="450" t="str">
        <f t="shared" si="118"/>
        <v/>
      </c>
      <c r="HH45" s="450" t="str">
        <f t="shared" si="119"/>
        <v/>
      </c>
      <c r="HI45" s="450" t="str">
        <f t="shared" si="120"/>
        <v/>
      </c>
      <c r="HJ45" s="450" t="str">
        <f t="shared" si="121"/>
        <v/>
      </c>
      <c r="HK45" s="450" t="str">
        <f t="shared" si="122"/>
        <v/>
      </c>
      <c r="HL45" s="450" t="str">
        <f t="shared" si="123"/>
        <v/>
      </c>
      <c r="HM45" s="450" t="str">
        <f t="shared" si="124"/>
        <v/>
      </c>
      <c r="HN45" s="450" t="str">
        <f t="shared" si="125"/>
        <v/>
      </c>
      <c r="HO45" s="450" t="str">
        <f t="shared" si="126"/>
        <v/>
      </c>
      <c r="HP45" s="450" t="str">
        <f t="shared" si="127"/>
        <v/>
      </c>
      <c r="HQ45" s="450" t="str">
        <f t="shared" si="128"/>
        <v/>
      </c>
      <c r="HR45" s="450" t="str">
        <f t="shared" si="129"/>
        <v/>
      </c>
      <c r="HS45" s="450" t="str">
        <f t="shared" si="130"/>
        <v/>
      </c>
      <c r="HT45" s="450" t="str">
        <f t="shared" si="131"/>
        <v/>
      </c>
      <c r="HU45" s="450" t="str">
        <f t="shared" si="132"/>
        <v/>
      </c>
      <c r="HV45" s="450" t="str">
        <f t="shared" si="133"/>
        <v/>
      </c>
      <c r="HW45" s="450" t="str">
        <f t="shared" si="134"/>
        <v/>
      </c>
      <c r="HX45" s="450" t="str">
        <f t="shared" si="135"/>
        <v/>
      </c>
      <c r="HY45" s="450" t="str">
        <f t="shared" si="136"/>
        <v/>
      </c>
      <c r="HZ45" s="450" t="str">
        <f t="shared" si="137"/>
        <v/>
      </c>
      <c r="IA45" s="450" t="str">
        <f t="shared" si="138"/>
        <v/>
      </c>
      <c r="IB45" s="450" t="str">
        <f t="shared" si="139"/>
        <v/>
      </c>
      <c r="IC45" s="450" t="str">
        <f t="shared" si="140"/>
        <v/>
      </c>
      <c r="ID45" s="450" t="str">
        <f t="shared" si="141"/>
        <v/>
      </c>
      <c r="IE45" s="450" t="str">
        <f t="shared" si="142"/>
        <v/>
      </c>
      <c r="IF45" s="450" t="str">
        <f t="shared" si="143"/>
        <v/>
      </c>
      <c r="IG45" s="450" t="str">
        <f t="shared" si="144"/>
        <v/>
      </c>
      <c r="IH45" s="658" t="str">
        <f t="shared" si="145"/>
        <v/>
      </c>
      <c r="II45" s="242"/>
    </row>
    <row r="46" spans="1:243" ht="14.25" customHeight="1">
      <c r="A46" s="49">
        <f t="shared" ca="1" si="167"/>
        <v>1080</v>
      </c>
      <c r="B46" s="87" t="s">
        <v>34</v>
      </c>
      <c r="C46" s="88"/>
      <c r="D46" s="131"/>
      <c r="E46" s="89" t="s">
        <v>14</v>
      </c>
      <c r="F46" s="555"/>
      <c r="G46" s="556"/>
      <c r="H46" s="49" t="e">
        <f t="shared" ca="1" si="34"/>
        <v>#N/A</v>
      </c>
      <c r="I46" s="369">
        <f t="shared" si="35"/>
        <v>37803</v>
      </c>
      <c r="J46" s="367">
        <v>22.99</v>
      </c>
      <c r="K46" s="101" t="s">
        <v>487</v>
      </c>
      <c r="L46" s="382">
        <f t="shared" si="36"/>
        <v>22.99</v>
      </c>
      <c r="M46" s="163">
        <v>0.23675873422687999</v>
      </c>
      <c r="N46" s="372">
        <v>0</v>
      </c>
      <c r="O46" s="163">
        <f t="shared" si="37"/>
        <v>0.23675873422687999</v>
      </c>
      <c r="P46" s="367">
        <v>21.664000000000001</v>
      </c>
      <c r="Q46" s="101" t="s">
        <v>268</v>
      </c>
      <c r="R46" s="367">
        <f t="shared" ca="1" si="147"/>
        <v>21.664000000000001</v>
      </c>
      <c r="S46" s="814">
        <f t="shared" si="163"/>
        <v>0.37889106796995742</v>
      </c>
      <c r="T46" s="813">
        <f t="shared" si="148"/>
        <v>0.99493940519482682</v>
      </c>
      <c r="U46" s="532">
        <f t="shared" si="149"/>
        <v>0.99999153388609563</v>
      </c>
      <c r="V46" s="379">
        <v>0</v>
      </c>
      <c r="W46" s="424">
        <f t="shared" si="150"/>
        <v>22.881363636363634</v>
      </c>
      <c r="X46" s="405">
        <f t="shared" si="38"/>
        <v>22.881363636363634</v>
      </c>
      <c r="Y46" s="313">
        <f t="shared" si="39"/>
        <v>21.607652173913042</v>
      </c>
      <c r="Z46" s="313">
        <f t="shared" ca="1" si="40"/>
        <v>21.607652173913042</v>
      </c>
      <c r="AA46" s="419">
        <f t="shared" si="1"/>
        <v>1.2737114624505921</v>
      </c>
      <c r="AB46" s="423">
        <f t="shared" ca="1" si="2"/>
        <v>1.2737114624505921</v>
      </c>
      <c r="AC46" s="218">
        <v>37792</v>
      </c>
      <c r="AD46" s="221">
        <v>37788</v>
      </c>
      <c r="AE46" s="219">
        <v>37787</v>
      </c>
      <c r="AF46" s="220">
        <v>37783</v>
      </c>
      <c r="AG46" s="241" t="s">
        <v>496</v>
      </c>
      <c r="AH46" s="239" t="s">
        <v>90</v>
      </c>
      <c r="AI46" s="141">
        <v>22</v>
      </c>
      <c r="AJ46" s="41">
        <v>13</v>
      </c>
      <c r="AK46" s="41">
        <v>9</v>
      </c>
      <c r="AL46" s="285">
        <v>23</v>
      </c>
      <c r="AM46" s="41">
        <v>10</v>
      </c>
      <c r="AN46" s="142">
        <v>13</v>
      </c>
      <c r="AO46" s="364">
        <v>4.7549132262008499E-2</v>
      </c>
      <c r="AP46" s="145">
        <f t="shared" ca="1" si="41"/>
        <v>0.89721518881154338</v>
      </c>
      <c r="AQ46" s="364">
        <v>4.1490818173612401E-2</v>
      </c>
      <c r="AR46" s="145">
        <f t="shared" ca="1" si="151"/>
        <v>0.91418541190692804</v>
      </c>
      <c r="AS46" s="264">
        <f t="shared" si="3"/>
        <v>0.23372847681804182</v>
      </c>
      <c r="AT46" s="149">
        <f t="shared" si="42"/>
        <v>0.23675873422687999</v>
      </c>
      <c r="AU46" s="149">
        <f t="shared" si="4"/>
        <v>0.23339827419865691</v>
      </c>
      <c r="AV46" s="263">
        <f t="shared" ca="1" si="164"/>
        <v>0.22916815022561662</v>
      </c>
      <c r="AW46" s="150" t="str">
        <f t="shared" ca="1" si="5"/>
        <v/>
      </c>
      <c r="AX46" s="149">
        <f t="shared" ca="1" si="152"/>
        <v>4.5247099601564401E-2</v>
      </c>
      <c r="AY46" s="149">
        <f t="shared" ca="1" si="153"/>
        <v>2.4859481273034553E-2</v>
      </c>
      <c r="AZ46" s="149">
        <f t="shared" ca="1" si="154"/>
        <v>1.1511788594607775E-2</v>
      </c>
      <c r="BA46" s="149">
        <f t="shared" ca="1" si="155"/>
        <v>1.0000000000000029E-4</v>
      </c>
      <c r="BB46" s="149">
        <f t="shared" ca="1" si="156"/>
        <v>1.0000000000000029E-4</v>
      </c>
      <c r="BC46" s="149">
        <f t="shared" ca="1" si="157"/>
        <v>1.0000000000000029E-4</v>
      </c>
      <c r="BD46" s="143">
        <f t="shared" ca="1" si="43"/>
        <v>0</v>
      </c>
      <c r="BE46" s="144">
        <f t="shared" ca="1" si="44"/>
        <v>0</v>
      </c>
      <c r="BF46" s="40">
        <f t="shared" si="7"/>
        <v>2003</v>
      </c>
      <c r="BG46" s="139">
        <f t="shared" si="8"/>
        <v>7</v>
      </c>
      <c r="BH46" s="140">
        <f t="shared" ca="1" si="45"/>
        <v>798</v>
      </c>
      <c r="BI46" s="304">
        <f t="shared" ca="1" si="46"/>
        <v>2.2258726899383983</v>
      </c>
      <c r="BJ46" s="42">
        <f t="shared" ca="1" si="47"/>
        <v>2.2744073175284671</v>
      </c>
      <c r="BK46" s="42">
        <f t="shared" ca="1" si="9"/>
        <v>2.2771451683155992</v>
      </c>
      <c r="BL46" s="42">
        <f t="shared" ca="1" si="48"/>
        <v>2.3080082135523612</v>
      </c>
      <c r="BM46" s="285">
        <f t="shared" si="49"/>
        <v>22</v>
      </c>
      <c r="BN46" s="41">
        <f t="shared" si="50"/>
        <v>13</v>
      </c>
      <c r="BO46" s="41">
        <f t="shared" si="51"/>
        <v>9</v>
      </c>
      <c r="BP46" s="297" t="str">
        <f t="shared" ca="1" si="10"/>
        <v/>
      </c>
      <c r="BQ46" s="297" t="str">
        <f t="shared" ca="1" si="11"/>
        <v/>
      </c>
      <c r="BR46" s="299" t="str">
        <f t="shared" ca="1" si="12"/>
        <v/>
      </c>
      <c r="BS46" s="153" t="str">
        <f t="shared" ca="1" si="13"/>
        <v/>
      </c>
      <c r="BT46" s="153" t="str">
        <f t="shared" ca="1" si="14"/>
        <v/>
      </c>
      <c r="BU46" s="300" t="str">
        <f t="shared" ca="1" si="15"/>
        <v/>
      </c>
      <c r="BV46" s="301" t="str">
        <f t="shared" ca="1" si="16"/>
        <v/>
      </c>
      <c r="BW46" s="300" t="str">
        <f t="shared" ca="1" si="17"/>
        <v/>
      </c>
      <c r="BX46" s="301" t="str">
        <f t="shared" ca="1" si="18"/>
        <v/>
      </c>
      <c r="BY46" s="146" t="str">
        <f t="shared" ca="1" si="19"/>
        <v/>
      </c>
      <c r="BZ46" s="146" t="str">
        <f t="shared" ca="1" si="20"/>
        <v/>
      </c>
      <c r="CA46" s="146" t="str">
        <f t="shared" ca="1" si="21"/>
        <v/>
      </c>
      <c r="CB46" s="146" t="str">
        <f t="shared" ca="1" si="22"/>
        <v/>
      </c>
      <c r="CC46" s="302">
        <v>1</v>
      </c>
      <c r="CD46" s="154">
        <f ca="1">IF(BD46,_xll.xCrudeAPO(BS46,BT46,BY46,BZ46,S47,S48,BI46,BL46,BN46,BO46,0,Strike1,AO46,CC46,0,BL46,IF(OptControl=4,0,1),0,1),0)</f>
        <v>0</v>
      </c>
      <c r="CE46" s="155">
        <f ca="1">IF(BD46,_xll.xCrudeAPO(BS46,BT46,BY46,BZ46,S47,S48,BI46,BL46,BN46,BO46,0,Strike1,AO46,CC46,0,BL46,IF(OptControl=4,0,1),1,1)+_xll.xCrudeAPO(BS46,BT46,BY46,BZ46,S47,S48,BI46,BL46,BN46,BO46,0,Strike1,AO46,CC46,0,BL46,IF(OptControl=4,0,1),1,2)+IF(OR(VolSkewFlag=2,ABS(BQ46)&lt;0.0001),0,IF(BQ46&gt;0,-1,1)*CF46*Strike1/BP46^2*BW46/10%),0)</f>
        <v>0</v>
      </c>
      <c r="CF46" s="155">
        <f ca="1">IF(BD46,(_xll.xCrudeAPO(BS46,BT46,BY46,BZ46,S47,S48,BI46,BL46,BN46,BO46,0,Strike1,AO46,CC46,0,BL46,IF(OptControl=4,0,1),3,1)+_xll.xCrudeAPO(BS46,BT46,BY46,BZ46,S47,S48,BI46,BL46,BN46,BO46,0,Strike1,AO46,CC46,0,BL46,IF(OptControl=4,0,1),3,2))/100,0)</f>
        <v>0</v>
      </c>
      <c r="CG46" s="155">
        <f ca="1">IF(BD46,_xll.xCrudeAPO(BS46,BT46,BY46,BZ46,S47,S48,BI46-DaysForThetaCalculation/365.25,BL46-DaysForThetaCalculation/365.25,BN46,BO46,0,Strike1,AO46,CC46,0,BL46,IF(OptControl=4,0,1),0,1)-_xll.xCrudeAPO(BS46,BT46,BY46,BZ46,S47,S48,BI46,BL46,BN46,BO46,0,Strike1,AO46,CC46,0,BL46,IF(OptControl=4,0,1),0,1),0)</f>
        <v>0</v>
      </c>
      <c r="CH46" s="303">
        <f ca="1">IF(BD46,_xll.xCrudeAPO(BS46,BT46,CA46,CB46,S47,S48,BI46,BL46,BN46,BO46,0,Strike2,AO46,CC46,0,BL46,IF(OptControl=3,1,0),0,1),0)</f>
        <v>0</v>
      </c>
      <c r="CI46" s="155">
        <f ca="1">IF(BD46,_xll.xCrudeAPO(BS46,BT46,CA46,CB46,S47,S48,BI46,BL46,BN46,BO46,0,Strike2,AO46,CC46,0,BL46,IF(OptControl=3,1,0),1,1)+_xll.xCrudeAPO(BS46,BT46,CA46,CB46,S47,S48,BI46,BL46,BN46,BO46,0,Strike2,AO46,CC46,0,BL46,IF(OptControl=3,1,0),1,2)+IF(OR(VolSkewFlag=2,ABS(BR46)&lt;0.0001),0,IF(BR46&gt;0,-1,1)*CJ46*Strike2/BP46^2*BX46/10%),0)</f>
        <v>0</v>
      </c>
      <c r="CJ46" s="155">
        <f ca="1">IF(BD46,(_xll.xCrudeAPO(BS46,BT46,CA46,CB46,S47,S48,BI46,BL46,BN46,BO46,0,Strike2,AO46,CC46,0,BL46,IF(OptControl=3,1,0),3,1)+_xll.xCrudeAPO(BS46,BT46,CA46,CB46,S47,S48,BI46,BL46,BN46,BO46,0,Strike2,AO46,CC46,0,BL46,IF(OptControl=3,1,0),3,2))/100,0)</f>
        <v>0</v>
      </c>
      <c r="CK46" s="156">
        <f ca="1">IF(BD46,_xll.xCrudeAPO(BS46,BT46,CA46,CB46,S47,S48,BI46-DaysForThetaCalculation/365.25,BL46-DaysForThetaCalculation/365.25,BN46,BO46,0,Strike2,AO46,CC46,0,BL46,IF(OptControl=3,1,0),0,1)-_xll.xCrudeAPO(BS46,BT46,CA46,CB46,S47,S48,BI46,BL46,BN46,BO46,0,Strike2,AO46,CC46,0,BL46,IF(OptControl=3,1,0),0,1),0)</f>
        <v>0</v>
      </c>
      <c r="CL46" s="51"/>
      <c r="CM46" s="779" t="str">
        <f t="shared" ca="1" si="52"/>
        <v/>
      </c>
      <c r="CN46" s="783" t="str">
        <f t="shared" ca="1" si="53"/>
        <v/>
      </c>
      <c r="CO46" s="780" t="str">
        <f t="shared" ca="1" si="54"/>
        <v/>
      </c>
      <c r="CP46" s="780" t="str">
        <f t="shared" ca="1" si="55"/>
        <v/>
      </c>
      <c r="CQ46" s="780" t="str">
        <f t="shared" ca="1" si="56"/>
        <v/>
      </c>
      <c r="CR46" s="780" t="str">
        <f t="shared" ca="1" si="57"/>
        <v/>
      </c>
      <c r="CS46" s="781" t="str">
        <f t="shared" ca="1" si="58"/>
        <v/>
      </c>
      <c r="CT46" s="782" t="str">
        <f t="shared" ca="1" si="59"/>
        <v/>
      </c>
      <c r="CU46" s="782" t="str">
        <f t="shared" ca="1" si="60"/>
        <v/>
      </c>
      <c r="CV46" s="155">
        <f ca="1">IF(BD46,_xll.EURO(CN46,Strike1,AO46,AO46,CT46,CM46,IF(OptControl=4,0,1),0),0)</f>
        <v>0</v>
      </c>
      <c r="CW46" s="155">
        <f ca="1">IF(BD46,_xll.EURO(CN46,Strike1,AO46,AO46,CT46,CM46,IF(OptControl=4,0,1),1)+IF(OR(VolSkewFlag=2,ABS(CO46)&lt;0.0001),0,IF(CO46&gt;0,-1,1)*CX46*100*Strike1/CN46^2*CQ46/10%),0)</f>
        <v>0</v>
      </c>
      <c r="CX46" s="155">
        <f ca="1">IF(BD46,_xll.EURO(CN46,Strike1,AO46,AO46,CT46,CM46,IF(OptControl=4,0,1),3)/100,0)</f>
        <v>0</v>
      </c>
      <c r="CY46" s="155">
        <f ca="1">IF(BD46,_xll.EURO(CN46,Strike1,AO46,AO46,CT46,CM46,IF(OptControl=4,0,1),0)-_xll.EURO(CN46,Strike1,AO46,AO46,CT46,CM46-1,IF(OptControl=4,0,1),0),0)</f>
        <v>0</v>
      </c>
      <c r="CZ46" s="155">
        <f ca="1">IF(BD46,_xll.EURO(CN46,Strike2,AO46,AO46,CU46,CM46,IF(OptControl=3,1,0),0),0)</f>
        <v>0</v>
      </c>
      <c r="DA46" s="155">
        <f ca="1">IF(BD46,_xll.EURO(CN46,Strike2,AO46,AO46,CU46,CM46,IF(OptControl=3,1,0),1)+IF(OR(VolSkewFlag=2,ABS(CP46)&lt;0.0001),0,IF(CP46&gt;0,-1,1)*DB46*100*Strike2/CN46^2*CR46/10%),0)</f>
        <v>0</v>
      </c>
      <c r="DB46" s="155">
        <f ca="1">IF(BD46,_xll.EURO(CN46,Strike2,AO46,AO46,CU46,CM46,IF(OptControl=3,1,0),3)/100,0)</f>
        <v>0</v>
      </c>
      <c r="DC46" s="156">
        <f ca="1">IF(BD46,_xll.EURO(CN46,Strike2,AO46,AO46,CU46,CM46,IF(OptControl=3,1,0),0)-_xll.EURO(CN46,Strike2,AO46,AO46,CU46,CM46-1,IF(OptControl=3,1,0),0),0)</f>
        <v>0</v>
      </c>
      <c r="DE46" s="651">
        <f t="shared" ca="1" si="61"/>
        <v>37712</v>
      </c>
      <c r="DF46" s="465">
        <v>1E-4</v>
      </c>
      <c r="DG46" s="649">
        <v>1E-4</v>
      </c>
      <c r="DH46" s="650">
        <f t="shared" ca="1" si="23"/>
        <v>37712</v>
      </c>
      <c r="DI46" s="465">
        <v>1E-4</v>
      </c>
      <c r="DJ46" s="649">
        <v>1E-4</v>
      </c>
      <c r="DK46" s="651">
        <f t="shared" ca="1" si="24"/>
        <v>37712</v>
      </c>
      <c r="DL46" s="652">
        <f t="shared" si="25"/>
        <v>5.0100000000000006E-2</v>
      </c>
      <c r="DM46" s="651">
        <f t="shared" ca="1" si="62"/>
        <v>37712</v>
      </c>
      <c r="DN46" s="563">
        <f t="shared" si="63"/>
        <v>-0.12990000000000002</v>
      </c>
      <c r="DO46" s="803">
        <v>-0.13</v>
      </c>
      <c r="DP46" s="650">
        <f t="shared" ca="1" si="26"/>
        <v>37712</v>
      </c>
      <c r="DQ46" s="653">
        <v>1E-4</v>
      </c>
      <c r="DR46" s="590">
        <v>1E-4</v>
      </c>
      <c r="DS46" s="650">
        <f t="shared" ca="1" si="27"/>
        <v>37712</v>
      </c>
      <c r="DT46" s="653">
        <v>1E-4</v>
      </c>
      <c r="DU46" s="590">
        <v>1E-4</v>
      </c>
      <c r="DV46" s="651">
        <f t="shared" ca="1" si="28"/>
        <v>37712</v>
      </c>
      <c r="DW46" s="590">
        <v>1E-4</v>
      </c>
      <c r="DX46" s="651">
        <f t="shared" ca="1" si="64"/>
        <v>37712</v>
      </c>
      <c r="DY46" s="590">
        <f t="shared" si="65"/>
        <v>1E-4</v>
      </c>
      <c r="DZ46" s="1"/>
      <c r="EA46" s="863" t="e">
        <f ca="1">_xll.ASN(X46,X46,AO46,AS46,0,AI46,0,BI46,BL46,1,0)</f>
        <v>#NAME?</v>
      </c>
      <c r="EB46" s="653" t="e">
        <f ca="1">_xll.ASN(X46,X46,AO46,AS46,0,AI46,0,BI46,BL46,1,3)/100</f>
        <v>#NAME?</v>
      </c>
      <c r="EC46" s="653" t="e">
        <f ca="1">_xll.xCrudeAPO(L47,L48,O47,O48,S47,S48,BI46,BL46,AJ46,AK46,0,X46,AO46,1,0,+BL46,1,0,1)</f>
        <v>#NAME?</v>
      </c>
      <c r="ED46" s="869" t="e">
        <f t="shared" ca="1" si="165"/>
        <v>#NAME?</v>
      </c>
      <c r="EE46" s="863" t="e">
        <f t="shared" ca="1" si="29"/>
        <v>#NAME?</v>
      </c>
      <c r="EF46" s="590" t="e">
        <f t="shared" ca="1" si="30"/>
        <v>#NAME?</v>
      </c>
      <c r="EG46" s="862" t="str">
        <f t="shared" ca="1" si="31"/>
        <v/>
      </c>
      <c r="EH46" s="114" t="str">
        <f t="shared" ca="1" si="32"/>
        <v/>
      </c>
      <c r="EI46" s="109" t="str">
        <f t="shared" ca="1" si="33"/>
        <v/>
      </c>
      <c r="EJ46" s="115">
        <f ca="1">IF(BD46,_xll.xASN(BP46,Strike1,AO46,EH46,0,BM46,0,BI46,BL46,IF(OptControl=4,0,1),0),0)</f>
        <v>0</v>
      </c>
      <c r="EK46" s="108">
        <f ca="1">IF(BD46,_xll.xASN(BP46,Strike2,AO46,EI46,0,BM46,0,BI46,BL46,IF(OptControl=3,1,0),0),0)</f>
        <v>0</v>
      </c>
      <c r="EM46" s="473" t="e">
        <f>[1]!'CLc27 MTH'</f>
        <v>#REF!</v>
      </c>
      <c r="EN46" s="474" t="e">
        <f t="shared" si="158"/>
        <v>#REF!</v>
      </c>
      <c r="EO46" s="475" t="e">
        <f>[1]!'CLc27 NET.CHNG'</f>
        <v>#REF!</v>
      </c>
      <c r="EP46" s="476">
        <f t="shared" si="159"/>
        <v>0</v>
      </c>
      <c r="EQ46" s="1"/>
      <c r="ER46" s="681">
        <v>38902</v>
      </c>
      <c r="ES46" s="682">
        <v>41275</v>
      </c>
      <c r="ET46" s="1"/>
      <c r="EU46" s="667" t="s">
        <v>150</v>
      </c>
      <c r="EW46" s="488">
        <v>27</v>
      </c>
      <c r="EX46" s="466">
        <f t="shared" ca="1" si="166"/>
        <v>2.1848049281314168</v>
      </c>
      <c r="EY46" s="824">
        <f t="shared" ca="1" si="66"/>
        <v>0.12246858094375382</v>
      </c>
      <c r="EZ46" s="798">
        <f t="shared" ca="1" si="160"/>
        <v>0.23780748055825665</v>
      </c>
      <c r="FA46" s="468" t="str">
        <f t="shared" ca="1" si="161"/>
        <v/>
      </c>
      <c r="FB46" s="467" t="str">
        <f t="shared" ca="1" si="162"/>
        <v/>
      </c>
      <c r="FC46" s="242">
        <v>0</v>
      </c>
      <c r="FD46" s="589" t="str">
        <f ca="1">IF(OR(FA46="",FA47=""),"",SQRT(SUM(INDEX(FO46:IH46,SwaptionFirstMonthPosition+1):INDEX(FO46:IH46,FN46))/SUM(INDEX($FO$15:$IH$15,SwaptionFirstMonthPosition+1):INDEX($FO$15:$IH$15,FN46))))</f>
        <v/>
      </c>
      <c r="FE46" s="565" t="str">
        <f ca="1">IF(OR(FA46="",FA45=""),"",SQRT(SUM(INDEX(FO46:IH46,SwaptionFirstMonthPosition+1):INDEX(FO46:IH46,FN46-1))/SUM(INDEX($FO$15:$IH$15,SwaptionFirstMonthPosition+1):INDEX($FO$15:$IH$15,FN46-1))))</f>
        <v/>
      </c>
      <c r="FF46" s="562" t="str">
        <f t="shared" ca="1" si="67"/>
        <v/>
      </c>
      <c r="FG46" s="593" t="str">
        <f t="shared" ca="1" si="68"/>
        <v/>
      </c>
      <c r="FH46" s="563" t="str">
        <f t="shared" ca="1" si="69"/>
        <v/>
      </c>
      <c r="FI46" s="563" t="str">
        <f t="shared" ca="1" si="70"/>
        <v/>
      </c>
      <c r="FJ46" s="563" t="str">
        <f t="shared" ca="1" si="71"/>
        <v/>
      </c>
      <c r="FK46" s="564" t="str">
        <f t="shared" ca="1" si="72"/>
        <v/>
      </c>
      <c r="FL46" s="590" t="str">
        <f t="shared" ca="1" si="73"/>
        <v/>
      </c>
      <c r="FM46" s="242"/>
      <c r="FN46" s="657">
        <v>27</v>
      </c>
      <c r="FO46" s="450">
        <f t="shared" ca="1" si="74"/>
        <v>7.2222864784026689E-4</v>
      </c>
      <c r="FP46" s="450">
        <f t="shared" ca="1" si="75"/>
        <v>2.7374723197480617E-3</v>
      </c>
      <c r="FQ46" s="450">
        <f t="shared" ca="1" si="76"/>
        <v>2.6727267589507016E-3</v>
      </c>
      <c r="FR46" s="450">
        <f t="shared" ca="1" si="77"/>
        <v>2.9830002988339554E-3</v>
      </c>
      <c r="FS46" s="450">
        <f t="shared" ca="1" si="78"/>
        <v>2.8330783843217543E-3</v>
      </c>
      <c r="FT46" s="450">
        <f t="shared" ca="1" si="79"/>
        <v>3.0667971624736908E-3</v>
      </c>
      <c r="FU46" s="450">
        <f t="shared" ca="1" si="80"/>
        <v>2.9234996643919178E-3</v>
      </c>
      <c r="FV46" s="450">
        <f t="shared" ca="1" si="81"/>
        <v>2.7805495185705483E-3</v>
      </c>
      <c r="FW46" s="450">
        <f t="shared" ca="1" si="82"/>
        <v>3.0432308539062075E-3</v>
      </c>
      <c r="FX46" s="450">
        <f t="shared" ca="1" si="83"/>
        <v>3.4287622358887527E-3</v>
      </c>
      <c r="FY46" s="450">
        <f t="shared" ca="1" si="84"/>
        <v>3.0955110472017325E-3</v>
      </c>
      <c r="FZ46" s="450">
        <f t="shared" ca="1" si="85"/>
        <v>3.1907474302473424E-3</v>
      </c>
      <c r="GA46" s="450">
        <f t="shared" ca="1" si="86"/>
        <v>3.7564977024016478E-3</v>
      </c>
      <c r="GB46" s="450">
        <f t="shared" ca="1" si="87"/>
        <v>3.4295879942887373E-3</v>
      </c>
      <c r="GC46" s="450">
        <f t="shared" ca="1" si="88"/>
        <v>3.9498111604170895E-3</v>
      </c>
      <c r="GD46" s="450">
        <f t="shared" ca="1" si="89"/>
        <v>3.8848163891229003E-3</v>
      </c>
      <c r="GE46" s="450">
        <f t="shared" ca="1" si="90"/>
        <v>3.9625250976612764E-3</v>
      </c>
      <c r="GF46" s="450">
        <f t="shared" ca="1" si="91"/>
        <v>4.7885991179928197E-3</v>
      </c>
      <c r="GG46" s="450">
        <f t="shared" ca="1" si="92"/>
        <v>4.6565337556883314E-3</v>
      </c>
      <c r="GH46" s="450">
        <f t="shared" ca="1" si="93"/>
        <v>4.8538428416627427E-3</v>
      </c>
      <c r="GI46" s="450">
        <f t="shared" ca="1" si="94"/>
        <v>5.6456746212116818E-3</v>
      </c>
      <c r="GJ46" s="450">
        <f t="shared" ca="1" si="95"/>
        <v>6.205528864172645E-3</v>
      </c>
      <c r="GK46" s="450">
        <f t="shared" ca="1" si="96"/>
        <v>6.8988759562901561E-3</v>
      </c>
      <c r="GL46" s="450">
        <f t="shared" ca="1" si="97"/>
        <v>7.0165673455958024E-3</v>
      </c>
      <c r="GM46" s="450">
        <f t="shared" ca="1" si="98"/>
        <v>8.8741896067868632E-3</v>
      </c>
      <c r="GN46" s="450">
        <f t="shared" ca="1" si="99"/>
        <v>9.9710133117894752E-3</v>
      </c>
      <c r="GO46" s="450">
        <f t="shared" ca="1" si="100"/>
        <v>1.2184289344311714E-2</v>
      </c>
      <c r="GP46" s="450" t="str">
        <f t="shared" si="101"/>
        <v/>
      </c>
      <c r="GQ46" s="450" t="str">
        <f t="shared" si="102"/>
        <v/>
      </c>
      <c r="GR46" s="450" t="str">
        <f t="shared" si="103"/>
        <v/>
      </c>
      <c r="GS46" s="450" t="str">
        <f t="shared" si="104"/>
        <v/>
      </c>
      <c r="GT46" s="450" t="str">
        <f t="shared" si="105"/>
        <v/>
      </c>
      <c r="GU46" s="450" t="str">
        <f t="shared" si="106"/>
        <v/>
      </c>
      <c r="GV46" s="450" t="str">
        <f t="shared" si="107"/>
        <v/>
      </c>
      <c r="GW46" s="450" t="str">
        <f t="shared" si="108"/>
        <v/>
      </c>
      <c r="GX46" s="450" t="str">
        <f t="shared" si="109"/>
        <v/>
      </c>
      <c r="GY46" s="450" t="str">
        <f t="shared" si="110"/>
        <v/>
      </c>
      <c r="GZ46" s="450" t="str">
        <f t="shared" si="111"/>
        <v/>
      </c>
      <c r="HA46" s="450" t="str">
        <f t="shared" si="112"/>
        <v/>
      </c>
      <c r="HB46" s="450" t="str">
        <f t="shared" si="113"/>
        <v/>
      </c>
      <c r="HC46" s="450" t="str">
        <f t="shared" si="114"/>
        <v/>
      </c>
      <c r="HD46" s="450" t="str">
        <f t="shared" si="115"/>
        <v/>
      </c>
      <c r="HE46" s="450" t="str">
        <f t="shared" si="116"/>
        <v/>
      </c>
      <c r="HF46" s="450" t="str">
        <f t="shared" si="117"/>
        <v/>
      </c>
      <c r="HG46" s="450" t="str">
        <f t="shared" si="118"/>
        <v/>
      </c>
      <c r="HH46" s="450" t="str">
        <f t="shared" si="119"/>
        <v/>
      </c>
      <c r="HI46" s="450" t="str">
        <f t="shared" si="120"/>
        <v/>
      </c>
      <c r="HJ46" s="450" t="str">
        <f t="shared" si="121"/>
        <v/>
      </c>
      <c r="HK46" s="450" t="str">
        <f t="shared" si="122"/>
        <v/>
      </c>
      <c r="HL46" s="450" t="str">
        <f t="shared" si="123"/>
        <v/>
      </c>
      <c r="HM46" s="450" t="str">
        <f t="shared" si="124"/>
        <v/>
      </c>
      <c r="HN46" s="450" t="str">
        <f t="shared" si="125"/>
        <v/>
      </c>
      <c r="HO46" s="450" t="str">
        <f t="shared" si="126"/>
        <v/>
      </c>
      <c r="HP46" s="450" t="str">
        <f t="shared" si="127"/>
        <v/>
      </c>
      <c r="HQ46" s="450" t="str">
        <f t="shared" si="128"/>
        <v/>
      </c>
      <c r="HR46" s="450" t="str">
        <f t="shared" si="129"/>
        <v/>
      </c>
      <c r="HS46" s="450" t="str">
        <f t="shared" si="130"/>
        <v/>
      </c>
      <c r="HT46" s="450" t="str">
        <f t="shared" si="131"/>
        <v/>
      </c>
      <c r="HU46" s="450" t="str">
        <f t="shared" si="132"/>
        <v/>
      </c>
      <c r="HV46" s="450" t="str">
        <f t="shared" si="133"/>
        <v/>
      </c>
      <c r="HW46" s="450" t="str">
        <f t="shared" si="134"/>
        <v/>
      </c>
      <c r="HX46" s="450" t="str">
        <f t="shared" si="135"/>
        <v/>
      </c>
      <c r="HY46" s="450" t="str">
        <f t="shared" si="136"/>
        <v/>
      </c>
      <c r="HZ46" s="450" t="str">
        <f t="shared" si="137"/>
        <v/>
      </c>
      <c r="IA46" s="450" t="str">
        <f t="shared" si="138"/>
        <v/>
      </c>
      <c r="IB46" s="450" t="str">
        <f t="shared" si="139"/>
        <v/>
      </c>
      <c r="IC46" s="450" t="str">
        <f t="shared" si="140"/>
        <v/>
      </c>
      <c r="ID46" s="450" t="str">
        <f t="shared" si="141"/>
        <v/>
      </c>
      <c r="IE46" s="450" t="str">
        <f t="shared" si="142"/>
        <v/>
      </c>
      <c r="IF46" s="450" t="str">
        <f t="shared" si="143"/>
        <v/>
      </c>
      <c r="IG46" s="450" t="str">
        <f t="shared" si="144"/>
        <v/>
      </c>
      <c r="IH46" s="658" t="str">
        <f t="shared" si="145"/>
        <v/>
      </c>
      <c r="II46" s="242"/>
    </row>
    <row r="47" spans="1:243" ht="14.25" customHeight="1" thickBot="1">
      <c r="A47" s="49">
        <f t="shared" ca="1" si="167"/>
        <v>2080</v>
      </c>
      <c r="B47" s="34">
        <v>0.5</v>
      </c>
      <c r="C47" s="119"/>
      <c r="D47" s="119"/>
      <c r="E47" s="35">
        <f ca="1">UnderlyingPriceAsian</f>
        <v>26.407379071531722</v>
      </c>
      <c r="F47" s="557"/>
      <c r="G47" s="558"/>
      <c r="H47" s="49" t="e">
        <f t="shared" ca="1" si="34"/>
        <v>#N/A</v>
      </c>
      <c r="I47" s="369">
        <f t="shared" si="35"/>
        <v>37834</v>
      </c>
      <c r="J47" s="367">
        <v>22.91</v>
      </c>
      <c r="K47" s="101" t="s">
        <v>487</v>
      </c>
      <c r="L47" s="382">
        <f t="shared" si="36"/>
        <v>22.91</v>
      </c>
      <c r="M47" s="163">
        <v>0.23459369127642998</v>
      </c>
      <c r="N47" s="372">
        <v>0</v>
      </c>
      <c r="O47" s="163">
        <f t="shared" si="37"/>
        <v>0.23459369127642998</v>
      </c>
      <c r="P47" s="367">
        <v>21.628</v>
      </c>
      <c r="Q47" s="101" t="s">
        <v>268</v>
      </c>
      <c r="R47" s="367">
        <f t="shared" ca="1" si="147"/>
        <v>21.628</v>
      </c>
      <c r="S47" s="814">
        <f t="shared" si="163"/>
        <v>0.37850215729025782</v>
      </c>
      <c r="T47" s="813">
        <f t="shared" si="148"/>
        <v>0.99544725059177186</v>
      </c>
      <c r="U47" s="532">
        <f t="shared" si="149"/>
        <v>0.99999365041457167</v>
      </c>
      <c r="V47" s="379">
        <v>0</v>
      </c>
      <c r="W47" s="424">
        <f t="shared" si="150"/>
        <v>22.817777777777764</v>
      </c>
      <c r="X47" s="405">
        <f t="shared" si="38"/>
        <v>22.817777777777774</v>
      </c>
      <c r="Y47" s="313">
        <f t="shared" si="39"/>
        <v>21.573142857142859</v>
      </c>
      <c r="Z47" s="313">
        <f t="shared" ca="1" si="40"/>
        <v>21.573142857142859</v>
      </c>
      <c r="AA47" s="419">
        <f t="shared" si="1"/>
        <v>1.2446349206349048</v>
      </c>
      <c r="AB47" s="423">
        <f t="shared" ca="1" si="2"/>
        <v>1.2446349206349154</v>
      </c>
      <c r="AC47" s="218">
        <v>37822</v>
      </c>
      <c r="AD47" s="221">
        <v>37818</v>
      </c>
      <c r="AE47" s="219">
        <v>37817</v>
      </c>
      <c r="AF47" s="220">
        <v>37813</v>
      </c>
      <c r="AG47" s="241" t="s">
        <v>496</v>
      </c>
      <c r="AH47" s="239" t="s">
        <v>90</v>
      </c>
      <c r="AI47" s="141">
        <v>21</v>
      </c>
      <c r="AJ47" s="41">
        <v>14</v>
      </c>
      <c r="AK47" s="41">
        <v>7</v>
      </c>
      <c r="AL47" s="285">
        <v>21</v>
      </c>
      <c r="AM47" s="41">
        <v>10</v>
      </c>
      <c r="AN47" s="142">
        <v>11</v>
      </c>
      <c r="AO47" s="364">
        <v>4.7805254918220602E-2</v>
      </c>
      <c r="AP47" s="145">
        <f t="shared" ca="1" si="41"/>
        <v>0.89310905981800992</v>
      </c>
      <c r="AQ47" s="364">
        <v>4.1673007198528698E-2</v>
      </c>
      <c r="AR47" s="145">
        <f t="shared" ca="1" si="151"/>
        <v>0.91073849762256942</v>
      </c>
      <c r="AS47" s="264">
        <f t="shared" si="3"/>
        <v>0.23188687022793003</v>
      </c>
      <c r="AT47" s="149">
        <f t="shared" si="42"/>
        <v>0.23459369127642998</v>
      </c>
      <c r="AU47" s="149">
        <f t="shared" si="4"/>
        <v>0.23154866887224998</v>
      </c>
      <c r="AV47" s="263">
        <f t="shared" ca="1" si="164"/>
        <v>0.22741436763648534</v>
      </c>
      <c r="AW47" s="150" t="str">
        <f t="shared" ca="1" si="5"/>
        <v/>
      </c>
      <c r="AX47" s="149">
        <f t="shared" ca="1" si="152"/>
        <v>4.4611458675629857E-2</v>
      </c>
      <c r="AY47" s="149">
        <f t="shared" ca="1" si="153"/>
        <v>2.4431752307541296E-2</v>
      </c>
      <c r="AZ47" s="149">
        <f t="shared" ca="1" si="154"/>
        <v>1.1374592137853712E-2</v>
      </c>
      <c r="BA47" s="149">
        <f t="shared" ca="1" si="155"/>
        <v>1.0000000000000034E-4</v>
      </c>
      <c r="BB47" s="149">
        <f t="shared" ca="1" si="156"/>
        <v>1.0000000000000034E-4</v>
      </c>
      <c r="BC47" s="149">
        <f t="shared" ca="1" si="157"/>
        <v>1.0000000000000034E-4</v>
      </c>
      <c r="BD47" s="143">
        <f t="shared" ca="1" si="43"/>
        <v>0</v>
      </c>
      <c r="BE47" s="144">
        <f t="shared" ca="1" si="44"/>
        <v>0</v>
      </c>
      <c r="BF47" s="40">
        <f t="shared" si="7"/>
        <v>2003</v>
      </c>
      <c r="BG47" s="139">
        <f t="shared" si="8"/>
        <v>8</v>
      </c>
      <c r="BH47" s="140">
        <f t="shared" ca="1" si="45"/>
        <v>828</v>
      </c>
      <c r="BI47" s="304">
        <f t="shared" ca="1" si="46"/>
        <v>2.3107460643394937</v>
      </c>
      <c r="BJ47" s="42">
        <f t="shared" ca="1" si="47"/>
        <v>2.3655030800821355</v>
      </c>
      <c r="BK47" s="42">
        <f t="shared" ca="1" si="9"/>
        <v>2.3682409308692676</v>
      </c>
      <c r="BL47" s="42">
        <f t="shared" ca="1" si="48"/>
        <v>2.3928815879534566</v>
      </c>
      <c r="BM47" s="285">
        <f t="shared" si="49"/>
        <v>21</v>
      </c>
      <c r="BN47" s="41">
        <f t="shared" si="50"/>
        <v>14</v>
      </c>
      <c r="BO47" s="41">
        <f t="shared" si="51"/>
        <v>7</v>
      </c>
      <c r="BP47" s="297" t="str">
        <f t="shared" ca="1" si="10"/>
        <v/>
      </c>
      <c r="BQ47" s="297" t="str">
        <f t="shared" ca="1" si="11"/>
        <v/>
      </c>
      <c r="BR47" s="299" t="str">
        <f t="shared" ca="1" si="12"/>
        <v/>
      </c>
      <c r="BS47" s="153" t="str">
        <f t="shared" ca="1" si="13"/>
        <v/>
      </c>
      <c r="BT47" s="153" t="str">
        <f t="shared" ca="1" si="14"/>
        <v/>
      </c>
      <c r="BU47" s="300" t="str">
        <f t="shared" ca="1" si="15"/>
        <v/>
      </c>
      <c r="BV47" s="301" t="str">
        <f t="shared" ca="1" si="16"/>
        <v/>
      </c>
      <c r="BW47" s="300" t="str">
        <f t="shared" ca="1" si="17"/>
        <v/>
      </c>
      <c r="BX47" s="301" t="str">
        <f t="shared" ca="1" si="18"/>
        <v/>
      </c>
      <c r="BY47" s="146" t="str">
        <f t="shared" ca="1" si="19"/>
        <v/>
      </c>
      <c r="BZ47" s="146" t="str">
        <f t="shared" ca="1" si="20"/>
        <v/>
      </c>
      <c r="CA47" s="146" t="str">
        <f t="shared" ca="1" si="21"/>
        <v/>
      </c>
      <c r="CB47" s="146" t="str">
        <f t="shared" ca="1" si="22"/>
        <v/>
      </c>
      <c r="CC47" s="302">
        <v>1</v>
      </c>
      <c r="CD47" s="154">
        <f ca="1">IF(BD47,_xll.xCrudeAPO(BS47,BT47,BY47,BZ47,S48,S49,BI47,BL47,BN47,BO47,0,Strike1,AO47,CC47,0,BL47,IF(OptControl=4,0,1),0,1),0)</f>
        <v>0</v>
      </c>
      <c r="CE47" s="155">
        <f ca="1">IF(BD47,_xll.xCrudeAPO(BS47,BT47,BY47,BZ47,S48,S49,BI47,BL47,BN47,BO47,0,Strike1,AO47,CC47,0,BL47,IF(OptControl=4,0,1),1,1)+_xll.xCrudeAPO(BS47,BT47,BY47,BZ47,S48,S49,BI47,BL47,BN47,BO47,0,Strike1,AO47,CC47,0,BL47,IF(OptControl=4,0,1),1,2)+IF(OR(VolSkewFlag=2,ABS(BQ47)&lt;0.0001),0,IF(BQ47&gt;0,-1,1)*CF47*Strike1/BP47^2*BW47/10%),0)</f>
        <v>0</v>
      </c>
      <c r="CF47" s="155">
        <f ca="1">IF(BD47,(_xll.xCrudeAPO(BS47,BT47,BY47,BZ47,S48,S49,BI47,BL47,BN47,BO47,0,Strike1,AO47,CC47,0,BL47,IF(OptControl=4,0,1),3,1)+_xll.xCrudeAPO(BS47,BT47,BY47,BZ47,S48,S49,BI47,BL47,BN47,BO47,0,Strike1,AO47,CC47,0,BL47,IF(OptControl=4,0,1),3,2))/100,0)</f>
        <v>0</v>
      </c>
      <c r="CG47" s="155">
        <f ca="1">IF(BD47,_xll.xCrudeAPO(BS47,BT47,BY47,BZ47,S48,S49,BI47-DaysForThetaCalculation/365.25,BL47-DaysForThetaCalculation/365.25,BN47,BO47,0,Strike1,AO47,CC47,0,BL47,IF(OptControl=4,0,1),0,1)-_xll.xCrudeAPO(BS47,BT47,BY47,BZ47,S48,S49,BI47,BL47,BN47,BO47,0,Strike1,AO47,CC47,0,BL47,IF(OptControl=4,0,1),0,1),0)</f>
        <v>0</v>
      </c>
      <c r="CH47" s="303">
        <f ca="1">IF(BD47,_xll.xCrudeAPO(BS47,BT47,CA47,CB47,S48,S49,BI47,BL47,BN47,BO47,0,Strike2,AO47,CC47,0,BL47,IF(OptControl=3,1,0),0,1),0)</f>
        <v>0</v>
      </c>
      <c r="CI47" s="155">
        <f ca="1">IF(BD47,_xll.xCrudeAPO(BS47,BT47,CA47,CB47,S48,S49,BI47,BL47,BN47,BO47,0,Strike2,AO47,CC47,0,BL47,IF(OptControl=3,1,0),1,1)+_xll.xCrudeAPO(BS47,BT47,CA47,CB47,S48,S49,BI47,BL47,BN47,BO47,0,Strike2,AO47,CC47,0,BL47,IF(OptControl=3,1,0),1,2)+IF(OR(VolSkewFlag=2,ABS(BR47)&lt;0.0001),0,IF(BR47&gt;0,-1,1)*CJ47*Strike2/BP47^2*BX47/10%),0)</f>
        <v>0</v>
      </c>
      <c r="CJ47" s="155">
        <f ca="1">IF(BD47,(_xll.xCrudeAPO(BS47,BT47,CA47,CB47,S48,S49,BI47,BL47,BN47,BO47,0,Strike2,AO47,CC47,0,BL47,IF(OptControl=3,1,0),3,1)+_xll.xCrudeAPO(BS47,BT47,CA47,CB47,S48,S49,BI47,BL47,BN47,BO47,0,Strike2,AO47,CC47,0,BL47,IF(OptControl=3,1,0),3,2))/100,0)</f>
        <v>0</v>
      </c>
      <c r="CK47" s="156">
        <f ca="1">IF(BD47,_xll.xCrudeAPO(BS47,BT47,CA47,CB47,S48,S49,BI47-DaysForThetaCalculation/365.25,BL47-DaysForThetaCalculation/365.25,BN47,BO47,0,Strike2,AO47,CC47,0,BL47,IF(OptControl=3,1,0),0,1)-_xll.xCrudeAPO(BS47,BT47,CA47,CB47,S48,S49,BI47,BL47,BN47,BO47,0,Strike2,AO47,CC47,0,BL47,IF(OptControl=3,1,0),0,1),0)</f>
        <v>0</v>
      </c>
      <c r="CL47" s="51"/>
      <c r="CM47" s="779" t="str">
        <f t="shared" ca="1" si="52"/>
        <v/>
      </c>
      <c r="CN47" s="783" t="str">
        <f t="shared" ca="1" si="53"/>
        <v/>
      </c>
      <c r="CO47" s="780" t="str">
        <f t="shared" ca="1" si="54"/>
        <v/>
      </c>
      <c r="CP47" s="780" t="str">
        <f t="shared" ca="1" si="55"/>
        <v/>
      </c>
      <c r="CQ47" s="780" t="str">
        <f t="shared" ca="1" si="56"/>
        <v/>
      </c>
      <c r="CR47" s="780" t="str">
        <f t="shared" ca="1" si="57"/>
        <v/>
      </c>
      <c r="CS47" s="781" t="str">
        <f t="shared" ca="1" si="58"/>
        <v/>
      </c>
      <c r="CT47" s="782" t="str">
        <f t="shared" ca="1" si="59"/>
        <v/>
      </c>
      <c r="CU47" s="782" t="str">
        <f t="shared" ca="1" si="60"/>
        <v/>
      </c>
      <c r="CV47" s="155">
        <f ca="1">IF(BD47,_xll.EURO(CN47,Strike1,AO47,AO47,CT47,CM47,IF(OptControl=4,0,1),0),0)</f>
        <v>0</v>
      </c>
      <c r="CW47" s="155">
        <f ca="1">IF(BD47,_xll.EURO(CN47,Strike1,AO47,AO47,CT47,CM47,IF(OptControl=4,0,1),1)+IF(OR(VolSkewFlag=2,ABS(CO47)&lt;0.0001),0,IF(CO47&gt;0,-1,1)*CX47*100*Strike1/CN47^2*CQ47/10%),0)</f>
        <v>0</v>
      </c>
      <c r="CX47" s="155">
        <f ca="1">IF(BD47,_xll.EURO(CN47,Strike1,AO47,AO47,CT47,CM47,IF(OptControl=4,0,1),3)/100,0)</f>
        <v>0</v>
      </c>
      <c r="CY47" s="155">
        <f ca="1">IF(BD47,_xll.EURO(CN47,Strike1,AO47,AO47,CT47,CM47,IF(OptControl=4,0,1),0)-_xll.EURO(CN47,Strike1,AO47,AO47,CT47,CM47-1,IF(OptControl=4,0,1),0),0)</f>
        <v>0</v>
      </c>
      <c r="CZ47" s="155">
        <f ca="1">IF(BD47,_xll.EURO(CN47,Strike2,AO47,AO47,CU47,CM47,IF(OptControl=3,1,0),0),0)</f>
        <v>0</v>
      </c>
      <c r="DA47" s="155">
        <f ca="1">IF(BD47,_xll.EURO(CN47,Strike2,AO47,AO47,CU47,CM47,IF(OptControl=3,1,0),1)+IF(OR(VolSkewFlag=2,ABS(CP47)&lt;0.0001),0,IF(CP47&gt;0,-1,1)*DB47*100*Strike2/CN47^2*CR47/10%),0)</f>
        <v>0</v>
      </c>
      <c r="DB47" s="155">
        <f ca="1">IF(BD47,_xll.EURO(CN47,Strike2,AO47,AO47,CU47,CM47,IF(OptControl=3,1,0),3)/100,0)</f>
        <v>0</v>
      </c>
      <c r="DC47" s="156">
        <f ca="1">IF(BD47,_xll.EURO(CN47,Strike2,AO47,AO47,CU47,CM47,IF(OptControl=3,1,0),0)-_xll.EURO(CN47,Strike2,AO47,AO47,CU47,CM47-1,IF(OptControl=3,1,0),0),0)</f>
        <v>0</v>
      </c>
      <c r="DE47" s="651">
        <f t="shared" ca="1" si="61"/>
        <v>37742</v>
      </c>
      <c r="DF47" s="465">
        <v>1E-4</v>
      </c>
      <c r="DG47" s="649">
        <v>1E-4</v>
      </c>
      <c r="DH47" s="650">
        <f t="shared" ca="1" si="23"/>
        <v>37742</v>
      </c>
      <c r="DI47" s="465">
        <v>1E-4</v>
      </c>
      <c r="DJ47" s="649">
        <v>1E-4</v>
      </c>
      <c r="DK47" s="651">
        <f t="shared" ca="1" si="24"/>
        <v>37742</v>
      </c>
      <c r="DL47" s="652">
        <f t="shared" si="25"/>
        <v>5.0100000000000006E-2</v>
      </c>
      <c r="DM47" s="651">
        <f t="shared" ca="1" si="62"/>
        <v>37742</v>
      </c>
      <c r="DN47" s="563">
        <f t="shared" si="63"/>
        <v>-0.12990000000000002</v>
      </c>
      <c r="DO47" s="803">
        <v>-0.13</v>
      </c>
      <c r="DP47" s="650">
        <f t="shared" ca="1" si="26"/>
        <v>37742</v>
      </c>
      <c r="DQ47" s="653">
        <v>1E-4</v>
      </c>
      <c r="DR47" s="590">
        <v>1E-4</v>
      </c>
      <c r="DS47" s="650">
        <f t="shared" ca="1" si="27"/>
        <v>37742</v>
      </c>
      <c r="DT47" s="653">
        <v>1E-4</v>
      </c>
      <c r="DU47" s="590">
        <v>1E-4</v>
      </c>
      <c r="DV47" s="651">
        <f t="shared" ca="1" si="28"/>
        <v>37742</v>
      </c>
      <c r="DW47" s="590">
        <v>1E-4</v>
      </c>
      <c r="DX47" s="651">
        <f t="shared" ca="1" si="64"/>
        <v>37742</v>
      </c>
      <c r="DY47" s="590">
        <f t="shared" si="65"/>
        <v>1E-4</v>
      </c>
      <c r="DZ47" s="1"/>
      <c r="EA47" s="863" t="e">
        <f ca="1">_xll.ASN(X47,X47,AO47,AS47,0,AI47,0,BI47,BL47,1,0)</f>
        <v>#NAME?</v>
      </c>
      <c r="EB47" s="653" t="e">
        <f ca="1">_xll.ASN(X47,X47,AO47,AS47,0,AI47,0,BI47,BL47,1,3)/100</f>
        <v>#NAME?</v>
      </c>
      <c r="EC47" s="653" t="e">
        <f ca="1">_xll.xCrudeAPO(L48,L49,O48,O49,S48,S49,BI47,BL47,AJ47,AK47,0,X47,AO47,1,0,+BL47,1,0,1)</f>
        <v>#NAME?</v>
      </c>
      <c r="ED47" s="869" t="e">
        <f t="shared" ca="1" si="165"/>
        <v>#NAME?</v>
      </c>
      <c r="EE47" s="863" t="e">
        <f t="shared" ca="1" si="29"/>
        <v>#NAME?</v>
      </c>
      <c r="EF47" s="590" t="e">
        <f t="shared" ca="1" si="30"/>
        <v>#NAME?</v>
      </c>
      <c r="EG47" s="862" t="str">
        <f t="shared" ca="1" si="31"/>
        <v/>
      </c>
      <c r="EH47" s="114" t="str">
        <f t="shared" ca="1" si="32"/>
        <v/>
      </c>
      <c r="EI47" s="109" t="str">
        <f t="shared" ca="1" si="33"/>
        <v/>
      </c>
      <c r="EJ47" s="115">
        <f ca="1">IF(BD47,_xll.xASN(BP47,Strike1,AO47,EH47,0,BM47,0,BI47,BL47,IF(OptControl=4,0,1),0),0)</f>
        <v>0</v>
      </c>
      <c r="EK47" s="108">
        <f ca="1">IF(BD47,_xll.xASN(BP47,Strike2,AO47,EI47,0,BM47,0,BI47,BL47,IF(OptControl=3,1,0),0),0)</f>
        <v>0</v>
      </c>
      <c r="EM47" s="473" t="e">
        <f>[1]!'CLc28 MTH'</f>
        <v>#REF!</v>
      </c>
      <c r="EN47" s="474" t="e">
        <f t="shared" si="158"/>
        <v>#REF!</v>
      </c>
      <c r="EO47" s="475" t="e">
        <f>[1]!'CLc28 NET.CHNG'</f>
        <v>#REF!</v>
      </c>
      <c r="EP47" s="476">
        <f t="shared" si="159"/>
        <v>0</v>
      </c>
      <c r="EQ47" s="1"/>
      <c r="ER47" s="681">
        <v>39076</v>
      </c>
      <c r="ES47" s="682">
        <v>41633</v>
      </c>
      <c r="ET47" s="1"/>
      <c r="EU47" s="667" t="s">
        <v>151</v>
      </c>
      <c r="EW47" s="488">
        <v>28</v>
      </c>
      <c r="EX47" s="466">
        <f t="shared" ca="1" si="166"/>
        <v>2.2669404517453797</v>
      </c>
      <c r="EY47" s="824">
        <f t="shared" ca="1" si="66"/>
        <v>0.12475925417929741</v>
      </c>
      <c r="EZ47" s="798">
        <f t="shared" ca="1" si="160"/>
        <v>0.23562723049196635</v>
      </c>
      <c r="FA47" s="468" t="str">
        <f t="shared" ca="1" si="161"/>
        <v/>
      </c>
      <c r="FB47" s="467" t="str">
        <f t="shared" ca="1" si="162"/>
        <v/>
      </c>
      <c r="FC47" s="242">
        <v>0</v>
      </c>
      <c r="FD47" s="589" t="str">
        <f ca="1">IF(OR(FA47="",FA48=""),"",SQRT(SUM(INDEX(FO47:IH47,SwaptionFirstMonthPosition+1):INDEX(FO47:IH47,FN47))/SUM(INDEX($FO$15:$IH$15,SwaptionFirstMonthPosition+1):INDEX($FO$15:$IH$15,FN47))))</f>
        <v/>
      </c>
      <c r="FE47" s="565" t="str">
        <f ca="1">IF(OR(FA47="",FA46=""),"",SQRT(SUM(INDEX(FO47:IH47,SwaptionFirstMonthPosition+1):INDEX(FO47:IH47,FN47-1))/SUM(INDEX($FO$15:$IH$15,SwaptionFirstMonthPosition+1):INDEX($FO$15:$IH$15,FN47-1))))</f>
        <v/>
      </c>
      <c r="FF47" s="562" t="str">
        <f t="shared" ca="1" si="67"/>
        <v/>
      </c>
      <c r="FG47" s="593" t="str">
        <f t="shared" ca="1" si="68"/>
        <v/>
      </c>
      <c r="FH47" s="563" t="str">
        <f t="shared" ca="1" si="69"/>
        <v/>
      </c>
      <c r="FI47" s="563" t="str">
        <f t="shared" ca="1" si="70"/>
        <v/>
      </c>
      <c r="FJ47" s="563" t="str">
        <f t="shared" ca="1" si="71"/>
        <v/>
      </c>
      <c r="FK47" s="564" t="str">
        <f t="shared" ca="1" si="72"/>
        <v/>
      </c>
      <c r="FL47" s="590" t="str">
        <f t="shared" ca="1" si="73"/>
        <v/>
      </c>
      <c r="FM47" s="242"/>
      <c r="FN47" s="657">
        <v>28</v>
      </c>
      <c r="FO47" s="450">
        <f t="shared" ca="1" si="74"/>
        <v>7.1494338354663868E-4</v>
      </c>
      <c r="FP47" s="450">
        <f t="shared" ca="1" si="75"/>
        <v>2.7067907321903549E-3</v>
      </c>
      <c r="FQ47" s="450">
        <f t="shared" ca="1" si="76"/>
        <v>2.6394424041014E-3</v>
      </c>
      <c r="FR47" s="450">
        <f t="shared" ca="1" si="77"/>
        <v>2.9417244161798833E-3</v>
      </c>
      <c r="FS47" s="450">
        <f t="shared" ca="1" si="78"/>
        <v>2.7895212646337668E-3</v>
      </c>
      <c r="FT47" s="450">
        <f t="shared" ca="1" si="79"/>
        <v>3.014407800897611E-3</v>
      </c>
      <c r="FU47" s="450">
        <f t="shared" ca="1" si="80"/>
        <v>2.8680091702483527E-3</v>
      </c>
      <c r="FV47" s="450">
        <f t="shared" ca="1" si="81"/>
        <v>2.7219082079312533E-3</v>
      </c>
      <c r="FW47" s="450">
        <f t="shared" ca="1" si="82"/>
        <v>2.9719183930422585E-3</v>
      </c>
      <c r="FX47" s="450">
        <f t="shared" ca="1" si="83"/>
        <v>3.3394881553339625E-3</v>
      </c>
      <c r="FY47" s="450">
        <f t="shared" ca="1" si="84"/>
        <v>3.0059585162642171E-3</v>
      </c>
      <c r="FZ47" s="450">
        <f t="shared" ca="1" si="85"/>
        <v>3.088183318106339E-3</v>
      </c>
      <c r="GA47" s="450">
        <f t="shared" ca="1" si="86"/>
        <v>3.6223313493486554E-3</v>
      </c>
      <c r="GB47" s="450">
        <f t="shared" ca="1" si="87"/>
        <v>3.2934874293118724E-3</v>
      </c>
      <c r="GC47" s="450">
        <f t="shared" ca="1" si="88"/>
        <v>3.7756498029790442E-3</v>
      </c>
      <c r="GD47" s="450">
        <f t="shared" ca="1" si="89"/>
        <v>3.6944880506984707E-3</v>
      </c>
      <c r="GE47" s="450">
        <f t="shared" ca="1" si="90"/>
        <v>3.7468189734815075E-3</v>
      </c>
      <c r="GF47" s="450">
        <f t="shared" ca="1" si="91"/>
        <v>4.4989605302138249E-3</v>
      </c>
      <c r="GG47" s="450">
        <f t="shared" ca="1" si="92"/>
        <v>4.3435886338571653E-3</v>
      </c>
      <c r="GH47" s="450">
        <f t="shared" ca="1" si="93"/>
        <v>4.4913924012638298E-3</v>
      </c>
      <c r="GI47" s="450">
        <f t="shared" ca="1" si="94"/>
        <v>5.1772537295230927E-3</v>
      </c>
      <c r="GJ47" s="450">
        <f t="shared" ca="1" si="95"/>
        <v>5.6334489467565118E-3</v>
      </c>
      <c r="GK47" s="450">
        <f t="shared" ca="1" si="96"/>
        <v>6.1922107167156036E-3</v>
      </c>
      <c r="GL47" s="450">
        <f t="shared" ca="1" si="97"/>
        <v>6.2179889047532322E-3</v>
      </c>
      <c r="GM47" s="450">
        <f t="shared" ca="1" si="98"/>
        <v>7.7519668333490112E-3</v>
      </c>
      <c r="GN47" s="450">
        <f t="shared" ca="1" si="99"/>
        <v>8.5699841964492623E-3</v>
      </c>
      <c r="GO47" s="450">
        <f t="shared" ca="1" si="100"/>
        <v>1.0282048252801827E-2</v>
      </c>
      <c r="GP47" s="450">
        <f t="shared" ca="1" si="101"/>
        <v>1.1767054051201549E-2</v>
      </c>
      <c r="GQ47" s="450" t="str">
        <f t="shared" si="102"/>
        <v/>
      </c>
      <c r="GR47" s="450" t="str">
        <f t="shared" si="103"/>
        <v/>
      </c>
      <c r="GS47" s="450" t="str">
        <f t="shared" si="104"/>
        <v/>
      </c>
      <c r="GT47" s="450" t="str">
        <f t="shared" si="105"/>
        <v/>
      </c>
      <c r="GU47" s="450" t="str">
        <f t="shared" si="106"/>
        <v/>
      </c>
      <c r="GV47" s="450" t="str">
        <f t="shared" si="107"/>
        <v/>
      </c>
      <c r="GW47" s="450" t="str">
        <f t="shared" si="108"/>
        <v/>
      </c>
      <c r="GX47" s="450" t="str">
        <f t="shared" si="109"/>
        <v/>
      </c>
      <c r="GY47" s="450" t="str">
        <f t="shared" si="110"/>
        <v/>
      </c>
      <c r="GZ47" s="450" t="str">
        <f t="shared" si="111"/>
        <v/>
      </c>
      <c r="HA47" s="450" t="str">
        <f t="shared" si="112"/>
        <v/>
      </c>
      <c r="HB47" s="450" t="str">
        <f t="shared" si="113"/>
        <v/>
      </c>
      <c r="HC47" s="450" t="str">
        <f t="shared" si="114"/>
        <v/>
      </c>
      <c r="HD47" s="450" t="str">
        <f t="shared" si="115"/>
        <v/>
      </c>
      <c r="HE47" s="450" t="str">
        <f t="shared" si="116"/>
        <v/>
      </c>
      <c r="HF47" s="450" t="str">
        <f t="shared" si="117"/>
        <v/>
      </c>
      <c r="HG47" s="450" t="str">
        <f t="shared" si="118"/>
        <v/>
      </c>
      <c r="HH47" s="450" t="str">
        <f t="shared" si="119"/>
        <v/>
      </c>
      <c r="HI47" s="450" t="str">
        <f t="shared" si="120"/>
        <v/>
      </c>
      <c r="HJ47" s="450" t="str">
        <f t="shared" si="121"/>
        <v/>
      </c>
      <c r="HK47" s="450" t="str">
        <f t="shared" si="122"/>
        <v/>
      </c>
      <c r="HL47" s="450" t="str">
        <f t="shared" si="123"/>
        <v/>
      </c>
      <c r="HM47" s="450" t="str">
        <f t="shared" si="124"/>
        <v/>
      </c>
      <c r="HN47" s="450" t="str">
        <f t="shared" si="125"/>
        <v/>
      </c>
      <c r="HO47" s="450" t="str">
        <f t="shared" si="126"/>
        <v/>
      </c>
      <c r="HP47" s="450" t="str">
        <f t="shared" si="127"/>
        <v/>
      </c>
      <c r="HQ47" s="450" t="str">
        <f t="shared" si="128"/>
        <v/>
      </c>
      <c r="HR47" s="450" t="str">
        <f t="shared" si="129"/>
        <v/>
      </c>
      <c r="HS47" s="450" t="str">
        <f t="shared" si="130"/>
        <v/>
      </c>
      <c r="HT47" s="450" t="str">
        <f t="shared" si="131"/>
        <v/>
      </c>
      <c r="HU47" s="450" t="str">
        <f t="shared" si="132"/>
        <v/>
      </c>
      <c r="HV47" s="450" t="str">
        <f t="shared" si="133"/>
        <v/>
      </c>
      <c r="HW47" s="450" t="str">
        <f t="shared" si="134"/>
        <v/>
      </c>
      <c r="HX47" s="450" t="str">
        <f t="shared" si="135"/>
        <v/>
      </c>
      <c r="HY47" s="450" t="str">
        <f t="shared" si="136"/>
        <v/>
      </c>
      <c r="HZ47" s="450" t="str">
        <f t="shared" si="137"/>
        <v/>
      </c>
      <c r="IA47" s="450" t="str">
        <f t="shared" si="138"/>
        <v/>
      </c>
      <c r="IB47" s="450" t="str">
        <f t="shared" si="139"/>
        <v/>
      </c>
      <c r="IC47" s="450" t="str">
        <f t="shared" si="140"/>
        <v/>
      </c>
      <c r="ID47" s="450" t="str">
        <f t="shared" si="141"/>
        <v/>
      </c>
      <c r="IE47" s="450" t="str">
        <f t="shared" si="142"/>
        <v/>
      </c>
      <c r="IF47" s="450" t="str">
        <f t="shared" si="143"/>
        <v/>
      </c>
      <c r="IG47" s="450" t="str">
        <f t="shared" si="144"/>
        <v/>
      </c>
      <c r="IH47" s="658" t="str">
        <f t="shared" si="145"/>
        <v/>
      </c>
      <c r="II47" s="242"/>
    </row>
    <row r="48" spans="1:243" ht="14.25" customHeight="1">
      <c r="A48" s="49"/>
      <c r="B48" s="48"/>
      <c r="C48" s="48"/>
      <c r="D48" s="48"/>
      <c r="E48" s="48"/>
      <c r="F48" s="49"/>
      <c r="G48" s="49"/>
      <c r="H48" s="49" t="e">
        <f t="shared" ca="1" si="34"/>
        <v>#N/A</v>
      </c>
      <c r="I48" s="369">
        <f t="shared" si="35"/>
        <v>37865</v>
      </c>
      <c r="J48" s="367">
        <v>22.84</v>
      </c>
      <c r="K48" s="101" t="s">
        <v>487</v>
      </c>
      <c r="L48" s="382">
        <f t="shared" si="36"/>
        <v>22.84</v>
      </c>
      <c r="M48" s="163">
        <v>0.23247872260037</v>
      </c>
      <c r="N48" s="372">
        <v>0</v>
      </c>
      <c r="O48" s="163">
        <f t="shared" si="37"/>
        <v>0.23247872260037</v>
      </c>
      <c r="P48" s="367">
        <v>21.592000000000002</v>
      </c>
      <c r="Q48" s="101" t="s">
        <v>268</v>
      </c>
      <c r="R48" s="367">
        <f t="shared" ca="1" si="147"/>
        <v>21.591999999999999</v>
      </c>
      <c r="S48" s="814">
        <f t="shared" si="163"/>
        <v>0.37811713571735522</v>
      </c>
      <c r="T48" s="813">
        <f t="shared" si="148"/>
        <v>0.99590393377445274</v>
      </c>
      <c r="U48" s="532">
        <f t="shared" si="149"/>
        <v>0.99999523781092869</v>
      </c>
      <c r="V48" s="379">
        <v>0</v>
      </c>
      <c r="W48" s="424">
        <f t="shared" si="150"/>
        <v>22.752121212121196</v>
      </c>
      <c r="X48" s="405">
        <f t="shared" si="38"/>
        <v>22.75212121212121</v>
      </c>
      <c r="Y48" s="313">
        <f t="shared" si="39"/>
        <v>21.536363636363635</v>
      </c>
      <c r="Z48" s="313">
        <f t="shared" ca="1" si="40"/>
        <v>21.536363636363635</v>
      </c>
      <c r="AA48" s="419">
        <f t="shared" si="1"/>
        <v>1.2157575757575607</v>
      </c>
      <c r="AB48" s="423">
        <f t="shared" ca="1" si="2"/>
        <v>1.2157575757575749</v>
      </c>
      <c r="AC48" s="218">
        <v>37853</v>
      </c>
      <c r="AD48" s="221">
        <v>37849</v>
      </c>
      <c r="AE48" s="219">
        <v>37848</v>
      </c>
      <c r="AF48" s="220">
        <v>37844</v>
      </c>
      <c r="AG48" s="241" t="s">
        <v>496</v>
      </c>
      <c r="AH48" s="239" t="s">
        <v>90</v>
      </c>
      <c r="AI48" s="141">
        <v>22</v>
      </c>
      <c r="AJ48" s="41">
        <v>15</v>
      </c>
      <c r="AK48" s="41">
        <v>7</v>
      </c>
      <c r="AL48" s="285">
        <v>22</v>
      </c>
      <c r="AM48" s="41">
        <v>10</v>
      </c>
      <c r="AN48" s="142">
        <v>12</v>
      </c>
      <c r="AO48" s="364">
        <v>4.8061377596358298E-2</v>
      </c>
      <c r="AP48" s="145">
        <f t="shared" ca="1" si="41"/>
        <v>0.8890996421122962</v>
      </c>
      <c r="AQ48" s="364">
        <v>4.1855196457128797E-2</v>
      </c>
      <c r="AR48" s="145">
        <f t="shared" ca="1" si="151"/>
        <v>0.90717512341972684</v>
      </c>
      <c r="AS48" s="264">
        <f t="shared" si="3"/>
        <v>0.23038379156888683</v>
      </c>
      <c r="AT48" s="149">
        <f t="shared" si="42"/>
        <v>0.23247872260037</v>
      </c>
      <c r="AU48" s="149">
        <f t="shared" si="4"/>
        <v>0.23015566734448453</v>
      </c>
      <c r="AV48" s="263">
        <f t="shared" ca="1" si="164"/>
        <v>0.22520433711950283</v>
      </c>
      <c r="AW48" s="150" t="str">
        <f t="shared" ca="1" si="5"/>
        <v/>
      </c>
      <c r="AX48" s="149">
        <f t="shared" ca="1" si="152"/>
        <v>4.3984747369279341E-2</v>
      </c>
      <c r="AY48" s="149">
        <f t="shared" ca="1" si="153"/>
        <v>2.4011382790377331E-2</v>
      </c>
      <c r="AZ48" s="149">
        <f t="shared" ca="1" si="154"/>
        <v>1.1239030776079999E-2</v>
      </c>
      <c r="BA48" s="149">
        <f t="shared" ca="1" si="155"/>
        <v>1.0000000000000038E-4</v>
      </c>
      <c r="BB48" s="149">
        <f t="shared" ca="1" si="156"/>
        <v>1.0000000000000038E-4</v>
      </c>
      <c r="BC48" s="149">
        <f t="shared" ca="1" si="157"/>
        <v>1.0000000000000038E-4</v>
      </c>
      <c r="BD48" s="143">
        <f t="shared" ca="1" si="43"/>
        <v>0</v>
      </c>
      <c r="BE48" s="144">
        <f t="shared" ca="1" si="44"/>
        <v>0</v>
      </c>
      <c r="BF48" s="40">
        <f t="shared" si="7"/>
        <v>2003</v>
      </c>
      <c r="BG48" s="139">
        <f t="shared" si="8"/>
        <v>9</v>
      </c>
      <c r="BH48" s="140">
        <f t="shared" ca="1" si="45"/>
        <v>859</v>
      </c>
      <c r="BI48" s="304">
        <f t="shared" ca="1" si="46"/>
        <v>2.3956194387405887</v>
      </c>
      <c r="BJ48" s="42">
        <f t="shared" ca="1" si="47"/>
        <v>2.4497542156679732</v>
      </c>
      <c r="BK48" s="42">
        <f t="shared" ca="1" si="9"/>
        <v>2.4524920664551053</v>
      </c>
      <c r="BL48" s="42">
        <f t="shared" ca="1" si="48"/>
        <v>2.4750171115674195</v>
      </c>
      <c r="BM48" s="285">
        <f t="shared" si="49"/>
        <v>22</v>
      </c>
      <c r="BN48" s="41">
        <f t="shared" si="50"/>
        <v>15</v>
      </c>
      <c r="BO48" s="41">
        <f t="shared" si="51"/>
        <v>7</v>
      </c>
      <c r="BP48" s="297" t="str">
        <f t="shared" ca="1" si="10"/>
        <v/>
      </c>
      <c r="BQ48" s="297" t="str">
        <f t="shared" ca="1" si="11"/>
        <v/>
      </c>
      <c r="BR48" s="299" t="str">
        <f t="shared" ca="1" si="12"/>
        <v/>
      </c>
      <c r="BS48" s="153" t="str">
        <f t="shared" ca="1" si="13"/>
        <v/>
      </c>
      <c r="BT48" s="153" t="str">
        <f t="shared" ca="1" si="14"/>
        <v/>
      </c>
      <c r="BU48" s="300" t="str">
        <f t="shared" ca="1" si="15"/>
        <v/>
      </c>
      <c r="BV48" s="301" t="str">
        <f t="shared" ca="1" si="16"/>
        <v/>
      </c>
      <c r="BW48" s="300" t="str">
        <f t="shared" ca="1" si="17"/>
        <v/>
      </c>
      <c r="BX48" s="301" t="str">
        <f t="shared" ca="1" si="18"/>
        <v/>
      </c>
      <c r="BY48" s="146" t="str">
        <f t="shared" ca="1" si="19"/>
        <v/>
      </c>
      <c r="BZ48" s="146" t="str">
        <f t="shared" ca="1" si="20"/>
        <v/>
      </c>
      <c r="CA48" s="146" t="str">
        <f t="shared" ca="1" si="21"/>
        <v/>
      </c>
      <c r="CB48" s="146" t="str">
        <f t="shared" ca="1" si="22"/>
        <v/>
      </c>
      <c r="CC48" s="302">
        <v>1</v>
      </c>
      <c r="CD48" s="154">
        <f ca="1">IF(BD48,_xll.xCrudeAPO(BS48,BT48,BY48,BZ48,S49,S50,BI48,BL48,BN48,BO48,0,Strike1,AO48,CC48,0,BL48,IF(OptControl=4,0,1),0,1),0)</f>
        <v>0</v>
      </c>
      <c r="CE48" s="155">
        <f ca="1">IF(BD48,_xll.xCrudeAPO(BS48,BT48,BY48,BZ48,S49,S50,BI48,BL48,BN48,BO48,0,Strike1,AO48,CC48,0,BL48,IF(OptControl=4,0,1),1,1)+_xll.xCrudeAPO(BS48,BT48,BY48,BZ48,S49,S50,BI48,BL48,BN48,BO48,0,Strike1,AO48,CC48,0,BL48,IF(OptControl=4,0,1),1,2)+IF(OR(VolSkewFlag=2,ABS(BQ48)&lt;0.0001),0,IF(BQ48&gt;0,-1,1)*CF48*Strike1/BP48^2*BW48/10%),0)</f>
        <v>0</v>
      </c>
      <c r="CF48" s="155">
        <f ca="1">IF(BD48,(_xll.xCrudeAPO(BS48,BT48,BY48,BZ48,S49,S50,BI48,BL48,BN48,BO48,0,Strike1,AO48,CC48,0,BL48,IF(OptControl=4,0,1),3,1)+_xll.xCrudeAPO(BS48,BT48,BY48,BZ48,S49,S50,BI48,BL48,BN48,BO48,0,Strike1,AO48,CC48,0,BL48,IF(OptControl=4,0,1),3,2))/100,0)</f>
        <v>0</v>
      </c>
      <c r="CG48" s="155">
        <f ca="1">IF(BD48,_xll.xCrudeAPO(BS48,BT48,BY48,BZ48,S49,S50,BI48-DaysForThetaCalculation/365.25,BL48-DaysForThetaCalculation/365.25,BN48,BO48,0,Strike1,AO48,CC48,0,BL48,IF(OptControl=4,0,1),0,1)-_xll.xCrudeAPO(BS48,BT48,BY48,BZ48,S49,S50,BI48,BL48,BN48,BO48,0,Strike1,AO48,CC48,0,BL48,IF(OptControl=4,0,1),0,1),0)</f>
        <v>0</v>
      </c>
      <c r="CH48" s="303">
        <f ca="1">IF(BD48,_xll.xCrudeAPO(BS48,BT48,CA48,CB48,S49,S50,BI48,BL48,BN48,BO48,0,Strike2,AO48,CC48,0,BL48,IF(OptControl=3,1,0),0,1),0)</f>
        <v>0</v>
      </c>
      <c r="CI48" s="155">
        <f ca="1">IF(BD48,_xll.xCrudeAPO(BS48,BT48,CA48,CB48,S49,S50,BI48,BL48,BN48,BO48,0,Strike2,AO48,CC48,0,BL48,IF(OptControl=3,1,0),1,1)+_xll.xCrudeAPO(BS48,BT48,CA48,CB48,S49,S50,BI48,BL48,BN48,BO48,0,Strike2,AO48,CC48,0,BL48,IF(OptControl=3,1,0),1,2)+IF(OR(VolSkewFlag=2,ABS(BR48)&lt;0.0001),0,IF(BR48&gt;0,-1,1)*CJ48*Strike2/BP48^2*BX48/10%),0)</f>
        <v>0</v>
      </c>
      <c r="CJ48" s="155">
        <f ca="1">IF(BD48,(_xll.xCrudeAPO(BS48,BT48,CA48,CB48,S49,S50,BI48,BL48,BN48,BO48,0,Strike2,AO48,CC48,0,BL48,IF(OptControl=3,1,0),3,1)+_xll.xCrudeAPO(BS48,BT48,CA48,CB48,S49,S50,BI48,BL48,BN48,BO48,0,Strike2,AO48,CC48,0,BL48,IF(OptControl=3,1,0),3,2))/100,0)</f>
        <v>0</v>
      </c>
      <c r="CK48" s="156">
        <f ca="1">IF(BD48,_xll.xCrudeAPO(BS48,BT48,CA48,CB48,S49,S50,BI48-DaysForThetaCalculation/365.25,BL48-DaysForThetaCalculation/365.25,BN48,BO48,0,Strike2,AO48,CC48,0,BL48,IF(OptControl=3,1,0),0,1)-_xll.xCrudeAPO(BS48,BT48,CA48,CB48,S49,S50,BI48,BL48,BN48,BO48,0,Strike2,AO48,CC48,0,BL48,IF(OptControl=3,1,0),0,1),0)</f>
        <v>0</v>
      </c>
      <c r="CL48" s="51"/>
      <c r="CM48" s="779" t="str">
        <f t="shared" ca="1" si="52"/>
        <v/>
      </c>
      <c r="CN48" s="783" t="str">
        <f t="shared" ca="1" si="53"/>
        <v/>
      </c>
      <c r="CO48" s="780" t="str">
        <f t="shared" ca="1" si="54"/>
        <v/>
      </c>
      <c r="CP48" s="780" t="str">
        <f t="shared" ca="1" si="55"/>
        <v/>
      </c>
      <c r="CQ48" s="780" t="str">
        <f t="shared" ca="1" si="56"/>
        <v/>
      </c>
      <c r="CR48" s="780" t="str">
        <f t="shared" ca="1" si="57"/>
        <v/>
      </c>
      <c r="CS48" s="781" t="str">
        <f t="shared" ca="1" si="58"/>
        <v/>
      </c>
      <c r="CT48" s="782" t="str">
        <f t="shared" ca="1" si="59"/>
        <v/>
      </c>
      <c r="CU48" s="782" t="str">
        <f t="shared" ca="1" si="60"/>
        <v/>
      </c>
      <c r="CV48" s="155">
        <f ca="1">IF(BD48,_xll.EURO(CN48,Strike1,AO48,AO48,CT48,CM48,IF(OptControl=4,0,1),0),0)</f>
        <v>0</v>
      </c>
      <c r="CW48" s="155">
        <f ca="1">IF(BD48,_xll.EURO(CN48,Strike1,AO48,AO48,CT48,CM48,IF(OptControl=4,0,1),1)+IF(OR(VolSkewFlag=2,ABS(CO48)&lt;0.0001),0,IF(CO48&gt;0,-1,1)*CX48*100*Strike1/CN48^2*CQ48/10%),0)</f>
        <v>0</v>
      </c>
      <c r="CX48" s="155">
        <f ca="1">IF(BD48,_xll.EURO(CN48,Strike1,AO48,AO48,CT48,CM48,IF(OptControl=4,0,1),3)/100,0)</f>
        <v>0</v>
      </c>
      <c r="CY48" s="155">
        <f ca="1">IF(BD48,_xll.EURO(CN48,Strike1,AO48,AO48,CT48,CM48,IF(OptControl=4,0,1),0)-_xll.EURO(CN48,Strike1,AO48,AO48,CT48,CM48-1,IF(OptControl=4,0,1),0),0)</f>
        <v>0</v>
      </c>
      <c r="CZ48" s="155">
        <f ca="1">IF(BD48,_xll.EURO(CN48,Strike2,AO48,AO48,CU48,CM48,IF(OptControl=3,1,0),0),0)</f>
        <v>0</v>
      </c>
      <c r="DA48" s="155">
        <f ca="1">IF(BD48,_xll.EURO(CN48,Strike2,AO48,AO48,CU48,CM48,IF(OptControl=3,1,0),1)+IF(OR(VolSkewFlag=2,ABS(CP48)&lt;0.0001),0,IF(CP48&gt;0,-1,1)*DB48*100*Strike2/CN48^2*CR48/10%),0)</f>
        <v>0</v>
      </c>
      <c r="DB48" s="155">
        <f ca="1">IF(BD48,_xll.EURO(CN48,Strike2,AO48,AO48,CU48,CM48,IF(OptControl=3,1,0),3)/100,0)</f>
        <v>0</v>
      </c>
      <c r="DC48" s="156">
        <f ca="1">IF(BD48,_xll.EURO(CN48,Strike2,AO48,AO48,CU48,CM48,IF(OptControl=3,1,0),0)-_xll.EURO(CN48,Strike2,AO48,AO48,CU48,CM48-1,IF(OptControl=3,1,0),0),0)</f>
        <v>0</v>
      </c>
      <c r="DE48" s="651">
        <f t="shared" ca="1" si="61"/>
        <v>37773</v>
      </c>
      <c r="DF48" s="465">
        <v>1E-4</v>
      </c>
      <c r="DG48" s="649">
        <v>1E-4</v>
      </c>
      <c r="DH48" s="650">
        <f t="shared" ca="1" si="23"/>
        <v>37773</v>
      </c>
      <c r="DI48" s="465">
        <v>1E-4</v>
      </c>
      <c r="DJ48" s="649">
        <v>1E-4</v>
      </c>
      <c r="DK48" s="651">
        <f t="shared" ca="1" si="24"/>
        <v>37773</v>
      </c>
      <c r="DL48" s="652">
        <f t="shared" si="25"/>
        <v>5.0100000000000006E-2</v>
      </c>
      <c r="DM48" s="651">
        <f t="shared" ca="1" si="62"/>
        <v>37773</v>
      </c>
      <c r="DN48" s="563">
        <f t="shared" si="63"/>
        <v>-0.12990000000000002</v>
      </c>
      <c r="DO48" s="803">
        <v>-0.13</v>
      </c>
      <c r="DP48" s="650">
        <f t="shared" ca="1" si="26"/>
        <v>37773</v>
      </c>
      <c r="DQ48" s="653">
        <v>1E-4</v>
      </c>
      <c r="DR48" s="590">
        <v>1E-4</v>
      </c>
      <c r="DS48" s="650">
        <f t="shared" ca="1" si="27"/>
        <v>37773</v>
      </c>
      <c r="DT48" s="653">
        <v>1E-4</v>
      </c>
      <c r="DU48" s="590">
        <v>1E-4</v>
      </c>
      <c r="DV48" s="651">
        <f t="shared" ca="1" si="28"/>
        <v>37773</v>
      </c>
      <c r="DW48" s="590">
        <v>1E-4</v>
      </c>
      <c r="DX48" s="651">
        <f t="shared" ca="1" si="64"/>
        <v>37773</v>
      </c>
      <c r="DY48" s="590">
        <f t="shared" si="65"/>
        <v>1E-4</v>
      </c>
      <c r="DZ48" s="1"/>
      <c r="EA48" s="863" t="e">
        <f ca="1">_xll.ASN(X48,X48,AO48,AS48,0,AI48,0,BI48,BL48,1,0)</f>
        <v>#NAME?</v>
      </c>
      <c r="EB48" s="653" t="e">
        <f ca="1">_xll.ASN(X48,X48,AO48,AS48,0,AI48,0,BI48,BL48,1,3)/100</f>
        <v>#NAME?</v>
      </c>
      <c r="EC48" s="653" t="e">
        <f ca="1">_xll.xCrudeAPO(L49,L50,O49,O50,S49,S50,BI48,BL48,AJ48,AK48,0,X48,AO48,1,0,+BL48,1,0,1)</f>
        <v>#NAME?</v>
      </c>
      <c r="ED48" s="869" t="e">
        <f t="shared" ca="1" si="165"/>
        <v>#NAME?</v>
      </c>
      <c r="EE48" s="863" t="e">
        <f t="shared" ca="1" si="29"/>
        <v>#NAME?</v>
      </c>
      <c r="EF48" s="590" t="e">
        <f t="shared" ca="1" si="30"/>
        <v>#NAME?</v>
      </c>
      <c r="EG48" s="862" t="str">
        <f t="shared" ca="1" si="31"/>
        <v/>
      </c>
      <c r="EH48" s="114" t="str">
        <f t="shared" ca="1" si="32"/>
        <v/>
      </c>
      <c r="EI48" s="109" t="str">
        <f t="shared" ca="1" si="33"/>
        <v/>
      </c>
      <c r="EJ48" s="115">
        <f ca="1">IF(BD48,_xll.xASN(BP48,Strike1,AO48,EH48,0,BM48,0,BI48,BL48,IF(OptControl=4,0,1),0),0)</f>
        <v>0</v>
      </c>
      <c r="EK48" s="108">
        <f ca="1">IF(BD48,_xll.xASN(BP48,Strike2,AO48,EI48,0,BM48,0,BI48,BL48,IF(OptControl=3,1,0),0),0)</f>
        <v>0</v>
      </c>
      <c r="EM48" s="473" t="e">
        <f>[1]!'CLc29 MTH'</f>
        <v>#REF!</v>
      </c>
      <c r="EN48" s="474" t="e">
        <f t="shared" si="158"/>
        <v>#REF!</v>
      </c>
      <c r="EO48" s="475" t="e">
        <f>[1]!'CLc29 NET.CHNG'</f>
        <v>#REF!</v>
      </c>
      <c r="EP48" s="476">
        <f t="shared" si="159"/>
        <v>0</v>
      </c>
      <c r="EQ48" s="1"/>
      <c r="ER48" s="681">
        <v>39083</v>
      </c>
      <c r="ES48" s="682">
        <v>41640</v>
      </c>
      <c r="ET48" s="1"/>
      <c r="EU48" s="667" t="s">
        <v>152</v>
      </c>
      <c r="EW48" s="488">
        <v>29</v>
      </c>
      <c r="EX48" s="466">
        <f t="shared" ca="1" si="166"/>
        <v>2.3518138261464752</v>
      </c>
      <c r="EY48" s="824">
        <f t="shared" ca="1" si="66"/>
        <v>0.12710696837993682</v>
      </c>
      <c r="EZ48" s="798">
        <f t="shared" ca="1" si="160"/>
        <v>0.23379637019946661</v>
      </c>
      <c r="FA48" s="468" t="str">
        <f t="shared" ca="1" si="161"/>
        <v/>
      </c>
      <c r="FB48" s="467" t="str">
        <f t="shared" ca="1" si="162"/>
        <v/>
      </c>
      <c r="FC48" s="242">
        <v>0</v>
      </c>
      <c r="FD48" s="589" t="str">
        <f ca="1">IF(OR(FA48="",FA49=""),"",SQRT(SUM(INDEX(FO48:IH48,SwaptionFirstMonthPosition+1):INDEX(FO48:IH48,FN48))/SUM(INDEX($FO$15:$IH$15,SwaptionFirstMonthPosition+1):INDEX($FO$15:$IH$15,FN48))))</f>
        <v/>
      </c>
      <c r="FE48" s="565" t="str">
        <f ca="1">IF(OR(FA48="",FA47=""),"",SQRT(SUM(INDEX(FO48:IH48,SwaptionFirstMonthPosition+1):INDEX(FO48:IH48,FN48-1))/SUM(INDEX($FO$15:$IH$15,SwaptionFirstMonthPosition+1):INDEX($FO$15:$IH$15,FN48-1))))</f>
        <v/>
      </c>
      <c r="FF48" s="562" t="str">
        <f t="shared" ca="1" si="67"/>
        <v/>
      </c>
      <c r="FG48" s="593" t="str">
        <f t="shared" ca="1" si="68"/>
        <v/>
      </c>
      <c r="FH48" s="563" t="str">
        <f t="shared" ca="1" si="69"/>
        <v/>
      </c>
      <c r="FI48" s="563" t="str">
        <f t="shared" ca="1" si="70"/>
        <v/>
      </c>
      <c r="FJ48" s="563" t="str">
        <f t="shared" ca="1" si="71"/>
        <v/>
      </c>
      <c r="FK48" s="564" t="str">
        <f t="shared" ca="1" si="72"/>
        <v/>
      </c>
      <c r="FL48" s="590" t="str">
        <f t="shared" ca="1" si="73"/>
        <v/>
      </c>
      <c r="FM48" s="242"/>
      <c r="FN48" s="657">
        <v>29</v>
      </c>
      <c r="FO48" s="450">
        <f t="shared" ca="1" si="74"/>
        <v>7.0845278480381095E-4</v>
      </c>
      <c r="FP48" s="450">
        <f t="shared" ca="1" si="75"/>
        <v>2.6794867946762181E-3</v>
      </c>
      <c r="FQ48" s="450">
        <f t="shared" ca="1" si="76"/>
        <v>2.6098595357594056E-3</v>
      </c>
      <c r="FR48" s="450">
        <f t="shared" ca="1" si="77"/>
        <v>2.9050901440796457E-3</v>
      </c>
      <c r="FS48" s="450">
        <f t="shared" ca="1" si="78"/>
        <v>2.750922558349671E-3</v>
      </c>
      <c r="FT48" s="450">
        <f t="shared" ca="1" si="79"/>
        <v>2.9680628349063034E-3</v>
      </c>
      <c r="FU48" s="450">
        <f t="shared" ca="1" si="80"/>
        <v>2.8190156563432929E-3</v>
      </c>
      <c r="FV48" s="450">
        <f t="shared" ca="1" si="81"/>
        <v>2.6702440899868621E-3</v>
      </c>
      <c r="FW48" s="450">
        <f t="shared" ca="1" si="82"/>
        <v>2.9092411457869679E-3</v>
      </c>
      <c r="FX48" s="450">
        <f t="shared" ca="1" si="83"/>
        <v>3.2612334550448947E-3</v>
      </c>
      <c r="FY48" s="450">
        <f t="shared" ca="1" si="84"/>
        <v>2.9276929019511353E-3</v>
      </c>
      <c r="FZ48" s="450">
        <f t="shared" ca="1" si="85"/>
        <v>2.9988427769425674E-3</v>
      </c>
      <c r="GA48" s="450">
        <f t="shared" ca="1" si="86"/>
        <v>3.5058943054120041E-3</v>
      </c>
      <c r="GB48" s="450">
        <f t="shared" ca="1" si="87"/>
        <v>3.1758578625656602E-3</v>
      </c>
      <c r="GC48" s="450">
        <f t="shared" ca="1" si="88"/>
        <v>3.6258160409656545E-3</v>
      </c>
      <c r="GD48" s="450">
        <f t="shared" ca="1" si="89"/>
        <v>3.5315848060075679E-3</v>
      </c>
      <c r="GE48" s="450">
        <f t="shared" ca="1" si="90"/>
        <v>3.5632515257131795E-3</v>
      </c>
      <c r="GF48" s="450">
        <f t="shared" ca="1" si="91"/>
        <v>4.2540527214574957E-3</v>
      </c>
      <c r="GG48" s="450">
        <f t="shared" ca="1" si="92"/>
        <v>4.0808665210212485E-3</v>
      </c>
      <c r="GH48" s="450">
        <f t="shared" ca="1" si="93"/>
        <v>4.1895457024209238E-3</v>
      </c>
      <c r="GI48" s="450">
        <f t="shared" ca="1" si="94"/>
        <v>4.7906532656152535E-3</v>
      </c>
      <c r="GJ48" s="450">
        <f t="shared" ca="1" si="95"/>
        <v>5.1660424176931206E-3</v>
      </c>
      <c r="GK48" s="450">
        <f t="shared" ca="1" si="96"/>
        <v>5.6213585825979013E-3</v>
      </c>
      <c r="GL48" s="450">
        <f t="shared" ca="1" si="97"/>
        <v>5.5810682459547485E-3</v>
      </c>
      <c r="GM48" s="450">
        <f t="shared" ca="1" si="98"/>
        <v>6.8696901755007991E-3</v>
      </c>
      <c r="GN48" s="450">
        <f t="shared" ca="1" si="99"/>
        <v>7.486230990871757E-3</v>
      </c>
      <c r="GO48" s="450">
        <f t="shared" ca="1" si="100"/>
        <v>8.8373155544234482E-3</v>
      </c>
      <c r="GP48" s="450">
        <f t="shared" ca="1" si="101"/>
        <v>9.9299527554527374E-3</v>
      </c>
      <c r="GQ48" s="450">
        <f t="shared" ca="1" si="102"/>
        <v>1.2134564320372394E-2</v>
      </c>
      <c r="GR48" s="450" t="str">
        <f t="shared" si="103"/>
        <v/>
      </c>
      <c r="GS48" s="450" t="str">
        <f t="shared" si="104"/>
        <v/>
      </c>
      <c r="GT48" s="450" t="str">
        <f t="shared" si="105"/>
        <v/>
      </c>
      <c r="GU48" s="450" t="str">
        <f t="shared" si="106"/>
        <v/>
      </c>
      <c r="GV48" s="450" t="str">
        <f t="shared" si="107"/>
        <v/>
      </c>
      <c r="GW48" s="450" t="str">
        <f t="shared" si="108"/>
        <v/>
      </c>
      <c r="GX48" s="450" t="str">
        <f t="shared" si="109"/>
        <v/>
      </c>
      <c r="GY48" s="450" t="str">
        <f t="shared" si="110"/>
        <v/>
      </c>
      <c r="GZ48" s="450" t="str">
        <f t="shared" si="111"/>
        <v/>
      </c>
      <c r="HA48" s="450" t="str">
        <f t="shared" si="112"/>
        <v/>
      </c>
      <c r="HB48" s="450" t="str">
        <f t="shared" si="113"/>
        <v/>
      </c>
      <c r="HC48" s="450" t="str">
        <f t="shared" si="114"/>
        <v/>
      </c>
      <c r="HD48" s="450" t="str">
        <f t="shared" si="115"/>
        <v/>
      </c>
      <c r="HE48" s="450" t="str">
        <f t="shared" si="116"/>
        <v/>
      </c>
      <c r="HF48" s="450" t="str">
        <f t="shared" si="117"/>
        <v/>
      </c>
      <c r="HG48" s="450" t="str">
        <f t="shared" si="118"/>
        <v/>
      </c>
      <c r="HH48" s="450" t="str">
        <f t="shared" si="119"/>
        <v/>
      </c>
      <c r="HI48" s="450" t="str">
        <f t="shared" si="120"/>
        <v/>
      </c>
      <c r="HJ48" s="450" t="str">
        <f t="shared" si="121"/>
        <v/>
      </c>
      <c r="HK48" s="450" t="str">
        <f t="shared" si="122"/>
        <v/>
      </c>
      <c r="HL48" s="450" t="str">
        <f t="shared" si="123"/>
        <v/>
      </c>
      <c r="HM48" s="450" t="str">
        <f t="shared" si="124"/>
        <v/>
      </c>
      <c r="HN48" s="450" t="str">
        <f t="shared" si="125"/>
        <v/>
      </c>
      <c r="HO48" s="450" t="str">
        <f t="shared" si="126"/>
        <v/>
      </c>
      <c r="HP48" s="450" t="str">
        <f t="shared" si="127"/>
        <v/>
      </c>
      <c r="HQ48" s="450" t="str">
        <f t="shared" si="128"/>
        <v/>
      </c>
      <c r="HR48" s="450" t="str">
        <f t="shared" si="129"/>
        <v/>
      </c>
      <c r="HS48" s="450" t="str">
        <f t="shared" si="130"/>
        <v/>
      </c>
      <c r="HT48" s="450" t="str">
        <f t="shared" si="131"/>
        <v/>
      </c>
      <c r="HU48" s="450" t="str">
        <f t="shared" si="132"/>
        <v/>
      </c>
      <c r="HV48" s="450" t="str">
        <f t="shared" si="133"/>
        <v/>
      </c>
      <c r="HW48" s="450" t="str">
        <f t="shared" si="134"/>
        <v/>
      </c>
      <c r="HX48" s="450" t="str">
        <f t="shared" si="135"/>
        <v/>
      </c>
      <c r="HY48" s="450" t="str">
        <f t="shared" si="136"/>
        <v/>
      </c>
      <c r="HZ48" s="450" t="str">
        <f t="shared" si="137"/>
        <v/>
      </c>
      <c r="IA48" s="450" t="str">
        <f t="shared" si="138"/>
        <v/>
      </c>
      <c r="IB48" s="450" t="str">
        <f t="shared" si="139"/>
        <v/>
      </c>
      <c r="IC48" s="450" t="str">
        <f t="shared" si="140"/>
        <v/>
      </c>
      <c r="ID48" s="450" t="str">
        <f t="shared" si="141"/>
        <v/>
      </c>
      <c r="IE48" s="450" t="str">
        <f t="shared" si="142"/>
        <v/>
      </c>
      <c r="IF48" s="450" t="str">
        <f t="shared" si="143"/>
        <v/>
      </c>
      <c r="IG48" s="450" t="str">
        <f t="shared" si="144"/>
        <v/>
      </c>
      <c r="IH48" s="658" t="str">
        <f t="shared" si="145"/>
        <v/>
      </c>
      <c r="II48" s="242"/>
    </row>
    <row r="49" spans="1:243" ht="14.25" customHeight="1">
      <c r="A49" s="49"/>
      <c r="B49" s="49"/>
      <c r="C49" s="49"/>
      <c r="D49" s="49"/>
      <c r="E49" s="49"/>
      <c r="F49" s="49"/>
      <c r="G49" s="49"/>
      <c r="H49" s="49" t="e">
        <f t="shared" ca="1" si="34"/>
        <v>#N/A</v>
      </c>
      <c r="I49" s="369">
        <f t="shared" si="35"/>
        <v>37895</v>
      </c>
      <c r="J49" s="367">
        <v>22.773333333333298</v>
      </c>
      <c r="K49" s="101" t="s">
        <v>268</v>
      </c>
      <c r="L49" s="382">
        <f t="shared" si="36"/>
        <v>22.77333333333333</v>
      </c>
      <c r="M49" s="163">
        <v>0.23070316548305</v>
      </c>
      <c r="N49" s="372">
        <v>0</v>
      </c>
      <c r="O49" s="163">
        <f t="shared" si="37"/>
        <v>0.23070316548305</v>
      </c>
      <c r="P49" s="367">
        <v>21.556000000000001</v>
      </c>
      <c r="Q49" s="100" t="s">
        <v>268</v>
      </c>
      <c r="R49" s="367">
        <f t="shared" ca="1" si="147"/>
        <v>21.556000000000001</v>
      </c>
      <c r="S49" s="814">
        <f t="shared" si="163"/>
        <v>0.37773596436018164</v>
      </c>
      <c r="T49" s="813">
        <f t="shared" si="148"/>
        <v>0.99631465228123428</v>
      </c>
      <c r="U49" s="532">
        <f t="shared" si="149"/>
        <v>0.99999642835819658</v>
      </c>
      <c r="V49" s="379">
        <v>0</v>
      </c>
      <c r="W49" s="424">
        <f t="shared" si="150"/>
        <v>22.680579710144947</v>
      </c>
      <c r="X49" s="405">
        <f t="shared" si="38"/>
        <v>22.680579710144926</v>
      </c>
      <c r="Y49" s="313">
        <f t="shared" si="39"/>
        <v>21.499652173913045</v>
      </c>
      <c r="Z49" s="313">
        <f t="shared" ca="1" si="40"/>
        <v>21.499652173913045</v>
      </c>
      <c r="AA49" s="419">
        <f t="shared" si="1"/>
        <v>1.1809275362319021</v>
      </c>
      <c r="AB49" s="423">
        <f t="shared" ca="1" si="2"/>
        <v>1.1809275362318807</v>
      </c>
      <c r="AC49" s="218">
        <v>37884</v>
      </c>
      <c r="AD49" s="221">
        <v>37880</v>
      </c>
      <c r="AE49" s="221">
        <v>37879</v>
      </c>
      <c r="AF49" s="221">
        <v>37875</v>
      </c>
      <c r="AG49" s="241" t="s">
        <v>90</v>
      </c>
      <c r="AH49" s="239" t="s">
        <v>90</v>
      </c>
      <c r="AI49" s="141">
        <v>23</v>
      </c>
      <c r="AJ49" s="41">
        <v>14</v>
      </c>
      <c r="AK49" s="41">
        <v>9</v>
      </c>
      <c r="AL49" s="285">
        <v>23</v>
      </c>
      <c r="AM49" s="41">
        <v>10</v>
      </c>
      <c r="AN49" s="142">
        <v>13</v>
      </c>
      <c r="AO49" s="364">
        <v>4.8300776260557003E-2</v>
      </c>
      <c r="AP49" s="145">
        <f t="shared" ca="1" si="41"/>
        <v>0.88499323774328342</v>
      </c>
      <c r="AQ49" s="364">
        <v>4.20315088653496E-2</v>
      </c>
      <c r="AR49" s="145">
        <f t="shared" ca="1" si="151"/>
        <v>0.9036110261898237</v>
      </c>
      <c r="AS49" s="264">
        <f t="shared" si="3"/>
        <v>0.22830073290961739</v>
      </c>
      <c r="AT49" s="149">
        <f t="shared" si="42"/>
        <v>0.23070316548305</v>
      </c>
      <c r="AU49" s="149">
        <f t="shared" si="4"/>
        <v>0.22767909469358955</v>
      </c>
      <c r="AV49" s="263">
        <f t="shared" ca="1" si="164"/>
        <v>0.22359663962720849</v>
      </c>
      <c r="AW49" s="150" t="str">
        <f t="shared" ca="1" si="5"/>
        <v/>
      </c>
      <c r="AX49" s="149">
        <f t="shared" ca="1" si="152"/>
        <v>4.3366840237308406E-2</v>
      </c>
      <c r="AY49" s="149">
        <f t="shared" ca="1" si="153"/>
        <v>2.3598246095842556E-2</v>
      </c>
      <c r="AZ49" s="149">
        <f t="shared" ca="1" si="154"/>
        <v>1.1105085022372337E-2</v>
      </c>
      <c r="BA49" s="149">
        <f t="shared" ca="1" si="155"/>
        <v>1.0000000000000042E-4</v>
      </c>
      <c r="BB49" s="149">
        <f t="shared" ca="1" si="156"/>
        <v>1.0000000000000042E-4</v>
      </c>
      <c r="BC49" s="149">
        <f t="shared" ca="1" si="157"/>
        <v>1.0000000000000042E-4</v>
      </c>
      <c r="BD49" s="143">
        <f t="shared" ca="1" si="43"/>
        <v>0</v>
      </c>
      <c r="BE49" s="144">
        <f t="shared" ca="1" si="44"/>
        <v>0</v>
      </c>
      <c r="BF49" s="40">
        <f t="shared" si="7"/>
        <v>2003</v>
      </c>
      <c r="BG49" s="139">
        <f t="shared" si="8"/>
        <v>10</v>
      </c>
      <c r="BH49" s="140">
        <f t="shared" ca="1" si="45"/>
        <v>890</v>
      </c>
      <c r="BI49" s="304">
        <f t="shared" ca="1" si="46"/>
        <v>2.4777549623545516</v>
      </c>
      <c r="BJ49" s="42">
        <f t="shared" ca="1" si="47"/>
        <v>2.5277504984673986</v>
      </c>
      <c r="BK49" s="42">
        <f t="shared" ca="1" si="9"/>
        <v>2.5304883492545307</v>
      </c>
      <c r="BL49" s="42">
        <f t="shared" ca="1" si="48"/>
        <v>2.5598904859685145</v>
      </c>
      <c r="BM49" s="285">
        <f t="shared" si="49"/>
        <v>23</v>
      </c>
      <c r="BN49" s="41">
        <f t="shared" si="50"/>
        <v>14</v>
      </c>
      <c r="BO49" s="41">
        <f t="shared" si="51"/>
        <v>9</v>
      </c>
      <c r="BP49" s="297" t="str">
        <f t="shared" ca="1" si="10"/>
        <v/>
      </c>
      <c r="BQ49" s="297" t="str">
        <f t="shared" ca="1" si="11"/>
        <v/>
      </c>
      <c r="BR49" s="299" t="str">
        <f t="shared" ca="1" si="12"/>
        <v/>
      </c>
      <c r="BS49" s="153" t="str">
        <f t="shared" ca="1" si="13"/>
        <v/>
      </c>
      <c r="BT49" s="153" t="str">
        <f t="shared" ca="1" si="14"/>
        <v/>
      </c>
      <c r="BU49" s="300" t="str">
        <f t="shared" ca="1" si="15"/>
        <v/>
      </c>
      <c r="BV49" s="301" t="str">
        <f t="shared" ca="1" si="16"/>
        <v/>
      </c>
      <c r="BW49" s="300" t="str">
        <f t="shared" ca="1" si="17"/>
        <v/>
      </c>
      <c r="BX49" s="301" t="str">
        <f t="shared" ca="1" si="18"/>
        <v/>
      </c>
      <c r="BY49" s="146" t="str">
        <f t="shared" ca="1" si="19"/>
        <v/>
      </c>
      <c r="BZ49" s="146" t="str">
        <f t="shared" ca="1" si="20"/>
        <v/>
      </c>
      <c r="CA49" s="146" t="str">
        <f t="shared" ca="1" si="21"/>
        <v/>
      </c>
      <c r="CB49" s="146" t="str">
        <f t="shared" ca="1" si="22"/>
        <v/>
      </c>
      <c r="CC49" s="302">
        <v>1</v>
      </c>
      <c r="CD49" s="154">
        <f ca="1">IF(BD49,_xll.xCrudeAPO(BS49,BT49,BY49,BZ49,S50,S51,BI49,BL49,BN49,BO49,0,Strike1,AO49,CC49,0,BL49,IF(OptControl=4,0,1),0,1),0)</f>
        <v>0</v>
      </c>
      <c r="CE49" s="155">
        <f ca="1">IF(BD49,_xll.xCrudeAPO(BS49,BT49,BY49,BZ49,S50,S51,BI49,BL49,BN49,BO49,0,Strike1,AO49,CC49,0,BL49,IF(OptControl=4,0,1),1,1)+_xll.xCrudeAPO(BS49,BT49,BY49,BZ49,S50,S51,BI49,BL49,BN49,BO49,0,Strike1,AO49,CC49,0,BL49,IF(OptControl=4,0,1),1,2)+IF(OR(VolSkewFlag=2,ABS(BQ49)&lt;0.0001),0,IF(BQ49&gt;0,-1,1)*CF49*Strike1/BP49^2*BW49/10%),0)</f>
        <v>0</v>
      </c>
      <c r="CF49" s="155">
        <f ca="1">IF(BD49,(_xll.xCrudeAPO(BS49,BT49,BY49,BZ49,S50,S51,BI49,BL49,BN49,BO49,0,Strike1,AO49,CC49,0,BL49,IF(OptControl=4,0,1),3,1)+_xll.xCrudeAPO(BS49,BT49,BY49,BZ49,S50,S51,BI49,BL49,BN49,BO49,0,Strike1,AO49,CC49,0,BL49,IF(OptControl=4,0,1),3,2))/100,0)</f>
        <v>0</v>
      </c>
      <c r="CG49" s="155">
        <f ca="1">IF(BD49,_xll.xCrudeAPO(BS49,BT49,BY49,BZ49,S50,S51,BI49-DaysForThetaCalculation/365.25,BL49-DaysForThetaCalculation/365.25,BN49,BO49,0,Strike1,AO49,CC49,0,BL49,IF(OptControl=4,0,1),0,1)-_xll.xCrudeAPO(BS49,BT49,BY49,BZ49,S50,S51,BI49,BL49,BN49,BO49,0,Strike1,AO49,CC49,0,BL49,IF(OptControl=4,0,1),0,1),0)</f>
        <v>0</v>
      </c>
      <c r="CH49" s="303">
        <f ca="1">IF(BD49,_xll.xCrudeAPO(BS49,BT49,CA49,CB49,S50,S51,BI49,BL49,BN49,BO49,0,Strike2,AO49,CC49,0,BL49,IF(OptControl=3,1,0),0,1),0)</f>
        <v>0</v>
      </c>
      <c r="CI49" s="155">
        <f ca="1">IF(BD49,_xll.xCrudeAPO(BS49,BT49,CA49,CB49,S50,S51,BI49,BL49,BN49,BO49,0,Strike2,AO49,CC49,0,BL49,IF(OptControl=3,1,0),1,1)+_xll.xCrudeAPO(BS49,BT49,CA49,CB49,S50,S51,BI49,BL49,BN49,BO49,0,Strike2,AO49,CC49,0,BL49,IF(OptControl=3,1,0),1,2)+IF(OR(VolSkewFlag=2,ABS(BR49)&lt;0.0001),0,IF(BR49&gt;0,-1,1)*CJ49*Strike2/BP49^2*BX49/10%),0)</f>
        <v>0</v>
      </c>
      <c r="CJ49" s="155">
        <f ca="1">IF(BD49,(_xll.xCrudeAPO(BS49,BT49,CA49,CB49,S50,S51,BI49,BL49,BN49,BO49,0,Strike2,AO49,CC49,0,BL49,IF(OptControl=3,1,0),3,1)+_xll.xCrudeAPO(BS49,BT49,CA49,CB49,S50,S51,BI49,BL49,BN49,BO49,0,Strike2,AO49,CC49,0,BL49,IF(OptControl=3,1,0),3,2))/100,0)</f>
        <v>0</v>
      </c>
      <c r="CK49" s="156">
        <f ca="1">IF(BD49,_xll.xCrudeAPO(BS49,BT49,CA49,CB49,S50,S51,BI49-DaysForThetaCalculation/365.25,BL49-DaysForThetaCalculation/365.25,BN49,BO49,0,Strike2,AO49,CC49,0,BL49,IF(OptControl=3,1,0),0,1)-_xll.xCrudeAPO(BS49,BT49,CA49,CB49,S50,S51,BI49,BL49,BN49,BO49,0,Strike2,AO49,CC49,0,BL49,IF(OptControl=3,1,0),0,1),0)</f>
        <v>0</v>
      </c>
      <c r="CL49" s="51"/>
      <c r="CM49" s="779" t="str">
        <f t="shared" ca="1" si="52"/>
        <v/>
      </c>
      <c r="CN49" s="783" t="str">
        <f t="shared" ca="1" si="53"/>
        <v/>
      </c>
      <c r="CO49" s="780" t="str">
        <f t="shared" ca="1" si="54"/>
        <v/>
      </c>
      <c r="CP49" s="780" t="str">
        <f t="shared" ca="1" si="55"/>
        <v/>
      </c>
      <c r="CQ49" s="780" t="str">
        <f t="shared" ca="1" si="56"/>
        <v/>
      </c>
      <c r="CR49" s="780" t="str">
        <f t="shared" ca="1" si="57"/>
        <v/>
      </c>
      <c r="CS49" s="781" t="str">
        <f t="shared" ca="1" si="58"/>
        <v/>
      </c>
      <c r="CT49" s="782" t="str">
        <f t="shared" ca="1" si="59"/>
        <v/>
      </c>
      <c r="CU49" s="782" t="str">
        <f t="shared" ca="1" si="60"/>
        <v/>
      </c>
      <c r="CV49" s="155">
        <f ca="1">IF(BD49,_xll.EURO(CN49,Strike1,AO49,AO49,CT49,CM49,IF(OptControl=4,0,1),0),0)</f>
        <v>0</v>
      </c>
      <c r="CW49" s="155">
        <f ca="1">IF(BD49,_xll.EURO(CN49,Strike1,AO49,AO49,CT49,CM49,IF(OptControl=4,0,1),1)+IF(OR(VolSkewFlag=2,ABS(CO49)&lt;0.0001),0,IF(CO49&gt;0,-1,1)*CX49*100*Strike1/CN49^2*CQ49/10%),0)</f>
        <v>0</v>
      </c>
      <c r="CX49" s="155">
        <f ca="1">IF(BD49,_xll.EURO(CN49,Strike1,AO49,AO49,CT49,CM49,IF(OptControl=4,0,1),3)/100,0)</f>
        <v>0</v>
      </c>
      <c r="CY49" s="155">
        <f ca="1">IF(BD49,_xll.EURO(CN49,Strike1,AO49,AO49,CT49,CM49,IF(OptControl=4,0,1),0)-_xll.EURO(CN49,Strike1,AO49,AO49,CT49,CM49-1,IF(OptControl=4,0,1),0),0)</f>
        <v>0</v>
      </c>
      <c r="CZ49" s="155">
        <f ca="1">IF(BD49,_xll.EURO(CN49,Strike2,AO49,AO49,CU49,CM49,IF(OptControl=3,1,0),0),0)</f>
        <v>0</v>
      </c>
      <c r="DA49" s="155">
        <f ca="1">IF(BD49,_xll.EURO(CN49,Strike2,AO49,AO49,CU49,CM49,IF(OptControl=3,1,0),1)+IF(OR(VolSkewFlag=2,ABS(CP49)&lt;0.0001),0,IF(CP49&gt;0,-1,1)*DB49*100*Strike2/CN49^2*CR49/10%),0)</f>
        <v>0</v>
      </c>
      <c r="DB49" s="155">
        <f ca="1">IF(BD49,_xll.EURO(CN49,Strike2,AO49,AO49,CU49,CM49,IF(OptControl=3,1,0),3)/100,0)</f>
        <v>0</v>
      </c>
      <c r="DC49" s="156">
        <f ca="1">IF(BD49,_xll.EURO(CN49,Strike2,AO49,AO49,CU49,CM49,IF(OptControl=3,1,0),0)-_xll.EURO(CN49,Strike2,AO49,AO49,CU49,CM49-1,IF(OptControl=3,1,0),0),0)</f>
        <v>0</v>
      </c>
      <c r="DE49" s="651">
        <f t="shared" ca="1" si="61"/>
        <v>37803</v>
      </c>
      <c r="DF49" s="465">
        <v>1E-4</v>
      </c>
      <c r="DG49" s="649">
        <v>1E-4</v>
      </c>
      <c r="DH49" s="650">
        <f t="shared" ca="1" si="23"/>
        <v>37803</v>
      </c>
      <c r="DI49" s="465">
        <v>1E-4</v>
      </c>
      <c r="DJ49" s="649">
        <v>1E-4</v>
      </c>
      <c r="DK49" s="651">
        <f t="shared" ca="1" si="24"/>
        <v>37803</v>
      </c>
      <c r="DL49" s="652">
        <f t="shared" si="25"/>
        <v>5.0100000000000006E-2</v>
      </c>
      <c r="DM49" s="651">
        <f t="shared" ca="1" si="62"/>
        <v>37803</v>
      </c>
      <c r="DN49" s="563">
        <f t="shared" si="63"/>
        <v>-0.12990000000000002</v>
      </c>
      <c r="DO49" s="803">
        <v>-0.13</v>
      </c>
      <c r="DP49" s="650">
        <f t="shared" ca="1" si="26"/>
        <v>37803</v>
      </c>
      <c r="DQ49" s="653">
        <v>1E-4</v>
      </c>
      <c r="DR49" s="590">
        <v>1E-4</v>
      </c>
      <c r="DS49" s="650">
        <f t="shared" ca="1" si="27"/>
        <v>37803</v>
      </c>
      <c r="DT49" s="653">
        <v>1E-4</v>
      </c>
      <c r="DU49" s="590">
        <v>1E-4</v>
      </c>
      <c r="DV49" s="651">
        <f t="shared" ca="1" si="28"/>
        <v>37803</v>
      </c>
      <c r="DW49" s="590">
        <v>1E-4</v>
      </c>
      <c r="DX49" s="651">
        <f t="shared" ca="1" si="64"/>
        <v>37803</v>
      </c>
      <c r="DY49" s="590">
        <f t="shared" si="65"/>
        <v>1E-4</v>
      </c>
      <c r="DZ49" s="1"/>
      <c r="EA49" s="863" t="e">
        <f ca="1">_xll.ASN(X49,X49,AO49,AS49,0,AI49,0,BI49,BL49,1,0)</f>
        <v>#NAME?</v>
      </c>
      <c r="EB49" s="653" t="e">
        <f ca="1">_xll.ASN(X49,X49,AO49,AS49,0,AI49,0,BI49,BL49,1,3)/100</f>
        <v>#NAME?</v>
      </c>
      <c r="EC49" s="653" t="e">
        <f ca="1">_xll.xCrudeAPO(L50,L51,O50,O51,S50,S51,BI49,BL49,AJ49,AK49,0,X49,AO49,1,0,+BL49,1,0,1)</f>
        <v>#NAME?</v>
      </c>
      <c r="ED49" s="869" t="e">
        <f t="shared" ca="1" si="165"/>
        <v>#NAME?</v>
      </c>
      <c r="EE49" s="863" t="e">
        <f t="shared" ca="1" si="29"/>
        <v>#NAME?</v>
      </c>
      <c r="EF49" s="590" t="e">
        <f t="shared" ca="1" si="30"/>
        <v>#NAME?</v>
      </c>
      <c r="EG49" s="862" t="str">
        <f t="shared" ca="1" si="31"/>
        <v/>
      </c>
      <c r="EH49" s="114" t="str">
        <f t="shared" ca="1" si="32"/>
        <v/>
      </c>
      <c r="EI49" s="109" t="str">
        <f t="shared" ca="1" si="33"/>
        <v/>
      </c>
      <c r="EJ49" s="115">
        <f ca="1">IF(BD49,_xll.xASN(BP49,Strike1,AO49,EH49,0,BM49,0,BI49,BL49,IF(OptControl=4,0,1),0),0)</f>
        <v>0</v>
      </c>
      <c r="EK49" s="108">
        <f ca="1">IF(BD49,_xll.xASN(BP49,Strike2,AO49,EI49,0,BM49,0,BI49,BL49,IF(OptControl=3,1,0),0),0)</f>
        <v>0</v>
      </c>
      <c r="EM49" s="473" t="e">
        <f>[1]!'CLc30 MTH'</f>
        <v>#REF!</v>
      </c>
      <c r="EN49" s="474" t="e">
        <f t="shared" si="158"/>
        <v>#REF!</v>
      </c>
      <c r="EO49" s="475" t="e">
        <f>[1]!'CLc30 NET.CHNG'</f>
        <v>#REF!</v>
      </c>
      <c r="EP49" s="476">
        <f t="shared" si="159"/>
        <v>0</v>
      </c>
      <c r="EQ49" s="1"/>
      <c r="ER49" s="681">
        <v>39267</v>
      </c>
      <c r="ES49" s="682">
        <v>41998</v>
      </c>
      <c r="ET49" s="1"/>
      <c r="EU49" s="667" t="s">
        <v>153</v>
      </c>
      <c r="EV49" s="51"/>
      <c r="EW49" s="488">
        <v>30</v>
      </c>
      <c r="EX49" s="466">
        <f t="shared" ca="1" si="166"/>
        <v>2.4366872005475702</v>
      </c>
      <c r="EY49" s="824">
        <f t="shared" ca="1" si="66"/>
        <v>0.12969011910163067</v>
      </c>
      <c r="EZ49" s="798">
        <f t="shared" ca="1" si="160"/>
        <v>0.23201759508394709</v>
      </c>
      <c r="FA49" s="468" t="str">
        <f t="shared" ca="1" si="161"/>
        <v/>
      </c>
      <c r="FB49" s="467" t="str">
        <f t="shared" ca="1" si="162"/>
        <v/>
      </c>
      <c r="FC49" s="242">
        <v>0</v>
      </c>
      <c r="FD49" s="589" t="str">
        <f ca="1">IF(OR(FA49="",FA50=""),"",SQRT(SUM(INDEX(FO49:IH49,SwaptionFirstMonthPosition+1):INDEX(FO49:IH49,FN49))/SUM(INDEX($FO$15:$IH$15,SwaptionFirstMonthPosition+1):INDEX($FO$15:$IH$15,FN49))))</f>
        <v/>
      </c>
      <c r="FE49" s="565" t="str">
        <f ca="1">IF(OR(FA49="",FA48=""),"",SQRT(SUM(INDEX(FO49:IH49,SwaptionFirstMonthPosition+1):INDEX(FO49:IH49,FN49-1))/SUM(INDEX($FO$15:$IH$15,SwaptionFirstMonthPosition+1):INDEX($FO$15:$IH$15,FN49-1))))</f>
        <v/>
      </c>
      <c r="FF49" s="562" t="str">
        <f t="shared" ca="1" si="67"/>
        <v/>
      </c>
      <c r="FG49" s="593" t="str">
        <f t="shared" ca="1" si="68"/>
        <v/>
      </c>
      <c r="FH49" s="563" t="str">
        <f t="shared" ca="1" si="69"/>
        <v/>
      </c>
      <c r="FI49" s="563" t="str">
        <f t="shared" ca="1" si="70"/>
        <v/>
      </c>
      <c r="FJ49" s="563" t="str">
        <f t="shared" ca="1" si="71"/>
        <v/>
      </c>
      <c r="FK49" s="564" t="str">
        <f t="shared" ca="1" si="72"/>
        <v/>
      </c>
      <c r="FL49" s="590" t="str">
        <f t="shared" ca="1" si="73"/>
        <v/>
      </c>
      <c r="FM49" s="242"/>
      <c r="FN49" s="657">
        <v>30</v>
      </c>
      <c r="FO49" s="450">
        <f t="shared" ca="1" si="74"/>
        <v>7.0266427822524707E-4</v>
      </c>
      <c r="FP49" s="450">
        <f t="shared" ca="1" si="75"/>
        <v>2.6551611291463482E-3</v>
      </c>
      <c r="FQ49" s="450">
        <f t="shared" ca="1" si="76"/>
        <v>2.5835333625397324E-3</v>
      </c>
      <c r="FR49" s="450">
        <f t="shared" ca="1" si="77"/>
        <v>2.8725298960816624E-3</v>
      </c>
      <c r="FS49" s="450">
        <f t="shared" ca="1" si="78"/>
        <v>2.7166644052150773E-3</v>
      </c>
      <c r="FT49" s="450">
        <f t="shared" ca="1" si="79"/>
        <v>2.9269936424790033E-3</v>
      </c>
      <c r="FU49" s="450">
        <f t="shared" ca="1" si="80"/>
        <v>2.7756747438485432E-3</v>
      </c>
      <c r="FV49" s="450">
        <f t="shared" ca="1" si="81"/>
        <v>2.6246289495926818E-3</v>
      </c>
      <c r="FW49" s="450">
        <f t="shared" ca="1" si="82"/>
        <v>2.8540212903757343E-3</v>
      </c>
      <c r="FX49" s="450">
        <f t="shared" ca="1" si="83"/>
        <v>3.1924546029412772E-3</v>
      </c>
      <c r="FY49" s="450">
        <f t="shared" ca="1" si="84"/>
        <v>2.8590878583265064E-3</v>
      </c>
      <c r="FZ49" s="450">
        <f t="shared" ca="1" si="85"/>
        <v>2.9207624338853221E-3</v>
      </c>
      <c r="GA49" s="450">
        <f t="shared" ca="1" si="86"/>
        <v>3.4044694668436256E-3</v>
      </c>
      <c r="GB49" s="450">
        <f t="shared" ca="1" si="87"/>
        <v>3.0737723640795515E-3</v>
      </c>
      <c r="GC49" s="450">
        <f t="shared" ca="1" si="88"/>
        <v>3.4963170891237861E-3</v>
      </c>
      <c r="GD49" s="450">
        <f t="shared" ca="1" si="89"/>
        <v>3.3914365759106098E-3</v>
      </c>
      <c r="GE49" s="450">
        <f t="shared" ca="1" si="90"/>
        <v>3.4061349706660613E-3</v>
      </c>
      <c r="GF49" s="450">
        <f t="shared" ca="1" si="91"/>
        <v>4.0456344321628162E-3</v>
      </c>
      <c r="GG49" s="450">
        <f t="shared" ca="1" si="92"/>
        <v>3.8587183001648016E-3</v>
      </c>
      <c r="GH49" s="450">
        <f t="shared" ca="1" si="93"/>
        <v>3.9361408817656955E-3</v>
      </c>
      <c r="GI49" s="450">
        <f t="shared" ca="1" si="94"/>
        <v>4.4686945623142356E-3</v>
      </c>
      <c r="GJ49" s="450">
        <f t="shared" ca="1" si="95"/>
        <v>4.7802791347659563E-3</v>
      </c>
      <c r="GK49" s="450">
        <f t="shared" ca="1" si="96"/>
        <v>5.1549551894819381E-3</v>
      </c>
      <c r="GL49" s="450">
        <f t="shared" ca="1" si="97"/>
        <v>5.066556569170327E-3</v>
      </c>
      <c r="GM49" s="450">
        <f t="shared" ca="1" si="98"/>
        <v>6.1660144920371775E-3</v>
      </c>
      <c r="GN49" s="450">
        <f t="shared" ca="1" si="99"/>
        <v>6.6341985969647545E-3</v>
      </c>
      <c r="GO49" s="450">
        <f t="shared" ca="1" si="100"/>
        <v>7.719755843546206E-3</v>
      </c>
      <c r="GP49" s="450">
        <f t="shared" ca="1" si="101"/>
        <v>8.5346930672631043E-3</v>
      </c>
      <c r="GQ49" s="450">
        <f t="shared" ca="1" si="102"/>
        <v>1.0240086421375482E-2</v>
      </c>
      <c r="GR49" s="450">
        <f t="shared" ca="1" si="103"/>
        <v>1.2110111490498565E-2</v>
      </c>
      <c r="GS49" s="450" t="str">
        <f t="shared" si="104"/>
        <v/>
      </c>
      <c r="GT49" s="450" t="str">
        <f t="shared" si="105"/>
        <v/>
      </c>
      <c r="GU49" s="450" t="str">
        <f t="shared" si="106"/>
        <v/>
      </c>
      <c r="GV49" s="450" t="str">
        <f t="shared" si="107"/>
        <v/>
      </c>
      <c r="GW49" s="450" t="str">
        <f t="shared" si="108"/>
        <v/>
      </c>
      <c r="GX49" s="450" t="str">
        <f t="shared" si="109"/>
        <v/>
      </c>
      <c r="GY49" s="450" t="str">
        <f t="shared" si="110"/>
        <v/>
      </c>
      <c r="GZ49" s="450" t="str">
        <f t="shared" si="111"/>
        <v/>
      </c>
      <c r="HA49" s="450" t="str">
        <f t="shared" si="112"/>
        <v/>
      </c>
      <c r="HB49" s="450" t="str">
        <f t="shared" si="113"/>
        <v/>
      </c>
      <c r="HC49" s="450" t="str">
        <f t="shared" si="114"/>
        <v/>
      </c>
      <c r="HD49" s="450" t="str">
        <f t="shared" si="115"/>
        <v/>
      </c>
      <c r="HE49" s="450" t="str">
        <f t="shared" si="116"/>
        <v/>
      </c>
      <c r="HF49" s="450" t="str">
        <f t="shared" si="117"/>
        <v/>
      </c>
      <c r="HG49" s="450" t="str">
        <f t="shared" si="118"/>
        <v/>
      </c>
      <c r="HH49" s="450" t="str">
        <f t="shared" si="119"/>
        <v/>
      </c>
      <c r="HI49" s="450" t="str">
        <f t="shared" si="120"/>
        <v/>
      </c>
      <c r="HJ49" s="450" t="str">
        <f t="shared" si="121"/>
        <v/>
      </c>
      <c r="HK49" s="450" t="str">
        <f t="shared" si="122"/>
        <v/>
      </c>
      <c r="HL49" s="450" t="str">
        <f t="shared" si="123"/>
        <v/>
      </c>
      <c r="HM49" s="450" t="str">
        <f t="shared" si="124"/>
        <v/>
      </c>
      <c r="HN49" s="450" t="str">
        <f t="shared" si="125"/>
        <v/>
      </c>
      <c r="HO49" s="450" t="str">
        <f t="shared" si="126"/>
        <v/>
      </c>
      <c r="HP49" s="450" t="str">
        <f t="shared" si="127"/>
        <v/>
      </c>
      <c r="HQ49" s="450" t="str">
        <f t="shared" si="128"/>
        <v/>
      </c>
      <c r="HR49" s="450" t="str">
        <f t="shared" si="129"/>
        <v/>
      </c>
      <c r="HS49" s="450" t="str">
        <f t="shared" si="130"/>
        <v/>
      </c>
      <c r="HT49" s="450" t="str">
        <f t="shared" si="131"/>
        <v/>
      </c>
      <c r="HU49" s="450" t="str">
        <f t="shared" si="132"/>
        <v/>
      </c>
      <c r="HV49" s="450" t="str">
        <f t="shared" si="133"/>
        <v/>
      </c>
      <c r="HW49" s="450" t="str">
        <f t="shared" si="134"/>
        <v/>
      </c>
      <c r="HX49" s="450" t="str">
        <f t="shared" si="135"/>
        <v/>
      </c>
      <c r="HY49" s="450" t="str">
        <f t="shared" si="136"/>
        <v/>
      </c>
      <c r="HZ49" s="450" t="str">
        <f t="shared" si="137"/>
        <v/>
      </c>
      <c r="IA49" s="450" t="str">
        <f t="shared" si="138"/>
        <v/>
      </c>
      <c r="IB49" s="450" t="str">
        <f t="shared" si="139"/>
        <v/>
      </c>
      <c r="IC49" s="450" t="str">
        <f t="shared" si="140"/>
        <v/>
      </c>
      <c r="ID49" s="450" t="str">
        <f t="shared" si="141"/>
        <v/>
      </c>
      <c r="IE49" s="450" t="str">
        <f t="shared" si="142"/>
        <v/>
      </c>
      <c r="IF49" s="450" t="str">
        <f t="shared" si="143"/>
        <v/>
      </c>
      <c r="IG49" s="450" t="str">
        <f t="shared" si="144"/>
        <v/>
      </c>
      <c r="IH49" s="658" t="str">
        <f t="shared" si="145"/>
        <v/>
      </c>
      <c r="II49" s="242"/>
    </row>
    <row r="50" spans="1:243" ht="14.25" customHeight="1">
      <c r="A50" s="49"/>
      <c r="B50" s="49"/>
      <c r="C50" s="49"/>
      <c r="D50" s="49"/>
      <c r="E50" s="49"/>
      <c r="F50" s="49"/>
      <c r="G50" s="49"/>
      <c r="H50" s="49" t="e">
        <f t="shared" ca="1" si="34"/>
        <v>#N/A</v>
      </c>
      <c r="I50" s="369">
        <f t="shared" si="35"/>
        <v>37926</v>
      </c>
      <c r="J50" s="367">
        <v>22.706666666666699</v>
      </c>
      <c r="K50" s="101" t="s">
        <v>268</v>
      </c>
      <c r="L50" s="382">
        <f t="shared" si="36"/>
        <v>22.706666666666667</v>
      </c>
      <c r="M50" s="163">
        <v>0.22969941889567999</v>
      </c>
      <c r="N50" s="372">
        <v>0</v>
      </c>
      <c r="O50" s="163">
        <f t="shared" si="37"/>
        <v>0.22969941889567999</v>
      </c>
      <c r="P50" s="367">
        <v>21.52</v>
      </c>
      <c r="Q50" s="101" t="s">
        <v>268</v>
      </c>
      <c r="R50" s="367">
        <f t="shared" ca="1" si="147"/>
        <v>21.52</v>
      </c>
      <c r="S50" s="814">
        <f t="shared" si="163"/>
        <v>0.37735860471657984</v>
      </c>
      <c r="T50" s="813">
        <f t="shared" si="148"/>
        <v>0.99668406606710103</v>
      </c>
      <c r="U50" s="532">
        <f t="shared" si="149"/>
        <v>0.99999732126864749</v>
      </c>
      <c r="V50" s="379">
        <v>0</v>
      </c>
      <c r="W50" s="424">
        <f t="shared" si="150"/>
        <v>22.630750000000013</v>
      </c>
      <c r="X50" s="405">
        <f t="shared" si="38"/>
        <v>22.630749999999999</v>
      </c>
      <c r="Y50" s="313">
        <f t="shared" si="39"/>
        <v>21.427950000000013</v>
      </c>
      <c r="Z50" s="313">
        <f t="shared" ca="1" si="40"/>
        <v>21.427949999999999</v>
      </c>
      <c r="AA50" s="419">
        <f t="shared" si="1"/>
        <v>1.2027999999999999</v>
      </c>
      <c r="AB50" s="423">
        <f t="shared" ca="1" si="2"/>
        <v>1.2027999999999999</v>
      </c>
      <c r="AC50" s="218">
        <v>37914</v>
      </c>
      <c r="AD50" s="221">
        <v>37910</v>
      </c>
      <c r="AE50" s="221">
        <v>37909</v>
      </c>
      <c r="AF50" s="221">
        <v>37905</v>
      </c>
      <c r="AG50" s="241" t="s">
        <v>90</v>
      </c>
      <c r="AH50" s="239" t="s">
        <v>90</v>
      </c>
      <c r="AI50" s="141">
        <v>20</v>
      </c>
      <c r="AJ50" s="41">
        <v>14</v>
      </c>
      <c r="AK50" s="41">
        <v>6</v>
      </c>
      <c r="AL50" s="285">
        <v>20</v>
      </c>
      <c r="AM50" s="41">
        <v>10</v>
      </c>
      <c r="AN50" s="142">
        <v>10</v>
      </c>
      <c r="AO50" s="364">
        <v>4.8537540549296002E-2</v>
      </c>
      <c r="AP50" s="145">
        <f t="shared" ca="1" si="41"/>
        <v>0.88099256826782435</v>
      </c>
      <c r="AQ50" s="364">
        <v>4.2213698583719199E-2</v>
      </c>
      <c r="AR50" s="145">
        <f t="shared" ca="1" si="151"/>
        <v>0.90012446206980934</v>
      </c>
      <c r="AS50" s="264">
        <f t="shared" si="3"/>
        <v>0.22584339100814402</v>
      </c>
      <c r="AT50" s="149">
        <f t="shared" si="42"/>
        <v>0.22969941889567999</v>
      </c>
      <c r="AU50" s="149">
        <f t="shared" si="4"/>
        <v>0.22565565224456</v>
      </c>
      <c r="AV50" s="263">
        <f t="shared" ca="1" si="164"/>
        <v>0.22302539710551006</v>
      </c>
      <c r="AW50" s="150" t="str">
        <f t="shared" ca="1" si="5"/>
        <v/>
      </c>
      <c r="AX50" s="149">
        <f t="shared" ca="1" si="152"/>
        <v>4.2757613596793635E-2</v>
      </c>
      <c r="AY50" s="149">
        <f t="shared" ca="1" si="153"/>
        <v>2.3192217776942005E-2</v>
      </c>
      <c r="AZ50" s="149">
        <f t="shared" ca="1" si="154"/>
        <v>1.0972735622059712E-2</v>
      </c>
      <c r="BA50" s="149">
        <f t="shared" ca="1" si="155"/>
        <v>1.0000000000000047E-4</v>
      </c>
      <c r="BB50" s="149">
        <f t="shared" ca="1" si="156"/>
        <v>1.0000000000000047E-4</v>
      </c>
      <c r="BC50" s="149">
        <f t="shared" ca="1" si="157"/>
        <v>1.0000000000000047E-4</v>
      </c>
      <c r="BD50" s="143">
        <f t="shared" ca="1" si="43"/>
        <v>0</v>
      </c>
      <c r="BE50" s="144">
        <f t="shared" ca="1" si="44"/>
        <v>0</v>
      </c>
      <c r="BF50" s="40">
        <f t="shared" si="7"/>
        <v>2003</v>
      </c>
      <c r="BG50" s="139">
        <f t="shared" si="8"/>
        <v>11</v>
      </c>
      <c r="BH50" s="140">
        <f t="shared" ca="1" si="45"/>
        <v>920</v>
      </c>
      <c r="BI50" s="304">
        <f t="shared" ca="1" si="46"/>
        <v>2.5626283367556466</v>
      </c>
      <c r="BJ50" s="42">
        <f t="shared" ca="1" si="47"/>
        <v>2.6182067077344287</v>
      </c>
      <c r="BK50" s="42">
        <f t="shared" ca="1" si="9"/>
        <v>2.6209445585215607</v>
      </c>
      <c r="BL50" s="42">
        <f t="shared" ca="1" si="48"/>
        <v>2.6420260095824779</v>
      </c>
      <c r="BM50" s="285">
        <f t="shared" si="49"/>
        <v>20</v>
      </c>
      <c r="BN50" s="41">
        <f t="shared" si="50"/>
        <v>14</v>
      </c>
      <c r="BO50" s="41">
        <f t="shared" si="51"/>
        <v>6</v>
      </c>
      <c r="BP50" s="297" t="str">
        <f t="shared" ca="1" si="10"/>
        <v/>
      </c>
      <c r="BQ50" s="297" t="str">
        <f t="shared" ca="1" si="11"/>
        <v/>
      </c>
      <c r="BR50" s="299" t="str">
        <f t="shared" ca="1" si="12"/>
        <v/>
      </c>
      <c r="BS50" s="153" t="str">
        <f t="shared" ca="1" si="13"/>
        <v/>
      </c>
      <c r="BT50" s="153" t="str">
        <f t="shared" ca="1" si="14"/>
        <v/>
      </c>
      <c r="BU50" s="300" t="str">
        <f t="shared" ca="1" si="15"/>
        <v/>
      </c>
      <c r="BV50" s="301" t="str">
        <f t="shared" ca="1" si="16"/>
        <v/>
      </c>
      <c r="BW50" s="300" t="str">
        <f t="shared" ca="1" si="17"/>
        <v/>
      </c>
      <c r="BX50" s="301" t="str">
        <f t="shared" ca="1" si="18"/>
        <v/>
      </c>
      <c r="BY50" s="146" t="str">
        <f t="shared" ca="1" si="19"/>
        <v/>
      </c>
      <c r="BZ50" s="146" t="str">
        <f t="shared" ca="1" si="20"/>
        <v/>
      </c>
      <c r="CA50" s="146" t="str">
        <f t="shared" ca="1" si="21"/>
        <v/>
      </c>
      <c r="CB50" s="146" t="str">
        <f t="shared" ca="1" si="22"/>
        <v/>
      </c>
      <c r="CC50" s="302">
        <v>1</v>
      </c>
      <c r="CD50" s="154">
        <f ca="1">IF(BD50,_xll.xCrudeAPO(BS50,BT50,BY50,BZ50,S51,S52,BI50,BL50,BN50,BO50,0,Strike1,AO50,CC50,0,BL50,IF(OptControl=4,0,1),0,1),0)</f>
        <v>0</v>
      </c>
      <c r="CE50" s="155">
        <f ca="1">IF(BD50,_xll.xCrudeAPO(BS50,BT50,BY50,BZ50,S51,S52,BI50,BL50,BN50,BO50,0,Strike1,AO50,CC50,0,BL50,IF(OptControl=4,0,1),1,1)+_xll.xCrudeAPO(BS50,BT50,BY50,BZ50,S51,S52,BI50,BL50,BN50,BO50,0,Strike1,AO50,CC50,0,BL50,IF(OptControl=4,0,1),1,2)+IF(OR(VolSkewFlag=2,ABS(BQ50)&lt;0.0001),0,IF(BQ50&gt;0,-1,1)*CF50*Strike1/BP50^2*BW50/10%),0)</f>
        <v>0</v>
      </c>
      <c r="CF50" s="155">
        <f ca="1">IF(BD50,(_xll.xCrudeAPO(BS50,BT50,BY50,BZ50,S51,S52,BI50,BL50,BN50,BO50,0,Strike1,AO50,CC50,0,BL50,IF(OptControl=4,0,1),3,1)+_xll.xCrudeAPO(BS50,BT50,BY50,BZ50,S51,S52,BI50,BL50,BN50,BO50,0,Strike1,AO50,CC50,0,BL50,IF(OptControl=4,0,1),3,2))/100,0)</f>
        <v>0</v>
      </c>
      <c r="CG50" s="155">
        <f ca="1">IF(BD50,_xll.xCrudeAPO(BS50,BT50,BY50,BZ50,S51,S52,BI50-DaysForThetaCalculation/365.25,BL50-DaysForThetaCalculation/365.25,BN50,BO50,0,Strike1,AO50,CC50,0,BL50,IF(OptControl=4,0,1),0,1)-_xll.xCrudeAPO(BS50,BT50,BY50,BZ50,S51,S52,BI50,BL50,BN50,BO50,0,Strike1,AO50,CC50,0,BL50,IF(OptControl=4,0,1),0,1),0)</f>
        <v>0</v>
      </c>
      <c r="CH50" s="303">
        <f ca="1">IF(BD50,_xll.xCrudeAPO(BS50,BT50,CA50,CB50,S51,S52,BI50,BL50,BN50,BO50,0,Strike2,AO50,CC50,0,BL50,IF(OptControl=3,1,0),0,1),0)</f>
        <v>0</v>
      </c>
      <c r="CI50" s="155">
        <f ca="1">IF(BD50,_xll.xCrudeAPO(BS50,BT50,CA50,CB50,S51,S52,BI50,BL50,BN50,BO50,0,Strike2,AO50,CC50,0,BL50,IF(OptControl=3,1,0),1,1)+_xll.xCrudeAPO(BS50,BT50,CA50,CB50,S51,S52,BI50,BL50,BN50,BO50,0,Strike2,AO50,CC50,0,BL50,IF(OptControl=3,1,0),1,2)+IF(OR(VolSkewFlag=2,ABS(BR50)&lt;0.0001),0,IF(BR50&gt;0,-1,1)*CJ50*Strike2/BP50^2*BX50/10%),0)</f>
        <v>0</v>
      </c>
      <c r="CJ50" s="155">
        <f ca="1">IF(BD50,(_xll.xCrudeAPO(BS50,BT50,CA50,CB50,S51,S52,BI50,BL50,BN50,BO50,0,Strike2,AO50,CC50,0,BL50,IF(OptControl=3,1,0),3,1)+_xll.xCrudeAPO(BS50,BT50,CA50,CB50,S51,S52,BI50,BL50,BN50,BO50,0,Strike2,AO50,CC50,0,BL50,IF(OptControl=3,1,0),3,2))/100,0)</f>
        <v>0</v>
      </c>
      <c r="CK50" s="156">
        <f ca="1">IF(BD50,_xll.xCrudeAPO(BS50,BT50,CA50,CB50,S51,S52,BI50-DaysForThetaCalculation/365.25,BL50-DaysForThetaCalculation/365.25,BN50,BO50,0,Strike2,AO50,CC50,0,BL50,IF(OptControl=3,1,0),0,1)-_xll.xCrudeAPO(BS50,BT50,CA50,CB50,S51,S52,BI50,BL50,BN50,BO50,0,Strike2,AO50,CC50,0,BL50,IF(OptControl=3,1,0),0,1),0)</f>
        <v>0</v>
      </c>
      <c r="CL50" s="51"/>
      <c r="CM50" s="779" t="str">
        <f t="shared" ca="1" si="52"/>
        <v/>
      </c>
      <c r="CN50" s="783" t="str">
        <f t="shared" ca="1" si="53"/>
        <v/>
      </c>
      <c r="CO50" s="780" t="str">
        <f t="shared" ca="1" si="54"/>
        <v/>
      </c>
      <c r="CP50" s="780" t="str">
        <f t="shared" ca="1" si="55"/>
        <v/>
      </c>
      <c r="CQ50" s="780" t="str">
        <f t="shared" ca="1" si="56"/>
        <v/>
      </c>
      <c r="CR50" s="780" t="str">
        <f t="shared" ca="1" si="57"/>
        <v/>
      </c>
      <c r="CS50" s="781" t="str">
        <f t="shared" ca="1" si="58"/>
        <v/>
      </c>
      <c r="CT50" s="782" t="str">
        <f t="shared" ca="1" si="59"/>
        <v/>
      </c>
      <c r="CU50" s="782" t="str">
        <f t="shared" ca="1" si="60"/>
        <v/>
      </c>
      <c r="CV50" s="155">
        <f ca="1">IF(BD50,_xll.EURO(CN50,Strike1,AO50,AO50,CT50,CM50,IF(OptControl=4,0,1),0),0)</f>
        <v>0</v>
      </c>
      <c r="CW50" s="155">
        <f ca="1">IF(BD50,_xll.EURO(CN50,Strike1,AO50,AO50,CT50,CM50,IF(OptControl=4,0,1),1)+IF(OR(VolSkewFlag=2,ABS(CO50)&lt;0.0001),0,IF(CO50&gt;0,-1,1)*CX50*100*Strike1/CN50^2*CQ50/10%),0)</f>
        <v>0</v>
      </c>
      <c r="CX50" s="155">
        <f ca="1">IF(BD50,_xll.EURO(CN50,Strike1,AO50,AO50,CT50,CM50,IF(OptControl=4,0,1),3)/100,0)</f>
        <v>0</v>
      </c>
      <c r="CY50" s="155">
        <f ca="1">IF(BD50,_xll.EURO(CN50,Strike1,AO50,AO50,CT50,CM50,IF(OptControl=4,0,1),0)-_xll.EURO(CN50,Strike1,AO50,AO50,CT50,CM50-1,IF(OptControl=4,0,1),0),0)</f>
        <v>0</v>
      </c>
      <c r="CZ50" s="155">
        <f ca="1">IF(BD50,_xll.EURO(CN50,Strike2,AO50,AO50,CU50,CM50,IF(OptControl=3,1,0),0),0)</f>
        <v>0</v>
      </c>
      <c r="DA50" s="155">
        <f ca="1">IF(BD50,_xll.EURO(CN50,Strike2,AO50,AO50,CU50,CM50,IF(OptControl=3,1,0),1)+IF(OR(VolSkewFlag=2,ABS(CP50)&lt;0.0001),0,IF(CP50&gt;0,-1,1)*DB50*100*Strike2/CN50^2*CR50/10%),0)</f>
        <v>0</v>
      </c>
      <c r="DB50" s="155">
        <f ca="1">IF(BD50,_xll.EURO(CN50,Strike2,AO50,AO50,CU50,CM50,IF(OptControl=3,1,0),3)/100,0)</f>
        <v>0</v>
      </c>
      <c r="DC50" s="156">
        <f ca="1">IF(BD50,_xll.EURO(CN50,Strike2,AO50,AO50,CU50,CM50,IF(OptControl=3,1,0),0)-_xll.EURO(CN50,Strike2,AO50,AO50,CU50,CM50-1,IF(OptControl=3,1,0),0),0)</f>
        <v>0</v>
      </c>
      <c r="DE50" s="651">
        <f t="shared" ca="1" si="61"/>
        <v>37834</v>
      </c>
      <c r="DF50" s="465">
        <v>1E-4</v>
      </c>
      <c r="DG50" s="649">
        <v>1E-4</v>
      </c>
      <c r="DH50" s="650">
        <f t="shared" ca="1" si="23"/>
        <v>37834</v>
      </c>
      <c r="DI50" s="465">
        <v>1E-4</v>
      </c>
      <c r="DJ50" s="649">
        <v>1E-4</v>
      </c>
      <c r="DK50" s="651">
        <f t="shared" ca="1" si="24"/>
        <v>37834</v>
      </c>
      <c r="DL50" s="652">
        <f t="shared" si="25"/>
        <v>5.0100000000000006E-2</v>
      </c>
      <c r="DM50" s="651">
        <f t="shared" ca="1" si="62"/>
        <v>37834</v>
      </c>
      <c r="DN50" s="563">
        <f t="shared" si="63"/>
        <v>-0.12990000000000002</v>
      </c>
      <c r="DO50" s="803">
        <v>-0.13</v>
      </c>
      <c r="DP50" s="650">
        <f t="shared" ca="1" si="26"/>
        <v>37834</v>
      </c>
      <c r="DQ50" s="653">
        <v>1E-4</v>
      </c>
      <c r="DR50" s="590">
        <v>1E-4</v>
      </c>
      <c r="DS50" s="650">
        <f t="shared" ca="1" si="27"/>
        <v>37834</v>
      </c>
      <c r="DT50" s="653">
        <v>1E-4</v>
      </c>
      <c r="DU50" s="590">
        <v>1E-4</v>
      </c>
      <c r="DV50" s="651">
        <f t="shared" ca="1" si="28"/>
        <v>37834</v>
      </c>
      <c r="DW50" s="590">
        <v>1E-4</v>
      </c>
      <c r="DX50" s="651">
        <f t="shared" ca="1" si="64"/>
        <v>37834</v>
      </c>
      <c r="DY50" s="590">
        <f t="shared" si="65"/>
        <v>1E-4</v>
      </c>
      <c r="DZ50" s="1"/>
      <c r="EA50" s="863" t="e">
        <f ca="1">_xll.ASN(X50,X50,AO50,AS50,0,AI50,0,BI50,BL50,1,0)</f>
        <v>#NAME?</v>
      </c>
      <c r="EB50" s="653" t="e">
        <f ca="1">_xll.ASN(X50,X50,AO50,AS50,0,AI50,0,BI50,BL50,1,3)/100</f>
        <v>#NAME?</v>
      </c>
      <c r="EC50" s="653" t="e">
        <f ca="1">_xll.xCrudeAPO(L51,L52,O51,O52,S51,S52,BI50,BL50,AJ50,AK50,0,X50,AO50,1,0,+BL50,1,0,1)</f>
        <v>#NAME?</v>
      </c>
      <c r="ED50" s="869" t="e">
        <f t="shared" ca="1" si="165"/>
        <v>#NAME?</v>
      </c>
      <c r="EE50" s="863" t="e">
        <f t="shared" ca="1" si="29"/>
        <v>#NAME?</v>
      </c>
      <c r="EF50" s="590" t="e">
        <f t="shared" ca="1" si="30"/>
        <v>#NAME?</v>
      </c>
      <c r="EG50" s="862" t="str">
        <f t="shared" ca="1" si="31"/>
        <v/>
      </c>
      <c r="EH50" s="114" t="str">
        <f t="shared" ca="1" si="32"/>
        <v/>
      </c>
      <c r="EI50" s="109" t="str">
        <f t="shared" ca="1" si="33"/>
        <v/>
      </c>
      <c r="EJ50" s="115">
        <f ca="1">IF(BD50,_xll.xASN(BP50,Strike1,AO50,EH50,0,BM50,0,BI50,BL50,IF(OptControl=4,0,1),0),0)</f>
        <v>0</v>
      </c>
      <c r="EK50" s="108">
        <f ca="1">IF(BD50,_xll.xASN(BP50,Strike2,AO50,EI50,0,BM50,0,BI50,BL50,IF(OptControl=3,1,0),0),0)</f>
        <v>0</v>
      </c>
      <c r="EM50" s="473" t="e">
        <f>[1]!'CLc31 MTH'</f>
        <v>#REF!</v>
      </c>
      <c r="EN50" s="474" t="e">
        <f t="shared" si="158"/>
        <v>#REF!</v>
      </c>
      <c r="EO50" s="475" t="e">
        <f>[1]!'CLc31 NET.CHNG'</f>
        <v>#REF!</v>
      </c>
      <c r="EP50" s="476">
        <f t="shared" si="159"/>
        <v>0</v>
      </c>
      <c r="EQ50" s="1"/>
      <c r="ER50" s="681">
        <v>39441</v>
      </c>
      <c r="ES50" s="682">
        <v>42005</v>
      </c>
      <c r="ET50" s="1"/>
      <c r="EU50" s="667" t="s">
        <v>154</v>
      </c>
      <c r="EV50" s="51"/>
      <c r="EW50" s="488">
        <v>31</v>
      </c>
      <c r="EX50" s="466">
        <f t="shared" ca="1" si="166"/>
        <v>2.5188227241615331</v>
      </c>
      <c r="EY50" s="824">
        <f t="shared" ca="1" si="66"/>
        <v>0.13289767884389328</v>
      </c>
      <c r="EZ50" s="798">
        <f t="shared" ca="1" si="160"/>
        <v>0.23008563498989285</v>
      </c>
      <c r="FA50" s="468" t="str">
        <f t="shared" ca="1" si="161"/>
        <v/>
      </c>
      <c r="FB50" s="467" t="str">
        <f t="shared" ca="1" si="162"/>
        <v/>
      </c>
      <c r="FC50" s="242">
        <v>0</v>
      </c>
      <c r="FD50" s="589" t="str">
        <f ca="1">IF(OR(FA50="",FA51=""),"",SQRT(SUM(INDEX(FO50:IH50,SwaptionFirstMonthPosition+1):INDEX(FO50:IH50,FN50))/SUM(INDEX($FO$15:$IH$15,SwaptionFirstMonthPosition+1):INDEX($FO$15:$IH$15,FN50))))</f>
        <v/>
      </c>
      <c r="FE50" s="565" t="str">
        <f ca="1">IF(OR(FA50="",FA49=""),"",SQRT(SUM(INDEX(FO50:IH50,SwaptionFirstMonthPosition+1):INDEX(FO50:IH50,FN50-1))/SUM(INDEX($FO$15:$IH$15,SwaptionFirstMonthPosition+1):INDEX($FO$15:$IH$15,FN50-1))))</f>
        <v/>
      </c>
      <c r="FF50" s="562" t="str">
        <f t="shared" ca="1" si="67"/>
        <v/>
      </c>
      <c r="FG50" s="593" t="str">
        <f t="shared" ca="1" si="68"/>
        <v/>
      </c>
      <c r="FH50" s="563" t="str">
        <f t="shared" ca="1" si="69"/>
        <v/>
      </c>
      <c r="FI50" s="563" t="str">
        <f t="shared" ca="1" si="70"/>
        <v/>
      </c>
      <c r="FJ50" s="563" t="str">
        <f t="shared" ca="1" si="71"/>
        <v/>
      </c>
      <c r="FK50" s="564" t="str">
        <f t="shared" ca="1" si="72"/>
        <v/>
      </c>
      <c r="FL50" s="590" t="str">
        <f t="shared" ca="1" si="73"/>
        <v/>
      </c>
      <c r="FM50" s="242"/>
      <c r="FN50" s="657">
        <v>31</v>
      </c>
      <c r="FO50" s="450">
        <f t="shared" ca="1" si="74"/>
        <v>6.9749718848285925E-4</v>
      </c>
      <c r="FP50" s="450">
        <f t="shared" ca="1" si="75"/>
        <v>2.6334667862163998E-3</v>
      </c>
      <c r="FQ50" s="450">
        <f t="shared" ca="1" si="76"/>
        <v>2.5600788082619252E-3</v>
      </c>
      <c r="FR50" s="450">
        <f t="shared" ca="1" si="77"/>
        <v>2.8435541145935103E-3</v>
      </c>
      <c r="FS50" s="450">
        <f t="shared" ca="1" si="78"/>
        <v>2.686216032746718E-3</v>
      </c>
      <c r="FT50" s="450">
        <f t="shared" ca="1" si="79"/>
        <v>2.8905428176007547E-3</v>
      </c>
      <c r="FU50" s="450">
        <f t="shared" ca="1" si="80"/>
        <v>2.7372676323716358E-3</v>
      </c>
      <c r="FV50" s="450">
        <f t="shared" ca="1" si="81"/>
        <v>2.5842766325065683E-3</v>
      </c>
      <c r="FW50" s="450">
        <f t="shared" ca="1" si="82"/>
        <v>2.8052667280731138E-3</v>
      </c>
      <c r="FX50" s="450">
        <f t="shared" ca="1" si="83"/>
        <v>3.1318591167827526E-3</v>
      </c>
      <c r="FY50" s="450">
        <f t="shared" ca="1" si="84"/>
        <v>2.7987901876231434E-3</v>
      </c>
      <c r="FZ50" s="450">
        <f t="shared" ca="1" si="85"/>
        <v>2.8523197929032924E-3</v>
      </c>
      <c r="GA50" s="450">
        <f t="shared" ca="1" si="86"/>
        <v>3.3158278928528467E-3</v>
      </c>
      <c r="GB50" s="450">
        <f t="shared" ca="1" si="87"/>
        <v>2.9848487290054832E-3</v>
      </c>
      <c r="GC50" s="450">
        <f t="shared" ca="1" si="88"/>
        <v>3.3839306762695419E-3</v>
      </c>
      <c r="GD50" s="450">
        <f t="shared" ca="1" si="89"/>
        <v>3.2703086761891359E-3</v>
      </c>
      <c r="GE50" s="450">
        <f t="shared" ca="1" si="90"/>
        <v>3.270965120915275E-3</v>
      </c>
      <c r="GF50" s="450">
        <f t="shared" ca="1" si="91"/>
        <v>3.8672478825817549E-3</v>
      </c>
      <c r="GG50" s="450">
        <f t="shared" ca="1" si="92"/>
        <v>3.6696685822490156E-3</v>
      </c>
      <c r="GH50" s="450">
        <f t="shared" ca="1" si="93"/>
        <v>3.7218710227981565E-3</v>
      </c>
      <c r="GI50" s="450">
        <f t="shared" ca="1" si="94"/>
        <v>4.1984054129508858E-3</v>
      </c>
      <c r="GJ50" s="450">
        <f t="shared" ca="1" si="95"/>
        <v>4.4590176311015903E-3</v>
      </c>
      <c r="GK50" s="450">
        <f t="shared" ca="1" si="96"/>
        <v>4.7700198218538544E-3</v>
      </c>
      <c r="GL50" s="450">
        <f t="shared" ca="1" si="97"/>
        <v>4.6461850272106371E-3</v>
      </c>
      <c r="GM50" s="450">
        <f t="shared" ca="1" si="98"/>
        <v>5.5975773549936441E-3</v>
      </c>
      <c r="GN50" s="450">
        <f t="shared" ca="1" si="99"/>
        <v>5.954644772455886E-3</v>
      </c>
      <c r="GO50" s="450">
        <f t="shared" ca="1" si="100"/>
        <v>6.8411452236261929E-3</v>
      </c>
      <c r="GP50" s="450">
        <f t="shared" ca="1" si="101"/>
        <v>7.4554027490733952E-3</v>
      </c>
      <c r="GQ50" s="450">
        <f t="shared" ca="1" si="102"/>
        <v>8.8012497884944595E-3</v>
      </c>
      <c r="GR50" s="450">
        <f t="shared" ca="1" si="103"/>
        <v>1.0219451227186035E-2</v>
      </c>
      <c r="GS50" s="450">
        <f t="shared" ca="1" si="104"/>
        <v>1.1696058854508726E-2</v>
      </c>
      <c r="GT50" s="450" t="str">
        <f t="shared" si="105"/>
        <v/>
      </c>
      <c r="GU50" s="450" t="str">
        <f t="shared" si="106"/>
        <v/>
      </c>
      <c r="GV50" s="450" t="str">
        <f t="shared" si="107"/>
        <v/>
      </c>
      <c r="GW50" s="450" t="str">
        <f t="shared" si="108"/>
        <v/>
      </c>
      <c r="GX50" s="450" t="str">
        <f t="shared" si="109"/>
        <v/>
      </c>
      <c r="GY50" s="450" t="str">
        <f t="shared" si="110"/>
        <v/>
      </c>
      <c r="GZ50" s="450" t="str">
        <f t="shared" si="111"/>
        <v/>
      </c>
      <c r="HA50" s="450" t="str">
        <f t="shared" si="112"/>
        <v/>
      </c>
      <c r="HB50" s="450" t="str">
        <f t="shared" si="113"/>
        <v/>
      </c>
      <c r="HC50" s="450" t="str">
        <f t="shared" si="114"/>
        <v/>
      </c>
      <c r="HD50" s="450" t="str">
        <f t="shared" si="115"/>
        <v/>
      </c>
      <c r="HE50" s="450" t="str">
        <f t="shared" si="116"/>
        <v/>
      </c>
      <c r="HF50" s="450" t="str">
        <f t="shared" si="117"/>
        <v/>
      </c>
      <c r="HG50" s="450" t="str">
        <f t="shared" si="118"/>
        <v/>
      </c>
      <c r="HH50" s="450" t="str">
        <f t="shared" si="119"/>
        <v/>
      </c>
      <c r="HI50" s="450" t="str">
        <f t="shared" si="120"/>
        <v/>
      </c>
      <c r="HJ50" s="450" t="str">
        <f t="shared" si="121"/>
        <v/>
      </c>
      <c r="HK50" s="450" t="str">
        <f t="shared" si="122"/>
        <v/>
      </c>
      <c r="HL50" s="450" t="str">
        <f t="shared" si="123"/>
        <v/>
      </c>
      <c r="HM50" s="450" t="str">
        <f t="shared" si="124"/>
        <v/>
      </c>
      <c r="HN50" s="450" t="str">
        <f t="shared" si="125"/>
        <v/>
      </c>
      <c r="HO50" s="450" t="str">
        <f t="shared" si="126"/>
        <v/>
      </c>
      <c r="HP50" s="450" t="str">
        <f t="shared" si="127"/>
        <v/>
      </c>
      <c r="HQ50" s="450" t="str">
        <f t="shared" si="128"/>
        <v/>
      </c>
      <c r="HR50" s="450" t="str">
        <f t="shared" si="129"/>
        <v/>
      </c>
      <c r="HS50" s="450" t="str">
        <f t="shared" si="130"/>
        <v/>
      </c>
      <c r="HT50" s="450" t="str">
        <f t="shared" si="131"/>
        <v/>
      </c>
      <c r="HU50" s="450" t="str">
        <f t="shared" si="132"/>
        <v/>
      </c>
      <c r="HV50" s="450" t="str">
        <f t="shared" si="133"/>
        <v/>
      </c>
      <c r="HW50" s="450" t="str">
        <f t="shared" si="134"/>
        <v/>
      </c>
      <c r="HX50" s="450" t="str">
        <f t="shared" si="135"/>
        <v/>
      </c>
      <c r="HY50" s="450" t="str">
        <f t="shared" si="136"/>
        <v/>
      </c>
      <c r="HZ50" s="450" t="str">
        <f t="shared" si="137"/>
        <v/>
      </c>
      <c r="IA50" s="450" t="str">
        <f t="shared" si="138"/>
        <v/>
      </c>
      <c r="IB50" s="450" t="str">
        <f t="shared" si="139"/>
        <v/>
      </c>
      <c r="IC50" s="450" t="str">
        <f t="shared" si="140"/>
        <v/>
      </c>
      <c r="ID50" s="450" t="str">
        <f t="shared" si="141"/>
        <v/>
      </c>
      <c r="IE50" s="450" t="str">
        <f t="shared" si="142"/>
        <v/>
      </c>
      <c r="IF50" s="450" t="str">
        <f t="shared" si="143"/>
        <v/>
      </c>
      <c r="IG50" s="450" t="str">
        <f t="shared" si="144"/>
        <v/>
      </c>
      <c r="IH50" s="658" t="str">
        <f t="shared" si="145"/>
        <v/>
      </c>
      <c r="II50" s="242"/>
    </row>
    <row r="51" spans="1:243" ht="14.25" customHeight="1">
      <c r="A51" s="49"/>
      <c r="B51" s="49"/>
      <c r="C51" s="49"/>
      <c r="D51" s="49"/>
      <c r="E51" s="49"/>
      <c r="F51" s="49"/>
      <c r="G51" s="49"/>
      <c r="H51" s="49" t="e">
        <f t="shared" ca="1" si="34"/>
        <v>#N/A</v>
      </c>
      <c r="I51" s="369">
        <f t="shared" si="35"/>
        <v>37956</v>
      </c>
      <c r="J51" s="367">
        <v>22.64</v>
      </c>
      <c r="K51" s="101">
        <v>0</v>
      </c>
      <c r="L51" s="382">
        <f t="shared" si="36"/>
        <v>22.64</v>
      </c>
      <c r="M51" s="163">
        <v>0.22612499915352</v>
      </c>
      <c r="N51" s="372">
        <v>0</v>
      </c>
      <c r="O51" s="163">
        <f t="shared" si="37"/>
        <v>0.22612499915352</v>
      </c>
      <c r="P51" s="367">
        <v>21.484000000000002</v>
      </c>
      <c r="Q51" s="101">
        <v>0</v>
      </c>
      <c r="R51" s="367">
        <f t="shared" ca="1" si="147"/>
        <v>21.484000000000002</v>
      </c>
      <c r="S51" s="814">
        <f t="shared" si="163"/>
        <v>0.37698501866941403</v>
      </c>
      <c r="T51" s="813">
        <f t="shared" si="148"/>
        <v>0.9970163552408029</v>
      </c>
      <c r="U51" s="532">
        <f t="shared" si="149"/>
        <v>0.99999799095148556</v>
      </c>
      <c r="V51" s="379">
        <v>0</v>
      </c>
      <c r="W51" s="424">
        <f t="shared" ref="W51:W82" si="168">(J52*AJ51+J53*AK51)/AI51</f>
        <v>22.599356060606073</v>
      </c>
      <c r="X51" s="405">
        <f t="shared" ref="X51:X82" si="169">(L52*AJ51+L53*AK51)/AI51</f>
        <v>22.599356060606059</v>
      </c>
      <c r="Y51" s="313">
        <f t="shared" ref="Y51:Y82" si="170">IF(Q53="extra",W51-AA51,(P52*AM51+P53*AN51)/AL51)</f>
        <v>21.396556060606073</v>
      </c>
      <c r="Z51" s="313">
        <f t="shared" ref="Z51:Z82" ca="1" si="171">IF(Q53="extra",X51-AB51,(R52*AM51+R53*AN51)/AL51)</f>
        <v>21.396556060606059</v>
      </c>
      <c r="AA51" s="419">
        <f t="shared" si="1"/>
        <v>1.2027999999999999</v>
      </c>
      <c r="AB51" s="423">
        <f t="shared" ca="1" si="2"/>
        <v>1.2027999999999999</v>
      </c>
      <c r="AC51" s="218">
        <v>37945</v>
      </c>
      <c r="AD51" s="221">
        <v>37941</v>
      </c>
      <c r="AE51" s="221">
        <v>37940</v>
      </c>
      <c r="AF51" s="221">
        <v>37936</v>
      </c>
      <c r="AG51" s="241" t="s">
        <v>495</v>
      </c>
      <c r="AH51" s="239" t="s">
        <v>495</v>
      </c>
      <c r="AI51" s="141">
        <v>22</v>
      </c>
      <c r="AJ51" s="41">
        <v>15</v>
      </c>
      <c r="AK51" s="41">
        <v>7</v>
      </c>
      <c r="AL51" s="285">
        <v>22</v>
      </c>
      <c r="AM51" s="41">
        <v>10</v>
      </c>
      <c r="AN51" s="142">
        <v>12</v>
      </c>
      <c r="AO51" s="364">
        <v>4.8766667298167005E-2</v>
      </c>
      <c r="AP51" s="145">
        <f t="shared" ca="1" si="41"/>
        <v>0.87687887663364472</v>
      </c>
      <c r="AQ51" s="364">
        <v>4.23900114368405E-2</v>
      </c>
      <c r="AR51" s="145">
        <f t="shared" ca="1" si="151"/>
        <v>0.89653555908451021</v>
      </c>
      <c r="AS51" s="264">
        <f t="shared" ref="AS51:AS82" si="172">(O52*AJ51+O53*AK51)/AI51</f>
        <v>0.22415619744009546</v>
      </c>
      <c r="AT51" s="149">
        <f t="shared" si="42"/>
        <v>0.22612499915352</v>
      </c>
      <c r="AU51" s="149">
        <f t="shared" si="4"/>
        <v>0.22342040608616359</v>
      </c>
      <c r="AV51" s="263">
        <f t="shared" ca="1" si="164"/>
        <v>0.21924121409687017</v>
      </c>
      <c r="AW51" s="150" t="str">
        <f t="shared" ref="AW51:AW82" ca="1" si="173">IF($I51-DateToday+15&gt;=$T$8,"",IF($I51-DateToday+15&lt;$T$5,1,MATCH($I51-DateToday+15,$T$5:$T$8)))</f>
        <v/>
      </c>
      <c r="AX51" s="149">
        <f t="shared" ca="1" si="152"/>
        <v>4.2156945502335758E-2</v>
      </c>
      <c r="AY51" s="149">
        <f t="shared" ca="1" si="153"/>
        <v>2.2793175527899341E-2</v>
      </c>
      <c r="AZ51" s="149">
        <f t="shared" ca="1" si="154"/>
        <v>1.0841963549946539E-2</v>
      </c>
      <c r="BA51" s="149">
        <f t="shared" ca="1" si="155"/>
        <v>1.0000000000000051E-4</v>
      </c>
      <c r="BB51" s="149">
        <f t="shared" ca="1" si="156"/>
        <v>1.0000000000000051E-4</v>
      </c>
      <c r="BC51" s="149">
        <f t="shared" ca="1" si="157"/>
        <v>1.0000000000000051E-4</v>
      </c>
      <c r="BD51" s="143">
        <f t="shared" ref="BD51:BD82" ca="1" si="174">IF(OR(DateStart&gt;=I52,DateEnd&lt;I51),0,IF(VolumeOverrideFlag,V51,Volume))</f>
        <v>0</v>
      </c>
      <c r="BE51" s="144">
        <f t="shared" ref="BE51:BE82" ca="1" si="175">IF(OR(DateStart2&gt;=I52,DateEnd2&lt;I51),0,IF(VolumeOverrideFlag,V51,VolumeSwaption))</f>
        <v>0</v>
      </c>
      <c r="BF51" s="40">
        <f t="shared" ref="BF51:BF82" si="176">YEAR(I51)</f>
        <v>2003</v>
      </c>
      <c r="BG51" s="139">
        <f t="shared" ref="BG51:BG82" si="177">MONTH(I51)</f>
        <v>12</v>
      </c>
      <c r="BH51" s="140">
        <f t="shared" ref="BH51:BH82" ca="1" si="178">AD51-DateToday+1</f>
        <v>951</v>
      </c>
      <c r="BI51" s="304">
        <f t="shared" ref="BI51:BI82" ca="1" si="179">(I51-DateToday+1)/365.25</f>
        <v>2.64476386036961</v>
      </c>
      <c r="BJ51" s="42">
        <f t="shared" ca="1" si="47"/>
        <v>2.7007653537427667</v>
      </c>
      <c r="BK51" s="42">
        <f t="shared" ref="BK51:BK82" ca="1" si="180">BJ51+1/365.25</f>
        <v>2.7035032045298988</v>
      </c>
      <c r="BL51" s="42">
        <f t="shared" ref="BL51:BL82" ca="1" si="181">(I52-DateToday)/365.25</f>
        <v>2.7268993839835729</v>
      </c>
      <c r="BM51" s="285">
        <f t="shared" si="49"/>
        <v>22</v>
      </c>
      <c r="BN51" s="41">
        <f t="shared" si="50"/>
        <v>15</v>
      </c>
      <c r="BO51" s="41">
        <f t="shared" si="51"/>
        <v>7</v>
      </c>
      <c r="BP51" s="297" t="str">
        <f t="shared" ca="1" si="10"/>
        <v/>
      </c>
      <c r="BQ51" s="297" t="str">
        <f t="shared" ca="1" si="11"/>
        <v/>
      </c>
      <c r="BR51" s="299" t="str">
        <f t="shared" ca="1" si="12"/>
        <v/>
      </c>
      <c r="BS51" s="153" t="str">
        <f t="shared" ca="1" si="13"/>
        <v/>
      </c>
      <c r="BT51" s="153" t="str">
        <f t="shared" ca="1" si="14"/>
        <v/>
      </c>
      <c r="BU51" s="300" t="str">
        <f t="shared" ca="1" si="15"/>
        <v/>
      </c>
      <c r="BV51" s="301" t="str">
        <f t="shared" ca="1" si="16"/>
        <v/>
      </c>
      <c r="BW51" s="300" t="str">
        <f t="shared" ca="1" si="17"/>
        <v/>
      </c>
      <c r="BX51" s="301" t="str">
        <f t="shared" ca="1" si="18"/>
        <v/>
      </c>
      <c r="BY51" s="146" t="str">
        <f t="shared" ca="1" si="19"/>
        <v/>
      </c>
      <c r="BZ51" s="146" t="str">
        <f t="shared" ca="1" si="20"/>
        <v/>
      </c>
      <c r="CA51" s="146" t="str">
        <f t="shared" ca="1" si="21"/>
        <v/>
      </c>
      <c r="CB51" s="146" t="str">
        <f t="shared" ca="1" si="22"/>
        <v/>
      </c>
      <c r="CC51" s="302">
        <v>1</v>
      </c>
      <c r="CD51" s="154">
        <f ca="1">IF(BD51,_xll.xCrudeAPO(BS51,BT51,BY51,BZ51,S52,S53,BI51,BL51,BN51,BO51,0,Strike1,AO51,CC51,0,BL51,IF(OptControl=4,0,1),0,1),0)</f>
        <v>0</v>
      </c>
      <c r="CE51" s="155">
        <f ca="1">IF(BD51,_xll.xCrudeAPO(BS51,BT51,BY51,BZ51,S52,S53,BI51,BL51,BN51,BO51,0,Strike1,AO51,CC51,0,BL51,IF(OptControl=4,0,1),1,1)+_xll.xCrudeAPO(BS51,BT51,BY51,BZ51,S52,S53,BI51,BL51,BN51,BO51,0,Strike1,AO51,CC51,0,BL51,IF(OptControl=4,0,1),1,2)+IF(OR(VolSkewFlag=2,ABS(BQ51)&lt;0.0001),0,IF(BQ51&gt;0,-1,1)*CF51*Strike1/BP51^2*BW51/10%),0)</f>
        <v>0</v>
      </c>
      <c r="CF51" s="155">
        <f ca="1">IF(BD51,(_xll.xCrudeAPO(BS51,BT51,BY51,BZ51,S52,S53,BI51,BL51,BN51,BO51,0,Strike1,AO51,CC51,0,BL51,IF(OptControl=4,0,1),3,1)+_xll.xCrudeAPO(BS51,BT51,BY51,BZ51,S52,S53,BI51,BL51,BN51,BO51,0,Strike1,AO51,CC51,0,BL51,IF(OptControl=4,0,1),3,2))/100,0)</f>
        <v>0</v>
      </c>
      <c r="CG51" s="155">
        <f ca="1">IF(BD51,_xll.xCrudeAPO(BS51,BT51,BY51,BZ51,S52,S53,BI51-DaysForThetaCalculation/365.25,BL51-DaysForThetaCalculation/365.25,BN51,BO51,0,Strike1,AO51,CC51,0,BL51,IF(OptControl=4,0,1),0,1)-_xll.xCrudeAPO(BS51,BT51,BY51,BZ51,S52,S53,BI51,BL51,BN51,BO51,0,Strike1,AO51,CC51,0,BL51,IF(OptControl=4,0,1),0,1),0)</f>
        <v>0</v>
      </c>
      <c r="CH51" s="303">
        <f ca="1">IF(BD51,_xll.xCrudeAPO(BS51,BT51,CA51,CB51,S52,S53,BI51,BL51,BN51,BO51,0,Strike2,AO51,CC51,0,BL51,IF(OptControl=3,1,0),0,1),0)</f>
        <v>0</v>
      </c>
      <c r="CI51" s="155">
        <f ca="1">IF(BD51,_xll.xCrudeAPO(BS51,BT51,CA51,CB51,S52,S53,BI51,BL51,BN51,BO51,0,Strike2,AO51,CC51,0,BL51,IF(OptControl=3,1,0),1,1)+_xll.xCrudeAPO(BS51,BT51,CA51,CB51,S52,S53,BI51,BL51,BN51,BO51,0,Strike2,AO51,CC51,0,BL51,IF(OptControl=3,1,0),1,2)+IF(OR(VolSkewFlag=2,ABS(BR51)&lt;0.0001),0,IF(BR51&gt;0,-1,1)*CJ51*Strike2/BP51^2*BX51/10%),0)</f>
        <v>0</v>
      </c>
      <c r="CJ51" s="155">
        <f ca="1">IF(BD51,(_xll.xCrudeAPO(BS51,BT51,CA51,CB51,S52,S53,BI51,BL51,BN51,BO51,0,Strike2,AO51,CC51,0,BL51,IF(OptControl=3,1,0),3,1)+_xll.xCrudeAPO(BS51,BT51,CA51,CB51,S52,S53,BI51,BL51,BN51,BO51,0,Strike2,AO51,CC51,0,BL51,IF(OptControl=3,1,0),3,2))/100,0)</f>
        <v>0</v>
      </c>
      <c r="CK51" s="156">
        <f ca="1">IF(BD51,_xll.xCrudeAPO(BS51,BT51,CA51,CB51,S52,S53,BI51-DaysForThetaCalculation/365.25,BL51-DaysForThetaCalculation/365.25,BN51,BO51,0,Strike2,AO51,CC51,0,BL51,IF(OptControl=3,1,0),0,1)-_xll.xCrudeAPO(BS51,BT51,CA51,CB51,S52,S53,BI51,BL51,BN51,BO51,0,Strike2,AO51,CC51,0,BL51,IF(OptControl=3,1,0),0,1),0)</f>
        <v>0</v>
      </c>
      <c r="CL51" s="51"/>
      <c r="CM51" s="779" t="str">
        <f t="shared" ca="1" si="52"/>
        <v/>
      </c>
      <c r="CN51" s="783" t="str">
        <f t="shared" ca="1" si="53"/>
        <v/>
      </c>
      <c r="CO51" s="780" t="str">
        <f t="shared" ca="1" si="54"/>
        <v/>
      </c>
      <c r="CP51" s="780" t="str">
        <f t="shared" ca="1" si="55"/>
        <v/>
      </c>
      <c r="CQ51" s="780" t="str">
        <f t="shared" ca="1" si="56"/>
        <v/>
      </c>
      <c r="CR51" s="780" t="str">
        <f t="shared" ca="1" si="57"/>
        <v/>
      </c>
      <c r="CS51" s="781" t="str">
        <f t="shared" ca="1" si="58"/>
        <v/>
      </c>
      <c r="CT51" s="782" t="str">
        <f t="shared" ca="1" si="59"/>
        <v/>
      </c>
      <c r="CU51" s="782" t="str">
        <f t="shared" ca="1" si="60"/>
        <v/>
      </c>
      <c r="CV51" s="155">
        <f ca="1">IF(BD51,_xll.EURO(CN51,Strike1,AO51,AO51,CT51,CM51,IF(OptControl=4,0,1),0),0)</f>
        <v>0</v>
      </c>
      <c r="CW51" s="155">
        <f ca="1">IF(BD51,_xll.EURO(CN51,Strike1,AO51,AO51,CT51,CM51,IF(OptControl=4,0,1),1)+IF(OR(VolSkewFlag=2,ABS(CO51)&lt;0.0001),0,IF(CO51&gt;0,-1,1)*CX51*100*Strike1/CN51^2*CQ51/10%),0)</f>
        <v>0</v>
      </c>
      <c r="CX51" s="155">
        <f ca="1">IF(BD51,_xll.EURO(CN51,Strike1,AO51,AO51,CT51,CM51,IF(OptControl=4,0,1),3)/100,0)</f>
        <v>0</v>
      </c>
      <c r="CY51" s="155">
        <f ca="1">IF(BD51,_xll.EURO(CN51,Strike1,AO51,AO51,CT51,CM51,IF(OptControl=4,0,1),0)-_xll.EURO(CN51,Strike1,AO51,AO51,CT51,CM51-1,IF(OptControl=4,0,1),0),0)</f>
        <v>0</v>
      </c>
      <c r="CZ51" s="155">
        <f ca="1">IF(BD51,_xll.EURO(CN51,Strike2,AO51,AO51,CU51,CM51,IF(OptControl=3,1,0),0),0)</f>
        <v>0</v>
      </c>
      <c r="DA51" s="155">
        <f ca="1">IF(BD51,_xll.EURO(CN51,Strike2,AO51,AO51,CU51,CM51,IF(OptControl=3,1,0),1)+IF(OR(VolSkewFlag=2,ABS(CP51)&lt;0.0001),0,IF(CP51&gt;0,-1,1)*DB51*100*Strike2/CN51^2*CR51/10%),0)</f>
        <v>0</v>
      </c>
      <c r="DB51" s="155">
        <f ca="1">IF(BD51,_xll.EURO(CN51,Strike2,AO51,AO51,CU51,CM51,IF(OptControl=3,1,0),3)/100,0)</f>
        <v>0</v>
      </c>
      <c r="DC51" s="156">
        <f ca="1">IF(BD51,_xll.EURO(CN51,Strike2,AO51,AO51,CU51,CM51,IF(OptControl=3,1,0),0)-_xll.EURO(CN51,Strike2,AO51,AO51,CU51,CM51-1,IF(OptControl=3,1,0),0),0)</f>
        <v>0</v>
      </c>
      <c r="DE51" s="651">
        <f t="shared" ca="1" si="61"/>
        <v>37865</v>
      </c>
      <c r="DF51" s="465">
        <v>1E-4</v>
      </c>
      <c r="DG51" s="649">
        <v>1E-4</v>
      </c>
      <c r="DH51" s="650">
        <f t="shared" ref="DH51:DH82" ca="1" si="182">DE51</f>
        <v>37865</v>
      </c>
      <c r="DI51" s="465">
        <v>1E-4</v>
      </c>
      <c r="DJ51" s="649">
        <v>1E-4</v>
      </c>
      <c r="DK51" s="651">
        <f t="shared" ref="DK51:DK82" ca="1" si="183">DE51</f>
        <v>37865</v>
      </c>
      <c r="DL51" s="652">
        <f t="shared" ref="DL51:DL82" si="184">DI51+BrentPhyBrentSpread</f>
        <v>5.0100000000000006E-2</v>
      </c>
      <c r="DM51" s="651">
        <f t="shared" ca="1" si="62"/>
        <v>37865</v>
      </c>
      <c r="DN51" s="563">
        <f t="shared" si="63"/>
        <v>-0.12990000000000002</v>
      </c>
      <c r="DO51" s="803">
        <v>-0.13</v>
      </c>
      <c r="DP51" s="650">
        <f t="shared" ref="DP51:DP82" ca="1" si="185">DE51</f>
        <v>37865</v>
      </c>
      <c r="DQ51" s="653">
        <v>1E-4</v>
      </c>
      <c r="DR51" s="590">
        <v>1E-4</v>
      </c>
      <c r="DS51" s="650">
        <f t="shared" ref="DS51:DS82" ca="1" si="186">DE51</f>
        <v>37865</v>
      </c>
      <c r="DT51" s="653">
        <v>1E-4</v>
      </c>
      <c r="DU51" s="590">
        <v>1E-4</v>
      </c>
      <c r="DV51" s="651">
        <f t="shared" ref="DV51:DV82" ca="1" si="187">DE51</f>
        <v>37865</v>
      </c>
      <c r="DW51" s="590">
        <v>1E-4</v>
      </c>
      <c r="DX51" s="651">
        <f t="shared" ca="1" si="64"/>
        <v>37865</v>
      </c>
      <c r="DY51" s="590">
        <f t="shared" si="65"/>
        <v>1E-4</v>
      </c>
      <c r="DZ51" s="1"/>
      <c r="EA51" s="863" t="e">
        <f ca="1">_xll.ASN(X51,X51,AO51,AS51,0,AI51,0,BI51,BL51,1,0)</f>
        <v>#NAME?</v>
      </c>
      <c r="EB51" s="653" t="e">
        <f ca="1">_xll.ASN(X51,X51,AO51,AS51,0,AI51,0,BI51,BL51,1,3)/100</f>
        <v>#NAME?</v>
      </c>
      <c r="EC51" s="653" t="e">
        <f ca="1">_xll.xCrudeAPO(L52,L53,O52,O53,S52,S53,BI51,BL51,AJ51,AK51,0,X51,AO51,1,0,+BL51,1,0,1)</f>
        <v>#NAME?</v>
      </c>
      <c r="ED51" s="869" t="e">
        <f t="shared" ca="1" si="165"/>
        <v>#NAME?</v>
      </c>
      <c r="EE51" s="863" t="e">
        <f t="shared" ca="1" si="29"/>
        <v>#NAME?</v>
      </c>
      <c r="EF51" s="590" t="e">
        <f t="shared" ca="1" si="30"/>
        <v>#NAME?</v>
      </c>
      <c r="EG51" s="862" t="str">
        <f t="shared" ref="EG51:EG82" ca="1" si="188">IF(BD51,IF(Underlying=1,AS51,AU51),"")</f>
        <v/>
      </c>
      <c r="EH51" s="114" t="str">
        <f t="shared" ca="1" si="32"/>
        <v/>
      </c>
      <c r="EI51" s="109" t="str">
        <f t="shared" ca="1" si="33"/>
        <v/>
      </c>
      <c r="EJ51" s="115">
        <f ca="1">IF(BD51,_xll.xASN(BP51,Strike1,AO51,EH51,0,BM51,0,BI51,BL51,IF(OptControl=4,0,1),0),0)</f>
        <v>0</v>
      </c>
      <c r="EK51" s="108">
        <f ca="1">IF(BD51,_xll.xASN(BP51,Strike2,AO51,EI51,0,BM51,0,BI51,BL51,IF(OptControl=3,1,0),0),0)</f>
        <v>0</v>
      </c>
      <c r="EM51" s="473" t="e">
        <f>[1]!'CLc32 MTH'</f>
        <v>#REF!</v>
      </c>
      <c r="EN51" s="474" t="e">
        <f t="shared" si="158"/>
        <v>#REF!</v>
      </c>
      <c r="EO51" s="475" t="e">
        <f>[1]!'CLc32 NET.CHNG'</f>
        <v>#REF!</v>
      </c>
      <c r="EP51" s="476">
        <f t="shared" si="159"/>
        <v>0</v>
      </c>
      <c r="EQ51" s="1"/>
      <c r="ER51" s="681">
        <v>39448</v>
      </c>
      <c r="ES51" s="682">
        <v>42363</v>
      </c>
      <c r="ET51" s="1"/>
      <c r="EU51" s="667" t="s">
        <v>155</v>
      </c>
      <c r="EV51" s="51"/>
      <c r="EW51" s="488">
        <v>32</v>
      </c>
      <c r="EX51" s="466">
        <f t="shared" ca="1" si="166"/>
        <v>2.6036960985626285</v>
      </c>
      <c r="EY51" s="824">
        <f t="shared" ca="1" si="66"/>
        <v>0.13313353044575668</v>
      </c>
      <c r="EZ51" s="798">
        <f t="shared" ca="1" si="160"/>
        <v>0.22847975973415052</v>
      </c>
      <c r="FA51" s="468" t="str">
        <f t="shared" ca="1" si="161"/>
        <v/>
      </c>
      <c r="FB51" s="467" t="str">
        <f t="shared" ca="1" si="162"/>
        <v/>
      </c>
      <c r="FC51" s="242">
        <v>0</v>
      </c>
      <c r="FD51" s="589" t="str">
        <f ca="1">IF(OR(FA51="",FA52=""),"",SQRT(SUM(INDEX(FO51:IH51,SwaptionFirstMonthPosition+1):INDEX(FO51:IH51,FN51))/SUM(INDEX($FO$15:$IH$15,SwaptionFirstMonthPosition+1):INDEX($FO$15:$IH$15,FN51))))</f>
        <v/>
      </c>
      <c r="FE51" s="565" t="str">
        <f ca="1">IF(OR(FA51="",FA50=""),"",SQRT(SUM(INDEX(FO51:IH51,SwaptionFirstMonthPosition+1):INDEX(FO51:IH51,FN51-1))/SUM(INDEX($FO$15:$IH$15,SwaptionFirstMonthPosition+1):INDEX($FO$15:$IH$15,FN51-1))))</f>
        <v/>
      </c>
      <c r="FF51" s="562" t="str">
        <f t="shared" ca="1" si="67"/>
        <v/>
      </c>
      <c r="FG51" s="593" t="str">
        <f t="shared" ca="1" si="68"/>
        <v/>
      </c>
      <c r="FH51" s="563" t="str">
        <f t="shared" ca="1" si="69"/>
        <v/>
      </c>
      <c r="FI51" s="563" t="str">
        <f t="shared" ca="1" si="70"/>
        <v/>
      </c>
      <c r="FJ51" s="563" t="str">
        <f t="shared" ca="1" si="71"/>
        <v/>
      </c>
      <c r="FK51" s="564" t="str">
        <f t="shared" ca="1" si="72"/>
        <v/>
      </c>
      <c r="FL51" s="590" t="str">
        <f t="shared" ca="1" si="73"/>
        <v/>
      </c>
      <c r="FM51" s="242"/>
      <c r="FN51" s="657">
        <v>32</v>
      </c>
      <c r="FO51" s="450">
        <f t="shared" ca="1" si="74"/>
        <v>6.9288100460718064E-4</v>
      </c>
      <c r="FP51" s="450">
        <f t="shared" ca="1" si="75"/>
        <v>2.6141014084113032E-3</v>
      </c>
      <c r="FQ51" s="450">
        <f t="shared" ca="1" si="76"/>
        <v>2.5391613479298723E-3</v>
      </c>
      <c r="FR51" s="450">
        <f t="shared" ca="1" si="77"/>
        <v>2.8177389672880181E-3</v>
      </c>
      <c r="FS51" s="450">
        <f t="shared" ca="1" si="78"/>
        <v>2.659119636325914E-3</v>
      </c>
      <c r="FT51" s="450">
        <f t="shared" ca="1" si="79"/>
        <v>2.8581456160262451E-3</v>
      </c>
      <c r="FU51" s="450">
        <f t="shared" ca="1" si="80"/>
        <v>2.7031795285696841E-3</v>
      </c>
      <c r="FV51" s="450">
        <f t="shared" ca="1" si="81"/>
        <v>2.5485179035950431E-3</v>
      </c>
      <c r="FW51" s="450">
        <f t="shared" ca="1" si="82"/>
        <v>2.7621371982628532E-3</v>
      </c>
      <c r="FX51" s="450">
        <f t="shared" ca="1" si="83"/>
        <v>3.0783583174204209E-3</v>
      </c>
      <c r="FY51" s="450">
        <f t="shared" ca="1" si="84"/>
        <v>2.7456667847348196E-3</v>
      </c>
      <c r="FZ51" s="450">
        <f t="shared" ca="1" si="85"/>
        <v>2.7921648595344954E-3</v>
      </c>
      <c r="GA51" s="450">
        <f t="shared" ca="1" si="86"/>
        <v>3.2381276268552326E-3</v>
      </c>
      <c r="GB51" s="450">
        <f t="shared" ca="1" si="87"/>
        <v>2.907132746518284E-3</v>
      </c>
      <c r="GC51" s="450">
        <f t="shared" ca="1" si="88"/>
        <v>3.2860342217080328E-3</v>
      </c>
      <c r="GD51" s="450">
        <f t="shared" ca="1" si="89"/>
        <v>3.1651871292372492E-3</v>
      </c>
      <c r="GE51" s="450">
        <f t="shared" ca="1" si="90"/>
        <v>3.1541399566256314E-3</v>
      </c>
      <c r="GF51" s="450">
        <f t="shared" ca="1" si="91"/>
        <v>3.7137791211440947E-3</v>
      </c>
      <c r="GG51" s="450">
        <f t="shared" ca="1" si="92"/>
        <v>3.5078597170462682E-3</v>
      </c>
      <c r="GH51" s="450">
        <f t="shared" ca="1" si="93"/>
        <v>3.5395258469534002E-3</v>
      </c>
      <c r="GI51" s="450">
        <f t="shared" ca="1" si="94"/>
        <v>3.9698587824456288E-3</v>
      </c>
      <c r="GJ51" s="450">
        <f t="shared" ca="1" si="95"/>
        <v>4.1893137912664344E-3</v>
      </c>
      <c r="GK51" s="450">
        <f t="shared" ca="1" si="96"/>
        <v>4.4494478014183514E-3</v>
      </c>
      <c r="GL51" s="450">
        <f t="shared" ca="1" si="97"/>
        <v>4.2992409945706248E-3</v>
      </c>
      <c r="GM51" s="450">
        <f t="shared" ca="1" si="98"/>
        <v>5.1331470872501535E-3</v>
      </c>
      <c r="GN51" s="450">
        <f t="shared" ca="1" si="99"/>
        <v>5.4056935445699851E-3</v>
      </c>
      <c r="GO51" s="450">
        <f t="shared" ca="1" si="100"/>
        <v>6.1403934549253414E-3</v>
      </c>
      <c r="GP51" s="450">
        <f t="shared" ca="1" si="101"/>
        <v>6.6068790180291107E-3</v>
      </c>
      <c r="GQ51" s="450">
        <f t="shared" ca="1" si="102"/>
        <v>7.6882509249351569E-3</v>
      </c>
      <c r="GR51" s="450">
        <f t="shared" ca="1" si="103"/>
        <v>8.7835140496518339E-3</v>
      </c>
      <c r="GS51" s="450">
        <f t="shared" ca="1" si="104"/>
        <v>9.8700415027333874E-3</v>
      </c>
      <c r="GT51" s="450">
        <f t="shared" ca="1" si="105"/>
        <v>1.2062009126178091E-2</v>
      </c>
      <c r="GU51" s="450" t="str">
        <f t="shared" si="106"/>
        <v/>
      </c>
      <c r="GV51" s="450" t="str">
        <f t="shared" si="107"/>
        <v/>
      </c>
      <c r="GW51" s="450" t="str">
        <f t="shared" si="108"/>
        <v/>
      </c>
      <c r="GX51" s="450" t="str">
        <f t="shared" si="109"/>
        <v/>
      </c>
      <c r="GY51" s="450" t="str">
        <f t="shared" si="110"/>
        <v/>
      </c>
      <c r="GZ51" s="450" t="str">
        <f t="shared" si="111"/>
        <v/>
      </c>
      <c r="HA51" s="450" t="str">
        <f t="shared" si="112"/>
        <v/>
      </c>
      <c r="HB51" s="450" t="str">
        <f t="shared" si="113"/>
        <v/>
      </c>
      <c r="HC51" s="450" t="str">
        <f t="shared" si="114"/>
        <v/>
      </c>
      <c r="HD51" s="450" t="str">
        <f t="shared" si="115"/>
        <v/>
      </c>
      <c r="HE51" s="450" t="str">
        <f t="shared" si="116"/>
        <v/>
      </c>
      <c r="HF51" s="450" t="str">
        <f t="shared" si="117"/>
        <v/>
      </c>
      <c r="HG51" s="450" t="str">
        <f t="shared" si="118"/>
        <v/>
      </c>
      <c r="HH51" s="450" t="str">
        <f t="shared" si="119"/>
        <v/>
      </c>
      <c r="HI51" s="450" t="str">
        <f t="shared" si="120"/>
        <v/>
      </c>
      <c r="HJ51" s="450" t="str">
        <f t="shared" si="121"/>
        <v/>
      </c>
      <c r="HK51" s="450" t="str">
        <f t="shared" si="122"/>
        <v/>
      </c>
      <c r="HL51" s="450" t="str">
        <f t="shared" si="123"/>
        <v/>
      </c>
      <c r="HM51" s="450" t="str">
        <f t="shared" si="124"/>
        <v/>
      </c>
      <c r="HN51" s="450" t="str">
        <f t="shared" si="125"/>
        <v/>
      </c>
      <c r="HO51" s="450" t="str">
        <f t="shared" si="126"/>
        <v/>
      </c>
      <c r="HP51" s="450" t="str">
        <f t="shared" si="127"/>
        <v/>
      </c>
      <c r="HQ51" s="450" t="str">
        <f t="shared" si="128"/>
        <v/>
      </c>
      <c r="HR51" s="450" t="str">
        <f t="shared" si="129"/>
        <v/>
      </c>
      <c r="HS51" s="450" t="str">
        <f t="shared" si="130"/>
        <v/>
      </c>
      <c r="HT51" s="450" t="str">
        <f t="shared" si="131"/>
        <v/>
      </c>
      <c r="HU51" s="450" t="str">
        <f t="shared" si="132"/>
        <v/>
      </c>
      <c r="HV51" s="450" t="str">
        <f t="shared" si="133"/>
        <v/>
      </c>
      <c r="HW51" s="450" t="str">
        <f t="shared" si="134"/>
        <v/>
      </c>
      <c r="HX51" s="450" t="str">
        <f t="shared" si="135"/>
        <v/>
      </c>
      <c r="HY51" s="450" t="str">
        <f t="shared" si="136"/>
        <v/>
      </c>
      <c r="HZ51" s="450" t="str">
        <f t="shared" si="137"/>
        <v/>
      </c>
      <c r="IA51" s="450" t="str">
        <f t="shared" si="138"/>
        <v/>
      </c>
      <c r="IB51" s="450" t="str">
        <f t="shared" si="139"/>
        <v/>
      </c>
      <c r="IC51" s="450" t="str">
        <f t="shared" si="140"/>
        <v/>
      </c>
      <c r="ID51" s="450" t="str">
        <f t="shared" si="141"/>
        <v/>
      </c>
      <c r="IE51" s="450" t="str">
        <f t="shared" si="142"/>
        <v/>
      </c>
      <c r="IF51" s="450" t="str">
        <f t="shared" si="143"/>
        <v/>
      </c>
      <c r="IG51" s="450" t="str">
        <f t="shared" si="144"/>
        <v/>
      </c>
      <c r="IH51" s="658" t="str">
        <f t="shared" si="145"/>
        <v/>
      </c>
      <c r="II51" s="242"/>
    </row>
    <row r="52" spans="1:243" ht="14.25" customHeight="1">
      <c r="A52" s="49"/>
      <c r="B52" s="49"/>
      <c r="C52" s="49"/>
      <c r="D52" s="49"/>
      <c r="E52" s="49"/>
      <c r="F52" s="49"/>
      <c r="G52" s="49"/>
      <c r="H52" s="49" t="e">
        <f t="shared" ca="1" si="34"/>
        <v>#N/A</v>
      </c>
      <c r="I52" s="369">
        <f t="shared" si="35"/>
        <v>37987</v>
      </c>
      <c r="J52" s="367">
        <v>22.609166666666699</v>
      </c>
      <c r="K52" s="101" t="s">
        <v>268</v>
      </c>
      <c r="L52" s="382">
        <f t="shared" si="36"/>
        <v>22.609166666666667</v>
      </c>
      <c r="M52" s="163">
        <v>0.2251863053356</v>
      </c>
      <c r="N52" s="372">
        <v>0</v>
      </c>
      <c r="O52" s="163">
        <f t="shared" si="37"/>
        <v>0.2251863053356</v>
      </c>
      <c r="P52" s="367">
        <v>21.3719</v>
      </c>
      <c r="Q52" s="101" t="s">
        <v>267</v>
      </c>
      <c r="R52" s="367">
        <f t="shared" ca="1" si="147"/>
        <v>21.371899999999993</v>
      </c>
      <c r="S52" s="814">
        <f t="shared" si="163"/>
        <v>0.37661516848271992</v>
      </c>
      <c r="T52" s="813">
        <f t="shared" si="148"/>
        <v>0.99731527112576801</v>
      </c>
      <c r="U52" s="532">
        <f t="shared" si="149"/>
        <v>0.99999849321361411</v>
      </c>
      <c r="V52" s="379">
        <v>0</v>
      </c>
      <c r="W52" s="424">
        <f t="shared" si="168"/>
        <v>22.566587301587283</v>
      </c>
      <c r="X52" s="405">
        <f t="shared" si="169"/>
        <v>22.566587301587301</v>
      </c>
      <c r="Y52" s="313">
        <f t="shared" si="170"/>
        <v>21.350587301587282</v>
      </c>
      <c r="Z52" s="313">
        <f t="shared" ca="1" si="171"/>
        <v>21.3505873015873</v>
      </c>
      <c r="AA52" s="419">
        <f t="shared" si="1"/>
        <v>1.216</v>
      </c>
      <c r="AB52" s="423">
        <f t="shared" ca="1" si="2"/>
        <v>1.216</v>
      </c>
      <c r="AC52" s="218">
        <v>37975</v>
      </c>
      <c r="AD52" s="221">
        <v>37971</v>
      </c>
      <c r="AE52" s="221">
        <v>37970</v>
      </c>
      <c r="AF52" s="221">
        <v>37966</v>
      </c>
      <c r="AG52" s="241" t="s">
        <v>90</v>
      </c>
      <c r="AH52" s="239" t="s">
        <v>497</v>
      </c>
      <c r="AI52" s="141">
        <v>21</v>
      </c>
      <c r="AJ52" s="41">
        <v>13</v>
      </c>
      <c r="AK52" s="41">
        <v>8</v>
      </c>
      <c r="AL52" s="285">
        <v>21</v>
      </c>
      <c r="AM52" s="41">
        <v>9</v>
      </c>
      <c r="AN52" s="142">
        <v>12</v>
      </c>
      <c r="AO52" s="364">
        <v>4.9004279147736501E-2</v>
      </c>
      <c r="AP52" s="145">
        <f t="shared" ca="1" si="41"/>
        <v>0.87273099184005309</v>
      </c>
      <c r="AQ52" s="364">
        <v>4.2572201614900995E-2</v>
      </c>
      <c r="AR52" s="145">
        <f t="shared" ca="1" si="151"/>
        <v>0.89302400388926362</v>
      </c>
      <c r="AS52" s="264">
        <f t="shared" si="172"/>
        <v>0.22127053499116478</v>
      </c>
      <c r="AT52" s="149">
        <f t="shared" si="42"/>
        <v>0.2251863053356</v>
      </c>
      <c r="AU52" s="149">
        <f t="shared" si="4"/>
        <v>0.22093139079759716</v>
      </c>
      <c r="AV52" s="263">
        <f t="shared" ca="1" si="164"/>
        <v>0.2187100938192848</v>
      </c>
      <c r="AW52" s="150" t="str">
        <f t="shared" ca="1" si="173"/>
        <v/>
      </c>
      <c r="AX52" s="149">
        <f t="shared" ca="1" si="152"/>
        <v>4.1564715721650533E-2</v>
      </c>
      <c r="AY52" s="149">
        <f t="shared" ca="1" si="153"/>
        <v>2.2400999147315338E-2</v>
      </c>
      <c r="AZ52" s="149">
        <f t="shared" ca="1" si="154"/>
        <v>1.07127500075778E-2</v>
      </c>
      <c r="BA52" s="149">
        <f t="shared" ca="1" si="155"/>
        <v>1.0000000000000055E-4</v>
      </c>
      <c r="BB52" s="149">
        <f t="shared" ca="1" si="156"/>
        <v>1.0000000000000055E-4</v>
      </c>
      <c r="BC52" s="149">
        <f t="shared" ca="1" si="157"/>
        <v>1.0000000000000055E-4</v>
      </c>
      <c r="BD52" s="143">
        <f t="shared" ca="1" si="174"/>
        <v>0</v>
      </c>
      <c r="BE52" s="144">
        <f t="shared" ca="1" si="175"/>
        <v>0</v>
      </c>
      <c r="BF52" s="40">
        <f t="shared" si="176"/>
        <v>2004</v>
      </c>
      <c r="BG52" s="139">
        <f t="shared" si="177"/>
        <v>1</v>
      </c>
      <c r="BH52" s="140">
        <f t="shared" ca="1" si="178"/>
        <v>981</v>
      </c>
      <c r="BI52" s="304">
        <f t="shared" ca="1" si="179"/>
        <v>2.729637234770705</v>
      </c>
      <c r="BJ52" s="42">
        <f t="shared" ca="1" si="47"/>
        <v>2.7804830351031584</v>
      </c>
      <c r="BK52" s="42">
        <f t="shared" ca="1" si="180"/>
        <v>2.7832208858902905</v>
      </c>
      <c r="BL52" s="42">
        <f t="shared" ca="1" si="181"/>
        <v>2.8117727583846679</v>
      </c>
      <c r="BM52" s="285">
        <f t="shared" si="49"/>
        <v>21</v>
      </c>
      <c r="BN52" s="41">
        <f t="shared" si="50"/>
        <v>13</v>
      </c>
      <c r="BO52" s="41">
        <f t="shared" si="51"/>
        <v>8</v>
      </c>
      <c r="BP52" s="297" t="str">
        <f t="shared" ca="1" si="10"/>
        <v/>
      </c>
      <c r="BQ52" s="297" t="str">
        <f t="shared" ca="1" si="11"/>
        <v/>
      </c>
      <c r="BR52" s="299" t="str">
        <f t="shared" ca="1" si="12"/>
        <v/>
      </c>
      <c r="BS52" s="153" t="str">
        <f t="shared" ca="1" si="13"/>
        <v/>
      </c>
      <c r="BT52" s="153" t="str">
        <f t="shared" ca="1" si="14"/>
        <v/>
      </c>
      <c r="BU52" s="300" t="str">
        <f t="shared" ca="1" si="15"/>
        <v/>
      </c>
      <c r="BV52" s="301" t="str">
        <f t="shared" ca="1" si="16"/>
        <v/>
      </c>
      <c r="BW52" s="300" t="str">
        <f t="shared" ca="1" si="17"/>
        <v/>
      </c>
      <c r="BX52" s="301" t="str">
        <f t="shared" ca="1" si="18"/>
        <v/>
      </c>
      <c r="BY52" s="146" t="str">
        <f t="shared" ca="1" si="19"/>
        <v/>
      </c>
      <c r="BZ52" s="146" t="str">
        <f t="shared" ca="1" si="20"/>
        <v/>
      </c>
      <c r="CA52" s="146" t="str">
        <f t="shared" ca="1" si="21"/>
        <v/>
      </c>
      <c r="CB52" s="146" t="str">
        <f t="shared" ca="1" si="22"/>
        <v/>
      </c>
      <c r="CC52" s="302">
        <v>1</v>
      </c>
      <c r="CD52" s="154">
        <f ca="1">IF(BD52,_xll.xCrudeAPO(BS52,BT52,BY52,BZ52,S53,S54,BI52,BL52,BN52,BO52,0,Strike1,AO52,CC52,0,BL52,IF(OptControl=4,0,1),0,1),0)</f>
        <v>0</v>
      </c>
      <c r="CE52" s="155">
        <f ca="1">IF(BD52,_xll.xCrudeAPO(BS52,BT52,BY52,BZ52,S53,S54,BI52,BL52,BN52,BO52,0,Strike1,AO52,CC52,0,BL52,IF(OptControl=4,0,1),1,1)+_xll.xCrudeAPO(BS52,BT52,BY52,BZ52,S53,S54,BI52,BL52,BN52,BO52,0,Strike1,AO52,CC52,0,BL52,IF(OptControl=4,0,1),1,2)+IF(OR(VolSkewFlag=2,ABS(BQ52)&lt;0.0001),0,IF(BQ52&gt;0,-1,1)*CF52*Strike1/BP52^2*BW52/10%),0)</f>
        <v>0</v>
      </c>
      <c r="CF52" s="155">
        <f ca="1">IF(BD52,(_xll.xCrudeAPO(BS52,BT52,BY52,BZ52,S53,S54,BI52,BL52,BN52,BO52,0,Strike1,AO52,CC52,0,BL52,IF(OptControl=4,0,1),3,1)+_xll.xCrudeAPO(BS52,BT52,BY52,BZ52,S53,S54,BI52,BL52,BN52,BO52,0,Strike1,AO52,CC52,0,BL52,IF(OptControl=4,0,1),3,2))/100,0)</f>
        <v>0</v>
      </c>
      <c r="CG52" s="155">
        <f ca="1">IF(BD52,_xll.xCrudeAPO(BS52,BT52,BY52,BZ52,S53,S54,BI52-DaysForThetaCalculation/365.25,BL52-DaysForThetaCalculation/365.25,BN52,BO52,0,Strike1,AO52,CC52,0,BL52,IF(OptControl=4,0,1),0,1)-_xll.xCrudeAPO(BS52,BT52,BY52,BZ52,S53,S54,BI52,BL52,BN52,BO52,0,Strike1,AO52,CC52,0,BL52,IF(OptControl=4,0,1),0,1),0)</f>
        <v>0</v>
      </c>
      <c r="CH52" s="303">
        <f ca="1">IF(BD52,_xll.xCrudeAPO(BS52,BT52,CA52,CB52,S53,S54,BI52,BL52,BN52,BO52,0,Strike2,AO52,CC52,0,BL52,IF(OptControl=3,1,0),0,1),0)</f>
        <v>0</v>
      </c>
      <c r="CI52" s="155">
        <f ca="1">IF(BD52,_xll.xCrudeAPO(BS52,BT52,CA52,CB52,S53,S54,BI52,BL52,BN52,BO52,0,Strike2,AO52,CC52,0,BL52,IF(OptControl=3,1,0),1,1)+_xll.xCrudeAPO(BS52,BT52,CA52,CB52,S53,S54,BI52,BL52,BN52,BO52,0,Strike2,AO52,CC52,0,BL52,IF(OptControl=3,1,0),1,2)+IF(OR(VolSkewFlag=2,ABS(BR52)&lt;0.0001),0,IF(BR52&gt;0,-1,1)*CJ52*Strike2/BP52^2*BX52/10%),0)</f>
        <v>0</v>
      </c>
      <c r="CJ52" s="155">
        <f ca="1">IF(BD52,(_xll.xCrudeAPO(BS52,BT52,CA52,CB52,S53,S54,BI52,BL52,BN52,BO52,0,Strike2,AO52,CC52,0,BL52,IF(OptControl=3,1,0),3,1)+_xll.xCrudeAPO(BS52,BT52,CA52,CB52,S53,S54,BI52,BL52,BN52,BO52,0,Strike2,AO52,CC52,0,BL52,IF(OptControl=3,1,0),3,2))/100,0)</f>
        <v>0</v>
      </c>
      <c r="CK52" s="156">
        <f ca="1">IF(BD52,_xll.xCrudeAPO(BS52,BT52,CA52,CB52,S53,S54,BI52-DaysForThetaCalculation/365.25,BL52-DaysForThetaCalculation/365.25,BN52,BO52,0,Strike2,AO52,CC52,0,BL52,IF(OptControl=3,1,0),0,1)-_xll.xCrudeAPO(BS52,BT52,CA52,CB52,S53,S54,BI52,BL52,BN52,BO52,0,Strike2,AO52,CC52,0,BL52,IF(OptControl=3,1,0),0,1),0)</f>
        <v>0</v>
      </c>
      <c r="CL52" s="51"/>
      <c r="CM52" s="779" t="str">
        <f t="shared" ca="1" si="52"/>
        <v/>
      </c>
      <c r="CN52" s="783" t="str">
        <f t="shared" ca="1" si="53"/>
        <v/>
      </c>
      <c r="CO52" s="780" t="str">
        <f t="shared" ca="1" si="54"/>
        <v/>
      </c>
      <c r="CP52" s="780" t="str">
        <f t="shared" ca="1" si="55"/>
        <v/>
      </c>
      <c r="CQ52" s="780" t="str">
        <f t="shared" ca="1" si="56"/>
        <v/>
      </c>
      <c r="CR52" s="780" t="str">
        <f t="shared" ca="1" si="57"/>
        <v/>
      </c>
      <c r="CS52" s="781" t="str">
        <f t="shared" ca="1" si="58"/>
        <v/>
      </c>
      <c r="CT52" s="782" t="str">
        <f t="shared" ca="1" si="59"/>
        <v/>
      </c>
      <c r="CU52" s="782" t="str">
        <f t="shared" ca="1" si="60"/>
        <v/>
      </c>
      <c r="CV52" s="155">
        <f ca="1">IF(BD52,_xll.EURO(CN52,Strike1,AO52,AO52,CT52,CM52,IF(OptControl=4,0,1),0),0)</f>
        <v>0</v>
      </c>
      <c r="CW52" s="155">
        <f ca="1">IF(BD52,_xll.EURO(CN52,Strike1,AO52,AO52,CT52,CM52,IF(OptControl=4,0,1),1)+IF(OR(VolSkewFlag=2,ABS(CO52)&lt;0.0001),0,IF(CO52&gt;0,-1,1)*CX52*100*Strike1/CN52^2*CQ52/10%),0)</f>
        <v>0</v>
      </c>
      <c r="CX52" s="155">
        <f ca="1">IF(BD52,_xll.EURO(CN52,Strike1,AO52,AO52,CT52,CM52,IF(OptControl=4,0,1),3)/100,0)</f>
        <v>0</v>
      </c>
      <c r="CY52" s="155">
        <f ca="1">IF(BD52,_xll.EURO(CN52,Strike1,AO52,AO52,CT52,CM52,IF(OptControl=4,0,1),0)-_xll.EURO(CN52,Strike1,AO52,AO52,CT52,CM52-1,IF(OptControl=4,0,1),0),0)</f>
        <v>0</v>
      </c>
      <c r="CZ52" s="155">
        <f ca="1">IF(BD52,_xll.EURO(CN52,Strike2,AO52,AO52,CU52,CM52,IF(OptControl=3,1,0),0),0)</f>
        <v>0</v>
      </c>
      <c r="DA52" s="155">
        <f ca="1">IF(BD52,_xll.EURO(CN52,Strike2,AO52,AO52,CU52,CM52,IF(OptControl=3,1,0),1)+IF(OR(VolSkewFlag=2,ABS(CP52)&lt;0.0001),0,IF(CP52&gt;0,-1,1)*DB52*100*Strike2/CN52^2*CR52/10%),0)</f>
        <v>0</v>
      </c>
      <c r="DB52" s="155">
        <f ca="1">IF(BD52,_xll.EURO(CN52,Strike2,AO52,AO52,CU52,CM52,IF(OptControl=3,1,0),3)/100,0)</f>
        <v>0</v>
      </c>
      <c r="DC52" s="156">
        <f ca="1">IF(BD52,_xll.EURO(CN52,Strike2,AO52,AO52,CU52,CM52,IF(OptControl=3,1,0),0)-_xll.EURO(CN52,Strike2,AO52,AO52,CU52,CM52-1,IF(OptControl=3,1,0),0),0)</f>
        <v>0</v>
      </c>
      <c r="DE52" s="651">
        <f t="shared" ca="1" si="61"/>
        <v>37895</v>
      </c>
      <c r="DF52" s="465">
        <v>1E-4</v>
      </c>
      <c r="DG52" s="649">
        <v>1E-4</v>
      </c>
      <c r="DH52" s="650">
        <f t="shared" ca="1" si="182"/>
        <v>37895</v>
      </c>
      <c r="DI52" s="465">
        <v>1E-4</v>
      </c>
      <c r="DJ52" s="649">
        <v>1E-4</v>
      </c>
      <c r="DK52" s="651">
        <f t="shared" ca="1" si="183"/>
        <v>37895</v>
      </c>
      <c r="DL52" s="652">
        <f t="shared" si="184"/>
        <v>5.0100000000000006E-2</v>
      </c>
      <c r="DM52" s="651">
        <f t="shared" ca="1" si="62"/>
        <v>37895</v>
      </c>
      <c r="DN52" s="563">
        <f t="shared" si="63"/>
        <v>-0.12990000000000002</v>
      </c>
      <c r="DO52" s="803">
        <v>-0.13</v>
      </c>
      <c r="DP52" s="650">
        <f t="shared" ca="1" si="185"/>
        <v>37895</v>
      </c>
      <c r="DQ52" s="653">
        <v>1E-4</v>
      </c>
      <c r="DR52" s="590">
        <v>1E-4</v>
      </c>
      <c r="DS52" s="650">
        <f t="shared" ca="1" si="186"/>
        <v>37895</v>
      </c>
      <c r="DT52" s="653">
        <v>1E-4</v>
      </c>
      <c r="DU52" s="590">
        <v>1E-4</v>
      </c>
      <c r="DV52" s="651">
        <f t="shared" ca="1" si="187"/>
        <v>37895</v>
      </c>
      <c r="DW52" s="590">
        <v>1E-4</v>
      </c>
      <c r="DX52" s="651">
        <f t="shared" ca="1" si="64"/>
        <v>37895</v>
      </c>
      <c r="DY52" s="590">
        <f t="shared" si="65"/>
        <v>1E-4</v>
      </c>
      <c r="DZ52" s="1"/>
      <c r="EA52" s="863" t="e">
        <f ca="1">_xll.ASN(X52,X52,AO52,AS52,0,AI52,0,BI52,BL52,1,0)</f>
        <v>#NAME?</v>
      </c>
      <c r="EB52" s="653" t="e">
        <f ca="1">_xll.ASN(X52,X52,AO52,AS52,0,AI52,0,BI52,BL52,1,3)/100</f>
        <v>#NAME?</v>
      </c>
      <c r="EC52" s="653" t="e">
        <f ca="1">_xll.xCrudeAPO(L53,L54,O53,O54,S53,S54,BI52,BL52,AJ52,AK52,0,X52,AO52,1,0,+BL52,1,0,1)</f>
        <v>#NAME?</v>
      </c>
      <c r="ED52" s="869" t="e">
        <f t="shared" ca="1" si="165"/>
        <v>#NAME?</v>
      </c>
      <c r="EE52" s="863" t="e">
        <f t="shared" ca="1" si="29"/>
        <v>#NAME?</v>
      </c>
      <c r="EF52" s="590" t="e">
        <f t="shared" ca="1" si="30"/>
        <v>#NAME?</v>
      </c>
      <c r="EG52" s="862" t="str">
        <f t="shared" ca="1" si="188"/>
        <v/>
      </c>
      <c r="EH52" s="114" t="str">
        <f t="shared" ca="1" si="32"/>
        <v/>
      </c>
      <c r="EI52" s="109" t="str">
        <f t="shared" ca="1" si="33"/>
        <v/>
      </c>
      <c r="EJ52" s="115">
        <f ca="1">IF(BD52,_xll.xASN(BP52,Strike1,AO52,EH52,0,BM52,0,BI52,BL52,IF(OptControl=4,0,1),0),0)</f>
        <v>0</v>
      </c>
      <c r="EK52" s="108">
        <f ca="1">IF(BD52,_xll.xASN(BP52,Strike2,AO52,EI52,0,BM52,0,BI52,BL52,IF(OptControl=3,1,0),0),0)</f>
        <v>0</v>
      </c>
      <c r="EM52" s="473" t="e">
        <f>[1]!'CLc33 MTH'</f>
        <v>#REF!</v>
      </c>
      <c r="EN52" s="474" t="e">
        <f t="shared" si="158"/>
        <v>#REF!</v>
      </c>
      <c r="EO52" s="475" t="e">
        <f>[1]!'CLc33 NET.CHNG'</f>
        <v>#REF!</v>
      </c>
      <c r="EP52" s="476">
        <f t="shared" si="159"/>
        <v>0</v>
      </c>
      <c r="EQ52" s="1"/>
      <c r="ER52" s="681">
        <v>39633</v>
      </c>
      <c r="ES52" s="682">
        <v>42370</v>
      </c>
      <c r="ET52" s="1"/>
      <c r="EU52" s="667" t="s">
        <v>156</v>
      </c>
      <c r="EW52" s="488">
        <v>33</v>
      </c>
      <c r="EX52" s="466">
        <f t="shared" ca="1" si="166"/>
        <v>2.6858316221765914</v>
      </c>
      <c r="EY52" s="824">
        <f t="shared" ref="EY52:EY83" ca="1" si="189">O52^2*EX52</f>
        <v>0.13619549223982153</v>
      </c>
      <c r="EZ52" s="798">
        <f t="shared" ca="1" si="160"/>
        <v>0.22671697378153421</v>
      </c>
      <c r="FA52" s="468" t="str">
        <f t="shared" ca="1" si="161"/>
        <v/>
      </c>
      <c r="FB52" s="467" t="str">
        <f t="shared" ca="1" si="162"/>
        <v/>
      </c>
      <c r="FC52" s="242">
        <v>0</v>
      </c>
      <c r="FD52" s="589" t="str">
        <f ca="1">IF(OR(FA52="",FA53=""),"",SQRT(SUM(INDEX(FO52:IH52,SwaptionFirstMonthPosition+1):INDEX(FO52:IH52,FN52))/SUM(INDEX($FO$15:$IH$15,SwaptionFirstMonthPosition+1):INDEX($FO$15:$IH$15,FN52))))</f>
        <v/>
      </c>
      <c r="FE52" s="565" t="str">
        <f ca="1">IF(OR(FA52="",FA51=""),"",SQRT(SUM(INDEX(FO52:IH52,SwaptionFirstMonthPosition+1):INDEX(FO52:IH52,FN52-1))/SUM(INDEX($FO$15:$IH$15,SwaptionFirstMonthPosition+1):INDEX($FO$15:$IH$15,FN52-1))))</f>
        <v/>
      </c>
      <c r="FF52" s="562" t="str">
        <f t="shared" ref="FF52:FF83" ca="1" si="190">IF(BE52,2/3*FD53+1/3*FE54,"")</f>
        <v/>
      </c>
      <c r="FG52" s="593" t="str">
        <f t="shared" ref="FG52:FG83" ca="1" si="191">IF(BE52,(I53+I52-1)/2-DateToday,"")</f>
        <v/>
      </c>
      <c r="FH52" s="563" t="str">
        <f t="shared" ref="FH52:FH83" ca="1" si="192">IF(BE52,CHOOSE(Underlying,X52,Z52)+SwaptionUnderlyingPrice-$D$26,"")</f>
        <v/>
      </c>
      <c r="FI52" s="563" t="str">
        <f t="shared" ref="FI52:FI83" ca="1" si="193">IF(BE52,CollartionFloor/FH52-1,"")</f>
        <v/>
      </c>
      <c r="FJ52" s="563" t="str">
        <f t="shared" ref="FJ52:FJ83" ca="1" si="194">IF(BE52,CollartionCap/FH52-1,"")</f>
        <v/>
      </c>
      <c r="FK52" s="564" t="str">
        <f t="shared" ref="FK52:FK83" ca="1" si="195">IF(BE52,IF(VolSkewFlag=1,IF(FI52&gt;0,$BA52*MIN(FI52/10%,1)+($BB52-$BA52)*MAX(0,MIN(FI52/10%-1,1))+($BC52-$BB52)*MAX(0,FI52/10%-2),$AZ52*MIN(-FI52/10%,1)+($AY52-$AZ52)*MAX(0,MIN(-FI52/10%-1,1))+($AX52-$AY52)*MAX(0,-FI52/10%-2)),0),"")</f>
        <v/>
      </c>
      <c r="FL52" s="590" t="str">
        <f t="shared" ref="FL52:FL83" ca="1" si="196">IF(BE52,IF(VolSkewFlag=1,IF(FJ52&gt;0,$BA52*MIN(FJ52/10%,1)+($BB52-$BA52)*MAX(0,MIN(FJ52/10%-1,1))+($BC52-$BB52)*MAX(0,FJ52/10%-2),$AZ52*MIN(-FJ52/10%,1)+($AY52-$AZ52)*MAX(0,MIN(-FJ52/10%-1,1))+($AX52-$AY52)*MAX(0,-FJ52/10%-2)),0),"")</f>
        <v/>
      </c>
      <c r="FM52" s="242"/>
      <c r="FN52" s="657">
        <v>33</v>
      </c>
      <c r="FO52" s="450">
        <f t="shared" ref="FO52:FO83" ca="1" si="197">IF(FO$19&gt;$FN52,"",MAX(0,IF(FO$19=$FN52,$S52^2*FO$15,FO51*INDEX($T$20:$T$91,$FN52-FO$19)^2/INDEX($U$20:$U$91,$FN52-FO$19))))</f>
        <v>6.8875393491193244E-4</v>
      </c>
      <c r="FP52" s="450">
        <f t="shared" ref="FP52:FP83" ca="1" si="198">IF(FP$19&gt;$FN52,"",MAX(0,IF(FP$19=$FN52,$S52^2*FP$15,FP51*INDEX($T$20:$T$91,$FN52-FP$19)^2/INDEX($U$20:$U$91,$FN52-FP$19))))</f>
        <v>2.5968007325517422E-3</v>
      </c>
      <c r="FQ52" s="450">
        <f t="shared" ref="FQ52:FQ83" ca="1" si="199">IF(FQ$19&gt;$FN52,"",MAX(0,IF(FQ$19=$FN52,$S52^2*FQ$15,FQ51*INDEX($T$20:$T$91,$FN52-FQ$19)^2/INDEX($U$20:$U$91,$FN52-FQ$19))))</f>
        <v>2.520489451603658E-3</v>
      </c>
      <c r="FR52" s="450">
        <f t="shared" ref="FR52:FR83" ca="1" si="200">IF(FR$19&gt;$FN52,"",MAX(0,IF(FR$19=$FN52,$S52^2*FR$15,FR51*INDEX($T$20:$T$91,$FN52-FR$19)^2/INDEX($U$20:$U$91,$FN52-FR$19))))</f>
        <v>2.7947162607665954E-3</v>
      </c>
      <c r="FS52" s="450">
        <f t="shared" ref="FS52:FS83" ca="1" si="201">IF(FS$19&gt;$FN52,"",MAX(0,IF(FS$19=$FN52,$S52^2*FS$15,FS51*INDEX($T$20:$T$91,$FN52-FS$19)^2/INDEX($U$20:$U$91,$FN52-FS$19))))</f>
        <v>2.6349788736225138E-3</v>
      </c>
      <c r="FT52" s="450">
        <f t="shared" ref="FT52:FT83" ca="1" si="202">IF(FT$19&gt;$FN52,"",MAX(0,IF(FT$19=$FN52,$S52^2*FT$15,FT51*INDEX($T$20:$T$91,$FN52-FT$19)^2/INDEX($U$20:$U$91,$FN52-FT$19))))</f>
        <v>2.8293149316374541E-3</v>
      </c>
      <c r="FU52" s="450">
        <f t="shared" ref="FU52:FU83" ca="1" si="203">IF(FU$19&gt;$FN52,"",MAX(0,IF(FU$19=$FN52,$S52^2*FU$15,FU51*INDEX($T$20:$T$91,$FN52-FU$19)^2/INDEX($U$20:$U$91,$FN52-FU$19))))</f>
        <v>2.6728822945879193E-3</v>
      </c>
      <c r="FV52" s="450">
        <f t="shared" ref="FV52:FV83" ca="1" si="204">IF(FV$19&gt;$FN52,"",MAX(0,IF(FV$19=$FN52,$S52^2*FV$15,FV51*INDEX($T$20:$T$91,$FN52-FV$19)^2/INDEX($U$20:$U$91,$FN52-FV$19))))</f>
        <v>2.5167803629134217E-3</v>
      </c>
      <c r="FW52" s="450">
        <f t="shared" ref="FW52:FW83" ca="1" si="205">IF(FW$19&gt;$FN52,"",MAX(0,IF(FW$19=$FN52,$S52^2*FW$15,FW51*INDEX($T$20:$T$91,$FN52-FW$19)^2/INDEX($U$20:$U$91,$FN52-FW$19))))</f>
        <v>2.7239174062921616E-3</v>
      </c>
      <c r="FX52" s="450">
        <f t="shared" ref="FX52:FX83" ca="1" si="206">IF(FX$19&gt;$FN52,"",MAX(0,IF(FX$19=$FN52,$S52^2*FX$15,FX51*INDEX($T$20:$T$91,$FN52-FX$19)^2/INDEX($U$20:$U$91,$FN52-FX$19))))</f>
        <v>3.0310301452044961E-3</v>
      </c>
      <c r="FY52" s="450">
        <f t="shared" ref="FY52:FY83" ca="1" si="207">IF(FY$19&gt;$FN52,"",MAX(0,IF(FY$19=$FN52,$S52^2*FY$15,FY51*INDEX($T$20:$T$91,$FN52-FY$19)^2/INDEX($U$20:$U$91,$FN52-FY$19))))</f>
        <v>2.6987632165063687E-3</v>
      </c>
      <c r="FZ52" s="450">
        <f t="shared" ref="FZ52:FZ83" ca="1" si="208">IF(FZ$19&gt;$FN52,"",MAX(0,IF(FZ$19=$FN52,$S52^2*FZ$15,FZ51*INDEX($T$20:$T$91,$FN52-FZ$19)^2/INDEX($U$20:$U$91,$FN52-FZ$19))))</f>
        <v>2.7391672109720504E-3</v>
      </c>
      <c r="GA52" s="450">
        <f t="shared" ref="GA52:GA83" ca="1" si="209">IF(GA$19&gt;$FN52,"",MAX(0,IF(GA$19=$FN52,$S52^2*GA$15,GA51*INDEX($T$20:$T$91,$FN52-GA$19)^2/INDEX($U$20:$U$91,$FN52-GA$19))))</f>
        <v>3.1698360726901691E-3</v>
      </c>
      <c r="GB52" s="450">
        <f t="shared" ref="GB52:GB83" ca="1" si="210">IF(GB$19&gt;$FN52,"",MAX(0,IF(GB$19=$FN52,$S52^2*GB$15,GB51*INDEX($T$20:$T$91,$FN52-GB$19)^2/INDEX($U$20:$U$91,$FN52-GB$19))))</f>
        <v>2.8390094919363037E-3</v>
      </c>
      <c r="GC52" s="450">
        <f t="shared" ref="GC52:GC83" ca="1" si="211">IF(GC$19&gt;$FN52,"",MAX(0,IF(GC$19=$FN52,$S52^2*GC$15,GC51*INDEX($T$20:$T$91,$FN52-GC$19)^2/INDEX($U$20:$U$91,$FN52-GC$19))))</f>
        <v>3.2004763254083143E-3</v>
      </c>
      <c r="GD52" s="450">
        <f t="shared" ref="GD52:GD83" ca="1" si="212">IF(GD$19&gt;$FN52,"",MAX(0,IF(GD$19=$FN52,$S52^2*GD$15,GD51*INDEX($T$20:$T$91,$FN52-GD$19)^2/INDEX($U$20:$U$91,$FN52-GD$19))))</f>
        <v>3.0736188828340335E-3</v>
      </c>
      <c r="GE52" s="450">
        <f t="shared" ref="GE52:GE83" ca="1" si="213">IF(GE$19&gt;$FN52,"",MAX(0,IF(GE$19=$FN52,$S52^2*GE$15,GE51*INDEX($T$20:$T$91,$FN52-GE$19)^2/INDEX($U$20:$U$91,$FN52-GE$19))))</f>
        <v>3.0527525634546551E-3</v>
      </c>
      <c r="GF52" s="450">
        <f t="shared" ref="GF52:GF83" ca="1" si="214">IF(GF$19&gt;$FN52,"",MAX(0,IF(GF$19=$FN52,$S52^2*GF$15,GF51*INDEX($T$20:$T$91,$FN52-GF$19)^2/INDEX($U$20:$U$91,$FN52-GF$19))))</f>
        <v>3.5811384967641855E-3</v>
      </c>
      <c r="GG52" s="450">
        <f t="shared" ref="GG52:GG83" ca="1" si="215">IF(GG$19&gt;$FN52,"",MAX(0,IF(GG$19=$FN52,$S52^2*GG$15,GG51*INDEX($T$20:$T$91,$FN52-GG$19)^2/INDEX($U$20:$U$91,$FN52-GG$19))))</f>
        <v>3.3686529988793544E-3</v>
      </c>
      <c r="GH52" s="450">
        <f t="shared" ref="GH52:GH83" ca="1" si="216">IF(GH$19&gt;$FN52,"",MAX(0,IF(GH$19=$FN52,$S52^2*GH$15,GH51*INDEX($T$20:$T$91,$FN52-GH$19)^2/INDEX($U$20:$U$91,$FN52-GH$19))))</f>
        <v>3.3834554422793308E-3</v>
      </c>
      <c r="GI52" s="450">
        <f t="shared" ref="GI52:GI83" ca="1" si="217">IF(GI$19&gt;$FN52,"",MAX(0,IF(GI$19=$FN52,$S52^2*GI$15,GI51*INDEX($T$20:$T$91,$FN52-GI$19)^2/INDEX($U$20:$U$91,$FN52-GI$19))))</f>
        <v>3.7753639723542057E-3</v>
      </c>
      <c r="GJ52" s="450">
        <f t="shared" ref="GJ52:GJ83" ca="1" si="218">IF(GJ$19&gt;$FN52,"",MAX(0,IF(GJ$19=$FN52,$S52^2*GJ$15,GJ51*INDEX($T$20:$T$91,$FN52-GJ$19)^2/INDEX($U$20:$U$91,$FN52-GJ$19))))</f>
        <v>3.9612620771157054E-3</v>
      </c>
      <c r="GK52" s="450">
        <f t="shared" ref="GK52:GK83" ca="1" si="219">IF(GK$19&gt;$FN52,"",MAX(0,IF(GK$19=$FN52,$S52^2*GK$15,GK51*INDEX($T$20:$T$91,$FN52-GK$19)^2/INDEX($U$20:$U$91,$FN52-GK$19))))</f>
        <v>4.1803227930715791E-3</v>
      </c>
      <c r="GL52" s="450">
        <f t="shared" ref="GL52:GL83" ca="1" si="220">IF(GL$19&gt;$FN52,"",MAX(0,IF(GL$19=$FN52,$S52^2*GL$15,GL51*INDEX($T$20:$T$91,$FN52-GL$19)^2/INDEX($U$20:$U$91,$FN52-GL$19))))</f>
        <v>4.0103079453505056E-3</v>
      </c>
      <c r="GM52" s="450">
        <f t="shared" ref="GM52:GM83" ca="1" si="221">IF(GM$19&gt;$FN52,"",MAX(0,IF(GM$19=$FN52,$S52^2*GM$15,GM51*INDEX($T$20:$T$91,$FN52-GM$19)^2/INDEX($U$20:$U$91,$FN52-GM$19))))</f>
        <v>4.749840193496487E-3</v>
      </c>
      <c r="GN52" s="450">
        <f t="shared" ref="GN52:GN83" ca="1" si="222">IF(GN$19&gt;$FN52,"",MAX(0,IF(GN$19=$FN52,$S52^2*GN$15,GN51*INDEX($T$20:$T$91,$FN52-GN$19)^2/INDEX($U$20:$U$91,$FN52-GN$19))))</f>
        <v>4.9571838517107692E-3</v>
      </c>
      <c r="GO52" s="450">
        <f t="shared" ref="GO52:GO83" ca="1" si="223">IF(GO$19&gt;$FN52,"",MAX(0,IF(GO$19=$FN52,$S52^2*GO$15,GO51*INDEX($T$20:$T$91,$FN52-GO$19)^2/INDEX($U$20:$U$91,$FN52-GO$19))))</f>
        <v>5.5743182891361317E-3</v>
      </c>
      <c r="GP52" s="450">
        <f t="shared" ref="GP52:GP83" ca="1" si="224">IF(GP$19&gt;$FN52,"",MAX(0,IF(GP$19=$FN52,$S52^2*GP$15,GP51*INDEX($T$20:$T$91,$FN52-GP$19)^2/INDEX($U$20:$U$91,$FN52-GP$19))))</f>
        <v>5.9301235909571502E-3</v>
      </c>
      <c r="GQ52" s="450">
        <f t="shared" ref="GQ52:GQ83" ca="1" si="225">IF(GQ$19&gt;$FN52,"",MAX(0,IF(GQ$19=$FN52,$S52^2*GQ$15,GQ51*INDEX($T$20:$T$91,$FN52-GQ$19)^2/INDEX($U$20:$U$91,$FN52-GQ$19))))</f>
        <v>6.8132259826754714E-3</v>
      </c>
      <c r="GR52" s="450">
        <f t="shared" ref="GR52:GR83" ca="1" si="226">IF(GR$19&gt;$FN52,"",MAX(0,IF(GR$19=$FN52,$S52^2*GR$15,GR51*INDEX($T$20:$T$91,$FN52-GR$19)^2/INDEX($U$20:$U$91,$FN52-GR$19))))</f>
        <v>7.6727580331484154E-3</v>
      </c>
      <c r="GS52" s="450">
        <f t="shared" ref="GS52:GS83" ca="1" si="227">IF(GS$19&gt;$FN52,"",MAX(0,IF(GS$19=$FN52,$S52^2*GS$15,GS51*INDEX($T$20:$T$91,$FN52-GS$19)^2/INDEX($U$20:$U$91,$FN52-GS$19))))</f>
        <v>8.4831999568901351E-3</v>
      </c>
      <c r="GT52" s="450">
        <f t="shared" ref="GT52:GT83" ca="1" si="228">IF(GT$19&gt;$FN52,"",MAX(0,IF(GT$19=$FN52,$S52^2*GT$15,GT51*INDEX($T$20:$T$91,$FN52-GT$19)^2/INDEX($U$20:$U$91,$FN52-GT$19))))</f>
        <v>1.0178858721784983E-2</v>
      </c>
      <c r="GU52" s="450">
        <f t="shared" ref="GU52:GU83" ca="1" si="229">IF(GU$19&gt;$FN52,"",MAX(0,IF(GU$19=$FN52,$S52^2*GU$15,GU51*INDEX($T$20:$T$91,$FN52-GU$19)^2/INDEX($U$20:$U$91,$FN52-GU$19))))</f>
        <v>1.165001931262976E-2</v>
      </c>
      <c r="GV52" s="450" t="str">
        <f t="shared" ref="GV52:GV83" si="230">IF(GV$19&gt;$FN52,"",MAX(0,IF(GV$19=$FN52,$S52^2*GV$15,GV51*INDEX($T$20:$T$91,$FN52-GV$19)^2/INDEX($U$20:$U$91,$FN52-GV$19))))</f>
        <v/>
      </c>
      <c r="GW52" s="450" t="str">
        <f t="shared" ref="GW52:GW83" si="231">IF(GW$19&gt;$FN52,"",MAX(0,IF(GW$19=$FN52,$S52^2*GW$15,GW51*INDEX($T$20:$T$91,$FN52-GW$19)^2/INDEX($U$20:$U$91,$FN52-GW$19))))</f>
        <v/>
      </c>
      <c r="GX52" s="450" t="str">
        <f t="shared" ref="GX52:GX83" si="232">IF(GX$19&gt;$FN52,"",MAX(0,IF(GX$19=$FN52,$S52^2*GX$15,GX51*INDEX($T$20:$T$91,$FN52-GX$19)^2/INDEX($U$20:$U$91,$FN52-GX$19))))</f>
        <v/>
      </c>
      <c r="GY52" s="450" t="str">
        <f t="shared" ref="GY52:GY83" si="233">IF(GY$19&gt;$FN52,"",MAX(0,IF(GY$19=$FN52,$S52^2*GY$15,GY51*INDEX($T$20:$T$91,$FN52-GY$19)^2/INDEX($U$20:$U$91,$FN52-GY$19))))</f>
        <v/>
      </c>
      <c r="GZ52" s="450" t="str">
        <f t="shared" ref="GZ52:GZ83" si="234">IF(GZ$19&gt;$FN52,"",MAX(0,IF(GZ$19=$FN52,$S52^2*GZ$15,GZ51*INDEX($T$20:$T$91,$FN52-GZ$19)^2/INDEX($U$20:$U$91,$FN52-GZ$19))))</f>
        <v/>
      </c>
      <c r="HA52" s="450" t="str">
        <f t="shared" ref="HA52:HA83" si="235">IF(HA$19&gt;$FN52,"",MAX(0,IF(HA$19=$FN52,$S52^2*HA$15,HA51*INDEX($T$20:$T$91,$FN52-HA$19)^2/INDEX($U$20:$U$91,$FN52-HA$19))))</f>
        <v/>
      </c>
      <c r="HB52" s="450" t="str">
        <f t="shared" ref="HB52:HB83" si="236">IF(HB$19&gt;$FN52,"",MAX(0,IF(HB$19=$FN52,$S52^2*HB$15,HB51*INDEX($T$20:$T$91,$FN52-HB$19)^2/INDEX($U$20:$U$91,$FN52-HB$19))))</f>
        <v/>
      </c>
      <c r="HC52" s="450" t="str">
        <f t="shared" ref="HC52:HC83" si="237">IF(HC$19&gt;$FN52,"",MAX(0,IF(HC$19=$FN52,$S52^2*HC$15,HC51*INDEX($T$20:$T$91,$FN52-HC$19)^2/INDEX($U$20:$U$91,$FN52-HC$19))))</f>
        <v/>
      </c>
      <c r="HD52" s="450" t="str">
        <f t="shared" ref="HD52:HD83" si="238">IF(HD$19&gt;$FN52,"",MAX(0,IF(HD$19=$FN52,$S52^2*HD$15,HD51*INDEX($T$20:$T$91,$FN52-HD$19)^2/INDEX($U$20:$U$91,$FN52-HD$19))))</f>
        <v/>
      </c>
      <c r="HE52" s="450" t="str">
        <f t="shared" ref="HE52:HE83" si="239">IF(HE$19&gt;$FN52,"",MAX(0,IF(HE$19=$FN52,$S52^2*HE$15,HE51*INDEX($T$20:$T$91,$FN52-HE$19)^2/INDEX($U$20:$U$91,$FN52-HE$19))))</f>
        <v/>
      </c>
      <c r="HF52" s="450" t="str">
        <f t="shared" ref="HF52:HF83" si="240">IF(HF$19&gt;$FN52,"",MAX(0,IF(HF$19=$FN52,$S52^2*HF$15,HF51*INDEX($T$20:$T$91,$FN52-HF$19)^2/INDEX($U$20:$U$91,$FN52-HF$19))))</f>
        <v/>
      </c>
      <c r="HG52" s="450" t="str">
        <f t="shared" ref="HG52:HG83" si="241">IF(HG$19&gt;$FN52,"",MAX(0,IF(HG$19=$FN52,$S52^2*HG$15,HG51*INDEX($T$20:$T$91,$FN52-HG$19)^2/INDEX($U$20:$U$91,$FN52-HG$19))))</f>
        <v/>
      </c>
      <c r="HH52" s="450" t="str">
        <f t="shared" ref="HH52:HH83" si="242">IF(HH$19&gt;$FN52,"",MAX(0,IF(HH$19=$FN52,$S52^2*HH$15,HH51*INDEX($T$20:$T$91,$FN52-HH$19)^2/INDEX($U$20:$U$91,$FN52-HH$19))))</f>
        <v/>
      </c>
      <c r="HI52" s="450" t="str">
        <f t="shared" ref="HI52:HI83" si="243">IF(HI$19&gt;$FN52,"",MAX(0,IF(HI$19=$FN52,$S52^2*HI$15,HI51*INDEX($T$20:$T$91,$FN52-HI$19)^2/INDEX($U$20:$U$91,$FN52-HI$19))))</f>
        <v/>
      </c>
      <c r="HJ52" s="450" t="str">
        <f t="shared" ref="HJ52:HJ83" si="244">IF(HJ$19&gt;$FN52,"",MAX(0,IF(HJ$19=$FN52,$S52^2*HJ$15,HJ51*INDEX($T$20:$T$91,$FN52-HJ$19)^2/INDEX($U$20:$U$91,$FN52-HJ$19))))</f>
        <v/>
      </c>
      <c r="HK52" s="450" t="str">
        <f t="shared" ref="HK52:HK83" si="245">IF(HK$19&gt;$FN52,"",MAX(0,IF(HK$19=$FN52,$S52^2*HK$15,HK51*INDEX($T$20:$T$91,$FN52-HK$19)^2/INDEX($U$20:$U$91,$FN52-HK$19))))</f>
        <v/>
      </c>
      <c r="HL52" s="450" t="str">
        <f t="shared" ref="HL52:HL83" si="246">IF(HL$19&gt;$FN52,"",MAX(0,IF(HL$19=$FN52,$S52^2*HL$15,HL51*INDEX($T$20:$T$91,$FN52-HL$19)^2/INDEX($U$20:$U$91,$FN52-HL$19))))</f>
        <v/>
      </c>
      <c r="HM52" s="450" t="str">
        <f t="shared" ref="HM52:HM83" si="247">IF(HM$19&gt;$FN52,"",MAX(0,IF(HM$19=$FN52,$S52^2*HM$15,HM51*INDEX($T$20:$T$91,$FN52-HM$19)^2/INDEX($U$20:$U$91,$FN52-HM$19))))</f>
        <v/>
      </c>
      <c r="HN52" s="450" t="str">
        <f t="shared" ref="HN52:HN83" si="248">IF(HN$19&gt;$FN52,"",MAX(0,IF(HN$19=$FN52,$S52^2*HN$15,HN51*INDEX($T$20:$T$91,$FN52-HN$19)^2/INDEX($U$20:$U$91,$FN52-HN$19))))</f>
        <v/>
      </c>
      <c r="HO52" s="450" t="str">
        <f t="shared" ref="HO52:HO83" si="249">IF(HO$19&gt;$FN52,"",MAX(0,IF(HO$19=$FN52,$S52^2*HO$15,HO51*INDEX($T$20:$T$91,$FN52-HO$19)^2/INDEX($U$20:$U$91,$FN52-HO$19))))</f>
        <v/>
      </c>
      <c r="HP52" s="450" t="str">
        <f t="shared" ref="HP52:HP83" si="250">IF(HP$19&gt;$FN52,"",MAX(0,IF(HP$19=$FN52,$S52^2*HP$15,HP51*INDEX($T$20:$T$91,$FN52-HP$19)^2/INDEX($U$20:$U$91,$FN52-HP$19))))</f>
        <v/>
      </c>
      <c r="HQ52" s="450" t="str">
        <f t="shared" ref="HQ52:HQ83" si="251">IF(HQ$19&gt;$FN52,"",MAX(0,IF(HQ$19=$FN52,$S52^2*HQ$15,HQ51*INDEX($T$20:$T$91,$FN52-HQ$19)^2/INDEX($U$20:$U$91,$FN52-HQ$19))))</f>
        <v/>
      </c>
      <c r="HR52" s="450" t="str">
        <f t="shared" ref="HR52:HR83" si="252">IF(HR$19&gt;$FN52,"",MAX(0,IF(HR$19=$FN52,$S52^2*HR$15,HR51*INDEX($T$20:$T$91,$FN52-HR$19)^2/INDEX($U$20:$U$91,$FN52-HR$19))))</f>
        <v/>
      </c>
      <c r="HS52" s="450" t="str">
        <f t="shared" ref="HS52:HS83" si="253">IF(HS$19&gt;$FN52,"",MAX(0,IF(HS$19=$FN52,$S52^2*HS$15,HS51*INDEX($T$20:$T$91,$FN52-HS$19)^2/INDEX($U$20:$U$91,$FN52-HS$19))))</f>
        <v/>
      </c>
      <c r="HT52" s="450" t="str">
        <f t="shared" ref="HT52:HT83" si="254">IF(HT$19&gt;$FN52,"",MAX(0,IF(HT$19=$FN52,$S52^2*HT$15,HT51*INDEX($T$20:$T$91,$FN52-HT$19)^2/INDEX($U$20:$U$91,$FN52-HT$19))))</f>
        <v/>
      </c>
      <c r="HU52" s="450" t="str">
        <f t="shared" ref="HU52:HU83" si="255">IF(HU$19&gt;$FN52,"",MAX(0,IF(HU$19=$FN52,$S52^2*HU$15,HU51*INDEX($T$20:$T$91,$FN52-HU$19)^2/INDEX($U$20:$U$91,$FN52-HU$19))))</f>
        <v/>
      </c>
      <c r="HV52" s="450" t="str">
        <f t="shared" ref="HV52:HV83" si="256">IF(HV$19&gt;$FN52,"",MAX(0,IF(HV$19=$FN52,$S52^2*HV$15,HV51*INDEX($T$20:$T$91,$FN52-HV$19)^2/INDEX($U$20:$U$91,$FN52-HV$19))))</f>
        <v/>
      </c>
      <c r="HW52" s="450" t="str">
        <f t="shared" ref="HW52:HW83" si="257">IF(HW$19&gt;$FN52,"",MAX(0,IF(HW$19=$FN52,$S52^2*HW$15,HW51*INDEX($T$20:$T$91,$FN52-HW$19)^2/INDEX($U$20:$U$91,$FN52-HW$19))))</f>
        <v/>
      </c>
      <c r="HX52" s="450" t="str">
        <f t="shared" ref="HX52:HX83" si="258">IF(HX$19&gt;$FN52,"",MAX(0,IF(HX$19=$FN52,$S52^2*HX$15,HX51*INDEX($T$20:$T$91,$FN52-HX$19)^2/INDEX($U$20:$U$91,$FN52-HX$19))))</f>
        <v/>
      </c>
      <c r="HY52" s="450" t="str">
        <f t="shared" ref="HY52:HY83" si="259">IF(HY$19&gt;$FN52,"",MAX(0,IF(HY$19=$FN52,$S52^2*HY$15,HY51*INDEX($T$20:$T$91,$FN52-HY$19)^2/INDEX($U$20:$U$91,$FN52-HY$19))))</f>
        <v/>
      </c>
      <c r="HZ52" s="450" t="str">
        <f t="shared" ref="HZ52:HZ83" si="260">IF(HZ$19&gt;$FN52,"",MAX(0,IF(HZ$19=$FN52,$S52^2*HZ$15,HZ51*INDEX($T$20:$T$91,$FN52-HZ$19)^2/INDEX($U$20:$U$91,$FN52-HZ$19))))</f>
        <v/>
      </c>
      <c r="IA52" s="450" t="str">
        <f t="shared" ref="IA52:IA83" si="261">IF(IA$19&gt;$FN52,"",MAX(0,IF(IA$19=$FN52,$S52^2*IA$15,IA51*INDEX($T$20:$T$91,$FN52-IA$19)^2/INDEX($U$20:$U$91,$FN52-IA$19))))</f>
        <v/>
      </c>
      <c r="IB52" s="450" t="str">
        <f t="shared" ref="IB52:IB83" si="262">IF(IB$19&gt;$FN52,"",MAX(0,IF(IB$19=$FN52,$S52^2*IB$15,IB51*INDEX($T$20:$T$91,$FN52-IB$19)^2/INDEX($U$20:$U$91,$FN52-IB$19))))</f>
        <v/>
      </c>
      <c r="IC52" s="450" t="str">
        <f t="shared" ref="IC52:IC83" si="263">IF(IC$19&gt;$FN52,"",MAX(0,IF(IC$19=$FN52,$S52^2*IC$15,IC51*INDEX($T$20:$T$91,$FN52-IC$19)^2/INDEX($U$20:$U$91,$FN52-IC$19))))</f>
        <v/>
      </c>
      <c r="ID52" s="450" t="str">
        <f t="shared" ref="ID52:ID83" si="264">IF(ID$19&gt;$FN52,"",MAX(0,IF(ID$19=$FN52,$S52^2*ID$15,ID51*INDEX($T$20:$T$91,$FN52-ID$19)^2/INDEX($U$20:$U$91,$FN52-ID$19))))</f>
        <v/>
      </c>
      <c r="IE52" s="450" t="str">
        <f t="shared" ref="IE52:IE83" si="265">IF(IE$19&gt;$FN52,"",MAX(0,IF(IE$19=$FN52,$S52^2*IE$15,IE51*INDEX($T$20:$T$91,$FN52-IE$19)^2/INDEX($U$20:$U$91,$FN52-IE$19))))</f>
        <v/>
      </c>
      <c r="IF52" s="450" t="str">
        <f t="shared" ref="IF52:IF83" si="266">IF(IF$19&gt;$FN52,"",MAX(0,IF(IF$19=$FN52,$S52^2*IF$15,IF51*INDEX($T$20:$T$91,$FN52-IF$19)^2/INDEX($U$20:$U$91,$FN52-IF$19))))</f>
        <v/>
      </c>
      <c r="IG52" s="450" t="str">
        <f t="shared" ref="IG52:IG83" si="267">IF(IG$19&gt;$FN52,"",MAX(0,IF(IG$19=$FN52,$S52^2*IG$15,IG51*INDEX($T$20:$T$91,$FN52-IG$19)^2/INDEX($U$20:$U$91,$FN52-IG$19))))</f>
        <v/>
      </c>
      <c r="IH52" s="658" t="str">
        <f t="shared" ref="IH52:IH83" si="268">IF(IH$19&gt;$FN52,"",MAX(0,IF(IH$19=$FN52,$S52^2*IH$15,IH51*INDEX($T$20:$T$91,$FN52-IH$19)^2/INDEX($U$20:$U$91,$FN52-IH$19))))</f>
        <v/>
      </c>
      <c r="II52" s="242"/>
    </row>
    <row r="53" spans="1:243">
      <c r="A53" s="49"/>
      <c r="B53" s="49"/>
      <c r="C53" s="49"/>
      <c r="D53" s="49"/>
      <c r="E53" s="49"/>
      <c r="F53" s="49"/>
      <c r="G53" s="49"/>
      <c r="H53" s="49" t="e">
        <f t="shared" ca="1" si="34"/>
        <v>#N/A</v>
      </c>
      <c r="I53" s="369">
        <f t="shared" si="35"/>
        <v>38018</v>
      </c>
      <c r="J53" s="367">
        <v>22.578333333333301</v>
      </c>
      <c r="K53" s="101" t="s">
        <v>268</v>
      </c>
      <c r="L53" s="382">
        <f t="shared" si="36"/>
        <v>22.578333333333333</v>
      </c>
      <c r="M53" s="163">
        <v>0.22194882337829999</v>
      </c>
      <c r="N53" s="372">
        <v>0</v>
      </c>
      <c r="O53" s="163">
        <f t="shared" si="37"/>
        <v>0.22194882337829999</v>
      </c>
      <c r="P53" s="367">
        <v>21.417102777777799</v>
      </c>
      <c r="Q53" s="101" t="s">
        <v>267</v>
      </c>
      <c r="R53" s="367">
        <f t="shared" ca="1" si="147"/>
        <v>21.417102777777782</v>
      </c>
      <c r="S53" s="814">
        <f t="shared" si="163"/>
        <v>0.37624901679789274</v>
      </c>
      <c r="T53" s="813">
        <f t="shared" si="148"/>
        <v>0.99758418152009432</v>
      </c>
      <c r="U53" s="532">
        <f t="shared" si="149"/>
        <v>0.99999886991021059</v>
      </c>
      <c r="V53" s="379">
        <v>0</v>
      </c>
      <c r="W53" s="424">
        <f t="shared" si="168"/>
        <v>22.539791666666673</v>
      </c>
      <c r="X53" s="405">
        <f t="shared" si="169"/>
        <v>22.539791666666666</v>
      </c>
      <c r="Y53" s="313">
        <f t="shared" si="170"/>
        <v>21.323791666666672</v>
      </c>
      <c r="Z53" s="313">
        <f t="shared" ca="1" si="171"/>
        <v>21.323791666666665</v>
      </c>
      <c r="AA53" s="419">
        <f t="shared" si="1"/>
        <v>1.216</v>
      </c>
      <c r="AB53" s="423">
        <f t="shared" ca="1" si="2"/>
        <v>1.216</v>
      </c>
      <c r="AC53" s="218">
        <v>38006</v>
      </c>
      <c r="AD53" s="221">
        <v>38002</v>
      </c>
      <c r="AE53" s="221">
        <v>38001</v>
      </c>
      <c r="AF53" s="221">
        <v>37997</v>
      </c>
      <c r="AG53" s="241" t="s">
        <v>90</v>
      </c>
      <c r="AH53" s="239" t="s">
        <v>497</v>
      </c>
      <c r="AI53" s="141">
        <v>20</v>
      </c>
      <c r="AJ53" s="41">
        <v>15</v>
      </c>
      <c r="AK53" s="41">
        <v>5</v>
      </c>
      <c r="AL53" s="285">
        <v>20</v>
      </c>
      <c r="AM53" s="41">
        <v>10</v>
      </c>
      <c r="AN53" s="142">
        <v>10</v>
      </c>
      <c r="AO53" s="364">
        <v>4.9242795041813704E-2</v>
      </c>
      <c r="AP53" s="145">
        <f t="shared" ca="1" si="41"/>
        <v>0.86879777137732983</v>
      </c>
      <c r="AQ53" s="364">
        <v>4.2754392026545004E-2</v>
      </c>
      <c r="AR53" s="145">
        <f t="shared" ca="1" si="151"/>
        <v>0.88939715591547464</v>
      </c>
      <c r="AS53" s="264">
        <f t="shared" si="172"/>
        <v>0.21965641131146252</v>
      </c>
      <c r="AT53" s="149">
        <f t="shared" si="42"/>
        <v>0.22194882337829999</v>
      </c>
      <c r="AU53" s="149">
        <f t="shared" si="4"/>
        <v>0.21914450626085502</v>
      </c>
      <c r="AV53" s="263">
        <f t="shared" ca="1" si="164"/>
        <v>0.21527772300434125</v>
      </c>
      <c r="AW53" s="150" t="str">
        <f t="shared" ca="1" si="173"/>
        <v/>
      </c>
      <c r="AX53" s="149">
        <f t="shared" ca="1" si="152"/>
        <v>4.0980805711502546E-2</v>
      </c>
      <c r="AY53" s="149">
        <f t="shared" ca="1" si="153"/>
        <v>2.2015570501960232E-2</v>
      </c>
      <c r="AZ53" s="149">
        <f t="shared" ca="1" si="154"/>
        <v>1.058507642053676E-2</v>
      </c>
      <c r="BA53" s="149">
        <f t="shared" ca="1" si="155"/>
        <v>1.0000000000000059E-4</v>
      </c>
      <c r="BB53" s="149">
        <f t="shared" ca="1" si="156"/>
        <v>1.0000000000000059E-4</v>
      </c>
      <c r="BC53" s="149">
        <f t="shared" ca="1" si="157"/>
        <v>1.0000000000000059E-4</v>
      </c>
      <c r="BD53" s="143">
        <f t="shared" ca="1" si="174"/>
        <v>0</v>
      </c>
      <c r="BE53" s="144">
        <f t="shared" ca="1" si="175"/>
        <v>0</v>
      </c>
      <c r="BF53" s="40">
        <f t="shared" si="176"/>
        <v>2004</v>
      </c>
      <c r="BG53" s="139">
        <f t="shared" si="177"/>
        <v>2</v>
      </c>
      <c r="BH53" s="140">
        <f t="shared" ca="1" si="178"/>
        <v>1012</v>
      </c>
      <c r="BI53" s="304">
        <f t="shared" ca="1" si="179"/>
        <v>2.8145106091718</v>
      </c>
      <c r="BJ53" s="42">
        <f t="shared" ca="1" si="47"/>
        <v>2.8720054757015743</v>
      </c>
      <c r="BK53" s="42">
        <f t="shared" ca="1" si="180"/>
        <v>2.8747433264887063</v>
      </c>
      <c r="BL53" s="42">
        <f t="shared" ca="1" si="181"/>
        <v>2.8911704312114992</v>
      </c>
      <c r="BM53" s="285">
        <f t="shared" si="49"/>
        <v>20</v>
      </c>
      <c r="BN53" s="41">
        <f t="shared" si="50"/>
        <v>15</v>
      </c>
      <c r="BO53" s="41">
        <f t="shared" si="51"/>
        <v>5</v>
      </c>
      <c r="BP53" s="297" t="str">
        <f t="shared" ca="1" si="10"/>
        <v/>
      </c>
      <c r="BQ53" s="297" t="str">
        <f t="shared" ca="1" si="11"/>
        <v/>
      </c>
      <c r="BR53" s="299" t="str">
        <f t="shared" ca="1" si="12"/>
        <v/>
      </c>
      <c r="BS53" s="153" t="str">
        <f t="shared" ca="1" si="13"/>
        <v/>
      </c>
      <c r="BT53" s="153" t="str">
        <f t="shared" ca="1" si="14"/>
        <v/>
      </c>
      <c r="BU53" s="300" t="str">
        <f t="shared" ca="1" si="15"/>
        <v/>
      </c>
      <c r="BV53" s="301" t="str">
        <f t="shared" ca="1" si="16"/>
        <v/>
      </c>
      <c r="BW53" s="300" t="str">
        <f t="shared" ca="1" si="17"/>
        <v/>
      </c>
      <c r="BX53" s="301" t="str">
        <f t="shared" ca="1" si="18"/>
        <v/>
      </c>
      <c r="BY53" s="146" t="str">
        <f t="shared" ca="1" si="19"/>
        <v/>
      </c>
      <c r="BZ53" s="146" t="str">
        <f t="shared" ca="1" si="20"/>
        <v/>
      </c>
      <c r="CA53" s="146" t="str">
        <f t="shared" ca="1" si="21"/>
        <v/>
      </c>
      <c r="CB53" s="146" t="str">
        <f t="shared" ca="1" si="22"/>
        <v/>
      </c>
      <c r="CC53" s="302">
        <v>1</v>
      </c>
      <c r="CD53" s="154">
        <f ca="1">IF(BD53,_xll.xCrudeAPO(BS53,BT53,BY53,BZ53,S54,S55,BI53,BL53,BN53,BO53,0,Strike1,AO53,CC53,0,BL53,IF(OptControl=4,0,1),0,1),0)</f>
        <v>0</v>
      </c>
      <c r="CE53" s="155">
        <f ca="1">IF(BD53,_xll.xCrudeAPO(BS53,BT53,BY53,BZ53,S54,S55,BI53,BL53,BN53,BO53,0,Strike1,AO53,CC53,0,BL53,IF(OptControl=4,0,1),1,1)+_xll.xCrudeAPO(BS53,BT53,BY53,BZ53,S54,S55,BI53,BL53,BN53,BO53,0,Strike1,AO53,CC53,0,BL53,IF(OptControl=4,0,1),1,2)+IF(OR(VolSkewFlag=2,ABS(BQ53)&lt;0.0001),0,IF(BQ53&gt;0,-1,1)*CF53*Strike1/BP53^2*BW53/10%),0)</f>
        <v>0</v>
      </c>
      <c r="CF53" s="155">
        <f ca="1">IF(BD53,(_xll.xCrudeAPO(BS53,BT53,BY53,BZ53,S54,S55,BI53,BL53,BN53,BO53,0,Strike1,AO53,CC53,0,BL53,IF(OptControl=4,0,1),3,1)+_xll.xCrudeAPO(BS53,BT53,BY53,BZ53,S54,S55,BI53,BL53,BN53,BO53,0,Strike1,AO53,CC53,0,BL53,IF(OptControl=4,0,1),3,2))/100,0)</f>
        <v>0</v>
      </c>
      <c r="CG53" s="155">
        <f ca="1">IF(BD53,_xll.xCrudeAPO(BS53,BT53,BY53,BZ53,S54,S55,BI53-DaysForThetaCalculation/365.25,BL53-DaysForThetaCalculation/365.25,BN53,BO53,0,Strike1,AO53,CC53,0,BL53,IF(OptControl=4,0,1),0,1)-_xll.xCrudeAPO(BS53,BT53,BY53,BZ53,S54,S55,BI53,BL53,BN53,BO53,0,Strike1,AO53,CC53,0,BL53,IF(OptControl=4,0,1),0,1),0)</f>
        <v>0</v>
      </c>
      <c r="CH53" s="303">
        <f ca="1">IF(BD53,_xll.xCrudeAPO(BS53,BT53,CA53,CB53,S54,S55,BI53,BL53,BN53,BO53,0,Strike2,AO53,CC53,0,BL53,IF(OptControl=3,1,0),0,1),0)</f>
        <v>0</v>
      </c>
      <c r="CI53" s="155">
        <f ca="1">IF(BD53,_xll.xCrudeAPO(BS53,BT53,CA53,CB53,S54,S55,BI53,BL53,BN53,BO53,0,Strike2,AO53,CC53,0,BL53,IF(OptControl=3,1,0),1,1)+_xll.xCrudeAPO(BS53,BT53,CA53,CB53,S54,S55,BI53,BL53,BN53,BO53,0,Strike2,AO53,CC53,0,BL53,IF(OptControl=3,1,0),1,2)+IF(OR(VolSkewFlag=2,ABS(BR53)&lt;0.0001),0,IF(BR53&gt;0,-1,1)*CJ53*Strike2/BP53^2*BX53/10%),0)</f>
        <v>0</v>
      </c>
      <c r="CJ53" s="155">
        <f ca="1">IF(BD53,(_xll.xCrudeAPO(BS53,BT53,CA53,CB53,S54,S55,BI53,BL53,BN53,BO53,0,Strike2,AO53,CC53,0,BL53,IF(OptControl=3,1,0),3,1)+_xll.xCrudeAPO(BS53,BT53,CA53,CB53,S54,S55,BI53,BL53,BN53,BO53,0,Strike2,AO53,CC53,0,BL53,IF(OptControl=3,1,0),3,2))/100,0)</f>
        <v>0</v>
      </c>
      <c r="CK53" s="156">
        <f ca="1">IF(BD53,_xll.xCrudeAPO(BS53,BT53,CA53,CB53,S54,S55,BI53-DaysForThetaCalculation/365.25,BL53-DaysForThetaCalculation/365.25,BN53,BO53,0,Strike2,AO53,CC53,0,BL53,IF(OptControl=3,1,0),0,1)-_xll.xCrudeAPO(BS53,BT53,CA53,CB53,S54,S55,BI53,BL53,BN53,BO53,0,Strike2,AO53,CC53,0,BL53,IF(OptControl=3,1,0),0,1),0)</f>
        <v>0</v>
      </c>
      <c r="CL53" s="51"/>
      <c r="CM53" s="779" t="str">
        <f t="shared" ca="1" si="52"/>
        <v/>
      </c>
      <c r="CN53" s="783" t="str">
        <f t="shared" ca="1" si="53"/>
        <v/>
      </c>
      <c r="CO53" s="780" t="str">
        <f t="shared" ca="1" si="54"/>
        <v/>
      </c>
      <c r="CP53" s="780" t="str">
        <f t="shared" ca="1" si="55"/>
        <v/>
      </c>
      <c r="CQ53" s="780" t="str">
        <f t="shared" ca="1" si="56"/>
        <v/>
      </c>
      <c r="CR53" s="780" t="str">
        <f t="shared" ca="1" si="57"/>
        <v/>
      </c>
      <c r="CS53" s="781" t="str">
        <f t="shared" ca="1" si="58"/>
        <v/>
      </c>
      <c r="CT53" s="782" t="str">
        <f t="shared" ca="1" si="59"/>
        <v/>
      </c>
      <c r="CU53" s="782" t="str">
        <f t="shared" ca="1" si="60"/>
        <v/>
      </c>
      <c r="CV53" s="155">
        <f ca="1">IF(BD53,_xll.EURO(CN53,Strike1,AO53,AO53,CT53,CM53,IF(OptControl=4,0,1),0),0)</f>
        <v>0</v>
      </c>
      <c r="CW53" s="155">
        <f ca="1">IF(BD53,_xll.EURO(CN53,Strike1,AO53,AO53,CT53,CM53,IF(OptControl=4,0,1),1)+IF(OR(VolSkewFlag=2,ABS(CO53)&lt;0.0001),0,IF(CO53&gt;0,-1,1)*CX53*100*Strike1/CN53^2*CQ53/10%),0)</f>
        <v>0</v>
      </c>
      <c r="CX53" s="155">
        <f ca="1">IF(BD53,_xll.EURO(CN53,Strike1,AO53,AO53,CT53,CM53,IF(OptControl=4,0,1),3)/100,0)</f>
        <v>0</v>
      </c>
      <c r="CY53" s="155">
        <f ca="1">IF(BD53,_xll.EURO(CN53,Strike1,AO53,AO53,CT53,CM53,IF(OptControl=4,0,1),0)-_xll.EURO(CN53,Strike1,AO53,AO53,CT53,CM53-1,IF(OptControl=4,0,1),0),0)</f>
        <v>0</v>
      </c>
      <c r="CZ53" s="155">
        <f ca="1">IF(BD53,_xll.EURO(CN53,Strike2,AO53,AO53,CU53,CM53,IF(OptControl=3,1,0),0),0)</f>
        <v>0</v>
      </c>
      <c r="DA53" s="155">
        <f ca="1">IF(BD53,_xll.EURO(CN53,Strike2,AO53,AO53,CU53,CM53,IF(OptControl=3,1,0),1)+IF(OR(VolSkewFlag=2,ABS(CP53)&lt;0.0001),0,IF(CP53&gt;0,-1,1)*DB53*100*Strike2/CN53^2*CR53/10%),0)</f>
        <v>0</v>
      </c>
      <c r="DB53" s="155">
        <f ca="1">IF(BD53,_xll.EURO(CN53,Strike2,AO53,AO53,CU53,CM53,IF(OptControl=3,1,0),3)/100,0)</f>
        <v>0</v>
      </c>
      <c r="DC53" s="156">
        <f ca="1">IF(BD53,_xll.EURO(CN53,Strike2,AO53,AO53,CU53,CM53,IF(OptControl=3,1,0),0)-_xll.EURO(CN53,Strike2,AO53,AO53,CU53,CM53-1,IF(OptControl=3,1,0),0),0)</f>
        <v>0</v>
      </c>
      <c r="DE53" s="651">
        <f t="shared" ca="1" si="61"/>
        <v>37926</v>
      </c>
      <c r="DF53" s="465">
        <v>1E-4</v>
      </c>
      <c r="DG53" s="649">
        <v>1E-4</v>
      </c>
      <c r="DH53" s="650">
        <f t="shared" ca="1" si="182"/>
        <v>37926</v>
      </c>
      <c r="DI53" s="465">
        <v>1E-4</v>
      </c>
      <c r="DJ53" s="649">
        <v>1E-4</v>
      </c>
      <c r="DK53" s="651">
        <f t="shared" ca="1" si="183"/>
        <v>37926</v>
      </c>
      <c r="DL53" s="652">
        <f t="shared" si="184"/>
        <v>5.0100000000000006E-2</v>
      </c>
      <c r="DM53" s="651">
        <f t="shared" ca="1" si="62"/>
        <v>37926</v>
      </c>
      <c r="DN53" s="563">
        <f t="shared" si="63"/>
        <v>-0.12990000000000002</v>
      </c>
      <c r="DO53" s="803">
        <v>-0.13</v>
      </c>
      <c r="DP53" s="650">
        <f t="shared" ca="1" si="185"/>
        <v>37926</v>
      </c>
      <c r="DQ53" s="653">
        <v>1E-4</v>
      </c>
      <c r="DR53" s="590">
        <v>1E-4</v>
      </c>
      <c r="DS53" s="650">
        <f t="shared" ca="1" si="186"/>
        <v>37926</v>
      </c>
      <c r="DT53" s="653">
        <v>1E-4</v>
      </c>
      <c r="DU53" s="590">
        <v>1E-4</v>
      </c>
      <c r="DV53" s="651">
        <f t="shared" ca="1" si="187"/>
        <v>37926</v>
      </c>
      <c r="DW53" s="590">
        <v>1E-4</v>
      </c>
      <c r="DX53" s="651">
        <f t="shared" ca="1" si="64"/>
        <v>37926</v>
      </c>
      <c r="DY53" s="590">
        <f t="shared" si="65"/>
        <v>1E-4</v>
      </c>
      <c r="DZ53" s="1"/>
      <c r="EA53" s="863" t="e">
        <f ca="1">_xll.ASN(X53,X53,AO53,AS53,0,AI53,0,BI53,BL53,1,0)</f>
        <v>#NAME?</v>
      </c>
      <c r="EB53" s="653" t="e">
        <f ca="1">_xll.ASN(X53,X53,AO53,AS53,0,AI53,0,BI53,BL53,1,3)/100</f>
        <v>#NAME?</v>
      </c>
      <c r="EC53" s="653" t="e">
        <f ca="1">_xll.xCrudeAPO(L54,L55,O54,O55,S54,S55,BI53,BL53,AJ53,AK53,0,X53,AO53,1,0,+BL53,1,0,1)</f>
        <v>#NAME?</v>
      </c>
      <c r="ED53" s="869" t="e">
        <f t="shared" ca="1" si="165"/>
        <v>#NAME?</v>
      </c>
      <c r="EE53" s="863" t="e">
        <f t="shared" ca="1" si="29"/>
        <v>#NAME?</v>
      </c>
      <c r="EF53" s="590" t="e">
        <f t="shared" ca="1" si="30"/>
        <v>#NAME?</v>
      </c>
      <c r="EG53" s="862" t="str">
        <f t="shared" ca="1" si="188"/>
        <v/>
      </c>
      <c r="EH53" s="114" t="str">
        <f t="shared" ca="1" si="32"/>
        <v/>
      </c>
      <c r="EI53" s="109" t="str">
        <f t="shared" ca="1" si="33"/>
        <v/>
      </c>
      <c r="EJ53" s="115">
        <f ca="1">IF(BD53,_xll.xASN(BP53,Strike1,AO53,EH53,0,BM53,0,BI53,BL53,IF(OptControl=4,0,1),0),0)</f>
        <v>0</v>
      </c>
      <c r="EK53" s="108">
        <f ca="1">IF(BD53,_xll.xASN(BP53,Strike2,AO53,EI53,0,BM53,0,BI53,BL53,IF(OptControl=3,1,0),0),0)</f>
        <v>0</v>
      </c>
      <c r="EM53" s="473" t="e">
        <f>[1]!'CLc34 MTH'</f>
        <v>#REF!</v>
      </c>
      <c r="EN53" s="474" t="e">
        <f t="shared" si="158"/>
        <v>#REF!</v>
      </c>
      <c r="EO53" s="475" t="e">
        <f>[1]!'CLc34 NET.CHNG'</f>
        <v>#REF!</v>
      </c>
      <c r="EP53" s="476">
        <f t="shared" si="159"/>
        <v>0</v>
      </c>
      <c r="EQ53" s="1"/>
      <c r="ER53" s="681">
        <v>39807</v>
      </c>
      <c r="ES53" s="682">
        <v>42729</v>
      </c>
      <c r="ET53" s="1"/>
      <c r="EU53" s="667" t="s">
        <v>239</v>
      </c>
      <c r="EW53" s="488">
        <v>34</v>
      </c>
      <c r="EX53" s="466">
        <f t="shared" ca="1" si="166"/>
        <v>2.7707049965776864</v>
      </c>
      <c r="EY53" s="824">
        <f t="shared" ca="1" si="189"/>
        <v>0.13648847518521545</v>
      </c>
      <c r="EZ53" s="798">
        <f t="shared" ref="EZ53:EZ84" ca="1" si="269">SQRT(SUM(FO53:IH53)/EX53)</f>
        <v>0.22525898784428541</v>
      </c>
      <c r="FA53" s="468" t="str">
        <f t="shared" ref="FA53:FA84" ca="1" si="270">IF(OR(DateStart2&gt;I52,DateEnd2&lt;I51),"",IF(DateStart2&lt;I52,AK51/AI51*AP51*BE51*SwaptionNumOfMonths/$D$33,0)+IF(DateEnd2&gt;I51,AJ52/AI52*AP52*BE52*SwaptionNumOfMonths/$D$33,0))</f>
        <v/>
      </c>
      <c r="FB53" s="467" t="str">
        <f t="shared" ref="FB53:FB84" ca="1" si="271">IF(FA53="","",SQRT(SUM(FO358:IH358)/SwaptionYearsToExp))</f>
        <v/>
      </c>
      <c r="FC53" s="242">
        <v>0</v>
      </c>
      <c r="FD53" s="589" t="str">
        <f ca="1">IF(OR(FA53="",FA54=""),"",SQRT(SUM(INDEX(FO53:IH53,SwaptionFirstMonthPosition+1):INDEX(FO53:IH53,FN53))/SUM(INDEX($FO$15:$IH$15,SwaptionFirstMonthPosition+1):INDEX($FO$15:$IH$15,FN53))))</f>
        <v/>
      </c>
      <c r="FE53" s="565" t="str">
        <f ca="1">IF(OR(FA53="",FA52=""),"",SQRT(SUM(INDEX(FO53:IH53,SwaptionFirstMonthPosition+1):INDEX(FO53:IH53,FN53-1))/SUM(INDEX($FO$15:$IH$15,SwaptionFirstMonthPosition+1):INDEX($FO$15:$IH$15,FN53-1))))</f>
        <v/>
      </c>
      <c r="FF53" s="562" t="str">
        <f t="shared" ca="1" si="190"/>
        <v/>
      </c>
      <c r="FG53" s="593" t="str">
        <f t="shared" ca="1" si="191"/>
        <v/>
      </c>
      <c r="FH53" s="563" t="str">
        <f t="shared" ca="1" si="192"/>
        <v/>
      </c>
      <c r="FI53" s="563" t="str">
        <f t="shared" ca="1" si="193"/>
        <v/>
      </c>
      <c r="FJ53" s="563" t="str">
        <f t="shared" ca="1" si="194"/>
        <v/>
      </c>
      <c r="FK53" s="564" t="str">
        <f t="shared" ca="1" si="195"/>
        <v/>
      </c>
      <c r="FL53" s="590" t="str">
        <f t="shared" ca="1" si="196"/>
        <v/>
      </c>
      <c r="FM53" s="242"/>
      <c r="FN53" s="657">
        <v>34</v>
      </c>
      <c r="FO53" s="450">
        <f t="shared" ca="1" si="197"/>
        <v>6.8506169638032097E-4</v>
      </c>
      <c r="FP53" s="450">
        <f t="shared" ca="1" si="198"/>
        <v>2.5813331738560193E-3</v>
      </c>
      <c r="FQ53" s="450">
        <f t="shared" ca="1" si="199"/>
        <v>2.5038083194680312E-3</v>
      </c>
      <c r="FR53" s="450">
        <f t="shared" ca="1" si="200"/>
        <v>2.7741651239415323E-3</v>
      </c>
      <c r="FS53" s="450">
        <f t="shared" ca="1" si="201"/>
        <v>2.6134494324635453E-3</v>
      </c>
      <c r="FT53" s="450">
        <f t="shared" ca="1" si="202"/>
        <v>2.8036290544603674E-3</v>
      </c>
      <c r="FU53" s="450">
        <f t="shared" ca="1" si="203"/>
        <v>2.6459203982410174E-3</v>
      </c>
      <c r="FV53" s="450">
        <f t="shared" ca="1" si="204"/>
        <v>2.4885722906303922E-3</v>
      </c>
      <c r="FW53" s="450">
        <f t="shared" ca="1" si="205"/>
        <v>2.6899955572937204E-3</v>
      </c>
      <c r="FX53" s="450">
        <f t="shared" ca="1" si="206"/>
        <v>2.9890896718350094E-3</v>
      </c>
      <c r="FY53" s="450">
        <f t="shared" ca="1" si="207"/>
        <v>2.6572711232831702E-3</v>
      </c>
      <c r="FZ53" s="450">
        <f t="shared" ca="1" si="208"/>
        <v>2.6923746734058536E-3</v>
      </c>
      <c r="GA53" s="450">
        <f t="shared" ca="1" si="209"/>
        <v>3.109669905349677E-3</v>
      </c>
      <c r="GB53" s="450">
        <f t="shared" ca="1" si="210"/>
        <v>2.7791352705233609E-3</v>
      </c>
      <c r="GC53" s="450">
        <f t="shared" ca="1" si="211"/>
        <v>3.1254791090753109E-3</v>
      </c>
      <c r="GD53" s="450">
        <f t="shared" ca="1" si="212"/>
        <v>2.993591607431624E-3</v>
      </c>
      <c r="GE53" s="450">
        <f t="shared" ca="1" si="213"/>
        <v>2.9644370271135773E-3</v>
      </c>
      <c r="GF53" s="450">
        <f t="shared" ca="1" si="214"/>
        <v>3.4660255652633329E-3</v>
      </c>
      <c r="GG53" s="450">
        <f t="shared" ca="1" si="215"/>
        <v>3.248338833035005E-3</v>
      </c>
      <c r="GH53" s="450">
        <f t="shared" ca="1" si="216"/>
        <v>3.2491856121903769E-3</v>
      </c>
      <c r="GI53" s="450">
        <f t="shared" ca="1" si="217"/>
        <v>3.608894617860188E-3</v>
      </c>
      <c r="GJ53" s="450">
        <f t="shared" ca="1" si="218"/>
        <v>3.7671884443663955E-3</v>
      </c>
      <c r="GK53" s="450">
        <f t="shared" ca="1" si="219"/>
        <v>3.95276051768157E-3</v>
      </c>
      <c r="GL53" s="450">
        <f t="shared" ca="1" si="220"/>
        <v>3.7677443267995605E-3</v>
      </c>
      <c r="GM53" s="450">
        <f t="shared" ca="1" si="221"/>
        <v>4.4306243569922372E-3</v>
      </c>
      <c r="GN53" s="450">
        <f t="shared" ca="1" si="222"/>
        <v>4.587016640121476E-3</v>
      </c>
      <c r="GO53" s="450">
        <f t="shared" ca="1" si="223"/>
        <v>5.1118178230726537E-3</v>
      </c>
      <c r="GP53" s="450">
        <f t="shared" ca="1" si="224"/>
        <v>5.3834329400170335E-3</v>
      </c>
      <c r="GQ53" s="450">
        <f t="shared" ca="1" si="225"/>
        <v>6.1153340359543428E-3</v>
      </c>
      <c r="GR53" s="450">
        <f t="shared" ca="1" si="226"/>
        <v>6.7994963874920128E-3</v>
      </c>
      <c r="GS53" s="450">
        <f t="shared" ca="1" si="227"/>
        <v>7.4104214154029988E-3</v>
      </c>
      <c r="GT53" s="450">
        <f t="shared" ca="1" si="228"/>
        <v>8.7486252054688688E-3</v>
      </c>
      <c r="GU53" s="450">
        <f t="shared" ca="1" si="229"/>
        <v>9.8311897668824626E-3</v>
      </c>
      <c r="GV53" s="450">
        <f t="shared" ca="1" si="230"/>
        <v>1.2014956884004934E-2</v>
      </c>
      <c r="GW53" s="450" t="str">
        <f t="shared" si="231"/>
        <v/>
      </c>
      <c r="GX53" s="450" t="str">
        <f t="shared" si="232"/>
        <v/>
      </c>
      <c r="GY53" s="450" t="str">
        <f t="shared" si="233"/>
        <v/>
      </c>
      <c r="GZ53" s="450" t="str">
        <f t="shared" si="234"/>
        <v/>
      </c>
      <c r="HA53" s="450" t="str">
        <f t="shared" si="235"/>
        <v/>
      </c>
      <c r="HB53" s="450" t="str">
        <f t="shared" si="236"/>
        <v/>
      </c>
      <c r="HC53" s="450" t="str">
        <f t="shared" si="237"/>
        <v/>
      </c>
      <c r="HD53" s="450" t="str">
        <f t="shared" si="238"/>
        <v/>
      </c>
      <c r="HE53" s="450" t="str">
        <f t="shared" si="239"/>
        <v/>
      </c>
      <c r="HF53" s="450" t="str">
        <f t="shared" si="240"/>
        <v/>
      </c>
      <c r="HG53" s="450" t="str">
        <f t="shared" si="241"/>
        <v/>
      </c>
      <c r="HH53" s="450" t="str">
        <f t="shared" si="242"/>
        <v/>
      </c>
      <c r="HI53" s="450" t="str">
        <f t="shared" si="243"/>
        <v/>
      </c>
      <c r="HJ53" s="450" t="str">
        <f t="shared" si="244"/>
        <v/>
      </c>
      <c r="HK53" s="450" t="str">
        <f t="shared" si="245"/>
        <v/>
      </c>
      <c r="HL53" s="450" t="str">
        <f t="shared" si="246"/>
        <v/>
      </c>
      <c r="HM53" s="450" t="str">
        <f t="shared" si="247"/>
        <v/>
      </c>
      <c r="HN53" s="450" t="str">
        <f t="shared" si="248"/>
        <v/>
      </c>
      <c r="HO53" s="450" t="str">
        <f t="shared" si="249"/>
        <v/>
      </c>
      <c r="HP53" s="450" t="str">
        <f t="shared" si="250"/>
        <v/>
      </c>
      <c r="HQ53" s="450" t="str">
        <f t="shared" si="251"/>
        <v/>
      </c>
      <c r="HR53" s="450" t="str">
        <f t="shared" si="252"/>
        <v/>
      </c>
      <c r="HS53" s="450" t="str">
        <f t="shared" si="253"/>
        <v/>
      </c>
      <c r="HT53" s="450" t="str">
        <f t="shared" si="254"/>
        <v/>
      </c>
      <c r="HU53" s="450" t="str">
        <f t="shared" si="255"/>
        <v/>
      </c>
      <c r="HV53" s="450" t="str">
        <f t="shared" si="256"/>
        <v/>
      </c>
      <c r="HW53" s="450" t="str">
        <f t="shared" si="257"/>
        <v/>
      </c>
      <c r="HX53" s="450" t="str">
        <f t="shared" si="258"/>
        <v/>
      </c>
      <c r="HY53" s="450" t="str">
        <f t="shared" si="259"/>
        <v/>
      </c>
      <c r="HZ53" s="450" t="str">
        <f t="shared" si="260"/>
        <v/>
      </c>
      <c r="IA53" s="450" t="str">
        <f t="shared" si="261"/>
        <v/>
      </c>
      <c r="IB53" s="450" t="str">
        <f t="shared" si="262"/>
        <v/>
      </c>
      <c r="IC53" s="450" t="str">
        <f t="shared" si="263"/>
        <v/>
      </c>
      <c r="ID53" s="450" t="str">
        <f t="shared" si="264"/>
        <v/>
      </c>
      <c r="IE53" s="450" t="str">
        <f t="shared" si="265"/>
        <v/>
      </c>
      <c r="IF53" s="450" t="str">
        <f t="shared" si="266"/>
        <v/>
      </c>
      <c r="IG53" s="450" t="str">
        <f t="shared" si="267"/>
        <v/>
      </c>
      <c r="IH53" s="658" t="str">
        <f t="shared" si="268"/>
        <v/>
      </c>
      <c r="II53" s="242"/>
    </row>
    <row r="54" spans="1:243">
      <c r="A54" s="49"/>
      <c r="B54" s="49"/>
      <c r="C54" s="49"/>
      <c r="D54" s="49"/>
      <c r="E54" s="49"/>
      <c r="F54" s="49"/>
      <c r="G54" s="49"/>
      <c r="H54" s="49" t="e">
        <f t="shared" ca="1" si="34"/>
        <v>#N/A</v>
      </c>
      <c r="I54" s="369">
        <f t="shared" si="35"/>
        <v>38047</v>
      </c>
      <c r="J54" s="367">
        <v>22.547499999999999</v>
      </c>
      <c r="K54" s="101" t="s">
        <v>268</v>
      </c>
      <c r="L54" s="382">
        <f t="shared" si="36"/>
        <v>22.547499999999999</v>
      </c>
      <c r="M54" s="163">
        <v>0.22016831636207002</v>
      </c>
      <c r="N54" s="372">
        <v>0</v>
      </c>
      <c r="O54" s="163">
        <f t="shared" si="37"/>
        <v>0.22016831636207002</v>
      </c>
      <c r="P54" s="367">
        <v>21.300700694444398</v>
      </c>
      <c r="Q54" s="101" t="s">
        <v>267</v>
      </c>
      <c r="R54" s="367">
        <f t="shared" ca="1" si="147"/>
        <v>21.300700694444441</v>
      </c>
      <c r="S54" s="814">
        <f t="shared" si="163"/>
        <v>0.37588652662991384</v>
      </c>
      <c r="T54" s="813">
        <f t="shared" si="148"/>
        <v>0.99782611089503059</v>
      </c>
      <c r="U54" s="532">
        <f t="shared" si="149"/>
        <v>0.99999915243265791</v>
      </c>
      <c r="V54" s="379">
        <v>0</v>
      </c>
      <c r="W54" s="424">
        <f t="shared" si="168"/>
        <v>22.505942028985515</v>
      </c>
      <c r="X54" s="405">
        <f t="shared" si="169"/>
        <v>22.505942028985508</v>
      </c>
      <c r="Y54" s="313">
        <f t="shared" si="170"/>
        <v>21.289942028985514</v>
      </c>
      <c r="Z54" s="313">
        <f t="shared" ca="1" si="171"/>
        <v>21.289942028985507</v>
      </c>
      <c r="AA54" s="419">
        <f t="shared" si="1"/>
        <v>1.216</v>
      </c>
      <c r="AB54" s="423">
        <f t="shared" ca="1" si="2"/>
        <v>1.216</v>
      </c>
      <c r="AC54" s="218">
        <v>38037</v>
      </c>
      <c r="AD54" s="221">
        <v>38033</v>
      </c>
      <c r="AE54" s="221">
        <v>38032</v>
      </c>
      <c r="AF54" s="221">
        <v>38028</v>
      </c>
      <c r="AG54" s="241" t="s">
        <v>90</v>
      </c>
      <c r="AH54" s="239" t="s">
        <v>497</v>
      </c>
      <c r="AI54" s="141">
        <v>23</v>
      </c>
      <c r="AJ54" s="41">
        <v>15</v>
      </c>
      <c r="AK54" s="41">
        <v>8</v>
      </c>
      <c r="AL54" s="285">
        <v>23</v>
      </c>
      <c r="AM54" s="41">
        <v>10</v>
      </c>
      <c r="AN54" s="142">
        <v>13</v>
      </c>
      <c r="AO54" s="364">
        <v>4.9465922830894501E-2</v>
      </c>
      <c r="AP54" s="145">
        <f t="shared" ca="1" si="41"/>
        <v>0.86465757181245617</v>
      </c>
      <c r="AQ54" s="364">
        <v>4.29248284295305E-2</v>
      </c>
      <c r="AR54" s="145">
        <f t="shared" ca="1" si="151"/>
        <v>0.88578736225651467</v>
      </c>
      <c r="AS54" s="264">
        <f t="shared" si="172"/>
        <v>0.21761948003244691</v>
      </c>
      <c r="AT54" s="149">
        <f t="shared" si="42"/>
        <v>0.22016831636207002</v>
      </c>
      <c r="AU54" s="149">
        <f t="shared" si="4"/>
        <v>0.21730621995295127</v>
      </c>
      <c r="AV54" s="263">
        <f t="shared" ca="1" si="164"/>
        <v>0.21361388411728999</v>
      </c>
      <c r="AW54" s="150" t="str">
        <f t="shared" ca="1" si="173"/>
        <v/>
      </c>
      <c r="AX54" s="149">
        <f t="shared" ca="1" si="152"/>
        <v>4.0405098593977097E-2</v>
      </c>
      <c r="AY54" s="149">
        <f t="shared" ca="1" si="153"/>
        <v>2.163677349118907E-2</v>
      </c>
      <c r="AZ54" s="149">
        <f t="shared" ca="1" si="154"/>
        <v>1.0458924435774912E-2</v>
      </c>
      <c r="BA54" s="149">
        <f t="shared" ca="1" si="155"/>
        <v>1.0000000000000063E-4</v>
      </c>
      <c r="BB54" s="149">
        <f t="shared" ca="1" si="156"/>
        <v>1.0000000000000063E-4</v>
      </c>
      <c r="BC54" s="149">
        <f t="shared" ca="1" si="157"/>
        <v>1.0000000000000063E-4</v>
      </c>
      <c r="BD54" s="143">
        <f t="shared" ca="1" si="174"/>
        <v>0</v>
      </c>
      <c r="BE54" s="144">
        <f t="shared" ca="1" si="175"/>
        <v>0</v>
      </c>
      <c r="BF54" s="40">
        <f t="shared" si="176"/>
        <v>2004</v>
      </c>
      <c r="BG54" s="139">
        <f t="shared" si="177"/>
        <v>3</v>
      </c>
      <c r="BH54" s="140">
        <f t="shared" ca="1" si="178"/>
        <v>1043</v>
      </c>
      <c r="BI54" s="304">
        <f t="shared" ca="1" si="179"/>
        <v>2.8939082819986313</v>
      </c>
      <c r="BJ54" s="42">
        <f t="shared" ca="1" si="47"/>
        <v>2.9474749278338246</v>
      </c>
      <c r="BK54" s="42">
        <f t="shared" ca="1" si="180"/>
        <v>2.9502127786209567</v>
      </c>
      <c r="BL54" s="42">
        <f t="shared" ca="1" si="181"/>
        <v>2.9760438056125942</v>
      </c>
      <c r="BM54" s="285">
        <f t="shared" si="49"/>
        <v>23</v>
      </c>
      <c r="BN54" s="41">
        <f t="shared" si="50"/>
        <v>15</v>
      </c>
      <c r="BO54" s="41">
        <f t="shared" si="51"/>
        <v>8</v>
      </c>
      <c r="BP54" s="297" t="str">
        <f t="shared" ca="1" si="10"/>
        <v/>
      </c>
      <c r="BQ54" s="297" t="str">
        <f t="shared" ca="1" si="11"/>
        <v/>
      </c>
      <c r="BR54" s="299" t="str">
        <f t="shared" ca="1" si="12"/>
        <v/>
      </c>
      <c r="BS54" s="153" t="str">
        <f t="shared" ca="1" si="13"/>
        <v/>
      </c>
      <c r="BT54" s="153" t="str">
        <f t="shared" ca="1" si="14"/>
        <v/>
      </c>
      <c r="BU54" s="300" t="str">
        <f t="shared" ca="1" si="15"/>
        <v/>
      </c>
      <c r="BV54" s="301" t="str">
        <f t="shared" ca="1" si="16"/>
        <v/>
      </c>
      <c r="BW54" s="300" t="str">
        <f t="shared" ca="1" si="17"/>
        <v/>
      </c>
      <c r="BX54" s="301" t="str">
        <f t="shared" ca="1" si="18"/>
        <v/>
      </c>
      <c r="BY54" s="146" t="str">
        <f t="shared" ca="1" si="19"/>
        <v/>
      </c>
      <c r="BZ54" s="146" t="str">
        <f t="shared" ca="1" si="20"/>
        <v/>
      </c>
      <c r="CA54" s="146" t="str">
        <f t="shared" ca="1" si="21"/>
        <v/>
      </c>
      <c r="CB54" s="146" t="str">
        <f t="shared" ca="1" si="22"/>
        <v/>
      </c>
      <c r="CC54" s="302">
        <v>1</v>
      </c>
      <c r="CD54" s="154">
        <f ca="1">IF(BD54,_xll.xCrudeAPO(BS54,BT54,BY54,BZ54,S55,S56,BI54,BL54,BN54,BO54,0,Strike1,AO54,CC54,0,BL54,IF(OptControl=4,0,1),0,1),0)</f>
        <v>0</v>
      </c>
      <c r="CE54" s="155">
        <f ca="1">IF(BD54,_xll.xCrudeAPO(BS54,BT54,BY54,BZ54,S55,S56,BI54,BL54,BN54,BO54,0,Strike1,AO54,CC54,0,BL54,IF(OptControl=4,0,1),1,1)+_xll.xCrudeAPO(BS54,BT54,BY54,BZ54,S55,S56,BI54,BL54,BN54,BO54,0,Strike1,AO54,CC54,0,BL54,IF(OptControl=4,0,1),1,2)+IF(OR(VolSkewFlag=2,ABS(BQ54)&lt;0.0001),0,IF(BQ54&gt;0,-1,1)*CF54*Strike1/BP54^2*BW54/10%),0)</f>
        <v>0</v>
      </c>
      <c r="CF54" s="155">
        <f ca="1">IF(BD54,(_xll.xCrudeAPO(BS54,BT54,BY54,BZ54,S55,S56,BI54,BL54,BN54,BO54,0,Strike1,AO54,CC54,0,BL54,IF(OptControl=4,0,1),3,1)+_xll.xCrudeAPO(BS54,BT54,BY54,BZ54,S55,S56,BI54,BL54,BN54,BO54,0,Strike1,AO54,CC54,0,BL54,IF(OptControl=4,0,1),3,2))/100,0)</f>
        <v>0</v>
      </c>
      <c r="CG54" s="155">
        <f ca="1">IF(BD54,_xll.xCrudeAPO(BS54,BT54,BY54,BZ54,S55,S56,BI54-DaysForThetaCalculation/365.25,BL54-DaysForThetaCalculation/365.25,BN54,BO54,0,Strike1,AO54,CC54,0,BL54,IF(OptControl=4,0,1),0,1)-_xll.xCrudeAPO(BS54,BT54,BY54,BZ54,S55,S56,BI54,BL54,BN54,BO54,0,Strike1,AO54,CC54,0,BL54,IF(OptControl=4,0,1),0,1),0)</f>
        <v>0</v>
      </c>
      <c r="CH54" s="303">
        <f ca="1">IF(BD54,_xll.xCrudeAPO(BS54,BT54,CA54,CB54,S55,S56,BI54,BL54,BN54,BO54,0,Strike2,AO54,CC54,0,BL54,IF(OptControl=3,1,0),0,1),0)</f>
        <v>0</v>
      </c>
      <c r="CI54" s="155">
        <f ca="1">IF(BD54,_xll.xCrudeAPO(BS54,BT54,CA54,CB54,S55,S56,BI54,BL54,BN54,BO54,0,Strike2,AO54,CC54,0,BL54,IF(OptControl=3,1,0),1,1)+_xll.xCrudeAPO(BS54,BT54,CA54,CB54,S55,S56,BI54,BL54,BN54,BO54,0,Strike2,AO54,CC54,0,BL54,IF(OptControl=3,1,0),1,2)+IF(OR(VolSkewFlag=2,ABS(BR54)&lt;0.0001),0,IF(BR54&gt;0,-1,1)*CJ54*Strike2/BP54^2*BX54/10%),0)</f>
        <v>0</v>
      </c>
      <c r="CJ54" s="155">
        <f ca="1">IF(BD54,(_xll.xCrudeAPO(BS54,BT54,CA54,CB54,S55,S56,BI54,BL54,BN54,BO54,0,Strike2,AO54,CC54,0,BL54,IF(OptControl=3,1,0),3,1)+_xll.xCrudeAPO(BS54,BT54,CA54,CB54,S55,S56,BI54,BL54,BN54,BO54,0,Strike2,AO54,CC54,0,BL54,IF(OptControl=3,1,0),3,2))/100,0)</f>
        <v>0</v>
      </c>
      <c r="CK54" s="156">
        <f ca="1">IF(BD54,_xll.xCrudeAPO(BS54,BT54,CA54,CB54,S55,S56,BI54-DaysForThetaCalculation/365.25,BL54-DaysForThetaCalculation/365.25,BN54,BO54,0,Strike2,AO54,CC54,0,BL54,IF(OptControl=3,1,0),0,1)-_xll.xCrudeAPO(BS54,BT54,CA54,CB54,S55,S56,BI54,BL54,BN54,BO54,0,Strike2,AO54,CC54,0,BL54,IF(OptControl=3,1,0),0,1),0)</f>
        <v>0</v>
      </c>
      <c r="CL54" s="51"/>
      <c r="CM54" s="779" t="str">
        <f t="shared" ca="1" si="52"/>
        <v/>
      </c>
      <c r="CN54" s="783" t="str">
        <f t="shared" ca="1" si="53"/>
        <v/>
      </c>
      <c r="CO54" s="780" t="str">
        <f t="shared" ca="1" si="54"/>
        <v/>
      </c>
      <c r="CP54" s="780" t="str">
        <f t="shared" ca="1" si="55"/>
        <v/>
      </c>
      <c r="CQ54" s="780" t="str">
        <f t="shared" ca="1" si="56"/>
        <v/>
      </c>
      <c r="CR54" s="780" t="str">
        <f t="shared" ca="1" si="57"/>
        <v/>
      </c>
      <c r="CS54" s="781" t="str">
        <f t="shared" ca="1" si="58"/>
        <v/>
      </c>
      <c r="CT54" s="782" t="str">
        <f t="shared" ca="1" si="59"/>
        <v/>
      </c>
      <c r="CU54" s="782" t="str">
        <f t="shared" ca="1" si="60"/>
        <v/>
      </c>
      <c r="CV54" s="155">
        <f ca="1">IF(BD54,_xll.EURO(CN54,Strike1,AO54,AO54,CT54,CM54,IF(OptControl=4,0,1),0),0)</f>
        <v>0</v>
      </c>
      <c r="CW54" s="155">
        <f ca="1">IF(BD54,_xll.EURO(CN54,Strike1,AO54,AO54,CT54,CM54,IF(OptControl=4,0,1),1)+IF(OR(VolSkewFlag=2,ABS(CO54)&lt;0.0001),0,IF(CO54&gt;0,-1,1)*CX54*100*Strike1/CN54^2*CQ54/10%),0)</f>
        <v>0</v>
      </c>
      <c r="CX54" s="155">
        <f ca="1">IF(BD54,_xll.EURO(CN54,Strike1,AO54,AO54,CT54,CM54,IF(OptControl=4,0,1),3)/100,0)</f>
        <v>0</v>
      </c>
      <c r="CY54" s="155">
        <f ca="1">IF(BD54,_xll.EURO(CN54,Strike1,AO54,AO54,CT54,CM54,IF(OptControl=4,0,1),0)-_xll.EURO(CN54,Strike1,AO54,AO54,CT54,CM54-1,IF(OptControl=4,0,1),0),0)</f>
        <v>0</v>
      </c>
      <c r="CZ54" s="155">
        <f ca="1">IF(BD54,_xll.EURO(CN54,Strike2,AO54,AO54,CU54,CM54,IF(OptControl=3,1,0),0),0)</f>
        <v>0</v>
      </c>
      <c r="DA54" s="155">
        <f ca="1">IF(BD54,_xll.EURO(CN54,Strike2,AO54,AO54,CU54,CM54,IF(OptControl=3,1,0),1)+IF(OR(VolSkewFlag=2,ABS(CP54)&lt;0.0001),0,IF(CP54&gt;0,-1,1)*DB54*100*Strike2/CN54^2*CR54/10%),0)</f>
        <v>0</v>
      </c>
      <c r="DB54" s="155">
        <f ca="1">IF(BD54,_xll.EURO(CN54,Strike2,AO54,AO54,CU54,CM54,IF(OptControl=3,1,0),3)/100,0)</f>
        <v>0</v>
      </c>
      <c r="DC54" s="156">
        <f ca="1">IF(BD54,_xll.EURO(CN54,Strike2,AO54,AO54,CU54,CM54,IF(OptControl=3,1,0),0)-_xll.EURO(CN54,Strike2,AO54,AO54,CU54,CM54-1,IF(OptControl=3,1,0),0),0)</f>
        <v>0</v>
      </c>
      <c r="DE54" s="651">
        <f t="shared" ca="1" si="61"/>
        <v>37956</v>
      </c>
      <c r="DF54" s="465">
        <v>1E-4</v>
      </c>
      <c r="DG54" s="649">
        <v>1E-4</v>
      </c>
      <c r="DH54" s="650">
        <f t="shared" ca="1" si="182"/>
        <v>37956</v>
      </c>
      <c r="DI54" s="465">
        <v>1E-4</v>
      </c>
      <c r="DJ54" s="649">
        <v>1E-4</v>
      </c>
      <c r="DK54" s="651">
        <f t="shared" ca="1" si="183"/>
        <v>37956</v>
      </c>
      <c r="DL54" s="652">
        <f t="shared" si="184"/>
        <v>5.0100000000000006E-2</v>
      </c>
      <c r="DM54" s="651">
        <f t="shared" ca="1" si="62"/>
        <v>37956</v>
      </c>
      <c r="DN54" s="563">
        <f t="shared" si="63"/>
        <v>-0.12990000000000002</v>
      </c>
      <c r="DO54" s="803">
        <v>-0.13</v>
      </c>
      <c r="DP54" s="650">
        <f t="shared" ca="1" si="185"/>
        <v>37956</v>
      </c>
      <c r="DQ54" s="653">
        <v>1E-4</v>
      </c>
      <c r="DR54" s="590">
        <v>1E-4</v>
      </c>
      <c r="DS54" s="650">
        <f t="shared" ca="1" si="186"/>
        <v>37956</v>
      </c>
      <c r="DT54" s="653">
        <v>1E-4</v>
      </c>
      <c r="DU54" s="590">
        <v>1E-4</v>
      </c>
      <c r="DV54" s="651">
        <f t="shared" ca="1" si="187"/>
        <v>37956</v>
      </c>
      <c r="DW54" s="590">
        <v>1E-4</v>
      </c>
      <c r="DX54" s="651">
        <f t="shared" ca="1" si="64"/>
        <v>37956</v>
      </c>
      <c r="DY54" s="590">
        <f t="shared" si="65"/>
        <v>1E-4</v>
      </c>
      <c r="DZ54" s="1"/>
      <c r="EA54" s="863" t="e">
        <f ca="1">_xll.ASN(X54,X54,AO54,AS54,0,AI54,0,BI54,BL54,1,0)</f>
        <v>#NAME?</v>
      </c>
      <c r="EB54" s="653" t="e">
        <f ca="1">_xll.ASN(X54,X54,AO54,AS54,0,AI54,0,BI54,BL54,1,3)/100</f>
        <v>#NAME?</v>
      </c>
      <c r="EC54" s="653" t="e">
        <f ca="1">_xll.xCrudeAPO(L55,L56,O55,O56,S55,S56,BI54,BL54,AJ54,AK54,0,X54,AO54,1,0,+BL54,1,0,1)</f>
        <v>#NAME?</v>
      </c>
      <c r="ED54" s="869" t="e">
        <f t="shared" ca="1" si="165"/>
        <v>#NAME?</v>
      </c>
      <c r="EE54" s="863" t="e">
        <f t="shared" ca="1" si="29"/>
        <v>#NAME?</v>
      </c>
      <c r="EF54" s="590" t="e">
        <f t="shared" ca="1" si="30"/>
        <v>#NAME?</v>
      </c>
      <c r="EG54" s="862" t="str">
        <f t="shared" ca="1" si="188"/>
        <v/>
      </c>
      <c r="EH54" s="114" t="str">
        <f t="shared" ca="1" si="32"/>
        <v/>
      </c>
      <c r="EI54" s="109" t="str">
        <f t="shared" ca="1" si="33"/>
        <v/>
      </c>
      <c r="EJ54" s="115">
        <f ca="1">IF(BD54,_xll.xASN(BP54,Strike1,AO54,EH54,0,BM54,0,BI54,BL54,IF(OptControl=4,0,1),0),0)</f>
        <v>0</v>
      </c>
      <c r="EK54" s="108">
        <f ca="1">IF(BD54,_xll.xASN(BP54,Strike2,AO54,EI54,0,BM54,0,BI54,BL54,IF(OptControl=3,1,0),0),0)</f>
        <v>0</v>
      </c>
      <c r="EM54" s="473" t="e">
        <f>[1]!'CLc35 MTH'</f>
        <v>#REF!</v>
      </c>
      <c r="EN54" s="474" t="e">
        <f t="shared" si="158"/>
        <v>#REF!</v>
      </c>
      <c r="EO54" s="475" t="e">
        <f>[1]!'CLc35 NET.CHNG'</f>
        <v>#REF!</v>
      </c>
      <c r="EP54" s="476">
        <f t="shared" si="159"/>
        <v>0</v>
      </c>
      <c r="EQ54" s="1"/>
      <c r="ER54" s="681">
        <v>39814</v>
      </c>
      <c r="ES54" s="682">
        <v>42736</v>
      </c>
      <c r="ET54" s="1"/>
      <c r="EU54" s="667" t="s">
        <v>240</v>
      </c>
      <c r="EW54" s="488">
        <v>35</v>
      </c>
      <c r="EX54" s="466">
        <f t="shared" ca="1" si="166"/>
        <v>2.8555783709787819</v>
      </c>
      <c r="EY54" s="824">
        <f t="shared" ca="1" si="189"/>
        <v>0.13842155590276803</v>
      </c>
      <c r="EZ54" s="798">
        <f t="shared" ca="1" si="269"/>
        <v>0.22383843754499788</v>
      </c>
      <c r="FA54" s="468" t="str">
        <f t="shared" ca="1" si="270"/>
        <v/>
      </c>
      <c r="FB54" s="467" t="str">
        <f t="shared" ca="1" si="271"/>
        <v/>
      </c>
      <c r="FC54" s="242">
        <v>0</v>
      </c>
      <c r="FD54" s="589" t="str">
        <f ca="1">IF(OR(FA54="",FA55=""),"",SQRT(SUM(INDEX(FO54:IH54,SwaptionFirstMonthPosition+1):INDEX(FO54:IH54,FN54))/SUM(INDEX($FO$15:$IH$15,SwaptionFirstMonthPosition+1):INDEX($FO$15:$IH$15,FN54))))</f>
        <v/>
      </c>
      <c r="FE54" s="565" t="str">
        <f ca="1">IF(OR(FA54="",FA53=""),"",SQRT(SUM(INDEX(FO54:IH54,SwaptionFirstMonthPosition+1):INDEX(FO54:IH54,FN54-1))/SUM(INDEX($FO$15:$IH$15,SwaptionFirstMonthPosition+1):INDEX($FO$15:$IH$15,FN54-1))))</f>
        <v/>
      </c>
      <c r="FF54" s="562" t="str">
        <f t="shared" ca="1" si="190"/>
        <v/>
      </c>
      <c r="FG54" s="593" t="str">
        <f t="shared" ca="1" si="191"/>
        <v/>
      </c>
      <c r="FH54" s="563" t="str">
        <f t="shared" ca="1" si="192"/>
        <v/>
      </c>
      <c r="FI54" s="563" t="str">
        <f t="shared" ca="1" si="193"/>
        <v/>
      </c>
      <c r="FJ54" s="563" t="str">
        <f t="shared" ca="1" si="194"/>
        <v/>
      </c>
      <c r="FK54" s="564" t="str">
        <f t="shared" ca="1" si="195"/>
        <v/>
      </c>
      <c r="FL54" s="590" t="str">
        <f t="shared" ca="1" si="196"/>
        <v/>
      </c>
      <c r="FM54" s="242"/>
      <c r="FN54" s="657">
        <v>35</v>
      </c>
      <c r="FO54" s="450">
        <f t="shared" ca="1" si="197"/>
        <v>6.8175649555702992E-4</v>
      </c>
      <c r="FP54" s="450">
        <f t="shared" ca="1" si="198"/>
        <v>2.567495288764798E-3</v>
      </c>
      <c r="FQ54" s="450">
        <f t="shared" ca="1" si="199"/>
        <v>2.4888946598796212E-3</v>
      </c>
      <c r="FR54" s="450">
        <f t="shared" ca="1" si="200"/>
        <v>2.755805112567919E-3</v>
      </c>
      <c r="FS54" s="450">
        <f t="shared" ca="1" si="201"/>
        <v>2.5942312536358994E-3</v>
      </c>
      <c r="FT54" s="450">
        <f t="shared" ca="1" si="202"/>
        <v>2.7807216348359376E-3</v>
      </c>
      <c r="FU54" s="450">
        <f t="shared" ca="1" si="203"/>
        <v>2.621899464547986E-3</v>
      </c>
      <c r="FV54" s="450">
        <f t="shared" ca="1" si="204"/>
        <v>2.4634695660219774E-3</v>
      </c>
      <c r="FW54" s="450">
        <f t="shared" ca="1" si="205"/>
        <v>2.6598460892514114E-3</v>
      </c>
      <c r="FX54" s="450">
        <f t="shared" ca="1" si="206"/>
        <v>2.9518655444600145E-3</v>
      </c>
      <c r="FY54" s="450">
        <f t="shared" ca="1" si="207"/>
        <v>2.6205023669717597E-3</v>
      </c>
      <c r="FZ54" s="450">
        <f t="shared" ca="1" si="208"/>
        <v>2.6509808007394884E-3</v>
      </c>
      <c r="GA54" s="450">
        <f t="shared" ca="1" si="209"/>
        <v>3.0565481589730071E-3</v>
      </c>
      <c r="GB54" s="450">
        <f t="shared" ca="1" si="210"/>
        <v>2.7263849345710465E-3</v>
      </c>
      <c r="GC54" s="450">
        <f t="shared" ca="1" si="211"/>
        <v>3.0595632927563352E-3</v>
      </c>
      <c r="GD54" s="450">
        <f t="shared" ca="1" si="212"/>
        <v>2.9234423500811356E-3</v>
      </c>
      <c r="GE54" s="450">
        <f t="shared" ca="1" si="213"/>
        <v>2.8872525005260862E-3</v>
      </c>
      <c r="GF54" s="450">
        <f t="shared" ca="1" si="214"/>
        <v>3.3657541215726212E-3</v>
      </c>
      <c r="GG54" s="450">
        <f t="shared" ca="1" si="215"/>
        <v>3.1439234897254436E-3</v>
      </c>
      <c r="GH54" s="450">
        <f t="shared" ca="1" si="216"/>
        <v>3.1331383206663782E-3</v>
      </c>
      <c r="GI54" s="450">
        <f t="shared" ca="1" si="217"/>
        <v>3.4656784072685121E-3</v>
      </c>
      <c r="GJ54" s="450">
        <f t="shared" ca="1" si="218"/>
        <v>3.6010795782588606E-3</v>
      </c>
      <c r="GK54" s="450">
        <f t="shared" ca="1" si="219"/>
        <v>3.759103400803035E-3</v>
      </c>
      <c r="GL54" s="450">
        <f t="shared" ca="1" si="220"/>
        <v>3.5626413922808806E-3</v>
      </c>
      <c r="GM54" s="450">
        <f t="shared" ca="1" si="221"/>
        <v>4.1626378853503289E-3</v>
      </c>
      <c r="GN54" s="450">
        <f t="shared" ca="1" si="222"/>
        <v>4.2787434574067928E-3</v>
      </c>
      <c r="GO54" s="450">
        <f t="shared" ca="1" si="223"/>
        <v>4.7301036469752245E-3</v>
      </c>
      <c r="GP54" s="450">
        <f t="shared" ca="1" si="224"/>
        <v>4.9367702066327838E-3</v>
      </c>
      <c r="GQ54" s="450">
        <f t="shared" ca="1" si="225"/>
        <v>5.5515690665479426E-3</v>
      </c>
      <c r="GR54" s="450">
        <f t="shared" ca="1" si="226"/>
        <v>6.1030107898241296E-3</v>
      </c>
      <c r="GS54" s="450">
        <f t="shared" ca="1" si="227"/>
        <v>6.5670171568215667E-3</v>
      </c>
      <c r="GT54" s="450">
        <f t="shared" ca="1" si="228"/>
        <v>7.6422812037201387E-3</v>
      </c>
      <c r="GU54" s="450">
        <f t="shared" ca="1" si="229"/>
        <v>8.4498072863725508E-3</v>
      </c>
      <c r="GV54" s="450">
        <f t="shared" ca="1" si="230"/>
        <v>1.013915239088988E-2</v>
      </c>
      <c r="GW54" s="450">
        <f t="shared" ca="1" si="231"/>
        <v>1.1991816859572742E-2</v>
      </c>
      <c r="GX54" s="450" t="str">
        <f t="shared" si="232"/>
        <v/>
      </c>
      <c r="GY54" s="450" t="str">
        <f t="shared" si="233"/>
        <v/>
      </c>
      <c r="GZ54" s="450" t="str">
        <f t="shared" si="234"/>
        <v/>
      </c>
      <c r="HA54" s="450" t="str">
        <f t="shared" si="235"/>
        <v/>
      </c>
      <c r="HB54" s="450" t="str">
        <f t="shared" si="236"/>
        <v/>
      </c>
      <c r="HC54" s="450" t="str">
        <f t="shared" si="237"/>
        <v/>
      </c>
      <c r="HD54" s="450" t="str">
        <f t="shared" si="238"/>
        <v/>
      </c>
      <c r="HE54" s="450" t="str">
        <f t="shared" si="239"/>
        <v/>
      </c>
      <c r="HF54" s="450" t="str">
        <f t="shared" si="240"/>
        <v/>
      </c>
      <c r="HG54" s="450" t="str">
        <f t="shared" si="241"/>
        <v/>
      </c>
      <c r="HH54" s="450" t="str">
        <f t="shared" si="242"/>
        <v/>
      </c>
      <c r="HI54" s="450" t="str">
        <f t="shared" si="243"/>
        <v/>
      </c>
      <c r="HJ54" s="450" t="str">
        <f t="shared" si="244"/>
        <v/>
      </c>
      <c r="HK54" s="450" t="str">
        <f t="shared" si="245"/>
        <v/>
      </c>
      <c r="HL54" s="450" t="str">
        <f t="shared" si="246"/>
        <v/>
      </c>
      <c r="HM54" s="450" t="str">
        <f t="shared" si="247"/>
        <v/>
      </c>
      <c r="HN54" s="450" t="str">
        <f t="shared" si="248"/>
        <v/>
      </c>
      <c r="HO54" s="450" t="str">
        <f t="shared" si="249"/>
        <v/>
      </c>
      <c r="HP54" s="450" t="str">
        <f t="shared" si="250"/>
        <v/>
      </c>
      <c r="HQ54" s="450" t="str">
        <f t="shared" si="251"/>
        <v/>
      </c>
      <c r="HR54" s="450" t="str">
        <f t="shared" si="252"/>
        <v/>
      </c>
      <c r="HS54" s="450" t="str">
        <f t="shared" si="253"/>
        <v/>
      </c>
      <c r="HT54" s="450" t="str">
        <f t="shared" si="254"/>
        <v/>
      </c>
      <c r="HU54" s="450" t="str">
        <f t="shared" si="255"/>
        <v/>
      </c>
      <c r="HV54" s="450" t="str">
        <f t="shared" si="256"/>
        <v/>
      </c>
      <c r="HW54" s="450" t="str">
        <f t="shared" si="257"/>
        <v/>
      </c>
      <c r="HX54" s="450" t="str">
        <f t="shared" si="258"/>
        <v/>
      </c>
      <c r="HY54" s="450" t="str">
        <f t="shared" si="259"/>
        <v/>
      </c>
      <c r="HZ54" s="450" t="str">
        <f t="shared" si="260"/>
        <v/>
      </c>
      <c r="IA54" s="450" t="str">
        <f t="shared" si="261"/>
        <v/>
      </c>
      <c r="IB54" s="450" t="str">
        <f t="shared" si="262"/>
        <v/>
      </c>
      <c r="IC54" s="450" t="str">
        <f t="shared" si="263"/>
        <v/>
      </c>
      <c r="ID54" s="450" t="str">
        <f t="shared" si="264"/>
        <v/>
      </c>
      <c r="IE54" s="450" t="str">
        <f t="shared" si="265"/>
        <v/>
      </c>
      <c r="IF54" s="450" t="str">
        <f t="shared" si="266"/>
        <v/>
      </c>
      <c r="IG54" s="450" t="str">
        <f t="shared" si="267"/>
        <v/>
      </c>
      <c r="IH54" s="658" t="str">
        <f t="shared" si="268"/>
        <v/>
      </c>
      <c r="II54" s="242"/>
    </row>
    <row r="55" spans="1:243">
      <c r="A55" s="49"/>
      <c r="B55" s="49"/>
      <c r="C55" s="49"/>
      <c r="D55" s="49"/>
      <c r="E55" s="49"/>
      <c r="F55" s="49"/>
      <c r="G55" s="49"/>
      <c r="H55" s="49" t="e">
        <f t="shared" ca="1" si="34"/>
        <v>#N/A</v>
      </c>
      <c r="I55" s="369">
        <f t="shared" si="35"/>
        <v>38078</v>
      </c>
      <c r="J55" s="367">
        <v>22.516666666666701</v>
      </c>
      <c r="K55" s="101" t="s">
        <v>268</v>
      </c>
      <c r="L55" s="382">
        <f t="shared" si="36"/>
        <v>22.516666666666666</v>
      </c>
      <c r="M55" s="163">
        <v>0.21812069615963997</v>
      </c>
      <c r="N55" s="372">
        <v>0</v>
      </c>
      <c r="O55" s="163">
        <f t="shared" si="37"/>
        <v>0.21812069615963997</v>
      </c>
      <c r="P55" s="367">
        <v>21.3468826388889</v>
      </c>
      <c r="Q55" s="101" t="s">
        <v>267</v>
      </c>
      <c r="R55" s="367">
        <f t="shared" ca="1" si="147"/>
        <v>21.346882638888889</v>
      </c>
      <c r="S55" s="814">
        <f t="shared" si="163"/>
        <v>0.37552766136361471</v>
      </c>
      <c r="T55" s="813">
        <f t="shared" si="148"/>
        <v>0.99804377616041584</v>
      </c>
      <c r="U55" s="532">
        <f t="shared" si="149"/>
        <v>0.99999936432449343</v>
      </c>
      <c r="V55" s="379">
        <v>0</v>
      </c>
      <c r="W55" s="424">
        <f t="shared" si="168"/>
        <v>22.474621212121193</v>
      </c>
      <c r="X55" s="405">
        <f t="shared" si="169"/>
        <v>22.474621212121214</v>
      </c>
      <c r="Y55" s="313">
        <f t="shared" si="170"/>
        <v>21.130621212121191</v>
      </c>
      <c r="Z55" s="313">
        <f t="shared" ca="1" si="171"/>
        <v>21.130621212121213</v>
      </c>
      <c r="AA55" s="419">
        <f t="shared" si="1"/>
        <v>1.3440000000000001</v>
      </c>
      <c r="AB55" s="423">
        <f t="shared" ca="1" si="2"/>
        <v>1.3440000000000001</v>
      </c>
      <c r="AC55" s="218">
        <v>38066</v>
      </c>
      <c r="AD55" s="221">
        <v>38062</v>
      </c>
      <c r="AE55" s="221">
        <v>38061</v>
      </c>
      <c r="AF55" s="221">
        <v>38057</v>
      </c>
      <c r="AG55" s="241" t="s">
        <v>90</v>
      </c>
      <c r="AH55" s="239" t="s">
        <v>497</v>
      </c>
      <c r="AI55" s="141">
        <v>22</v>
      </c>
      <c r="AJ55" s="41">
        <v>14</v>
      </c>
      <c r="AK55" s="41">
        <v>8</v>
      </c>
      <c r="AL55" s="285">
        <v>22</v>
      </c>
      <c r="AM55" s="41">
        <v>10</v>
      </c>
      <c r="AN55" s="142">
        <v>12</v>
      </c>
      <c r="AO55" s="364">
        <v>4.9686316803379406E-2</v>
      </c>
      <c r="AP55" s="145">
        <f t="shared" ca="1" si="41"/>
        <v>0.86062801926152688</v>
      </c>
      <c r="AQ55" s="364">
        <v>4.31070192932137E-2</v>
      </c>
      <c r="AR55" s="145">
        <f t="shared" ca="1" si="151"/>
        <v>0.88234345423078397</v>
      </c>
      <c r="AS55" s="264">
        <f t="shared" si="172"/>
        <v>0.21614789382737454</v>
      </c>
      <c r="AT55" s="149">
        <f t="shared" si="42"/>
        <v>0.21812069615963997</v>
      </c>
      <c r="AU55" s="149">
        <f t="shared" si="4"/>
        <v>0.2158819908440818</v>
      </c>
      <c r="AV55" s="263">
        <f t="shared" ca="1" si="164"/>
        <v>0.21208128637287796</v>
      </c>
      <c r="AW55" s="150" t="str">
        <f t="shared" ca="1" si="173"/>
        <v/>
      </c>
      <c r="AX55" s="149">
        <f t="shared" ca="1" si="152"/>
        <v>3.9837479133085406E-2</v>
      </c>
      <c r="AY55" s="149">
        <f t="shared" ca="1" si="153"/>
        <v>2.1264494011969334E-2</v>
      </c>
      <c r="AZ55" s="149">
        <f t="shared" ca="1" si="154"/>
        <v>1.0334275918973719E-2</v>
      </c>
      <c r="BA55" s="149">
        <f t="shared" ca="1" si="155"/>
        <v>1.0000000000000067E-4</v>
      </c>
      <c r="BB55" s="149">
        <f t="shared" ca="1" si="156"/>
        <v>1.0000000000000067E-4</v>
      </c>
      <c r="BC55" s="149">
        <f t="shared" ca="1" si="157"/>
        <v>1.0000000000000067E-4</v>
      </c>
      <c r="BD55" s="143">
        <f t="shared" ca="1" si="174"/>
        <v>0</v>
      </c>
      <c r="BE55" s="144">
        <f t="shared" ca="1" si="175"/>
        <v>0</v>
      </c>
      <c r="BF55" s="40">
        <f t="shared" si="176"/>
        <v>2004</v>
      </c>
      <c r="BG55" s="139">
        <f t="shared" si="177"/>
        <v>4</v>
      </c>
      <c r="BH55" s="140">
        <f t="shared" ca="1" si="178"/>
        <v>1072</v>
      </c>
      <c r="BI55" s="304">
        <f t="shared" ca="1" si="179"/>
        <v>2.9787816563997263</v>
      </c>
      <c r="BJ55" s="42">
        <f t="shared" ca="1" si="47"/>
        <v>3.0293074481986184</v>
      </c>
      <c r="BK55" s="42">
        <f t="shared" ca="1" si="180"/>
        <v>3.0320452989857505</v>
      </c>
      <c r="BL55" s="42">
        <f t="shared" ca="1" si="181"/>
        <v>3.0581793292265571</v>
      </c>
      <c r="BM55" s="285">
        <f t="shared" si="49"/>
        <v>22</v>
      </c>
      <c r="BN55" s="41">
        <f t="shared" si="50"/>
        <v>14</v>
      </c>
      <c r="BO55" s="41">
        <f t="shared" si="51"/>
        <v>8</v>
      </c>
      <c r="BP55" s="297" t="str">
        <f t="shared" ca="1" si="10"/>
        <v/>
      </c>
      <c r="BQ55" s="297" t="str">
        <f t="shared" ca="1" si="11"/>
        <v/>
      </c>
      <c r="BR55" s="299" t="str">
        <f t="shared" ca="1" si="12"/>
        <v/>
      </c>
      <c r="BS55" s="153" t="str">
        <f t="shared" ca="1" si="13"/>
        <v/>
      </c>
      <c r="BT55" s="153" t="str">
        <f t="shared" ca="1" si="14"/>
        <v/>
      </c>
      <c r="BU55" s="300" t="str">
        <f t="shared" ca="1" si="15"/>
        <v/>
      </c>
      <c r="BV55" s="301" t="str">
        <f t="shared" ca="1" si="16"/>
        <v/>
      </c>
      <c r="BW55" s="300" t="str">
        <f t="shared" ca="1" si="17"/>
        <v/>
      </c>
      <c r="BX55" s="301" t="str">
        <f t="shared" ca="1" si="18"/>
        <v/>
      </c>
      <c r="BY55" s="146" t="str">
        <f t="shared" ca="1" si="19"/>
        <v/>
      </c>
      <c r="BZ55" s="146" t="str">
        <f t="shared" ca="1" si="20"/>
        <v/>
      </c>
      <c r="CA55" s="146" t="str">
        <f t="shared" ca="1" si="21"/>
        <v/>
      </c>
      <c r="CB55" s="146" t="str">
        <f t="shared" ca="1" si="22"/>
        <v/>
      </c>
      <c r="CC55" s="302">
        <v>1</v>
      </c>
      <c r="CD55" s="154">
        <f ca="1">IF(BD55,_xll.xCrudeAPO(BS55,BT55,BY55,BZ55,S56,S57,BI55,BL55,BN55,BO55,0,Strike1,AO55,CC55,0,BL55,IF(OptControl=4,0,1),0,1),0)</f>
        <v>0</v>
      </c>
      <c r="CE55" s="155">
        <f ca="1">IF(BD55,_xll.xCrudeAPO(BS55,BT55,BY55,BZ55,S56,S57,BI55,BL55,BN55,BO55,0,Strike1,AO55,CC55,0,BL55,IF(OptControl=4,0,1),1,1)+_xll.xCrudeAPO(BS55,BT55,BY55,BZ55,S56,S57,BI55,BL55,BN55,BO55,0,Strike1,AO55,CC55,0,BL55,IF(OptControl=4,0,1),1,2)+IF(OR(VolSkewFlag=2,ABS(BQ55)&lt;0.0001),0,IF(BQ55&gt;0,-1,1)*CF55*Strike1/BP55^2*BW55/10%),0)</f>
        <v>0</v>
      </c>
      <c r="CF55" s="155">
        <f ca="1">IF(BD55,(_xll.xCrudeAPO(BS55,BT55,BY55,BZ55,S56,S57,BI55,BL55,BN55,BO55,0,Strike1,AO55,CC55,0,BL55,IF(OptControl=4,0,1),3,1)+_xll.xCrudeAPO(BS55,BT55,BY55,BZ55,S56,S57,BI55,BL55,BN55,BO55,0,Strike1,AO55,CC55,0,BL55,IF(OptControl=4,0,1),3,2))/100,0)</f>
        <v>0</v>
      </c>
      <c r="CG55" s="155">
        <f ca="1">IF(BD55,_xll.xCrudeAPO(BS55,BT55,BY55,BZ55,S56,S57,BI55-DaysForThetaCalculation/365.25,BL55-DaysForThetaCalculation/365.25,BN55,BO55,0,Strike1,AO55,CC55,0,BL55,IF(OptControl=4,0,1),0,1)-_xll.xCrudeAPO(BS55,BT55,BY55,BZ55,S56,S57,BI55,BL55,BN55,BO55,0,Strike1,AO55,CC55,0,BL55,IF(OptControl=4,0,1),0,1),0)</f>
        <v>0</v>
      </c>
      <c r="CH55" s="303">
        <f ca="1">IF(BD55,_xll.xCrudeAPO(BS55,BT55,CA55,CB55,S56,S57,BI55,BL55,BN55,BO55,0,Strike2,AO55,CC55,0,BL55,IF(OptControl=3,1,0),0,1),0)</f>
        <v>0</v>
      </c>
      <c r="CI55" s="155">
        <f ca="1">IF(BD55,_xll.xCrudeAPO(BS55,BT55,CA55,CB55,S56,S57,BI55,BL55,BN55,BO55,0,Strike2,AO55,CC55,0,BL55,IF(OptControl=3,1,0),1,1)+_xll.xCrudeAPO(BS55,BT55,CA55,CB55,S56,S57,BI55,BL55,BN55,BO55,0,Strike2,AO55,CC55,0,BL55,IF(OptControl=3,1,0),1,2)+IF(OR(VolSkewFlag=2,ABS(BR55)&lt;0.0001),0,IF(BR55&gt;0,-1,1)*CJ55*Strike2/BP55^2*BX55/10%),0)</f>
        <v>0</v>
      </c>
      <c r="CJ55" s="155">
        <f ca="1">IF(BD55,(_xll.xCrudeAPO(BS55,BT55,CA55,CB55,S56,S57,BI55,BL55,BN55,BO55,0,Strike2,AO55,CC55,0,BL55,IF(OptControl=3,1,0),3,1)+_xll.xCrudeAPO(BS55,BT55,CA55,CB55,S56,S57,BI55,BL55,BN55,BO55,0,Strike2,AO55,CC55,0,BL55,IF(OptControl=3,1,0),3,2))/100,0)</f>
        <v>0</v>
      </c>
      <c r="CK55" s="156">
        <f ca="1">IF(BD55,_xll.xCrudeAPO(BS55,BT55,CA55,CB55,S56,S57,BI55-DaysForThetaCalculation/365.25,BL55-DaysForThetaCalculation/365.25,BN55,BO55,0,Strike2,AO55,CC55,0,BL55,IF(OptControl=3,1,0),0,1)-_xll.xCrudeAPO(BS55,BT55,CA55,CB55,S56,S57,BI55,BL55,BN55,BO55,0,Strike2,AO55,CC55,0,BL55,IF(OptControl=3,1,0),0,1),0)</f>
        <v>0</v>
      </c>
      <c r="CL55" s="51"/>
      <c r="CM55" s="779" t="str">
        <f t="shared" ca="1" si="52"/>
        <v/>
      </c>
      <c r="CN55" s="783" t="str">
        <f t="shared" ca="1" si="53"/>
        <v/>
      </c>
      <c r="CO55" s="780" t="str">
        <f t="shared" ca="1" si="54"/>
        <v/>
      </c>
      <c r="CP55" s="780" t="str">
        <f t="shared" ca="1" si="55"/>
        <v/>
      </c>
      <c r="CQ55" s="780" t="str">
        <f t="shared" ca="1" si="56"/>
        <v/>
      </c>
      <c r="CR55" s="780" t="str">
        <f t="shared" ca="1" si="57"/>
        <v/>
      </c>
      <c r="CS55" s="781" t="str">
        <f t="shared" ca="1" si="58"/>
        <v/>
      </c>
      <c r="CT55" s="782" t="str">
        <f t="shared" ca="1" si="59"/>
        <v/>
      </c>
      <c r="CU55" s="782" t="str">
        <f t="shared" ca="1" si="60"/>
        <v/>
      </c>
      <c r="CV55" s="155">
        <f ca="1">IF(BD55,_xll.EURO(CN55,Strike1,AO55,AO55,CT55,CM55,IF(OptControl=4,0,1),0),0)</f>
        <v>0</v>
      </c>
      <c r="CW55" s="155">
        <f ca="1">IF(BD55,_xll.EURO(CN55,Strike1,AO55,AO55,CT55,CM55,IF(OptControl=4,0,1),1)+IF(OR(VolSkewFlag=2,ABS(CO55)&lt;0.0001),0,IF(CO55&gt;0,-1,1)*CX55*100*Strike1/CN55^2*CQ55/10%),0)</f>
        <v>0</v>
      </c>
      <c r="CX55" s="155">
        <f ca="1">IF(BD55,_xll.EURO(CN55,Strike1,AO55,AO55,CT55,CM55,IF(OptControl=4,0,1),3)/100,0)</f>
        <v>0</v>
      </c>
      <c r="CY55" s="155">
        <f ca="1">IF(BD55,_xll.EURO(CN55,Strike1,AO55,AO55,CT55,CM55,IF(OptControl=4,0,1),0)-_xll.EURO(CN55,Strike1,AO55,AO55,CT55,CM55-1,IF(OptControl=4,0,1),0),0)</f>
        <v>0</v>
      </c>
      <c r="CZ55" s="155">
        <f ca="1">IF(BD55,_xll.EURO(CN55,Strike2,AO55,AO55,CU55,CM55,IF(OptControl=3,1,0),0),0)</f>
        <v>0</v>
      </c>
      <c r="DA55" s="155">
        <f ca="1">IF(BD55,_xll.EURO(CN55,Strike2,AO55,AO55,CU55,CM55,IF(OptControl=3,1,0),1)+IF(OR(VolSkewFlag=2,ABS(CP55)&lt;0.0001),0,IF(CP55&gt;0,-1,1)*DB55*100*Strike2/CN55^2*CR55/10%),0)</f>
        <v>0</v>
      </c>
      <c r="DB55" s="155">
        <f ca="1">IF(BD55,_xll.EURO(CN55,Strike2,AO55,AO55,CU55,CM55,IF(OptControl=3,1,0),3)/100,0)</f>
        <v>0</v>
      </c>
      <c r="DC55" s="156">
        <f ca="1">IF(BD55,_xll.EURO(CN55,Strike2,AO55,AO55,CU55,CM55,IF(OptControl=3,1,0),0)-_xll.EURO(CN55,Strike2,AO55,AO55,CU55,CM55-1,IF(OptControl=3,1,0),0),0)</f>
        <v>0</v>
      </c>
      <c r="DE55" s="651">
        <f t="shared" ca="1" si="61"/>
        <v>37987</v>
      </c>
      <c r="DF55" s="465">
        <v>1E-4</v>
      </c>
      <c r="DG55" s="649">
        <v>1E-4</v>
      </c>
      <c r="DH55" s="650">
        <f t="shared" ca="1" si="182"/>
        <v>37987</v>
      </c>
      <c r="DI55" s="465">
        <v>1E-4</v>
      </c>
      <c r="DJ55" s="649">
        <v>1E-4</v>
      </c>
      <c r="DK55" s="651">
        <f t="shared" ca="1" si="183"/>
        <v>37987</v>
      </c>
      <c r="DL55" s="652">
        <f t="shared" si="184"/>
        <v>5.0100000000000006E-2</v>
      </c>
      <c r="DM55" s="651">
        <f t="shared" ca="1" si="62"/>
        <v>37987</v>
      </c>
      <c r="DN55" s="563">
        <f t="shared" si="63"/>
        <v>-0.12990000000000002</v>
      </c>
      <c r="DO55" s="803">
        <v>-0.13</v>
      </c>
      <c r="DP55" s="650">
        <f t="shared" ca="1" si="185"/>
        <v>37987</v>
      </c>
      <c r="DQ55" s="653">
        <v>1E-4</v>
      </c>
      <c r="DR55" s="590">
        <v>1E-4</v>
      </c>
      <c r="DS55" s="650">
        <f t="shared" ca="1" si="186"/>
        <v>37987</v>
      </c>
      <c r="DT55" s="653">
        <v>1E-4</v>
      </c>
      <c r="DU55" s="590">
        <v>1E-4</v>
      </c>
      <c r="DV55" s="651">
        <f t="shared" ca="1" si="187"/>
        <v>37987</v>
      </c>
      <c r="DW55" s="590">
        <v>1E-4</v>
      </c>
      <c r="DX55" s="651">
        <f t="shared" ca="1" si="64"/>
        <v>37987</v>
      </c>
      <c r="DY55" s="590">
        <f t="shared" si="65"/>
        <v>1E-4</v>
      </c>
      <c r="DZ55" s="1"/>
      <c r="EA55" s="863" t="e">
        <f ca="1">_xll.ASN(X55,X55,AO55,AS55,0,AI55,0,BI55,BL55,1,0)</f>
        <v>#NAME?</v>
      </c>
      <c r="EB55" s="653" t="e">
        <f ca="1">_xll.ASN(X55,X55,AO55,AS55,0,AI55,0,BI55,BL55,1,3)/100</f>
        <v>#NAME?</v>
      </c>
      <c r="EC55" s="653" t="e">
        <f ca="1">_xll.xCrudeAPO(L56,L57,O56,O57,S56,S57,BI55,BL55,AJ55,AK55,0,X55,AO55,1,0,+BL55,1,0,1)</f>
        <v>#NAME?</v>
      </c>
      <c r="ED55" s="869" t="e">
        <f t="shared" ca="1" si="165"/>
        <v>#NAME?</v>
      </c>
      <c r="EE55" s="863" t="e">
        <f t="shared" ca="1" si="29"/>
        <v>#NAME?</v>
      </c>
      <c r="EF55" s="590" t="e">
        <f t="shared" ca="1" si="30"/>
        <v>#NAME?</v>
      </c>
      <c r="EG55" s="862" t="str">
        <f t="shared" ca="1" si="188"/>
        <v/>
      </c>
      <c r="EH55" s="114" t="str">
        <f t="shared" ca="1" si="32"/>
        <v/>
      </c>
      <c r="EI55" s="109" t="str">
        <f t="shared" ca="1" si="33"/>
        <v/>
      </c>
      <c r="EJ55" s="115">
        <f ca="1">IF(BD55,_xll.xASN(BP55,Strike1,AO55,EH55,0,BM55,0,BI55,BL55,IF(OptControl=4,0,1),0),0)</f>
        <v>0</v>
      </c>
      <c r="EK55" s="108">
        <f ca="1">IF(BD55,_xll.xASN(BP55,Strike2,AO55,EI55,0,BM55,0,BI55,BL55,IF(OptControl=3,1,0),0),0)</f>
        <v>0</v>
      </c>
      <c r="EP55" s="53"/>
      <c r="EQ55" s="1"/>
      <c r="ER55" s="681">
        <v>39998</v>
      </c>
      <c r="ES55" s="682">
        <v>43094</v>
      </c>
      <c r="ET55" s="1"/>
      <c r="EU55" s="667" t="s">
        <v>241</v>
      </c>
      <c r="EW55" s="488">
        <v>36</v>
      </c>
      <c r="EX55" s="466">
        <f t="shared" ca="1" si="166"/>
        <v>2.9349760438056127</v>
      </c>
      <c r="EY55" s="824">
        <f t="shared" ca="1" si="189"/>
        <v>0.1396362930482517</v>
      </c>
      <c r="EZ55" s="798">
        <f t="shared" ca="1" si="269"/>
        <v>0.22207538717856648</v>
      </c>
      <c r="FA55" s="468" t="str">
        <f t="shared" ca="1" si="270"/>
        <v/>
      </c>
      <c r="FB55" s="467" t="str">
        <f t="shared" ca="1" si="271"/>
        <v/>
      </c>
      <c r="FC55" s="242">
        <v>0</v>
      </c>
      <c r="FD55" s="589" t="str">
        <f ca="1">IF(OR(FA55="",FA56=""),"",SQRT(SUM(INDEX(FO55:IH55,SwaptionFirstMonthPosition+1):INDEX(FO55:IH55,FN55))/SUM(INDEX($FO$15:$IH$15,SwaptionFirstMonthPosition+1):INDEX($FO$15:$IH$15,FN55))))</f>
        <v/>
      </c>
      <c r="FE55" s="565" t="str">
        <f ca="1">IF(OR(FA55="",FA54=""),"",SQRT(SUM(INDEX(FO55:IH55,SwaptionFirstMonthPosition+1):INDEX(FO55:IH55,FN55-1))/SUM(INDEX($FO$15:$IH$15,SwaptionFirstMonthPosition+1):INDEX($FO$15:$IH$15,FN55-1))))</f>
        <v/>
      </c>
      <c r="FF55" s="562" t="str">
        <f t="shared" ca="1" si="190"/>
        <v/>
      </c>
      <c r="FG55" s="593" t="str">
        <f t="shared" ca="1" si="191"/>
        <v/>
      </c>
      <c r="FH55" s="563" t="str">
        <f t="shared" ca="1" si="192"/>
        <v/>
      </c>
      <c r="FI55" s="563" t="str">
        <f t="shared" ca="1" si="193"/>
        <v/>
      </c>
      <c r="FJ55" s="563" t="str">
        <f t="shared" ca="1" si="194"/>
        <v/>
      </c>
      <c r="FK55" s="564" t="str">
        <f t="shared" ca="1" si="195"/>
        <v/>
      </c>
      <c r="FL55" s="590" t="str">
        <f t="shared" ca="1" si="196"/>
        <v/>
      </c>
      <c r="FM55" s="242"/>
      <c r="FN55" s="657">
        <v>36</v>
      </c>
      <c r="FO55" s="450">
        <f t="shared" ca="1" si="197"/>
        <v>6.7879616668727321E-4</v>
      </c>
      <c r="FP55" s="450">
        <f t="shared" ca="1" si="198"/>
        <v>2.5551079554967733E-3</v>
      </c>
      <c r="FQ55" s="450">
        <f t="shared" ca="1" si="199"/>
        <v>2.4755523146696378E-3</v>
      </c>
      <c r="FR55" s="450">
        <f t="shared" ca="1" si="200"/>
        <v>2.7393904617253298E-3</v>
      </c>
      <c r="FS55" s="450">
        <f t="shared" ca="1" si="201"/>
        <v>2.5770620826620874E-3</v>
      </c>
      <c r="FT55" s="450">
        <f t="shared" ca="1" si="202"/>
        <v>2.7602734084480997E-3</v>
      </c>
      <c r="FU55" s="450">
        <f t="shared" ca="1" si="203"/>
        <v>2.6004768904196738E-3</v>
      </c>
      <c r="FV55" s="450">
        <f t="shared" ca="1" si="204"/>
        <v>2.4411050084413508E-3</v>
      </c>
      <c r="FW55" s="450">
        <f t="shared" ca="1" si="205"/>
        <v>2.6330156917055425E-3</v>
      </c>
      <c r="FX55" s="450">
        <f t="shared" ca="1" si="206"/>
        <v>2.9187810378121944E-3</v>
      </c>
      <c r="FY55" s="450">
        <f t="shared" ca="1" si="207"/>
        <v>2.5878683798372252E-3</v>
      </c>
      <c r="FZ55" s="450">
        <f t="shared" ca="1" si="208"/>
        <v>2.6142990838478428E-3</v>
      </c>
      <c r="GA55" s="450">
        <f t="shared" ca="1" si="209"/>
        <v>3.0095553066999282E-3</v>
      </c>
      <c r="GB55" s="450">
        <f t="shared" ca="1" si="210"/>
        <v>2.6798107535718672E-3</v>
      </c>
      <c r="GC55" s="450">
        <f t="shared" ca="1" si="211"/>
        <v>3.0014901959653775E-3</v>
      </c>
      <c r="GD55" s="450">
        <f t="shared" ca="1" si="212"/>
        <v>2.8617874542261209E-3</v>
      </c>
      <c r="GE55" s="450">
        <f t="shared" ca="1" si="213"/>
        <v>2.8195951025722565E-3</v>
      </c>
      <c r="GF55" s="450">
        <f t="shared" ca="1" si="214"/>
        <v>3.2781205722317444E-3</v>
      </c>
      <c r="GG55" s="450">
        <f t="shared" ca="1" si="215"/>
        <v>3.0529703962666657E-3</v>
      </c>
      <c r="GH55" s="450">
        <f t="shared" ca="1" si="216"/>
        <v>3.0324260088651304E-3</v>
      </c>
      <c r="GI55" s="450">
        <f t="shared" ca="1" si="217"/>
        <v>3.3418989005060181E-3</v>
      </c>
      <c r="GJ55" s="450">
        <f t="shared" ca="1" si="218"/>
        <v>3.4581735015103252E-3</v>
      </c>
      <c r="GK55" s="450">
        <f t="shared" ca="1" si="219"/>
        <v>3.5933510332987885E-3</v>
      </c>
      <c r="GL55" s="450">
        <f t="shared" ca="1" si="220"/>
        <v>3.3880973344218145E-3</v>
      </c>
      <c r="GM55" s="450">
        <f t="shared" ca="1" si="221"/>
        <v>3.9360383150049598E-3</v>
      </c>
      <c r="GN55" s="450">
        <f t="shared" ca="1" si="222"/>
        <v>4.0199435073722672E-3</v>
      </c>
      <c r="GO55" s="450">
        <f t="shared" ca="1" si="223"/>
        <v>4.4122142168237849E-3</v>
      </c>
      <c r="GP55" s="450">
        <f t="shared" ca="1" si="224"/>
        <v>4.5681273407815011E-3</v>
      </c>
      <c r="GQ55" s="450">
        <f t="shared" ca="1" si="225"/>
        <v>5.0909561005344928E-3</v>
      </c>
      <c r="GR55" s="450">
        <f t="shared" ca="1" si="226"/>
        <v>5.540381885011542E-3</v>
      </c>
      <c r="GS55" s="450">
        <f t="shared" ca="1" si="227"/>
        <v>5.8943448574762958E-3</v>
      </c>
      <c r="GT55" s="450">
        <f t="shared" ca="1" si="228"/>
        <v>6.7724882255371455E-3</v>
      </c>
      <c r="GU55" s="450">
        <f t="shared" ca="1" si="229"/>
        <v>7.3812515547397456E-3</v>
      </c>
      <c r="GV55" s="450">
        <f t="shared" ca="1" si="230"/>
        <v>8.7144980192311716E-3</v>
      </c>
      <c r="GW55" s="450">
        <f t="shared" ca="1" si="231"/>
        <v>1.011962504374149E-2</v>
      </c>
      <c r="GX55" s="450">
        <f t="shared" ca="1" si="232"/>
        <v>1.1196741160924135E-2</v>
      </c>
      <c r="GY55" s="450" t="str">
        <f t="shared" si="233"/>
        <v/>
      </c>
      <c r="GZ55" s="450" t="str">
        <f t="shared" si="234"/>
        <v/>
      </c>
      <c r="HA55" s="450" t="str">
        <f t="shared" si="235"/>
        <v/>
      </c>
      <c r="HB55" s="450" t="str">
        <f t="shared" si="236"/>
        <v/>
      </c>
      <c r="HC55" s="450" t="str">
        <f t="shared" si="237"/>
        <v/>
      </c>
      <c r="HD55" s="450" t="str">
        <f t="shared" si="238"/>
        <v/>
      </c>
      <c r="HE55" s="450" t="str">
        <f t="shared" si="239"/>
        <v/>
      </c>
      <c r="HF55" s="450" t="str">
        <f t="shared" si="240"/>
        <v/>
      </c>
      <c r="HG55" s="450" t="str">
        <f t="shared" si="241"/>
        <v/>
      </c>
      <c r="HH55" s="450" t="str">
        <f t="shared" si="242"/>
        <v/>
      </c>
      <c r="HI55" s="450" t="str">
        <f t="shared" si="243"/>
        <v/>
      </c>
      <c r="HJ55" s="450" t="str">
        <f t="shared" si="244"/>
        <v/>
      </c>
      <c r="HK55" s="450" t="str">
        <f t="shared" si="245"/>
        <v/>
      </c>
      <c r="HL55" s="450" t="str">
        <f t="shared" si="246"/>
        <v/>
      </c>
      <c r="HM55" s="450" t="str">
        <f t="shared" si="247"/>
        <v/>
      </c>
      <c r="HN55" s="450" t="str">
        <f t="shared" si="248"/>
        <v/>
      </c>
      <c r="HO55" s="450" t="str">
        <f t="shared" si="249"/>
        <v/>
      </c>
      <c r="HP55" s="450" t="str">
        <f t="shared" si="250"/>
        <v/>
      </c>
      <c r="HQ55" s="450" t="str">
        <f t="shared" si="251"/>
        <v/>
      </c>
      <c r="HR55" s="450" t="str">
        <f t="shared" si="252"/>
        <v/>
      </c>
      <c r="HS55" s="450" t="str">
        <f t="shared" si="253"/>
        <v/>
      </c>
      <c r="HT55" s="450" t="str">
        <f t="shared" si="254"/>
        <v/>
      </c>
      <c r="HU55" s="450" t="str">
        <f t="shared" si="255"/>
        <v/>
      </c>
      <c r="HV55" s="450" t="str">
        <f t="shared" si="256"/>
        <v/>
      </c>
      <c r="HW55" s="450" t="str">
        <f t="shared" si="257"/>
        <v/>
      </c>
      <c r="HX55" s="450" t="str">
        <f t="shared" si="258"/>
        <v/>
      </c>
      <c r="HY55" s="450" t="str">
        <f t="shared" si="259"/>
        <v/>
      </c>
      <c r="HZ55" s="450" t="str">
        <f t="shared" si="260"/>
        <v/>
      </c>
      <c r="IA55" s="450" t="str">
        <f t="shared" si="261"/>
        <v/>
      </c>
      <c r="IB55" s="450" t="str">
        <f t="shared" si="262"/>
        <v/>
      </c>
      <c r="IC55" s="450" t="str">
        <f t="shared" si="263"/>
        <v/>
      </c>
      <c r="ID55" s="450" t="str">
        <f t="shared" si="264"/>
        <v/>
      </c>
      <c r="IE55" s="450" t="str">
        <f t="shared" si="265"/>
        <v/>
      </c>
      <c r="IF55" s="450" t="str">
        <f t="shared" si="266"/>
        <v/>
      </c>
      <c r="IG55" s="450" t="str">
        <f t="shared" si="267"/>
        <v/>
      </c>
      <c r="IH55" s="658" t="str">
        <f t="shared" si="268"/>
        <v/>
      </c>
      <c r="II55" s="242"/>
    </row>
    <row r="56" spans="1:243">
      <c r="A56" s="49"/>
      <c r="B56" s="49"/>
      <c r="C56" s="49"/>
      <c r="D56" s="49"/>
      <c r="E56" s="49"/>
      <c r="F56" s="49"/>
      <c r="G56" s="49"/>
      <c r="H56" s="49" t="e">
        <f t="shared" ca="1" si="34"/>
        <v>#N/A</v>
      </c>
      <c r="I56" s="369">
        <f t="shared" si="35"/>
        <v>38108</v>
      </c>
      <c r="J56" s="367">
        <v>22.4858333333333</v>
      </c>
      <c r="K56" s="101" t="s">
        <v>268</v>
      </c>
      <c r="L56" s="382">
        <f t="shared" si="36"/>
        <v>22.485833333333336</v>
      </c>
      <c r="M56" s="163">
        <v>0.21667969979395998</v>
      </c>
      <c r="N56" s="372">
        <v>0</v>
      </c>
      <c r="O56" s="163">
        <f t="shared" si="37"/>
        <v>0.21667969979395998</v>
      </c>
      <c r="P56" s="367">
        <v>21.246141559829098</v>
      </c>
      <c r="Q56" s="101" t="s">
        <v>267</v>
      </c>
      <c r="R56" s="367">
        <f t="shared" ca="1" si="147"/>
        <v>21.246141559829063</v>
      </c>
      <c r="S56" s="814">
        <f t="shared" si="163"/>
        <v>0.37517238474997855</v>
      </c>
      <c r="T56" s="813">
        <f t="shared" si="148"/>
        <v>0.99823961853438081</v>
      </c>
      <c r="U56" s="532">
        <f t="shared" si="149"/>
        <v>0.99999952324337005</v>
      </c>
      <c r="V56" s="379">
        <v>0</v>
      </c>
      <c r="W56" s="424">
        <f t="shared" si="168"/>
        <v>22.444722222222232</v>
      </c>
      <c r="X56" s="405">
        <f t="shared" si="169"/>
        <v>22.444722222222222</v>
      </c>
      <c r="Y56" s="313">
        <f t="shared" si="170"/>
        <v>21.100722222222231</v>
      </c>
      <c r="Z56" s="313">
        <f t="shared" ca="1" si="171"/>
        <v>21.10072222222222</v>
      </c>
      <c r="AA56" s="419">
        <f t="shared" si="1"/>
        <v>1.3440000000000001</v>
      </c>
      <c r="AB56" s="423">
        <f t="shared" ca="1" si="2"/>
        <v>1.3440000000000001</v>
      </c>
      <c r="AC56" s="218">
        <v>38097</v>
      </c>
      <c r="AD56" s="221">
        <v>38093</v>
      </c>
      <c r="AE56" s="221">
        <v>38092</v>
      </c>
      <c r="AF56" s="221">
        <v>38088</v>
      </c>
      <c r="AG56" s="241" t="s">
        <v>90</v>
      </c>
      <c r="AH56" s="239" t="s">
        <v>497</v>
      </c>
      <c r="AI56" s="141">
        <v>21</v>
      </c>
      <c r="AJ56" s="41">
        <v>14</v>
      </c>
      <c r="AK56" s="41">
        <v>7</v>
      </c>
      <c r="AL56" s="285">
        <v>21</v>
      </c>
      <c r="AM56" s="41">
        <v>10</v>
      </c>
      <c r="AN56" s="142">
        <v>11</v>
      </c>
      <c r="AO56" s="364">
        <v>4.9880894769438501E-2</v>
      </c>
      <c r="AP56" s="145">
        <f t="shared" ca="1" si="41"/>
        <v>0.8565392540681166</v>
      </c>
      <c r="AQ56" s="364">
        <v>4.3283333254609001E-2</v>
      </c>
      <c r="AR56" s="145">
        <f t="shared" ca="1" si="151"/>
        <v>0.87869726623220457</v>
      </c>
      <c r="AS56" s="264">
        <f t="shared" si="172"/>
        <v>0.21441642554923998</v>
      </c>
      <c r="AT56" s="149">
        <f t="shared" si="42"/>
        <v>0.21667969979395998</v>
      </c>
      <c r="AU56" s="149">
        <f t="shared" si="4"/>
        <v>0.21395882107117714</v>
      </c>
      <c r="AV56" s="263">
        <f t="shared" ca="1" si="164"/>
        <v>0.21032705507470917</v>
      </c>
      <c r="AW56" s="150" t="str">
        <f t="shared" ca="1" si="173"/>
        <v/>
      </c>
      <c r="AX56" s="149">
        <f t="shared" ca="1" si="152"/>
        <v>3.9277833711698497E-2</v>
      </c>
      <c r="AY56" s="149">
        <f t="shared" ca="1" si="153"/>
        <v>2.0898619924510274E-2</v>
      </c>
      <c r="AZ56" s="149">
        <f t="shared" ca="1" si="154"/>
        <v>1.0211112951937815E-2</v>
      </c>
      <c r="BA56" s="149">
        <f t="shared" ca="1" si="155"/>
        <v>1.0000000000000071E-4</v>
      </c>
      <c r="BB56" s="149">
        <f t="shared" ca="1" si="156"/>
        <v>1.0000000000000071E-4</v>
      </c>
      <c r="BC56" s="149">
        <f t="shared" ca="1" si="157"/>
        <v>1.0000000000000071E-4</v>
      </c>
      <c r="BD56" s="143">
        <f t="shared" ca="1" si="174"/>
        <v>0</v>
      </c>
      <c r="BE56" s="144">
        <f t="shared" ca="1" si="175"/>
        <v>0</v>
      </c>
      <c r="BF56" s="40">
        <f t="shared" si="176"/>
        <v>2004</v>
      </c>
      <c r="BG56" s="139">
        <f t="shared" si="177"/>
        <v>5</v>
      </c>
      <c r="BH56" s="140">
        <f t="shared" ca="1" si="178"/>
        <v>1103</v>
      </c>
      <c r="BI56" s="304">
        <f t="shared" ca="1" si="179"/>
        <v>3.0609171800136892</v>
      </c>
      <c r="BJ56" s="42">
        <f t="shared" ca="1" si="47"/>
        <v>3.115674195756331</v>
      </c>
      <c r="BK56" s="42">
        <f t="shared" ca="1" si="180"/>
        <v>3.118412046543463</v>
      </c>
      <c r="BL56" s="42">
        <f t="shared" ca="1" si="181"/>
        <v>3.1430527036276521</v>
      </c>
      <c r="BM56" s="285">
        <f t="shared" si="49"/>
        <v>21</v>
      </c>
      <c r="BN56" s="41">
        <f t="shared" si="50"/>
        <v>14</v>
      </c>
      <c r="BO56" s="41">
        <f t="shared" si="51"/>
        <v>7</v>
      </c>
      <c r="BP56" s="297" t="str">
        <f t="shared" ca="1" si="10"/>
        <v/>
      </c>
      <c r="BQ56" s="297" t="str">
        <f t="shared" ca="1" si="11"/>
        <v/>
      </c>
      <c r="BR56" s="299" t="str">
        <f t="shared" ca="1" si="12"/>
        <v/>
      </c>
      <c r="BS56" s="153" t="str">
        <f t="shared" ca="1" si="13"/>
        <v/>
      </c>
      <c r="BT56" s="153" t="str">
        <f t="shared" ca="1" si="14"/>
        <v/>
      </c>
      <c r="BU56" s="300" t="str">
        <f t="shared" ca="1" si="15"/>
        <v/>
      </c>
      <c r="BV56" s="301" t="str">
        <f t="shared" ca="1" si="16"/>
        <v/>
      </c>
      <c r="BW56" s="300" t="str">
        <f t="shared" ca="1" si="17"/>
        <v/>
      </c>
      <c r="BX56" s="301" t="str">
        <f t="shared" ca="1" si="18"/>
        <v/>
      </c>
      <c r="BY56" s="146" t="str">
        <f t="shared" ca="1" si="19"/>
        <v/>
      </c>
      <c r="BZ56" s="146" t="str">
        <f t="shared" ca="1" si="20"/>
        <v/>
      </c>
      <c r="CA56" s="146" t="str">
        <f t="shared" ca="1" si="21"/>
        <v/>
      </c>
      <c r="CB56" s="146" t="str">
        <f t="shared" ca="1" si="22"/>
        <v/>
      </c>
      <c r="CC56" s="302">
        <v>1</v>
      </c>
      <c r="CD56" s="154">
        <f ca="1">IF(BD56,_xll.xCrudeAPO(BS56,BT56,BY56,BZ56,S57,S58,BI56,BL56,BN56,BO56,0,Strike1,AO56,CC56,0,BL56,IF(OptControl=4,0,1),0,1),0)</f>
        <v>0</v>
      </c>
      <c r="CE56" s="155">
        <f ca="1">IF(BD56,_xll.xCrudeAPO(BS56,BT56,BY56,BZ56,S57,S58,BI56,BL56,BN56,BO56,0,Strike1,AO56,CC56,0,BL56,IF(OptControl=4,0,1),1,1)+_xll.xCrudeAPO(BS56,BT56,BY56,BZ56,S57,S58,BI56,BL56,BN56,BO56,0,Strike1,AO56,CC56,0,BL56,IF(OptControl=4,0,1),1,2)+IF(OR(VolSkewFlag=2,ABS(BQ56)&lt;0.0001),0,IF(BQ56&gt;0,-1,1)*CF56*Strike1/BP56^2*BW56/10%),0)</f>
        <v>0</v>
      </c>
      <c r="CF56" s="155">
        <f ca="1">IF(BD56,(_xll.xCrudeAPO(BS56,BT56,BY56,BZ56,S57,S58,BI56,BL56,BN56,BO56,0,Strike1,AO56,CC56,0,BL56,IF(OptControl=4,0,1),3,1)+_xll.xCrudeAPO(BS56,BT56,BY56,BZ56,S57,S58,BI56,BL56,BN56,BO56,0,Strike1,AO56,CC56,0,BL56,IF(OptControl=4,0,1),3,2))/100,0)</f>
        <v>0</v>
      </c>
      <c r="CG56" s="155">
        <f ca="1">IF(BD56,_xll.xCrudeAPO(BS56,BT56,BY56,BZ56,S57,S58,BI56-DaysForThetaCalculation/365.25,BL56-DaysForThetaCalculation/365.25,BN56,BO56,0,Strike1,AO56,CC56,0,BL56,IF(OptControl=4,0,1),0,1)-_xll.xCrudeAPO(BS56,BT56,BY56,BZ56,S57,S58,BI56,BL56,BN56,BO56,0,Strike1,AO56,CC56,0,BL56,IF(OptControl=4,0,1),0,1),0)</f>
        <v>0</v>
      </c>
      <c r="CH56" s="303">
        <f ca="1">IF(BD56,_xll.xCrudeAPO(BS56,BT56,CA56,CB56,S57,S58,BI56,BL56,BN56,BO56,0,Strike2,AO56,CC56,0,BL56,IF(OptControl=3,1,0),0,1),0)</f>
        <v>0</v>
      </c>
      <c r="CI56" s="155">
        <f ca="1">IF(BD56,_xll.xCrudeAPO(BS56,BT56,CA56,CB56,S57,S58,BI56,BL56,BN56,BO56,0,Strike2,AO56,CC56,0,BL56,IF(OptControl=3,1,0),1,1)+_xll.xCrudeAPO(BS56,BT56,CA56,CB56,S57,S58,BI56,BL56,BN56,BO56,0,Strike2,AO56,CC56,0,BL56,IF(OptControl=3,1,0),1,2)+IF(OR(VolSkewFlag=2,ABS(BR56)&lt;0.0001),0,IF(BR56&gt;0,-1,1)*CJ56*Strike2/BP56^2*BX56/10%),0)</f>
        <v>0</v>
      </c>
      <c r="CJ56" s="155">
        <f ca="1">IF(BD56,(_xll.xCrudeAPO(BS56,BT56,CA56,CB56,S57,S58,BI56,BL56,BN56,BO56,0,Strike2,AO56,CC56,0,BL56,IF(OptControl=3,1,0),3,1)+_xll.xCrudeAPO(BS56,BT56,CA56,CB56,S57,S58,BI56,BL56,BN56,BO56,0,Strike2,AO56,CC56,0,BL56,IF(OptControl=3,1,0),3,2))/100,0)</f>
        <v>0</v>
      </c>
      <c r="CK56" s="156">
        <f ca="1">IF(BD56,_xll.xCrudeAPO(BS56,BT56,CA56,CB56,S57,S58,BI56-DaysForThetaCalculation/365.25,BL56-DaysForThetaCalculation/365.25,BN56,BO56,0,Strike2,AO56,CC56,0,BL56,IF(OptControl=3,1,0),0,1)-_xll.xCrudeAPO(BS56,BT56,CA56,CB56,S57,S58,BI56,BL56,BN56,BO56,0,Strike2,AO56,CC56,0,BL56,IF(OptControl=3,1,0),0,1),0)</f>
        <v>0</v>
      </c>
      <c r="CL56" s="51"/>
      <c r="CM56" s="779" t="str">
        <f t="shared" ca="1" si="52"/>
        <v/>
      </c>
      <c r="CN56" s="783" t="str">
        <f t="shared" ca="1" si="53"/>
        <v/>
      </c>
      <c r="CO56" s="780" t="str">
        <f t="shared" ca="1" si="54"/>
        <v/>
      </c>
      <c r="CP56" s="780" t="str">
        <f t="shared" ca="1" si="55"/>
        <v/>
      </c>
      <c r="CQ56" s="780" t="str">
        <f t="shared" ca="1" si="56"/>
        <v/>
      </c>
      <c r="CR56" s="780" t="str">
        <f t="shared" ca="1" si="57"/>
        <v/>
      </c>
      <c r="CS56" s="781" t="str">
        <f t="shared" ca="1" si="58"/>
        <v/>
      </c>
      <c r="CT56" s="782" t="str">
        <f t="shared" ca="1" si="59"/>
        <v/>
      </c>
      <c r="CU56" s="782" t="str">
        <f t="shared" ca="1" si="60"/>
        <v/>
      </c>
      <c r="CV56" s="155">
        <f ca="1">IF(BD56,_xll.EURO(CN56,Strike1,AO56,AO56,CT56,CM56,IF(OptControl=4,0,1),0),0)</f>
        <v>0</v>
      </c>
      <c r="CW56" s="155">
        <f ca="1">IF(BD56,_xll.EURO(CN56,Strike1,AO56,AO56,CT56,CM56,IF(OptControl=4,0,1),1)+IF(OR(VolSkewFlag=2,ABS(CO56)&lt;0.0001),0,IF(CO56&gt;0,-1,1)*CX56*100*Strike1/CN56^2*CQ56/10%),0)</f>
        <v>0</v>
      </c>
      <c r="CX56" s="155">
        <f ca="1">IF(BD56,_xll.EURO(CN56,Strike1,AO56,AO56,CT56,CM56,IF(OptControl=4,0,1),3)/100,0)</f>
        <v>0</v>
      </c>
      <c r="CY56" s="155">
        <f ca="1">IF(BD56,_xll.EURO(CN56,Strike1,AO56,AO56,CT56,CM56,IF(OptControl=4,0,1),0)-_xll.EURO(CN56,Strike1,AO56,AO56,CT56,CM56-1,IF(OptControl=4,0,1),0),0)</f>
        <v>0</v>
      </c>
      <c r="CZ56" s="155">
        <f ca="1">IF(BD56,_xll.EURO(CN56,Strike2,AO56,AO56,CU56,CM56,IF(OptControl=3,1,0),0),0)</f>
        <v>0</v>
      </c>
      <c r="DA56" s="155">
        <f ca="1">IF(BD56,_xll.EURO(CN56,Strike2,AO56,AO56,CU56,CM56,IF(OptControl=3,1,0),1)+IF(OR(VolSkewFlag=2,ABS(CP56)&lt;0.0001),0,IF(CP56&gt;0,-1,1)*DB56*100*Strike2/CN56^2*CR56/10%),0)</f>
        <v>0</v>
      </c>
      <c r="DB56" s="155">
        <f ca="1">IF(BD56,_xll.EURO(CN56,Strike2,AO56,AO56,CU56,CM56,IF(OptControl=3,1,0),3)/100,0)</f>
        <v>0</v>
      </c>
      <c r="DC56" s="156">
        <f ca="1">IF(BD56,_xll.EURO(CN56,Strike2,AO56,AO56,CU56,CM56,IF(OptControl=3,1,0),0)-_xll.EURO(CN56,Strike2,AO56,AO56,CU56,CM56-1,IF(OptControl=3,1,0),0),0)</f>
        <v>0</v>
      </c>
      <c r="DE56" s="651">
        <f t="shared" ca="1" si="61"/>
        <v>38018</v>
      </c>
      <c r="DF56" s="465">
        <v>1E-4</v>
      </c>
      <c r="DG56" s="649">
        <v>1E-4</v>
      </c>
      <c r="DH56" s="650">
        <f t="shared" ca="1" si="182"/>
        <v>38018</v>
      </c>
      <c r="DI56" s="465">
        <v>1E-4</v>
      </c>
      <c r="DJ56" s="649">
        <v>1E-4</v>
      </c>
      <c r="DK56" s="651">
        <f t="shared" ca="1" si="183"/>
        <v>38018</v>
      </c>
      <c r="DL56" s="652">
        <f t="shared" si="184"/>
        <v>5.0100000000000006E-2</v>
      </c>
      <c r="DM56" s="651">
        <f t="shared" ca="1" si="62"/>
        <v>38018</v>
      </c>
      <c r="DN56" s="563">
        <f t="shared" si="63"/>
        <v>-0.12990000000000002</v>
      </c>
      <c r="DO56" s="803">
        <v>-0.13</v>
      </c>
      <c r="DP56" s="650">
        <f t="shared" ca="1" si="185"/>
        <v>38018</v>
      </c>
      <c r="DQ56" s="653">
        <v>1E-4</v>
      </c>
      <c r="DR56" s="590">
        <v>1E-4</v>
      </c>
      <c r="DS56" s="650">
        <f t="shared" ca="1" si="186"/>
        <v>38018</v>
      </c>
      <c r="DT56" s="653">
        <v>1E-4</v>
      </c>
      <c r="DU56" s="590">
        <v>1E-4</v>
      </c>
      <c r="DV56" s="651">
        <f t="shared" ca="1" si="187"/>
        <v>38018</v>
      </c>
      <c r="DW56" s="590">
        <v>1E-4</v>
      </c>
      <c r="DX56" s="651">
        <f t="shared" ca="1" si="64"/>
        <v>38018</v>
      </c>
      <c r="DY56" s="590">
        <f t="shared" si="65"/>
        <v>1E-4</v>
      </c>
      <c r="DZ56" s="1"/>
      <c r="EA56" s="863" t="e">
        <f ca="1">_xll.ASN(X56,X56,AO56,AS56,0,AI56,0,BI56,BL56,1,0)</f>
        <v>#NAME?</v>
      </c>
      <c r="EB56" s="653" t="e">
        <f ca="1">_xll.ASN(X56,X56,AO56,AS56,0,AI56,0,BI56,BL56,1,3)/100</f>
        <v>#NAME?</v>
      </c>
      <c r="EC56" s="653" t="e">
        <f ca="1">_xll.xCrudeAPO(L57,L58,O57,O58,S57,S58,BI56,BL56,AJ56,AK56,0,X56,AO56,1,0,+BL56,1,0,1)</f>
        <v>#NAME?</v>
      </c>
      <c r="ED56" s="869" t="e">
        <f t="shared" ca="1" si="165"/>
        <v>#NAME?</v>
      </c>
      <c r="EE56" s="863" t="e">
        <f t="shared" ca="1" si="29"/>
        <v>#NAME?</v>
      </c>
      <c r="EF56" s="590" t="e">
        <f t="shared" ca="1" si="30"/>
        <v>#NAME?</v>
      </c>
      <c r="EG56" s="862" t="str">
        <f t="shared" ca="1" si="188"/>
        <v/>
      </c>
      <c r="EH56" s="114" t="str">
        <f t="shared" ca="1" si="32"/>
        <v/>
      </c>
      <c r="EI56" s="109" t="str">
        <f t="shared" ca="1" si="33"/>
        <v/>
      </c>
      <c r="EJ56" s="115">
        <f ca="1">IF(BD56,_xll.xASN(BP56,Strike1,AO56,EH56,0,BM56,0,BI56,BL56,IF(OptControl=4,0,1),0),0)</f>
        <v>0</v>
      </c>
      <c r="EK56" s="108">
        <f ca="1">IF(BD56,_xll.xASN(BP56,Strike2,AO56,EI56,0,BM56,0,BI56,BL56,IF(OptControl=3,1,0),0),0)</f>
        <v>0</v>
      </c>
      <c r="EL56" s="665" t="e">
        <f ca="1">AVERAGE(EH44:EH55)</f>
        <v>#DIV/0!</v>
      </c>
      <c r="EP56" s="53"/>
      <c r="EQ56" s="1"/>
      <c r="ER56" s="681">
        <v>40172</v>
      </c>
      <c r="ES56" s="682">
        <v>43101</v>
      </c>
      <c r="ET56" s="1"/>
      <c r="EU56" s="667" t="s">
        <v>242</v>
      </c>
      <c r="EW56" s="488">
        <v>37</v>
      </c>
      <c r="EX56" s="466">
        <f t="shared" ca="1" si="166"/>
        <v>3.0198494182067077</v>
      </c>
      <c r="EY56" s="824">
        <f t="shared" ca="1" si="189"/>
        <v>0.1417822089253637</v>
      </c>
      <c r="EZ56" s="798">
        <f t="shared" ca="1" si="269"/>
        <v>0.2208366357332846</v>
      </c>
      <c r="FA56" s="468" t="str">
        <f t="shared" ca="1" si="270"/>
        <v/>
      </c>
      <c r="FB56" s="467" t="str">
        <f t="shared" ca="1" si="271"/>
        <v/>
      </c>
      <c r="FC56" s="242">
        <v>0</v>
      </c>
      <c r="FD56" s="589" t="str">
        <f ca="1">IF(OR(FA56="",FA57=""),"",SQRT(SUM(INDEX(FO56:IH56,SwaptionFirstMonthPosition+1):INDEX(FO56:IH56,FN56))/SUM(INDEX($FO$15:$IH$15,SwaptionFirstMonthPosition+1):INDEX($FO$15:$IH$15,FN56))))</f>
        <v/>
      </c>
      <c r="FE56" s="565" t="str">
        <f ca="1">IF(OR(FA56="",FA55=""),"",SQRT(SUM(INDEX(FO56:IH56,SwaptionFirstMonthPosition+1):INDEX(FO56:IH56,FN56-1))/SUM(INDEX($FO$15:$IH$15,SwaptionFirstMonthPosition+1):INDEX($FO$15:$IH$15,FN56-1))))</f>
        <v/>
      </c>
      <c r="FF56" s="562" t="str">
        <f t="shared" ca="1" si="190"/>
        <v/>
      </c>
      <c r="FG56" s="593" t="str">
        <f t="shared" ca="1" si="191"/>
        <v/>
      </c>
      <c r="FH56" s="563" t="str">
        <f t="shared" ca="1" si="192"/>
        <v/>
      </c>
      <c r="FI56" s="563" t="str">
        <f t="shared" ca="1" si="193"/>
        <v/>
      </c>
      <c r="FJ56" s="563" t="str">
        <f t="shared" ca="1" si="194"/>
        <v/>
      </c>
      <c r="FK56" s="564" t="str">
        <f t="shared" ca="1" si="195"/>
        <v/>
      </c>
      <c r="FL56" s="590" t="str">
        <f t="shared" ca="1" si="196"/>
        <v/>
      </c>
      <c r="FM56" s="242"/>
      <c r="FN56" s="657">
        <v>37</v>
      </c>
      <c r="FO56" s="450">
        <f t="shared" ca="1" si="197"/>
        <v>6.7614343963323241E-4</v>
      </c>
      <c r="FP56" s="450">
        <f t="shared" ca="1" si="198"/>
        <v>2.5440131439397203E-3</v>
      </c>
      <c r="FQ56" s="450">
        <f t="shared" ca="1" si="199"/>
        <v>2.463608576475285E-3</v>
      </c>
      <c r="FR56" s="450">
        <f t="shared" ca="1" si="200"/>
        <v>2.7247052708273579E-3</v>
      </c>
      <c r="FS56" s="450">
        <f t="shared" ca="1" si="201"/>
        <v>2.561712095069113E-3</v>
      </c>
      <c r="FT56" s="450">
        <f t="shared" ca="1" si="202"/>
        <v>2.7420053353849555E-3</v>
      </c>
      <c r="FU56" s="450">
        <f t="shared" ca="1" si="203"/>
        <v>2.5813541060656121E-3</v>
      </c>
      <c r="FV56" s="450">
        <f t="shared" ca="1" si="204"/>
        <v>2.4211596391755059E-3</v>
      </c>
      <c r="FW56" s="450">
        <f t="shared" ca="1" si="205"/>
        <v>2.6091119131242914E-3</v>
      </c>
      <c r="FX56" s="450">
        <f t="shared" ca="1" si="206"/>
        <v>2.8893387118406623E-3</v>
      </c>
      <c r="FY56" s="450">
        <f t="shared" ca="1" si="207"/>
        <v>2.5588635531176968E-3</v>
      </c>
      <c r="FZ56" s="450">
        <f t="shared" ca="1" si="208"/>
        <v>2.5817423482602671E-3</v>
      </c>
      <c r="GA56" s="450">
        <f t="shared" ca="1" si="209"/>
        <v>2.9679119814448674E-3</v>
      </c>
      <c r="GB56" s="450">
        <f t="shared" ca="1" si="210"/>
        <v>2.6386100446961647E-3</v>
      </c>
      <c r="GC56" s="450">
        <f t="shared" ca="1" si="211"/>
        <v>2.9502164576602811E-3</v>
      </c>
      <c r="GD56" s="450">
        <f t="shared" ca="1" si="212"/>
        <v>2.8074683099816172E-3</v>
      </c>
      <c r="GE56" s="450">
        <f t="shared" ca="1" si="213"/>
        <v>2.7601303272885651E-3</v>
      </c>
      <c r="GF56" s="450">
        <f t="shared" ca="1" si="214"/>
        <v>3.20130390723424E-3</v>
      </c>
      <c r="GG56" s="450">
        <f t="shared" ca="1" si="215"/>
        <v>2.973480741885001E-3</v>
      </c>
      <c r="GH56" s="450">
        <f t="shared" ca="1" si="216"/>
        <v>2.9446985157844303E-3</v>
      </c>
      <c r="GI56" s="450">
        <f t="shared" ca="1" si="217"/>
        <v>3.2344761410778851E-3</v>
      </c>
      <c r="GJ56" s="450">
        <f t="shared" ca="1" si="218"/>
        <v>3.3346620385256666E-3</v>
      </c>
      <c r="GK56" s="450">
        <f t="shared" ca="1" si="219"/>
        <v>3.4507516579199999E-3</v>
      </c>
      <c r="GL56" s="450">
        <f t="shared" ca="1" si="220"/>
        <v>3.2387039566298455E-3</v>
      </c>
      <c r="GM56" s="450">
        <f t="shared" ca="1" si="221"/>
        <v>3.7432004669750497E-3</v>
      </c>
      <c r="GN56" s="450">
        <f t="shared" ca="1" si="222"/>
        <v>3.8011117240963239E-3</v>
      </c>
      <c r="GO56" s="450">
        <f t="shared" ca="1" si="223"/>
        <v>4.1453412831640333E-3</v>
      </c>
      <c r="GP56" s="450">
        <f t="shared" ca="1" si="224"/>
        <v>4.2611236246686722E-3</v>
      </c>
      <c r="GQ56" s="450">
        <f t="shared" ca="1" si="225"/>
        <v>4.7107997294109976E-3</v>
      </c>
      <c r="GR56" s="450">
        <f t="shared" ca="1" si="226"/>
        <v>5.0806971180003997E-3</v>
      </c>
      <c r="GS56" s="450">
        <f t="shared" ca="1" si="227"/>
        <v>5.3509526030698171E-3</v>
      </c>
      <c r="GT56" s="450">
        <f t="shared" ca="1" si="228"/>
        <v>6.078769126261061E-3</v>
      </c>
      <c r="GU56" s="450">
        <f t="shared" ca="1" si="229"/>
        <v>6.5411672132489225E-3</v>
      </c>
      <c r="GV56" s="450">
        <f t="shared" ca="1" si="230"/>
        <v>7.6124697135951328E-3</v>
      </c>
      <c r="GW56" s="450">
        <f t="shared" ca="1" si="231"/>
        <v>8.697714463615773E-3</v>
      </c>
      <c r="GX56" s="450">
        <f t="shared" ca="1" si="232"/>
        <v>9.4486785102900622E-3</v>
      </c>
      <c r="GY56" s="450">
        <f t="shared" ca="1" si="233"/>
        <v>1.1946293953863261E-2</v>
      </c>
      <c r="GZ56" s="450" t="str">
        <f t="shared" si="234"/>
        <v/>
      </c>
      <c r="HA56" s="450" t="str">
        <f t="shared" si="235"/>
        <v/>
      </c>
      <c r="HB56" s="450" t="str">
        <f t="shared" si="236"/>
        <v/>
      </c>
      <c r="HC56" s="450" t="str">
        <f t="shared" si="237"/>
        <v/>
      </c>
      <c r="HD56" s="450" t="str">
        <f t="shared" si="238"/>
        <v/>
      </c>
      <c r="HE56" s="450" t="str">
        <f t="shared" si="239"/>
        <v/>
      </c>
      <c r="HF56" s="450" t="str">
        <f t="shared" si="240"/>
        <v/>
      </c>
      <c r="HG56" s="450" t="str">
        <f t="shared" si="241"/>
        <v/>
      </c>
      <c r="HH56" s="450" t="str">
        <f t="shared" si="242"/>
        <v/>
      </c>
      <c r="HI56" s="450" t="str">
        <f t="shared" si="243"/>
        <v/>
      </c>
      <c r="HJ56" s="450" t="str">
        <f t="shared" si="244"/>
        <v/>
      </c>
      <c r="HK56" s="450" t="str">
        <f t="shared" si="245"/>
        <v/>
      </c>
      <c r="HL56" s="450" t="str">
        <f t="shared" si="246"/>
        <v/>
      </c>
      <c r="HM56" s="450" t="str">
        <f t="shared" si="247"/>
        <v/>
      </c>
      <c r="HN56" s="450" t="str">
        <f t="shared" si="248"/>
        <v/>
      </c>
      <c r="HO56" s="450" t="str">
        <f t="shared" si="249"/>
        <v/>
      </c>
      <c r="HP56" s="450" t="str">
        <f t="shared" si="250"/>
        <v/>
      </c>
      <c r="HQ56" s="450" t="str">
        <f t="shared" si="251"/>
        <v/>
      </c>
      <c r="HR56" s="450" t="str">
        <f t="shared" si="252"/>
        <v/>
      </c>
      <c r="HS56" s="450" t="str">
        <f t="shared" si="253"/>
        <v/>
      </c>
      <c r="HT56" s="450" t="str">
        <f t="shared" si="254"/>
        <v/>
      </c>
      <c r="HU56" s="450" t="str">
        <f t="shared" si="255"/>
        <v/>
      </c>
      <c r="HV56" s="450" t="str">
        <f t="shared" si="256"/>
        <v/>
      </c>
      <c r="HW56" s="450" t="str">
        <f t="shared" si="257"/>
        <v/>
      </c>
      <c r="HX56" s="450" t="str">
        <f t="shared" si="258"/>
        <v/>
      </c>
      <c r="HY56" s="450" t="str">
        <f t="shared" si="259"/>
        <v/>
      </c>
      <c r="HZ56" s="450" t="str">
        <f t="shared" si="260"/>
        <v/>
      </c>
      <c r="IA56" s="450" t="str">
        <f t="shared" si="261"/>
        <v/>
      </c>
      <c r="IB56" s="450" t="str">
        <f t="shared" si="262"/>
        <v/>
      </c>
      <c r="IC56" s="450" t="str">
        <f t="shared" si="263"/>
        <v/>
      </c>
      <c r="ID56" s="450" t="str">
        <f t="shared" si="264"/>
        <v/>
      </c>
      <c r="IE56" s="450" t="str">
        <f t="shared" si="265"/>
        <v/>
      </c>
      <c r="IF56" s="450" t="str">
        <f t="shared" si="266"/>
        <v/>
      </c>
      <c r="IG56" s="450" t="str">
        <f t="shared" si="267"/>
        <v/>
      </c>
      <c r="IH56" s="658" t="str">
        <f t="shared" si="268"/>
        <v/>
      </c>
      <c r="II56" s="242"/>
    </row>
    <row r="57" spans="1:243">
      <c r="A57" s="49"/>
      <c r="B57" s="49"/>
      <c r="C57" s="49"/>
      <c r="D57" s="49"/>
      <c r="E57" s="49"/>
      <c r="F57" s="49"/>
      <c r="G57" s="49"/>
      <c r="H57" s="49" t="e">
        <f t="shared" ca="1" si="34"/>
        <v>#N/A</v>
      </c>
      <c r="I57" s="369">
        <f t="shared" si="35"/>
        <v>38139</v>
      </c>
      <c r="J57" s="367">
        <v>22.454999999999998</v>
      </c>
      <c r="K57" s="101" t="s">
        <v>268</v>
      </c>
      <c r="L57" s="382">
        <f t="shared" si="36"/>
        <v>22.455000000000002</v>
      </c>
      <c r="M57" s="163">
        <v>0.21521723338585</v>
      </c>
      <c r="N57" s="372">
        <v>0</v>
      </c>
      <c r="O57" s="163">
        <f t="shared" si="37"/>
        <v>0.21521723338585</v>
      </c>
      <c r="P57" s="367">
        <v>21.034354255698002</v>
      </c>
      <c r="Q57" s="101" t="s">
        <v>267</v>
      </c>
      <c r="R57" s="367">
        <f t="shared" ca="1" si="147"/>
        <v>21.034354255698005</v>
      </c>
      <c r="S57" s="814">
        <f t="shared" si="163"/>
        <v>0.37482066090247879</v>
      </c>
      <c r="T57" s="813">
        <f t="shared" si="148"/>
        <v>0.99841583197919315</v>
      </c>
      <c r="U57" s="532">
        <f t="shared" si="149"/>
        <v>0.99999964243252748</v>
      </c>
      <c r="V57" s="379">
        <v>0</v>
      </c>
      <c r="W57" s="424">
        <f t="shared" si="168"/>
        <v>22.412954545454554</v>
      </c>
      <c r="X57" s="405">
        <f t="shared" si="169"/>
        <v>22.412954545454543</v>
      </c>
      <c r="Y57" s="313">
        <f t="shared" si="170"/>
        <v>21.068954545454552</v>
      </c>
      <c r="Z57" s="313">
        <f t="shared" ca="1" si="171"/>
        <v>21.068954545454542</v>
      </c>
      <c r="AA57" s="419">
        <f t="shared" si="1"/>
        <v>1.3440000000000001</v>
      </c>
      <c r="AB57" s="423">
        <f t="shared" ca="1" si="2"/>
        <v>1.3440000000000001</v>
      </c>
      <c r="AC57" s="218">
        <v>38127</v>
      </c>
      <c r="AD57" s="221">
        <v>38123</v>
      </c>
      <c r="AE57" s="221">
        <v>38122</v>
      </c>
      <c r="AF57" s="221">
        <v>38118</v>
      </c>
      <c r="AG57" s="241" t="s">
        <v>90</v>
      </c>
      <c r="AH57" s="239" t="s">
        <v>497</v>
      </c>
      <c r="AI57" s="141">
        <v>22</v>
      </c>
      <c r="AJ57" s="41">
        <v>14</v>
      </c>
      <c r="AK57" s="41">
        <v>8</v>
      </c>
      <c r="AL57" s="285">
        <v>22</v>
      </c>
      <c r="AM57" s="41">
        <v>10</v>
      </c>
      <c r="AN57" s="142">
        <v>12</v>
      </c>
      <c r="AO57" s="364">
        <v>5.0081958680979997E-2</v>
      </c>
      <c r="AP57" s="145">
        <f t="shared" ca="1" si="41"/>
        <v>0.85254053143916619</v>
      </c>
      <c r="AQ57" s="364">
        <v>4.34655245777891E-2</v>
      </c>
      <c r="AR57" s="145">
        <f t="shared" ca="1" si="151"/>
        <v>0.87512794348538037</v>
      </c>
      <c r="AS57" s="264">
        <f t="shared" si="172"/>
        <v>0.21303712636334726</v>
      </c>
      <c r="AT57" s="149">
        <f t="shared" si="42"/>
        <v>0.21521723338585</v>
      </c>
      <c r="AU57" s="149">
        <f t="shared" si="4"/>
        <v>0.21314828460701085</v>
      </c>
      <c r="AV57" s="263">
        <f t="shared" ca="1" si="164"/>
        <v>0.20918201127076988</v>
      </c>
      <c r="AW57" s="150" t="str">
        <f t="shared" ca="1" si="173"/>
        <v/>
      </c>
      <c r="AX57" s="149">
        <f t="shared" ca="1" si="152"/>
        <v>3.8726050308805104E-2</v>
      </c>
      <c r="AY57" s="149">
        <f t="shared" ca="1" si="153"/>
        <v>2.0539041018483636E-2</v>
      </c>
      <c r="AZ57" s="149">
        <f t="shared" ca="1" si="154"/>
        <v>1.0089417830019268E-2</v>
      </c>
      <c r="BA57" s="149">
        <f t="shared" ca="1" si="155"/>
        <v>1.0000000000000075E-4</v>
      </c>
      <c r="BB57" s="149">
        <f t="shared" ca="1" si="156"/>
        <v>1.0000000000000075E-4</v>
      </c>
      <c r="BC57" s="149">
        <f t="shared" ca="1" si="157"/>
        <v>1.0000000000000075E-4</v>
      </c>
      <c r="BD57" s="143">
        <f t="shared" ca="1" si="174"/>
        <v>0</v>
      </c>
      <c r="BE57" s="144">
        <f t="shared" ca="1" si="175"/>
        <v>0</v>
      </c>
      <c r="BF57" s="40">
        <f t="shared" si="176"/>
        <v>2004</v>
      </c>
      <c r="BG57" s="139">
        <f t="shared" si="177"/>
        <v>6</v>
      </c>
      <c r="BH57" s="140">
        <f t="shared" ca="1" si="178"/>
        <v>1133</v>
      </c>
      <c r="BI57" s="304">
        <f t="shared" ca="1" si="179"/>
        <v>3.1457905544147846</v>
      </c>
      <c r="BJ57" s="42">
        <f t="shared" ca="1" si="47"/>
        <v>3.1963163462136768</v>
      </c>
      <c r="BK57" s="42">
        <f t="shared" ca="1" si="180"/>
        <v>3.1990541970008088</v>
      </c>
      <c r="BL57" s="42">
        <f t="shared" ca="1" si="181"/>
        <v>3.2251882272416155</v>
      </c>
      <c r="BM57" s="285">
        <f t="shared" si="49"/>
        <v>22</v>
      </c>
      <c r="BN57" s="41">
        <f t="shared" si="50"/>
        <v>14</v>
      </c>
      <c r="BO57" s="41">
        <f t="shared" si="51"/>
        <v>8</v>
      </c>
      <c r="BP57" s="297" t="str">
        <f t="shared" ca="1" si="10"/>
        <v/>
      </c>
      <c r="BQ57" s="297" t="str">
        <f t="shared" ca="1" si="11"/>
        <v/>
      </c>
      <c r="BR57" s="299" t="str">
        <f t="shared" ca="1" si="12"/>
        <v/>
      </c>
      <c r="BS57" s="153" t="str">
        <f t="shared" ca="1" si="13"/>
        <v/>
      </c>
      <c r="BT57" s="153" t="str">
        <f t="shared" ca="1" si="14"/>
        <v/>
      </c>
      <c r="BU57" s="300" t="str">
        <f t="shared" ca="1" si="15"/>
        <v/>
      </c>
      <c r="BV57" s="301" t="str">
        <f t="shared" ca="1" si="16"/>
        <v/>
      </c>
      <c r="BW57" s="300" t="str">
        <f t="shared" ca="1" si="17"/>
        <v/>
      </c>
      <c r="BX57" s="301" t="str">
        <f t="shared" ca="1" si="18"/>
        <v/>
      </c>
      <c r="BY57" s="146" t="str">
        <f t="shared" ca="1" si="19"/>
        <v/>
      </c>
      <c r="BZ57" s="146" t="str">
        <f t="shared" ca="1" si="20"/>
        <v/>
      </c>
      <c r="CA57" s="146" t="str">
        <f t="shared" ca="1" si="21"/>
        <v/>
      </c>
      <c r="CB57" s="146" t="str">
        <f t="shared" ca="1" si="22"/>
        <v/>
      </c>
      <c r="CC57" s="302">
        <v>1</v>
      </c>
      <c r="CD57" s="154">
        <f ca="1">IF(BD57,_xll.xCrudeAPO(BS57,BT57,BY57,BZ57,S58,S59,BI57,BL57,BN57,BO57,0,Strike1,AO57,CC57,0,BL57,IF(OptControl=4,0,1),0,1),0)</f>
        <v>0</v>
      </c>
      <c r="CE57" s="155">
        <f ca="1">IF(BD57,_xll.xCrudeAPO(BS57,BT57,BY57,BZ57,S58,S59,BI57,BL57,BN57,BO57,0,Strike1,AO57,CC57,0,BL57,IF(OptControl=4,0,1),1,1)+_xll.xCrudeAPO(BS57,BT57,BY57,BZ57,S58,S59,BI57,BL57,BN57,BO57,0,Strike1,AO57,CC57,0,BL57,IF(OptControl=4,0,1),1,2)+IF(OR(VolSkewFlag=2,ABS(BQ57)&lt;0.0001),0,IF(BQ57&gt;0,-1,1)*CF57*Strike1/BP57^2*BW57/10%),0)</f>
        <v>0</v>
      </c>
      <c r="CF57" s="155">
        <f ca="1">IF(BD57,(_xll.xCrudeAPO(BS57,BT57,BY57,BZ57,S58,S59,BI57,BL57,BN57,BO57,0,Strike1,AO57,CC57,0,BL57,IF(OptControl=4,0,1),3,1)+_xll.xCrudeAPO(BS57,BT57,BY57,BZ57,S58,S59,BI57,BL57,BN57,BO57,0,Strike1,AO57,CC57,0,BL57,IF(OptControl=4,0,1),3,2))/100,0)</f>
        <v>0</v>
      </c>
      <c r="CG57" s="155">
        <f ca="1">IF(BD57,_xll.xCrudeAPO(BS57,BT57,BY57,BZ57,S58,S59,BI57-DaysForThetaCalculation/365.25,BL57-DaysForThetaCalculation/365.25,BN57,BO57,0,Strike1,AO57,CC57,0,BL57,IF(OptControl=4,0,1),0,1)-_xll.xCrudeAPO(BS57,BT57,BY57,BZ57,S58,S59,BI57,BL57,BN57,BO57,0,Strike1,AO57,CC57,0,BL57,IF(OptControl=4,0,1),0,1),0)</f>
        <v>0</v>
      </c>
      <c r="CH57" s="303">
        <f ca="1">IF(BD57,_xll.xCrudeAPO(BS57,BT57,CA57,CB57,S58,S59,BI57,BL57,BN57,BO57,0,Strike2,AO57,CC57,0,BL57,IF(OptControl=3,1,0),0,1),0)</f>
        <v>0</v>
      </c>
      <c r="CI57" s="155">
        <f ca="1">IF(BD57,_xll.xCrudeAPO(BS57,BT57,CA57,CB57,S58,S59,BI57,BL57,BN57,BO57,0,Strike2,AO57,CC57,0,BL57,IF(OptControl=3,1,0),1,1)+_xll.xCrudeAPO(BS57,BT57,CA57,CB57,S58,S59,BI57,BL57,BN57,BO57,0,Strike2,AO57,CC57,0,BL57,IF(OptControl=3,1,0),1,2)+IF(OR(VolSkewFlag=2,ABS(BR57)&lt;0.0001),0,IF(BR57&gt;0,-1,1)*CJ57*Strike2/BP57^2*BX57/10%),0)</f>
        <v>0</v>
      </c>
      <c r="CJ57" s="155">
        <f ca="1">IF(BD57,(_xll.xCrudeAPO(BS57,BT57,CA57,CB57,S58,S59,BI57,BL57,BN57,BO57,0,Strike2,AO57,CC57,0,BL57,IF(OptControl=3,1,0),3,1)+_xll.xCrudeAPO(BS57,BT57,CA57,CB57,S58,S59,BI57,BL57,BN57,BO57,0,Strike2,AO57,CC57,0,BL57,IF(OptControl=3,1,0),3,2))/100,0)</f>
        <v>0</v>
      </c>
      <c r="CK57" s="156">
        <f ca="1">IF(BD57,_xll.xCrudeAPO(BS57,BT57,CA57,CB57,S58,S59,BI57-DaysForThetaCalculation/365.25,BL57-DaysForThetaCalculation/365.25,BN57,BO57,0,Strike2,AO57,CC57,0,BL57,IF(OptControl=3,1,0),0,1)-_xll.xCrudeAPO(BS57,BT57,CA57,CB57,S58,S59,BI57,BL57,BN57,BO57,0,Strike2,AO57,CC57,0,BL57,IF(OptControl=3,1,0),0,1),0)</f>
        <v>0</v>
      </c>
      <c r="CL57" s="51"/>
      <c r="CM57" s="779" t="str">
        <f t="shared" ca="1" si="52"/>
        <v/>
      </c>
      <c r="CN57" s="783" t="str">
        <f t="shared" ca="1" si="53"/>
        <v/>
      </c>
      <c r="CO57" s="780" t="str">
        <f t="shared" ca="1" si="54"/>
        <v/>
      </c>
      <c r="CP57" s="780" t="str">
        <f t="shared" ca="1" si="55"/>
        <v/>
      </c>
      <c r="CQ57" s="780" t="str">
        <f t="shared" ca="1" si="56"/>
        <v/>
      </c>
      <c r="CR57" s="780" t="str">
        <f t="shared" ca="1" si="57"/>
        <v/>
      </c>
      <c r="CS57" s="781" t="str">
        <f t="shared" ca="1" si="58"/>
        <v/>
      </c>
      <c r="CT57" s="782" t="str">
        <f t="shared" ca="1" si="59"/>
        <v/>
      </c>
      <c r="CU57" s="782" t="str">
        <f t="shared" ca="1" si="60"/>
        <v/>
      </c>
      <c r="CV57" s="155">
        <f ca="1">IF(BD57,_xll.EURO(CN57,Strike1,AO57,AO57,CT57,CM57,IF(OptControl=4,0,1),0),0)</f>
        <v>0</v>
      </c>
      <c r="CW57" s="155">
        <f ca="1">IF(BD57,_xll.EURO(CN57,Strike1,AO57,AO57,CT57,CM57,IF(OptControl=4,0,1),1)+IF(OR(VolSkewFlag=2,ABS(CO57)&lt;0.0001),0,IF(CO57&gt;0,-1,1)*CX57*100*Strike1/CN57^2*CQ57/10%),0)</f>
        <v>0</v>
      </c>
      <c r="CX57" s="155">
        <f ca="1">IF(BD57,_xll.EURO(CN57,Strike1,AO57,AO57,CT57,CM57,IF(OptControl=4,0,1),3)/100,0)</f>
        <v>0</v>
      </c>
      <c r="CY57" s="155">
        <f ca="1">IF(BD57,_xll.EURO(CN57,Strike1,AO57,AO57,CT57,CM57,IF(OptControl=4,0,1),0)-_xll.EURO(CN57,Strike1,AO57,AO57,CT57,CM57-1,IF(OptControl=4,0,1),0),0)</f>
        <v>0</v>
      </c>
      <c r="CZ57" s="155">
        <f ca="1">IF(BD57,_xll.EURO(CN57,Strike2,AO57,AO57,CU57,CM57,IF(OptControl=3,1,0),0),0)</f>
        <v>0</v>
      </c>
      <c r="DA57" s="155">
        <f ca="1">IF(BD57,_xll.EURO(CN57,Strike2,AO57,AO57,CU57,CM57,IF(OptControl=3,1,0),1)+IF(OR(VolSkewFlag=2,ABS(CP57)&lt;0.0001),0,IF(CP57&gt;0,-1,1)*DB57*100*Strike2/CN57^2*CR57/10%),0)</f>
        <v>0</v>
      </c>
      <c r="DB57" s="155">
        <f ca="1">IF(BD57,_xll.EURO(CN57,Strike2,AO57,AO57,CU57,CM57,IF(OptControl=3,1,0),3)/100,0)</f>
        <v>0</v>
      </c>
      <c r="DC57" s="156">
        <f ca="1">IF(BD57,_xll.EURO(CN57,Strike2,AO57,AO57,CU57,CM57,IF(OptControl=3,1,0),0)-_xll.EURO(CN57,Strike2,AO57,AO57,CU57,CM57-1,IF(OptControl=3,1,0),0),0)</f>
        <v>0</v>
      </c>
      <c r="DE57" s="651">
        <f t="shared" ca="1" si="61"/>
        <v>38047</v>
      </c>
      <c r="DF57" s="465">
        <v>1E-4</v>
      </c>
      <c r="DG57" s="649">
        <v>1E-4</v>
      </c>
      <c r="DH57" s="650">
        <f t="shared" ca="1" si="182"/>
        <v>38047</v>
      </c>
      <c r="DI57" s="465">
        <v>1E-4</v>
      </c>
      <c r="DJ57" s="649">
        <v>1E-4</v>
      </c>
      <c r="DK57" s="651">
        <f t="shared" ca="1" si="183"/>
        <v>38047</v>
      </c>
      <c r="DL57" s="652">
        <f t="shared" si="184"/>
        <v>5.0100000000000006E-2</v>
      </c>
      <c r="DM57" s="651">
        <f t="shared" ca="1" si="62"/>
        <v>38047</v>
      </c>
      <c r="DN57" s="563">
        <f t="shared" si="63"/>
        <v>-0.12990000000000002</v>
      </c>
      <c r="DO57" s="803">
        <v>-0.13</v>
      </c>
      <c r="DP57" s="650">
        <f t="shared" ca="1" si="185"/>
        <v>38047</v>
      </c>
      <c r="DQ57" s="653">
        <v>1E-4</v>
      </c>
      <c r="DR57" s="590">
        <v>1E-4</v>
      </c>
      <c r="DS57" s="650">
        <f t="shared" ca="1" si="186"/>
        <v>38047</v>
      </c>
      <c r="DT57" s="653">
        <v>1E-4</v>
      </c>
      <c r="DU57" s="590">
        <v>1E-4</v>
      </c>
      <c r="DV57" s="651">
        <f t="shared" ca="1" si="187"/>
        <v>38047</v>
      </c>
      <c r="DW57" s="590">
        <v>1E-4</v>
      </c>
      <c r="DX57" s="651">
        <f t="shared" ca="1" si="64"/>
        <v>38047</v>
      </c>
      <c r="DY57" s="590">
        <f t="shared" si="65"/>
        <v>1E-4</v>
      </c>
      <c r="DZ57" s="1"/>
      <c r="EA57" s="863" t="e">
        <f ca="1">_xll.ASN(X57,X57,AO57,AS57,0,AI57,0,BI57,BL57,1,0)</f>
        <v>#NAME?</v>
      </c>
      <c r="EB57" s="653" t="e">
        <f ca="1">_xll.ASN(X57,X57,AO57,AS57,0,AI57,0,BI57,BL57,1,3)/100</f>
        <v>#NAME?</v>
      </c>
      <c r="EC57" s="653" t="e">
        <f ca="1">_xll.xCrudeAPO(L58,L59,O58,O59,S58,S59,BI57,BL57,AJ57,AK57,0,X57,AO57,1,0,+BL57,1,0,1)</f>
        <v>#NAME?</v>
      </c>
      <c r="ED57" s="869" t="e">
        <f t="shared" ca="1" si="165"/>
        <v>#NAME?</v>
      </c>
      <c r="EE57" s="863" t="e">
        <f t="shared" ca="1" si="29"/>
        <v>#NAME?</v>
      </c>
      <c r="EF57" s="590" t="e">
        <f t="shared" ca="1" si="30"/>
        <v>#NAME?</v>
      </c>
      <c r="EG57" s="862" t="str">
        <f t="shared" ca="1" si="188"/>
        <v/>
      </c>
      <c r="EH57" s="114" t="str">
        <f t="shared" ca="1" si="32"/>
        <v/>
      </c>
      <c r="EI57" s="109" t="str">
        <f t="shared" ca="1" si="33"/>
        <v/>
      </c>
      <c r="EJ57" s="115">
        <f ca="1">IF(BD57,_xll.xASN(BP57,Strike1,AO57,EH57,0,BM57,0,BI57,BL57,IF(OptControl=4,0,1),0),0)</f>
        <v>0</v>
      </c>
      <c r="EK57" s="108">
        <f ca="1">IF(BD57,_xll.xASN(BP57,Strike2,AO57,EI57,0,BM57,0,BI57,BL57,IF(OptControl=3,1,0),0),0)</f>
        <v>0</v>
      </c>
      <c r="EP57" s="53"/>
      <c r="EQ57" s="1"/>
      <c r="ER57" s="681">
        <v>40179</v>
      </c>
      <c r="ES57" s="682">
        <v>43459</v>
      </c>
      <c r="ET57" s="1"/>
      <c r="EU57" s="667" t="s">
        <v>243</v>
      </c>
      <c r="EW57" s="488">
        <v>38</v>
      </c>
      <c r="EX57" s="466">
        <f t="shared" ca="1" si="166"/>
        <v>3.1019849418206706</v>
      </c>
      <c r="EY57" s="824">
        <f t="shared" ca="1" si="189"/>
        <v>0.14367915783685675</v>
      </c>
      <c r="EZ57" s="798">
        <f t="shared" ca="1" si="269"/>
        <v>0.21943117385156227</v>
      </c>
      <c r="FA57" s="468" t="str">
        <f t="shared" ca="1" si="270"/>
        <v/>
      </c>
      <c r="FB57" s="467" t="str">
        <f t="shared" ca="1" si="271"/>
        <v/>
      </c>
      <c r="FC57" s="242">
        <v>0</v>
      </c>
      <c r="FD57" s="589" t="str">
        <f ca="1">IF(OR(FA57="",FA58=""),"",SQRT(SUM(INDEX(FO57:IH57,SwaptionFirstMonthPosition+1):INDEX(FO57:IH57,FN57))/SUM(INDEX($FO$15:$IH$15,SwaptionFirstMonthPosition+1):INDEX($FO$15:$IH$15,FN57))))</f>
        <v/>
      </c>
      <c r="FE57" s="565" t="str">
        <f ca="1">IF(OR(FA57="",FA56=""),"",SQRT(SUM(INDEX(FO57:IH57,SwaptionFirstMonthPosition+1):INDEX(FO57:IH57,FN57-1))/SUM(INDEX($FO$15:$IH$15,SwaptionFirstMonthPosition+1):INDEX($FO$15:$IH$15,FN57-1))))</f>
        <v/>
      </c>
      <c r="FF57" s="562" t="str">
        <f t="shared" ca="1" si="190"/>
        <v/>
      </c>
      <c r="FG57" s="593" t="str">
        <f t="shared" ca="1" si="191"/>
        <v/>
      </c>
      <c r="FH57" s="563" t="str">
        <f t="shared" ca="1" si="192"/>
        <v/>
      </c>
      <c r="FI57" s="563" t="str">
        <f t="shared" ca="1" si="193"/>
        <v/>
      </c>
      <c r="FJ57" s="563" t="str">
        <f t="shared" ca="1" si="194"/>
        <v/>
      </c>
      <c r="FK57" s="564" t="str">
        <f t="shared" ca="1" si="195"/>
        <v/>
      </c>
      <c r="FL57" s="590" t="str">
        <f t="shared" ca="1" si="196"/>
        <v/>
      </c>
      <c r="FM57" s="242"/>
      <c r="FN57" s="657">
        <v>38</v>
      </c>
      <c r="FO57" s="450">
        <f t="shared" ca="1" si="197"/>
        <v>6.737653154267676E-4</v>
      </c>
      <c r="FP57" s="450">
        <f t="shared" ca="1" si="198"/>
        <v>2.5340711719252064E-3</v>
      </c>
      <c r="FQ57" s="450">
        <f t="shared" ca="1" si="199"/>
        <v>2.4529110743022236E-3</v>
      </c>
      <c r="FR57" s="450">
        <f t="shared" ca="1" si="200"/>
        <v>2.7115594503093702E-3</v>
      </c>
      <c r="FS57" s="450">
        <f t="shared" ca="1" si="201"/>
        <v>2.5479793937009262E-3</v>
      </c>
      <c r="FT57" s="450">
        <f t="shared" ca="1" si="202"/>
        <v>2.725672881401328E-3</v>
      </c>
      <c r="FU57" s="450">
        <f t="shared" ca="1" si="203"/>
        <v>2.5642701587772288E-3</v>
      </c>
      <c r="FV57" s="450">
        <f t="shared" ca="1" si="204"/>
        <v>2.4033554764708569E-3</v>
      </c>
      <c r="FW57" s="450">
        <f t="shared" ca="1" si="205"/>
        <v>2.5877938213653439E-3</v>
      </c>
      <c r="FX57" s="450">
        <f t="shared" ca="1" si="206"/>
        <v>2.863107910014586E-3</v>
      </c>
      <c r="FY57" s="450">
        <f t="shared" ca="1" si="207"/>
        <v>2.5330517865372083E-3</v>
      </c>
      <c r="FZ57" s="450">
        <f t="shared" ca="1" si="208"/>
        <v>2.5528061820977257E-3</v>
      </c>
      <c r="GA57" s="450">
        <f t="shared" ca="1" si="209"/>
        <v>2.9309515868886026E-3</v>
      </c>
      <c r="GB57" s="450">
        <f t="shared" ca="1" si="210"/>
        <v>2.6020995024017817E-3</v>
      </c>
      <c r="GC57" s="450">
        <f t="shared" ca="1" si="211"/>
        <v>2.9048584004801783E-3</v>
      </c>
      <c r="GD57" s="450">
        <f t="shared" ca="1" si="212"/>
        <v>2.7595090010958689E-3</v>
      </c>
      <c r="GE57" s="450">
        <f t="shared" ca="1" si="213"/>
        <v>2.7077407212190395E-3</v>
      </c>
      <c r="GF57" s="450">
        <f t="shared" ca="1" si="214"/>
        <v>3.1337889589763065E-3</v>
      </c>
      <c r="GG57" s="450">
        <f t="shared" ca="1" si="215"/>
        <v>2.9038027453034392E-3</v>
      </c>
      <c r="GH57" s="450">
        <f t="shared" ca="1" si="216"/>
        <v>2.8680279173521161E-3</v>
      </c>
      <c r="GI57" s="450">
        <f t="shared" ca="1" si="217"/>
        <v>3.1409033770742243E-3</v>
      </c>
      <c r="GJ57" s="450">
        <f t="shared" ca="1" si="218"/>
        <v>3.2274719024373397E-3</v>
      </c>
      <c r="GK57" s="450">
        <f t="shared" ca="1" si="219"/>
        <v>3.3275052720806854E-3</v>
      </c>
      <c r="GL57" s="450">
        <f t="shared" ca="1" si="220"/>
        <v>3.1101784780521937E-3</v>
      </c>
      <c r="GM57" s="450">
        <f t="shared" ca="1" si="221"/>
        <v>3.5781493169291172E-3</v>
      </c>
      <c r="GN57" s="450">
        <f t="shared" ca="1" si="222"/>
        <v>3.6148843181786371E-3</v>
      </c>
      <c r="GO57" s="450">
        <f t="shared" ca="1" si="223"/>
        <v>3.9196832798566337E-3</v>
      </c>
      <c r="GP57" s="450">
        <f t="shared" ca="1" si="224"/>
        <v>4.0033894108433008E-3</v>
      </c>
      <c r="GQ57" s="450">
        <f t="shared" ca="1" si="225"/>
        <v>4.3942076305258839E-3</v>
      </c>
      <c r="GR57" s="450">
        <f t="shared" ca="1" si="226"/>
        <v>4.701306814683141E-3</v>
      </c>
      <c r="GS57" s="450">
        <f t="shared" ca="1" si="227"/>
        <v>4.9069847590328917E-3</v>
      </c>
      <c r="GT57" s="450">
        <f t="shared" ca="1" si="228"/>
        <v>5.5183750299865912E-3</v>
      </c>
      <c r="GU57" s="450">
        <f t="shared" ca="1" si="229"/>
        <v>5.871142773741035E-3</v>
      </c>
      <c r="GV57" s="450">
        <f t="shared" ca="1" si="230"/>
        <v>6.7460696784469084E-3</v>
      </c>
      <c r="GW57" s="450">
        <f t="shared" ca="1" si="231"/>
        <v>7.5978085927219966E-3</v>
      </c>
      <c r="GX57" s="450">
        <f t="shared" ca="1" si="232"/>
        <v>8.1210427645074697E-3</v>
      </c>
      <c r="GY57" s="450">
        <f t="shared" ca="1" si="233"/>
        <v>1.0081209285556038E-2</v>
      </c>
      <c r="GZ57" s="450">
        <f t="shared" ca="1" si="234"/>
        <v>1.1539263066888772E-2</v>
      </c>
      <c r="HA57" s="450" t="str">
        <f t="shared" si="235"/>
        <v/>
      </c>
      <c r="HB57" s="450" t="str">
        <f t="shared" si="236"/>
        <v/>
      </c>
      <c r="HC57" s="450" t="str">
        <f t="shared" si="237"/>
        <v/>
      </c>
      <c r="HD57" s="450" t="str">
        <f t="shared" si="238"/>
        <v/>
      </c>
      <c r="HE57" s="450" t="str">
        <f t="shared" si="239"/>
        <v/>
      </c>
      <c r="HF57" s="450" t="str">
        <f t="shared" si="240"/>
        <v/>
      </c>
      <c r="HG57" s="450" t="str">
        <f t="shared" si="241"/>
        <v/>
      </c>
      <c r="HH57" s="450" t="str">
        <f t="shared" si="242"/>
        <v/>
      </c>
      <c r="HI57" s="450" t="str">
        <f t="shared" si="243"/>
        <v/>
      </c>
      <c r="HJ57" s="450" t="str">
        <f t="shared" si="244"/>
        <v/>
      </c>
      <c r="HK57" s="450" t="str">
        <f t="shared" si="245"/>
        <v/>
      </c>
      <c r="HL57" s="450" t="str">
        <f t="shared" si="246"/>
        <v/>
      </c>
      <c r="HM57" s="450" t="str">
        <f t="shared" si="247"/>
        <v/>
      </c>
      <c r="HN57" s="450" t="str">
        <f t="shared" si="248"/>
        <v/>
      </c>
      <c r="HO57" s="450" t="str">
        <f t="shared" si="249"/>
        <v/>
      </c>
      <c r="HP57" s="450" t="str">
        <f t="shared" si="250"/>
        <v/>
      </c>
      <c r="HQ57" s="450" t="str">
        <f t="shared" si="251"/>
        <v/>
      </c>
      <c r="HR57" s="450" t="str">
        <f t="shared" si="252"/>
        <v/>
      </c>
      <c r="HS57" s="450" t="str">
        <f t="shared" si="253"/>
        <v/>
      </c>
      <c r="HT57" s="450" t="str">
        <f t="shared" si="254"/>
        <v/>
      </c>
      <c r="HU57" s="450" t="str">
        <f t="shared" si="255"/>
        <v/>
      </c>
      <c r="HV57" s="450" t="str">
        <f t="shared" si="256"/>
        <v/>
      </c>
      <c r="HW57" s="450" t="str">
        <f t="shared" si="257"/>
        <v/>
      </c>
      <c r="HX57" s="450" t="str">
        <f t="shared" si="258"/>
        <v/>
      </c>
      <c r="HY57" s="450" t="str">
        <f t="shared" si="259"/>
        <v/>
      </c>
      <c r="HZ57" s="450" t="str">
        <f t="shared" si="260"/>
        <v/>
      </c>
      <c r="IA57" s="450" t="str">
        <f t="shared" si="261"/>
        <v/>
      </c>
      <c r="IB57" s="450" t="str">
        <f t="shared" si="262"/>
        <v/>
      </c>
      <c r="IC57" s="450" t="str">
        <f t="shared" si="263"/>
        <v/>
      </c>
      <c r="ID57" s="450" t="str">
        <f t="shared" si="264"/>
        <v/>
      </c>
      <c r="IE57" s="450" t="str">
        <f t="shared" si="265"/>
        <v/>
      </c>
      <c r="IF57" s="450" t="str">
        <f t="shared" si="266"/>
        <v/>
      </c>
      <c r="IG57" s="450" t="str">
        <f t="shared" si="267"/>
        <v/>
      </c>
      <c r="IH57" s="658" t="str">
        <f t="shared" si="268"/>
        <v/>
      </c>
      <c r="II57" s="242"/>
    </row>
    <row r="58" spans="1:243">
      <c r="A58" s="49"/>
      <c r="B58" s="49"/>
      <c r="C58" s="49"/>
      <c r="D58" s="49"/>
      <c r="E58" s="49"/>
      <c r="F58" s="49"/>
      <c r="G58" s="49"/>
      <c r="H58" s="49" t="e">
        <f t="shared" ca="1" si="34"/>
        <v>#N/A</v>
      </c>
      <c r="I58" s="369">
        <f t="shared" si="35"/>
        <v>38169</v>
      </c>
      <c r="J58" s="367">
        <v>22.4241666666667</v>
      </c>
      <c r="K58" s="101" t="s">
        <v>268</v>
      </c>
      <c r="L58" s="382">
        <f t="shared" si="36"/>
        <v>22.424166666666665</v>
      </c>
      <c r="M58" s="163">
        <v>0.21281480987602</v>
      </c>
      <c r="N58" s="372">
        <v>0</v>
      </c>
      <c r="O58" s="163">
        <f t="shared" si="37"/>
        <v>0.21281480987602</v>
      </c>
      <c r="P58" s="367">
        <v>21.161056737244198</v>
      </c>
      <c r="Q58" s="101" t="s">
        <v>267</v>
      </c>
      <c r="R58" s="367">
        <f t="shared" ca="1" si="147"/>
        <v>21.161056737244238</v>
      </c>
      <c r="S58" s="814">
        <f t="shared" si="163"/>
        <v>0.37447245429345399</v>
      </c>
      <c r="T58" s="813">
        <f t="shared" si="148"/>
        <v>0.99857438860231351</v>
      </c>
      <c r="U58" s="532">
        <f t="shared" si="149"/>
        <v>0.99999973182439561</v>
      </c>
      <c r="V58" s="379">
        <v>0</v>
      </c>
      <c r="W58" s="424">
        <f t="shared" si="168"/>
        <v>22.382121212121191</v>
      </c>
      <c r="X58" s="405">
        <f t="shared" si="169"/>
        <v>22.382121212121209</v>
      </c>
      <c r="Y58" s="313">
        <f t="shared" si="170"/>
        <v>21.063721212121191</v>
      </c>
      <c r="Z58" s="313">
        <f t="shared" ca="1" si="171"/>
        <v>21.063721212121209</v>
      </c>
      <c r="AA58" s="419">
        <f t="shared" si="1"/>
        <v>1.3184</v>
      </c>
      <c r="AB58" s="423">
        <f t="shared" ca="1" si="2"/>
        <v>1.3184</v>
      </c>
      <c r="AC58" s="218">
        <v>38158</v>
      </c>
      <c r="AD58" s="221">
        <v>38154</v>
      </c>
      <c r="AE58" s="221">
        <v>38153</v>
      </c>
      <c r="AF58" s="221">
        <v>38149</v>
      </c>
      <c r="AG58" s="241" t="s">
        <v>90</v>
      </c>
      <c r="AH58" s="239" t="s">
        <v>497</v>
      </c>
      <c r="AI58" s="141">
        <v>22</v>
      </c>
      <c r="AJ58" s="41">
        <v>14</v>
      </c>
      <c r="AK58" s="41">
        <v>8</v>
      </c>
      <c r="AL58" s="285">
        <v>22</v>
      </c>
      <c r="AM58" s="41">
        <v>10</v>
      </c>
      <c r="AN58" s="142">
        <v>12</v>
      </c>
      <c r="AO58" s="364">
        <v>5.0271057315873301E-2</v>
      </c>
      <c r="AP58" s="145">
        <f t="shared" ca="1" si="41"/>
        <v>0.84845060306370834</v>
      </c>
      <c r="AQ58" s="364">
        <v>4.3641838983819396E-2</v>
      </c>
      <c r="AR58" s="145">
        <f t="shared" ca="1" si="151"/>
        <v>0.87146058098181367</v>
      </c>
      <c r="AS58" s="264">
        <f t="shared" si="172"/>
        <v>0.21303989865232634</v>
      </c>
      <c r="AT58" s="149">
        <f t="shared" si="42"/>
        <v>0.21281480987602</v>
      </c>
      <c r="AU58" s="149">
        <f t="shared" si="4"/>
        <v>0.21284675787040452</v>
      </c>
      <c r="AV58" s="263">
        <f t="shared" ca="1" si="164"/>
        <v>0.20662164793813115</v>
      </c>
      <c r="AW58" s="150" t="str">
        <f t="shared" ca="1" si="173"/>
        <v/>
      </c>
      <c r="AX58" s="149">
        <f t="shared" ca="1" si="152"/>
        <v>3.8182018477089068E-2</v>
      </c>
      <c r="AY58" s="149">
        <f t="shared" ca="1" si="153"/>
        <v>2.0185648979825579E-2</v>
      </c>
      <c r="AZ58" s="149">
        <f t="shared" ca="1" si="154"/>
        <v>9.9691730595725427E-3</v>
      </c>
      <c r="BA58" s="149">
        <f t="shared" ca="1" si="155"/>
        <v>1.000000000000008E-4</v>
      </c>
      <c r="BB58" s="149">
        <f t="shared" ca="1" si="156"/>
        <v>1.000000000000008E-4</v>
      </c>
      <c r="BC58" s="149">
        <f t="shared" ca="1" si="157"/>
        <v>1.000000000000008E-4</v>
      </c>
      <c r="BD58" s="143">
        <f t="shared" ca="1" si="174"/>
        <v>0</v>
      </c>
      <c r="BE58" s="144">
        <f t="shared" ca="1" si="175"/>
        <v>0</v>
      </c>
      <c r="BF58" s="40">
        <f t="shared" si="176"/>
        <v>2004</v>
      </c>
      <c r="BG58" s="139">
        <f t="shared" si="177"/>
        <v>7</v>
      </c>
      <c r="BH58" s="140">
        <f t="shared" ca="1" si="178"/>
        <v>1164</v>
      </c>
      <c r="BI58" s="304">
        <f t="shared" ca="1" si="179"/>
        <v>3.2279260780287475</v>
      </c>
      <c r="BJ58" s="42">
        <f t="shared" ca="1" si="47"/>
        <v>3.2801941385103603</v>
      </c>
      <c r="BK58" s="42">
        <f t="shared" ca="1" si="180"/>
        <v>3.2829319892974924</v>
      </c>
      <c r="BL58" s="42">
        <f t="shared" ca="1" si="181"/>
        <v>3.3100616016427105</v>
      </c>
      <c r="BM58" s="285">
        <f t="shared" si="49"/>
        <v>22</v>
      </c>
      <c r="BN58" s="41">
        <f t="shared" si="50"/>
        <v>14</v>
      </c>
      <c r="BO58" s="41">
        <f t="shared" si="51"/>
        <v>8</v>
      </c>
      <c r="BP58" s="297" t="str">
        <f t="shared" ca="1" si="10"/>
        <v/>
      </c>
      <c r="BQ58" s="297" t="str">
        <f t="shared" ca="1" si="11"/>
        <v/>
      </c>
      <c r="BR58" s="299" t="str">
        <f t="shared" ca="1" si="12"/>
        <v/>
      </c>
      <c r="BS58" s="153" t="str">
        <f t="shared" ca="1" si="13"/>
        <v/>
      </c>
      <c r="BT58" s="153" t="str">
        <f t="shared" ca="1" si="14"/>
        <v/>
      </c>
      <c r="BU58" s="300" t="str">
        <f t="shared" ca="1" si="15"/>
        <v/>
      </c>
      <c r="BV58" s="301" t="str">
        <f t="shared" ca="1" si="16"/>
        <v/>
      </c>
      <c r="BW58" s="300" t="str">
        <f t="shared" ca="1" si="17"/>
        <v/>
      </c>
      <c r="BX58" s="301" t="str">
        <f t="shared" ca="1" si="18"/>
        <v/>
      </c>
      <c r="BY58" s="146" t="str">
        <f t="shared" ca="1" si="19"/>
        <v/>
      </c>
      <c r="BZ58" s="146" t="str">
        <f t="shared" ca="1" si="20"/>
        <v/>
      </c>
      <c r="CA58" s="146" t="str">
        <f t="shared" ca="1" si="21"/>
        <v/>
      </c>
      <c r="CB58" s="146" t="str">
        <f t="shared" ca="1" si="22"/>
        <v/>
      </c>
      <c r="CC58" s="302">
        <v>1</v>
      </c>
      <c r="CD58" s="154">
        <f ca="1">IF(BD58,_xll.xCrudeAPO(BS58,BT58,BY58,BZ58,S59,S60,BI58,BL58,BN58,BO58,0,Strike1,AO58,CC58,0,BL58,IF(OptControl=4,0,1),0,1),0)</f>
        <v>0</v>
      </c>
      <c r="CE58" s="155">
        <f ca="1">IF(BD58,_xll.xCrudeAPO(BS58,BT58,BY58,BZ58,S59,S60,BI58,BL58,BN58,BO58,0,Strike1,AO58,CC58,0,BL58,IF(OptControl=4,0,1),1,1)+_xll.xCrudeAPO(BS58,BT58,BY58,BZ58,S59,S60,BI58,BL58,BN58,BO58,0,Strike1,AO58,CC58,0,BL58,IF(OptControl=4,0,1),1,2)+IF(OR(VolSkewFlag=2,ABS(BQ58)&lt;0.0001),0,IF(BQ58&gt;0,-1,1)*CF58*Strike1/BP58^2*BW58/10%),0)</f>
        <v>0</v>
      </c>
      <c r="CF58" s="155">
        <f ca="1">IF(BD58,(_xll.xCrudeAPO(BS58,BT58,BY58,BZ58,S59,S60,BI58,BL58,BN58,BO58,0,Strike1,AO58,CC58,0,BL58,IF(OptControl=4,0,1),3,1)+_xll.xCrudeAPO(BS58,BT58,BY58,BZ58,S59,S60,BI58,BL58,BN58,BO58,0,Strike1,AO58,CC58,0,BL58,IF(OptControl=4,0,1),3,2))/100,0)</f>
        <v>0</v>
      </c>
      <c r="CG58" s="155">
        <f ca="1">IF(BD58,_xll.xCrudeAPO(BS58,BT58,BY58,BZ58,S59,S60,BI58-DaysForThetaCalculation/365.25,BL58-DaysForThetaCalculation/365.25,BN58,BO58,0,Strike1,AO58,CC58,0,BL58,IF(OptControl=4,0,1),0,1)-_xll.xCrudeAPO(BS58,BT58,BY58,BZ58,S59,S60,BI58,BL58,BN58,BO58,0,Strike1,AO58,CC58,0,BL58,IF(OptControl=4,0,1),0,1),0)</f>
        <v>0</v>
      </c>
      <c r="CH58" s="303">
        <f ca="1">IF(BD58,_xll.xCrudeAPO(BS58,BT58,CA58,CB58,S59,S60,BI58,BL58,BN58,BO58,0,Strike2,AO58,CC58,0,BL58,IF(OptControl=3,1,0),0,1),0)</f>
        <v>0</v>
      </c>
      <c r="CI58" s="155">
        <f ca="1">IF(BD58,_xll.xCrudeAPO(BS58,BT58,CA58,CB58,S59,S60,BI58,BL58,BN58,BO58,0,Strike2,AO58,CC58,0,BL58,IF(OptControl=3,1,0),1,1)+_xll.xCrudeAPO(BS58,BT58,CA58,CB58,S59,S60,BI58,BL58,BN58,BO58,0,Strike2,AO58,CC58,0,BL58,IF(OptControl=3,1,0),1,2)+IF(OR(VolSkewFlag=2,ABS(BR58)&lt;0.0001),0,IF(BR58&gt;0,-1,1)*CJ58*Strike2/BP58^2*BX58/10%),0)</f>
        <v>0</v>
      </c>
      <c r="CJ58" s="155">
        <f ca="1">IF(BD58,(_xll.xCrudeAPO(BS58,BT58,CA58,CB58,S59,S60,BI58,BL58,BN58,BO58,0,Strike2,AO58,CC58,0,BL58,IF(OptControl=3,1,0),3,1)+_xll.xCrudeAPO(BS58,BT58,CA58,CB58,S59,S60,BI58,BL58,BN58,BO58,0,Strike2,AO58,CC58,0,BL58,IF(OptControl=3,1,0),3,2))/100,0)</f>
        <v>0</v>
      </c>
      <c r="CK58" s="156">
        <f ca="1">IF(BD58,_xll.xCrudeAPO(BS58,BT58,CA58,CB58,S59,S60,BI58-DaysForThetaCalculation/365.25,BL58-DaysForThetaCalculation/365.25,BN58,BO58,0,Strike2,AO58,CC58,0,BL58,IF(OptControl=3,1,0),0,1)-_xll.xCrudeAPO(BS58,BT58,CA58,CB58,S59,S60,BI58,BL58,BN58,BO58,0,Strike2,AO58,CC58,0,BL58,IF(OptControl=3,1,0),0,1),0)</f>
        <v>0</v>
      </c>
      <c r="CL58" s="51"/>
      <c r="CM58" s="779" t="str">
        <f t="shared" ca="1" si="52"/>
        <v/>
      </c>
      <c r="CN58" s="783" t="str">
        <f t="shared" ca="1" si="53"/>
        <v/>
      </c>
      <c r="CO58" s="780" t="str">
        <f t="shared" ca="1" si="54"/>
        <v/>
      </c>
      <c r="CP58" s="780" t="str">
        <f t="shared" ca="1" si="55"/>
        <v/>
      </c>
      <c r="CQ58" s="780" t="str">
        <f t="shared" ca="1" si="56"/>
        <v/>
      </c>
      <c r="CR58" s="780" t="str">
        <f t="shared" ca="1" si="57"/>
        <v/>
      </c>
      <c r="CS58" s="781" t="str">
        <f t="shared" ca="1" si="58"/>
        <v/>
      </c>
      <c r="CT58" s="782" t="str">
        <f t="shared" ca="1" si="59"/>
        <v/>
      </c>
      <c r="CU58" s="782" t="str">
        <f t="shared" ca="1" si="60"/>
        <v/>
      </c>
      <c r="CV58" s="155">
        <f ca="1">IF(BD58,_xll.EURO(CN58,Strike1,AO58,AO58,CT58,CM58,IF(OptControl=4,0,1),0),0)</f>
        <v>0</v>
      </c>
      <c r="CW58" s="155">
        <f ca="1">IF(BD58,_xll.EURO(CN58,Strike1,AO58,AO58,CT58,CM58,IF(OptControl=4,0,1),1)+IF(OR(VolSkewFlag=2,ABS(CO58)&lt;0.0001),0,IF(CO58&gt;0,-1,1)*CX58*100*Strike1/CN58^2*CQ58/10%),0)</f>
        <v>0</v>
      </c>
      <c r="CX58" s="155">
        <f ca="1">IF(BD58,_xll.EURO(CN58,Strike1,AO58,AO58,CT58,CM58,IF(OptControl=4,0,1),3)/100,0)</f>
        <v>0</v>
      </c>
      <c r="CY58" s="155">
        <f ca="1">IF(BD58,_xll.EURO(CN58,Strike1,AO58,AO58,CT58,CM58,IF(OptControl=4,0,1),0)-_xll.EURO(CN58,Strike1,AO58,AO58,CT58,CM58-1,IF(OptControl=4,0,1),0),0)</f>
        <v>0</v>
      </c>
      <c r="CZ58" s="155">
        <f ca="1">IF(BD58,_xll.EURO(CN58,Strike2,AO58,AO58,CU58,CM58,IF(OptControl=3,1,0),0),0)</f>
        <v>0</v>
      </c>
      <c r="DA58" s="155">
        <f ca="1">IF(BD58,_xll.EURO(CN58,Strike2,AO58,AO58,CU58,CM58,IF(OptControl=3,1,0),1)+IF(OR(VolSkewFlag=2,ABS(CP58)&lt;0.0001),0,IF(CP58&gt;0,-1,1)*DB58*100*Strike2/CN58^2*CR58/10%),0)</f>
        <v>0</v>
      </c>
      <c r="DB58" s="155">
        <f ca="1">IF(BD58,_xll.EURO(CN58,Strike2,AO58,AO58,CU58,CM58,IF(OptControl=3,1,0),3)/100,0)</f>
        <v>0</v>
      </c>
      <c r="DC58" s="156">
        <f ca="1">IF(BD58,_xll.EURO(CN58,Strike2,AO58,AO58,CU58,CM58,IF(OptControl=3,1,0),0)-_xll.EURO(CN58,Strike2,AO58,AO58,CU58,CM58-1,IF(OptControl=3,1,0),0),0)</f>
        <v>0</v>
      </c>
      <c r="DE58" s="651">
        <f t="shared" ca="1" si="61"/>
        <v>38078</v>
      </c>
      <c r="DF58" s="465">
        <v>1E-4</v>
      </c>
      <c r="DG58" s="649">
        <v>1E-4</v>
      </c>
      <c r="DH58" s="650">
        <f t="shared" ca="1" si="182"/>
        <v>38078</v>
      </c>
      <c r="DI58" s="465">
        <v>1E-4</v>
      </c>
      <c r="DJ58" s="649">
        <v>1E-4</v>
      </c>
      <c r="DK58" s="651">
        <f t="shared" ca="1" si="183"/>
        <v>38078</v>
      </c>
      <c r="DL58" s="652">
        <f t="shared" si="184"/>
        <v>5.0100000000000006E-2</v>
      </c>
      <c r="DM58" s="651">
        <f t="shared" ca="1" si="62"/>
        <v>38078</v>
      </c>
      <c r="DN58" s="563">
        <f t="shared" si="63"/>
        <v>-0.12990000000000002</v>
      </c>
      <c r="DO58" s="803">
        <v>-0.13</v>
      </c>
      <c r="DP58" s="650">
        <f t="shared" ca="1" si="185"/>
        <v>38078</v>
      </c>
      <c r="DQ58" s="653">
        <v>1E-4</v>
      </c>
      <c r="DR58" s="590">
        <v>1E-4</v>
      </c>
      <c r="DS58" s="650">
        <f t="shared" ca="1" si="186"/>
        <v>38078</v>
      </c>
      <c r="DT58" s="653">
        <v>1E-4</v>
      </c>
      <c r="DU58" s="590">
        <v>1E-4</v>
      </c>
      <c r="DV58" s="651">
        <f t="shared" ca="1" si="187"/>
        <v>38078</v>
      </c>
      <c r="DW58" s="590">
        <v>1E-4</v>
      </c>
      <c r="DX58" s="651">
        <f t="shared" ca="1" si="64"/>
        <v>38078</v>
      </c>
      <c r="DY58" s="590">
        <f t="shared" si="65"/>
        <v>1E-4</v>
      </c>
      <c r="DZ58" s="1"/>
      <c r="EA58" s="863" t="e">
        <f ca="1">_xll.ASN(X58,X58,AO58,AS58,0,AI58,0,BI58,BL58,1,0)</f>
        <v>#NAME?</v>
      </c>
      <c r="EB58" s="653" t="e">
        <f ca="1">_xll.ASN(X58,X58,AO58,AS58,0,AI58,0,BI58,BL58,1,3)/100</f>
        <v>#NAME?</v>
      </c>
      <c r="EC58" s="653" t="e">
        <f ca="1">_xll.xCrudeAPO(L59,L60,O59,O60,S59,S60,BI58,BL58,AJ58,AK58,0,X58,AO58,1,0,+BL58,1,0,1)</f>
        <v>#NAME?</v>
      </c>
      <c r="ED58" s="869" t="e">
        <f t="shared" ca="1" si="165"/>
        <v>#NAME?</v>
      </c>
      <c r="EE58" s="863" t="e">
        <f t="shared" ca="1" si="29"/>
        <v>#NAME?</v>
      </c>
      <c r="EF58" s="590" t="e">
        <f t="shared" ca="1" si="30"/>
        <v>#NAME?</v>
      </c>
      <c r="EG58" s="862" t="str">
        <f t="shared" ca="1" si="188"/>
        <v/>
      </c>
      <c r="EH58" s="114" t="str">
        <f t="shared" ca="1" si="32"/>
        <v/>
      </c>
      <c r="EI58" s="109" t="str">
        <f t="shared" ca="1" si="33"/>
        <v/>
      </c>
      <c r="EJ58" s="115">
        <f ca="1">IF(BD58,_xll.xASN(BP58,Strike1,AO58,EH58,0,BM58,0,BI58,BL58,IF(OptControl=4,0,1),0),0)</f>
        <v>0</v>
      </c>
      <c r="EK58" s="108">
        <f ca="1">IF(BD58,_xll.xASN(BP58,Strike2,AO58,EI58,0,BM58,0,BI58,BL58,IF(OptControl=3,1,0),0),0)</f>
        <v>0</v>
      </c>
      <c r="EP58" s="53"/>
      <c r="EQ58" s="1"/>
      <c r="ER58" s="681">
        <v>40363</v>
      </c>
      <c r="ES58" s="682">
        <v>43466</v>
      </c>
      <c r="ET58" s="1"/>
      <c r="EU58" s="667" t="s">
        <v>244</v>
      </c>
      <c r="EW58" s="488">
        <v>39</v>
      </c>
      <c r="EX58" s="466">
        <f t="shared" ca="1" si="166"/>
        <v>3.1868583162217661</v>
      </c>
      <c r="EY58" s="824">
        <f t="shared" ca="1" si="189"/>
        <v>0.1443332698266597</v>
      </c>
      <c r="EZ58" s="798">
        <f t="shared" ca="1" si="269"/>
        <v>0.21828329936142202</v>
      </c>
      <c r="FA58" s="468" t="str">
        <f t="shared" ca="1" si="270"/>
        <v/>
      </c>
      <c r="FB58" s="467" t="str">
        <f t="shared" ca="1" si="271"/>
        <v/>
      </c>
      <c r="FC58" s="242">
        <v>0</v>
      </c>
      <c r="FD58" s="589" t="str">
        <f ca="1">IF(OR(FA58="",FA59=""),"",SQRT(SUM(INDEX(FO58:IH58,SwaptionFirstMonthPosition+1):INDEX(FO58:IH58,FN58))/SUM(INDEX($FO$15:$IH$15,SwaptionFirstMonthPosition+1):INDEX($FO$15:$IH$15,FN58))))</f>
        <v/>
      </c>
      <c r="FE58" s="565" t="str">
        <f ca="1">IF(OR(FA58="",FA57=""),"",SQRT(SUM(INDEX(FO58:IH58,SwaptionFirstMonthPosition+1):INDEX(FO58:IH58,FN58-1))/SUM(INDEX($FO$15:$IH$15,SwaptionFirstMonthPosition+1):INDEX($FO$15:$IH$15,FN58-1))))</f>
        <v/>
      </c>
      <c r="FF58" s="562" t="str">
        <f t="shared" ca="1" si="190"/>
        <v/>
      </c>
      <c r="FG58" s="593" t="str">
        <f t="shared" ca="1" si="191"/>
        <v/>
      </c>
      <c r="FH58" s="563" t="str">
        <f t="shared" ca="1" si="192"/>
        <v/>
      </c>
      <c r="FI58" s="563" t="str">
        <f t="shared" ca="1" si="193"/>
        <v/>
      </c>
      <c r="FJ58" s="563" t="str">
        <f t="shared" ca="1" si="194"/>
        <v/>
      </c>
      <c r="FK58" s="564" t="str">
        <f t="shared" ca="1" si="195"/>
        <v/>
      </c>
      <c r="FL58" s="590" t="str">
        <f t="shared" ca="1" si="196"/>
        <v/>
      </c>
      <c r="FM58" s="242"/>
      <c r="FN58" s="657">
        <v>39</v>
      </c>
      <c r="FO58" s="450">
        <f t="shared" ca="1" si="197"/>
        <v>6.7163253152182332E-4</v>
      </c>
      <c r="FP58" s="450">
        <f t="shared" ca="1" si="198"/>
        <v>2.5251583649058425E-3</v>
      </c>
      <c r="FQ58" s="450">
        <f t="shared" ca="1" si="199"/>
        <v>2.4433251280531259E-3</v>
      </c>
      <c r="FR58" s="450">
        <f t="shared" ca="1" si="200"/>
        <v>2.6997852937371562E-3</v>
      </c>
      <c r="FS58" s="450">
        <f t="shared" ca="1" si="201"/>
        <v>2.5356862183062334E-3</v>
      </c>
      <c r="FT58" s="450">
        <f t="shared" ca="1" si="202"/>
        <v>2.7110612270395055E-3</v>
      </c>
      <c r="FU58" s="450">
        <f t="shared" ca="1" si="203"/>
        <v>2.5489963648756067E-3</v>
      </c>
      <c r="FV58" s="450">
        <f t="shared" ca="1" si="204"/>
        <v>2.3874495617500534E-3</v>
      </c>
      <c r="FW58" s="450">
        <f t="shared" ca="1" si="205"/>
        <v>2.5687643028254746E-3</v>
      </c>
      <c r="FX58" s="450">
        <f t="shared" ca="1" si="206"/>
        <v>2.8397145105845205E-3</v>
      </c>
      <c r="FY58" s="450">
        <f t="shared" ca="1" si="207"/>
        <v>2.5100555282046165E-3</v>
      </c>
      <c r="FZ58" s="450">
        <f t="shared" ca="1" si="208"/>
        <v>2.5270555174258043E-3</v>
      </c>
      <c r="GA58" s="450">
        <f t="shared" ca="1" si="209"/>
        <v>2.8981014838604193E-3</v>
      </c>
      <c r="GB58" s="450">
        <f t="shared" ca="1" si="210"/>
        <v>2.5696946922575776E-3</v>
      </c>
      <c r="GC58" s="450">
        <f t="shared" ca="1" si="211"/>
        <v>2.8646637700901699E-3</v>
      </c>
      <c r="GD58" s="450">
        <f t="shared" ca="1" si="212"/>
        <v>2.7170829727494674E-3</v>
      </c>
      <c r="GE58" s="450">
        <f t="shared" ca="1" si="213"/>
        <v>2.6614850348521601E-3</v>
      </c>
      <c r="GF58" s="450">
        <f t="shared" ca="1" si="214"/>
        <v>3.0743069963158408E-3</v>
      </c>
      <c r="GG58" s="450">
        <f t="shared" ca="1" si="215"/>
        <v>2.8425620453319755E-3</v>
      </c>
      <c r="GH58" s="450">
        <f t="shared" ca="1" si="216"/>
        <v>2.8008210117864865E-3</v>
      </c>
      <c r="GI58" s="450">
        <f t="shared" ca="1" si="217"/>
        <v>3.0591242271043647E-3</v>
      </c>
      <c r="GJ58" s="450">
        <f t="shared" ca="1" si="218"/>
        <v>3.1341017696916475E-3</v>
      </c>
      <c r="GK58" s="450">
        <f t="shared" ca="1" si="219"/>
        <v>3.2205451847230324E-3</v>
      </c>
      <c r="GL58" s="450">
        <f t="shared" ca="1" si="220"/>
        <v>2.999095938729093E-3</v>
      </c>
      <c r="GM58" s="450">
        <f t="shared" ca="1" si="221"/>
        <v>3.4361532099866465E-3</v>
      </c>
      <c r="GN58" s="450">
        <f t="shared" ca="1" si="222"/>
        <v>3.455491087903544E-3</v>
      </c>
      <c r="GO58" s="450">
        <f t="shared" ca="1" si="223"/>
        <v>3.7276467120811443E-3</v>
      </c>
      <c r="GP58" s="450">
        <f t="shared" ca="1" si="224"/>
        <v>3.7854587751723705E-3</v>
      </c>
      <c r="GQ58" s="450">
        <f t="shared" ca="1" si="225"/>
        <v>4.1284238258780907E-3</v>
      </c>
      <c r="GR58" s="450">
        <f t="shared" ca="1" si="226"/>
        <v>4.3853526927808886E-3</v>
      </c>
      <c r="GS58" s="450">
        <f t="shared" ca="1" si="227"/>
        <v>4.5405660584362803E-3</v>
      </c>
      <c r="GT58" s="450">
        <f t="shared" ca="1" si="228"/>
        <v>5.0605161688849608E-3</v>
      </c>
      <c r="GU58" s="450">
        <f t="shared" ca="1" si="229"/>
        <v>5.3298894903131278E-3</v>
      </c>
      <c r="GV58" s="450">
        <f t="shared" ca="1" si="230"/>
        <v>6.0550566821689095E-3</v>
      </c>
      <c r="GW58" s="450">
        <f t="shared" ca="1" si="231"/>
        <v>6.7330771876133915E-3</v>
      </c>
      <c r="GX58" s="450">
        <f t="shared" ca="1" si="232"/>
        <v>7.0940623259305212E-3</v>
      </c>
      <c r="GY58" s="450">
        <f t="shared" ca="1" si="233"/>
        <v>8.664696511452909E-3</v>
      </c>
      <c r="GZ58" s="450">
        <f t="shared" ca="1" si="234"/>
        <v>9.7377250574663416E-3</v>
      </c>
      <c r="HA58" s="450">
        <f t="shared" ca="1" si="235"/>
        <v>1.1901760957594709E-2</v>
      </c>
      <c r="HB58" s="450" t="str">
        <f t="shared" si="236"/>
        <v/>
      </c>
      <c r="HC58" s="450" t="str">
        <f t="shared" si="237"/>
        <v/>
      </c>
      <c r="HD58" s="450" t="str">
        <f t="shared" si="238"/>
        <v/>
      </c>
      <c r="HE58" s="450" t="str">
        <f t="shared" si="239"/>
        <v/>
      </c>
      <c r="HF58" s="450" t="str">
        <f t="shared" si="240"/>
        <v/>
      </c>
      <c r="HG58" s="450" t="str">
        <f t="shared" si="241"/>
        <v/>
      </c>
      <c r="HH58" s="450" t="str">
        <f t="shared" si="242"/>
        <v/>
      </c>
      <c r="HI58" s="450" t="str">
        <f t="shared" si="243"/>
        <v/>
      </c>
      <c r="HJ58" s="450" t="str">
        <f t="shared" si="244"/>
        <v/>
      </c>
      <c r="HK58" s="450" t="str">
        <f t="shared" si="245"/>
        <v/>
      </c>
      <c r="HL58" s="450" t="str">
        <f t="shared" si="246"/>
        <v/>
      </c>
      <c r="HM58" s="450" t="str">
        <f t="shared" si="247"/>
        <v/>
      </c>
      <c r="HN58" s="450" t="str">
        <f t="shared" si="248"/>
        <v/>
      </c>
      <c r="HO58" s="450" t="str">
        <f t="shared" si="249"/>
        <v/>
      </c>
      <c r="HP58" s="450" t="str">
        <f t="shared" si="250"/>
        <v/>
      </c>
      <c r="HQ58" s="450" t="str">
        <f t="shared" si="251"/>
        <v/>
      </c>
      <c r="HR58" s="450" t="str">
        <f t="shared" si="252"/>
        <v/>
      </c>
      <c r="HS58" s="450" t="str">
        <f t="shared" si="253"/>
        <v/>
      </c>
      <c r="HT58" s="450" t="str">
        <f t="shared" si="254"/>
        <v/>
      </c>
      <c r="HU58" s="450" t="str">
        <f t="shared" si="255"/>
        <v/>
      </c>
      <c r="HV58" s="450" t="str">
        <f t="shared" si="256"/>
        <v/>
      </c>
      <c r="HW58" s="450" t="str">
        <f t="shared" si="257"/>
        <v/>
      </c>
      <c r="HX58" s="450" t="str">
        <f t="shared" si="258"/>
        <v/>
      </c>
      <c r="HY58" s="450" t="str">
        <f t="shared" si="259"/>
        <v/>
      </c>
      <c r="HZ58" s="450" t="str">
        <f t="shared" si="260"/>
        <v/>
      </c>
      <c r="IA58" s="450" t="str">
        <f t="shared" si="261"/>
        <v/>
      </c>
      <c r="IB58" s="450" t="str">
        <f t="shared" si="262"/>
        <v/>
      </c>
      <c r="IC58" s="450" t="str">
        <f t="shared" si="263"/>
        <v/>
      </c>
      <c r="ID58" s="450" t="str">
        <f t="shared" si="264"/>
        <v/>
      </c>
      <c r="IE58" s="450" t="str">
        <f t="shared" si="265"/>
        <v/>
      </c>
      <c r="IF58" s="450" t="str">
        <f t="shared" si="266"/>
        <v/>
      </c>
      <c r="IG58" s="450" t="str">
        <f t="shared" si="267"/>
        <v/>
      </c>
      <c r="IH58" s="658" t="str">
        <f t="shared" si="268"/>
        <v/>
      </c>
      <c r="II58" s="242"/>
    </row>
    <row r="59" spans="1:243">
      <c r="A59" s="49"/>
      <c r="B59" s="49"/>
      <c r="C59" s="49"/>
      <c r="D59" s="49"/>
      <c r="E59" s="49"/>
      <c r="F59" s="49"/>
      <c r="G59" s="49"/>
      <c r="H59" s="49" t="e">
        <f t="shared" ca="1" si="34"/>
        <v>#N/A</v>
      </c>
      <c r="I59" s="369">
        <f t="shared" si="35"/>
        <v>38200</v>
      </c>
      <c r="J59" s="367">
        <v>22.393333333333299</v>
      </c>
      <c r="K59" s="101" t="s">
        <v>268</v>
      </c>
      <c r="L59" s="382">
        <f t="shared" si="36"/>
        <v>22.393333333333334</v>
      </c>
      <c r="M59" s="163">
        <v>0.21342618021616996</v>
      </c>
      <c r="N59" s="372">
        <v>0</v>
      </c>
      <c r="O59" s="163">
        <f t="shared" si="37"/>
        <v>0.21342618021616996</v>
      </c>
      <c r="P59" s="367">
        <v>20.9922027189631</v>
      </c>
      <c r="Q59" s="101" t="s">
        <v>267</v>
      </c>
      <c r="R59" s="367">
        <f t="shared" ca="1" si="147"/>
        <v>20.992202718963132</v>
      </c>
      <c r="S59" s="814">
        <f t="shared" si="163"/>
        <v>0.37412772975051944</v>
      </c>
      <c r="T59" s="813">
        <f t="shared" si="148"/>
        <v>0.99871706136907157</v>
      </c>
      <c r="U59" s="532">
        <f t="shared" si="149"/>
        <v>0.99999979886829671</v>
      </c>
      <c r="V59" s="379">
        <v>0</v>
      </c>
      <c r="W59" s="424">
        <f t="shared" si="168"/>
        <v>22.352689393939404</v>
      </c>
      <c r="X59" s="405">
        <f t="shared" si="169"/>
        <v>22.352689393939393</v>
      </c>
      <c r="Y59" s="313">
        <f t="shared" si="170"/>
        <v>21.034289393939403</v>
      </c>
      <c r="Z59" s="313">
        <f t="shared" ca="1" si="171"/>
        <v>21.034289393939392</v>
      </c>
      <c r="AA59" s="419">
        <f t="shared" si="1"/>
        <v>1.3184</v>
      </c>
      <c r="AB59" s="423">
        <f t="shared" ca="1" si="2"/>
        <v>1.3184</v>
      </c>
      <c r="AC59" s="218">
        <v>38188</v>
      </c>
      <c r="AD59" s="221">
        <v>38184</v>
      </c>
      <c r="AE59" s="221">
        <v>38183</v>
      </c>
      <c r="AF59" s="221">
        <v>38179</v>
      </c>
      <c r="AG59" s="241" t="s">
        <v>90</v>
      </c>
      <c r="AH59" s="239" t="s">
        <v>497</v>
      </c>
      <c r="AI59" s="141">
        <v>22</v>
      </c>
      <c r="AJ59" s="41">
        <v>15</v>
      </c>
      <c r="AK59" s="41">
        <v>7</v>
      </c>
      <c r="AL59" s="285">
        <v>22</v>
      </c>
      <c r="AM59" s="41">
        <v>10</v>
      </c>
      <c r="AN59" s="142">
        <v>12</v>
      </c>
      <c r="AO59" s="364">
        <v>5.0460440905398606E-2</v>
      </c>
      <c r="AP59" s="145">
        <f t="shared" ca="1" si="41"/>
        <v>0.84435310760823556</v>
      </c>
      <c r="AQ59" s="364">
        <v>4.3824030766416798E-2</v>
      </c>
      <c r="AR59" s="145">
        <f t="shared" ca="1" si="151"/>
        <v>0.86786988164660606</v>
      </c>
      <c r="AS59" s="264">
        <f t="shared" si="172"/>
        <v>0.21213655276740362</v>
      </c>
      <c r="AT59" s="149">
        <f t="shared" si="42"/>
        <v>0.21342618021616996</v>
      </c>
      <c r="AU59" s="149">
        <f t="shared" si="4"/>
        <v>0.21197415766154909</v>
      </c>
      <c r="AV59" s="263">
        <f t="shared" ca="1" si="164"/>
        <v>0.20764683483243276</v>
      </c>
      <c r="AW59" s="150" t="str">
        <f t="shared" ca="1" si="173"/>
        <v/>
      </c>
      <c r="AX59" s="149">
        <f t="shared" ca="1" si="152"/>
        <v>3.7645629320821737E-2</v>
      </c>
      <c r="AY59" s="149">
        <f t="shared" ca="1" si="153"/>
        <v>1.9838337358109796E-2</v>
      </c>
      <c r="AZ59" s="149">
        <f t="shared" ca="1" si="154"/>
        <v>9.8503613554397889E-3</v>
      </c>
      <c r="BA59" s="149">
        <f t="shared" ca="1" si="155"/>
        <v>1.0000000000000086E-4</v>
      </c>
      <c r="BB59" s="149">
        <f t="shared" ca="1" si="156"/>
        <v>1.0000000000000086E-4</v>
      </c>
      <c r="BC59" s="149">
        <f t="shared" ca="1" si="157"/>
        <v>1.0000000000000086E-4</v>
      </c>
      <c r="BD59" s="143">
        <f t="shared" ca="1" si="174"/>
        <v>0</v>
      </c>
      <c r="BE59" s="144">
        <f t="shared" ca="1" si="175"/>
        <v>0</v>
      </c>
      <c r="BF59" s="40">
        <f t="shared" si="176"/>
        <v>2004</v>
      </c>
      <c r="BG59" s="139">
        <f t="shared" si="177"/>
        <v>8</v>
      </c>
      <c r="BH59" s="140">
        <f t="shared" ca="1" si="178"/>
        <v>1194</v>
      </c>
      <c r="BI59" s="304">
        <f t="shared" ca="1" si="179"/>
        <v>3.3127994524298425</v>
      </c>
      <c r="BJ59" s="42">
        <f t="shared" ca="1" si="47"/>
        <v>3.3688009458029993</v>
      </c>
      <c r="BK59" s="42">
        <f t="shared" ca="1" si="180"/>
        <v>3.3715387965901313</v>
      </c>
      <c r="BL59" s="42">
        <f t="shared" ca="1" si="181"/>
        <v>3.3949349760438055</v>
      </c>
      <c r="BM59" s="285">
        <f t="shared" si="49"/>
        <v>22</v>
      </c>
      <c r="BN59" s="41">
        <f t="shared" si="50"/>
        <v>15</v>
      </c>
      <c r="BO59" s="41">
        <f t="shared" si="51"/>
        <v>7</v>
      </c>
      <c r="BP59" s="297" t="str">
        <f t="shared" ca="1" si="10"/>
        <v/>
      </c>
      <c r="BQ59" s="297" t="str">
        <f t="shared" ca="1" si="11"/>
        <v/>
      </c>
      <c r="BR59" s="299" t="str">
        <f t="shared" ca="1" si="12"/>
        <v/>
      </c>
      <c r="BS59" s="153" t="str">
        <f t="shared" ca="1" si="13"/>
        <v/>
      </c>
      <c r="BT59" s="153" t="str">
        <f t="shared" ca="1" si="14"/>
        <v/>
      </c>
      <c r="BU59" s="300" t="str">
        <f t="shared" ca="1" si="15"/>
        <v/>
      </c>
      <c r="BV59" s="301" t="str">
        <f t="shared" ca="1" si="16"/>
        <v/>
      </c>
      <c r="BW59" s="300" t="str">
        <f t="shared" ca="1" si="17"/>
        <v/>
      </c>
      <c r="BX59" s="301" t="str">
        <f t="shared" ca="1" si="18"/>
        <v/>
      </c>
      <c r="BY59" s="146" t="str">
        <f t="shared" ca="1" si="19"/>
        <v/>
      </c>
      <c r="BZ59" s="146" t="str">
        <f t="shared" ca="1" si="20"/>
        <v/>
      </c>
      <c r="CA59" s="146" t="str">
        <f t="shared" ca="1" si="21"/>
        <v/>
      </c>
      <c r="CB59" s="146" t="str">
        <f t="shared" ca="1" si="22"/>
        <v/>
      </c>
      <c r="CC59" s="302">
        <v>1</v>
      </c>
      <c r="CD59" s="154">
        <f ca="1">IF(BD59,_xll.xCrudeAPO(BS59,BT59,BY59,BZ59,S60,S61,BI59,BL59,BN59,BO59,0,Strike1,AO59,CC59,0,BL59,IF(OptControl=4,0,1),0,1),0)</f>
        <v>0</v>
      </c>
      <c r="CE59" s="155">
        <f ca="1">IF(BD59,_xll.xCrudeAPO(BS59,BT59,BY59,BZ59,S60,S61,BI59,BL59,BN59,BO59,0,Strike1,AO59,CC59,0,BL59,IF(OptControl=4,0,1),1,1)+_xll.xCrudeAPO(BS59,BT59,BY59,BZ59,S60,S61,BI59,BL59,BN59,BO59,0,Strike1,AO59,CC59,0,BL59,IF(OptControl=4,0,1),1,2)+IF(OR(VolSkewFlag=2,ABS(BQ59)&lt;0.0001),0,IF(BQ59&gt;0,-1,1)*CF59*Strike1/BP59^2*BW59/10%),0)</f>
        <v>0</v>
      </c>
      <c r="CF59" s="155">
        <f ca="1">IF(BD59,(_xll.xCrudeAPO(BS59,BT59,BY59,BZ59,S60,S61,BI59,BL59,BN59,BO59,0,Strike1,AO59,CC59,0,BL59,IF(OptControl=4,0,1),3,1)+_xll.xCrudeAPO(BS59,BT59,BY59,BZ59,S60,S61,BI59,BL59,BN59,BO59,0,Strike1,AO59,CC59,0,BL59,IF(OptControl=4,0,1),3,2))/100,0)</f>
        <v>0</v>
      </c>
      <c r="CG59" s="155">
        <f ca="1">IF(BD59,_xll.xCrudeAPO(BS59,BT59,BY59,BZ59,S60,S61,BI59-DaysForThetaCalculation/365.25,BL59-DaysForThetaCalculation/365.25,BN59,BO59,0,Strike1,AO59,CC59,0,BL59,IF(OptControl=4,0,1),0,1)-_xll.xCrudeAPO(BS59,BT59,BY59,BZ59,S60,S61,BI59,BL59,BN59,BO59,0,Strike1,AO59,CC59,0,BL59,IF(OptControl=4,0,1),0,1),0)</f>
        <v>0</v>
      </c>
      <c r="CH59" s="303">
        <f ca="1">IF(BD59,_xll.xCrudeAPO(BS59,BT59,CA59,CB59,S60,S61,BI59,BL59,BN59,BO59,0,Strike2,AO59,CC59,0,BL59,IF(OptControl=3,1,0),0,1),0)</f>
        <v>0</v>
      </c>
      <c r="CI59" s="155">
        <f ca="1">IF(BD59,_xll.xCrudeAPO(BS59,BT59,CA59,CB59,S60,S61,BI59,BL59,BN59,BO59,0,Strike2,AO59,CC59,0,BL59,IF(OptControl=3,1,0),1,1)+_xll.xCrudeAPO(BS59,BT59,CA59,CB59,S60,S61,BI59,BL59,BN59,BO59,0,Strike2,AO59,CC59,0,BL59,IF(OptControl=3,1,0),1,2)+IF(OR(VolSkewFlag=2,ABS(BR59)&lt;0.0001),0,IF(BR59&gt;0,-1,1)*CJ59*Strike2/BP59^2*BX59/10%),0)</f>
        <v>0</v>
      </c>
      <c r="CJ59" s="155">
        <f ca="1">IF(BD59,(_xll.xCrudeAPO(BS59,BT59,CA59,CB59,S60,S61,BI59,BL59,BN59,BO59,0,Strike2,AO59,CC59,0,BL59,IF(OptControl=3,1,0),3,1)+_xll.xCrudeAPO(BS59,BT59,CA59,CB59,S60,S61,BI59,BL59,BN59,BO59,0,Strike2,AO59,CC59,0,BL59,IF(OptControl=3,1,0),3,2))/100,0)</f>
        <v>0</v>
      </c>
      <c r="CK59" s="156">
        <f ca="1">IF(BD59,_xll.xCrudeAPO(BS59,BT59,CA59,CB59,S60,S61,BI59-DaysForThetaCalculation/365.25,BL59-DaysForThetaCalculation/365.25,BN59,BO59,0,Strike2,AO59,CC59,0,BL59,IF(OptControl=3,1,0),0,1)-_xll.xCrudeAPO(BS59,BT59,CA59,CB59,S60,S61,BI59,BL59,BN59,BO59,0,Strike2,AO59,CC59,0,BL59,IF(OptControl=3,1,0),0,1),0)</f>
        <v>0</v>
      </c>
      <c r="CL59" s="51"/>
      <c r="CM59" s="779" t="str">
        <f t="shared" ca="1" si="52"/>
        <v/>
      </c>
      <c r="CN59" s="783" t="str">
        <f t="shared" ca="1" si="53"/>
        <v/>
      </c>
      <c r="CO59" s="780" t="str">
        <f t="shared" ca="1" si="54"/>
        <v/>
      </c>
      <c r="CP59" s="780" t="str">
        <f t="shared" ca="1" si="55"/>
        <v/>
      </c>
      <c r="CQ59" s="780" t="str">
        <f t="shared" ca="1" si="56"/>
        <v/>
      </c>
      <c r="CR59" s="780" t="str">
        <f t="shared" ca="1" si="57"/>
        <v/>
      </c>
      <c r="CS59" s="781" t="str">
        <f t="shared" ca="1" si="58"/>
        <v/>
      </c>
      <c r="CT59" s="782" t="str">
        <f t="shared" ca="1" si="59"/>
        <v/>
      </c>
      <c r="CU59" s="782" t="str">
        <f t="shared" ca="1" si="60"/>
        <v/>
      </c>
      <c r="CV59" s="155">
        <f ca="1">IF(BD59,_xll.EURO(CN59,Strike1,AO59,AO59,CT59,CM59,IF(OptControl=4,0,1),0),0)</f>
        <v>0</v>
      </c>
      <c r="CW59" s="155">
        <f ca="1">IF(BD59,_xll.EURO(CN59,Strike1,AO59,AO59,CT59,CM59,IF(OptControl=4,0,1),1)+IF(OR(VolSkewFlag=2,ABS(CO59)&lt;0.0001),0,IF(CO59&gt;0,-1,1)*CX59*100*Strike1/CN59^2*CQ59/10%),0)</f>
        <v>0</v>
      </c>
      <c r="CX59" s="155">
        <f ca="1">IF(BD59,_xll.EURO(CN59,Strike1,AO59,AO59,CT59,CM59,IF(OptControl=4,0,1),3)/100,0)</f>
        <v>0</v>
      </c>
      <c r="CY59" s="155">
        <f ca="1">IF(BD59,_xll.EURO(CN59,Strike1,AO59,AO59,CT59,CM59,IF(OptControl=4,0,1),0)-_xll.EURO(CN59,Strike1,AO59,AO59,CT59,CM59-1,IF(OptControl=4,0,1),0),0)</f>
        <v>0</v>
      </c>
      <c r="CZ59" s="155">
        <f ca="1">IF(BD59,_xll.EURO(CN59,Strike2,AO59,AO59,CU59,CM59,IF(OptControl=3,1,0),0),0)</f>
        <v>0</v>
      </c>
      <c r="DA59" s="155">
        <f ca="1">IF(BD59,_xll.EURO(CN59,Strike2,AO59,AO59,CU59,CM59,IF(OptControl=3,1,0),1)+IF(OR(VolSkewFlag=2,ABS(CP59)&lt;0.0001),0,IF(CP59&gt;0,-1,1)*DB59*100*Strike2/CN59^2*CR59/10%),0)</f>
        <v>0</v>
      </c>
      <c r="DB59" s="155">
        <f ca="1">IF(BD59,_xll.EURO(CN59,Strike2,AO59,AO59,CU59,CM59,IF(OptControl=3,1,0),3)/100,0)</f>
        <v>0</v>
      </c>
      <c r="DC59" s="156">
        <f ca="1">IF(BD59,_xll.EURO(CN59,Strike2,AO59,AO59,CU59,CM59,IF(OptControl=3,1,0),0)-_xll.EURO(CN59,Strike2,AO59,AO59,CU59,CM59-1,IF(OptControl=3,1,0),0),0)</f>
        <v>0</v>
      </c>
      <c r="DE59" s="651">
        <f t="shared" ca="1" si="61"/>
        <v>38108</v>
      </c>
      <c r="DF59" s="465">
        <v>1E-4</v>
      </c>
      <c r="DG59" s="649">
        <v>1E-4</v>
      </c>
      <c r="DH59" s="650">
        <f t="shared" ca="1" si="182"/>
        <v>38108</v>
      </c>
      <c r="DI59" s="465">
        <v>1E-4</v>
      </c>
      <c r="DJ59" s="649">
        <v>1E-4</v>
      </c>
      <c r="DK59" s="651">
        <f t="shared" ca="1" si="183"/>
        <v>38108</v>
      </c>
      <c r="DL59" s="652">
        <f t="shared" si="184"/>
        <v>5.0100000000000006E-2</v>
      </c>
      <c r="DM59" s="651">
        <f t="shared" ca="1" si="62"/>
        <v>38108</v>
      </c>
      <c r="DN59" s="563">
        <f t="shared" si="63"/>
        <v>-0.12990000000000002</v>
      </c>
      <c r="DO59" s="803">
        <v>-0.13</v>
      </c>
      <c r="DP59" s="650">
        <f t="shared" ca="1" si="185"/>
        <v>38108</v>
      </c>
      <c r="DQ59" s="653">
        <v>1E-4</v>
      </c>
      <c r="DR59" s="590">
        <v>1E-4</v>
      </c>
      <c r="DS59" s="650">
        <f t="shared" ca="1" si="186"/>
        <v>38108</v>
      </c>
      <c r="DT59" s="653">
        <v>1E-4</v>
      </c>
      <c r="DU59" s="590">
        <v>1E-4</v>
      </c>
      <c r="DV59" s="651">
        <f t="shared" ca="1" si="187"/>
        <v>38108</v>
      </c>
      <c r="DW59" s="590">
        <v>1E-4</v>
      </c>
      <c r="DX59" s="651">
        <f t="shared" ca="1" si="64"/>
        <v>38108</v>
      </c>
      <c r="DY59" s="590">
        <f t="shared" si="65"/>
        <v>1E-4</v>
      </c>
      <c r="DZ59" s="1"/>
      <c r="EA59" s="863" t="e">
        <f ca="1">_xll.ASN(X59,X59,AO59,AS59,0,AI59,0,BI59,BL59,1,0)</f>
        <v>#NAME?</v>
      </c>
      <c r="EB59" s="653" t="e">
        <f ca="1">_xll.ASN(X59,X59,AO59,AS59,0,AI59,0,BI59,BL59,1,3)/100</f>
        <v>#NAME?</v>
      </c>
      <c r="EC59" s="653" t="e">
        <f ca="1">_xll.xCrudeAPO(L60,L61,O60,O61,S60,S61,BI59,BL59,AJ59,AK59,0,X59,AO59,1,0,+BL59,1,0,1)</f>
        <v>#NAME?</v>
      </c>
      <c r="ED59" s="869" t="e">
        <f t="shared" ca="1" si="165"/>
        <v>#NAME?</v>
      </c>
      <c r="EE59" s="863" t="e">
        <f t="shared" ca="1" si="29"/>
        <v>#NAME?</v>
      </c>
      <c r="EF59" s="590" t="e">
        <f t="shared" ca="1" si="30"/>
        <v>#NAME?</v>
      </c>
      <c r="EG59" s="862" t="str">
        <f t="shared" ca="1" si="188"/>
        <v/>
      </c>
      <c r="EH59" s="114" t="str">
        <f t="shared" ca="1" si="32"/>
        <v/>
      </c>
      <c r="EI59" s="109" t="str">
        <f t="shared" ca="1" si="33"/>
        <v/>
      </c>
      <c r="EJ59" s="115">
        <f ca="1">IF(BD59,_xll.xASN(BP59,Strike1,AO59,EH59,0,BM59,0,BI59,BL59,IF(OptControl=4,0,1),0),0)</f>
        <v>0</v>
      </c>
      <c r="EK59" s="108">
        <f ca="1">IF(BD59,_xll.xASN(BP59,Strike2,AO59,EI59,0,BM59,0,BI59,BL59,IF(OptControl=3,1,0),0),0)</f>
        <v>0</v>
      </c>
      <c r="EP59" s="53"/>
      <c r="EQ59" s="1"/>
      <c r="ER59" s="681">
        <v>40537</v>
      </c>
      <c r="ES59" s="682">
        <v>43824</v>
      </c>
      <c r="ET59" s="1"/>
      <c r="EU59" s="667" t="s">
        <v>245</v>
      </c>
      <c r="EW59" s="488">
        <v>40</v>
      </c>
      <c r="EX59" s="466">
        <f t="shared" ca="1" si="166"/>
        <v>3.268993839835729</v>
      </c>
      <c r="EY59" s="824">
        <f t="shared" ca="1" si="189"/>
        <v>0.14890507015903651</v>
      </c>
      <c r="EZ59" s="798">
        <f t="shared" ca="1" si="269"/>
        <v>0.2169745015939587</v>
      </c>
      <c r="FA59" s="468" t="str">
        <f t="shared" ca="1" si="270"/>
        <v/>
      </c>
      <c r="FB59" s="467" t="str">
        <f t="shared" ca="1" si="271"/>
        <v/>
      </c>
      <c r="FC59" s="242">
        <v>0</v>
      </c>
      <c r="FD59" s="589" t="str">
        <f ca="1">IF(OR(FA59="",FA60=""),"",SQRT(SUM(INDEX(FO59:IH59,SwaptionFirstMonthPosition+1):INDEX(FO59:IH59,FN59))/SUM(INDEX($FO$15:$IH$15,SwaptionFirstMonthPosition+1):INDEX($FO$15:$IH$15,FN59))))</f>
        <v/>
      </c>
      <c r="FE59" s="565" t="str">
        <f ca="1">IF(OR(FA59="",FA58=""),"",SQRT(SUM(INDEX(FO59:IH59,SwaptionFirstMonthPosition+1):INDEX(FO59:IH59,FN59-1))/SUM(INDEX($FO$15:$IH$15,SwaptionFirstMonthPosition+1):INDEX($FO$15:$IH$15,FN59-1))))</f>
        <v/>
      </c>
      <c r="FF59" s="562" t="str">
        <f t="shared" ca="1" si="190"/>
        <v/>
      </c>
      <c r="FG59" s="593" t="str">
        <f t="shared" ca="1" si="191"/>
        <v/>
      </c>
      <c r="FH59" s="563" t="str">
        <f t="shared" ca="1" si="192"/>
        <v/>
      </c>
      <c r="FI59" s="563" t="str">
        <f t="shared" ca="1" si="193"/>
        <v/>
      </c>
      <c r="FJ59" s="563" t="str">
        <f t="shared" ca="1" si="194"/>
        <v/>
      </c>
      <c r="FK59" s="564" t="str">
        <f t="shared" ca="1" si="195"/>
        <v/>
      </c>
      <c r="FL59" s="590" t="str">
        <f t="shared" ca="1" si="196"/>
        <v/>
      </c>
      <c r="FM59" s="242"/>
      <c r="FN59" s="657">
        <v>40</v>
      </c>
      <c r="FO59" s="450">
        <f t="shared" ca="1" si="197"/>
        <v>6.6971910214452812E-4</v>
      </c>
      <c r="FP59" s="450">
        <f t="shared" ca="1" si="198"/>
        <v>2.5171650518118083E-3</v>
      </c>
      <c r="FQ59" s="450">
        <f t="shared" ca="1" si="199"/>
        <v>2.4347314920127633E-3</v>
      </c>
      <c r="FR59" s="450">
        <f t="shared" ca="1" si="200"/>
        <v>2.6892345660809447E-3</v>
      </c>
      <c r="FS59" s="450">
        <f t="shared" ca="1" si="201"/>
        <v>2.5246757399820584E-3</v>
      </c>
      <c r="FT59" s="450">
        <f t="shared" ca="1" si="202"/>
        <v>2.6979812346140807E-3</v>
      </c>
      <c r="FU59" s="450">
        <f t="shared" ca="1" si="203"/>
        <v>2.5353318293742095E-3</v>
      </c>
      <c r="FV59" s="450">
        <f t="shared" ca="1" si="204"/>
        <v>2.3732289803374937E-3</v>
      </c>
      <c r="FW59" s="450">
        <f t="shared" ca="1" si="205"/>
        <v>2.5517636775169855E-3</v>
      </c>
      <c r="FX59" s="450">
        <f t="shared" ca="1" si="206"/>
        <v>2.8188324760572902E-3</v>
      </c>
      <c r="FY59" s="450">
        <f t="shared" ca="1" si="207"/>
        <v>2.4895467896560108E-3</v>
      </c>
      <c r="FZ59" s="450">
        <f t="shared" ca="1" si="208"/>
        <v>2.5041136960985075E-3</v>
      </c>
      <c r="GA59" s="450">
        <f t="shared" ca="1" si="209"/>
        <v>2.8688677566705381E-3</v>
      </c>
      <c r="GB59" s="450">
        <f t="shared" ca="1" si="210"/>
        <v>2.5408935562138231E-3</v>
      </c>
      <c r="GC59" s="450">
        <f t="shared" ca="1" si="211"/>
        <v>2.8289891598336941E-3</v>
      </c>
      <c r="GD59" s="450">
        <f t="shared" ca="1" si="212"/>
        <v>2.6794865977211365E-3</v>
      </c>
      <c r="GE59" s="450">
        <f t="shared" ca="1" si="213"/>
        <v>2.6205660744547418E-3</v>
      </c>
      <c r="GF59" s="450">
        <f t="shared" ca="1" si="214"/>
        <v>3.0217893460464797E-3</v>
      </c>
      <c r="GG59" s="450">
        <f t="shared" ca="1" si="215"/>
        <v>2.7886078155947799E-3</v>
      </c>
      <c r="GH59" s="450">
        <f t="shared" ca="1" si="216"/>
        <v>2.7417521788452655E-3</v>
      </c>
      <c r="GI59" s="450">
        <f t="shared" ca="1" si="217"/>
        <v>2.9874393345687483E-3</v>
      </c>
      <c r="GJ59" s="450">
        <f t="shared" ca="1" si="218"/>
        <v>3.0524997119794599E-3</v>
      </c>
      <c r="GK59" s="450">
        <f t="shared" ca="1" si="219"/>
        <v>3.1273754405700309E-3</v>
      </c>
      <c r="GL59" s="450">
        <f t="shared" ca="1" si="220"/>
        <v>2.9026923157831072E-3</v>
      </c>
      <c r="GM59" s="450">
        <f t="shared" ca="1" si="221"/>
        <v>3.3134282195199948E-3</v>
      </c>
      <c r="GN59" s="450">
        <f t="shared" ca="1" si="222"/>
        <v>3.3183625785550828E-3</v>
      </c>
      <c r="GO59" s="450">
        <f t="shared" ca="1" si="223"/>
        <v>3.5632813829404564E-3</v>
      </c>
      <c r="GP59" s="450">
        <f t="shared" ca="1" si="224"/>
        <v>3.5999982522838224E-3</v>
      </c>
      <c r="GQ59" s="450">
        <f t="shared" ca="1" si="225"/>
        <v>3.9036867502751692E-3</v>
      </c>
      <c r="GR59" s="450">
        <f t="shared" ca="1" si="226"/>
        <v>4.1201044793571949E-3</v>
      </c>
      <c r="GS59" s="450">
        <f t="shared" ca="1" si="227"/>
        <v>4.235414614703269E-3</v>
      </c>
      <c r="GT59" s="450">
        <f t="shared" ca="1" si="228"/>
        <v>4.6826328352272423E-3</v>
      </c>
      <c r="GU59" s="450">
        <f t="shared" ca="1" si="229"/>
        <v>4.887669250012017E-3</v>
      </c>
      <c r="GV59" s="450">
        <f t="shared" ca="1" si="230"/>
        <v>5.4968486063537584E-3</v>
      </c>
      <c r="GW59" s="450">
        <f t="shared" ca="1" si="231"/>
        <v>6.0433950373609928E-3</v>
      </c>
      <c r="GX59" s="450">
        <f t="shared" ca="1" si="232"/>
        <v>6.2866639283312232E-3</v>
      </c>
      <c r="GY59" s="450">
        <f t="shared" ca="1" si="233"/>
        <v>7.5689660638362175E-3</v>
      </c>
      <c r="GZ59" s="450">
        <f t="shared" ca="1" si="234"/>
        <v>8.3694753223509197E-3</v>
      </c>
      <c r="HA59" s="450">
        <f t="shared" ca="1" si="235"/>
        <v>1.0043628889725332E-2</v>
      </c>
      <c r="HB59" s="450">
        <f t="shared" ca="1" si="236"/>
        <v>1.149663722121376E-2</v>
      </c>
      <c r="HC59" s="450" t="str">
        <f t="shared" si="237"/>
        <v/>
      </c>
      <c r="HD59" s="450" t="str">
        <f t="shared" si="238"/>
        <v/>
      </c>
      <c r="HE59" s="450" t="str">
        <f t="shared" si="239"/>
        <v/>
      </c>
      <c r="HF59" s="450" t="str">
        <f t="shared" si="240"/>
        <v/>
      </c>
      <c r="HG59" s="450" t="str">
        <f t="shared" si="241"/>
        <v/>
      </c>
      <c r="HH59" s="450" t="str">
        <f t="shared" si="242"/>
        <v/>
      </c>
      <c r="HI59" s="450" t="str">
        <f t="shared" si="243"/>
        <v/>
      </c>
      <c r="HJ59" s="450" t="str">
        <f t="shared" si="244"/>
        <v/>
      </c>
      <c r="HK59" s="450" t="str">
        <f t="shared" si="245"/>
        <v/>
      </c>
      <c r="HL59" s="450" t="str">
        <f t="shared" si="246"/>
        <v/>
      </c>
      <c r="HM59" s="450" t="str">
        <f t="shared" si="247"/>
        <v/>
      </c>
      <c r="HN59" s="450" t="str">
        <f t="shared" si="248"/>
        <v/>
      </c>
      <c r="HO59" s="450" t="str">
        <f t="shared" si="249"/>
        <v/>
      </c>
      <c r="HP59" s="450" t="str">
        <f t="shared" si="250"/>
        <v/>
      </c>
      <c r="HQ59" s="450" t="str">
        <f t="shared" si="251"/>
        <v/>
      </c>
      <c r="HR59" s="450" t="str">
        <f t="shared" si="252"/>
        <v/>
      </c>
      <c r="HS59" s="450" t="str">
        <f t="shared" si="253"/>
        <v/>
      </c>
      <c r="HT59" s="450" t="str">
        <f t="shared" si="254"/>
        <v/>
      </c>
      <c r="HU59" s="450" t="str">
        <f t="shared" si="255"/>
        <v/>
      </c>
      <c r="HV59" s="450" t="str">
        <f t="shared" si="256"/>
        <v/>
      </c>
      <c r="HW59" s="450" t="str">
        <f t="shared" si="257"/>
        <v/>
      </c>
      <c r="HX59" s="450" t="str">
        <f t="shared" si="258"/>
        <v/>
      </c>
      <c r="HY59" s="450" t="str">
        <f t="shared" si="259"/>
        <v/>
      </c>
      <c r="HZ59" s="450" t="str">
        <f t="shared" si="260"/>
        <v/>
      </c>
      <c r="IA59" s="450" t="str">
        <f t="shared" si="261"/>
        <v/>
      </c>
      <c r="IB59" s="450" t="str">
        <f t="shared" si="262"/>
        <v/>
      </c>
      <c r="IC59" s="450" t="str">
        <f t="shared" si="263"/>
        <v/>
      </c>
      <c r="ID59" s="450" t="str">
        <f t="shared" si="264"/>
        <v/>
      </c>
      <c r="IE59" s="450" t="str">
        <f t="shared" si="265"/>
        <v/>
      </c>
      <c r="IF59" s="450" t="str">
        <f t="shared" si="266"/>
        <v/>
      </c>
      <c r="IG59" s="450" t="str">
        <f t="shared" si="267"/>
        <v/>
      </c>
      <c r="IH59" s="658" t="str">
        <f t="shared" si="268"/>
        <v/>
      </c>
      <c r="II59" s="242"/>
    </row>
    <row r="60" spans="1:243">
      <c r="A60" s="49"/>
      <c r="B60" s="49"/>
      <c r="C60" s="49"/>
      <c r="D60" s="49"/>
      <c r="E60" s="49"/>
      <c r="F60" s="49"/>
      <c r="G60" s="49"/>
      <c r="H60" s="49" t="e">
        <f t="shared" ca="1" si="34"/>
        <v>#N/A</v>
      </c>
      <c r="I60" s="369">
        <f t="shared" si="35"/>
        <v>38231</v>
      </c>
      <c r="J60" s="367">
        <v>22.362500000000001</v>
      </c>
      <c r="K60" s="101" t="s">
        <v>268</v>
      </c>
      <c r="L60" s="382">
        <f t="shared" si="36"/>
        <v>22.362500000000001</v>
      </c>
      <c r="M60" s="163">
        <v>0.2123639059156</v>
      </c>
      <c r="N60" s="372">
        <v>0</v>
      </c>
      <c r="O60" s="163">
        <f t="shared" si="37"/>
        <v>0.2123639059156</v>
      </c>
      <c r="P60" s="367">
        <v>21.1233199564196</v>
      </c>
      <c r="Q60" s="101" t="s">
        <v>267</v>
      </c>
      <c r="R60" s="367">
        <f t="shared" ca="1" si="147"/>
        <v>21.123319956419607</v>
      </c>
      <c r="S60" s="814">
        <f t="shared" si="163"/>
        <v>0.37378645245301423</v>
      </c>
      <c r="T60" s="813">
        <f t="shared" si="148"/>
        <v>0.99884544442893053</v>
      </c>
      <c r="U60" s="532">
        <f t="shared" si="149"/>
        <v>0.99999984915122253</v>
      </c>
      <c r="V60" s="379">
        <v>0</v>
      </c>
      <c r="W60" s="424">
        <f t="shared" si="168"/>
        <v>22.320454545454552</v>
      </c>
      <c r="X60" s="405">
        <f t="shared" si="169"/>
        <v>22.320454545454542</v>
      </c>
      <c r="Y60" s="313">
        <f t="shared" si="170"/>
        <v>21.002054545454552</v>
      </c>
      <c r="Z60" s="313">
        <f t="shared" ca="1" si="171"/>
        <v>21.002054545454541</v>
      </c>
      <c r="AA60" s="419">
        <f t="shared" si="1"/>
        <v>1.3184</v>
      </c>
      <c r="AB60" s="423">
        <f t="shared" ca="1" si="2"/>
        <v>1.3184</v>
      </c>
      <c r="AC60" s="218">
        <v>38219</v>
      </c>
      <c r="AD60" s="221">
        <v>38215</v>
      </c>
      <c r="AE60" s="221">
        <v>38214</v>
      </c>
      <c r="AF60" s="221">
        <v>38210</v>
      </c>
      <c r="AG60" s="241" t="s">
        <v>90</v>
      </c>
      <c r="AH60" s="239" t="s">
        <v>497</v>
      </c>
      <c r="AI60" s="141">
        <v>22</v>
      </c>
      <c r="AJ60" s="41">
        <v>14</v>
      </c>
      <c r="AK60" s="41">
        <v>8</v>
      </c>
      <c r="AL60" s="285">
        <v>22</v>
      </c>
      <c r="AM60" s="41">
        <v>10</v>
      </c>
      <c r="AN60" s="142">
        <v>12</v>
      </c>
      <c r="AO60" s="364">
        <v>5.06498245068965E-2</v>
      </c>
      <c r="AP60" s="145">
        <f t="shared" ca="1" si="41"/>
        <v>0.84036417745713154</v>
      </c>
      <c r="AQ60" s="364">
        <v>4.4006222782459102E-2</v>
      </c>
      <c r="AR60" s="145">
        <f t="shared" ca="1" si="151"/>
        <v>0.86416571506280127</v>
      </c>
      <c r="AS60" s="264">
        <f t="shared" si="172"/>
        <v>0.2114810229337927</v>
      </c>
      <c r="AT60" s="149">
        <f t="shared" si="42"/>
        <v>0.2123639059156</v>
      </c>
      <c r="AU60" s="149">
        <f t="shared" si="4"/>
        <v>0.21139685067576908</v>
      </c>
      <c r="AV60" s="263">
        <f t="shared" ca="1" si="164"/>
        <v>0.20649903225163571</v>
      </c>
      <c r="AW60" s="150" t="str">
        <f t="shared" ca="1" si="173"/>
        <v/>
      </c>
      <c r="AX60" s="149">
        <f t="shared" ca="1" si="152"/>
        <v>3.7116775474064924E-2</v>
      </c>
      <c r="AY60" s="149">
        <f t="shared" ca="1" si="153"/>
        <v>1.9497001534482021E-2</v>
      </c>
      <c r="AZ60" s="149">
        <f t="shared" ca="1" si="154"/>
        <v>9.7329656384661078E-3</v>
      </c>
      <c r="BA60" s="149">
        <f t="shared" ca="1" si="155"/>
        <v>1.0000000000000091E-4</v>
      </c>
      <c r="BB60" s="149">
        <f t="shared" ca="1" si="156"/>
        <v>1.0000000000000091E-4</v>
      </c>
      <c r="BC60" s="149">
        <f t="shared" ca="1" si="157"/>
        <v>1.0000000000000091E-4</v>
      </c>
      <c r="BD60" s="143">
        <f t="shared" ca="1" si="174"/>
        <v>0</v>
      </c>
      <c r="BE60" s="144">
        <f t="shared" ca="1" si="175"/>
        <v>0</v>
      </c>
      <c r="BF60" s="40">
        <f t="shared" si="176"/>
        <v>2004</v>
      </c>
      <c r="BG60" s="139">
        <f t="shared" si="177"/>
        <v>9</v>
      </c>
      <c r="BH60" s="140">
        <f t="shared" ca="1" si="178"/>
        <v>1225</v>
      </c>
      <c r="BI60" s="304">
        <f t="shared" ca="1" si="179"/>
        <v>3.3976728268309375</v>
      </c>
      <c r="BJ60" s="42">
        <f t="shared" ca="1" si="47"/>
        <v>3.4481986186298301</v>
      </c>
      <c r="BK60" s="42">
        <f t="shared" ca="1" si="180"/>
        <v>3.4509364694169622</v>
      </c>
      <c r="BL60" s="42">
        <f t="shared" ca="1" si="181"/>
        <v>3.4770704996577688</v>
      </c>
      <c r="BM60" s="285">
        <f t="shared" si="49"/>
        <v>22</v>
      </c>
      <c r="BN60" s="41">
        <f t="shared" si="50"/>
        <v>14</v>
      </c>
      <c r="BO60" s="41">
        <f t="shared" si="51"/>
        <v>8</v>
      </c>
      <c r="BP60" s="297" t="str">
        <f t="shared" ca="1" si="10"/>
        <v/>
      </c>
      <c r="BQ60" s="297" t="str">
        <f t="shared" ca="1" si="11"/>
        <v/>
      </c>
      <c r="BR60" s="299" t="str">
        <f t="shared" ca="1" si="12"/>
        <v/>
      </c>
      <c r="BS60" s="153" t="str">
        <f t="shared" ca="1" si="13"/>
        <v/>
      </c>
      <c r="BT60" s="153" t="str">
        <f t="shared" ca="1" si="14"/>
        <v/>
      </c>
      <c r="BU60" s="300" t="str">
        <f t="shared" ca="1" si="15"/>
        <v/>
      </c>
      <c r="BV60" s="301" t="str">
        <f t="shared" ca="1" si="16"/>
        <v/>
      </c>
      <c r="BW60" s="300" t="str">
        <f t="shared" ca="1" si="17"/>
        <v/>
      </c>
      <c r="BX60" s="301" t="str">
        <f t="shared" ca="1" si="18"/>
        <v/>
      </c>
      <c r="BY60" s="146" t="str">
        <f t="shared" ca="1" si="19"/>
        <v/>
      </c>
      <c r="BZ60" s="146" t="str">
        <f t="shared" ca="1" si="20"/>
        <v/>
      </c>
      <c r="CA60" s="146" t="str">
        <f t="shared" ca="1" si="21"/>
        <v/>
      </c>
      <c r="CB60" s="146" t="str">
        <f t="shared" ca="1" si="22"/>
        <v/>
      </c>
      <c r="CC60" s="302">
        <v>1</v>
      </c>
      <c r="CD60" s="154">
        <f ca="1">IF(BD60,_xll.xCrudeAPO(BS60,BT60,BY60,BZ60,S61,S62,BI60,BL60,BN60,BO60,0,Strike1,AO60,CC60,0,BL60,IF(OptControl=4,0,1),0,1),0)</f>
        <v>0</v>
      </c>
      <c r="CE60" s="155">
        <f ca="1">IF(BD60,_xll.xCrudeAPO(BS60,BT60,BY60,BZ60,S61,S62,BI60,BL60,BN60,BO60,0,Strike1,AO60,CC60,0,BL60,IF(OptControl=4,0,1),1,1)+_xll.xCrudeAPO(BS60,BT60,BY60,BZ60,S61,S62,BI60,BL60,BN60,BO60,0,Strike1,AO60,CC60,0,BL60,IF(OptControl=4,0,1),1,2)+IF(OR(VolSkewFlag=2,ABS(BQ60)&lt;0.0001),0,IF(BQ60&gt;0,-1,1)*CF60*Strike1/BP60^2*BW60/10%),0)</f>
        <v>0</v>
      </c>
      <c r="CF60" s="155">
        <f ca="1">IF(BD60,(_xll.xCrudeAPO(BS60,BT60,BY60,BZ60,S61,S62,BI60,BL60,BN60,BO60,0,Strike1,AO60,CC60,0,BL60,IF(OptControl=4,0,1),3,1)+_xll.xCrudeAPO(BS60,BT60,BY60,BZ60,S61,S62,BI60,BL60,BN60,BO60,0,Strike1,AO60,CC60,0,BL60,IF(OptControl=4,0,1),3,2))/100,0)</f>
        <v>0</v>
      </c>
      <c r="CG60" s="155">
        <f ca="1">IF(BD60,_xll.xCrudeAPO(BS60,BT60,BY60,BZ60,S61,S62,BI60-DaysForThetaCalculation/365.25,BL60-DaysForThetaCalculation/365.25,BN60,BO60,0,Strike1,AO60,CC60,0,BL60,IF(OptControl=4,0,1),0,1)-_xll.xCrudeAPO(BS60,BT60,BY60,BZ60,S61,S62,BI60,BL60,BN60,BO60,0,Strike1,AO60,CC60,0,BL60,IF(OptControl=4,0,1),0,1),0)</f>
        <v>0</v>
      </c>
      <c r="CH60" s="303">
        <f ca="1">IF(BD60,_xll.xCrudeAPO(BS60,BT60,CA60,CB60,S61,S62,BI60,BL60,BN60,BO60,0,Strike2,AO60,CC60,0,BL60,IF(OptControl=3,1,0),0,1),0)</f>
        <v>0</v>
      </c>
      <c r="CI60" s="155">
        <f ca="1">IF(BD60,_xll.xCrudeAPO(BS60,BT60,CA60,CB60,S61,S62,BI60,BL60,BN60,BO60,0,Strike2,AO60,CC60,0,BL60,IF(OptControl=3,1,0),1,1)+_xll.xCrudeAPO(BS60,BT60,CA60,CB60,S61,S62,BI60,BL60,BN60,BO60,0,Strike2,AO60,CC60,0,BL60,IF(OptControl=3,1,0),1,2)+IF(OR(VolSkewFlag=2,ABS(BR60)&lt;0.0001),0,IF(BR60&gt;0,-1,1)*CJ60*Strike2/BP60^2*BX60/10%),0)</f>
        <v>0</v>
      </c>
      <c r="CJ60" s="155">
        <f ca="1">IF(BD60,(_xll.xCrudeAPO(BS60,BT60,CA60,CB60,S61,S62,BI60,BL60,BN60,BO60,0,Strike2,AO60,CC60,0,BL60,IF(OptControl=3,1,0),3,1)+_xll.xCrudeAPO(BS60,BT60,CA60,CB60,S61,S62,BI60,BL60,BN60,BO60,0,Strike2,AO60,CC60,0,BL60,IF(OptControl=3,1,0),3,2))/100,0)</f>
        <v>0</v>
      </c>
      <c r="CK60" s="156">
        <f ca="1">IF(BD60,_xll.xCrudeAPO(BS60,BT60,CA60,CB60,S61,S62,BI60-DaysForThetaCalculation/365.25,BL60-DaysForThetaCalculation/365.25,BN60,BO60,0,Strike2,AO60,CC60,0,BL60,IF(OptControl=3,1,0),0,1)-_xll.xCrudeAPO(BS60,BT60,CA60,CB60,S61,S62,BI60,BL60,BN60,BO60,0,Strike2,AO60,CC60,0,BL60,IF(OptControl=3,1,0),0,1),0)</f>
        <v>0</v>
      </c>
      <c r="CL60" s="51"/>
      <c r="CM60" s="779" t="str">
        <f t="shared" ca="1" si="52"/>
        <v/>
      </c>
      <c r="CN60" s="783" t="str">
        <f t="shared" ca="1" si="53"/>
        <v/>
      </c>
      <c r="CO60" s="780" t="str">
        <f t="shared" ca="1" si="54"/>
        <v/>
      </c>
      <c r="CP60" s="780" t="str">
        <f t="shared" ca="1" si="55"/>
        <v/>
      </c>
      <c r="CQ60" s="780" t="str">
        <f t="shared" ca="1" si="56"/>
        <v/>
      </c>
      <c r="CR60" s="780" t="str">
        <f t="shared" ca="1" si="57"/>
        <v/>
      </c>
      <c r="CS60" s="781" t="str">
        <f t="shared" ca="1" si="58"/>
        <v/>
      </c>
      <c r="CT60" s="782" t="str">
        <f t="shared" ca="1" si="59"/>
        <v/>
      </c>
      <c r="CU60" s="782" t="str">
        <f t="shared" ca="1" si="60"/>
        <v/>
      </c>
      <c r="CV60" s="155">
        <f ca="1">IF(BD60,_xll.EURO(CN60,Strike1,AO60,AO60,CT60,CM60,IF(OptControl=4,0,1),0),0)</f>
        <v>0</v>
      </c>
      <c r="CW60" s="155">
        <f ca="1">IF(BD60,_xll.EURO(CN60,Strike1,AO60,AO60,CT60,CM60,IF(OptControl=4,0,1),1)+IF(OR(VolSkewFlag=2,ABS(CO60)&lt;0.0001),0,IF(CO60&gt;0,-1,1)*CX60*100*Strike1/CN60^2*CQ60/10%),0)</f>
        <v>0</v>
      </c>
      <c r="CX60" s="155">
        <f ca="1">IF(BD60,_xll.EURO(CN60,Strike1,AO60,AO60,CT60,CM60,IF(OptControl=4,0,1),3)/100,0)</f>
        <v>0</v>
      </c>
      <c r="CY60" s="155">
        <f ca="1">IF(BD60,_xll.EURO(CN60,Strike1,AO60,AO60,CT60,CM60,IF(OptControl=4,0,1),0)-_xll.EURO(CN60,Strike1,AO60,AO60,CT60,CM60-1,IF(OptControl=4,0,1),0),0)</f>
        <v>0</v>
      </c>
      <c r="CZ60" s="155">
        <f ca="1">IF(BD60,_xll.EURO(CN60,Strike2,AO60,AO60,CU60,CM60,IF(OptControl=3,1,0),0),0)</f>
        <v>0</v>
      </c>
      <c r="DA60" s="155">
        <f ca="1">IF(BD60,_xll.EURO(CN60,Strike2,AO60,AO60,CU60,CM60,IF(OptControl=3,1,0),1)+IF(OR(VolSkewFlag=2,ABS(CP60)&lt;0.0001),0,IF(CP60&gt;0,-1,1)*DB60*100*Strike2/CN60^2*CR60/10%),0)</f>
        <v>0</v>
      </c>
      <c r="DB60" s="155">
        <f ca="1">IF(BD60,_xll.EURO(CN60,Strike2,AO60,AO60,CU60,CM60,IF(OptControl=3,1,0),3)/100,0)</f>
        <v>0</v>
      </c>
      <c r="DC60" s="156">
        <f ca="1">IF(BD60,_xll.EURO(CN60,Strike2,AO60,AO60,CU60,CM60,IF(OptControl=3,1,0),0)-_xll.EURO(CN60,Strike2,AO60,AO60,CU60,CM60-1,IF(OptControl=3,1,0),0),0)</f>
        <v>0</v>
      </c>
      <c r="DE60" s="651">
        <f t="shared" ca="1" si="61"/>
        <v>38139</v>
      </c>
      <c r="DF60" s="465">
        <v>1E-4</v>
      </c>
      <c r="DG60" s="649">
        <v>1E-4</v>
      </c>
      <c r="DH60" s="650">
        <f t="shared" ca="1" si="182"/>
        <v>38139</v>
      </c>
      <c r="DI60" s="465">
        <v>1E-4</v>
      </c>
      <c r="DJ60" s="649">
        <v>1E-4</v>
      </c>
      <c r="DK60" s="651">
        <f t="shared" ca="1" si="183"/>
        <v>38139</v>
      </c>
      <c r="DL60" s="652">
        <f t="shared" si="184"/>
        <v>5.0100000000000006E-2</v>
      </c>
      <c r="DM60" s="651">
        <f t="shared" ca="1" si="62"/>
        <v>38139</v>
      </c>
      <c r="DN60" s="563">
        <f t="shared" si="63"/>
        <v>-0.12990000000000002</v>
      </c>
      <c r="DO60" s="803">
        <v>-0.13</v>
      </c>
      <c r="DP60" s="650">
        <f t="shared" ca="1" si="185"/>
        <v>38139</v>
      </c>
      <c r="DQ60" s="653">
        <v>1E-4</v>
      </c>
      <c r="DR60" s="590">
        <v>1E-4</v>
      </c>
      <c r="DS60" s="650">
        <f t="shared" ca="1" si="186"/>
        <v>38139</v>
      </c>
      <c r="DT60" s="653">
        <v>1E-4</v>
      </c>
      <c r="DU60" s="590">
        <v>1E-4</v>
      </c>
      <c r="DV60" s="651">
        <f t="shared" ca="1" si="187"/>
        <v>38139</v>
      </c>
      <c r="DW60" s="590">
        <v>1E-4</v>
      </c>
      <c r="DX60" s="651">
        <f t="shared" ca="1" si="64"/>
        <v>38139</v>
      </c>
      <c r="DY60" s="590">
        <f t="shared" si="65"/>
        <v>1E-4</v>
      </c>
      <c r="DZ60" s="1"/>
      <c r="EA60" s="863" t="e">
        <f ca="1">_xll.ASN(X60,X60,AO60,AS60,0,AI60,0,BI60,BL60,1,0)</f>
        <v>#NAME?</v>
      </c>
      <c r="EB60" s="653" t="e">
        <f ca="1">_xll.ASN(X60,X60,AO60,AS60,0,AI60,0,BI60,BL60,1,3)/100</f>
        <v>#NAME?</v>
      </c>
      <c r="EC60" s="653" t="e">
        <f ca="1">_xll.xCrudeAPO(L61,L62,O61,O62,S61,S62,BI60,BL60,AJ60,AK60,0,X60,AO60,1,0,+BL60,1,0,1)</f>
        <v>#NAME?</v>
      </c>
      <c r="ED60" s="869" t="e">
        <f t="shared" ca="1" si="165"/>
        <v>#NAME?</v>
      </c>
      <c r="EE60" s="863" t="e">
        <f t="shared" ca="1" si="29"/>
        <v>#NAME?</v>
      </c>
      <c r="EF60" s="590" t="e">
        <f t="shared" ca="1" si="30"/>
        <v>#NAME?</v>
      </c>
      <c r="EG60" s="862" t="str">
        <f t="shared" ca="1" si="188"/>
        <v/>
      </c>
      <c r="EH60" s="114" t="str">
        <f t="shared" ca="1" si="32"/>
        <v/>
      </c>
      <c r="EI60" s="109" t="str">
        <f t="shared" ca="1" si="33"/>
        <v/>
      </c>
      <c r="EJ60" s="115">
        <f ca="1">IF(BD60,_xll.xASN(BP60,Strike1,AO60,EH60,0,BM60,0,BI60,BL60,IF(OptControl=4,0,1),0),0)</f>
        <v>0</v>
      </c>
      <c r="EK60" s="108">
        <f ca="1">IF(BD60,_xll.xASN(BP60,Strike2,AO60,EI60,0,BM60,0,BI60,BL60,IF(OptControl=3,1,0),0),0)</f>
        <v>0</v>
      </c>
      <c r="EP60" s="53"/>
      <c r="EQ60" s="1"/>
      <c r="ER60" s="681">
        <v>40544</v>
      </c>
      <c r="ES60" s="682">
        <v>43831</v>
      </c>
      <c r="ET60" s="1"/>
      <c r="EU60" s="667" t="s">
        <v>246</v>
      </c>
      <c r="EW60" s="488">
        <v>41</v>
      </c>
      <c r="EX60" s="466">
        <f t="shared" ca="1" si="166"/>
        <v>3.353867214236824</v>
      </c>
      <c r="EY60" s="824">
        <f t="shared" ca="1" si="189"/>
        <v>0.15125414087958663</v>
      </c>
      <c r="EZ60" s="798">
        <f t="shared" ca="1" si="269"/>
        <v>0.2159127867010712</v>
      </c>
      <c r="FA60" s="468" t="str">
        <f t="shared" ca="1" si="270"/>
        <v/>
      </c>
      <c r="FB60" s="467" t="str">
        <f t="shared" ca="1" si="271"/>
        <v/>
      </c>
      <c r="FC60" s="242">
        <v>0</v>
      </c>
      <c r="FD60" s="589" t="str">
        <f ca="1">IF(OR(FA60="",FA61=""),"",SQRT(SUM(INDEX(FO60:IH60,SwaptionFirstMonthPosition+1):INDEX(FO60:IH60,FN60))/SUM(INDEX($FO$15:$IH$15,SwaptionFirstMonthPosition+1):INDEX($FO$15:$IH$15,FN60))))</f>
        <v/>
      </c>
      <c r="FE60" s="565" t="str">
        <f ca="1">IF(OR(FA60="",FA59=""),"",SQRT(SUM(INDEX(FO60:IH60,SwaptionFirstMonthPosition+1):INDEX(FO60:IH60,FN60-1))/SUM(INDEX($FO$15:$IH$15,SwaptionFirstMonthPosition+1):INDEX($FO$15:$IH$15,FN60-1))))</f>
        <v/>
      </c>
      <c r="FF60" s="562" t="str">
        <f t="shared" ca="1" si="190"/>
        <v/>
      </c>
      <c r="FG60" s="593" t="str">
        <f t="shared" ca="1" si="191"/>
        <v/>
      </c>
      <c r="FH60" s="563" t="str">
        <f t="shared" ca="1" si="192"/>
        <v/>
      </c>
      <c r="FI60" s="563" t="str">
        <f t="shared" ca="1" si="193"/>
        <v/>
      </c>
      <c r="FJ60" s="563" t="str">
        <f t="shared" ca="1" si="194"/>
        <v/>
      </c>
      <c r="FK60" s="564" t="str">
        <f t="shared" ca="1" si="195"/>
        <v/>
      </c>
      <c r="FL60" s="590" t="str">
        <f t="shared" ca="1" si="196"/>
        <v/>
      </c>
      <c r="FM60" s="242"/>
      <c r="FN60" s="657">
        <v>41</v>
      </c>
      <c r="FO60" s="450">
        <f t="shared" ca="1" si="197"/>
        <v>6.680019217966556E-4</v>
      </c>
      <c r="FP60" s="450">
        <f t="shared" ca="1" si="198"/>
        <v>2.5099938423608246E-3</v>
      </c>
      <c r="FQ60" s="450">
        <f t="shared" ca="1" si="199"/>
        <v>2.4270244224736661E-3</v>
      </c>
      <c r="FR60" s="450">
        <f t="shared" ca="1" si="200"/>
        <v>2.6797760200926433E-3</v>
      </c>
      <c r="FS60" s="450">
        <f t="shared" ca="1" si="201"/>
        <v>2.5148093383038999E-3</v>
      </c>
      <c r="FT60" s="450">
        <f t="shared" ca="1" si="202"/>
        <v>2.6862660374858682E-3</v>
      </c>
      <c r="FU60" s="450">
        <f t="shared" ca="1" si="203"/>
        <v>2.5230996743813966E-3</v>
      </c>
      <c r="FV60" s="450">
        <f t="shared" ca="1" si="204"/>
        <v>2.3605066900660642E-3</v>
      </c>
      <c r="FW60" s="450">
        <f t="shared" ca="1" si="205"/>
        <v>2.5365643770990354E-3</v>
      </c>
      <c r="FX60" s="450">
        <f t="shared" ca="1" si="206"/>
        <v>2.800176846702686E-3</v>
      </c>
      <c r="FY60" s="450">
        <f t="shared" ca="1" si="207"/>
        <v>2.4712397373713598E-3</v>
      </c>
      <c r="FZ60" s="450">
        <f t="shared" ca="1" si="208"/>
        <v>2.4836535060699621E-3</v>
      </c>
      <c r="GA60" s="450">
        <f t="shared" ca="1" si="209"/>
        <v>2.8428227999882164E-3</v>
      </c>
      <c r="GB60" s="450">
        <f t="shared" ca="1" si="210"/>
        <v>2.5152630565730937E-3</v>
      </c>
      <c r="GC60" s="450">
        <f t="shared" ca="1" si="211"/>
        <v>2.7972818516059238E-3</v>
      </c>
      <c r="GD60" s="450">
        <f t="shared" ca="1" si="212"/>
        <v>2.6461180603523887E-3</v>
      </c>
      <c r="GE60" s="450">
        <f t="shared" ca="1" si="213"/>
        <v>2.584305207226965E-3</v>
      </c>
      <c r="GF60" s="450">
        <f t="shared" ca="1" si="214"/>
        <v>2.9753308926037444E-3</v>
      </c>
      <c r="GG60" s="450">
        <f t="shared" ca="1" si="215"/>
        <v>2.7409706960184604E-3</v>
      </c>
      <c r="GH60" s="450">
        <f t="shared" ca="1" si="216"/>
        <v>2.6897114055637111E-3</v>
      </c>
      <c r="GI60" s="450">
        <f t="shared" ca="1" si="217"/>
        <v>2.9244347533287935E-3</v>
      </c>
      <c r="GJ60" s="450">
        <f t="shared" ca="1" si="218"/>
        <v>2.9809700526477203E-3</v>
      </c>
      <c r="GK60" s="450">
        <f t="shared" ca="1" si="219"/>
        <v>3.0459485151086469E-3</v>
      </c>
      <c r="GL60" s="450">
        <f t="shared" ca="1" si="220"/>
        <v>2.8187179931438012E-3</v>
      </c>
      <c r="GM60" s="450">
        <f t="shared" ca="1" si="221"/>
        <v>3.2069206281461239E-3</v>
      </c>
      <c r="GN60" s="450">
        <f t="shared" ca="1" si="222"/>
        <v>3.1998445757388905E-3</v>
      </c>
      <c r="GO60" s="450">
        <f t="shared" ca="1" si="223"/>
        <v>3.4218752985369222E-3</v>
      </c>
      <c r="GP60" s="450">
        <f t="shared" ca="1" si="224"/>
        <v>3.4412614021083997E-3</v>
      </c>
      <c r="GQ60" s="450">
        <f t="shared" ca="1" si="225"/>
        <v>3.7124338985343223E-3</v>
      </c>
      <c r="GR60" s="450">
        <f t="shared" ca="1" si="226"/>
        <v>3.8958202801271675E-3</v>
      </c>
      <c r="GS60" s="450">
        <f t="shared" ca="1" si="227"/>
        <v>3.9792354112590331E-3</v>
      </c>
      <c r="GT60" s="450">
        <f t="shared" ca="1" si="228"/>
        <v>4.3679337092259133E-3</v>
      </c>
      <c r="GU60" s="450">
        <f t="shared" ca="1" si="229"/>
        <v>4.5226928941677026E-3</v>
      </c>
      <c r="GV60" s="450">
        <f t="shared" ca="1" si="230"/>
        <v>5.0407757898312949E-3</v>
      </c>
      <c r="GW60" s="450">
        <f t="shared" ca="1" si="231"/>
        <v>5.4862620339441292E-3</v>
      </c>
      <c r="GX60" s="450">
        <f t="shared" ca="1" si="232"/>
        <v>5.642708753722192E-3</v>
      </c>
      <c r="GY60" s="450">
        <f t="shared" ca="1" si="233"/>
        <v>6.7075173211197893E-3</v>
      </c>
      <c r="GZ60" s="450">
        <f t="shared" ca="1" si="234"/>
        <v>7.3110783053111769E-3</v>
      </c>
      <c r="HA60" s="450">
        <f t="shared" ca="1" si="235"/>
        <v>8.6323965447098455E-3</v>
      </c>
      <c r="HB60" s="450">
        <f t="shared" ca="1" si="236"/>
        <v>9.7017540632079406E-3</v>
      </c>
      <c r="HC60" s="450">
        <f t="shared" ca="1" si="237"/>
        <v>1.185819486149127E-2</v>
      </c>
      <c r="HD60" s="450" t="str">
        <f t="shared" si="238"/>
        <v/>
      </c>
      <c r="HE60" s="450" t="str">
        <f t="shared" si="239"/>
        <v/>
      </c>
      <c r="HF60" s="450" t="str">
        <f t="shared" si="240"/>
        <v/>
      </c>
      <c r="HG60" s="450" t="str">
        <f t="shared" si="241"/>
        <v/>
      </c>
      <c r="HH60" s="450" t="str">
        <f t="shared" si="242"/>
        <v/>
      </c>
      <c r="HI60" s="450" t="str">
        <f t="shared" si="243"/>
        <v/>
      </c>
      <c r="HJ60" s="450" t="str">
        <f t="shared" si="244"/>
        <v/>
      </c>
      <c r="HK60" s="450" t="str">
        <f t="shared" si="245"/>
        <v/>
      </c>
      <c r="HL60" s="450" t="str">
        <f t="shared" si="246"/>
        <v/>
      </c>
      <c r="HM60" s="450" t="str">
        <f t="shared" si="247"/>
        <v/>
      </c>
      <c r="HN60" s="450" t="str">
        <f t="shared" si="248"/>
        <v/>
      </c>
      <c r="HO60" s="450" t="str">
        <f t="shared" si="249"/>
        <v/>
      </c>
      <c r="HP60" s="450" t="str">
        <f t="shared" si="250"/>
        <v/>
      </c>
      <c r="HQ60" s="450" t="str">
        <f t="shared" si="251"/>
        <v/>
      </c>
      <c r="HR60" s="450" t="str">
        <f t="shared" si="252"/>
        <v/>
      </c>
      <c r="HS60" s="450" t="str">
        <f t="shared" si="253"/>
        <v/>
      </c>
      <c r="HT60" s="450" t="str">
        <f t="shared" si="254"/>
        <v/>
      </c>
      <c r="HU60" s="450" t="str">
        <f t="shared" si="255"/>
        <v/>
      </c>
      <c r="HV60" s="450" t="str">
        <f t="shared" si="256"/>
        <v/>
      </c>
      <c r="HW60" s="450" t="str">
        <f t="shared" si="257"/>
        <v/>
      </c>
      <c r="HX60" s="450" t="str">
        <f t="shared" si="258"/>
        <v/>
      </c>
      <c r="HY60" s="450" t="str">
        <f t="shared" si="259"/>
        <v/>
      </c>
      <c r="HZ60" s="450" t="str">
        <f t="shared" si="260"/>
        <v/>
      </c>
      <c r="IA60" s="450" t="str">
        <f t="shared" si="261"/>
        <v/>
      </c>
      <c r="IB60" s="450" t="str">
        <f t="shared" si="262"/>
        <v/>
      </c>
      <c r="IC60" s="450" t="str">
        <f t="shared" si="263"/>
        <v/>
      </c>
      <c r="ID60" s="450" t="str">
        <f t="shared" si="264"/>
        <v/>
      </c>
      <c r="IE60" s="450" t="str">
        <f t="shared" si="265"/>
        <v/>
      </c>
      <c r="IF60" s="450" t="str">
        <f t="shared" si="266"/>
        <v/>
      </c>
      <c r="IG60" s="450" t="str">
        <f t="shared" si="267"/>
        <v/>
      </c>
      <c r="IH60" s="658" t="str">
        <f t="shared" si="268"/>
        <v/>
      </c>
      <c r="II60" s="242"/>
    </row>
    <row r="61" spans="1:243">
      <c r="A61" s="49"/>
      <c r="B61" s="49"/>
      <c r="C61" s="49"/>
      <c r="D61" s="49"/>
      <c r="E61" s="49"/>
      <c r="F61" s="49"/>
      <c r="G61" s="49"/>
      <c r="H61" s="49" t="e">
        <f t="shared" ca="1" si="34"/>
        <v>#N/A</v>
      </c>
      <c r="I61" s="369">
        <f t="shared" si="35"/>
        <v>38261</v>
      </c>
      <c r="J61" s="367">
        <v>22.331666666666699</v>
      </c>
      <c r="K61" s="101" t="s">
        <v>268</v>
      </c>
      <c r="L61" s="382">
        <f t="shared" si="36"/>
        <v>22.331666666666667</v>
      </c>
      <c r="M61" s="163">
        <v>0.21164936744984</v>
      </c>
      <c r="N61" s="372">
        <v>0</v>
      </c>
      <c r="O61" s="163">
        <f t="shared" si="37"/>
        <v>0.21164936744984</v>
      </c>
      <c r="P61" s="367">
        <v>20.960097258539196</v>
      </c>
      <c r="Q61" s="101" t="s">
        <v>267</v>
      </c>
      <c r="R61" s="367">
        <f t="shared" ca="1" si="147"/>
        <v>20.960097258539211</v>
      </c>
      <c r="S61" s="814">
        <f t="shared" si="163"/>
        <v>0.37344858792848407</v>
      </c>
      <c r="T61" s="813">
        <f t="shared" si="148"/>
        <v>0.99896097131958983</v>
      </c>
      <c r="U61" s="532">
        <f t="shared" si="149"/>
        <v>0.9999998868634169</v>
      </c>
      <c r="V61" s="379">
        <v>0</v>
      </c>
      <c r="W61" s="424">
        <f t="shared" si="168"/>
        <v>22.290555555555532</v>
      </c>
      <c r="X61" s="405">
        <f t="shared" si="169"/>
        <v>22.290555555555553</v>
      </c>
      <c r="Y61" s="313">
        <f t="shared" si="170"/>
        <v>21.04895555555553</v>
      </c>
      <c r="Z61" s="313">
        <f t="shared" ca="1" si="171"/>
        <v>21.048955555555551</v>
      </c>
      <c r="AA61" s="419">
        <f t="shared" si="1"/>
        <v>1.2416</v>
      </c>
      <c r="AB61" s="423">
        <f t="shared" ca="1" si="2"/>
        <v>1.2416</v>
      </c>
      <c r="AC61" s="221">
        <v>38250</v>
      </c>
      <c r="AD61" s="221">
        <v>38246</v>
      </c>
      <c r="AE61" s="221">
        <v>38245</v>
      </c>
      <c r="AF61" s="221">
        <v>38241</v>
      </c>
      <c r="AG61" s="241" t="s">
        <v>90</v>
      </c>
      <c r="AH61" s="239" t="s">
        <v>497</v>
      </c>
      <c r="AI61" s="141">
        <v>21</v>
      </c>
      <c r="AJ61" s="41">
        <v>14</v>
      </c>
      <c r="AK61" s="41">
        <v>7</v>
      </c>
      <c r="AL61" s="285">
        <v>21</v>
      </c>
      <c r="AM61" s="41">
        <v>10</v>
      </c>
      <c r="AN61" s="142">
        <v>11</v>
      </c>
      <c r="AO61" s="364">
        <v>5.0827479203041599E-2</v>
      </c>
      <c r="AP61" s="145">
        <f t="shared" ca="1" si="41"/>
        <v>0.83628788432474788</v>
      </c>
      <c r="AQ61" s="364">
        <v>4.4182537858944194E-2</v>
      </c>
      <c r="AR61" s="145">
        <f t="shared" ca="1" si="151"/>
        <v>0.86046837929949915</v>
      </c>
      <c r="AS61" s="264">
        <f t="shared" si="172"/>
        <v>0.21034968682011332</v>
      </c>
      <c r="AT61" s="149">
        <f t="shared" si="42"/>
        <v>0.21164936744984</v>
      </c>
      <c r="AU61" s="149">
        <f t="shared" si="4"/>
        <v>0.20987155355691522</v>
      </c>
      <c r="AV61" s="263">
        <f t="shared" ca="1" si="164"/>
        <v>0.20591203168947914</v>
      </c>
      <c r="AW61" s="150" t="str">
        <f t="shared" ca="1" si="173"/>
        <v/>
      </c>
      <c r="AX61" s="149">
        <f t="shared" ca="1" si="152"/>
        <v>3.6595351079180091E-2</v>
      </c>
      <c r="AY61" s="149">
        <f t="shared" ca="1" si="153"/>
        <v>1.9161538690146234E-2</v>
      </c>
      <c r="AZ61" s="149">
        <f t="shared" ca="1" si="154"/>
        <v>9.6169690330444261E-3</v>
      </c>
      <c r="BA61" s="149">
        <f t="shared" ca="1" si="155"/>
        <v>1.0000000000000097E-4</v>
      </c>
      <c r="BB61" s="149">
        <f t="shared" ca="1" si="156"/>
        <v>1.0000000000000097E-4</v>
      </c>
      <c r="BC61" s="149">
        <f t="shared" ca="1" si="157"/>
        <v>1.0000000000000097E-4</v>
      </c>
      <c r="BD61" s="143">
        <f t="shared" ca="1" si="174"/>
        <v>0</v>
      </c>
      <c r="BE61" s="144">
        <f t="shared" ca="1" si="175"/>
        <v>0</v>
      </c>
      <c r="BF61" s="40">
        <f t="shared" si="176"/>
        <v>2004</v>
      </c>
      <c r="BG61" s="139">
        <f t="shared" si="177"/>
        <v>10</v>
      </c>
      <c r="BH61" s="140">
        <f t="shared" ca="1" si="178"/>
        <v>1256</v>
      </c>
      <c r="BI61" s="304">
        <f t="shared" ca="1" si="179"/>
        <v>3.4798083504449009</v>
      </c>
      <c r="BJ61" s="42">
        <f t="shared" ca="1" si="47"/>
        <v>3.5345653661875427</v>
      </c>
      <c r="BK61" s="42">
        <f t="shared" ca="1" si="180"/>
        <v>3.5373032169746748</v>
      </c>
      <c r="BL61" s="42">
        <f t="shared" ca="1" si="181"/>
        <v>3.5619438740588638</v>
      </c>
      <c r="BM61" s="285">
        <f t="shared" si="49"/>
        <v>21</v>
      </c>
      <c r="BN61" s="41">
        <f t="shared" si="50"/>
        <v>14</v>
      </c>
      <c r="BO61" s="41">
        <f t="shared" si="51"/>
        <v>7</v>
      </c>
      <c r="BP61" s="297" t="str">
        <f t="shared" ca="1" si="10"/>
        <v/>
      </c>
      <c r="BQ61" s="297" t="str">
        <f t="shared" ca="1" si="11"/>
        <v/>
      </c>
      <c r="BR61" s="299" t="str">
        <f t="shared" ca="1" si="12"/>
        <v/>
      </c>
      <c r="BS61" s="153" t="str">
        <f t="shared" ca="1" si="13"/>
        <v/>
      </c>
      <c r="BT61" s="153" t="str">
        <f t="shared" ca="1" si="14"/>
        <v/>
      </c>
      <c r="BU61" s="300" t="str">
        <f t="shared" ca="1" si="15"/>
        <v/>
      </c>
      <c r="BV61" s="301" t="str">
        <f t="shared" ca="1" si="16"/>
        <v/>
      </c>
      <c r="BW61" s="300" t="str">
        <f t="shared" ca="1" si="17"/>
        <v/>
      </c>
      <c r="BX61" s="301" t="str">
        <f t="shared" ca="1" si="18"/>
        <v/>
      </c>
      <c r="BY61" s="146" t="str">
        <f t="shared" ca="1" si="19"/>
        <v/>
      </c>
      <c r="BZ61" s="146" t="str">
        <f t="shared" ca="1" si="20"/>
        <v/>
      </c>
      <c r="CA61" s="146" t="str">
        <f t="shared" ca="1" si="21"/>
        <v/>
      </c>
      <c r="CB61" s="146" t="str">
        <f t="shared" ca="1" si="22"/>
        <v/>
      </c>
      <c r="CC61" s="302">
        <v>1</v>
      </c>
      <c r="CD61" s="154">
        <f ca="1">IF(BD61,_xll.xCrudeAPO(BS61,BT61,BY61,BZ61,S62,S63,BI61,BL61,BN61,BO61,0,Strike1,AO61,CC61,0,BL61,IF(OptControl=4,0,1),0,1),0)</f>
        <v>0</v>
      </c>
      <c r="CE61" s="155">
        <f ca="1">IF(BD61,_xll.xCrudeAPO(BS61,BT61,BY61,BZ61,S62,S63,BI61,BL61,BN61,BO61,0,Strike1,AO61,CC61,0,BL61,IF(OptControl=4,0,1),1,1)+_xll.xCrudeAPO(BS61,BT61,BY61,BZ61,S62,S63,BI61,BL61,BN61,BO61,0,Strike1,AO61,CC61,0,BL61,IF(OptControl=4,0,1),1,2)+IF(OR(VolSkewFlag=2,ABS(BQ61)&lt;0.0001),0,IF(BQ61&gt;0,-1,1)*CF61*Strike1/BP61^2*BW61/10%),0)</f>
        <v>0</v>
      </c>
      <c r="CF61" s="155">
        <f ca="1">IF(BD61,(_xll.xCrudeAPO(BS61,BT61,BY61,BZ61,S62,S63,BI61,BL61,BN61,BO61,0,Strike1,AO61,CC61,0,BL61,IF(OptControl=4,0,1),3,1)+_xll.xCrudeAPO(BS61,BT61,BY61,BZ61,S62,S63,BI61,BL61,BN61,BO61,0,Strike1,AO61,CC61,0,BL61,IF(OptControl=4,0,1),3,2))/100,0)</f>
        <v>0</v>
      </c>
      <c r="CG61" s="155">
        <f ca="1">IF(BD61,_xll.xCrudeAPO(BS61,BT61,BY61,BZ61,S62,S63,BI61-DaysForThetaCalculation/365.25,BL61-DaysForThetaCalculation/365.25,BN61,BO61,0,Strike1,AO61,CC61,0,BL61,IF(OptControl=4,0,1),0,1)-_xll.xCrudeAPO(BS61,BT61,BY61,BZ61,S62,S63,BI61,BL61,BN61,BO61,0,Strike1,AO61,CC61,0,BL61,IF(OptControl=4,0,1),0,1),0)</f>
        <v>0</v>
      </c>
      <c r="CH61" s="303">
        <f ca="1">IF(BD61,_xll.xCrudeAPO(BS61,BT61,CA61,CB61,S62,S63,BI61,BL61,BN61,BO61,0,Strike2,AO61,CC61,0,BL61,IF(OptControl=3,1,0),0,1),0)</f>
        <v>0</v>
      </c>
      <c r="CI61" s="155">
        <f ca="1">IF(BD61,_xll.xCrudeAPO(BS61,BT61,CA61,CB61,S62,S63,BI61,BL61,BN61,BO61,0,Strike2,AO61,CC61,0,BL61,IF(OptControl=3,1,0),1,1)+_xll.xCrudeAPO(BS61,BT61,CA61,CB61,S62,S63,BI61,BL61,BN61,BO61,0,Strike2,AO61,CC61,0,BL61,IF(OptControl=3,1,0),1,2)+IF(OR(VolSkewFlag=2,ABS(BR61)&lt;0.0001),0,IF(BR61&gt;0,-1,1)*CJ61*Strike2/BP61^2*BX61/10%),0)</f>
        <v>0</v>
      </c>
      <c r="CJ61" s="155">
        <f ca="1">IF(BD61,(_xll.xCrudeAPO(BS61,BT61,CA61,CB61,S62,S63,BI61,BL61,BN61,BO61,0,Strike2,AO61,CC61,0,BL61,IF(OptControl=3,1,0),3,1)+_xll.xCrudeAPO(BS61,BT61,CA61,CB61,S62,S63,BI61,BL61,BN61,BO61,0,Strike2,AO61,CC61,0,BL61,IF(OptControl=3,1,0),3,2))/100,0)</f>
        <v>0</v>
      </c>
      <c r="CK61" s="156">
        <f ca="1">IF(BD61,_xll.xCrudeAPO(BS61,BT61,CA61,CB61,S62,S63,BI61-DaysForThetaCalculation/365.25,BL61-DaysForThetaCalculation/365.25,BN61,BO61,0,Strike2,AO61,CC61,0,BL61,IF(OptControl=3,1,0),0,1)-_xll.xCrudeAPO(BS61,BT61,CA61,CB61,S62,S63,BI61,BL61,BN61,BO61,0,Strike2,AO61,CC61,0,BL61,IF(OptControl=3,1,0),0,1),0)</f>
        <v>0</v>
      </c>
      <c r="CL61" s="51"/>
      <c r="CM61" s="779" t="str">
        <f t="shared" ca="1" si="52"/>
        <v/>
      </c>
      <c r="CN61" s="783" t="str">
        <f t="shared" ca="1" si="53"/>
        <v/>
      </c>
      <c r="CO61" s="780" t="str">
        <f t="shared" ca="1" si="54"/>
        <v/>
      </c>
      <c r="CP61" s="780" t="str">
        <f t="shared" ca="1" si="55"/>
        <v/>
      </c>
      <c r="CQ61" s="780" t="str">
        <f t="shared" ca="1" si="56"/>
        <v/>
      </c>
      <c r="CR61" s="780" t="str">
        <f t="shared" ca="1" si="57"/>
        <v/>
      </c>
      <c r="CS61" s="781" t="str">
        <f t="shared" ca="1" si="58"/>
        <v/>
      </c>
      <c r="CT61" s="782" t="str">
        <f t="shared" ca="1" si="59"/>
        <v/>
      </c>
      <c r="CU61" s="782" t="str">
        <f t="shared" ca="1" si="60"/>
        <v/>
      </c>
      <c r="CV61" s="155">
        <f ca="1">IF(BD61,_xll.EURO(CN61,Strike1,AO61,AO61,CT61,CM61,IF(OptControl=4,0,1),0),0)</f>
        <v>0</v>
      </c>
      <c r="CW61" s="155">
        <f ca="1">IF(BD61,_xll.EURO(CN61,Strike1,AO61,AO61,CT61,CM61,IF(OptControl=4,0,1),1)+IF(OR(VolSkewFlag=2,ABS(CO61)&lt;0.0001),0,IF(CO61&gt;0,-1,1)*CX61*100*Strike1/CN61^2*CQ61/10%),0)</f>
        <v>0</v>
      </c>
      <c r="CX61" s="155">
        <f ca="1">IF(BD61,_xll.EURO(CN61,Strike1,AO61,AO61,CT61,CM61,IF(OptControl=4,0,1),3)/100,0)</f>
        <v>0</v>
      </c>
      <c r="CY61" s="155">
        <f ca="1">IF(BD61,_xll.EURO(CN61,Strike1,AO61,AO61,CT61,CM61,IF(OptControl=4,0,1),0)-_xll.EURO(CN61,Strike1,AO61,AO61,CT61,CM61-1,IF(OptControl=4,0,1),0),0)</f>
        <v>0</v>
      </c>
      <c r="CZ61" s="155">
        <f ca="1">IF(BD61,_xll.EURO(CN61,Strike2,AO61,AO61,CU61,CM61,IF(OptControl=3,1,0),0),0)</f>
        <v>0</v>
      </c>
      <c r="DA61" s="155">
        <f ca="1">IF(BD61,_xll.EURO(CN61,Strike2,AO61,AO61,CU61,CM61,IF(OptControl=3,1,0),1)+IF(OR(VolSkewFlag=2,ABS(CP61)&lt;0.0001),0,IF(CP61&gt;0,-1,1)*DB61*100*Strike2/CN61^2*CR61/10%),0)</f>
        <v>0</v>
      </c>
      <c r="DB61" s="155">
        <f ca="1">IF(BD61,_xll.EURO(CN61,Strike2,AO61,AO61,CU61,CM61,IF(OptControl=3,1,0),3)/100,0)</f>
        <v>0</v>
      </c>
      <c r="DC61" s="156">
        <f ca="1">IF(BD61,_xll.EURO(CN61,Strike2,AO61,AO61,CU61,CM61,IF(OptControl=3,1,0),0)-_xll.EURO(CN61,Strike2,AO61,AO61,CU61,CM61-1,IF(OptControl=3,1,0),0),0)</f>
        <v>0</v>
      </c>
      <c r="DE61" s="651">
        <f t="shared" ca="1" si="61"/>
        <v>38169</v>
      </c>
      <c r="DF61" s="465">
        <v>1E-4</v>
      </c>
      <c r="DG61" s="649">
        <v>1E-4</v>
      </c>
      <c r="DH61" s="650">
        <f t="shared" ca="1" si="182"/>
        <v>38169</v>
      </c>
      <c r="DI61" s="465">
        <v>1E-4</v>
      </c>
      <c r="DJ61" s="649">
        <v>1E-4</v>
      </c>
      <c r="DK61" s="651">
        <f t="shared" ca="1" si="183"/>
        <v>38169</v>
      </c>
      <c r="DL61" s="652">
        <f t="shared" si="184"/>
        <v>5.0100000000000006E-2</v>
      </c>
      <c r="DM61" s="651">
        <f t="shared" ca="1" si="62"/>
        <v>38169</v>
      </c>
      <c r="DN61" s="563">
        <f t="shared" si="63"/>
        <v>-0.12990000000000002</v>
      </c>
      <c r="DO61" s="803">
        <v>-0.13</v>
      </c>
      <c r="DP61" s="650">
        <f t="shared" ca="1" si="185"/>
        <v>38169</v>
      </c>
      <c r="DQ61" s="653">
        <v>1E-4</v>
      </c>
      <c r="DR61" s="590">
        <v>1E-4</v>
      </c>
      <c r="DS61" s="650">
        <f t="shared" ca="1" si="186"/>
        <v>38169</v>
      </c>
      <c r="DT61" s="653">
        <v>1E-4</v>
      </c>
      <c r="DU61" s="590">
        <v>1E-4</v>
      </c>
      <c r="DV61" s="651">
        <f t="shared" ca="1" si="187"/>
        <v>38169</v>
      </c>
      <c r="DW61" s="590">
        <v>1E-4</v>
      </c>
      <c r="DX61" s="651">
        <f t="shared" ca="1" si="64"/>
        <v>38169</v>
      </c>
      <c r="DY61" s="590">
        <f t="shared" si="65"/>
        <v>1E-4</v>
      </c>
      <c r="DZ61" s="1"/>
      <c r="EA61" s="863" t="e">
        <f ca="1">_xll.ASN(X61,X61,AO61,AS61,0,AI61,0,BI61,BL61,1,0)</f>
        <v>#NAME?</v>
      </c>
      <c r="EB61" s="653" t="e">
        <f ca="1">_xll.ASN(X61,X61,AO61,AS61,0,AI61,0,BI61,BL61,1,3)/100</f>
        <v>#NAME?</v>
      </c>
      <c r="EC61" s="653" t="e">
        <f ca="1">_xll.xCrudeAPO(L62,L63,O62,O63,S62,S63,BI61,BL61,AJ61,AK61,0,X61,AO61,1,0,+BL61,1,0,1)</f>
        <v>#NAME?</v>
      </c>
      <c r="ED61" s="869" t="e">
        <f t="shared" ca="1" si="165"/>
        <v>#NAME?</v>
      </c>
      <c r="EE61" s="863" t="e">
        <f t="shared" ca="1" si="29"/>
        <v>#NAME?</v>
      </c>
      <c r="EF61" s="590" t="e">
        <f t="shared" ca="1" si="30"/>
        <v>#NAME?</v>
      </c>
      <c r="EG61" s="862" t="str">
        <f t="shared" ca="1" si="188"/>
        <v/>
      </c>
      <c r="EH61" s="114" t="str">
        <f t="shared" ca="1" si="32"/>
        <v/>
      </c>
      <c r="EI61" s="109" t="str">
        <f t="shared" ca="1" si="33"/>
        <v/>
      </c>
      <c r="EJ61" s="115">
        <f ca="1">IF(BD61,_xll.xASN(BP61,Strike1,AO61,EH61,0,BM61,0,BI61,BL61,IF(OptControl=4,0,1),0),0)</f>
        <v>0</v>
      </c>
      <c r="EK61" s="108">
        <f ca="1">IF(BD61,_xll.xASN(BP61,Strike2,AO61,EI61,0,BM61,0,BI61,BL61,IF(OptControl=3,1,0),0),0)</f>
        <v>0</v>
      </c>
      <c r="EP61" s="53"/>
      <c r="EQ61" s="1"/>
      <c r="ER61" s="681">
        <v>40728</v>
      </c>
      <c r="ES61" s="682">
        <v>44190</v>
      </c>
      <c r="ET61" s="1"/>
      <c r="EU61" s="667" t="s">
        <v>247</v>
      </c>
      <c r="EW61" s="488">
        <v>42</v>
      </c>
      <c r="EX61" s="466">
        <f t="shared" ca="1" si="166"/>
        <v>3.4387405886379194</v>
      </c>
      <c r="EY61" s="824">
        <f t="shared" ca="1" si="189"/>
        <v>0.1540399484075243</v>
      </c>
      <c r="EZ61" s="798">
        <f t="shared" ca="1" si="269"/>
        <v>0.21486695521486546</v>
      </c>
      <c r="FA61" s="468" t="str">
        <f t="shared" ca="1" si="270"/>
        <v/>
      </c>
      <c r="FB61" s="467" t="str">
        <f t="shared" ca="1" si="271"/>
        <v/>
      </c>
      <c r="FC61" s="242">
        <v>0</v>
      </c>
      <c r="FD61" s="589" t="str">
        <f ca="1">IF(OR(FA61="",FA62=""),"",SQRT(SUM(INDEX(FO61:IH61,SwaptionFirstMonthPosition+1):INDEX(FO61:IH61,FN61))/SUM(INDEX($FO$15:$IH$15,SwaptionFirstMonthPosition+1):INDEX($FO$15:$IH$15,FN61))))</f>
        <v/>
      </c>
      <c r="FE61" s="565" t="str">
        <f ca="1">IF(OR(FA61="",FA60=""),"",SQRT(SUM(INDEX(FO61:IH61,SwaptionFirstMonthPosition+1):INDEX(FO61:IH61,FN61-1))/SUM(INDEX($FO$15:$IH$15,SwaptionFirstMonthPosition+1):INDEX($FO$15:$IH$15,FN61-1))))</f>
        <v/>
      </c>
      <c r="FF61" s="562" t="str">
        <f t="shared" ca="1" si="190"/>
        <v/>
      </c>
      <c r="FG61" s="593" t="str">
        <f t="shared" ca="1" si="191"/>
        <v/>
      </c>
      <c r="FH61" s="563" t="str">
        <f t="shared" ca="1" si="192"/>
        <v/>
      </c>
      <c r="FI61" s="563" t="str">
        <f t="shared" ca="1" si="193"/>
        <v/>
      </c>
      <c r="FJ61" s="563" t="str">
        <f t="shared" ca="1" si="194"/>
        <v/>
      </c>
      <c r="FK61" s="564" t="str">
        <f t="shared" ca="1" si="195"/>
        <v/>
      </c>
      <c r="FL61" s="590" t="str">
        <f t="shared" ca="1" si="196"/>
        <v/>
      </c>
      <c r="FM61" s="242"/>
      <c r="FN61" s="657">
        <v>42</v>
      </c>
      <c r="FO61" s="450">
        <f t="shared" ca="1" si="197"/>
        <v>6.6646042209640894E-4</v>
      </c>
      <c r="FP61" s="450">
        <f t="shared" ca="1" si="198"/>
        <v>2.5035581410562304E-3</v>
      </c>
      <c r="FQ61" s="450">
        <f t="shared" ca="1" si="199"/>
        <v>2.4201100167362734E-3</v>
      </c>
      <c r="FR61" s="450">
        <f t="shared" ca="1" si="200"/>
        <v>2.6712932694469096E-3</v>
      </c>
      <c r="FS61" s="450">
        <f t="shared" ca="1" si="201"/>
        <v>2.5059642787921069E-3</v>
      </c>
      <c r="FT61" s="450">
        <f t="shared" ca="1" si="202"/>
        <v>2.6757681429164775E-3</v>
      </c>
      <c r="FU61" s="450">
        <f t="shared" ca="1" si="203"/>
        <v>2.5121438494556032E-3</v>
      </c>
      <c r="FV61" s="450">
        <f t="shared" ca="1" si="204"/>
        <v>2.3491180097521399E-3</v>
      </c>
      <c r="FW61" s="450">
        <f t="shared" ca="1" si="205"/>
        <v>2.5229664863919057E-3</v>
      </c>
      <c r="FX61" s="450">
        <f t="shared" ca="1" si="206"/>
        <v>2.7834979004932796E-3</v>
      </c>
      <c r="FY61" s="450">
        <f t="shared" ca="1" si="207"/>
        <v>2.4548845502581286E-3</v>
      </c>
      <c r="FZ61" s="450">
        <f t="shared" ca="1" si="208"/>
        <v>2.4653897904485093E-3</v>
      </c>
      <c r="GA61" s="450">
        <f t="shared" ca="1" si="209"/>
        <v>2.8195951427153602E-3</v>
      </c>
      <c r="GB61" s="450">
        <f t="shared" ca="1" si="210"/>
        <v>2.4924282928581159E-3</v>
      </c>
      <c r="GC61" s="450">
        <f t="shared" ca="1" si="211"/>
        <v>2.7690651121375308E-3</v>
      </c>
      <c r="GD61" s="450">
        <f t="shared" ca="1" si="212"/>
        <v>2.6164603712605029E-3</v>
      </c>
      <c r="GE61" s="450">
        <f t="shared" ca="1" si="213"/>
        <v>2.5521219953561001E-3</v>
      </c>
      <c r="GF61" s="450">
        <f t="shared" ca="1" si="214"/>
        <v>2.9341611318001153E-3</v>
      </c>
      <c r="GG61" s="450">
        <f t="shared" ca="1" si="215"/>
        <v>2.6988296845560033E-3</v>
      </c>
      <c r="GH61" s="450">
        <f t="shared" ca="1" si="216"/>
        <v>2.6437637096790173E-3</v>
      </c>
      <c r="GI61" s="450">
        <f t="shared" ca="1" si="217"/>
        <v>2.8689265104070057E-3</v>
      </c>
      <c r="GJ61" s="450">
        <f t="shared" ca="1" si="218"/>
        <v>2.9181019074497102E-3</v>
      </c>
      <c r="GK61" s="450">
        <f t="shared" ca="1" si="219"/>
        <v>2.9745723709037209E-3</v>
      </c>
      <c r="GL61" s="450">
        <f t="shared" ca="1" si="220"/>
        <v>2.7453275274686769E-3</v>
      </c>
      <c r="GM61" s="450">
        <f t="shared" ca="1" si="221"/>
        <v>3.1141450397579569E-3</v>
      </c>
      <c r="GN61" s="450">
        <f t="shared" ca="1" si="222"/>
        <v>3.0969880428811884E-3</v>
      </c>
      <c r="GO61" s="450">
        <f t="shared" ca="1" si="223"/>
        <v>3.2996602552232261E-3</v>
      </c>
      <c r="GP61" s="450">
        <f t="shared" ca="1" si="224"/>
        <v>3.3046975869096109E-3</v>
      </c>
      <c r="GQ61" s="450">
        <f t="shared" ca="1" si="225"/>
        <v>3.5487393569705993E-3</v>
      </c>
      <c r="GR61" s="450">
        <f t="shared" ca="1" si="226"/>
        <v>3.7049528294046869E-3</v>
      </c>
      <c r="GS61" s="450">
        <f t="shared" ca="1" si="227"/>
        <v>3.762619635558791E-3</v>
      </c>
      <c r="GT61" s="450">
        <f t="shared" ca="1" si="228"/>
        <v>4.1037390836413971E-3</v>
      </c>
      <c r="GU61" s="450">
        <f t="shared" ca="1" si="229"/>
        <v>4.2187426270744403E-3</v>
      </c>
      <c r="GV61" s="450">
        <f t="shared" ca="1" si="230"/>
        <v>4.6643665271962767E-3</v>
      </c>
      <c r="GW61" s="450">
        <f t="shared" ca="1" si="231"/>
        <v>5.0310675839625599E-3</v>
      </c>
      <c r="GX61" s="450">
        <f t="shared" ca="1" si="232"/>
        <v>5.122514515891817E-3</v>
      </c>
      <c r="GY61" s="450">
        <f t="shared" ca="1" si="233"/>
        <v>6.0204533175471737E-3</v>
      </c>
      <c r="GZ61" s="450">
        <f t="shared" ca="1" si="234"/>
        <v>6.4789806104749601E-3</v>
      </c>
      <c r="HA61" s="450">
        <f t="shared" ca="1" si="235"/>
        <v>7.5407507245201615E-3</v>
      </c>
      <c r="HB61" s="450">
        <f t="shared" ca="1" si="236"/>
        <v>8.3385586198367855E-3</v>
      </c>
      <c r="HC61" s="450">
        <f t="shared" ca="1" si="237"/>
        <v>1.0006864439238043E-2</v>
      </c>
      <c r="HD61" s="450">
        <f t="shared" ca="1" si="238"/>
        <v>1.1836767371934715E-2</v>
      </c>
      <c r="HE61" s="450" t="str">
        <f t="shared" si="239"/>
        <v/>
      </c>
      <c r="HF61" s="450" t="str">
        <f t="shared" si="240"/>
        <v/>
      </c>
      <c r="HG61" s="450" t="str">
        <f t="shared" si="241"/>
        <v/>
      </c>
      <c r="HH61" s="450" t="str">
        <f t="shared" si="242"/>
        <v/>
      </c>
      <c r="HI61" s="450" t="str">
        <f t="shared" si="243"/>
        <v/>
      </c>
      <c r="HJ61" s="450" t="str">
        <f t="shared" si="244"/>
        <v/>
      </c>
      <c r="HK61" s="450" t="str">
        <f t="shared" si="245"/>
        <v/>
      </c>
      <c r="HL61" s="450" t="str">
        <f t="shared" si="246"/>
        <v/>
      </c>
      <c r="HM61" s="450" t="str">
        <f t="shared" si="247"/>
        <v/>
      </c>
      <c r="HN61" s="450" t="str">
        <f t="shared" si="248"/>
        <v/>
      </c>
      <c r="HO61" s="450" t="str">
        <f t="shared" si="249"/>
        <v/>
      </c>
      <c r="HP61" s="450" t="str">
        <f t="shared" si="250"/>
        <v/>
      </c>
      <c r="HQ61" s="450" t="str">
        <f t="shared" si="251"/>
        <v/>
      </c>
      <c r="HR61" s="450" t="str">
        <f t="shared" si="252"/>
        <v/>
      </c>
      <c r="HS61" s="450" t="str">
        <f t="shared" si="253"/>
        <v/>
      </c>
      <c r="HT61" s="450" t="str">
        <f t="shared" si="254"/>
        <v/>
      </c>
      <c r="HU61" s="450" t="str">
        <f t="shared" si="255"/>
        <v/>
      </c>
      <c r="HV61" s="450" t="str">
        <f t="shared" si="256"/>
        <v/>
      </c>
      <c r="HW61" s="450" t="str">
        <f t="shared" si="257"/>
        <v/>
      </c>
      <c r="HX61" s="450" t="str">
        <f t="shared" si="258"/>
        <v/>
      </c>
      <c r="HY61" s="450" t="str">
        <f t="shared" si="259"/>
        <v/>
      </c>
      <c r="HZ61" s="450" t="str">
        <f t="shared" si="260"/>
        <v/>
      </c>
      <c r="IA61" s="450" t="str">
        <f t="shared" si="261"/>
        <v/>
      </c>
      <c r="IB61" s="450" t="str">
        <f t="shared" si="262"/>
        <v/>
      </c>
      <c r="IC61" s="450" t="str">
        <f t="shared" si="263"/>
        <v/>
      </c>
      <c r="ID61" s="450" t="str">
        <f t="shared" si="264"/>
        <v/>
      </c>
      <c r="IE61" s="450" t="str">
        <f t="shared" si="265"/>
        <v/>
      </c>
      <c r="IF61" s="450" t="str">
        <f t="shared" si="266"/>
        <v/>
      </c>
      <c r="IG61" s="450" t="str">
        <f t="shared" si="267"/>
        <v/>
      </c>
      <c r="IH61" s="658" t="str">
        <f t="shared" si="268"/>
        <v/>
      </c>
      <c r="II61" s="242"/>
    </row>
    <row r="62" spans="1:243">
      <c r="A62" s="49"/>
      <c r="B62" s="49"/>
      <c r="C62" s="49"/>
      <c r="D62" s="49"/>
      <c r="E62" s="49"/>
      <c r="F62" s="49"/>
      <c r="G62" s="49"/>
      <c r="H62" s="49" t="e">
        <f t="shared" ca="1" si="34"/>
        <v>#N/A</v>
      </c>
      <c r="I62" s="369">
        <f t="shared" si="35"/>
        <v>38292</v>
      </c>
      <c r="J62" s="367">
        <v>22.300833333333298</v>
      </c>
      <c r="K62" s="101" t="s">
        <v>268</v>
      </c>
      <c r="L62" s="382">
        <f t="shared" si="36"/>
        <v>22.300833333333333</v>
      </c>
      <c r="M62" s="163">
        <v>0.21118642003070998</v>
      </c>
      <c r="N62" s="372">
        <v>0</v>
      </c>
      <c r="O62" s="163">
        <f t="shared" si="37"/>
        <v>0.21118642003070998</v>
      </c>
      <c r="P62" s="367">
        <v>21.037018951217298</v>
      </c>
      <c r="Q62" s="101" t="s">
        <v>267</v>
      </c>
      <c r="R62" s="367">
        <f t="shared" ca="1" si="147"/>
        <v>21.037018951217316</v>
      </c>
      <c r="S62" s="814">
        <f t="shared" si="163"/>
        <v>0.3731141020491992</v>
      </c>
      <c r="T62" s="813">
        <f t="shared" si="148"/>
        <v>0.9990649312809553</v>
      </c>
      <c r="U62" s="532">
        <f t="shared" si="149"/>
        <v>0.9999999151475627</v>
      </c>
      <c r="V62" s="379">
        <v>0</v>
      </c>
      <c r="W62" s="424">
        <f t="shared" si="168"/>
        <v>22.261780303030317</v>
      </c>
      <c r="X62" s="405">
        <f t="shared" si="169"/>
        <v>22.261780303030307</v>
      </c>
      <c r="Y62" s="313">
        <f t="shared" si="170"/>
        <v>21.020180303030315</v>
      </c>
      <c r="Z62" s="313">
        <f t="shared" ca="1" si="171"/>
        <v>21.020180303030308</v>
      </c>
      <c r="AA62" s="419">
        <f t="shared" si="1"/>
        <v>1.2416</v>
      </c>
      <c r="AB62" s="423">
        <f t="shared" ca="1" si="2"/>
        <v>1.2416</v>
      </c>
      <c r="AC62" s="221">
        <v>38280</v>
      </c>
      <c r="AD62" s="221">
        <v>38276</v>
      </c>
      <c r="AE62" s="221">
        <v>38275</v>
      </c>
      <c r="AF62" s="221">
        <v>38271</v>
      </c>
      <c r="AG62" s="241" t="s">
        <v>90</v>
      </c>
      <c r="AH62" s="239" t="s">
        <v>497</v>
      </c>
      <c r="AI62" s="141">
        <v>22</v>
      </c>
      <c r="AJ62" s="41">
        <v>15</v>
      </c>
      <c r="AK62" s="41">
        <v>7</v>
      </c>
      <c r="AL62" s="285">
        <v>22</v>
      </c>
      <c r="AM62" s="41">
        <v>10</v>
      </c>
      <c r="AN62" s="142">
        <v>12</v>
      </c>
      <c r="AO62" s="364">
        <v>5.1005649382126296E-2</v>
      </c>
      <c r="AP62" s="145">
        <f t="shared" ca="1" si="41"/>
        <v>0.83232017283883009</v>
      </c>
      <c r="AQ62" s="364">
        <v>4.4364730334285299E-2</v>
      </c>
      <c r="AR62" s="145">
        <f t="shared" ca="1" si="151"/>
        <v>0.85684739267341492</v>
      </c>
      <c r="AS62" s="264">
        <f t="shared" si="172"/>
        <v>0.20869469611919636</v>
      </c>
      <c r="AT62" s="149">
        <f t="shared" si="42"/>
        <v>0.21118642003070998</v>
      </c>
      <c r="AU62" s="149">
        <f t="shared" si="4"/>
        <v>0.2087078930622509</v>
      </c>
      <c r="AV62" s="263">
        <f t="shared" ca="1" si="164"/>
        <v>0.20576638505872247</v>
      </c>
      <c r="AW62" s="150" t="str">
        <f t="shared" ca="1" si="173"/>
        <v/>
      </c>
      <c r="AX62" s="149">
        <f t="shared" ca="1" si="152"/>
        <v>3.6081251765639435E-2</v>
      </c>
      <c r="AY62" s="149">
        <f t="shared" ca="1" si="153"/>
        <v>1.8831847775393096E-2</v>
      </c>
      <c r="AZ62" s="149">
        <f t="shared" ca="1" si="154"/>
        <v>9.5023548646896317E-3</v>
      </c>
      <c r="BA62" s="149">
        <f t="shared" ca="1" si="155"/>
        <v>1.0000000000000102E-4</v>
      </c>
      <c r="BB62" s="149">
        <f t="shared" ca="1" si="156"/>
        <v>1.0000000000000102E-4</v>
      </c>
      <c r="BC62" s="149">
        <f t="shared" ca="1" si="157"/>
        <v>1.0000000000000102E-4</v>
      </c>
      <c r="BD62" s="143">
        <f t="shared" ca="1" si="174"/>
        <v>0</v>
      </c>
      <c r="BE62" s="144">
        <f t="shared" ca="1" si="175"/>
        <v>0</v>
      </c>
      <c r="BF62" s="40">
        <f t="shared" si="176"/>
        <v>2004</v>
      </c>
      <c r="BG62" s="139">
        <f t="shared" si="177"/>
        <v>11</v>
      </c>
      <c r="BH62" s="140">
        <f t="shared" ca="1" si="178"/>
        <v>1286</v>
      </c>
      <c r="BI62" s="304">
        <f t="shared" ca="1" si="179"/>
        <v>3.5646817248459959</v>
      </c>
      <c r="BJ62" s="42">
        <f t="shared" ca="1" si="47"/>
        <v>3.6188165017733804</v>
      </c>
      <c r="BK62" s="42">
        <f t="shared" ca="1" si="180"/>
        <v>3.6215543525605125</v>
      </c>
      <c r="BL62" s="42">
        <f t="shared" ca="1" si="181"/>
        <v>3.6440793976728267</v>
      </c>
      <c r="BM62" s="285">
        <f t="shared" si="49"/>
        <v>22</v>
      </c>
      <c r="BN62" s="41">
        <f t="shared" si="50"/>
        <v>15</v>
      </c>
      <c r="BO62" s="41">
        <f t="shared" si="51"/>
        <v>7</v>
      </c>
      <c r="BP62" s="297" t="str">
        <f t="shared" ca="1" si="10"/>
        <v/>
      </c>
      <c r="BQ62" s="297" t="str">
        <f t="shared" ca="1" si="11"/>
        <v/>
      </c>
      <c r="BR62" s="299" t="str">
        <f t="shared" ca="1" si="12"/>
        <v/>
      </c>
      <c r="BS62" s="153" t="str">
        <f t="shared" ca="1" si="13"/>
        <v/>
      </c>
      <c r="BT62" s="153" t="str">
        <f t="shared" ca="1" si="14"/>
        <v/>
      </c>
      <c r="BU62" s="300" t="str">
        <f t="shared" ca="1" si="15"/>
        <v/>
      </c>
      <c r="BV62" s="301" t="str">
        <f t="shared" ca="1" si="16"/>
        <v/>
      </c>
      <c r="BW62" s="300" t="str">
        <f t="shared" ca="1" si="17"/>
        <v/>
      </c>
      <c r="BX62" s="301" t="str">
        <f t="shared" ca="1" si="18"/>
        <v/>
      </c>
      <c r="BY62" s="146" t="str">
        <f t="shared" ca="1" si="19"/>
        <v/>
      </c>
      <c r="BZ62" s="146" t="str">
        <f t="shared" ca="1" si="20"/>
        <v/>
      </c>
      <c r="CA62" s="146" t="str">
        <f t="shared" ca="1" si="21"/>
        <v/>
      </c>
      <c r="CB62" s="146" t="str">
        <f t="shared" ca="1" si="22"/>
        <v/>
      </c>
      <c r="CC62" s="302">
        <v>1</v>
      </c>
      <c r="CD62" s="154">
        <f ca="1">IF(BD62,_xll.xCrudeAPO(BS62,BT62,BY62,BZ62,S63,S64,BI62,BL62,BN62,BO62,0,Strike1,AO62,CC62,0,BL62,IF(OptControl=4,0,1),0,1),0)</f>
        <v>0</v>
      </c>
      <c r="CE62" s="155">
        <f ca="1">IF(BD62,_xll.xCrudeAPO(BS62,BT62,BY62,BZ62,S63,S64,BI62,BL62,BN62,BO62,0,Strike1,AO62,CC62,0,BL62,IF(OptControl=4,0,1),1,1)+_xll.xCrudeAPO(BS62,BT62,BY62,BZ62,S63,S64,BI62,BL62,BN62,BO62,0,Strike1,AO62,CC62,0,BL62,IF(OptControl=4,0,1),1,2)+IF(OR(VolSkewFlag=2,ABS(BQ62)&lt;0.0001),0,IF(BQ62&gt;0,-1,1)*CF62*Strike1/BP62^2*BW62/10%),0)</f>
        <v>0</v>
      </c>
      <c r="CF62" s="155">
        <f ca="1">IF(BD62,(_xll.xCrudeAPO(BS62,BT62,BY62,BZ62,S63,S64,BI62,BL62,BN62,BO62,0,Strike1,AO62,CC62,0,BL62,IF(OptControl=4,0,1),3,1)+_xll.xCrudeAPO(BS62,BT62,BY62,BZ62,S63,S64,BI62,BL62,BN62,BO62,0,Strike1,AO62,CC62,0,BL62,IF(OptControl=4,0,1),3,2))/100,0)</f>
        <v>0</v>
      </c>
      <c r="CG62" s="155">
        <f ca="1">IF(BD62,_xll.xCrudeAPO(BS62,BT62,BY62,BZ62,S63,S64,BI62-DaysForThetaCalculation/365.25,BL62-DaysForThetaCalculation/365.25,BN62,BO62,0,Strike1,AO62,CC62,0,BL62,IF(OptControl=4,0,1),0,1)-_xll.xCrudeAPO(BS62,BT62,BY62,BZ62,S63,S64,BI62,BL62,BN62,BO62,0,Strike1,AO62,CC62,0,BL62,IF(OptControl=4,0,1),0,1),0)</f>
        <v>0</v>
      </c>
      <c r="CH62" s="303">
        <f ca="1">IF(BD62,_xll.xCrudeAPO(BS62,BT62,CA62,CB62,S63,S64,BI62,BL62,BN62,BO62,0,Strike2,AO62,CC62,0,BL62,IF(OptControl=3,1,0),0,1),0)</f>
        <v>0</v>
      </c>
      <c r="CI62" s="155">
        <f ca="1">IF(BD62,_xll.xCrudeAPO(BS62,BT62,CA62,CB62,S63,S64,BI62,BL62,BN62,BO62,0,Strike2,AO62,CC62,0,BL62,IF(OptControl=3,1,0),1,1)+_xll.xCrudeAPO(BS62,BT62,CA62,CB62,S63,S64,BI62,BL62,BN62,BO62,0,Strike2,AO62,CC62,0,BL62,IF(OptControl=3,1,0),1,2)+IF(OR(VolSkewFlag=2,ABS(BR62)&lt;0.0001),0,IF(BR62&gt;0,-1,1)*CJ62*Strike2/BP62^2*BX62/10%),0)</f>
        <v>0</v>
      </c>
      <c r="CJ62" s="155">
        <f ca="1">IF(BD62,(_xll.xCrudeAPO(BS62,BT62,CA62,CB62,S63,S64,BI62,BL62,BN62,BO62,0,Strike2,AO62,CC62,0,BL62,IF(OptControl=3,1,0),3,1)+_xll.xCrudeAPO(BS62,BT62,CA62,CB62,S63,S64,BI62,BL62,BN62,BO62,0,Strike2,AO62,CC62,0,BL62,IF(OptControl=3,1,0),3,2))/100,0)</f>
        <v>0</v>
      </c>
      <c r="CK62" s="156">
        <f ca="1">IF(BD62,_xll.xCrudeAPO(BS62,BT62,CA62,CB62,S63,S64,BI62-DaysForThetaCalculation/365.25,BL62-DaysForThetaCalculation/365.25,BN62,BO62,0,Strike2,AO62,CC62,0,BL62,IF(OptControl=3,1,0),0,1)-_xll.xCrudeAPO(BS62,BT62,CA62,CB62,S63,S64,BI62,BL62,BN62,BO62,0,Strike2,AO62,CC62,0,BL62,IF(OptControl=3,1,0),0,1),0)</f>
        <v>0</v>
      </c>
      <c r="CL62" s="51"/>
      <c r="CM62" s="779" t="str">
        <f t="shared" ca="1" si="52"/>
        <v/>
      </c>
      <c r="CN62" s="783" t="str">
        <f t="shared" ca="1" si="53"/>
        <v/>
      </c>
      <c r="CO62" s="780" t="str">
        <f t="shared" ca="1" si="54"/>
        <v/>
      </c>
      <c r="CP62" s="780" t="str">
        <f t="shared" ca="1" si="55"/>
        <v/>
      </c>
      <c r="CQ62" s="780" t="str">
        <f t="shared" ca="1" si="56"/>
        <v/>
      </c>
      <c r="CR62" s="780" t="str">
        <f t="shared" ca="1" si="57"/>
        <v/>
      </c>
      <c r="CS62" s="781" t="str">
        <f t="shared" ca="1" si="58"/>
        <v/>
      </c>
      <c r="CT62" s="782" t="str">
        <f t="shared" ca="1" si="59"/>
        <v/>
      </c>
      <c r="CU62" s="782" t="str">
        <f t="shared" ca="1" si="60"/>
        <v/>
      </c>
      <c r="CV62" s="155">
        <f ca="1">IF(BD62,_xll.EURO(CN62,Strike1,AO62,AO62,CT62,CM62,IF(OptControl=4,0,1),0),0)</f>
        <v>0</v>
      </c>
      <c r="CW62" s="155">
        <f ca="1">IF(BD62,_xll.EURO(CN62,Strike1,AO62,AO62,CT62,CM62,IF(OptControl=4,0,1),1)+IF(OR(VolSkewFlag=2,ABS(CO62)&lt;0.0001),0,IF(CO62&gt;0,-1,1)*CX62*100*Strike1/CN62^2*CQ62/10%),0)</f>
        <v>0</v>
      </c>
      <c r="CX62" s="155">
        <f ca="1">IF(BD62,_xll.EURO(CN62,Strike1,AO62,AO62,CT62,CM62,IF(OptControl=4,0,1),3)/100,0)</f>
        <v>0</v>
      </c>
      <c r="CY62" s="155">
        <f ca="1">IF(BD62,_xll.EURO(CN62,Strike1,AO62,AO62,CT62,CM62,IF(OptControl=4,0,1),0)-_xll.EURO(CN62,Strike1,AO62,AO62,CT62,CM62-1,IF(OptControl=4,0,1),0),0)</f>
        <v>0</v>
      </c>
      <c r="CZ62" s="155">
        <f ca="1">IF(BD62,_xll.EURO(CN62,Strike2,AO62,AO62,CU62,CM62,IF(OptControl=3,1,0),0),0)</f>
        <v>0</v>
      </c>
      <c r="DA62" s="155">
        <f ca="1">IF(BD62,_xll.EURO(CN62,Strike2,AO62,AO62,CU62,CM62,IF(OptControl=3,1,0),1)+IF(OR(VolSkewFlag=2,ABS(CP62)&lt;0.0001),0,IF(CP62&gt;0,-1,1)*DB62*100*Strike2/CN62^2*CR62/10%),0)</f>
        <v>0</v>
      </c>
      <c r="DB62" s="155">
        <f ca="1">IF(BD62,_xll.EURO(CN62,Strike2,AO62,AO62,CU62,CM62,IF(OptControl=3,1,0),3)/100,0)</f>
        <v>0</v>
      </c>
      <c r="DC62" s="156">
        <f ca="1">IF(BD62,_xll.EURO(CN62,Strike2,AO62,AO62,CU62,CM62,IF(OptControl=3,1,0),0)-_xll.EURO(CN62,Strike2,AO62,AO62,CU62,CM62-1,IF(OptControl=3,1,0),0),0)</f>
        <v>0</v>
      </c>
      <c r="DE62" s="651">
        <f t="shared" ca="1" si="61"/>
        <v>38200</v>
      </c>
      <c r="DF62" s="465">
        <v>1E-4</v>
      </c>
      <c r="DG62" s="649">
        <v>1E-4</v>
      </c>
      <c r="DH62" s="650">
        <f t="shared" ca="1" si="182"/>
        <v>38200</v>
      </c>
      <c r="DI62" s="465">
        <v>1E-4</v>
      </c>
      <c r="DJ62" s="649">
        <v>1E-4</v>
      </c>
      <c r="DK62" s="651">
        <f t="shared" ca="1" si="183"/>
        <v>38200</v>
      </c>
      <c r="DL62" s="652">
        <f t="shared" si="184"/>
        <v>5.0100000000000006E-2</v>
      </c>
      <c r="DM62" s="651">
        <f t="shared" ca="1" si="62"/>
        <v>38200</v>
      </c>
      <c r="DN62" s="563">
        <f t="shared" si="63"/>
        <v>-0.12990000000000002</v>
      </c>
      <c r="DO62" s="803">
        <v>-0.13</v>
      </c>
      <c r="DP62" s="650">
        <f t="shared" ca="1" si="185"/>
        <v>38200</v>
      </c>
      <c r="DQ62" s="653">
        <v>1E-4</v>
      </c>
      <c r="DR62" s="590">
        <v>1E-4</v>
      </c>
      <c r="DS62" s="650">
        <f t="shared" ca="1" si="186"/>
        <v>38200</v>
      </c>
      <c r="DT62" s="653">
        <v>1E-4</v>
      </c>
      <c r="DU62" s="590">
        <v>1E-4</v>
      </c>
      <c r="DV62" s="651">
        <f t="shared" ca="1" si="187"/>
        <v>38200</v>
      </c>
      <c r="DW62" s="590">
        <v>1E-4</v>
      </c>
      <c r="DX62" s="651">
        <f t="shared" ca="1" si="64"/>
        <v>38200</v>
      </c>
      <c r="DY62" s="590">
        <f t="shared" si="65"/>
        <v>1E-4</v>
      </c>
      <c r="DZ62" s="1"/>
      <c r="EA62" s="863" t="e">
        <f ca="1">_xll.ASN(X62,X62,AO62,AS62,0,AI62,0,BI62,BL62,1,0)</f>
        <v>#NAME?</v>
      </c>
      <c r="EB62" s="653" t="e">
        <f ca="1">_xll.ASN(X62,X62,AO62,AS62,0,AI62,0,BI62,BL62,1,3)/100</f>
        <v>#NAME?</v>
      </c>
      <c r="EC62" s="653" t="e">
        <f ca="1">_xll.xCrudeAPO(L63,L64,O63,O64,S63,S64,BI62,BL62,AJ62,AK62,0,X62,AO62,1,0,+BL62,1,0,1)</f>
        <v>#NAME?</v>
      </c>
      <c r="ED62" s="869" t="e">
        <f t="shared" ca="1" si="165"/>
        <v>#NAME?</v>
      </c>
      <c r="EE62" s="863" t="e">
        <f t="shared" ca="1" si="29"/>
        <v>#NAME?</v>
      </c>
      <c r="EF62" s="590" t="e">
        <f t="shared" ca="1" si="30"/>
        <v>#NAME?</v>
      </c>
      <c r="EG62" s="862" t="str">
        <f t="shared" ca="1" si="188"/>
        <v/>
      </c>
      <c r="EH62" s="114" t="str">
        <f t="shared" ca="1" si="32"/>
        <v/>
      </c>
      <c r="EI62" s="109" t="str">
        <f t="shared" ca="1" si="33"/>
        <v/>
      </c>
      <c r="EJ62" s="115">
        <f ca="1">IF(BD62,_xll.xASN(BP62,Strike1,AO62,EH62,0,BM62,0,BI62,BL62,IF(OptControl=4,0,1),0),0)</f>
        <v>0</v>
      </c>
      <c r="EK62" s="108">
        <f ca="1">IF(BD62,_xll.xASN(BP62,Strike2,AO62,EI62,0,BM62,0,BI62,BL62,IF(OptControl=3,1,0),0),0)</f>
        <v>0</v>
      </c>
      <c r="EP62" s="53"/>
      <c r="EQ62" s="1"/>
      <c r="ER62" s="681">
        <v>40902</v>
      </c>
      <c r="ES62" s="682">
        <v>44197</v>
      </c>
      <c r="ET62" s="1"/>
      <c r="EU62" s="667" t="s">
        <v>248</v>
      </c>
      <c r="EW62" s="488">
        <v>43</v>
      </c>
      <c r="EX62" s="466">
        <f t="shared" ca="1" si="166"/>
        <v>3.5208761122518824</v>
      </c>
      <c r="EY62" s="824">
        <f t="shared" ca="1" si="189"/>
        <v>0.1570300324460733</v>
      </c>
      <c r="EZ62" s="798">
        <f t="shared" ca="1" si="269"/>
        <v>0.2136722034897468</v>
      </c>
      <c r="FA62" s="468" t="str">
        <f t="shared" ca="1" si="270"/>
        <v/>
      </c>
      <c r="FB62" s="467" t="str">
        <f t="shared" ca="1" si="271"/>
        <v/>
      </c>
      <c r="FC62" s="242">
        <v>0</v>
      </c>
      <c r="FD62" s="589" t="str">
        <f ca="1">IF(OR(FA62="",FA63=""),"",SQRT(SUM(INDEX(FO62:IH62,SwaptionFirstMonthPosition+1):INDEX(FO62:IH62,FN62))/SUM(INDEX($FO$15:$IH$15,SwaptionFirstMonthPosition+1):INDEX($FO$15:$IH$15,FN62))))</f>
        <v/>
      </c>
      <c r="FE62" s="565" t="str">
        <f ca="1">IF(OR(FA62="",FA61=""),"",SQRT(SUM(INDEX(FO62:IH62,SwaptionFirstMonthPosition+1):INDEX(FO62:IH62,FN62-1))/SUM(INDEX($FO$15:$IH$15,SwaptionFirstMonthPosition+1):INDEX($FO$15:$IH$15,FN62-1))))</f>
        <v/>
      </c>
      <c r="FF62" s="562" t="str">
        <f t="shared" ca="1" si="190"/>
        <v/>
      </c>
      <c r="FG62" s="593" t="str">
        <f t="shared" ca="1" si="191"/>
        <v/>
      </c>
      <c r="FH62" s="563" t="str">
        <f t="shared" ca="1" si="192"/>
        <v/>
      </c>
      <c r="FI62" s="563" t="str">
        <f t="shared" ca="1" si="193"/>
        <v/>
      </c>
      <c r="FJ62" s="563" t="str">
        <f t="shared" ca="1" si="194"/>
        <v/>
      </c>
      <c r="FK62" s="564" t="str">
        <f t="shared" ca="1" si="195"/>
        <v/>
      </c>
      <c r="FL62" s="590" t="str">
        <f t="shared" ca="1" si="196"/>
        <v/>
      </c>
      <c r="FM62" s="242"/>
      <c r="FN62" s="657">
        <v>43</v>
      </c>
      <c r="FO62" s="450">
        <f t="shared" ca="1" si="197"/>
        <v>6.6507627385277467E-4</v>
      </c>
      <c r="FP62" s="450">
        <f t="shared" ca="1" si="198"/>
        <v>2.4977808610843273E-3</v>
      </c>
      <c r="FQ62" s="450">
        <f t="shared" ca="1" si="199"/>
        <v>2.4139047803213025E-3</v>
      </c>
      <c r="FR62" s="450">
        <f t="shared" ca="1" si="200"/>
        <v>2.6636829605693022E-3</v>
      </c>
      <c r="FS62" s="450">
        <f t="shared" ca="1" si="201"/>
        <v>2.4980317240021828E-3</v>
      </c>
      <c r="FT62" s="450">
        <f t="shared" ca="1" si="202"/>
        <v>2.666356960882368E-3</v>
      </c>
      <c r="FU62" s="450">
        <f t="shared" ca="1" si="203"/>
        <v>2.5023264222511811E-3</v>
      </c>
      <c r="FV62" s="450">
        <f t="shared" ca="1" si="204"/>
        <v>2.3389176494944017E-3</v>
      </c>
      <c r="FW62" s="450">
        <f t="shared" ca="1" si="205"/>
        <v>2.5107939901743842E-3</v>
      </c>
      <c r="FX62" s="450">
        <f t="shared" ca="1" si="206"/>
        <v>2.7685762605868958E-3</v>
      </c>
      <c r="FY62" s="450">
        <f t="shared" ca="1" si="207"/>
        <v>2.4402622997341046E-3</v>
      </c>
      <c r="FZ62" s="450">
        <f t="shared" ca="1" si="208"/>
        <v>2.4490733195209557E-3</v>
      </c>
      <c r="GA62" s="450">
        <f t="shared" ca="1" si="209"/>
        <v>2.79886105733335E-3</v>
      </c>
      <c r="GB62" s="450">
        <f t="shared" ca="1" si="210"/>
        <v>2.472063579952367E-3</v>
      </c>
      <c r="GC62" s="450">
        <f t="shared" ca="1" si="211"/>
        <v>2.7439262117025212E-3</v>
      </c>
      <c r="GD62" s="450">
        <f t="shared" ca="1" si="212"/>
        <v>2.590067614097742E-3</v>
      </c>
      <c r="GE62" s="450">
        <f t="shared" ca="1" si="213"/>
        <v>2.5235178140850822E-3</v>
      </c>
      <c r="GF62" s="450">
        <f t="shared" ca="1" si="214"/>
        <v>2.8976210477945938E-3</v>
      </c>
      <c r="GG62" s="450">
        <f t="shared" ca="1" si="215"/>
        <v>2.6614858809343262E-3</v>
      </c>
      <c r="GH62" s="450">
        <f t="shared" ca="1" si="216"/>
        <v>2.6031172055206741E-3</v>
      </c>
      <c r="GI62" s="450">
        <f t="shared" ca="1" si="217"/>
        <v>2.819917325799674E-3</v>
      </c>
      <c r="GJ62" s="450">
        <f t="shared" ca="1" si="218"/>
        <v>2.8627138672943008E-3</v>
      </c>
      <c r="GK62" s="450">
        <f t="shared" ca="1" si="219"/>
        <v>2.9118391517122485E-3</v>
      </c>
      <c r="GL62" s="450">
        <f t="shared" ca="1" si="220"/>
        <v>2.6809958775677045E-3</v>
      </c>
      <c r="GM62" s="450">
        <f t="shared" ca="1" si="221"/>
        <v>3.0330625919204528E-3</v>
      </c>
      <c r="GN62" s="450">
        <f t="shared" ca="1" si="222"/>
        <v>3.0073927827466962E-3</v>
      </c>
      <c r="GO62" s="450">
        <f t="shared" ca="1" si="223"/>
        <v>3.1935952244295822E-3</v>
      </c>
      <c r="GP62" s="450">
        <f t="shared" ca="1" si="224"/>
        <v>3.1866676403199405E-3</v>
      </c>
      <c r="GQ62" s="450">
        <f t="shared" ca="1" si="225"/>
        <v>3.4079103616966346E-3</v>
      </c>
      <c r="GR62" s="450">
        <f t="shared" ca="1" si="226"/>
        <v>3.541588155042658E-3</v>
      </c>
      <c r="GS62" s="450">
        <f t="shared" ca="1" si="227"/>
        <v>3.5782780678687092E-3</v>
      </c>
      <c r="GT62" s="450">
        <f t="shared" ca="1" si="228"/>
        <v>3.880345759798533E-3</v>
      </c>
      <c r="GU62" s="450">
        <f t="shared" ca="1" si="229"/>
        <v>3.9635718293942494E-3</v>
      </c>
      <c r="GV62" s="450">
        <f t="shared" ca="1" si="230"/>
        <v>4.3508949992951806E-3</v>
      </c>
      <c r="GW62" s="450">
        <f t="shared" ca="1" si="231"/>
        <v>4.6553832610520844E-3</v>
      </c>
      <c r="GX62" s="450">
        <f t="shared" ca="1" si="232"/>
        <v>4.6975001503443388E-3</v>
      </c>
      <c r="GY62" s="450">
        <f t="shared" ca="1" si="233"/>
        <v>5.465435282485746E-3</v>
      </c>
      <c r="GZ62" s="450">
        <f t="shared" ca="1" si="234"/>
        <v>5.8153260652550722E-3</v>
      </c>
      <c r="HA62" s="450">
        <f t="shared" ca="1" si="235"/>
        <v>6.6825132617030136E-3</v>
      </c>
      <c r="HB62" s="450">
        <f t="shared" ca="1" si="236"/>
        <v>7.2840713037588553E-3</v>
      </c>
      <c r="HC62" s="450">
        <f t="shared" ca="1" si="237"/>
        <v>8.6007978746634739E-3</v>
      </c>
      <c r="HD62" s="450">
        <f t="shared" ca="1" si="238"/>
        <v>9.9887822618265412E-3</v>
      </c>
      <c r="HE62" s="450">
        <f t="shared" ca="1" si="239"/>
        <v>1.1434425720573309E-2</v>
      </c>
      <c r="HF62" s="450" t="str">
        <f t="shared" si="240"/>
        <v/>
      </c>
      <c r="HG62" s="450" t="str">
        <f t="shared" si="241"/>
        <v/>
      </c>
      <c r="HH62" s="450" t="str">
        <f t="shared" si="242"/>
        <v/>
      </c>
      <c r="HI62" s="450" t="str">
        <f t="shared" si="243"/>
        <v/>
      </c>
      <c r="HJ62" s="450" t="str">
        <f t="shared" si="244"/>
        <v/>
      </c>
      <c r="HK62" s="450" t="str">
        <f t="shared" si="245"/>
        <v/>
      </c>
      <c r="HL62" s="450" t="str">
        <f t="shared" si="246"/>
        <v/>
      </c>
      <c r="HM62" s="450" t="str">
        <f t="shared" si="247"/>
        <v/>
      </c>
      <c r="HN62" s="450" t="str">
        <f t="shared" si="248"/>
        <v/>
      </c>
      <c r="HO62" s="450" t="str">
        <f t="shared" si="249"/>
        <v/>
      </c>
      <c r="HP62" s="450" t="str">
        <f t="shared" si="250"/>
        <v/>
      </c>
      <c r="HQ62" s="450" t="str">
        <f t="shared" si="251"/>
        <v/>
      </c>
      <c r="HR62" s="450" t="str">
        <f t="shared" si="252"/>
        <v/>
      </c>
      <c r="HS62" s="450" t="str">
        <f t="shared" si="253"/>
        <v/>
      </c>
      <c r="HT62" s="450" t="str">
        <f t="shared" si="254"/>
        <v/>
      </c>
      <c r="HU62" s="450" t="str">
        <f t="shared" si="255"/>
        <v/>
      </c>
      <c r="HV62" s="450" t="str">
        <f t="shared" si="256"/>
        <v/>
      </c>
      <c r="HW62" s="450" t="str">
        <f t="shared" si="257"/>
        <v/>
      </c>
      <c r="HX62" s="450" t="str">
        <f t="shared" si="258"/>
        <v/>
      </c>
      <c r="HY62" s="450" t="str">
        <f t="shared" si="259"/>
        <v/>
      </c>
      <c r="HZ62" s="450" t="str">
        <f t="shared" si="260"/>
        <v/>
      </c>
      <c r="IA62" s="450" t="str">
        <f t="shared" si="261"/>
        <v/>
      </c>
      <c r="IB62" s="450" t="str">
        <f t="shared" si="262"/>
        <v/>
      </c>
      <c r="IC62" s="450" t="str">
        <f t="shared" si="263"/>
        <v/>
      </c>
      <c r="ID62" s="450" t="str">
        <f t="shared" si="264"/>
        <v/>
      </c>
      <c r="IE62" s="450" t="str">
        <f t="shared" si="265"/>
        <v/>
      </c>
      <c r="IF62" s="450" t="str">
        <f t="shared" si="266"/>
        <v/>
      </c>
      <c r="IG62" s="450" t="str">
        <f t="shared" si="267"/>
        <v/>
      </c>
      <c r="IH62" s="658" t="str">
        <f t="shared" si="268"/>
        <v/>
      </c>
      <c r="II62" s="242"/>
    </row>
    <row r="63" spans="1:243">
      <c r="A63" s="49"/>
      <c r="B63" s="49"/>
      <c r="C63" s="49"/>
      <c r="D63" s="49"/>
      <c r="E63" s="49"/>
      <c r="F63" s="49"/>
      <c r="G63" s="49"/>
      <c r="H63" s="49" t="e">
        <f t="shared" ca="1" si="34"/>
        <v>#N/A</v>
      </c>
      <c r="I63" s="369">
        <f t="shared" si="35"/>
        <v>38322</v>
      </c>
      <c r="J63" s="367">
        <v>22.27</v>
      </c>
      <c r="K63" s="101">
        <v>0</v>
      </c>
      <c r="L63" s="382">
        <f t="shared" si="36"/>
        <v>22.27</v>
      </c>
      <c r="M63" s="163">
        <v>0.20867622039892</v>
      </c>
      <c r="N63" s="372">
        <v>0</v>
      </c>
      <c r="O63" s="163">
        <f t="shared" si="37"/>
        <v>0.20867622039892</v>
      </c>
      <c r="P63" s="367">
        <v>21.0598070140449</v>
      </c>
      <c r="Q63" s="101" t="s">
        <v>267</v>
      </c>
      <c r="R63" s="367">
        <f t="shared" ca="1" si="147"/>
        <v>21.059807014044853</v>
      </c>
      <c r="S63" s="814">
        <f t="shared" si="163"/>
        <v>0.37278296102870723</v>
      </c>
      <c r="T63" s="813">
        <f t="shared" si="148"/>
        <v>0.99915848388334139</v>
      </c>
      <c r="U63" s="532">
        <f t="shared" si="149"/>
        <v>0.99999993636067197</v>
      </c>
      <c r="V63" s="379">
        <v>0</v>
      </c>
      <c r="W63" s="424">
        <f t="shared" si="168"/>
        <v>22.234057971014501</v>
      </c>
      <c r="X63" s="405">
        <f t="shared" si="169"/>
        <v>22.234057971014494</v>
      </c>
      <c r="Y63" s="313">
        <f t="shared" si="170"/>
        <v>20.992457971014503</v>
      </c>
      <c r="Z63" s="313">
        <f t="shared" ca="1" si="171"/>
        <v>20.992457971014495</v>
      </c>
      <c r="AA63" s="419">
        <f t="shared" si="1"/>
        <v>1.2416</v>
      </c>
      <c r="AB63" s="423">
        <f t="shared" ca="1" si="2"/>
        <v>1.2416</v>
      </c>
      <c r="AC63" s="221">
        <v>38311</v>
      </c>
      <c r="AD63" s="221">
        <v>38307</v>
      </c>
      <c r="AE63" s="221">
        <v>38306</v>
      </c>
      <c r="AF63" s="221">
        <v>38302</v>
      </c>
      <c r="AG63" s="241" t="s">
        <v>495</v>
      </c>
      <c r="AH63" s="239" t="s">
        <v>497</v>
      </c>
      <c r="AI63" s="141">
        <v>23</v>
      </c>
      <c r="AJ63" s="41">
        <v>14</v>
      </c>
      <c r="AK63" s="41">
        <v>9</v>
      </c>
      <c r="AL63" s="285">
        <v>23</v>
      </c>
      <c r="AM63" s="41">
        <v>10</v>
      </c>
      <c r="AN63" s="142">
        <v>13</v>
      </c>
      <c r="AO63" s="364">
        <v>5.1178072146165196E-2</v>
      </c>
      <c r="AP63" s="145">
        <f t="shared" ca="1" si="41"/>
        <v>0.82825038663295913</v>
      </c>
      <c r="AQ63" s="364">
        <v>4.4541045855216205E-2</v>
      </c>
      <c r="AR63" s="145">
        <f t="shared" ca="1" si="151"/>
        <v>0.85313148131695971</v>
      </c>
      <c r="AS63" s="264">
        <f t="shared" si="172"/>
        <v>0.20851117946300696</v>
      </c>
      <c r="AT63" s="149">
        <f t="shared" si="42"/>
        <v>0.20867622039892</v>
      </c>
      <c r="AU63" s="149">
        <f t="shared" si="4"/>
        <v>0.20841202058062783</v>
      </c>
      <c r="AV63" s="263">
        <f t="shared" ca="1" si="164"/>
        <v>0.20309003135586554</v>
      </c>
      <c r="AW63" s="150" t="str">
        <f t="shared" ca="1" si="173"/>
        <v/>
      </c>
      <c r="AX63" s="149">
        <f t="shared" ca="1" si="152"/>
        <v>3.5574374629134632E-2</v>
      </c>
      <c r="AY63" s="149">
        <f t="shared" ca="1" si="153"/>
        <v>1.850782947916128E-2</v>
      </c>
      <c r="AZ63" s="149">
        <f t="shared" ca="1" si="154"/>
        <v>9.3891066576416195E-3</v>
      </c>
      <c r="BA63" s="149">
        <f t="shared" ca="1" si="155"/>
        <v>1.0000000000000108E-4</v>
      </c>
      <c r="BB63" s="149">
        <f t="shared" ca="1" si="156"/>
        <v>1.0000000000000108E-4</v>
      </c>
      <c r="BC63" s="149">
        <f t="shared" ca="1" si="157"/>
        <v>1.0000000000000108E-4</v>
      </c>
      <c r="BD63" s="143">
        <f t="shared" ca="1" si="174"/>
        <v>0</v>
      </c>
      <c r="BE63" s="144">
        <f t="shared" ca="1" si="175"/>
        <v>0</v>
      </c>
      <c r="BF63" s="40">
        <f t="shared" si="176"/>
        <v>2004</v>
      </c>
      <c r="BG63" s="139">
        <f t="shared" si="177"/>
        <v>12</v>
      </c>
      <c r="BH63" s="140">
        <f t="shared" ca="1" si="178"/>
        <v>1317</v>
      </c>
      <c r="BI63" s="304">
        <f t="shared" ca="1" si="179"/>
        <v>3.6468172484599588</v>
      </c>
      <c r="BJ63" s="42">
        <f t="shared" ca="1" si="47"/>
        <v>3.6968127845728063</v>
      </c>
      <c r="BK63" s="42">
        <f t="shared" ca="1" si="180"/>
        <v>3.6995506353599383</v>
      </c>
      <c r="BL63" s="42">
        <f t="shared" ca="1" si="181"/>
        <v>3.7289527720739222</v>
      </c>
      <c r="BM63" s="285">
        <f t="shared" si="49"/>
        <v>23</v>
      </c>
      <c r="BN63" s="41">
        <f t="shared" si="50"/>
        <v>14</v>
      </c>
      <c r="BO63" s="41">
        <f t="shared" si="51"/>
        <v>9</v>
      </c>
      <c r="BP63" s="297" t="str">
        <f t="shared" ca="1" si="10"/>
        <v/>
      </c>
      <c r="BQ63" s="297" t="str">
        <f t="shared" ca="1" si="11"/>
        <v/>
      </c>
      <c r="BR63" s="299" t="str">
        <f t="shared" ca="1" si="12"/>
        <v/>
      </c>
      <c r="BS63" s="153" t="str">
        <f t="shared" ca="1" si="13"/>
        <v/>
      </c>
      <c r="BT63" s="153" t="str">
        <f t="shared" ca="1" si="14"/>
        <v/>
      </c>
      <c r="BU63" s="300" t="str">
        <f t="shared" ca="1" si="15"/>
        <v/>
      </c>
      <c r="BV63" s="301" t="str">
        <f t="shared" ca="1" si="16"/>
        <v/>
      </c>
      <c r="BW63" s="300" t="str">
        <f t="shared" ca="1" si="17"/>
        <v/>
      </c>
      <c r="BX63" s="301" t="str">
        <f t="shared" ca="1" si="18"/>
        <v/>
      </c>
      <c r="BY63" s="146" t="str">
        <f t="shared" ca="1" si="19"/>
        <v/>
      </c>
      <c r="BZ63" s="146" t="str">
        <f t="shared" ca="1" si="20"/>
        <v/>
      </c>
      <c r="CA63" s="146" t="str">
        <f t="shared" ca="1" si="21"/>
        <v/>
      </c>
      <c r="CB63" s="146" t="str">
        <f t="shared" ca="1" si="22"/>
        <v/>
      </c>
      <c r="CC63" s="302">
        <v>1</v>
      </c>
      <c r="CD63" s="154">
        <f ca="1">IF(BD63,_xll.xCrudeAPO(BS63,BT63,BY63,BZ63,S64,S65,BI63,BL63,BN63,BO63,0,Strike1,AO63,CC63,0,BL63,IF(OptControl=4,0,1),0,1),0)</f>
        <v>0</v>
      </c>
      <c r="CE63" s="155">
        <f ca="1">IF(BD63,_xll.xCrudeAPO(BS63,BT63,BY63,BZ63,S64,S65,BI63,BL63,BN63,BO63,0,Strike1,AO63,CC63,0,BL63,IF(OptControl=4,0,1),1,1)+_xll.xCrudeAPO(BS63,BT63,BY63,BZ63,S64,S65,BI63,BL63,BN63,BO63,0,Strike1,AO63,CC63,0,BL63,IF(OptControl=4,0,1),1,2)+IF(OR(VolSkewFlag=2,ABS(BQ63)&lt;0.0001),0,IF(BQ63&gt;0,-1,1)*CF63*Strike1/BP63^2*BW63/10%),0)</f>
        <v>0</v>
      </c>
      <c r="CF63" s="155">
        <f ca="1">IF(BD63,(_xll.xCrudeAPO(BS63,BT63,BY63,BZ63,S64,S65,BI63,BL63,BN63,BO63,0,Strike1,AO63,CC63,0,BL63,IF(OptControl=4,0,1),3,1)+_xll.xCrudeAPO(BS63,BT63,BY63,BZ63,S64,S65,BI63,BL63,BN63,BO63,0,Strike1,AO63,CC63,0,BL63,IF(OptControl=4,0,1),3,2))/100,0)</f>
        <v>0</v>
      </c>
      <c r="CG63" s="155">
        <f ca="1">IF(BD63,_xll.xCrudeAPO(BS63,BT63,BY63,BZ63,S64,S65,BI63-DaysForThetaCalculation/365.25,BL63-DaysForThetaCalculation/365.25,BN63,BO63,0,Strike1,AO63,CC63,0,BL63,IF(OptControl=4,0,1),0,1)-_xll.xCrudeAPO(BS63,BT63,BY63,BZ63,S64,S65,BI63,BL63,BN63,BO63,0,Strike1,AO63,CC63,0,BL63,IF(OptControl=4,0,1),0,1),0)</f>
        <v>0</v>
      </c>
      <c r="CH63" s="303">
        <f ca="1">IF(BD63,_xll.xCrudeAPO(BS63,BT63,CA63,CB63,S64,S65,BI63,BL63,BN63,BO63,0,Strike2,AO63,CC63,0,BL63,IF(OptControl=3,1,0),0,1),0)</f>
        <v>0</v>
      </c>
      <c r="CI63" s="155">
        <f ca="1">IF(BD63,_xll.xCrudeAPO(BS63,BT63,CA63,CB63,S64,S65,BI63,BL63,BN63,BO63,0,Strike2,AO63,CC63,0,BL63,IF(OptControl=3,1,0),1,1)+_xll.xCrudeAPO(BS63,BT63,CA63,CB63,S64,S65,BI63,BL63,BN63,BO63,0,Strike2,AO63,CC63,0,BL63,IF(OptControl=3,1,0),1,2)+IF(OR(VolSkewFlag=2,ABS(BR63)&lt;0.0001),0,IF(BR63&gt;0,-1,1)*CJ63*Strike2/BP63^2*BX63/10%),0)</f>
        <v>0</v>
      </c>
      <c r="CJ63" s="155">
        <f ca="1">IF(BD63,(_xll.xCrudeAPO(BS63,BT63,CA63,CB63,S64,S65,BI63,BL63,BN63,BO63,0,Strike2,AO63,CC63,0,BL63,IF(OptControl=3,1,0),3,1)+_xll.xCrudeAPO(BS63,BT63,CA63,CB63,S64,S65,BI63,BL63,BN63,BO63,0,Strike2,AO63,CC63,0,BL63,IF(OptControl=3,1,0),3,2))/100,0)</f>
        <v>0</v>
      </c>
      <c r="CK63" s="156">
        <f ca="1">IF(BD63,_xll.xCrudeAPO(BS63,BT63,CA63,CB63,S64,S65,BI63-DaysForThetaCalculation/365.25,BL63-DaysForThetaCalculation/365.25,BN63,BO63,0,Strike2,AO63,CC63,0,BL63,IF(OptControl=3,1,0),0,1)-_xll.xCrudeAPO(BS63,BT63,CA63,CB63,S64,S65,BI63,BL63,BN63,BO63,0,Strike2,AO63,CC63,0,BL63,IF(OptControl=3,1,0),0,1),0)</f>
        <v>0</v>
      </c>
      <c r="CL63" s="51"/>
      <c r="CM63" s="779" t="str">
        <f t="shared" ca="1" si="52"/>
        <v/>
      </c>
      <c r="CN63" s="783" t="str">
        <f t="shared" ca="1" si="53"/>
        <v/>
      </c>
      <c r="CO63" s="780" t="str">
        <f t="shared" ca="1" si="54"/>
        <v/>
      </c>
      <c r="CP63" s="780" t="str">
        <f t="shared" ca="1" si="55"/>
        <v/>
      </c>
      <c r="CQ63" s="780" t="str">
        <f t="shared" ca="1" si="56"/>
        <v/>
      </c>
      <c r="CR63" s="780" t="str">
        <f t="shared" ca="1" si="57"/>
        <v/>
      </c>
      <c r="CS63" s="781" t="str">
        <f t="shared" ca="1" si="58"/>
        <v/>
      </c>
      <c r="CT63" s="782" t="str">
        <f t="shared" ca="1" si="59"/>
        <v/>
      </c>
      <c r="CU63" s="782" t="str">
        <f t="shared" ca="1" si="60"/>
        <v/>
      </c>
      <c r="CV63" s="155">
        <f ca="1">IF(BD63,_xll.EURO(CN63,Strike1,AO63,AO63,CT63,CM63,IF(OptControl=4,0,1),0),0)</f>
        <v>0</v>
      </c>
      <c r="CW63" s="155">
        <f ca="1">IF(BD63,_xll.EURO(CN63,Strike1,AO63,AO63,CT63,CM63,IF(OptControl=4,0,1),1)+IF(OR(VolSkewFlag=2,ABS(CO63)&lt;0.0001),0,IF(CO63&gt;0,-1,1)*CX63*100*Strike1/CN63^2*CQ63/10%),0)</f>
        <v>0</v>
      </c>
      <c r="CX63" s="155">
        <f ca="1">IF(BD63,_xll.EURO(CN63,Strike1,AO63,AO63,CT63,CM63,IF(OptControl=4,0,1),3)/100,0)</f>
        <v>0</v>
      </c>
      <c r="CY63" s="155">
        <f ca="1">IF(BD63,_xll.EURO(CN63,Strike1,AO63,AO63,CT63,CM63,IF(OptControl=4,0,1),0)-_xll.EURO(CN63,Strike1,AO63,AO63,CT63,CM63-1,IF(OptControl=4,0,1),0),0)</f>
        <v>0</v>
      </c>
      <c r="CZ63" s="155">
        <f ca="1">IF(BD63,_xll.EURO(CN63,Strike2,AO63,AO63,CU63,CM63,IF(OptControl=3,1,0),0),0)</f>
        <v>0</v>
      </c>
      <c r="DA63" s="155">
        <f ca="1">IF(BD63,_xll.EURO(CN63,Strike2,AO63,AO63,CU63,CM63,IF(OptControl=3,1,0),1)+IF(OR(VolSkewFlag=2,ABS(CP63)&lt;0.0001),0,IF(CP63&gt;0,-1,1)*DB63*100*Strike2/CN63^2*CR63/10%),0)</f>
        <v>0</v>
      </c>
      <c r="DB63" s="155">
        <f ca="1">IF(BD63,_xll.EURO(CN63,Strike2,AO63,AO63,CU63,CM63,IF(OptControl=3,1,0),3)/100,0)</f>
        <v>0</v>
      </c>
      <c r="DC63" s="156">
        <f ca="1">IF(BD63,_xll.EURO(CN63,Strike2,AO63,AO63,CU63,CM63,IF(OptControl=3,1,0),0)-_xll.EURO(CN63,Strike2,AO63,AO63,CU63,CM63-1,IF(OptControl=3,1,0),0),0)</f>
        <v>0</v>
      </c>
      <c r="DE63" s="651">
        <f t="shared" ca="1" si="61"/>
        <v>38231</v>
      </c>
      <c r="DF63" s="465">
        <v>1E-4</v>
      </c>
      <c r="DG63" s="649">
        <v>1E-4</v>
      </c>
      <c r="DH63" s="650">
        <f t="shared" ca="1" si="182"/>
        <v>38231</v>
      </c>
      <c r="DI63" s="465">
        <v>1E-4</v>
      </c>
      <c r="DJ63" s="649">
        <v>1E-4</v>
      </c>
      <c r="DK63" s="651">
        <f t="shared" ca="1" si="183"/>
        <v>38231</v>
      </c>
      <c r="DL63" s="652">
        <f t="shared" si="184"/>
        <v>5.0100000000000006E-2</v>
      </c>
      <c r="DM63" s="651">
        <f t="shared" ca="1" si="62"/>
        <v>38231</v>
      </c>
      <c r="DN63" s="563">
        <f t="shared" si="63"/>
        <v>-0.12990000000000002</v>
      </c>
      <c r="DO63" s="803">
        <v>-0.13</v>
      </c>
      <c r="DP63" s="650">
        <f t="shared" ca="1" si="185"/>
        <v>38231</v>
      </c>
      <c r="DQ63" s="653">
        <v>1E-4</v>
      </c>
      <c r="DR63" s="590">
        <v>1E-4</v>
      </c>
      <c r="DS63" s="650">
        <f t="shared" ca="1" si="186"/>
        <v>38231</v>
      </c>
      <c r="DT63" s="653">
        <v>1E-4</v>
      </c>
      <c r="DU63" s="590">
        <v>1E-4</v>
      </c>
      <c r="DV63" s="651">
        <f t="shared" ca="1" si="187"/>
        <v>38231</v>
      </c>
      <c r="DW63" s="590">
        <v>1E-4</v>
      </c>
      <c r="DX63" s="651">
        <f t="shared" ca="1" si="64"/>
        <v>38231</v>
      </c>
      <c r="DY63" s="590">
        <f t="shared" si="65"/>
        <v>1E-4</v>
      </c>
      <c r="DZ63" s="1"/>
      <c r="EA63" s="863" t="e">
        <f ca="1">_xll.ASN(X63,X63,AO63,AS63,0,AI63,0,BI63,BL63,1,0)</f>
        <v>#NAME?</v>
      </c>
      <c r="EB63" s="653" t="e">
        <f ca="1">_xll.ASN(X63,X63,AO63,AS63,0,AI63,0,BI63,BL63,1,3)/100</f>
        <v>#NAME?</v>
      </c>
      <c r="EC63" s="653" t="e">
        <f ca="1">_xll.xCrudeAPO(L64,L65,O64,O65,S64,S65,BI63,BL63,AJ63,AK63,0,X63,AO63,1,0,+BL63,1,0,1)</f>
        <v>#NAME?</v>
      </c>
      <c r="ED63" s="869" t="e">
        <f t="shared" ca="1" si="165"/>
        <v>#NAME?</v>
      </c>
      <c r="EE63" s="863" t="e">
        <f t="shared" ca="1" si="29"/>
        <v>#NAME?</v>
      </c>
      <c r="EF63" s="590" t="e">
        <f t="shared" ca="1" si="30"/>
        <v>#NAME?</v>
      </c>
      <c r="EG63" s="862" t="str">
        <f t="shared" ca="1" si="188"/>
        <v/>
      </c>
      <c r="EH63" s="114" t="str">
        <f t="shared" ca="1" si="32"/>
        <v/>
      </c>
      <c r="EI63" s="109" t="str">
        <f t="shared" ca="1" si="33"/>
        <v/>
      </c>
      <c r="EJ63" s="115">
        <f ca="1">IF(BD63,_xll.xASN(BP63,Strike1,AO63,EH63,0,BM63,0,BI63,BL63,IF(OptControl=4,0,1),0),0)</f>
        <v>0</v>
      </c>
      <c r="EK63" s="108">
        <f ca="1">IF(BD63,_xll.xASN(BP63,Strike2,AO63,EI63,0,BM63,0,BI63,BL63,IF(OptControl=3,1,0),0),0)</f>
        <v>0</v>
      </c>
      <c r="EP63" s="53"/>
      <c r="EQ63" s="1"/>
      <c r="ER63" s="681">
        <v>40909</v>
      </c>
      <c r="ES63" s="682">
        <v>44555</v>
      </c>
      <c r="ET63" s="1"/>
      <c r="EU63" s="667" t="s">
        <v>249</v>
      </c>
      <c r="EW63" s="488">
        <v>44</v>
      </c>
      <c r="EX63" s="466">
        <f t="shared" ca="1" si="166"/>
        <v>3.6057494866529773</v>
      </c>
      <c r="EY63" s="824">
        <f t="shared" ca="1" si="189"/>
        <v>0.1570151196503542</v>
      </c>
      <c r="EZ63" s="798">
        <f t="shared" ca="1" si="269"/>
        <v>0.21271295883515165</v>
      </c>
      <c r="FA63" s="468" t="str">
        <f t="shared" ca="1" si="270"/>
        <v/>
      </c>
      <c r="FB63" s="467" t="str">
        <f t="shared" ca="1" si="271"/>
        <v/>
      </c>
      <c r="FC63" s="242">
        <v>0</v>
      </c>
      <c r="FD63" s="589" t="str">
        <f ca="1">IF(OR(FA63="",FA64=""),"",SQRT(SUM(INDEX(FO63:IH63,SwaptionFirstMonthPosition+1):INDEX(FO63:IH63,FN63))/SUM(INDEX($FO$15:$IH$15,SwaptionFirstMonthPosition+1):INDEX($FO$15:$IH$15,FN63))))</f>
        <v/>
      </c>
      <c r="FE63" s="565" t="str">
        <f ca="1">IF(OR(FA63="",FA62=""),"",SQRT(SUM(INDEX(FO63:IH63,SwaptionFirstMonthPosition+1):INDEX(FO63:IH63,FN63-1))/SUM(INDEX($FO$15:$IH$15,SwaptionFirstMonthPosition+1):INDEX($FO$15:$IH$15,FN63-1))))</f>
        <v/>
      </c>
      <c r="FF63" s="562" t="str">
        <f t="shared" ca="1" si="190"/>
        <v/>
      </c>
      <c r="FG63" s="593" t="str">
        <f t="shared" ca="1" si="191"/>
        <v/>
      </c>
      <c r="FH63" s="563" t="str">
        <f t="shared" ca="1" si="192"/>
        <v/>
      </c>
      <c r="FI63" s="563" t="str">
        <f t="shared" ca="1" si="193"/>
        <v/>
      </c>
      <c r="FJ63" s="563" t="str">
        <f t="shared" ca="1" si="194"/>
        <v/>
      </c>
      <c r="FK63" s="564" t="str">
        <f t="shared" ca="1" si="195"/>
        <v/>
      </c>
      <c r="FL63" s="590" t="str">
        <f t="shared" ca="1" si="196"/>
        <v/>
      </c>
      <c r="FM63" s="242"/>
      <c r="FN63" s="657">
        <v>44</v>
      </c>
      <c r="FO63" s="450">
        <f t="shared" ca="1" si="197"/>
        <v>6.6383312765349049E-4</v>
      </c>
      <c r="FP63" s="450">
        <f t="shared" ca="1" si="198"/>
        <v>2.4925933077394823E-3</v>
      </c>
      <c r="FQ63" s="450">
        <f t="shared" ca="1" si="199"/>
        <v>2.4083343869229102E-3</v>
      </c>
      <c r="FR63" s="450">
        <f t="shared" ca="1" si="200"/>
        <v>2.6568531956451631E-3</v>
      </c>
      <c r="FS63" s="450">
        <f t="shared" ca="1" si="201"/>
        <v>2.490915023929167E-3</v>
      </c>
      <c r="FT63" s="450">
        <f t="shared" ca="1" si="202"/>
        <v>2.6579166878662303E-3</v>
      </c>
      <c r="FU63" s="450">
        <f t="shared" ca="1" si="203"/>
        <v>2.4935252675132749E-3</v>
      </c>
      <c r="FV63" s="450">
        <f t="shared" ca="1" si="204"/>
        <v>2.329777188144617E-3</v>
      </c>
      <c r="FW63" s="450">
        <f t="shared" ca="1" si="205"/>
        <v>2.4998915990955108E-3</v>
      </c>
      <c r="FX63" s="450">
        <f t="shared" ca="1" si="206"/>
        <v>2.7552187767512274E-3</v>
      </c>
      <c r="FY63" s="450">
        <f t="shared" ca="1" si="207"/>
        <v>2.427180660510557E-3</v>
      </c>
      <c r="FZ63" s="450">
        <f t="shared" ca="1" si="208"/>
        <v>2.4344856829553287E-3</v>
      </c>
      <c r="GA63" s="450">
        <f t="shared" ca="1" si="209"/>
        <v>2.7803376030507178E-3</v>
      </c>
      <c r="GB63" s="450">
        <f t="shared" ca="1" si="210"/>
        <v>2.4538850916438898E-3</v>
      </c>
      <c r="GC63" s="450">
        <f t="shared" ca="1" si="211"/>
        <v>2.7215066020006094E-3</v>
      </c>
      <c r="GD63" s="450">
        <f t="shared" ca="1" si="212"/>
        <v>2.5665537387521077E-3</v>
      </c>
      <c r="GE63" s="450">
        <f t="shared" ca="1" si="213"/>
        <v>2.4980625870177743E-3</v>
      </c>
      <c r="GF63" s="450">
        <f t="shared" ca="1" si="214"/>
        <v>2.8651445134217652E-3</v>
      </c>
      <c r="GG63" s="450">
        <f t="shared" ca="1" si="215"/>
        <v>2.6283415124758749E-3</v>
      </c>
      <c r="GH63" s="450">
        <f t="shared" ca="1" si="216"/>
        <v>2.5670977789212642E-3</v>
      </c>
      <c r="GI63" s="450">
        <f t="shared" ca="1" si="217"/>
        <v>2.7765625506018491E-3</v>
      </c>
      <c r="GJ63" s="450">
        <f t="shared" ca="1" si="218"/>
        <v>2.8138108117816345E-3</v>
      </c>
      <c r="GK63" s="450">
        <f t="shared" ca="1" si="219"/>
        <v>2.8565699839530993E-3</v>
      </c>
      <c r="GL63" s="450">
        <f t="shared" ca="1" si="220"/>
        <v>2.6244541360777199E-3</v>
      </c>
      <c r="GM63" s="450">
        <f t="shared" ca="1" si="221"/>
        <v>2.9619884053839287E-3</v>
      </c>
      <c r="GN63" s="450">
        <f t="shared" ca="1" si="222"/>
        <v>2.929089824688938E-3</v>
      </c>
      <c r="GO63" s="450">
        <f t="shared" ca="1" si="223"/>
        <v>3.1012051373723371E-3</v>
      </c>
      <c r="GP63" s="450">
        <f t="shared" ca="1" si="224"/>
        <v>3.0842346698756007E-3</v>
      </c>
      <c r="GQ63" s="450">
        <f t="shared" ca="1" si="225"/>
        <v>3.2861940873946376E-3</v>
      </c>
      <c r="GR63" s="450">
        <f t="shared" ca="1" si="226"/>
        <v>3.4010429497237189E-3</v>
      </c>
      <c r="GS63" s="450">
        <f t="shared" ca="1" si="227"/>
        <v>3.42049893861915E-3</v>
      </c>
      <c r="GT63" s="450">
        <f t="shared" ca="1" si="228"/>
        <v>3.6902364503746503E-3</v>
      </c>
      <c r="GU63" s="450">
        <f t="shared" ca="1" si="229"/>
        <v>3.7478087247690296E-3</v>
      </c>
      <c r="GV63" s="450">
        <f t="shared" ca="1" si="230"/>
        <v>4.0877309606861673E-3</v>
      </c>
      <c r="GW63" s="450">
        <f t="shared" ca="1" si="231"/>
        <v>4.3425154588975275E-3</v>
      </c>
      <c r="GX63" s="450">
        <f t="shared" ca="1" si="232"/>
        <v>4.3467242694995821E-3</v>
      </c>
      <c r="GY63" s="450">
        <f t="shared" ca="1" si="233"/>
        <v>5.0119688253737011E-3</v>
      </c>
      <c r="GZ63" s="450">
        <f t="shared" ca="1" si="234"/>
        <v>5.2792184541268208E-3</v>
      </c>
      <c r="HA63" s="450">
        <f t="shared" ca="1" si="235"/>
        <v>5.9980104724137165E-3</v>
      </c>
      <c r="HB63" s="450">
        <f t="shared" ca="1" si="236"/>
        <v>6.4550473639554354E-3</v>
      </c>
      <c r="HC63" s="450">
        <f t="shared" ca="1" si="237"/>
        <v>7.5131479964930213E-3</v>
      </c>
      <c r="HD63" s="450">
        <f t="shared" ca="1" si="238"/>
        <v>8.5852564276903028E-3</v>
      </c>
      <c r="HE63" s="450">
        <f t="shared" ca="1" si="239"/>
        <v>9.6492551744021722E-3</v>
      </c>
      <c r="HF63" s="450">
        <f t="shared" ca="1" si="240"/>
        <v>1.1794609766004773E-2</v>
      </c>
      <c r="HG63" s="450" t="str">
        <f t="shared" si="241"/>
        <v/>
      </c>
      <c r="HH63" s="450" t="str">
        <f t="shared" si="242"/>
        <v/>
      </c>
      <c r="HI63" s="450" t="str">
        <f t="shared" si="243"/>
        <v/>
      </c>
      <c r="HJ63" s="450" t="str">
        <f t="shared" si="244"/>
        <v/>
      </c>
      <c r="HK63" s="450" t="str">
        <f t="shared" si="245"/>
        <v/>
      </c>
      <c r="HL63" s="450" t="str">
        <f t="shared" si="246"/>
        <v/>
      </c>
      <c r="HM63" s="450" t="str">
        <f t="shared" si="247"/>
        <v/>
      </c>
      <c r="HN63" s="450" t="str">
        <f t="shared" si="248"/>
        <v/>
      </c>
      <c r="HO63" s="450" t="str">
        <f t="shared" si="249"/>
        <v/>
      </c>
      <c r="HP63" s="450" t="str">
        <f t="shared" si="250"/>
        <v/>
      </c>
      <c r="HQ63" s="450" t="str">
        <f t="shared" si="251"/>
        <v/>
      </c>
      <c r="HR63" s="450" t="str">
        <f t="shared" si="252"/>
        <v/>
      </c>
      <c r="HS63" s="450" t="str">
        <f t="shared" si="253"/>
        <v/>
      </c>
      <c r="HT63" s="450" t="str">
        <f t="shared" si="254"/>
        <v/>
      </c>
      <c r="HU63" s="450" t="str">
        <f t="shared" si="255"/>
        <v/>
      </c>
      <c r="HV63" s="450" t="str">
        <f t="shared" si="256"/>
        <v/>
      </c>
      <c r="HW63" s="450" t="str">
        <f t="shared" si="257"/>
        <v/>
      </c>
      <c r="HX63" s="450" t="str">
        <f t="shared" si="258"/>
        <v/>
      </c>
      <c r="HY63" s="450" t="str">
        <f t="shared" si="259"/>
        <v/>
      </c>
      <c r="HZ63" s="450" t="str">
        <f t="shared" si="260"/>
        <v/>
      </c>
      <c r="IA63" s="450" t="str">
        <f t="shared" si="261"/>
        <v/>
      </c>
      <c r="IB63" s="450" t="str">
        <f t="shared" si="262"/>
        <v/>
      </c>
      <c r="IC63" s="450" t="str">
        <f t="shared" si="263"/>
        <v/>
      </c>
      <c r="ID63" s="450" t="str">
        <f t="shared" si="264"/>
        <v/>
      </c>
      <c r="IE63" s="450" t="str">
        <f t="shared" si="265"/>
        <v/>
      </c>
      <c r="IF63" s="450" t="str">
        <f t="shared" si="266"/>
        <v/>
      </c>
      <c r="IG63" s="450" t="str">
        <f t="shared" si="267"/>
        <v/>
      </c>
      <c r="IH63" s="658" t="str">
        <f t="shared" si="268"/>
        <v/>
      </c>
      <c r="II63" s="242"/>
    </row>
    <row r="64" spans="1:243">
      <c r="A64" s="51"/>
      <c r="F64" s="51"/>
      <c r="G64" s="51"/>
      <c r="H64" s="49" t="e">
        <f t="shared" ca="1" si="34"/>
        <v>#N/A</v>
      </c>
      <c r="I64" s="369">
        <f t="shared" si="35"/>
        <v>38353</v>
      </c>
      <c r="J64" s="367">
        <v>22.2441666666667</v>
      </c>
      <c r="K64" s="101" t="s">
        <v>268</v>
      </c>
      <c r="L64" s="382">
        <f t="shared" si="36"/>
        <v>22.244166666666668</v>
      </c>
      <c r="M64" s="163">
        <v>0.20873428694835999</v>
      </c>
      <c r="N64" s="372">
        <v>0</v>
      </c>
      <c r="O64" s="163">
        <f t="shared" si="37"/>
        <v>0.20873428694835999</v>
      </c>
      <c r="P64" s="367">
        <v>20.987158043851498</v>
      </c>
      <c r="Q64" s="101" t="s">
        <v>267</v>
      </c>
      <c r="R64" s="367">
        <f t="shared" ca="1" si="147"/>
        <v>20.987158043851519</v>
      </c>
      <c r="S64" s="814">
        <f t="shared" si="163"/>
        <v>0.37245513141842013</v>
      </c>
      <c r="T64" s="813">
        <f t="shared" si="148"/>
        <v>0.99924267215039553</v>
      </c>
      <c r="U64" s="532">
        <f t="shared" si="149"/>
        <v>0.99999995227050398</v>
      </c>
      <c r="V64" s="379">
        <v>0</v>
      </c>
      <c r="W64" s="424">
        <f t="shared" si="168"/>
        <v>22.209722222222197</v>
      </c>
      <c r="X64" s="405">
        <f t="shared" si="169"/>
        <v>22.209722222222222</v>
      </c>
      <c r="Y64" s="313">
        <f t="shared" si="170"/>
        <v>20.993722222222196</v>
      </c>
      <c r="Z64" s="313">
        <f t="shared" ca="1" si="171"/>
        <v>20.993722222222221</v>
      </c>
      <c r="AA64" s="419">
        <f t="shared" si="1"/>
        <v>1.216</v>
      </c>
      <c r="AB64" s="423">
        <f t="shared" ca="1" si="2"/>
        <v>1.216</v>
      </c>
      <c r="AC64" s="221">
        <v>38341</v>
      </c>
      <c r="AD64" s="221">
        <v>38337</v>
      </c>
      <c r="AE64" s="221">
        <v>38336</v>
      </c>
      <c r="AF64" s="221">
        <v>38332</v>
      </c>
      <c r="AG64" s="241" t="s">
        <v>90</v>
      </c>
      <c r="AH64" s="239" t="s">
        <v>497</v>
      </c>
      <c r="AI64" s="141">
        <v>21</v>
      </c>
      <c r="AJ64" s="41">
        <v>14</v>
      </c>
      <c r="AK64" s="41">
        <v>7</v>
      </c>
      <c r="AL64" s="285">
        <v>21</v>
      </c>
      <c r="AM64" s="41">
        <v>10</v>
      </c>
      <c r="AN64" s="142">
        <v>11</v>
      </c>
      <c r="AO64" s="364">
        <v>5.1358362317763799E-2</v>
      </c>
      <c r="AP64" s="145">
        <f t="shared" ca="1" si="41"/>
        <v>0.82415291326109608</v>
      </c>
      <c r="AQ64" s="364">
        <v>4.47232387897794E-2</v>
      </c>
      <c r="AR64" s="145">
        <f t="shared" ca="1" si="151"/>
        <v>0.84949170470068447</v>
      </c>
      <c r="AS64" s="264">
        <f t="shared" si="172"/>
        <v>0.20800280727886</v>
      </c>
      <c r="AT64" s="149">
        <f t="shared" si="42"/>
        <v>0.20873428694835999</v>
      </c>
      <c r="AU64" s="149">
        <f t="shared" si="4"/>
        <v>0.20791062665267712</v>
      </c>
      <c r="AV64" s="263">
        <f t="shared" ca="1" si="164"/>
        <v>0.20347607301300899</v>
      </c>
      <c r="AW64" s="150" t="str">
        <f t="shared" ca="1" si="173"/>
        <v/>
      </c>
      <c r="AX64" s="149">
        <f t="shared" ca="1" si="152"/>
        <v>3.5074618210979076E-2</v>
      </c>
      <c r="AY64" s="149">
        <f t="shared" ca="1" si="153"/>
        <v>1.8189386199122519E-2</v>
      </c>
      <c r="AZ64" s="149">
        <f t="shared" ca="1" si="154"/>
        <v>9.2772081324969061E-3</v>
      </c>
      <c r="BA64" s="149">
        <f t="shared" ca="1" si="155"/>
        <v>1.0000000000000113E-4</v>
      </c>
      <c r="BB64" s="149">
        <f t="shared" ca="1" si="156"/>
        <v>1.0000000000000113E-4</v>
      </c>
      <c r="BC64" s="149">
        <f t="shared" ca="1" si="157"/>
        <v>1.0000000000000113E-4</v>
      </c>
      <c r="BD64" s="143">
        <f t="shared" ca="1" si="174"/>
        <v>0</v>
      </c>
      <c r="BE64" s="144">
        <f t="shared" ca="1" si="175"/>
        <v>0</v>
      </c>
      <c r="BF64" s="40">
        <f t="shared" si="176"/>
        <v>2005</v>
      </c>
      <c r="BG64" s="139">
        <f t="shared" si="177"/>
        <v>1</v>
      </c>
      <c r="BH64" s="140">
        <f t="shared" ca="1" si="178"/>
        <v>1347</v>
      </c>
      <c r="BI64" s="304">
        <f t="shared" ca="1" si="179"/>
        <v>3.7316906228610542</v>
      </c>
      <c r="BJ64" s="42">
        <f t="shared" ca="1" si="47"/>
        <v>3.786447638603696</v>
      </c>
      <c r="BK64" s="42">
        <f t="shared" ca="1" si="180"/>
        <v>3.7891854893908281</v>
      </c>
      <c r="BL64" s="42">
        <f t="shared" ca="1" si="181"/>
        <v>3.8138261464750172</v>
      </c>
      <c r="BM64" s="285">
        <f t="shared" si="49"/>
        <v>21</v>
      </c>
      <c r="BN64" s="41">
        <f t="shared" si="50"/>
        <v>14</v>
      </c>
      <c r="BO64" s="41">
        <f t="shared" si="51"/>
        <v>7</v>
      </c>
      <c r="BP64" s="297" t="str">
        <f t="shared" ca="1" si="10"/>
        <v/>
      </c>
      <c r="BQ64" s="297" t="str">
        <f t="shared" ca="1" si="11"/>
        <v/>
      </c>
      <c r="BR64" s="299" t="str">
        <f t="shared" ca="1" si="12"/>
        <v/>
      </c>
      <c r="BS64" s="153" t="str">
        <f t="shared" ca="1" si="13"/>
        <v/>
      </c>
      <c r="BT64" s="153" t="str">
        <f t="shared" ca="1" si="14"/>
        <v/>
      </c>
      <c r="BU64" s="300" t="str">
        <f t="shared" ca="1" si="15"/>
        <v/>
      </c>
      <c r="BV64" s="301" t="str">
        <f t="shared" ca="1" si="16"/>
        <v/>
      </c>
      <c r="BW64" s="300" t="str">
        <f t="shared" ca="1" si="17"/>
        <v/>
      </c>
      <c r="BX64" s="301" t="str">
        <f t="shared" ca="1" si="18"/>
        <v/>
      </c>
      <c r="BY64" s="146" t="str">
        <f t="shared" ca="1" si="19"/>
        <v/>
      </c>
      <c r="BZ64" s="146" t="str">
        <f t="shared" ca="1" si="20"/>
        <v/>
      </c>
      <c r="CA64" s="146" t="str">
        <f t="shared" ca="1" si="21"/>
        <v/>
      </c>
      <c r="CB64" s="146" t="str">
        <f t="shared" ca="1" si="22"/>
        <v/>
      </c>
      <c r="CC64" s="302">
        <v>1</v>
      </c>
      <c r="CD64" s="154">
        <f ca="1">IF(BD64,_xll.xCrudeAPO(BS64,BT64,BY64,BZ64,S65,S66,BI64,BL64,BN64,BO64,0,Strike1,AO64,CC64,0,BL64,IF(OptControl=4,0,1),0,1),0)</f>
        <v>0</v>
      </c>
      <c r="CE64" s="155">
        <f ca="1">IF(BD64,_xll.xCrudeAPO(BS64,BT64,BY64,BZ64,S65,S66,BI64,BL64,BN64,BO64,0,Strike1,AO64,CC64,0,BL64,IF(OptControl=4,0,1),1,1)+_xll.xCrudeAPO(BS64,BT64,BY64,BZ64,S65,S66,BI64,BL64,BN64,BO64,0,Strike1,AO64,CC64,0,BL64,IF(OptControl=4,0,1),1,2)+IF(OR(VolSkewFlag=2,ABS(BQ64)&lt;0.0001),0,IF(BQ64&gt;0,-1,1)*CF64*Strike1/BP64^2*BW64/10%),0)</f>
        <v>0</v>
      </c>
      <c r="CF64" s="155">
        <f ca="1">IF(BD64,(_xll.xCrudeAPO(BS64,BT64,BY64,BZ64,S65,S66,BI64,BL64,BN64,BO64,0,Strike1,AO64,CC64,0,BL64,IF(OptControl=4,0,1),3,1)+_xll.xCrudeAPO(BS64,BT64,BY64,BZ64,S65,S66,BI64,BL64,BN64,BO64,0,Strike1,AO64,CC64,0,BL64,IF(OptControl=4,0,1),3,2))/100,0)</f>
        <v>0</v>
      </c>
      <c r="CG64" s="155">
        <f ca="1">IF(BD64,_xll.xCrudeAPO(BS64,BT64,BY64,BZ64,S65,S66,BI64-DaysForThetaCalculation/365.25,BL64-DaysForThetaCalculation/365.25,BN64,BO64,0,Strike1,AO64,CC64,0,BL64,IF(OptControl=4,0,1),0,1)-_xll.xCrudeAPO(BS64,BT64,BY64,BZ64,S65,S66,BI64,BL64,BN64,BO64,0,Strike1,AO64,CC64,0,BL64,IF(OptControl=4,0,1),0,1),0)</f>
        <v>0</v>
      </c>
      <c r="CH64" s="303">
        <f ca="1">IF(BD64,_xll.xCrudeAPO(BS64,BT64,CA64,CB64,S65,S66,BI64,BL64,BN64,BO64,0,Strike2,AO64,CC64,0,BL64,IF(OptControl=3,1,0),0,1),0)</f>
        <v>0</v>
      </c>
      <c r="CI64" s="155">
        <f ca="1">IF(BD64,_xll.xCrudeAPO(BS64,BT64,CA64,CB64,S65,S66,BI64,BL64,BN64,BO64,0,Strike2,AO64,CC64,0,BL64,IF(OptControl=3,1,0),1,1)+_xll.xCrudeAPO(BS64,BT64,CA64,CB64,S65,S66,BI64,BL64,BN64,BO64,0,Strike2,AO64,CC64,0,BL64,IF(OptControl=3,1,0),1,2)+IF(OR(VolSkewFlag=2,ABS(BR64)&lt;0.0001),0,IF(BR64&gt;0,-1,1)*CJ64*Strike2/BP64^2*BX64/10%),0)</f>
        <v>0</v>
      </c>
      <c r="CJ64" s="155">
        <f ca="1">IF(BD64,(_xll.xCrudeAPO(BS64,BT64,CA64,CB64,S65,S66,BI64,BL64,BN64,BO64,0,Strike2,AO64,CC64,0,BL64,IF(OptControl=3,1,0),3,1)+_xll.xCrudeAPO(BS64,BT64,CA64,CB64,S65,S66,BI64,BL64,BN64,BO64,0,Strike2,AO64,CC64,0,BL64,IF(OptControl=3,1,0),3,2))/100,0)</f>
        <v>0</v>
      </c>
      <c r="CK64" s="156">
        <f ca="1">IF(BD64,_xll.xCrudeAPO(BS64,BT64,CA64,CB64,S65,S66,BI64-DaysForThetaCalculation/365.25,BL64-DaysForThetaCalculation/365.25,BN64,BO64,0,Strike2,AO64,CC64,0,BL64,IF(OptControl=3,1,0),0,1)-_xll.xCrudeAPO(BS64,BT64,CA64,CB64,S65,S66,BI64,BL64,BN64,BO64,0,Strike2,AO64,CC64,0,BL64,IF(OptControl=3,1,0),0,1),0)</f>
        <v>0</v>
      </c>
      <c r="CL64" s="51"/>
      <c r="CM64" s="779" t="str">
        <f t="shared" ca="1" si="52"/>
        <v/>
      </c>
      <c r="CN64" s="783" t="str">
        <f t="shared" ca="1" si="53"/>
        <v/>
      </c>
      <c r="CO64" s="780" t="str">
        <f t="shared" ca="1" si="54"/>
        <v/>
      </c>
      <c r="CP64" s="780" t="str">
        <f t="shared" ca="1" si="55"/>
        <v/>
      </c>
      <c r="CQ64" s="780" t="str">
        <f t="shared" ca="1" si="56"/>
        <v/>
      </c>
      <c r="CR64" s="780" t="str">
        <f t="shared" ca="1" si="57"/>
        <v/>
      </c>
      <c r="CS64" s="781" t="str">
        <f t="shared" ca="1" si="58"/>
        <v/>
      </c>
      <c r="CT64" s="782" t="str">
        <f t="shared" ca="1" si="59"/>
        <v/>
      </c>
      <c r="CU64" s="782" t="str">
        <f t="shared" ca="1" si="60"/>
        <v/>
      </c>
      <c r="CV64" s="155">
        <f ca="1">IF(BD64,_xll.EURO(CN64,Strike1,AO64,AO64,CT64,CM64,IF(OptControl=4,0,1),0),0)</f>
        <v>0</v>
      </c>
      <c r="CW64" s="155">
        <f ca="1">IF(BD64,_xll.EURO(CN64,Strike1,AO64,AO64,CT64,CM64,IF(OptControl=4,0,1),1)+IF(OR(VolSkewFlag=2,ABS(CO64)&lt;0.0001),0,IF(CO64&gt;0,-1,1)*CX64*100*Strike1/CN64^2*CQ64/10%),0)</f>
        <v>0</v>
      </c>
      <c r="CX64" s="155">
        <f ca="1">IF(BD64,_xll.EURO(CN64,Strike1,AO64,AO64,CT64,CM64,IF(OptControl=4,0,1),3)/100,0)</f>
        <v>0</v>
      </c>
      <c r="CY64" s="155">
        <f ca="1">IF(BD64,_xll.EURO(CN64,Strike1,AO64,AO64,CT64,CM64,IF(OptControl=4,0,1),0)-_xll.EURO(CN64,Strike1,AO64,AO64,CT64,CM64-1,IF(OptControl=4,0,1),0),0)</f>
        <v>0</v>
      </c>
      <c r="CZ64" s="155">
        <f ca="1">IF(BD64,_xll.EURO(CN64,Strike2,AO64,AO64,CU64,CM64,IF(OptControl=3,1,0),0),0)</f>
        <v>0</v>
      </c>
      <c r="DA64" s="155">
        <f ca="1">IF(BD64,_xll.EURO(CN64,Strike2,AO64,AO64,CU64,CM64,IF(OptControl=3,1,0),1)+IF(OR(VolSkewFlag=2,ABS(CP64)&lt;0.0001),0,IF(CP64&gt;0,-1,1)*DB64*100*Strike2/CN64^2*CR64/10%),0)</f>
        <v>0</v>
      </c>
      <c r="DB64" s="155">
        <f ca="1">IF(BD64,_xll.EURO(CN64,Strike2,AO64,AO64,CU64,CM64,IF(OptControl=3,1,0),3)/100,0)</f>
        <v>0</v>
      </c>
      <c r="DC64" s="156">
        <f ca="1">IF(BD64,_xll.EURO(CN64,Strike2,AO64,AO64,CU64,CM64,IF(OptControl=3,1,0),0)-_xll.EURO(CN64,Strike2,AO64,AO64,CU64,CM64-1,IF(OptControl=3,1,0),0),0)</f>
        <v>0</v>
      </c>
      <c r="DE64" s="651">
        <f t="shared" ca="1" si="61"/>
        <v>38261</v>
      </c>
      <c r="DF64" s="465">
        <v>1E-4</v>
      </c>
      <c r="DG64" s="649">
        <v>1E-4</v>
      </c>
      <c r="DH64" s="650">
        <f t="shared" ca="1" si="182"/>
        <v>38261</v>
      </c>
      <c r="DI64" s="465">
        <v>1E-4</v>
      </c>
      <c r="DJ64" s="649">
        <v>1E-4</v>
      </c>
      <c r="DK64" s="651">
        <f t="shared" ca="1" si="183"/>
        <v>38261</v>
      </c>
      <c r="DL64" s="652">
        <f t="shared" si="184"/>
        <v>5.0100000000000006E-2</v>
      </c>
      <c r="DM64" s="651">
        <f t="shared" ca="1" si="62"/>
        <v>38261</v>
      </c>
      <c r="DN64" s="563">
        <f t="shared" si="63"/>
        <v>-0.12990000000000002</v>
      </c>
      <c r="DO64" s="803">
        <v>-0.13</v>
      </c>
      <c r="DP64" s="650">
        <f t="shared" ca="1" si="185"/>
        <v>38261</v>
      </c>
      <c r="DQ64" s="653">
        <v>1E-4</v>
      </c>
      <c r="DR64" s="590">
        <v>1E-4</v>
      </c>
      <c r="DS64" s="650">
        <f t="shared" ca="1" si="186"/>
        <v>38261</v>
      </c>
      <c r="DT64" s="653">
        <v>1E-4</v>
      </c>
      <c r="DU64" s="590">
        <v>1E-4</v>
      </c>
      <c r="DV64" s="651">
        <f t="shared" ca="1" si="187"/>
        <v>38261</v>
      </c>
      <c r="DW64" s="590">
        <v>1E-4</v>
      </c>
      <c r="DX64" s="651">
        <f t="shared" ca="1" si="64"/>
        <v>38261</v>
      </c>
      <c r="DY64" s="590">
        <f t="shared" si="65"/>
        <v>1E-4</v>
      </c>
      <c r="DZ64" s="1"/>
      <c r="EA64" s="863" t="e">
        <f ca="1">_xll.ASN(X64,X64,AO64,AS64,0,AI64,0,BI64,BL64,1,0)</f>
        <v>#NAME?</v>
      </c>
      <c r="EB64" s="653" t="e">
        <f ca="1">_xll.ASN(X64,X64,AO64,AS64,0,AI64,0,BI64,BL64,1,3)/100</f>
        <v>#NAME?</v>
      </c>
      <c r="EC64" s="653" t="e">
        <f ca="1">_xll.xCrudeAPO(L65,L66,O65,O66,S65,S66,BI64,BL64,AJ64,AK64,0,X64,AO64,1,0,+BL64,1,0,1)</f>
        <v>#NAME?</v>
      </c>
      <c r="ED64" s="869" t="e">
        <f t="shared" ca="1" si="165"/>
        <v>#NAME?</v>
      </c>
      <c r="EE64" s="863" t="e">
        <f t="shared" ca="1" si="29"/>
        <v>#NAME?</v>
      </c>
      <c r="EF64" s="590" t="e">
        <f t="shared" ca="1" si="30"/>
        <v>#NAME?</v>
      </c>
      <c r="EG64" s="862" t="str">
        <f t="shared" ca="1" si="188"/>
        <v/>
      </c>
      <c r="EH64" s="114" t="str">
        <f t="shared" ca="1" si="32"/>
        <v/>
      </c>
      <c r="EI64" s="109" t="str">
        <f t="shared" ca="1" si="33"/>
        <v/>
      </c>
      <c r="EJ64" s="115">
        <f ca="1">IF(BD64,_xll.xASN(BP64,Strike1,AO64,EH64,0,BM64,0,BI64,BL64,IF(OptControl=4,0,1),0),0)</f>
        <v>0</v>
      </c>
      <c r="EK64" s="108">
        <f ca="1">IF(BD64,_xll.xASN(BP64,Strike2,AO64,EI64,0,BM64,0,BI64,BL64,IF(OptControl=3,1,0),0),0)</f>
        <v>0</v>
      </c>
      <c r="EP64" s="53"/>
      <c r="EQ64" s="1"/>
      <c r="ER64" s="681">
        <v>41094</v>
      </c>
      <c r="ES64" s="682">
        <v>44562</v>
      </c>
      <c r="ET64" s="1"/>
      <c r="EU64" s="667" t="s">
        <v>250</v>
      </c>
      <c r="EW64" s="488">
        <v>45</v>
      </c>
      <c r="EX64" s="466">
        <f t="shared" ca="1" si="166"/>
        <v>3.6878850102669403</v>
      </c>
      <c r="EY64" s="824">
        <f t="shared" ca="1" si="189"/>
        <v>0.1606811592934726</v>
      </c>
      <c r="EZ64" s="798">
        <f t="shared" ca="1" si="269"/>
        <v>0.21160433214572802</v>
      </c>
      <c r="FA64" s="468" t="str">
        <f t="shared" ca="1" si="270"/>
        <v/>
      </c>
      <c r="FB64" s="467" t="str">
        <f t="shared" ca="1" si="271"/>
        <v/>
      </c>
      <c r="FC64" s="242">
        <v>0</v>
      </c>
      <c r="FD64" s="589" t="str">
        <f ca="1">IF(OR(FA64="",FA65=""),"",SQRT(SUM(INDEX(FO64:IH64,SwaptionFirstMonthPosition+1):INDEX(FO64:IH64,FN64))/SUM(INDEX($FO$15:$IH$15,SwaptionFirstMonthPosition+1):INDEX($FO$15:$IH$15,FN64))))</f>
        <v/>
      </c>
      <c r="FE64" s="565" t="str">
        <f ca="1">IF(OR(FA64="",FA63=""),"",SQRT(SUM(INDEX(FO64:IH64,SwaptionFirstMonthPosition+1):INDEX(FO64:IH64,FN64-1))/SUM(INDEX($FO$15:$IH$15,SwaptionFirstMonthPosition+1):INDEX($FO$15:$IH$15,FN64-1))))</f>
        <v/>
      </c>
      <c r="FF64" s="562" t="str">
        <f t="shared" ca="1" si="190"/>
        <v/>
      </c>
      <c r="FG64" s="593" t="str">
        <f t="shared" ca="1" si="191"/>
        <v/>
      </c>
      <c r="FH64" s="563" t="str">
        <f t="shared" ca="1" si="192"/>
        <v/>
      </c>
      <c r="FI64" s="563" t="str">
        <f t="shared" ca="1" si="193"/>
        <v/>
      </c>
      <c r="FJ64" s="563" t="str">
        <f t="shared" ca="1" si="194"/>
        <v/>
      </c>
      <c r="FK64" s="564" t="str">
        <f t="shared" ca="1" si="195"/>
        <v/>
      </c>
      <c r="FL64" s="590" t="str">
        <f t="shared" ca="1" si="196"/>
        <v/>
      </c>
      <c r="FM64" s="242"/>
      <c r="FN64" s="657">
        <v>45</v>
      </c>
      <c r="FO64" s="450">
        <f t="shared" ca="1" si="197"/>
        <v>6.6271638736994563E-4</v>
      </c>
      <c r="FP64" s="450">
        <f t="shared" ca="1" si="198"/>
        <v>2.4879342061917349E-3</v>
      </c>
      <c r="FQ64" s="450">
        <f t="shared" ca="1" si="199"/>
        <v>2.403332601818766E-3</v>
      </c>
      <c r="FR64" s="450">
        <f t="shared" ca="1" si="200"/>
        <v>2.6507221677677714E-3</v>
      </c>
      <c r="FS64" s="450">
        <f t="shared" ca="1" si="201"/>
        <v>2.4845282413010249E-3</v>
      </c>
      <c r="FT64" s="450">
        <f t="shared" ca="1" si="202"/>
        <v>2.6503444878397623E-3</v>
      </c>
      <c r="FU64" s="450">
        <f t="shared" ca="1" si="203"/>
        <v>2.4856320880406037E-3</v>
      </c>
      <c r="FV64" s="450">
        <f t="shared" ca="1" si="204"/>
        <v>2.3215829216590889E-3</v>
      </c>
      <c r="FW64" s="450">
        <f t="shared" ca="1" si="205"/>
        <v>2.4901220535345015E-3</v>
      </c>
      <c r="FX64" s="450">
        <f t="shared" ca="1" si="206"/>
        <v>2.743255042279364E-3</v>
      </c>
      <c r="FY64" s="450">
        <f t="shared" ca="1" si="207"/>
        <v>2.4154702998820422E-3</v>
      </c>
      <c r="FZ64" s="450">
        <f t="shared" ca="1" si="208"/>
        <v>2.4214350107375163E-3</v>
      </c>
      <c r="GA64" s="450">
        <f t="shared" ca="1" si="209"/>
        <v>2.7637768271197697E-3</v>
      </c>
      <c r="GB64" s="450">
        <f t="shared" ca="1" si="210"/>
        <v>2.4376447612456361E-3</v>
      </c>
      <c r="GC64" s="450">
        <f t="shared" ca="1" si="211"/>
        <v>2.701493817399469E-3</v>
      </c>
      <c r="GD64" s="450">
        <f t="shared" ca="1" si="212"/>
        <v>2.5455833741495912E-3</v>
      </c>
      <c r="GE64" s="450">
        <f t="shared" ca="1" si="213"/>
        <v>2.475383977410438E-3</v>
      </c>
      <c r="GF64" s="450">
        <f t="shared" ca="1" si="214"/>
        <v>2.8362432297602334E-3</v>
      </c>
      <c r="GG64" s="450">
        <f t="shared" ca="1" si="215"/>
        <v>2.5988830629182893E-3</v>
      </c>
      <c r="GH64" s="450">
        <f t="shared" ca="1" si="216"/>
        <v>2.53512885687552E-3</v>
      </c>
      <c r="GI64" s="450">
        <f t="shared" ca="1" si="217"/>
        <v>2.738143154510896E-3</v>
      </c>
      <c r="GJ64" s="450">
        <f t="shared" ca="1" si="218"/>
        <v>2.7705499210888876E-3</v>
      </c>
      <c r="GK64" s="450">
        <f t="shared" ca="1" si="219"/>
        <v>2.8077718829283864E-3</v>
      </c>
      <c r="GL64" s="450">
        <f t="shared" ca="1" si="220"/>
        <v>2.5746397787710057E-3</v>
      </c>
      <c r="GM64" s="450">
        <f t="shared" ca="1" si="221"/>
        <v>2.8995205798587774E-3</v>
      </c>
      <c r="GN64" s="450">
        <f t="shared" ca="1" si="222"/>
        <v>2.8604520467753734E-3</v>
      </c>
      <c r="GO64" s="450">
        <f t="shared" ca="1" si="223"/>
        <v>3.0204596035021693E-3</v>
      </c>
      <c r="GP64" s="450">
        <f t="shared" ca="1" si="224"/>
        <v>2.9950083623351154E-3</v>
      </c>
      <c r="GQ64" s="450">
        <f t="shared" ca="1" si="225"/>
        <v>3.1805619161668079E-3</v>
      </c>
      <c r="GR64" s="450">
        <f t="shared" ca="1" si="226"/>
        <v>3.2795719505935208E-3</v>
      </c>
      <c r="GS64" s="450">
        <f t="shared" ca="1" si="227"/>
        <v>3.2847590658344073E-3</v>
      </c>
      <c r="GT64" s="450">
        <f t="shared" ca="1" si="228"/>
        <v>3.5275206740090948E-3</v>
      </c>
      <c r="GU64" s="450">
        <f t="shared" ca="1" si="229"/>
        <v>3.5641927862358523E-3</v>
      </c>
      <c r="GV64" s="450">
        <f t="shared" ca="1" si="230"/>
        <v>3.8652090635404122E-3</v>
      </c>
      <c r="GW64" s="450">
        <f t="shared" ca="1" si="231"/>
        <v>4.0798582570871714E-3</v>
      </c>
      <c r="GX64" s="450">
        <f t="shared" ca="1" si="232"/>
        <v>4.0546000785338593E-3</v>
      </c>
      <c r="GY64" s="450">
        <f t="shared" ca="1" si="233"/>
        <v>4.6377106618357925E-3</v>
      </c>
      <c r="GZ64" s="450">
        <f t="shared" ca="1" si="234"/>
        <v>4.8412023831315354E-3</v>
      </c>
      <c r="HA64" s="450">
        <f t="shared" ca="1" si="235"/>
        <v>5.4450614150770823E-3</v>
      </c>
      <c r="HB64" s="450">
        <f t="shared" ca="1" si="236"/>
        <v>5.7938443475777342E-3</v>
      </c>
      <c r="HC64" s="450">
        <f t="shared" ca="1" si="237"/>
        <v>6.6580520902839993E-3</v>
      </c>
      <c r="HD64" s="450">
        <f t="shared" ca="1" si="238"/>
        <v>7.4995719082171829E-3</v>
      </c>
      <c r="HE64" s="450">
        <f t="shared" ca="1" si="239"/>
        <v>8.2934363606111741E-3</v>
      </c>
      <c r="HF64" s="450">
        <f t="shared" ca="1" si="240"/>
        <v>9.9532064045774991E-3</v>
      </c>
      <c r="HG64" s="450">
        <f t="shared" ca="1" si="241"/>
        <v>1.1394071862005127E-2</v>
      </c>
      <c r="HH64" s="450" t="str">
        <f t="shared" si="242"/>
        <v/>
      </c>
      <c r="HI64" s="450" t="str">
        <f t="shared" si="243"/>
        <v/>
      </c>
      <c r="HJ64" s="450" t="str">
        <f t="shared" si="244"/>
        <v/>
      </c>
      <c r="HK64" s="450" t="str">
        <f t="shared" si="245"/>
        <v/>
      </c>
      <c r="HL64" s="450" t="str">
        <f t="shared" si="246"/>
        <v/>
      </c>
      <c r="HM64" s="450" t="str">
        <f t="shared" si="247"/>
        <v/>
      </c>
      <c r="HN64" s="450" t="str">
        <f t="shared" si="248"/>
        <v/>
      </c>
      <c r="HO64" s="450" t="str">
        <f t="shared" si="249"/>
        <v/>
      </c>
      <c r="HP64" s="450" t="str">
        <f t="shared" si="250"/>
        <v/>
      </c>
      <c r="HQ64" s="450" t="str">
        <f t="shared" si="251"/>
        <v/>
      </c>
      <c r="HR64" s="450" t="str">
        <f t="shared" si="252"/>
        <v/>
      </c>
      <c r="HS64" s="450" t="str">
        <f t="shared" si="253"/>
        <v/>
      </c>
      <c r="HT64" s="450" t="str">
        <f t="shared" si="254"/>
        <v/>
      </c>
      <c r="HU64" s="450" t="str">
        <f t="shared" si="255"/>
        <v/>
      </c>
      <c r="HV64" s="450" t="str">
        <f t="shared" si="256"/>
        <v/>
      </c>
      <c r="HW64" s="450" t="str">
        <f t="shared" si="257"/>
        <v/>
      </c>
      <c r="HX64" s="450" t="str">
        <f t="shared" si="258"/>
        <v/>
      </c>
      <c r="HY64" s="450" t="str">
        <f t="shared" si="259"/>
        <v/>
      </c>
      <c r="HZ64" s="450" t="str">
        <f t="shared" si="260"/>
        <v/>
      </c>
      <c r="IA64" s="450" t="str">
        <f t="shared" si="261"/>
        <v/>
      </c>
      <c r="IB64" s="450" t="str">
        <f t="shared" si="262"/>
        <v/>
      </c>
      <c r="IC64" s="450" t="str">
        <f t="shared" si="263"/>
        <v/>
      </c>
      <c r="ID64" s="450" t="str">
        <f t="shared" si="264"/>
        <v/>
      </c>
      <c r="IE64" s="450" t="str">
        <f t="shared" si="265"/>
        <v/>
      </c>
      <c r="IF64" s="450" t="str">
        <f t="shared" si="266"/>
        <v/>
      </c>
      <c r="IG64" s="450" t="str">
        <f t="shared" si="267"/>
        <v/>
      </c>
      <c r="IH64" s="658" t="str">
        <f t="shared" si="268"/>
        <v/>
      </c>
      <c r="II64" s="242"/>
    </row>
    <row r="65" spans="1:243">
      <c r="A65" s="51"/>
      <c r="F65" s="51"/>
      <c r="G65" s="51"/>
      <c r="H65" s="49" t="e">
        <f t="shared" ca="1" si="34"/>
        <v>#N/A</v>
      </c>
      <c r="I65" s="369">
        <f t="shared" si="35"/>
        <v>38384</v>
      </c>
      <c r="J65" s="367">
        <v>22.218333333333298</v>
      </c>
      <c r="K65" s="101" t="s">
        <v>268</v>
      </c>
      <c r="L65" s="382">
        <f t="shared" si="36"/>
        <v>22.218333333333334</v>
      </c>
      <c r="M65" s="163">
        <v>0.20816412337467999</v>
      </c>
      <c r="N65" s="372">
        <v>0</v>
      </c>
      <c r="O65" s="163">
        <f t="shared" si="37"/>
        <v>0.20816412337467999</v>
      </c>
      <c r="P65" s="367">
        <v>20.9965348380629</v>
      </c>
      <c r="Q65" s="101" t="s">
        <v>267</v>
      </c>
      <c r="R65" s="367">
        <f t="shared" ca="1" si="147"/>
        <v>20.996534838062935</v>
      </c>
      <c r="S65" s="814">
        <f t="shared" si="163"/>
        <v>0.37213058010423594</v>
      </c>
      <c r="T65" s="813">
        <f t="shared" si="148"/>
        <v>0.9993184343365239</v>
      </c>
      <c r="U65" s="532">
        <f t="shared" si="149"/>
        <v>0.99999996420287796</v>
      </c>
      <c r="V65" s="379">
        <v>0</v>
      </c>
      <c r="W65" s="424">
        <f t="shared" si="168"/>
        <v>22.184750000000008</v>
      </c>
      <c r="X65" s="405">
        <f t="shared" si="169"/>
        <v>22.184750000000001</v>
      </c>
      <c r="Y65" s="313">
        <f t="shared" si="170"/>
        <v>20.968750000000007</v>
      </c>
      <c r="Z65" s="313">
        <f t="shared" ca="1" si="171"/>
        <v>20.96875</v>
      </c>
      <c r="AA65" s="419">
        <f t="shared" si="1"/>
        <v>1.216</v>
      </c>
      <c r="AB65" s="423">
        <f t="shared" ca="1" si="2"/>
        <v>1.216</v>
      </c>
      <c r="AC65" s="221">
        <v>38372</v>
      </c>
      <c r="AD65" s="221">
        <v>38368</v>
      </c>
      <c r="AE65" s="221">
        <v>38367</v>
      </c>
      <c r="AF65" s="221">
        <v>38363</v>
      </c>
      <c r="AG65" s="241" t="s">
        <v>90</v>
      </c>
      <c r="AH65" s="239" t="s">
        <v>497</v>
      </c>
      <c r="AI65" s="141">
        <v>20</v>
      </c>
      <c r="AJ65" s="41">
        <v>14</v>
      </c>
      <c r="AK65" s="41">
        <v>6</v>
      </c>
      <c r="AL65" s="285">
        <v>20</v>
      </c>
      <c r="AM65" s="41">
        <v>10</v>
      </c>
      <c r="AN65" s="142">
        <v>10</v>
      </c>
      <c r="AO65" s="364">
        <v>5.15403983593372E-2</v>
      </c>
      <c r="AP65" s="145">
        <f t="shared" ca="1" si="41"/>
        <v>0.82038867262615378</v>
      </c>
      <c r="AQ65" s="364">
        <v>4.4905431957687404E-2</v>
      </c>
      <c r="AR65" s="145">
        <f t="shared" ca="1" si="151"/>
        <v>0.84573990853865977</v>
      </c>
      <c r="AS65" s="264">
        <f t="shared" si="172"/>
        <v>0.20736665647697503</v>
      </c>
      <c r="AT65" s="149">
        <f t="shared" si="42"/>
        <v>0.20816412337467999</v>
      </c>
      <c r="AU65" s="149">
        <f t="shared" si="4"/>
        <v>0.20715764407014498</v>
      </c>
      <c r="AV65" s="263">
        <f t="shared" ca="1" si="164"/>
        <v>0.20283623004469864</v>
      </c>
      <c r="AW65" s="150" t="str">
        <f t="shared" ca="1" si="173"/>
        <v/>
      </c>
      <c r="AX65" s="149">
        <f t="shared" ca="1" si="152"/>
        <v>3.4581882477799475E-2</v>
      </c>
      <c r="AY65" s="149">
        <f t="shared" ca="1" si="153"/>
        <v>1.787642201228137E-2</v>
      </c>
      <c r="AZ65" s="149">
        <f t="shared" ca="1" si="154"/>
        <v>9.1666432038684676E-3</v>
      </c>
      <c r="BA65" s="149">
        <f t="shared" ca="1" si="155"/>
        <v>1.0000000000000117E-4</v>
      </c>
      <c r="BB65" s="149">
        <f t="shared" ca="1" si="156"/>
        <v>1.0000000000000117E-4</v>
      </c>
      <c r="BC65" s="149">
        <f t="shared" ca="1" si="157"/>
        <v>1.0000000000000117E-4</v>
      </c>
      <c r="BD65" s="143">
        <f t="shared" ca="1" si="174"/>
        <v>0</v>
      </c>
      <c r="BE65" s="144">
        <f t="shared" ca="1" si="175"/>
        <v>0</v>
      </c>
      <c r="BF65" s="40">
        <f t="shared" si="176"/>
        <v>2005</v>
      </c>
      <c r="BG65" s="139">
        <f t="shared" si="177"/>
        <v>2</v>
      </c>
      <c r="BH65" s="140">
        <f t="shared" ca="1" si="178"/>
        <v>1378</v>
      </c>
      <c r="BI65" s="304">
        <f t="shared" ca="1" si="179"/>
        <v>3.8165639972621492</v>
      </c>
      <c r="BJ65" s="42">
        <f t="shared" ca="1" si="47"/>
        <v>3.8683093771389458</v>
      </c>
      <c r="BK65" s="42">
        <f t="shared" ca="1" si="180"/>
        <v>3.8710472279260779</v>
      </c>
      <c r="BL65" s="42">
        <f t="shared" ca="1" si="181"/>
        <v>3.890485968514716</v>
      </c>
      <c r="BM65" s="285">
        <f t="shared" si="49"/>
        <v>20</v>
      </c>
      <c r="BN65" s="41">
        <f t="shared" si="50"/>
        <v>14</v>
      </c>
      <c r="BO65" s="41">
        <f t="shared" si="51"/>
        <v>6</v>
      </c>
      <c r="BP65" s="297" t="str">
        <f t="shared" ca="1" si="10"/>
        <v/>
      </c>
      <c r="BQ65" s="297" t="str">
        <f t="shared" ca="1" si="11"/>
        <v/>
      </c>
      <c r="BR65" s="299" t="str">
        <f t="shared" ca="1" si="12"/>
        <v/>
      </c>
      <c r="BS65" s="153" t="str">
        <f t="shared" ca="1" si="13"/>
        <v/>
      </c>
      <c r="BT65" s="153" t="str">
        <f t="shared" ca="1" si="14"/>
        <v/>
      </c>
      <c r="BU65" s="300" t="str">
        <f t="shared" ca="1" si="15"/>
        <v/>
      </c>
      <c r="BV65" s="301" t="str">
        <f t="shared" ca="1" si="16"/>
        <v/>
      </c>
      <c r="BW65" s="300" t="str">
        <f t="shared" ca="1" si="17"/>
        <v/>
      </c>
      <c r="BX65" s="301" t="str">
        <f t="shared" ca="1" si="18"/>
        <v/>
      </c>
      <c r="BY65" s="146" t="str">
        <f t="shared" ca="1" si="19"/>
        <v/>
      </c>
      <c r="BZ65" s="146" t="str">
        <f t="shared" ca="1" si="20"/>
        <v/>
      </c>
      <c r="CA65" s="146" t="str">
        <f t="shared" ca="1" si="21"/>
        <v/>
      </c>
      <c r="CB65" s="146" t="str">
        <f t="shared" ca="1" si="22"/>
        <v/>
      </c>
      <c r="CC65" s="302">
        <v>1</v>
      </c>
      <c r="CD65" s="154">
        <f ca="1">IF(BD65,_xll.xCrudeAPO(BS65,BT65,BY65,BZ65,S66,S67,BI65,BL65,BN65,BO65,0,Strike1,AO65,CC65,0,BL65,IF(OptControl=4,0,1),0,1),0)</f>
        <v>0</v>
      </c>
      <c r="CE65" s="155">
        <f ca="1">IF(BD65,_xll.xCrudeAPO(BS65,BT65,BY65,BZ65,S66,S67,BI65,BL65,BN65,BO65,0,Strike1,AO65,CC65,0,BL65,IF(OptControl=4,0,1),1,1)+_xll.xCrudeAPO(BS65,BT65,BY65,BZ65,S66,S67,BI65,BL65,BN65,BO65,0,Strike1,AO65,CC65,0,BL65,IF(OptControl=4,0,1),1,2)+IF(OR(VolSkewFlag=2,ABS(BQ65)&lt;0.0001),0,IF(BQ65&gt;0,-1,1)*CF65*Strike1/BP65^2*BW65/10%),0)</f>
        <v>0</v>
      </c>
      <c r="CF65" s="155">
        <f ca="1">IF(BD65,(_xll.xCrudeAPO(BS65,BT65,BY65,BZ65,S66,S67,BI65,BL65,BN65,BO65,0,Strike1,AO65,CC65,0,BL65,IF(OptControl=4,0,1),3,1)+_xll.xCrudeAPO(BS65,BT65,BY65,BZ65,S66,S67,BI65,BL65,BN65,BO65,0,Strike1,AO65,CC65,0,BL65,IF(OptControl=4,0,1),3,2))/100,0)</f>
        <v>0</v>
      </c>
      <c r="CG65" s="155">
        <f ca="1">IF(BD65,_xll.xCrudeAPO(BS65,BT65,BY65,BZ65,S66,S67,BI65-DaysForThetaCalculation/365.25,BL65-DaysForThetaCalculation/365.25,BN65,BO65,0,Strike1,AO65,CC65,0,BL65,IF(OptControl=4,0,1),0,1)-_xll.xCrudeAPO(BS65,BT65,BY65,BZ65,S66,S67,BI65,BL65,BN65,BO65,0,Strike1,AO65,CC65,0,BL65,IF(OptControl=4,0,1),0,1),0)</f>
        <v>0</v>
      </c>
      <c r="CH65" s="303">
        <f ca="1">IF(BD65,_xll.xCrudeAPO(BS65,BT65,CA65,CB65,S66,S67,BI65,BL65,BN65,BO65,0,Strike2,AO65,CC65,0,BL65,IF(OptControl=3,1,0),0,1),0)</f>
        <v>0</v>
      </c>
      <c r="CI65" s="155">
        <f ca="1">IF(BD65,_xll.xCrudeAPO(BS65,BT65,CA65,CB65,S66,S67,BI65,BL65,BN65,BO65,0,Strike2,AO65,CC65,0,BL65,IF(OptControl=3,1,0),1,1)+_xll.xCrudeAPO(BS65,BT65,CA65,CB65,S66,S67,BI65,BL65,BN65,BO65,0,Strike2,AO65,CC65,0,BL65,IF(OptControl=3,1,0),1,2)+IF(OR(VolSkewFlag=2,ABS(BR65)&lt;0.0001),0,IF(BR65&gt;0,-1,1)*CJ65*Strike2/BP65^2*BX65/10%),0)</f>
        <v>0</v>
      </c>
      <c r="CJ65" s="155">
        <f ca="1">IF(BD65,(_xll.xCrudeAPO(BS65,BT65,CA65,CB65,S66,S67,BI65,BL65,BN65,BO65,0,Strike2,AO65,CC65,0,BL65,IF(OptControl=3,1,0),3,1)+_xll.xCrudeAPO(BS65,BT65,CA65,CB65,S66,S67,BI65,BL65,BN65,BO65,0,Strike2,AO65,CC65,0,BL65,IF(OptControl=3,1,0),3,2))/100,0)</f>
        <v>0</v>
      </c>
      <c r="CK65" s="156">
        <f ca="1">IF(BD65,_xll.xCrudeAPO(BS65,BT65,CA65,CB65,S66,S67,BI65-DaysForThetaCalculation/365.25,BL65-DaysForThetaCalculation/365.25,BN65,BO65,0,Strike2,AO65,CC65,0,BL65,IF(OptControl=3,1,0),0,1)-_xll.xCrudeAPO(BS65,BT65,CA65,CB65,S66,S67,BI65,BL65,BN65,BO65,0,Strike2,AO65,CC65,0,BL65,IF(OptControl=3,1,0),0,1),0)</f>
        <v>0</v>
      </c>
      <c r="CL65" s="51"/>
      <c r="CM65" s="779" t="str">
        <f t="shared" ca="1" si="52"/>
        <v/>
      </c>
      <c r="CN65" s="783" t="str">
        <f t="shared" ca="1" si="53"/>
        <v/>
      </c>
      <c r="CO65" s="780" t="str">
        <f t="shared" ca="1" si="54"/>
        <v/>
      </c>
      <c r="CP65" s="780" t="str">
        <f t="shared" ca="1" si="55"/>
        <v/>
      </c>
      <c r="CQ65" s="780" t="str">
        <f t="shared" ca="1" si="56"/>
        <v/>
      </c>
      <c r="CR65" s="780" t="str">
        <f t="shared" ca="1" si="57"/>
        <v/>
      </c>
      <c r="CS65" s="781" t="str">
        <f t="shared" ca="1" si="58"/>
        <v/>
      </c>
      <c r="CT65" s="782" t="str">
        <f t="shared" ca="1" si="59"/>
        <v/>
      </c>
      <c r="CU65" s="782" t="str">
        <f t="shared" ca="1" si="60"/>
        <v/>
      </c>
      <c r="CV65" s="155">
        <f ca="1">IF(BD65,_xll.EURO(CN65,Strike1,AO65,AO65,CT65,CM65,IF(OptControl=4,0,1),0),0)</f>
        <v>0</v>
      </c>
      <c r="CW65" s="155">
        <f ca="1">IF(BD65,_xll.EURO(CN65,Strike1,AO65,AO65,CT65,CM65,IF(OptControl=4,0,1),1)+IF(OR(VolSkewFlag=2,ABS(CO65)&lt;0.0001),0,IF(CO65&gt;0,-1,1)*CX65*100*Strike1/CN65^2*CQ65/10%),0)</f>
        <v>0</v>
      </c>
      <c r="CX65" s="155">
        <f ca="1">IF(BD65,_xll.EURO(CN65,Strike1,AO65,AO65,CT65,CM65,IF(OptControl=4,0,1),3)/100,0)</f>
        <v>0</v>
      </c>
      <c r="CY65" s="155">
        <f ca="1">IF(BD65,_xll.EURO(CN65,Strike1,AO65,AO65,CT65,CM65,IF(OptControl=4,0,1),0)-_xll.EURO(CN65,Strike1,AO65,AO65,CT65,CM65-1,IF(OptControl=4,0,1),0),0)</f>
        <v>0</v>
      </c>
      <c r="CZ65" s="155">
        <f ca="1">IF(BD65,_xll.EURO(CN65,Strike2,AO65,AO65,CU65,CM65,IF(OptControl=3,1,0),0),0)</f>
        <v>0</v>
      </c>
      <c r="DA65" s="155">
        <f ca="1">IF(BD65,_xll.EURO(CN65,Strike2,AO65,AO65,CU65,CM65,IF(OptControl=3,1,0),1)+IF(OR(VolSkewFlag=2,ABS(CP65)&lt;0.0001),0,IF(CP65&gt;0,-1,1)*DB65*100*Strike2/CN65^2*CR65/10%),0)</f>
        <v>0</v>
      </c>
      <c r="DB65" s="155">
        <f ca="1">IF(BD65,_xll.EURO(CN65,Strike2,AO65,AO65,CU65,CM65,IF(OptControl=3,1,0),3)/100,0)</f>
        <v>0</v>
      </c>
      <c r="DC65" s="156">
        <f ca="1">IF(BD65,_xll.EURO(CN65,Strike2,AO65,AO65,CU65,CM65,IF(OptControl=3,1,0),0)-_xll.EURO(CN65,Strike2,AO65,AO65,CU65,CM65-1,IF(OptControl=3,1,0),0),0)</f>
        <v>0</v>
      </c>
      <c r="DE65" s="651">
        <f t="shared" ca="1" si="61"/>
        <v>38292</v>
      </c>
      <c r="DF65" s="465">
        <v>1E-4</v>
      </c>
      <c r="DG65" s="649">
        <v>1E-4</v>
      </c>
      <c r="DH65" s="650">
        <f t="shared" ca="1" si="182"/>
        <v>38292</v>
      </c>
      <c r="DI65" s="465">
        <v>1E-4</v>
      </c>
      <c r="DJ65" s="649">
        <v>1E-4</v>
      </c>
      <c r="DK65" s="651">
        <f t="shared" ca="1" si="183"/>
        <v>38292</v>
      </c>
      <c r="DL65" s="652">
        <f t="shared" si="184"/>
        <v>5.0100000000000006E-2</v>
      </c>
      <c r="DM65" s="651">
        <f t="shared" ca="1" si="62"/>
        <v>38292</v>
      </c>
      <c r="DN65" s="563">
        <f t="shared" si="63"/>
        <v>-0.12990000000000002</v>
      </c>
      <c r="DO65" s="803">
        <v>-0.13</v>
      </c>
      <c r="DP65" s="650">
        <f t="shared" ca="1" si="185"/>
        <v>38292</v>
      </c>
      <c r="DQ65" s="653">
        <v>1E-4</v>
      </c>
      <c r="DR65" s="590">
        <v>1E-4</v>
      </c>
      <c r="DS65" s="650">
        <f t="shared" ca="1" si="186"/>
        <v>38292</v>
      </c>
      <c r="DT65" s="653">
        <v>1E-4</v>
      </c>
      <c r="DU65" s="590">
        <v>1E-4</v>
      </c>
      <c r="DV65" s="651">
        <f t="shared" ca="1" si="187"/>
        <v>38292</v>
      </c>
      <c r="DW65" s="590">
        <v>1E-4</v>
      </c>
      <c r="DX65" s="651">
        <f t="shared" ca="1" si="64"/>
        <v>38292</v>
      </c>
      <c r="DY65" s="590">
        <f t="shared" si="65"/>
        <v>1E-4</v>
      </c>
      <c r="DZ65" s="1"/>
      <c r="EA65" s="863" t="e">
        <f ca="1">_xll.ASN(X65,X65,AO65,AS65,0,AI65,0,BI65,BL65,1,0)</f>
        <v>#NAME?</v>
      </c>
      <c r="EB65" s="653" t="e">
        <f ca="1">_xll.ASN(X65,X65,AO65,AS65,0,AI65,0,BI65,BL65,1,3)/100</f>
        <v>#NAME?</v>
      </c>
      <c r="EC65" s="653" t="e">
        <f ca="1">_xll.xCrudeAPO(L66,L67,O66,O67,S66,S67,BI65,BL65,AJ65,AK65,0,X65,AO65,1,0,+BL65,1,0,1)</f>
        <v>#NAME?</v>
      </c>
      <c r="ED65" s="869" t="e">
        <f t="shared" ca="1" si="165"/>
        <v>#NAME?</v>
      </c>
      <c r="EE65" s="863" t="e">
        <f t="shared" ca="1" si="29"/>
        <v>#NAME?</v>
      </c>
      <c r="EF65" s="590" t="e">
        <f t="shared" ca="1" si="30"/>
        <v>#NAME?</v>
      </c>
      <c r="EG65" s="862" t="str">
        <f t="shared" ca="1" si="188"/>
        <v/>
      </c>
      <c r="EH65" s="114" t="str">
        <f t="shared" ca="1" si="32"/>
        <v/>
      </c>
      <c r="EI65" s="109" t="str">
        <f t="shared" ca="1" si="33"/>
        <v/>
      </c>
      <c r="EJ65" s="115">
        <f ca="1">IF(BD65,_xll.xASN(BP65,Strike1,AO65,EH65,0,BM65,0,BI65,BL65,IF(OptControl=4,0,1),0),0)</f>
        <v>0</v>
      </c>
      <c r="EK65" s="108">
        <f ca="1">IF(BD65,_xll.xASN(BP65,Strike2,AO65,EI65,0,BM65,0,BI65,BL65,IF(OptControl=3,1,0),0),0)</f>
        <v>0</v>
      </c>
      <c r="EP65" s="53"/>
      <c r="EQ65" s="1"/>
      <c r="ER65" s="681">
        <v>41268</v>
      </c>
      <c r="ES65" s="682">
        <v>44920</v>
      </c>
      <c r="ET65" s="1"/>
      <c r="EU65" s="667" t="s">
        <v>251</v>
      </c>
      <c r="EW65" s="488">
        <v>46</v>
      </c>
      <c r="EX65" s="466">
        <f t="shared" ca="1" si="166"/>
        <v>3.7727583846680357</v>
      </c>
      <c r="EY65" s="824">
        <f t="shared" ca="1" si="189"/>
        <v>0.16348230667970132</v>
      </c>
      <c r="EZ65" s="798">
        <f t="shared" ca="1" si="269"/>
        <v>0.21071913030259201</v>
      </c>
      <c r="FA65" s="468" t="str">
        <f t="shared" ca="1" si="270"/>
        <v/>
      </c>
      <c r="FB65" s="467" t="str">
        <f t="shared" ca="1" si="271"/>
        <v/>
      </c>
      <c r="FC65" s="242">
        <v>0</v>
      </c>
      <c r="FD65" s="589" t="str">
        <f ca="1">IF(OR(FA65="",FA66=""),"",SQRT(SUM(INDEX(FO65:IH65,SwaptionFirstMonthPosition+1):INDEX(FO65:IH65,FN65))/SUM(INDEX($FO$15:$IH$15,SwaptionFirstMonthPosition+1):INDEX($FO$15:$IH$15,FN65))))</f>
        <v/>
      </c>
      <c r="FE65" s="565" t="str">
        <f ca="1">IF(OR(FA65="",FA64=""),"",SQRT(SUM(INDEX(FO65:IH65,SwaptionFirstMonthPosition+1):INDEX(FO65:IH65,FN65-1))/SUM(INDEX($FO$15:$IH$15,SwaptionFirstMonthPosition+1):INDEX($FO$15:$IH$15,FN65-1))))</f>
        <v/>
      </c>
      <c r="FF65" s="562" t="str">
        <f t="shared" ca="1" si="190"/>
        <v/>
      </c>
      <c r="FG65" s="593" t="str">
        <f t="shared" ca="1" si="191"/>
        <v/>
      </c>
      <c r="FH65" s="563" t="str">
        <f t="shared" ca="1" si="192"/>
        <v/>
      </c>
      <c r="FI65" s="563" t="str">
        <f t="shared" ca="1" si="193"/>
        <v/>
      </c>
      <c r="FJ65" s="563" t="str">
        <f t="shared" ca="1" si="194"/>
        <v/>
      </c>
      <c r="FK65" s="564" t="str">
        <f t="shared" ca="1" si="195"/>
        <v/>
      </c>
      <c r="FL65" s="590" t="str">
        <f t="shared" ca="1" si="196"/>
        <v/>
      </c>
      <c r="FM65" s="242"/>
      <c r="FN65" s="657">
        <v>46</v>
      </c>
      <c r="FO65" s="450">
        <f t="shared" ca="1" si="197"/>
        <v>6.6171301189806822E-4</v>
      </c>
      <c r="FP65" s="450">
        <f t="shared" ca="1" si="198"/>
        <v>2.4837488526215016E-3</v>
      </c>
      <c r="FQ65" s="450">
        <f t="shared" ca="1" si="199"/>
        <v>2.3988403444536685E-3</v>
      </c>
      <c r="FR65" s="450">
        <f t="shared" ca="1" si="200"/>
        <v>2.6452169759945869E-3</v>
      </c>
      <c r="FS65" s="450">
        <f t="shared" ca="1" si="201"/>
        <v>2.4787948752518388E-3</v>
      </c>
      <c r="FT65" s="450">
        <f t="shared" ca="1" si="202"/>
        <v>2.6435489231693837E-3</v>
      </c>
      <c r="FU65" s="450">
        <f t="shared" ca="1" si="203"/>
        <v>2.478550713575868E-3</v>
      </c>
      <c r="FV65" s="450">
        <f t="shared" ca="1" si="204"/>
        <v>2.3142340205269912E-3</v>
      </c>
      <c r="FW65" s="450">
        <f t="shared" ca="1" si="205"/>
        <v>2.4813638238668817E-3</v>
      </c>
      <c r="FX65" s="450">
        <f t="shared" ca="1" si="206"/>
        <v>2.7325344353815637E-3</v>
      </c>
      <c r="FY65" s="450">
        <f t="shared" ca="1" si="207"/>
        <v>2.4049818241441787E-3</v>
      </c>
      <c r="FZ65" s="450">
        <f t="shared" ca="1" si="208"/>
        <v>2.4097523710083901E-3</v>
      </c>
      <c r="GA65" s="450">
        <f t="shared" ca="1" si="209"/>
        <v>2.7489609069825277E-3</v>
      </c>
      <c r="GB65" s="450">
        <f t="shared" ca="1" si="210"/>
        <v>2.4231251976336689E-3</v>
      </c>
      <c r="GC65" s="450">
        <f t="shared" ca="1" si="211"/>
        <v>2.6836147600985362E-3</v>
      </c>
      <c r="GD65" s="450">
        <f t="shared" ca="1" si="212"/>
        <v>2.5268642530151242E-3</v>
      </c>
      <c r="GE65" s="450">
        <f t="shared" ca="1" si="213"/>
        <v>2.4551585273239092E-3</v>
      </c>
      <c r="GF65" s="450">
        <f t="shared" ca="1" si="214"/>
        <v>2.8104944541717195E-3</v>
      </c>
      <c r="GG65" s="450">
        <f t="shared" ca="1" si="215"/>
        <v>2.5726676115675126E-3</v>
      </c>
      <c r="GH65" s="450">
        <f t="shared" ca="1" si="216"/>
        <v>2.5067151346869227E-3</v>
      </c>
      <c r="GI65" s="450">
        <f t="shared" ca="1" si="217"/>
        <v>2.7040441475406859E-3</v>
      </c>
      <c r="GJ65" s="450">
        <f t="shared" ca="1" si="218"/>
        <v>2.7322137219692247E-3</v>
      </c>
      <c r="GK65" s="450">
        <f t="shared" ca="1" si="219"/>
        <v>2.76460383765365E-3</v>
      </c>
      <c r="GL65" s="450">
        <f t="shared" ca="1" si="220"/>
        <v>2.5306578239326898E-3</v>
      </c>
      <c r="GM65" s="450">
        <f t="shared" ca="1" si="221"/>
        <v>2.8444852290032585E-3</v>
      </c>
      <c r="GN65" s="450">
        <f t="shared" ca="1" si="222"/>
        <v>2.8001256055724864E-3</v>
      </c>
      <c r="GO65" s="450">
        <f t="shared" ca="1" si="223"/>
        <v>2.9496807445833959E-3</v>
      </c>
      <c r="GP65" s="450">
        <f t="shared" ca="1" si="224"/>
        <v>2.9170278552580271E-3</v>
      </c>
      <c r="GQ65" s="450">
        <f t="shared" ca="1" si="225"/>
        <v>3.0885488801759694E-3</v>
      </c>
      <c r="GR65" s="450">
        <f t="shared" ca="1" si="226"/>
        <v>3.1741526428393225E-3</v>
      </c>
      <c r="GS65" s="450">
        <f t="shared" ca="1" si="227"/>
        <v>3.1674412396477973E-3</v>
      </c>
      <c r="GT65" s="450">
        <f t="shared" ca="1" si="228"/>
        <v>3.3875337258684694E-3</v>
      </c>
      <c r="GU65" s="450">
        <f t="shared" ca="1" si="229"/>
        <v>3.4070347276323174E-3</v>
      </c>
      <c r="GV65" s="450">
        <f t="shared" ca="1" si="230"/>
        <v>3.6758413444413925E-3</v>
      </c>
      <c r="GW65" s="450">
        <f t="shared" ca="1" si="231"/>
        <v>3.8577649226226112E-3</v>
      </c>
      <c r="GX65" s="450">
        <f t="shared" ca="1" si="232"/>
        <v>3.8093574487337279E-3</v>
      </c>
      <c r="GY65" s="450">
        <f t="shared" ca="1" si="233"/>
        <v>4.326030557227304E-3</v>
      </c>
      <c r="GZ65" s="450">
        <f t="shared" ca="1" si="234"/>
        <v>4.4796958422182332E-3</v>
      </c>
      <c r="HA65" s="450">
        <f t="shared" ca="1" si="235"/>
        <v>4.993285375103647E-3</v>
      </c>
      <c r="HB65" s="450">
        <f t="shared" ca="1" si="236"/>
        <v>5.2597171090404092E-3</v>
      </c>
      <c r="HC65" s="450">
        <f t="shared" ca="1" si="237"/>
        <v>5.9760549062078715E-3</v>
      </c>
      <c r="HD65" s="450">
        <f t="shared" ca="1" si="238"/>
        <v>6.6460211409449183E-3</v>
      </c>
      <c r="HE65" s="450">
        <f t="shared" ca="1" si="239"/>
        <v>7.2446551686004175E-3</v>
      </c>
      <c r="HF65" s="450">
        <f t="shared" ca="1" si="240"/>
        <v>8.5546793414037012E-3</v>
      </c>
      <c r="HG65" s="450">
        <f t="shared" ca="1" si="241"/>
        <v>9.6152014590594314E-3</v>
      </c>
      <c r="HH65" s="450">
        <f t="shared" ca="1" si="242"/>
        <v>1.175336407422364E-2</v>
      </c>
      <c r="HI65" s="450" t="str">
        <f t="shared" si="243"/>
        <v/>
      </c>
      <c r="HJ65" s="450" t="str">
        <f t="shared" si="244"/>
        <v/>
      </c>
      <c r="HK65" s="450" t="str">
        <f t="shared" si="245"/>
        <v/>
      </c>
      <c r="HL65" s="450" t="str">
        <f t="shared" si="246"/>
        <v/>
      </c>
      <c r="HM65" s="450" t="str">
        <f t="shared" si="247"/>
        <v/>
      </c>
      <c r="HN65" s="450" t="str">
        <f t="shared" si="248"/>
        <v/>
      </c>
      <c r="HO65" s="450" t="str">
        <f t="shared" si="249"/>
        <v/>
      </c>
      <c r="HP65" s="450" t="str">
        <f t="shared" si="250"/>
        <v/>
      </c>
      <c r="HQ65" s="450" t="str">
        <f t="shared" si="251"/>
        <v/>
      </c>
      <c r="HR65" s="450" t="str">
        <f t="shared" si="252"/>
        <v/>
      </c>
      <c r="HS65" s="450" t="str">
        <f t="shared" si="253"/>
        <v/>
      </c>
      <c r="HT65" s="450" t="str">
        <f t="shared" si="254"/>
        <v/>
      </c>
      <c r="HU65" s="450" t="str">
        <f t="shared" si="255"/>
        <v/>
      </c>
      <c r="HV65" s="450" t="str">
        <f t="shared" si="256"/>
        <v/>
      </c>
      <c r="HW65" s="450" t="str">
        <f t="shared" si="257"/>
        <v/>
      </c>
      <c r="HX65" s="450" t="str">
        <f t="shared" si="258"/>
        <v/>
      </c>
      <c r="HY65" s="450" t="str">
        <f t="shared" si="259"/>
        <v/>
      </c>
      <c r="HZ65" s="450" t="str">
        <f t="shared" si="260"/>
        <v/>
      </c>
      <c r="IA65" s="450" t="str">
        <f t="shared" si="261"/>
        <v/>
      </c>
      <c r="IB65" s="450" t="str">
        <f t="shared" si="262"/>
        <v/>
      </c>
      <c r="IC65" s="450" t="str">
        <f t="shared" si="263"/>
        <v/>
      </c>
      <c r="ID65" s="450" t="str">
        <f t="shared" si="264"/>
        <v/>
      </c>
      <c r="IE65" s="450" t="str">
        <f t="shared" si="265"/>
        <v/>
      </c>
      <c r="IF65" s="450" t="str">
        <f t="shared" si="266"/>
        <v/>
      </c>
      <c r="IG65" s="450" t="str">
        <f t="shared" si="267"/>
        <v/>
      </c>
      <c r="IH65" s="658" t="str">
        <f t="shared" si="268"/>
        <v/>
      </c>
      <c r="II65" s="242"/>
    </row>
    <row r="66" spans="1:243">
      <c r="A66" s="51"/>
      <c r="F66" s="51"/>
      <c r="G66" s="51"/>
      <c r="H66" s="49" t="e">
        <f t="shared" ca="1" si="34"/>
        <v>#N/A</v>
      </c>
      <c r="I66" s="369">
        <f t="shared" si="35"/>
        <v>38412</v>
      </c>
      <c r="J66" s="367">
        <v>22.192499999999999</v>
      </c>
      <c r="K66" s="101" t="s">
        <v>268</v>
      </c>
      <c r="L66" s="382">
        <f t="shared" si="36"/>
        <v>22.192499999999999</v>
      </c>
      <c r="M66" s="163">
        <v>0.20768017508722</v>
      </c>
      <c r="N66" s="372">
        <v>0</v>
      </c>
      <c r="O66" s="163">
        <f t="shared" si="37"/>
        <v>0.20768017508722</v>
      </c>
      <c r="P66" s="367">
        <v>20.991165298730699</v>
      </c>
      <c r="Q66" s="101" t="s">
        <v>267</v>
      </c>
      <c r="R66" s="367">
        <f t="shared" ca="1" si="147"/>
        <v>20.991165298730664</v>
      </c>
      <c r="S66" s="814">
        <f t="shared" si="163"/>
        <v>0.3718092743031936</v>
      </c>
      <c r="T66" s="813">
        <f t="shared" si="148"/>
        <v>0.99938661450057176</v>
      </c>
      <c r="U66" s="532">
        <f t="shared" si="149"/>
        <v>0.99999997315215849</v>
      </c>
      <c r="V66" s="379">
        <v>0</v>
      </c>
      <c r="W66" s="424">
        <f t="shared" si="168"/>
        <v>22.1565579710145</v>
      </c>
      <c r="X66" s="405">
        <f t="shared" si="169"/>
        <v>22.156557971014493</v>
      </c>
      <c r="Y66" s="313">
        <f t="shared" si="170"/>
        <v>20.940557971014499</v>
      </c>
      <c r="Z66" s="313">
        <f t="shared" ca="1" si="171"/>
        <v>20.940557971014492</v>
      </c>
      <c r="AA66" s="419">
        <f t="shared" si="1"/>
        <v>1.216</v>
      </c>
      <c r="AB66" s="423">
        <f t="shared" ca="1" si="2"/>
        <v>1.216</v>
      </c>
      <c r="AC66" s="221">
        <v>38403</v>
      </c>
      <c r="AD66" s="221">
        <v>38399</v>
      </c>
      <c r="AE66" s="221">
        <v>38398</v>
      </c>
      <c r="AF66" s="221">
        <v>38394</v>
      </c>
      <c r="AG66" s="241" t="s">
        <v>90</v>
      </c>
      <c r="AH66" s="239" t="s">
        <v>497</v>
      </c>
      <c r="AI66" s="141">
        <v>23</v>
      </c>
      <c r="AJ66" s="41">
        <v>14</v>
      </c>
      <c r="AK66" s="41">
        <v>9</v>
      </c>
      <c r="AL66" s="285">
        <v>23</v>
      </c>
      <c r="AM66" s="41">
        <v>10</v>
      </c>
      <c r="AN66" s="142">
        <v>13</v>
      </c>
      <c r="AO66" s="364">
        <v>5.1704818019292706E-2</v>
      </c>
      <c r="AP66" s="145">
        <f t="shared" ca="1" si="41"/>
        <v>0.81633274316844484</v>
      </c>
      <c r="AQ66" s="364">
        <v>4.5069993729248504E-2</v>
      </c>
      <c r="AR66" s="145">
        <f t="shared" ca="1" si="151"/>
        <v>0.84203527161002623</v>
      </c>
      <c r="AS66" s="264">
        <f t="shared" si="172"/>
        <v>0.20576153784011608</v>
      </c>
      <c r="AT66" s="149">
        <f t="shared" si="42"/>
        <v>0.20768017508722</v>
      </c>
      <c r="AU66" s="149">
        <f t="shared" si="4"/>
        <v>0.20537328218991432</v>
      </c>
      <c r="AV66" s="263">
        <f t="shared" ca="1" si="164"/>
        <v>0.2024633322351784</v>
      </c>
      <c r="AW66" s="150" t="str">
        <f t="shared" ca="1" si="173"/>
        <v/>
      </c>
      <c r="AX66" s="149">
        <f t="shared" ca="1" si="152"/>
        <v>3.4096068801512738E-2</v>
      </c>
      <c r="AY66" s="149">
        <f t="shared" ca="1" si="153"/>
        <v>1.7568842646080832E-2</v>
      </c>
      <c r="AZ66" s="149">
        <f t="shared" ca="1" si="154"/>
        <v>9.0573959780734705E-3</v>
      </c>
      <c r="BA66" s="149">
        <f t="shared" ca="1" si="155"/>
        <v>1.0000000000000121E-4</v>
      </c>
      <c r="BB66" s="149">
        <f t="shared" ca="1" si="156"/>
        <v>1.0000000000000121E-4</v>
      </c>
      <c r="BC66" s="149">
        <f t="shared" ca="1" si="157"/>
        <v>1.0000000000000121E-4</v>
      </c>
      <c r="BD66" s="143">
        <f t="shared" ca="1" si="174"/>
        <v>0</v>
      </c>
      <c r="BE66" s="144">
        <f t="shared" ca="1" si="175"/>
        <v>0</v>
      </c>
      <c r="BF66" s="40">
        <f t="shared" si="176"/>
        <v>2005</v>
      </c>
      <c r="BG66" s="139">
        <f t="shared" si="177"/>
        <v>3</v>
      </c>
      <c r="BH66" s="140">
        <f t="shared" ca="1" si="178"/>
        <v>1409</v>
      </c>
      <c r="BI66" s="304">
        <f t="shared" ca="1" si="179"/>
        <v>3.893223819301848</v>
      </c>
      <c r="BJ66" s="42">
        <f t="shared" ca="1" si="47"/>
        <v>3.943219355414695</v>
      </c>
      <c r="BK66" s="42">
        <f t="shared" ca="1" si="180"/>
        <v>3.9459572062018271</v>
      </c>
      <c r="BL66" s="42">
        <f t="shared" ca="1" si="181"/>
        <v>3.9753593429158109</v>
      </c>
      <c r="BM66" s="285">
        <f t="shared" si="49"/>
        <v>23</v>
      </c>
      <c r="BN66" s="41">
        <f t="shared" si="50"/>
        <v>14</v>
      </c>
      <c r="BO66" s="41">
        <f t="shared" si="51"/>
        <v>9</v>
      </c>
      <c r="BP66" s="297" t="str">
        <f t="shared" ca="1" si="10"/>
        <v/>
      </c>
      <c r="BQ66" s="297" t="str">
        <f t="shared" ca="1" si="11"/>
        <v/>
      </c>
      <c r="BR66" s="299" t="str">
        <f t="shared" ca="1" si="12"/>
        <v/>
      </c>
      <c r="BS66" s="153" t="str">
        <f t="shared" ca="1" si="13"/>
        <v/>
      </c>
      <c r="BT66" s="153" t="str">
        <f t="shared" ca="1" si="14"/>
        <v/>
      </c>
      <c r="BU66" s="300" t="str">
        <f t="shared" ca="1" si="15"/>
        <v/>
      </c>
      <c r="BV66" s="301" t="str">
        <f t="shared" ca="1" si="16"/>
        <v/>
      </c>
      <c r="BW66" s="300" t="str">
        <f t="shared" ca="1" si="17"/>
        <v/>
      </c>
      <c r="BX66" s="301" t="str">
        <f t="shared" ca="1" si="18"/>
        <v/>
      </c>
      <c r="BY66" s="146" t="str">
        <f t="shared" ca="1" si="19"/>
        <v/>
      </c>
      <c r="BZ66" s="146" t="str">
        <f t="shared" ca="1" si="20"/>
        <v/>
      </c>
      <c r="CA66" s="146" t="str">
        <f t="shared" ca="1" si="21"/>
        <v/>
      </c>
      <c r="CB66" s="146" t="str">
        <f t="shared" ca="1" si="22"/>
        <v/>
      </c>
      <c r="CC66" s="302">
        <v>1</v>
      </c>
      <c r="CD66" s="154">
        <f ca="1">IF(BD66,_xll.xCrudeAPO(BS66,BT66,BY66,BZ66,S67,S68,BI66,BL66,BN66,BO66,0,Strike1,AO66,CC66,0,BL66,IF(OptControl=4,0,1),0,1),0)</f>
        <v>0</v>
      </c>
      <c r="CE66" s="155">
        <f ca="1">IF(BD66,_xll.xCrudeAPO(BS66,BT66,BY66,BZ66,S67,S68,BI66,BL66,BN66,BO66,0,Strike1,AO66,CC66,0,BL66,IF(OptControl=4,0,1),1,1)+_xll.xCrudeAPO(BS66,BT66,BY66,BZ66,S67,S68,BI66,BL66,BN66,BO66,0,Strike1,AO66,CC66,0,BL66,IF(OptControl=4,0,1),1,2)+IF(OR(VolSkewFlag=2,ABS(BQ66)&lt;0.0001),0,IF(BQ66&gt;0,-1,1)*CF66*Strike1/BP66^2*BW66/10%),0)</f>
        <v>0</v>
      </c>
      <c r="CF66" s="155">
        <f ca="1">IF(BD66,(_xll.xCrudeAPO(BS66,BT66,BY66,BZ66,S67,S68,BI66,BL66,BN66,BO66,0,Strike1,AO66,CC66,0,BL66,IF(OptControl=4,0,1),3,1)+_xll.xCrudeAPO(BS66,BT66,BY66,BZ66,S67,S68,BI66,BL66,BN66,BO66,0,Strike1,AO66,CC66,0,BL66,IF(OptControl=4,0,1),3,2))/100,0)</f>
        <v>0</v>
      </c>
      <c r="CG66" s="155">
        <f ca="1">IF(BD66,_xll.xCrudeAPO(BS66,BT66,BY66,BZ66,S67,S68,BI66-DaysForThetaCalculation/365.25,BL66-DaysForThetaCalculation/365.25,BN66,BO66,0,Strike1,AO66,CC66,0,BL66,IF(OptControl=4,0,1),0,1)-_xll.xCrudeAPO(BS66,BT66,BY66,BZ66,S67,S68,BI66,BL66,BN66,BO66,0,Strike1,AO66,CC66,0,BL66,IF(OptControl=4,0,1),0,1),0)</f>
        <v>0</v>
      </c>
      <c r="CH66" s="303">
        <f ca="1">IF(BD66,_xll.xCrudeAPO(BS66,BT66,CA66,CB66,S67,S68,BI66,BL66,BN66,BO66,0,Strike2,AO66,CC66,0,BL66,IF(OptControl=3,1,0),0,1),0)</f>
        <v>0</v>
      </c>
      <c r="CI66" s="155">
        <f ca="1">IF(BD66,_xll.xCrudeAPO(BS66,BT66,CA66,CB66,S67,S68,BI66,BL66,BN66,BO66,0,Strike2,AO66,CC66,0,BL66,IF(OptControl=3,1,0),1,1)+_xll.xCrudeAPO(BS66,BT66,CA66,CB66,S67,S68,BI66,BL66,BN66,BO66,0,Strike2,AO66,CC66,0,BL66,IF(OptControl=3,1,0),1,2)+IF(OR(VolSkewFlag=2,ABS(BR66)&lt;0.0001),0,IF(BR66&gt;0,-1,1)*CJ66*Strike2/BP66^2*BX66/10%),0)</f>
        <v>0</v>
      </c>
      <c r="CJ66" s="155">
        <f ca="1">IF(BD66,(_xll.xCrudeAPO(BS66,BT66,CA66,CB66,S67,S68,BI66,BL66,BN66,BO66,0,Strike2,AO66,CC66,0,BL66,IF(OptControl=3,1,0),3,1)+_xll.xCrudeAPO(BS66,BT66,CA66,CB66,S67,S68,BI66,BL66,BN66,BO66,0,Strike2,AO66,CC66,0,BL66,IF(OptControl=3,1,0),3,2))/100,0)</f>
        <v>0</v>
      </c>
      <c r="CK66" s="156">
        <f ca="1">IF(BD66,_xll.xCrudeAPO(BS66,BT66,CA66,CB66,S67,S68,BI66-DaysForThetaCalculation/365.25,BL66-DaysForThetaCalculation/365.25,BN66,BO66,0,Strike2,AO66,CC66,0,BL66,IF(OptControl=3,1,0),0,1)-_xll.xCrudeAPO(BS66,BT66,CA66,CB66,S67,S68,BI66,BL66,BN66,BO66,0,Strike2,AO66,CC66,0,BL66,IF(OptControl=3,1,0),0,1),0)</f>
        <v>0</v>
      </c>
      <c r="CL66" s="51"/>
      <c r="CM66" s="779" t="str">
        <f t="shared" ca="1" si="52"/>
        <v/>
      </c>
      <c r="CN66" s="783" t="str">
        <f t="shared" ca="1" si="53"/>
        <v/>
      </c>
      <c r="CO66" s="780" t="str">
        <f t="shared" ca="1" si="54"/>
        <v/>
      </c>
      <c r="CP66" s="780" t="str">
        <f t="shared" ca="1" si="55"/>
        <v/>
      </c>
      <c r="CQ66" s="780" t="str">
        <f t="shared" ca="1" si="56"/>
        <v/>
      </c>
      <c r="CR66" s="780" t="str">
        <f t="shared" ca="1" si="57"/>
        <v/>
      </c>
      <c r="CS66" s="781" t="str">
        <f t="shared" ca="1" si="58"/>
        <v/>
      </c>
      <c r="CT66" s="782" t="str">
        <f t="shared" ca="1" si="59"/>
        <v/>
      </c>
      <c r="CU66" s="782" t="str">
        <f t="shared" ca="1" si="60"/>
        <v/>
      </c>
      <c r="CV66" s="155">
        <f ca="1">IF(BD66,_xll.EURO(CN66,Strike1,AO66,AO66,CT66,CM66,IF(OptControl=4,0,1),0),0)</f>
        <v>0</v>
      </c>
      <c r="CW66" s="155">
        <f ca="1">IF(BD66,_xll.EURO(CN66,Strike1,AO66,AO66,CT66,CM66,IF(OptControl=4,0,1),1)+IF(OR(VolSkewFlag=2,ABS(CO66)&lt;0.0001),0,IF(CO66&gt;0,-1,1)*CX66*100*Strike1/CN66^2*CQ66/10%),0)</f>
        <v>0</v>
      </c>
      <c r="CX66" s="155">
        <f ca="1">IF(BD66,_xll.EURO(CN66,Strike1,AO66,AO66,CT66,CM66,IF(OptControl=4,0,1),3)/100,0)</f>
        <v>0</v>
      </c>
      <c r="CY66" s="155">
        <f ca="1">IF(BD66,_xll.EURO(CN66,Strike1,AO66,AO66,CT66,CM66,IF(OptControl=4,0,1),0)-_xll.EURO(CN66,Strike1,AO66,AO66,CT66,CM66-1,IF(OptControl=4,0,1),0),0)</f>
        <v>0</v>
      </c>
      <c r="CZ66" s="155">
        <f ca="1">IF(BD66,_xll.EURO(CN66,Strike2,AO66,AO66,CU66,CM66,IF(OptControl=3,1,0),0),0)</f>
        <v>0</v>
      </c>
      <c r="DA66" s="155">
        <f ca="1">IF(BD66,_xll.EURO(CN66,Strike2,AO66,AO66,CU66,CM66,IF(OptControl=3,1,0),1)+IF(OR(VolSkewFlag=2,ABS(CP66)&lt;0.0001),0,IF(CP66&gt;0,-1,1)*DB66*100*Strike2/CN66^2*CR66/10%),0)</f>
        <v>0</v>
      </c>
      <c r="DB66" s="155">
        <f ca="1">IF(BD66,_xll.EURO(CN66,Strike2,AO66,AO66,CU66,CM66,IF(OptControl=3,1,0),3)/100,0)</f>
        <v>0</v>
      </c>
      <c r="DC66" s="156">
        <f ca="1">IF(BD66,_xll.EURO(CN66,Strike2,AO66,AO66,CU66,CM66,IF(OptControl=3,1,0),0)-_xll.EURO(CN66,Strike2,AO66,AO66,CU66,CM66-1,IF(OptControl=3,1,0),0),0)</f>
        <v>0</v>
      </c>
      <c r="DE66" s="651">
        <f t="shared" ca="1" si="61"/>
        <v>38322</v>
      </c>
      <c r="DF66" s="465">
        <v>1E-4</v>
      </c>
      <c r="DG66" s="649">
        <v>1E-4</v>
      </c>
      <c r="DH66" s="650">
        <f t="shared" ca="1" si="182"/>
        <v>38322</v>
      </c>
      <c r="DI66" s="465">
        <v>1E-4</v>
      </c>
      <c r="DJ66" s="649">
        <v>1E-4</v>
      </c>
      <c r="DK66" s="651">
        <f t="shared" ca="1" si="183"/>
        <v>38322</v>
      </c>
      <c r="DL66" s="652">
        <f t="shared" si="184"/>
        <v>5.0100000000000006E-2</v>
      </c>
      <c r="DM66" s="651">
        <f t="shared" ca="1" si="62"/>
        <v>38322</v>
      </c>
      <c r="DN66" s="563">
        <f t="shared" si="63"/>
        <v>-0.12990000000000002</v>
      </c>
      <c r="DO66" s="803">
        <v>-0.13</v>
      </c>
      <c r="DP66" s="650">
        <f t="shared" ca="1" si="185"/>
        <v>38322</v>
      </c>
      <c r="DQ66" s="653">
        <v>1E-4</v>
      </c>
      <c r="DR66" s="590">
        <v>1E-4</v>
      </c>
      <c r="DS66" s="650">
        <f t="shared" ca="1" si="186"/>
        <v>38322</v>
      </c>
      <c r="DT66" s="653">
        <v>1E-4</v>
      </c>
      <c r="DU66" s="590">
        <v>1E-4</v>
      </c>
      <c r="DV66" s="651">
        <f t="shared" ca="1" si="187"/>
        <v>38322</v>
      </c>
      <c r="DW66" s="590">
        <v>1E-4</v>
      </c>
      <c r="DX66" s="651">
        <f t="shared" ca="1" si="64"/>
        <v>38322</v>
      </c>
      <c r="DY66" s="590">
        <f t="shared" si="65"/>
        <v>1E-4</v>
      </c>
      <c r="DZ66" s="1"/>
      <c r="EA66" s="863" t="e">
        <f ca="1">_xll.ASN(X66,X66,AO66,AS66,0,AI66,0,BI66,BL66,1,0)</f>
        <v>#NAME?</v>
      </c>
      <c r="EB66" s="653" t="e">
        <f ca="1">_xll.ASN(X66,X66,AO66,AS66,0,AI66,0,BI66,BL66,1,3)/100</f>
        <v>#NAME?</v>
      </c>
      <c r="EC66" s="653" t="e">
        <f ca="1">_xll.xCrudeAPO(L67,L68,O67,O68,S67,S68,BI66,BL66,AJ66,AK66,0,X66,AO66,1,0,+BL66,1,0,1)</f>
        <v>#NAME?</v>
      </c>
      <c r="ED66" s="869" t="e">
        <f t="shared" ca="1" si="165"/>
        <v>#NAME?</v>
      </c>
      <c r="EE66" s="863" t="e">
        <f t="shared" ca="1" si="29"/>
        <v>#NAME?</v>
      </c>
      <c r="EF66" s="590" t="e">
        <f t="shared" ca="1" si="30"/>
        <v>#NAME?</v>
      </c>
      <c r="EG66" s="862" t="str">
        <f t="shared" ca="1" si="188"/>
        <v/>
      </c>
      <c r="EH66" s="114" t="str">
        <f t="shared" ca="1" si="32"/>
        <v/>
      </c>
      <c r="EI66" s="109" t="str">
        <f t="shared" ca="1" si="33"/>
        <v/>
      </c>
      <c r="EJ66" s="115">
        <f ca="1">IF(BD66,_xll.xASN(BP66,Strike1,AO66,EH66,0,BM66,0,BI66,BL66,IF(OptControl=4,0,1),0),0)</f>
        <v>0</v>
      </c>
      <c r="EK66" s="108">
        <f ca="1">IF(BD66,_xll.xASN(BP66,Strike2,AO66,EI66,0,BM66,0,BI66,BL66,IF(OptControl=3,1,0),0),0)</f>
        <v>0</v>
      </c>
      <c r="EP66" s="53"/>
      <c r="EQ66" s="1"/>
      <c r="ER66" s="681">
        <v>41275</v>
      </c>
      <c r="ES66" s="682">
        <v>44927</v>
      </c>
      <c r="ET66" s="1"/>
      <c r="EU66" s="667" t="s">
        <v>252</v>
      </c>
      <c r="EW66" s="488">
        <v>47</v>
      </c>
      <c r="EX66" s="466">
        <f t="shared" ca="1" si="166"/>
        <v>3.8576317590691307</v>
      </c>
      <c r="EY66" s="824">
        <f t="shared" ca="1" si="189"/>
        <v>0.16638372804950041</v>
      </c>
      <c r="EZ66" s="798">
        <f t="shared" ca="1" si="269"/>
        <v>0.20984521079795843</v>
      </c>
      <c r="FA66" s="468" t="str">
        <f t="shared" ca="1" si="270"/>
        <v/>
      </c>
      <c r="FB66" s="467" t="str">
        <f t="shared" ca="1" si="271"/>
        <v/>
      </c>
      <c r="FC66" s="242">
        <v>0</v>
      </c>
      <c r="FD66" s="589" t="str">
        <f ca="1">IF(OR(FA66="",FA67=""),"",SQRT(SUM(INDEX(FO66:IH66,SwaptionFirstMonthPosition+1):INDEX(FO66:IH66,FN66))/SUM(INDEX($FO$15:$IH$15,SwaptionFirstMonthPosition+1):INDEX($FO$15:$IH$15,FN66))))</f>
        <v/>
      </c>
      <c r="FE66" s="565" t="str">
        <f ca="1">IF(OR(FA66="",FA65=""),"",SQRT(SUM(INDEX(FO66:IH66,SwaptionFirstMonthPosition+1):INDEX(FO66:IH66,FN66-1))/SUM(INDEX($FO$15:$IH$15,SwaptionFirstMonthPosition+1):INDEX($FO$15:$IH$15,FN66-1))))</f>
        <v/>
      </c>
      <c r="FF66" s="562" t="str">
        <f t="shared" ca="1" si="190"/>
        <v/>
      </c>
      <c r="FG66" s="593" t="str">
        <f t="shared" ca="1" si="191"/>
        <v/>
      </c>
      <c r="FH66" s="563" t="str">
        <f t="shared" ca="1" si="192"/>
        <v/>
      </c>
      <c r="FI66" s="563" t="str">
        <f t="shared" ca="1" si="193"/>
        <v/>
      </c>
      <c r="FJ66" s="563" t="str">
        <f t="shared" ca="1" si="194"/>
        <v/>
      </c>
      <c r="FK66" s="564" t="str">
        <f t="shared" ca="1" si="195"/>
        <v/>
      </c>
      <c r="FL66" s="590" t="str">
        <f t="shared" ca="1" si="196"/>
        <v/>
      </c>
      <c r="FM66" s="242"/>
      <c r="FN66" s="657">
        <v>47</v>
      </c>
      <c r="FO66" s="450">
        <f t="shared" ca="1" si="197"/>
        <v>6.608113412039481E-4</v>
      </c>
      <c r="FP66" s="450">
        <f t="shared" ca="1" si="198"/>
        <v>2.4799883711779775E-3</v>
      </c>
      <c r="FQ66" s="450">
        <f t="shared" ca="1" si="199"/>
        <v>2.3948048699724334E-3</v>
      </c>
      <c r="FR66" s="450">
        <f t="shared" ca="1" si="200"/>
        <v>2.6402725935842208E-3</v>
      </c>
      <c r="FS66" s="450">
        <f t="shared" ca="1" si="201"/>
        <v>2.4736467532341551E-3</v>
      </c>
      <c r="FT66" s="450">
        <f t="shared" ca="1" si="202"/>
        <v>2.6374485965989253E-3</v>
      </c>
      <c r="FU66" s="450">
        <f t="shared" ca="1" si="203"/>
        <v>2.4721956334192332E-3</v>
      </c>
      <c r="FV66" s="450">
        <f t="shared" ca="1" si="204"/>
        <v>2.3076409459616798E-3</v>
      </c>
      <c r="FW66" s="450">
        <f t="shared" ca="1" si="205"/>
        <v>2.4735091410794455E-3</v>
      </c>
      <c r="FX66" s="450">
        <f t="shared" ca="1" si="206"/>
        <v>2.7229235955732165E-3</v>
      </c>
      <c r="FY66" s="450">
        <f t="shared" ca="1" si="207"/>
        <v>2.3955831848140267E-3</v>
      </c>
      <c r="FZ66" s="450">
        <f t="shared" ca="1" si="208"/>
        <v>2.3992887237100501E-3</v>
      </c>
      <c r="GA66" s="450">
        <f t="shared" ca="1" si="209"/>
        <v>2.7356980608754388E-3</v>
      </c>
      <c r="GB66" s="450">
        <f t="shared" ca="1" si="210"/>
        <v>2.4101354261519777E-3</v>
      </c>
      <c r="GC66" s="450">
        <f t="shared" ca="1" si="211"/>
        <v>2.6676301031711858E-3</v>
      </c>
      <c r="GD66" s="450">
        <f t="shared" ca="1" si="212"/>
        <v>2.5101409310958364E-3</v>
      </c>
      <c r="GE66" s="450">
        <f t="shared" ca="1" si="213"/>
        <v>2.437104351474081E-3</v>
      </c>
      <c r="GF66" s="450">
        <f t="shared" ca="1" si="214"/>
        <v>2.7875309398967415E-3</v>
      </c>
      <c r="GG66" s="450">
        <f t="shared" ca="1" si="215"/>
        <v>2.5493117017855115E-3</v>
      </c>
      <c r="GH66" s="450">
        <f t="shared" ca="1" si="216"/>
        <v>2.4814293995950756E-3</v>
      </c>
      <c r="GI66" s="450">
        <f t="shared" ca="1" si="217"/>
        <v>2.6737372229101897E-3</v>
      </c>
      <c r="GJ66" s="450">
        <f t="shared" ca="1" si="218"/>
        <v>2.6981885561936339E-3</v>
      </c>
      <c r="GK66" s="450">
        <f t="shared" ca="1" si="219"/>
        <v>2.7263499147048005E-3</v>
      </c>
      <c r="GL66" s="450">
        <f t="shared" ca="1" si="220"/>
        <v>2.4917502644608517E-3</v>
      </c>
      <c r="GM66" s="450">
        <f t="shared" ca="1" si="221"/>
        <v>2.7958935689536358E-3</v>
      </c>
      <c r="GN66" s="450">
        <f t="shared" ca="1" si="222"/>
        <v>2.7469768553229847E-3</v>
      </c>
      <c r="GO66" s="450">
        <f t="shared" ca="1" si="223"/>
        <v>2.8874724855056052E-3</v>
      </c>
      <c r="GP66" s="450">
        <f t="shared" ca="1" si="224"/>
        <v>2.8486727271874348E-3</v>
      </c>
      <c r="GQ66" s="450">
        <f t="shared" ca="1" si="225"/>
        <v>3.0081328750531278E-3</v>
      </c>
      <c r="GR66" s="450">
        <f t="shared" ca="1" si="226"/>
        <v>3.0823250258759705E-3</v>
      </c>
      <c r="GS66" s="450">
        <f t="shared" ca="1" si="227"/>
        <v>3.0656262870057791E-3</v>
      </c>
      <c r="GT66" s="450">
        <f t="shared" ca="1" si="228"/>
        <v>3.2665452195922073E-3</v>
      </c>
      <c r="GU66" s="450">
        <f t="shared" ca="1" si="229"/>
        <v>3.27182917171751E-3</v>
      </c>
      <c r="GV66" s="450">
        <f t="shared" ca="1" si="230"/>
        <v>3.513760299987814E-3</v>
      </c>
      <c r="GW66" s="450">
        <f t="shared" ca="1" si="231"/>
        <v>3.6687619134171787E-3</v>
      </c>
      <c r="GX66" s="450">
        <f t="shared" ca="1" si="232"/>
        <v>3.6019892401723077E-3</v>
      </c>
      <c r="GY66" s="450">
        <f t="shared" ca="1" si="233"/>
        <v>4.0643704452801395E-3</v>
      </c>
      <c r="GZ66" s="450">
        <f t="shared" ca="1" si="234"/>
        <v>4.1786352175857975E-3</v>
      </c>
      <c r="HA66" s="450">
        <f t="shared" ca="1" si="235"/>
        <v>4.6204223586686537E-3</v>
      </c>
      <c r="HB66" s="450">
        <f t="shared" ca="1" si="236"/>
        <v>4.8233190621197282E-3</v>
      </c>
      <c r="HC66" s="450">
        <f t="shared" ca="1" si="237"/>
        <v>5.4251299049632778E-3</v>
      </c>
      <c r="HD66" s="450">
        <f t="shared" ca="1" si="238"/>
        <v>5.9652563103349031E-3</v>
      </c>
      <c r="HE66" s="450">
        <f t="shared" ca="1" si="239"/>
        <v>6.4201173078451274E-3</v>
      </c>
      <c r="HF66" s="450">
        <f t="shared" ca="1" si="240"/>
        <v>7.4728615753014973E-3</v>
      </c>
      <c r="HG66" s="450">
        <f t="shared" ca="1" si="241"/>
        <v>8.26416753976098E-3</v>
      </c>
      <c r="HH66" s="450">
        <f t="shared" ca="1" si="242"/>
        <v>9.9184000912070948E-3</v>
      </c>
      <c r="HI66" s="450">
        <f t="shared" ca="1" si="243"/>
        <v>1.1733076605595848E-2</v>
      </c>
      <c r="HJ66" s="450" t="str">
        <f t="shared" si="244"/>
        <v/>
      </c>
      <c r="HK66" s="450" t="str">
        <f t="shared" si="245"/>
        <v/>
      </c>
      <c r="HL66" s="450" t="str">
        <f t="shared" si="246"/>
        <v/>
      </c>
      <c r="HM66" s="450" t="str">
        <f t="shared" si="247"/>
        <v/>
      </c>
      <c r="HN66" s="450" t="str">
        <f t="shared" si="248"/>
        <v/>
      </c>
      <c r="HO66" s="450" t="str">
        <f t="shared" si="249"/>
        <v/>
      </c>
      <c r="HP66" s="450" t="str">
        <f t="shared" si="250"/>
        <v/>
      </c>
      <c r="HQ66" s="450" t="str">
        <f t="shared" si="251"/>
        <v/>
      </c>
      <c r="HR66" s="450" t="str">
        <f t="shared" si="252"/>
        <v/>
      </c>
      <c r="HS66" s="450" t="str">
        <f t="shared" si="253"/>
        <v/>
      </c>
      <c r="HT66" s="450" t="str">
        <f t="shared" si="254"/>
        <v/>
      </c>
      <c r="HU66" s="450" t="str">
        <f t="shared" si="255"/>
        <v/>
      </c>
      <c r="HV66" s="450" t="str">
        <f t="shared" si="256"/>
        <v/>
      </c>
      <c r="HW66" s="450" t="str">
        <f t="shared" si="257"/>
        <v/>
      </c>
      <c r="HX66" s="450" t="str">
        <f t="shared" si="258"/>
        <v/>
      </c>
      <c r="HY66" s="450" t="str">
        <f t="shared" si="259"/>
        <v/>
      </c>
      <c r="HZ66" s="450" t="str">
        <f t="shared" si="260"/>
        <v/>
      </c>
      <c r="IA66" s="450" t="str">
        <f t="shared" si="261"/>
        <v/>
      </c>
      <c r="IB66" s="450" t="str">
        <f t="shared" si="262"/>
        <v/>
      </c>
      <c r="IC66" s="450" t="str">
        <f t="shared" si="263"/>
        <v/>
      </c>
      <c r="ID66" s="450" t="str">
        <f t="shared" si="264"/>
        <v/>
      </c>
      <c r="IE66" s="450" t="str">
        <f t="shared" si="265"/>
        <v/>
      </c>
      <c r="IF66" s="450" t="str">
        <f t="shared" si="266"/>
        <v/>
      </c>
      <c r="IG66" s="450" t="str">
        <f t="shared" si="267"/>
        <v/>
      </c>
      <c r="IH66" s="658" t="str">
        <f t="shared" si="268"/>
        <v/>
      </c>
      <c r="II66" s="242"/>
    </row>
    <row r="67" spans="1:243">
      <c r="A67" s="51"/>
      <c r="E67" s="90"/>
      <c r="F67" s="51"/>
      <c r="G67" s="51"/>
      <c r="H67" s="49" t="e">
        <f t="shared" ca="1" si="34"/>
        <v>#N/A</v>
      </c>
      <c r="I67" s="369">
        <f t="shared" si="35"/>
        <v>38443</v>
      </c>
      <c r="J67" s="367">
        <v>22.1666666666667</v>
      </c>
      <c r="K67" s="101" t="s">
        <v>268</v>
      </c>
      <c r="L67" s="382">
        <f t="shared" si="36"/>
        <v>22.166666666666668</v>
      </c>
      <c r="M67" s="163">
        <v>0.20663511305306997</v>
      </c>
      <c r="N67" s="372">
        <v>0</v>
      </c>
      <c r="O67" s="163">
        <f t="shared" si="37"/>
        <v>0.20663511305306997</v>
      </c>
      <c r="P67" s="367">
        <v>20.946334701269301</v>
      </c>
      <c r="Q67" s="101" t="s">
        <v>267</v>
      </c>
      <c r="R67" s="367">
        <f t="shared" ca="1" si="147"/>
        <v>20.946334701269336</v>
      </c>
      <c r="S67" s="814">
        <f t="shared" si="163"/>
        <v>0.3714911815601617</v>
      </c>
      <c r="T67" s="813">
        <f t="shared" si="148"/>
        <v>0.99944797200174007</v>
      </c>
      <c r="U67" s="532">
        <f t="shared" si="149"/>
        <v>0.99999997986411882</v>
      </c>
      <c r="V67" s="379">
        <v>0</v>
      </c>
      <c r="W67" s="424">
        <f t="shared" si="168"/>
        <v>22.1322222222222</v>
      </c>
      <c r="X67" s="405">
        <f t="shared" si="169"/>
        <v>22.132222222222222</v>
      </c>
      <c r="Y67" s="313">
        <f t="shared" si="170"/>
        <v>20.788222222222199</v>
      </c>
      <c r="Z67" s="313">
        <f t="shared" ca="1" si="171"/>
        <v>20.78822222222222</v>
      </c>
      <c r="AA67" s="419">
        <f t="shared" si="1"/>
        <v>1.3440000000000001</v>
      </c>
      <c r="AB67" s="423">
        <f t="shared" ca="1" si="2"/>
        <v>1.3440000000000001</v>
      </c>
      <c r="AC67" s="221">
        <v>38431</v>
      </c>
      <c r="AD67" s="221">
        <v>38427</v>
      </c>
      <c r="AE67" s="221">
        <v>38426</v>
      </c>
      <c r="AF67" s="221">
        <v>38422</v>
      </c>
      <c r="AG67" s="241" t="s">
        <v>90</v>
      </c>
      <c r="AH67" s="239" t="s">
        <v>497</v>
      </c>
      <c r="AI67" s="141">
        <v>21</v>
      </c>
      <c r="AJ67" s="41">
        <v>14</v>
      </c>
      <c r="AK67" s="41">
        <v>7</v>
      </c>
      <c r="AL67" s="285">
        <v>21</v>
      </c>
      <c r="AM67" s="41">
        <v>10</v>
      </c>
      <c r="AN67" s="142">
        <v>11</v>
      </c>
      <c r="AO67" s="364">
        <v>5.1872879660618501E-2</v>
      </c>
      <c r="AP67" s="145">
        <f t="shared" ca="1" si="41"/>
        <v>0.81237699553986009</v>
      </c>
      <c r="AQ67" s="364">
        <v>4.5252187341208401E-2</v>
      </c>
      <c r="AR67" s="145">
        <f t="shared" ca="1" si="151"/>
        <v>0.83857517068288523</v>
      </c>
      <c r="AS67" s="264">
        <f t="shared" si="172"/>
        <v>0.20430166479228001</v>
      </c>
      <c r="AT67" s="149">
        <f t="shared" si="42"/>
        <v>0.20663511305306997</v>
      </c>
      <c r="AU67" s="149">
        <f t="shared" si="4"/>
        <v>0.20424396292249142</v>
      </c>
      <c r="AV67" s="263">
        <f t="shared" ca="1" si="164"/>
        <v>0.20200023007966159</v>
      </c>
      <c r="AW67" s="150" t="str">
        <f t="shared" ca="1" si="173"/>
        <v/>
      </c>
      <c r="AX67" s="149">
        <f t="shared" ca="1" si="152"/>
        <v>3.3617079939584182E-2</v>
      </c>
      <c r="AY67" s="149">
        <f t="shared" ca="1" si="153"/>
        <v>1.726655545000513E-2</v>
      </c>
      <c r="AZ67" s="149">
        <f t="shared" ca="1" si="154"/>
        <v>8.9494507508485564E-3</v>
      </c>
      <c r="BA67" s="149">
        <f t="shared" ca="1" si="155"/>
        <v>1.0000000000000125E-4</v>
      </c>
      <c r="BB67" s="149">
        <f t="shared" ca="1" si="156"/>
        <v>1.0000000000000125E-4</v>
      </c>
      <c r="BC67" s="149">
        <f t="shared" ca="1" si="157"/>
        <v>1.0000000000000125E-4</v>
      </c>
      <c r="BD67" s="143">
        <f t="shared" ca="1" si="174"/>
        <v>0</v>
      </c>
      <c r="BE67" s="144">
        <f t="shared" ca="1" si="175"/>
        <v>0</v>
      </c>
      <c r="BF67" s="40">
        <f t="shared" si="176"/>
        <v>2005</v>
      </c>
      <c r="BG67" s="139">
        <f t="shared" si="177"/>
        <v>4</v>
      </c>
      <c r="BH67" s="140">
        <f t="shared" ca="1" si="178"/>
        <v>1437</v>
      </c>
      <c r="BI67" s="304">
        <f t="shared" ca="1" si="179"/>
        <v>3.978097193702943</v>
      </c>
      <c r="BJ67" s="42">
        <f t="shared" ca="1" si="47"/>
        <v>4.0310289755874971</v>
      </c>
      <c r="BK67" s="42">
        <f t="shared" ca="1" si="180"/>
        <v>4.0337668263746291</v>
      </c>
      <c r="BL67" s="42">
        <f t="shared" ca="1" si="181"/>
        <v>4.0574948665297743</v>
      </c>
      <c r="BM67" s="285">
        <f t="shared" si="49"/>
        <v>21</v>
      </c>
      <c r="BN67" s="41">
        <f t="shared" si="50"/>
        <v>14</v>
      </c>
      <c r="BO67" s="41">
        <f t="shared" si="51"/>
        <v>7</v>
      </c>
      <c r="BP67" s="297" t="str">
        <f t="shared" ca="1" si="10"/>
        <v/>
      </c>
      <c r="BQ67" s="297" t="str">
        <f t="shared" ca="1" si="11"/>
        <v/>
      </c>
      <c r="BR67" s="299" t="str">
        <f t="shared" ca="1" si="12"/>
        <v/>
      </c>
      <c r="BS67" s="153" t="str">
        <f t="shared" ca="1" si="13"/>
        <v/>
      </c>
      <c r="BT67" s="153" t="str">
        <f t="shared" ca="1" si="14"/>
        <v/>
      </c>
      <c r="BU67" s="300" t="str">
        <f t="shared" ca="1" si="15"/>
        <v/>
      </c>
      <c r="BV67" s="301" t="str">
        <f t="shared" ca="1" si="16"/>
        <v/>
      </c>
      <c r="BW67" s="300" t="str">
        <f t="shared" ca="1" si="17"/>
        <v/>
      </c>
      <c r="BX67" s="301" t="str">
        <f t="shared" ca="1" si="18"/>
        <v/>
      </c>
      <c r="BY67" s="146" t="str">
        <f t="shared" ca="1" si="19"/>
        <v/>
      </c>
      <c r="BZ67" s="146" t="str">
        <f t="shared" ca="1" si="20"/>
        <v/>
      </c>
      <c r="CA67" s="146" t="str">
        <f t="shared" ca="1" si="21"/>
        <v/>
      </c>
      <c r="CB67" s="146" t="str">
        <f t="shared" ca="1" si="22"/>
        <v/>
      </c>
      <c r="CC67" s="302">
        <v>1</v>
      </c>
      <c r="CD67" s="154">
        <f ca="1">IF(BD67,_xll.xCrudeAPO(BS67,BT67,BY67,BZ67,S68,S69,BI67,BL67,BN67,BO67,0,Strike1,AO67,CC67,0,BL67,IF(OptControl=4,0,1),0,1),0)</f>
        <v>0</v>
      </c>
      <c r="CE67" s="155">
        <f ca="1">IF(BD67,_xll.xCrudeAPO(BS67,BT67,BY67,BZ67,S68,S69,BI67,BL67,BN67,BO67,0,Strike1,AO67,CC67,0,BL67,IF(OptControl=4,0,1),1,1)+_xll.xCrudeAPO(BS67,BT67,BY67,BZ67,S68,S69,BI67,BL67,BN67,BO67,0,Strike1,AO67,CC67,0,BL67,IF(OptControl=4,0,1),1,2)+IF(OR(VolSkewFlag=2,ABS(BQ67)&lt;0.0001),0,IF(BQ67&gt;0,-1,1)*CF67*Strike1/BP67^2*BW67/10%),0)</f>
        <v>0</v>
      </c>
      <c r="CF67" s="155">
        <f ca="1">IF(BD67,(_xll.xCrudeAPO(BS67,BT67,BY67,BZ67,S68,S69,BI67,BL67,BN67,BO67,0,Strike1,AO67,CC67,0,BL67,IF(OptControl=4,0,1),3,1)+_xll.xCrudeAPO(BS67,BT67,BY67,BZ67,S68,S69,BI67,BL67,BN67,BO67,0,Strike1,AO67,CC67,0,BL67,IF(OptControl=4,0,1),3,2))/100,0)</f>
        <v>0</v>
      </c>
      <c r="CG67" s="155">
        <f ca="1">IF(BD67,_xll.xCrudeAPO(BS67,BT67,BY67,BZ67,S68,S69,BI67-DaysForThetaCalculation/365.25,BL67-DaysForThetaCalculation/365.25,BN67,BO67,0,Strike1,AO67,CC67,0,BL67,IF(OptControl=4,0,1),0,1)-_xll.xCrudeAPO(BS67,BT67,BY67,BZ67,S68,S69,BI67,BL67,BN67,BO67,0,Strike1,AO67,CC67,0,BL67,IF(OptControl=4,0,1),0,1),0)</f>
        <v>0</v>
      </c>
      <c r="CH67" s="303">
        <f ca="1">IF(BD67,_xll.xCrudeAPO(BS67,BT67,CA67,CB67,S68,S69,BI67,BL67,BN67,BO67,0,Strike2,AO67,CC67,0,BL67,IF(OptControl=3,1,0),0,1),0)</f>
        <v>0</v>
      </c>
      <c r="CI67" s="155">
        <f ca="1">IF(BD67,_xll.xCrudeAPO(BS67,BT67,CA67,CB67,S68,S69,BI67,BL67,BN67,BO67,0,Strike2,AO67,CC67,0,BL67,IF(OptControl=3,1,0),1,1)+_xll.xCrudeAPO(BS67,BT67,CA67,CB67,S68,S69,BI67,BL67,BN67,BO67,0,Strike2,AO67,CC67,0,BL67,IF(OptControl=3,1,0),1,2)+IF(OR(VolSkewFlag=2,ABS(BR67)&lt;0.0001),0,IF(BR67&gt;0,-1,1)*CJ67*Strike2/BP67^2*BX67/10%),0)</f>
        <v>0</v>
      </c>
      <c r="CJ67" s="155">
        <f ca="1">IF(BD67,(_xll.xCrudeAPO(BS67,BT67,CA67,CB67,S68,S69,BI67,BL67,BN67,BO67,0,Strike2,AO67,CC67,0,BL67,IF(OptControl=3,1,0),3,1)+_xll.xCrudeAPO(BS67,BT67,CA67,CB67,S68,S69,BI67,BL67,BN67,BO67,0,Strike2,AO67,CC67,0,BL67,IF(OptControl=3,1,0),3,2))/100,0)</f>
        <v>0</v>
      </c>
      <c r="CK67" s="156">
        <f ca="1">IF(BD67,_xll.xCrudeAPO(BS67,BT67,CA67,CB67,S68,S69,BI67-DaysForThetaCalculation/365.25,BL67-DaysForThetaCalculation/365.25,BN67,BO67,0,Strike2,AO67,CC67,0,BL67,IF(OptControl=3,1,0),0,1)-_xll.xCrudeAPO(BS67,BT67,CA67,CB67,S68,S69,BI67,BL67,BN67,BO67,0,Strike2,AO67,CC67,0,BL67,IF(OptControl=3,1,0),0,1),0)</f>
        <v>0</v>
      </c>
      <c r="CL67" s="51"/>
      <c r="CM67" s="779" t="str">
        <f t="shared" ca="1" si="52"/>
        <v/>
      </c>
      <c r="CN67" s="783" t="str">
        <f t="shared" ca="1" si="53"/>
        <v/>
      </c>
      <c r="CO67" s="780" t="str">
        <f t="shared" ca="1" si="54"/>
        <v/>
      </c>
      <c r="CP67" s="780" t="str">
        <f t="shared" ca="1" si="55"/>
        <v/>
      </c>
      <c r="CQ67" s="780" t="str">
        <f t="shared" ca="1" si="56"/>
        <v/>
      </c>
      <c r="CR67" s="780" t="str">
        <f t="shared" ca="1" si="57"/>
        <v/>
      </c>
      <c r="CS67" s="781" t="str">
        <f t="shared" ca="1" si="58"/>
        <v/>
      </c>
      <c r="CT67" s="782" t="str">
        <f t="shared" ca="1" si="59"/>
        <v/>
      </c>
      <c r="CU67" s="782" t="str">
        <f t="shared" ca="1" si="60"/>
        <v/>
      </c>
      <c r="CV67" s="155">
        <f ca="1">IF(BD67,_xll.EURO(CN67,Strike1,AO67,AO67,CT67,CM67,IF(OptControl=4,0,1),0),0)</f>
        <v>0</v>
      </c>
      <c r="CW67" s="155">
        <f ca="1">IF(BD67,_xll.EURO(CN67,Strike1,AO67,AO67,CT67,CM67,IF(OptControl=4,0,1),1)+IF(OR(VolSkewFlag=2,ABS(CO67)&lt;0.0001),0,IF(CO67&gt;0,-1,1)*CX67*100*Strike1/CN67^2*CQ67/10%),0)</f>
        <v>0</v>
      </c>
      <c r="CX67" s="155">
        <f ca="1">IF(BD67,_xll.EURO(CN67,Strike1,AO67,AO67,CT67,CM67,IF(OptControl=4,0,1),3)/100,0)</f>
        <v>0</v>
      </c>
      <c r="CY67" s="155">
        <f ca="1">IF(BD67,_xll.EURO(CN67,Strike1,AO67,AO67,CT67,CM67,IF(OptControl=4,0,1),0)-_xll.EURO(CN67,Strike1,AO67,AO67,CT67,CM67-1,IF(OptControl=4,0,1),0),0)</f>
        <v>0</v>
      </c>
      <c r="CZ67" s="155">
        <f ca="1">IF(BD67,_xll.EURO(CN67,Strike2,AO67,AO67,CU67,CM67,IF(OptControl=3,1,0),0),0)</f>
        <v>0</v>
      </c>
      <c r="DA67" s="155">
        <f ca="1">IF(BD67,_xll.EURO(CN67,Strike2,AO67,AO67,CU67,CM67,IF(OptControl=3,1,0),1)+IF(OR(VolSkewFlag=2,ABS(CP67)&lt;0.0001),0,IF(CP67&gt;0,-1,1)*DB67*100*Strike2/CN67^2*CR67/10%),0)</f>
        <v>0</v>
      </c>
      <c r="DB67" s="155">
        <f ca="1">IF(BD67,_xll.EURO(CN67,Strike2,AO67,AO67,CU67,CM67,IF(OptControl=3,1,0),3)/100,0)</f>
        <v>0</v>
      </c>
      <c r="DC67" s="156">
        <f ca="1">IF(BD67,_xll.EURO(CN67,Strike2,AO67,AO67,CU67,CM67,IF(OptControl=3,1,0),0)-_xll.EURO(CN67,Strike2,AO67,AO67,CU67,CM67-1,IF(OptControl=3,1,0),0),0)</f>
        <v>0</v>
      </c>
      <c r="DE67" s="651">
        <f t="shared" ca="1" si="61"/>
        <v>38353</v>
      </c>
      <c r="DF67" s="465">
        <v>1E-4</v>
      </c>
      <c r="DG67" s="649">
        <v>1E-4</v>
      </c>
      <c r="DH67" s="650">
        <f t="shared" ca="1" si="182"/>
        <v>38353</v>
      </c>
      <c r="DI67" s="465">
        <v>1E-4</v>
      </c>
      <c r="DJ67" s="649">
        <v>1E-4</v>
      </c>
      <c r="DK67" s="651">
        <f t="shared" ca="1" si="183"/>
        <v>38353</v>
      </c>
      <c r="DL67" s="652">
        <f t="shared" si="184"/>
        <v>5.0100000000000006E-2</v>
      </c>
      <c r="DM67" s="651">
        <f t="shared" ca="1" si="62"/>
        <v>38353</v>
      </c>
      <c r="DN67" s="563">
        <f t="shared" si="63"/>
        <v>-0.12990000000000002</v>
      </c>
      <c r="DO67" s="803">
        <v>-0.13</v>
      </c>
      <c r="DP67" s="650">
        <f t="shared" ca="1" si="185"/>
        <v>38353</v>
      </c>
      <c r="DQ67" s="653">
        <v>1E-4</v>
      </c>
      <c r="DR67" s="590">
        <v>1E-4</v>
      </c>
      <c r="DS67" s="650">
        <f t="shared" ca="1" si="186"/>
        <v>38353</v>
      </c>
      <c r="DT67" s="653">
        <v>1E-4</v>
      </c>
      <c r="DU67" s="590">
        <v>1E-4</v>
      </c>
      <c r="DV67" s="651">
        <f t="shared" ca="1" si="187"/>
        <v>38353</v>
      </c>
      <c r="DW67" s="590">
        <v>1E-4</v>
      </c>
      <c r="DX67" s="651">
        <f t="shared" ca="1" si="64"/>
        <v>38353</v>
      </c>
      <c r="DY67" s="590">
        <f t="shared" si="65"/>
        <v>1E-4</v>
      </c>
      <c r="DZ67" s="1"/>
      <c r="EA67" s="863" t="e">
        <f ca="1">_xll.ASN(X67,X67,AO67,AS67,0,AI67,0,BI67,BL67,1,0)</f>
        <v>#NAME?</v>
      </c>
      <c r="EB67" s="653" t="e">
        <f ca="1">_xll.ASN(X67,X67,AO67,AS67,0,AI67,0,BI67,BL67,1,3)/100</f>
        <v>#NAME?</v>
      </c>
      <c r="EC67" s="653" t="e">
        <f ca="1">_xll.xCrudeAPO(L68,L69,O68,O69,S68,S69,BI67,BL67,AJ67,AK67,0,X67,AO67,1,0,+BL67,1,0,1)</f>
        <v>#NAME?</v>
      </c>
      <c r="ED67" s="869" t="e">
        <f t="shared" ca="1" si="165"/>
        <v>#NAME?</v>
      </c>
      <c r="EE67" s="863" t="e">
        <f t="shared" ca="1" si="29"/>
        <v>#NAME?</v>
      </c>
      <c r="EF67" s="590" t="e">
        <f t="shared" ca="1" si="30"/>
        <v>#NAME?</v>
      </c>
      <c r="EG67" s="862" t="str">
        <f t="shared" ca="1" si="188"/>
        <v/>
      </c>
      <c r="EH67" s="114" t="str">
        <f t="shared" ca="1" si="32"/>
        <v/>
      </c>
      <c r="EI67" s="109" t="str">
        <f t="shared" ca="1" si="33"/>
        <v/>
      </c>
      <c r="EJ67" s="115">
        <f ca="1">IF(BD67,_xll.xASN(BP67,Strike1,AO67,EH67,0,BM67,0,BI67,BL67,IF(OptControl=4,0,1),0),0)</f>
        <v>0</v>
      </c>
      <c r="EK67" s="108">
        <f ca="1">IF(BD67,_xll.xASN(BP67,Strike2,AO67,EI67,0,BM67,0,BI67,BL67,IF(OptControl=3,1,0),0),0)</f>
        <v>0</v>
      </c>
      <c r="EP67" s="53"/>
      <c r="EQ67" s="1"/>
      <c r="ER67" s="681">
        <v>41459</v>
      </c>
      <c r="ES67" s="682">
        <v>45285</v>
      </c>
      <c r="ET67" s="1"/>
      <c r="EU67" s="667" t="s">
        <v>253</v>
      </c>
      <c r="EW67" s="488">
        <v>48</v>
      </c>
      <c r="EX67" s="466">
        <f t="shared" ca="1" si="166"/>
        <v>3.9342915811088295</v>
      </c>
      <c r="EY67" s="824">
        <f t="shared" ca="1" si="189"/>
        <v>0.16798665711993388</v>
      </c>
      <c r="EZ67" s="798">
        <f t="shared" ca="1" si="269"/>
        <v>0.20851515362569711</v>
      </c>
      <c r="FA67" s="468" t="str">
        <f t="shared" ca="1" si="270"/>
        <v/>
      </c>
      <c r="FB67" s="467" t="str">
        <f t="shared" ca="1" si="271"/>
        <v/>
      </c>
      <c r="FC67" s="242">
        <v>0</v>
      </c>
      <c r="FD67" s="589" t="str">
        <f ca="1">IF(OR(FA67="",FA68=""),"",SQRT(SUM(INDEX(FO67:IH67,SwaptionFirstMonthPosition+1):INDEX(FO67:IH67,FN67))/SUM(INDEX($FO$15:$IH$15,SwaptionFirstMonthPosition+1):INDEX($FO$15:$IH$15,FN67))))</f>
        <v/>
      </c>
      <c r="FE67" s="565" t="str">
        <f ca="1">IF(OR(FA67="",FA66=""),"",SQRT(SUM(INDEX(FO67:IH67,SwaptionFirstMonthPosition+1):INDEX(FO67:IH67,FN67-1))/SUM(INDEX($FO$15:$IH$15,SwaptionFirstMonthPosition+1):INDEX($FO$15:$IH$15,FN67-1))))</f>
        <v/>
      </c>
      <c r="FF67" s="562" t="str">
        <f t="shared" ca="1" si="190"/>
        <v/>
      </c>
      <c r="FG67" s="593" t="str">
        <f t="shared" ca="1" si="191"/>
        <v/>
      </c>
      <c r="FH67" s="563" t="str">
        <f t="shared" ca="1" si="192"/>
        <v/>
      </c>
      <c r="FI67" s="563" t="str">
        <f t="shared" ca="1" si="193"/>
        <v/>
      </c>
      <c r="FJ67" s="563" t="str">
        <f t="shared" ca="1" si="194"/>
        <v/>
      </c>
      <c r="FK67" s="564" t="str">
        <f t="shared" ca="1" si="195"/>
        <v/>
      </c>
      <c r="FL67" s="590" t="str">
        <f t="shared" ca="1" si="196"/>
        <v/>
      </c>
      <c r="FM67" s="242"/>
      <c r="FN67" s="657">
        <v>48</v>
      </c>
      <c r="FO67" s="450">
        <f t="shared" ca="1" si="197"/>
        <v>6.6000094335927361E-4</v>
      </c>
      <c r="FP67" s="450">
        <f t="shared" ca="1" si="198"/>
        <v>2.4766090620275717E-3</v>
      </c>
      <c r="FQ67" s="450">
        <f t="shared" ca="1" si="199"/>
        <v>2.3911790527868966E-3</v>
      </c>
      <c r="FR67" s="450">
        <f t="shared" ca="1" si="200"/>
        <v>2.6358309671543722E-3</v>
      </c>
      <c r="FS67" s="450">
        <f t="shared" ca="1" si="201"/>
        <v>2.4690230661766682E-3</v>
      </c>
      <c r="FT67" s="450">
        <f t="shared" ca="1" si="202"/>
        <v>2.6319709722395154E-3</v>
      </c>
      <c r="FU67" s="450">
        <f t="shared" ca="1" si="203"/>
        <v>2.4664907264369041E-3</v>
      </c>
      <c r="FV67" s="450">
        <f t="shared" ca="1" si="204"/>
        <v>2.3017240836985869E-3</v>
      </c>
      <c r="FW67" s="450">
        <f t="shared" ca="1" si="205"/>
        <v>2.4664623039573281E-3</v>
      </c>
      <c r="FX67" s="450">
        <f t="shared" ca="1" si="206"/>
        <v>2.7143042625709631E-3</v>
      </c>
      <c r="FY67" s="450">
        <f t="shared" ca="1" si="207"/>
        <v>2.3871574662068969E-3</v>
      </c>
      <c r="FZ67" s="450">
        <f t="shared" ca="1" si="208"/>
        <v>2.3899123329462336E-3</v>
      </c>
      <c r="GA67" s="450">
        <f t="shared" ca="1" si="209"/>
        <v>2.7238190894225446E-3</v>
      </c>
      <c r="GB67" s="450">
        <f t="shared" ca="1" si="210"/>
        <v>2.3985073032590318E-3</v>
      </c>
      <c r="GC67" s="450">
        <f t="shared" ca="1" si="211"/>
        <v>2.6533296017065017E-3</v>
      </c>
      <c r="GD67" s="450">
        <f t="shared" ca="1" si="212"/>
        <v>2.4951895520009494E-3</v>
      </c>
      <c r="GE67" s="450">
        <f t="shared" ca="1" si="213"/>
        <v>2.4209750795624752E-3</v>
      </c>
      <c r="GF67" s="450">
        <f t="shared" ca="1" si="214"/>
        <v>2.7670326408192527E-3</v>
      </c>
      <c r="GG67" s="450">
        <f t="shared" ca="1" si="215"/>
        <v>2.5284822155118682E-3</v>
      </c>
      <c r="GH67" s="450">
        <f t="shared" ca="1" si="216"/>
        <v>2.4589017940362546E-3</v>
      </c>
      <c r="GI67" s="450">
        <f t="shared" ca="1" si="217"/>
        <v>2.6467667027309343E-3</v>
      </c>
      <c r="GJ67" s="450">
        <f t="shared" ca="1" si="218"/>
        <v>2.6679472610262453E-3</v>
      </c>
      <c r="GK67" s="450">
        <f t="shared" ca="1" si="219"/>
        <v>2.6923977728704352E-3</v>
      </c>
      <c r="GL67" s="450">
        <f t="shared" ca="1" si="220"/>
        <v>2.4572718262389909E-3</v>
      </c>
      <c r="GM67" s="450">
        <f t="shared" ca="1" si="221"/>
        <v>2.7529081466329108E-3</v>
      </c>
      <c r="GN67" s="450">
        <f t="shared" ca="1" si="222"/>
        <v>2.7000509074723749E-3</v>
      </c>
      <c r="GO67" s="450">
        <f t="shared" ca="1" si="223"/>
        <v>2.832665817662193E-3</v>
      </c>
      <c r="GP67" s="450">
        <f t="shared" ca="1" si="224"/>
        <v>2.7885947098066962E-3</v>
      </c>
      <c r="GQ67" s="450">
        <f t="shared" ca="1" si="225"/>
        <v>2.9376428701130045E-3</v>
      </c>
      <c r="GR67" s="450">
        <f t="shared" ca="1" si="226"/>
        <v>3.0020710701551909E-3</v>
      </c>
      <c r="GS67" s="450">
        <f t="shared" ca="1" si="227"/>
        <v>2.976938316352882E-3</v>
      </c>
      <c r="GT67" s="450">
        <f t="shared" ca="1" si="228"/>
        <v>3.1615446460463593E-3</v>
      </c>
      <c r="GU67" s="450">
        <f t="shared" ca="1" si="229"/>
        <v>3.1549731471547681E-3</v>
      </c>
      <c r="GV67" s="450">
        <f t="shared" ca="1" si="230"/>
        <v>3.374319421719636E-3</v>
      </c>
      <c r="GW67" s="450">
        <f t="shared" ca="1" si="231"/>
        <v>3.5069930264989839E-3</v>
      </c>
      <c r="GX67" s="450">
        <f t="shared" ca="1" si="232"/>
        <v>3.4255174179713484E-3</v>
      </c>
      <c r="GY67" s="450">
        <f t="shared" ca="1" si="233"/>
        <v>3.8431202135782321E-3</v>
      </c>
      <c r="GZ67" s="450">
        <f t="shared" ca="1" si="234"/>
        <v>3.9258903179934445E-3</v>
      </c>
      <c r="HA67" s="450">
        <f t="shared" ca="1" si="235"/>
        <v>4.309904124761582E-3</v>
      </c>
      <c r="HB67" s="450">
        <f t="shared" ca="1" si="236"/>
        <v>4.4631479203505612E-3</v>
      </c>
      <c r="HC67" s="450">
        <f t="shared" ca="1" si="237"/>
        <v>4.9750075798010241E-3</v>
      </c>
      <c r="HD67" s="450">
        <f t="shared" ca="1" si="238"/>
        <v>5.4153268180904988E-3</v>
      </c>
      <c r="HE67" s="450">
        <f t="shared" ca="1" si="239"/>
        <v>5.7624922448363423E-3</v>
      </c>
      <c r="HF67" s="450">
        <f t="shared" ca="1" si="240"/>
        <v>6.6223507982357804E-3</v>
      </c>
      <c r="HG67" s="450">
        <f t="shared" ca="1" si="241"/>
        <v>7.2190876589420241E-3</v>
      </c>
      <c r="HH67" s="450">
        <f t="shared" ca="1" si="242"/>
        <v>8.5247636702283029E-3</v>
      </c>
      <c r="HI67" s="450">
        <f t="shared" ca="1" si="243"/>
        <v>9.9012799518650683E-3</v>
      </c>
      <c r="HJ67" s="450">
        <f t="shared" ca="1" si="244"/>
        <v>1.0579492247378558E-2</v>
      </c>
      <c r="HK67" s="450" t="str">
        <f t="shared" si="245"/>
        <v/>
      </c>
      <c r="HL67" s="450" t="str">
        <f t="shared" si="246"/>
        <v/>
      </c>
      <c r="HM67" s="450" t="str">
        <f t="shared" si="247"/>
        <v/>
      </c>
      <c r="HN67" s="450" t="str">
        <f t="shared" si="248"/>
        <v/>
      </c>
      <c r="HO67" s="450" t="str">
        <f t="shared" si="249"/>
        <v/>
      </c>
      <c r="HP67" s="450" t="str">
        <f t="shared" si="250"/>
        <v/>
      </c>
      <c r="HQ67" s="450" t="str">
        <f t="shared" si="251"/>
        <v/>
      </c>
      <c r="HR67" s="450" t="str">
        <f t="shared" si="252"/>
        <v/>
      </c>
      <c r="HS67" s="450" t="str">
        <f t="shared" si="253"/>
        <v/>
      </c>
      <c r="HT67" s="450" t="str">
        <f t="shared" si="254"/>
        <v/>
      </c>
      <c r="HU67" s="450" t="str">
        <f t="shared" si="255"/>
        <v/>
      </c>
      <c r="HV67" s="450" t="str">
        <f t="shared" si="256"/>
        <v/>
      </c>
      <c r="HW67" s="450" t="str">
        <f t="shared" si="257"/>
        <v/>
      </c>
      <c r="HX67" s="450" t="str">
        <f t="shared" si="258"/>
        <v/>
      </c>
      <c r="HY67" s="450" t="str">
        <f t="shared" si="259"/>
        <v/>
      </c>
      <c r="HZ67" s="450" t="str">
        <f t="shared" si="260"/>
        <v/>
      </c>
      <c r="IA67" s="450" t="str">
        <f t="shared" si="261"/>
        <v/>
      </c>
      <c r="IB67" s="450" t="str">
        <f t="shared" si="262"/>
        <v/>
      </c>
      <c r="IC67" s="450" t="str">
        <f t="shared" si="263"/>
        <v/>
      </c>
      <c r="ID67" s="450" t="str">
        <f t="shared" si="264"/>
        <v/>
      </c>
      <c r="IE67" s="450" t="str">
        <f t="shared" si="265"/>
        <v/>
      </c>
      <c r="IF67" s="450" t="str">
        <f t="shared" si="266"/>
        <v/>
      </c>
      <c r="IG67" s="450" t="str">
        <f t="shared" si="267"/>
        <v/>
      </c>
      <c r="IH67" s="658" t="str">
        <f t="shared" si="268"/>
        <v/>
      </c>
      <c r="II67" s="242"/>
    </row>
    <row r="68" spans="1:243">
      <c r="A68" s="51"/>
      <c r="F68" s="51"/>
      <c r="G68" s="51"/>
      <c r="H68" s="49" t="e">
        <f t="shared" ca="1" si="34"/>
        <v>#N/A</v>
      </c>
      <c r="I68" s="369">
        <f t="shared" si="35"/>
        <v>38473</v>
      </c>
      <c r="J68" s="367">
        <v>22.140833333333301</v>
      </c>
      <c r="K68" s="101" t="s">
        <v>268</v>
      </c>
      <c r="L68" s="382">
        <f t="shared" si="36"/>
        <v>22.140833333333333</v>
      </c>
      <c r="M68" s="163">
        <v>0.20440264306441</v>
      </c>
      <c r="N68" s="372">
        <v>0</v>
      </c>
      <c r="O68" s="163">
        <f t="shared" si="37"/>
        <v>0.20440264306441</v>
      </c>
      <c r="P68" s="367">
        <v>20.936114332356901</v>
      </c>
      <c r="Q68" s="101" t="s">
        <v>267</v>
      </c>
      <c r="R68" s="367">
        <f t="shared" ca="1" si="147"/>
        <v>20.936114332356922</v>
      </c>
      <c r="S68" s="814">
        <f t="shared" si="163"/>
        <v>0.37117626974456008</v>
      </c>
      <c r="T68" s="813">
        <f t="shared" si="148"/>
        <v>0.99950319002989363</v>
      </c>
      <c r="U68" s="532">
        <f t="shared" si="149"/>
        <v>0.99999998489808917</v>
      </c>
      <c r="V68" s="379">
        <v>0</v>
      </c>
      <c r="W68" s="424">
        <f t="shared" si="168"/>
        <v>22.106780303030312</v>
      </c>
      <c r="X68" s="405">
        <f t="shared" si="169"/>
        <v>22.106780303030302</v>
      </c>
      <c r="Y68" s="313">
        <f t="shared" si="170"/>
        <v>20.762780303030311</v>
      </c>
      <c r="Z68" s="313">
        <f t="shared" ca="1" si="171"/>
        <v>20.762780303030301</v>
      </c>
      <c r="AA68" s="419">
        <f t="shared" si="1"/>
        <v>1.3440000000000001</v>
      </c>
      <c r="AB68" s="423">
        <f t="shared" ca="1" si="2"/>
        <v>1.3440000000000001</v>
      </c>
      <c r="AC68" s="221">
        <v>38462</v>
      </c>
      <c r="AD68" s="221">
        <v>38458</v>
      </c>
      <c r="AE68" s="221">
        <v>38457</v>
      </c>
      <c r="AF68" s="221">
        <v>38453</v>
      </c>
      <c r="AG68" s="241" t="s">
        <v>90</v>
      </c>
      <c r="AH68" s="239" t="s">
        <v>497</v>
      </c>
      <c r="AI68" s="141">
        <v>22</v>
      </c>
      <c r="AJ68" s="41">
        <v>15</v>
      </c>
      <c r="AK68" s="41">
        <v>7</v>
      </c>
      <c r="AL68" s="285">
        <v>22</v>
      </c>
      <c r="AM68" s="41">
        <v>10</v>
      </c>
      <c r="AN68" s="142">
        <v>12</v>
      </c>
      <c r="AO68" s="364">
        <v>5.20232690179325E-2</v>
      </c>
      <c r="AP68" s="145">
        <f t="shared" ca="1" si="41"/>
        <v>0.80836267691358232</v>
      </c>
      <c r="AQ68" s="364">
        <v>4.5428503961998601E-2</v>
      </c>
      <c r="AR68" s="145">
        <f t="shared" ca="1" si="151"/>
        <v>0.83481770981290881</v>
      </c>
      <c r="AS68" s="264">
        <f t="shared" si="172"/>
        <v>0.20387490153026136</v>
      </c>
      <c r="AT68" s="149">
        <f t="shared" si="42"/>
        <v>0.20440264306441</v>
      </c>
      <c r="AU68" s="149">
        <f t="shared" si="4"/>
        <v>0.20371432530329089</v>
      </c>
      <c r="AV68" s="263">
        <f t="shared" ca="1" si="164"/>
        <v>0.19927279086424882</v>
      </c>
      <c r="AW68" s="150" t="str">
        <f t="shared" ca="1" si="173"/>
        <v/>
      </c>
      <c r="AX68" s="149">
        <f t="shared" ca="1" si="152"/>
        <v>3.3144820015563022E-2</v>
      </c>
      <c r="AY68" s="149">
        <f t="shared" ca="1" si="153"/>
        <v>1.6969469367671072E-2</v>
      </c>
      <c r="AZ68" s="149">
        <f t="shared" ca="1" si="154"/>
        <v>8.8427920050923609E-3</v>
      </c>
      <c r="BA68" s="149">
        <f t="shared" ca="1" si="155"/>
        <v>1.0000000000000129E-4</v>
      </c>
      <c r="BB68" s="149">
        <f t="shared" ca="1" si="156"/>
        <v>1.0000000000000129E-4</v>
      </c>
      <c r="BC68" s="149">
        <f t="shared" ca="1" si="157"/>
        <v>1.0000000000000129E-4</v>
      </c>
      <c r="BD68" s="143">
        <f t="shared" ca="1" si="174"/>
        <v>0</v>
      </c>
      <c r="BE68" s="144">
        <f t="shared" ca="1" si="175"/>
        <v>0</v>
      </c>
      <c r="BF68" s="40">
        <f t="shared" si="176"/>
        <v>2005</v>
      </c>
      <c r="BG68" s="139">
        <f t="shared" si="177"/>
        <v>5</v>
      </c>
      <c r="BH68" s="140">
        <f t="shared" ca="1" si="178"/>
        <v>1468</v>
      </c>
      <c r="BI68" s="304">
        <f t="shared" ca="1" si="179"/>
        <v>4.0602327173169064</v>
      </c>
      <c r="BJ68" s="42">
        <f t="shared" ca="1" si="47"/>
        <v>4.1162342106900631</v>
      </c>
      <c r="BK68" s="42">
        <f t="shared" ca="1" si="180"/>
        <v>4.1189720614771952</v>
      </c>
      <c r="BL68" s="42">
        <f t="shared" ca="1" si="181"/>
        <v>4.1423682409308693</v>
      </c>
      <c r="BM68" s="285">
        <f t="shared" si="49"/>
        <v>22</v>
      </c>
      <c r="BN68" s="41">
        <f t="shared" si="50"/>
        <v>15</v>
      </c>
      <c r="BO68" s="41">
        <f t="shared" si="51"/>
        <v>7</v>
      </c>
      <c r="BP68" s="297" t="str">
        <f t="shared" ca="1" si="10"/>
        <v/>
      </c>
      <c r="BQ68" s="297" t="str">
        <f t="shared" ca="1" si="11"/>
        <v/>
      </c>
      <c r="BR68" s="299" t="str">
        <f t="shared" ca="1" si="12"/>
        <v/>
      </c>
      <c r="BS68" s="153" t="str">
        <f t="shared" ca="1" si="13"/>
        <v/>
      </c>
      <c r="BT68" s="153" t="str">
        <f t="shared" ca="1" si="14"/>
        <v/>
      </c>
      <c r="BU68" s="300" t="str">
        <f t="shared" ca="1" si="15"/>
        <v/>
      </c>
      <c r="BV68" s="301" t="str">
        <f t="shared" ca="1" si="16"/>
        <v/>
      </c>
      <c r="BW68" s="300" t="str">
        <f t="shared" ca="1" si="17"/>
        <v/>
      </c>
      <c r="BX68" s="301" t="str">
        <f t="shared" ca="1" si="18"/>
        <v/>
      </c>
      <c r="BY68" s="146" t="str">
        <f t="shared" ca="1" si="19"/>
        <v/>
      </c>
      <c r="BZ68" s="146" t="str">
        <f t="shared" ca="1" si="20"/>
        <v/>
      </c>
      <c r="CA68" s="146" t="str">
        <f t="shared" ca="1" si="21"/>
        <v/>
      </c>
      <c r="CB68" s="146" t="str">
        <f t="shared" ca="1" si="22"/>
        <v/>
      </c>
      <c r="CC68" s="302">
        <v>1</v>
      </c>
      <c r="CD68" s="154">
        <f ca="1">IF(BD68,_xll.xCrudeAPO(BS68,BT68,BY68,BZ68,S69,S70,BI68,BL68,BN68,BO68,0,Strike1,AO68,CC68,0,BL68,IF(OptControl=4,0,1),0,1),0)</f>
        <v>0</v>
      </c>
      <c r="CE68" s="155">
        <f ca="1">IF(BD68,_xll.xCrudeAPO(BS68,BT68,BY68,BZ68,S69,S70,BI68,BL68,BN68,BO68,0,Strike1,AO68,CC68,0,BL68,IF(OptControl=4,0,1),1,1)+_xll.xCrudeAPO(BS68,BT68,BY68,BZ68,S69,S70,BI68,BL68,BN68,BO68,0,Strike1,AO68,CC68,0,BL68,IF(OptControl=4,0,1),1,2)+IF(OR(VolSkewFlag=2,ABS(BQ68)&lt;0.0001),0,IF(BQ68&gt;0,-1,1)*CF68*Strike1/BP68^2*BW68/10%),0)</f>
        <v>0</v>
      </c>
      <c r="CF68" s="155">
        <f ca="1">IF(BD68,(_xll.xCrudeAPO(BS68,BT68,BY68,BZ68,S69,S70,BI68,BL68,BN68,BO68,0,Strike1,AO68,CC68,0,BL68,IF(OptControl=4,0,1),3,1)+_xll.xCrudeAPO(BS68,BT68,BY68,BZ68,S69,S70,BI68,BL68,BN68,BO68,0,Strike1,AO68,CC68,0,BL68,IF(OptControl=4,0,1),3,2))/100,0)</f>
        <v>0</v>
      </c>
      <c r="CG68" s="155">
        <f ca="1">IF(BD68,_xll.xCrudeAPO(BS68,BT68,BY68,BZ68,S69,S70,BI68-DaysForThetaCalculation/365.25,BL68-DaysForThetaCalculation/365.25,BN68,BO68,0,Strike1,AO68,CC68,0,BL68,IF(OptControl=4,0,1),0,1)-_xll.xCrudeAPO(BS68,BT68,BY68,BZ68,S69,S70,BI68,BL68,BN68,BO68,0,Strike1,AO68,CC68,0,BL68,IF(OptControl=4,0,1),0,1),0)</f>
        <v>0</v>
      </c>
      <c r="CH68" s="303">
        <f ca="1">IF(BD68,_xll.xCrudeAPO(BS68,BT68,CA68,CB68,S69,S70,BI68,BL68,BN68,BO68,0,Strike2,AO68,CC68,0,BL68,IF(OptControl=3,1,0),0,1),0)</f>
        <v>0</v>
      </c>
      <c r="CI68" s="155">
        <f ca="1">IF(BD68,_xll.xCrudeAPO(BS68,BT68,CA68,CB68,S69,S70,BI68,BL68,BN68,BO68,0,Strike2,AO68,CC68,0,BL68,IF(OptControl=3,1,0),1,1)+_xll.xCrudeAPO(BS68,BT68,CA68,CB68,S69,S70,BI68,BL68,BN68,BO68,0,Strike2,AO68,CC68,0,BL68,IF(OptControl=3,1,0),1,2)+IF(OR(VolSkewFlag=2,ABS(BR68)&lt;0.0001),0,IF(BR68&gt;0,-1,1)*CJ68*Strike2/BP68^2*BX68/10%),0)</f>
        <v>0</v>
      </c>
      <c r="CJ68" s="155">
        <f ca="1">IF(BD68,(_xll.xCrudeAPO(BS68,BT68,CA68,CB68,S69,S70,BI68,BL68,BN68,BO68,0,Strike2,AO68,CC68,0,BL68,IF(OptControl=3,1,0),3,1)+_xll.xCrudeAPO(BS68,BT68,CA68,CB68,S69,S70,BI68,BL68,BN68,BO68,0,Strike2,AO68,CC68,0,BL68,IF(OptControl=3,1,0),3,2))/100,0)</f>
        <v>0</v>
      </c>
      <c r="CK68" s="156">
        <f ca="1">IF(BD68,_xll.xCrudeAPO(BS68,BT68,CA68,CB68,S69,S70,BI68-DaysForThetaCalculation/365.25,BL68-DaysForThetaCalculation/365.25,BN68,BO68,0,Strike2,AO68,CC68,0,BL68,IF(OptControl=3,1,0),0,1)-_xll.xCrudeAPO(BS68,BT68,CA68,CB68,S69,S70,BI68,BL68,BN68,BO68,0,Strike2,AO68,CC68,0,BL68,IF(OptControl=3,1,0),0,1),0)</f>
        <v>0</v>
      </c>
      <c r="CL68" s="51"/>
      <c r="CM68" s="779" t="str">
        <f t="shared" ca="1" si="52"/>
        <v/>
      </c>
      <c r="CN68" s="783" t="str">
        <f t="shared" ca="1" si="53"/>
        <v/>
      </c>
      <c r="CO68" s="780" t="str">
        <f t="shared" ca="1" si="54"/>
        <v/>
      </c>
      <c r="CP68" s="780" t="str">
        <f t="shared" ca="1" si="55"/>
        <v/>
      </c>
      <c r="CQ68" s="780" t="str">
        <f t="shared" ca="1" si="56"/>
        <v/>
      </c>
      <c r="CR68" s="780" t="str">
        <f t="shared" ca="1" si="57"/>
        <v/>
      </c>
      <c r="CS68" s="781" t="str">
        <f t="shared" ca="1" si="58"/>
        <v/>
      </c>
      <c r="CT68" s="782" t="str">
        <f t="shared" ca="1" si="59"/>
        <v/>
      </c>
      <c r="CU68" s="782" t="str">
        <f t="shared" ca="1" si="60"/>
        <v/>
      </c>
      <c r="CV68" s="155">
        <f ca="1">IF(BD68,_xll.EURO(CN68,Strike1,AO68,AO68,CT68,CM68,IF(OptControl=4,0,1),0),0)</f>
        <v>0</v>
      </c>
      <c r="CW68" s="155">
        <f ca="1">IF(BD68,_xll.EURO(CN68,Strike1,AO68,AO68,CT68,CM68,IF(OptControl=4,0,1),1)+IF(OR(VolSkewFlag=2,ABS(CO68)&lt;0.0001),0,IF(CO68&gt;0,-1,1)*CX68*100*Strike1/CN68^2*CQ68/10%),0)</f>
        <v>0</v>
      </c>
      <c r="CX68" s="155">
        <f ca="1">IF(BD68,_xll.EURO(CN68,Strike1,AO68,AO68,CT68,CM68,IF(OptControl=4,0,1),3)/100,0)</f>
        <v>0</v>
      </c>
      <c r="CY68" s="155">
        <f ca="1">IF(BD68,_xll.EURO(CN68,Strike1,AO68,AO68,CT68,CM68,IF(OptControl=4,0,1),0)-_xll.EURO(CN68,Strike1,AO68,AO68,CT68,CM68-1,IF(OptControl=4,0,1),0),0)</f>
        <v>0</v>
      </c>
      <c r="CZ68" s="155">
        <f ca="1">IF(BD68,_xll.EURO(CN68,Strike2,AO68,AO68,CU68,CM68,IF(OptControl=3,1,0),0),0)</f>
        <v>0</v>
      </c>
      <c r="DA68" s="155">
        <f ca="1">IF(BD68,_xll.EURO(CN68,Strike2,AO68,AO68,CU68,CM68,IF(OptControl=3,1,0),1)+IF(OR(VolSkewFlag=2,ABS(CP68)&lt;0.0001),0,IF(CP68&gt;0,-1,1)*DB68*100*Strike2/CN68^2*CR68/10%),0)</f>
        <v>0</v>
      </c>
      <c r="DB68" s="155">
        <f ca="1">IF(BD68,_xll.EURO(CN68,Strike2,AO68,AO68,CU68,CM68,IF(OptControl=3,1,0),3)/100,0)</f>
        <v>0</v>
      </c>
      <c r="DC68" s="156">
        <f ca="1">IF(BD68,_xll.EURO(CN68,Strike2,AO68,AO68,CU68,CM68,IF(OptControl=3,1,0),0)-_xll.EURO(CN68,Strike2,AO68,AO68,CU68,CM68-1,IF(OptControl=3,1,0),0),0)</f>
        <v>0</v>
      </c>
      <c r="DE68" s="651">
        <f t="shared" ca="1" si="61"/>
        <v>38384</v>
      </c>
      <c r="DF68" s="465">
        <v>1E-4</v>
      </c>
      <c r="DG68" s="649">
        <v>1E-4</v>
      </c>
      <c r="DH68" s="650">
        <f t="shared" ca="1" si="182"/>
        <v>38384</v>
      </c>
      <c r="DI68" s="465">
        <v>1E-4</v>
      </c>
      <c r="DJ68" s="649">
        <v>1E-4</v>
      </c>
      <c r="DK68" s="651">
        <f t="shared" ca="1" si="183"/>
        <v>38384</v>
      </c>
      <c r="DL68" s="652">
        <f t="shared" si="184"/>
        <v>5.0100000000000006E-2</v>
      </c>
      <c r="DM68" s="651">
        <f t="shared" ca="1" si="62"/>
        <v>38384</v>
      </c>
      <c r="DN68" s="563">
        <f t="shared" si="63"/>
        <v>-0.12990000000000002</v>
      </c>
      <c r="DO68" s="803">
        <v>-0.13</v>
      </c>
      <c r="DP68" s="650">
        <f t="shared" ca="1" si="185"/>
        <v>38384</v>
      </c>
      <c r="DQ68" s="653">
        <v>1E-4</v>
      </c>
      <c r="DR68" s="590">
        <v>1E-4</v>
      </c>
      <c r="DS68" s="650">
        <f t="shared" ca="1" si="186"/>
        <v>38384</v>
      </c>
      <c r="DT68" s="653">
        <v>1E-4</v>
      </c>
      <c r="DU68" s="590">
        <v>1E-4</v>
      </c>
      <c r="DV68" s="651">
        <f t="shared" ca="1" si="187"/>
        <v>38384</v>
      </c>
      <c r="DW68" s="590">
        <v>1E-4</v>
      </c>
      <c r="DX68" s="651">
        <f t="shared" ca="1" si="64"/>
        <v>38384</v>
      </c>
      <c r="DY68" s="590">
        <f t="shared" si="65"/>
        <v>1E-4</v>
      </c>
      <c r="DZ68" s="1"/>
      <c r="EA68" s="863" t="e">
        <f ca="1">_xll.ASN(X68,X68,AO68,AS68,0,AI68,0,BI68,BL68,1,0)</f>
        <v>#NAME?</v>
      </c>
      <c r="EB68" s="653" t="e">
        <f ca="1">_xll.ASN(X68,X68,AO68,AS68,0,AI68,0,BI68,BL68,1,3)/100</f>
        <v>#NAME?</v>
      </c>
      <c r="EC68" s="653" t="e">
        <f ca="1">_xll.xCrudeAPO(L69,L70,O69,O70,S69,S70,BI68,BL68,AJ68,AK68,0,X68,AO68,1,0,+BL68,1,0,1)</f>
        <v>#NAME?</v>
      </c>
      <c r="ED68" s="869" t="e">
        <f t="shared" ca="1" si="165"/>
        <v>#NAME?</v>
      </c>
      <c r="EE68" s="863" t="e">
        <f t="shared" ca="1" si="29"/>
        <v>#NAME?</v>
      </c>
      <c r="EF68" s="590" t="e">
        <f t="shared" ca="1" si="30"/>
        <v>#NAME?</v>
      </c>
      <c r="EG68" s="862" t="str">
        <f t="shared" ca="1" si="188"/>
        <v/>
      </c>
      <c r="EH68" s="114" t="str">
        <f t="shared" ca="1" si="32"/>
        <v/>
      </c>
      <c r="EI68" s="109" t="str">
        <f t="shared" ca="1" si="33"/>
        <v/>
      </c>
      <c r="EJ68" s="115">
        <f ca="1">IF(BD68,_xll.xASN(BP68,Strike1,AO68,EH68,0,BM68,0,BI68,BL68,IF(OptControl=4,0,1),0),0)</f>
        <v>0</v>
      </c>
      <c r="EK68" s="108">
        <f ca="1">IF(BD68,_xll.xASN(BP68,Strike2,AO68,EI68,0,BM68,0,BI68,BL68,IF(OptControl=3,1,0),0),0)</f>
        <v>0</v>
      </c>
      <c r="EP68" s="53"/>
      <c r="EQ68" s="1"/>
      <c r="ER68" s="681">
        <v>41633</v>
      </c>
      <c r="ES68" s="682">
        <v>45292</v>
      </c>
      <c r="ET68" s="1"/>
      <c r="EU68" s="667" t="s">
        <v>254</v>
      </c>
      <c r="EW68" s="488">
        <v>49</v>
      </c>
      <c r="EX68" s="466">
        <f t="shared" ca="1" si="166"/>
        <v>4.0191649555099245</v>
      </c>
      <c r="EY68" s="824">
        <f t="shared" ca="1" si="189"/>
        <v>0.16792248225007519</v>
      </c>
      <c r="EZ68" s="798">
        <f t="shared" ca="1" si="269"/>
        <v>0.20778727556086568</v>
      </c>
      <c r="FA68" s="468" t="str">
        <f t="shared" ca="1" si="270"/>
        <v/>
      </c>
      <c r="FB68" s="467" t="str">
        <f t="shared" ca="1" si="271"/>
        <v/>
      </c>
      <c r="FC68" s="242">
        <v>0</v>
      </c>
      <c r="FD68" s="589" t="str">
        <f ca="1">IF(OR(FA68="",FA69=""),"",SQRT(SUM(INDEX(FO68:IH68,SwaptionFirstMonthPosition+1):INDEX(FO68:IH68,FN68))/SUM(INDEX($FO$15:$IH$15,SwaptionFirstMonthPosition+1):INDEX($FO$15:$IH$15,FN68))))</f>
        <v/>
      </c>
      <c r="FE68" s="565" t="str">
        <f ca="1">IF(OR(FA68="",FA67=""),"",SQRT(SUM(INDEX(FO68:IH68,SwaptionFirstMonthPosition+1):INDEX(FO68:IH68,FN68-1))/SUM(INDEX($FO$15:$IH$15,SwaptionFirstMonthPosition+1):INDEX($FO$15:$IH$15,FN68-1))))</f>
        <v/>
      </c>
      <c r="FF68" s="562" t="str">
        <f t="shared" ca="1" si="190"/>
        <v/>
      </c>
      <c r="FG68" s="593" t="str">
        <f t="shared" ca="1" si="191"/>
        <v/>
      </c>
      <c r="FH68" s="563" t="str">
        <f t="shared" ca="1" si="192"/>
        <v/>
      </c>
      <c r="FI68" s="563" t="str">
        <f t="shared" ca="1" si="193"/>
        <v/>
      </c>
      <c r="FJ68" s="563" t="str">
        <f t="shared" ca="1" si="194"/>
        <v/>
      </c>
      <c r="FK68" s="564" t="str">
        <f t="shared" ca="1" si="195"/>
        <v/>
      </c>
      <c r="FL68" s="590" t="str">
        <f t="shared" ca="1" si="196"/>
        <v/>
      </c>
      <c r="FM68" s="242"/>
      <c r="FN68" s="657">
        <v>49</v>
      </c>
      <c r="FO68" s="450">
        <f t="shared" ca="1" si="197"/>
        <v>6.5927247976041003E-4</v>
      </c>
      <c r="FP68" s="450">
        <f t="shared" ca="1" si="198"/>
        <v>2.4735718280686149E-3</v>
      </c>
      <c r="FQ68" s="450">
        <f t="shared" ca="1" si="199"/>
        <v>2.3879207579709802E-3</v>
      </c>
      <c r="FR68" s="450">
        <f t="shared" ca="1" si="200"/>
        <v>2.631840228143144E-3</v>
      </c>
      <c r="FS68" s="450">
        <f t="shared" ca="1" si="201"/>
        <v>2.4648695260712696E-3</v>
      </c>
      <c r="FT68" s="450">
        <f t="shared" ca="1" si="202"/>
        <v>2.6270513489731317E-3</v>
      </c>
      <c r="FU68" s="450">
        <f t="shared" ca="1" si="203"/>
        <v>2.4613681584737552E-3</v>
      </c>
      <c r="FV68" s="450">
        <f t="shared" ca="1" si="204"/>
        <v>2.2964125615767207E-3</v>
      </c>
      <c r="FW68" s="450">
        <f t="shared" ca="1" si="205"/>
        <v>2.4601382188542426E-3</v>
      </c>
      <c r="FX68" s="450">
        <f t="shared" ca="1" si="206"/>
        <v>2.7065714186851066E-3</v>
      </c>
      <c r="FY68" s="450">
        <f t="shared" ca="1" si="207"/>
        <v>2.3796009908201086E-3</v>
      </c>
      <c r="FZ68" s="450">
        <f t="shared" ca="1" si="208"/>
        <v>2.3815065597963953E-3</v>
      </c>
      <c r="GA68" s="450">
        <f t="shared" ca="1" si="209"/>
        <v>2.7131744379889832E-3</v>
      </c>
      <c r="GB68" s="450">
        <f t="shared" ca="1" si="210"/>
        <v>2.3880924843897831E-3</v>
      </c>
      <c r="GC68" s="450">
        <f t="shared" ca="1" si="211"/>
        <v>2.6405281456765416E-3</v>
      </c>
      <c r="GD68" s="450">
        <f t="shared" ca="1" si="212"/>
        <v>2.4818134614400292E-3</v>
      </c>
      <c r="GE68" s="450">
        <f t="shared" ca="1" si="213"/>
        <v>2.4065548070807984E-3</v>
      </c>
      <c r="GF68" s="450">
        <f t="shared" ca="1" si="214"/>
        <v>2.7487198337270702E-3</v>
      </c>
      <c r="GG68" s="450">
        <f t="shared" ca="1" si="215"/>
        <v>2.5098888489149783E-3</v>
      </c>
      <c r="GH68" s="450">
        <f t="shared" ca="1" si="216"/>
        <v>2.4388110137949673E-3</v>
      </c>
      <c r="GI68" s="450">
        <f t="shared" ca="1" si="217"/>
        <v>2.6227380858800686E-3</v>
      </c>
      <c r="GJ68" s="450">
        <f t="shared" ca="1" si="218"/>
        <v>2.6410351453463139E-3</v>
      </c>
      <c r="GK68" s="450">
        <f t="shared" ca="1" si="219"/>
        <v>2.6622213807978743E-3</v>
      </c>
      <c r="GL68" s="450">
        <f t="shared" ca="1" si="220"/>
        <v>2.4266706032924894E-3</v>
      </c>
      <c r="GM68" s="450">
        <f t="shared" ca="1" si="221"/>
        <v>2.7148160573822739E-3</v>
      </c>
      <c r="GN68" s="450">
        <f t="shared" ca="1" si="222"/>
        <v>2.6585390166643874E-3</v>
      </c>
      <c r="GO68" s="450">
        <f t="shared" ca="1" si="223"/>
        <v>2.7842760657863287E-3</v>
      </c>
      <c r="GP68" s="450">
        <f t="shared" ca="1" si="224"/>
        <v>2.735664825703052E-3</v>
      </c>
      <c r="GQ68" s="450">
        <f t="shared" ca="1" si="225"/>
        <v>2.8756884877353195E-3</v>
      </c>
      <c r="GR68" s="450">
        <f t="shared" ca="1" si="226"/>
        <v>2.9317231123502673E-3</v>
      </c>
      <c r="GS68" s="450">
        <f t="shared" ca="1" si="227"/>
        <v>2.8994282958915646E-3</v>
      </c>
      <c r="GT68" s="450">
        <f t="shared" ca="1" si="228"/>
        <v>3.0700817759715324E-3</v>
      </c>
      <c r="GU68" s="450">
        <f t="shared" ca="1" si="229"/>
        <v>3.0535589717176508E-3</v>
      </c>
      <c r="GV68" s="450">
        <f t="shared" ca="1" si="230"/>
        <v>3.2538028750015145E-3</v>
      </c>
      <c r="GW68" s="450">
        <f t="shared" ca="1" si="231"/>
        <v>3.367820702280656E-3</v>
      </c>
      <c r="GX68" s="450">
        <f t="shared" ca="1" si="232"/>
        <v>3.2744740543239181E-3</v>
      </c>
      <c r="GY68" s="450">
        <f t="shared" ca="1" si="233"/>
        <v>3.6548346908277397E-3</v>
      </c>
      <c r="GZ68" s="450">
        <f t="shared" ca="1" si="234"/>
        <v>3.7121784641684532E-3</v>
      </c>
      <c r="HA68" s="450">
        <f t="shared" ca="1" si="235"/>
        <v>4.0492194206550392E-3</v>
      </c>
      <c r="HB68" s="450">
        <f t="shared" ca="1" si="236"/>
        <v>4.1631994086537621E-3</v>
      </c>
      <c r="HC68" s="450">
        <f t="shared" ca="1" si="237"/>
        <v>4.6035094190428763E-3</v>
      </c>
      <c r="HD68" s="450">
        <f t="shared" ca="1" si="238"/>
        <v>4.9660178537756791E-3</v>
      </c>
      <c r="HE68" s="450">
        <f t="shared" ca="1" si="239"/>
        <v>5.2312553173006577E-3</v>
      </c>
      <c r="HF68" s="450">
        <f t="shared" ca="1" si="240"/>
        <v>5.9440105667209432E-3</v>
      </c>
      <c r="HG68" s="450">
        <f t="shared" ca="1" si="241"/>
        <v>6.3974597199467015E-3</v>
      </c>
      <c r="HH68" s="450">
        <f t="shared" ca="1" si="242"/>
        <v>7.4467290154819846E-3</v>
      </c>
      <c r="HI68" s="450">
        <f t="shared" ca="1" si="243"/>
        <v>8.5100490851591302E-3</v>
      </c>
      <c r="HJ68" s="450">
        <f t="shared" ca="1" si="244"/>
        <v>8.927796008757212E-3</v>
      </c>
      <c r="HK68" s="450">
        <f t="shared" ca="1" si="245"/>
        <v>1.169315953419869E-2</v>
      </c>
      <c r="HL68" s="450" t="str">
        <f t="shared" si="246"/>
        <v/>
      </c>
      <c r="HM68" s="450" t="str">
        <f t="shared" si="247"/>
        <v/>
      </c>
      <c r="HN68" s="450" t="str">
        <f t="shared" si="248"/>
        <v/>
      </c>
      <c r="HO68" s="450" t="str">
        <f t="shared" si="249"/>
        <v/>
      </c>
      <c r="HP68" s="450" t="str">
        <f t="shared" si="250"/>
        <v/>
      </c>
      <c r="HQ68" s="450" t="str">
        <f t="shared" si="251"/>
        <v/>
      </c>
      <c r="HR68" s="450" t="str">
        <f t="shared" si="252"/>
        <v/>
      </c>
      <c r="HS68" s="450" t="str">
        <f t="shared" si="253"/>
        <v/>
      </c>
      <c r="HT68" s="450" t="str">
        <f t="shared" si="254"/>
        <v/>
      </c>
      <c r="HU68" s="450" t="str">
        <f t="shared" si="255"/>
        <v/>
      </c>
      <c r="HV68" s="450" t="str">
        <f t="shared" si="256"/>
        <v/>
      </c>
      <c r="HW68" s="450" t="str">
        <f t="shared" si="257"/>
        <v/>
      </c>
      <c r="HX68" s="450" t="str">
        <f t="shared" si="258"/>
        <v/>
      </c>
      <c r="HY68" s="450" t="str">
        <f t="shared" si="259"/>
        <v/>
      </c>
      <c r="HZ68" s="450" t="str">
        <f t="shared" si="260"/>
        <v/>
      </c>
      <c r="IA68" s="450" t="str">
        <f t="shared" si="261"/>
        <v/>
      </c>
      <c r="IB68" s="450" t="str">
        <f t="shared" si="262"/>
        <v/>
      </c>
      <c r="IC68" s="450" t="str">
        <f t="shared" si="263"/>
        <v/>
      </c>
      <c r="ID68" s="450" t="str">
        <f t="shared" si="264"/>
        <v/>
      </c>
      <c r="IE68" s="450" t="str">
        <f t="shared" si="265"/>
        <v/>
      </c>
      <c r="IF68" s="450" t="str">
        <f t="shared" si="266"/>
        <v/>
      </c>
      <c r="IG68" s="450" t="str">
        <f t="shared" si="267"/>
        <v/>
      </c>
      <c r="IH68" s="658" t="str">
        <f t="shared" si="268"/>
        <v/>
      </c>
      <c r="II68" s="242"/>
    </row>
    <row r="69" spans="1:243">
      <c r="A69" s="51"/>
      <c r="F69" s="51"/>
      <c r="G69" s="51"/>
      <c r="H69" s="49" t="e">
        <f t="shared" ca="1" si="34"/>
        <v>#N/A</v>
      </c>
      <c r="I69" s="369">
        <f t="shared" si="35"/>
        <v>38504</v>
      </c>
      <c r="J69" s="367">
        <v>22.114999999999998</v>
      </c>
      <c r="K69" s="101" t="s">
        <v>268</v>
      </c>
      <c r="L69" s="382">
        <f t="shared" si="36"/>
        <v>22.114999999999998</v>
      </c>
      <c r="M69" s="163">
        <v>0.20409970824802001</v>
      </c>
      <c r="N69" s="372">
        <v>0</v>
      </c>
      <c r="O69" s="163">
        <f t="shared" si="37"/>
        <v>0.20409970824802001</v>
      </c>
      <c r="P69" s="367">
        <v>20.6537748493725</v>
      </c>
      <c r="Q69" s="101" t="s">
        <v>267</v>
      </c>
      <c r="R69" s="367">
        <f t="shared" ca="1" si="147"/>
        <v>20.653774849372493</v>
      </c>
      <c r="S69" s="814">
        <f t="shared" si="163"/>
        <v>0.37086450704711449</v>
      </c>
      <c r="T69" s="813">
        <f t="shared" si="148"/>
        <v>0.99955288327024083</v>
      </c>
      <c r="U69" s="532">
        <f t="shared" si="149"/>
        <v>0.99999998867356688</v>
      </c>
      <c r="V69" s="379">
        <v>0</v>
      </c>
      <c r="W69" s="424">
        <f t="shared" si="168"/>
        <v>22.079772727272736</v>
      </c>
      <c r="X69" s="405">
        <f t="shared" si="169"/>
        <v>22.079772727272726</v>
      </c>
      <c r="Y69" s="313">
        <f t="shared" si="170"/>
        <v>20.735772727272735</v>
      </c>
      <c r="Z69" s="313">
        <f t="shared" ca="1" si="171"/>
        <v>20.735772727272725</v>
      </c>
      <c r="AA69" s="419">
        <f t="shared" si="1"/>
        <v>1.3440000000000001</v>
      </c>
      <c r="AB69" s="423">
        <f t="shared" ca="1" si="2"/>
        <v>1.3440000000000001</v>
      </c>
      <c r="AC69" s="221">
        <v>38492</v>
      </c>
      <c r="AD69" s="221">
        <v>38488</v>
      </c>
      <c r="AE69" s="221">
        <v>38487</v>
      </c>
      <c r="AF69" s="221">
        <v>38483</v>
      </c>
      <c r="AG69" s="241" t="s">
        <v>90</v>
      </c>
      <c r="AH69" s="239" t="s">
        <v>497</v>
      </c>
      <c r="AI69" s="141">
        <v>22</v>
      </c>
      <c r="AJ69" s="41">
        <v>14</v>
      </c>
      <c r="AK69" s="41">
        <v>8</v>
      </c>
      <c r="AL69" s="285">
        <v>22</v>
      </c>
      <c r="AM69" s="41">
        <v>10</v>
      </c>
      <c r="AN69" s="142">
        <v>12</v>
      </c>
      <c r="AO69" s="364">
        <v>5.2178671361749404E-2</v>
      </c>
      <c r="AP69" s="145">
        <f t="shared" ca="1" si="41"/>
        <v>0.80444504538207573</v>
      </c>
      <c r="AQ69" s="364">
        <v>4.5474335804970498E-2</v>
      </c>
      <c r="AR69" s="145">
        <f t="shared" ca="1" si="151"/>
        <v>0.8315904299645217</v>
      </c>
      <c r="AS69" s="264">
        <f t="shared" si="172"/>
        <v>0.2026920912427318</v>
      </c>
      <c r="AT69" s="149">
        <f t="shared" si="42"/>
        <v>0.20409970824802001</v>
      </c>
      <c r="AU69" s="149">
        <f t="shared" si="4"/>
        <v>0.20234155043942276</v>
      </c>
      <c r="AV69" s="263">
        <f t="shared" ca="1" si="164"/>
        <v>0.19924159424003726</v>
      </c>
      <c r="AW69" s="150" t="str">
        <f t="shared" ca="1" si="173"/>
        <v/>
      </c>
      <c r="AX69" s="149">
        <f t="shared" ca="1" si="152"/>
        <v>3.2679194499891345E-2</v>
      </c>
      <c r="AY69" s="149">
        <f t="shared" ca="1" si="153"/>
        <v>1.6677494909399623E-2</v>
      </c>
      <c r="AZ69" s="149">
        <f t="shared" ca="1" si="154"/>
        <v>8.7374044086349321E-3</v>
      </c>
      <c r="BA69" s="149">
        <f t="shared" ca="1" si="155"/>
        <v>1.0000000000000133E-4</v>
      </c>
      <c r="BB69" s="149">
        <f t="shared" ca="1" si="156"/>
        <v>1.0000000000000133E-4</v>
      </c>
      <c r="BC69" s="149">
        <f t="shared" ca="1" si="157"/>
        <v>1.0000000000000133E-4</v>
      </c>
      <c r="BD69" s="143">
        <f t="shared" ca="1" si="174"/>
        <v>0</v>
      </c>
      <c r="BE69" s="144">
        <f t="shared" ca="1" si="175"/>
        <v>0</v>
      </c>
      <c r="BF69" s="40">
        <f t="shared" si="176"/>
        <v>2005</v>
      </c>
      <c r="BG69" s="139">
        <f t="shared" si="177"/>
        <v>6</v>
      </c>
      <c r="BH69" s="140">
        <f t="shared" ca="1" si="178"/>
        <v>1498</v>
      </c>
      <c r="BI69" s="304">
        <f t="shared" ca="1" si="179"/>
        <v>4.1451060917180014</v>
      </c>
      <c r="BJ69" s="42">
        <f t="shared" ca="1" si="47"/>
        <v>4.195631883516894</v>
      </c>
      <c r="BK69" s="42">
        <f t="shared" ca="1" si="180"/>
        <v>4.198369734304026</v>
      </c>
      <c r="BL69" s="42">
        <f t="shared" ca="1" si="181"/>
        <v>4.2245037645448322</v>
      </c>
      <c r="BM69" s="285">
        <f t="shared" si="49"/>
        <v>22</v>
      </c>
      <c r="BN69" s="41">
        <f t="shared" si="50"/>
        <v>14</v>
      </c>
      <c r="BO69" s="41">
        <f t="shared" si="51"/>
        <v>8</v>
      </c>
      <c r="BP69" s="297" t="str">
        <f t="shared" ca="1" si="10"/>
        <v/>
      </c>
      <c r="BQ69" s="297" t="str">
        <f t="shared" ca="1" si="11"/>
        <v/>
      </c>
      <c r="BR69" s="299" t="str">
        <f t="shared" ca="1" si="12"/>
        <v/>
      </c>
      <c r="BS69" s="153" t="str">
        <f t="shared" ca="1" si="13"/>
        <v/>
      </c>
      <c r="BT69" s="153" t="str">
        <f t="shared" ca="1" si="14"/>
        <v/>
      </c>
      <c r="BU69" s="300" t="str">
        <f t="shared" ca="1" si="15"/>
        <v/>
      </c>
      <c r="BV69" s="301" t="str">
        <f t="shared" ca="1" si="16"/>
        <v/>
      </c>
      <c r="BW69" s="300" t="str">
        <f t="shared" ca="1" si="17"/>
        <v/>
      </c>
      <c r="BX69" s="301" t="str">
        <f t="shared" ca="1" si="18"/>
        <v/>
      </c>
      <c r="BY69" s="146" t="str">
        <f t="shared" ca="1" si="19"/>
        <v/>
      </c>
      <c r="BZ69" s="146" t="str">
        <f t="shared" ca="1" si="20"/>
        <v/>
      </c>
      <c r="CA69" s="146" t="str">
        <f t="shared" ca="1" si="21"/>
        <v/>
      </c>
      <c r="CB69" s="146" t="str">
        <f t="shared" ca="1" si="22"/>
        <v/>
      </c>
      <c r="CC69" s="302">
        <v>1</v>
      </c>
      <c r="CD69" s="154">
        <f ca="1">IF(BD69,_xll.xCrudeAPO(BS69,BT69,BY69,BZ69,S70,S71,BI69,BL69,BN69,BO69,0,Strike1,AO69,CC69,0,BL69,IF(OptControl=4,0,1),0,1),0)</f>
        <v>0</v>
      </c>
      <c r="CE69" s="155">
        <f ca="1">IF(BD69,_xll.xCrudeAPO(BS69,BT69,BY69,BZ69,S70,S71,BI69,BL69,BN69,BO69,0,Strike1,AO69,CC69,0,BL69,IF(OptControl=4,0,1),1,1)+_xll.xCrudeAPO(BS69,BT69,BY69,BZ69,S70,S71,BI69,BL69,BN69,BO69,0,Strike1,AO69,CC69,0,BL69,IF(OptControl=4,0,1),1,2)+IF(OR(VolSkewFlag=2,ABS(BQ69)&lt;0.0001),0,IF(BQ69&gt;0,-1,1)*CF69*Strike1/BP69^2*BW69/10%),0)</f>
        <v>0</v>
      </c>
      <c r="CF69" s="155">
        <f ca="1">IF(BD69,(_xll.xCrudeAPO(BS69,BT69,BY69,BZ69,S70,S71,BI69,BL69,BN69,BO69,0,Strike1,AO69,CC69,0,BL69,IF(OptControl=4,0,1),3,1)+_xll.xCrudeAPO(BS69,BT69,BY69,BZ69,S70,S71,BI69,BL69,BN69,BO69,0,Strike1,AO69,CC69,0,BL69,IF(OptControl=4,0,1),3,2))/100,0)</f>
        <v>0</v>
      </c>
      <c r="CG69" s="155">
        <f ca="1">IF(BD69,_xll.xCrudeAPO(BS69,BT69,BY69,BZ69,S70,S71,BI69-DaysForThetaCalculation/365.25,BL69-DaysForThetaCalculation/365.25,BN69,BO69,0,Strike1,AO69,CC69,0,BL69,IF(OptControl=4,0,1),0,1)-_xll.xCrudeAPO(BS69,BT69,BY69,BZ69,S70,S71,BI69,BL69,BN69,BO69,0,Strike1,AO69,CC69,0,BL69,IF(OptControl=4,0,1),0,1),0)</f>
        <v>0</v>
      </c>
      <c r="CH69" s="303">
        <f ca="1">IF(BD69,_xll.xCrudeAPO(BS69,BT69,CA69,CB69,S70,S71,BI69,BL69,BN69,BO69,0,Strike2,AO69,CC69,0,BL69,IF(OptControl=3,1,0),0,1),0)</f>
        <v>0</v>
      </c>
      <c r="CI69" s="155">
        <f ca="1">IF(BD69,_xll.xCrudeAPO(BS69,BT69,CA69,CB69,S70,S71,BI69,BL69,BN69,BO69,0,Strike2,AO69,CC69,0,BL69,IF(OptControl=3,1,0),1,1)+_xll.xCrudeAPO(BS69,BT69,CA69,CB69,S70,S71,BI69,BL69,BN69,BO69,0,Strike2,AO69,CC69,0,BL69,IF(OptControl=3,1,0),1,2)+IF(OR(VolSkewFlag=2,ABS(BR69)&lt;0.0001),0,IF(BR69&gt;0,-1,1)*CJ69*Strike2/BP69^2*BX69/10%),0)</f>
        <v>0</v>
      </c>
      <c r="CJ69" s="155">
        <f ca="1">IF(BD69,(_xll.xCrudeAPO(BS69,BT69,CA69,CB69,S70,S71,BI69,BL69,BN69,BO69,0,Strike2,AO69,CC69,0,BL69,IF(OptControl=3,1,0),3,1)+_xll.xCrudeAPO(BS69,BT69,CA69,CB69,S70,S71,BI69,BL69,BN69,BO69,0,Strike2,AO69,CC69,0,BL69,IF(OptControl=3,1,0),3,2))/100,0)</f>
        <v>0</v>
      </c>
      <c r="CK69" s="156">
        <f ca="1">IF(BD69,_xll.xCrudeAPO(BS69,BT69,CA69,CB69,S70,S71,BI69-DaysForThetaCalculation/365.25,BL69-DaysForThetaCalculation/365.25,BN69,BO69,0,Strike2,AO69,CC69,0,BL69,IF(OptControl=3,1,0),0,1)-_xll.xCrudeAPO(BS69,BT69,CA69,CB69,S70,S71,BI69,BL69,BN69,BO69,0,Strike2,AO69,CC69,0,BL69,IF(OptControl=3,1,0),0,1),0)</f>
        <v>0</v>
      </c>
      <c r="CL69" s="51"/>
      <c r="CM69" s="779" t="str">
        <f t="shared" ca="1" si="52"/>
        <v/>
      </c>
      <c r="CN69" s="783" t="str">
        <f t="shared" ca="1" si="53"/>
        <v/>
      </c>
      <c r="CO69" s="780" t="str">
        <f t="shared" ca="1" si="54"/>
        <v/>
      </c>
      <c r="CP69" s="780" t="str">
        <f t="shared" ca="1" si="55"/>
        <v/>
      </c>
      <c r="CQ69" s="780" t="str">
        <f t="shared" ca="1" si="56"/>
        <v/>
      </c>
      <c r="CR69" s="780" t="str">
        <f t="shared" ca="1" si="57"/>
        <v/>
      </c>
      <c r="CS69" s="781" t="str">
        <f t="shared" ca="1" si="58"/>
        <v/>
      </c>
      <c r="CT69" s="782" t="str">
        <f t="shared" ca="1" si="59"/>
        <v/>
      </c>
      <c r="CU69" s="782" t="str">
        <f t="shared" ca="1" si="60"/>
        <v/>
      </c>
      <c r="CV69" s="155">
        <f ca="1">IF(BD69,_xll.EURO(CN69,Strike1,AO69,AO69,CT69,CM69,IF(OptControl=4,0,1),0),0)</f>
        <v>0</v>
      </c>
      <c r="CW69" s="155">
        <f ca="1">IF(BD69,_xll.EURO(CN69,Strike1,AO69,AO69,CT69,CM69,IF(OptControl=4,0,1),1)+IF(OR(VolSkewFlag=2,ABS(CO69)&lt;0.0001),0,IF(CO69&gt;0,-1,1)*CX69*100*Strike1/CN69^2*CQ69/10%),0)</f>
        <v>0</v>
      </c>
      <c r="CX69" s="155">
        <f ca="1">IF(BD69,_xll.EURO(CN69,Strike1,AO69,AO69,CT69,CM69,IF(OptControl=4,0,1),3)/100,0)</f>
        <v>0</v>
      </c>
      <c r="CY69" s="155">
        <f ca="1">IF(BD69,_xll.EURO(CN69,Strike1,AO69,AO69,CT69,CM69,IF(OptControl=4,0,1),0)-_xll.EURO(CN69,Strike1,AO69,AO69,CT69,CM69-1,IF(OptControl=4,0,1),0),0)</f>
        <v>0</v>
      </c>
      <c r="CZ69" s="155">
        <f ca="1">IF(BD69,_xll.EURO(CN69,Strike2,AO69,AO69,CU69,CM69,IF(OptControl=3,1,0),0),0)</f>
        <v>0</v>
      </c>
      <c r="DA69" s="155">
        <f ca="1">IF(BD69,_xll.EURO(CN69,Strike2,AO69,AO69,CU69,CM69,IF(OptControl=3,1,0),1)+IF(OR(VolSkewFlag=2,ABS(CP69)&lt;0.0001),0,IF(CP69&gt;0,-1,1)*DB69*100*Strike2/CN69^2*CR69/10%),0)</f>
        <v>0</v>
      </c>
      <c r="DB69" s="155">
        <f ca="1">IF(BD69,_xll.EURO(CN69,Strike2,AO69,AO69,CU69,CM69,IF(OptControl=3,1,0),3)/100,0)</f>
        <v>0</v>
      </c>
      <c r="DC69" s="156">
        <f ca="1">IF(BD69,_xll.EURO(CN69,Strike2,AO69,AO69,CU69,CM69,IF(OptControl=3,1,0),0)-_xll.EURO(CN69,Strike2,AO69,AO69,CU69,CM69-1,IF(OptControl=3,1,0),0),0)</f>
        <v>0</v>
      </c>
      <c r="DE69" s="651">
        <f t="shared" ca="1" si="61"/>
        <v>38412</v>
      </c>
      <c r="DF69" s="465">
        <v>1E-4</v>
      </c>
      <c r="DG69" s="649">
        <v>1E-4</v>
      </c>
      <c r="DH69" s="650">
        <f t="shared" ca="1" si="182"/>
        <v>38412</v>
      </c>
      <c r="DI69" s="465">
        <v>1E-4</v>
      </c>
      <c r="DJ69" s="649">
        <v>1E-4</v>
      </c>
      <c r="DK69" s="651">
        <f t="shared" ca="1" si="183"/>
        <v>38412</v>
      </c>
      <c r="DL69" s="652">
        <f t="shared" si="184"/>
        <v>5.0100000000000006E-2</v>
      </c>
      <c r="DM69" s="651">
        <f t="shared" ca="1" si="62"/>
        <v>38412</v>
      </c>
      <c r="DN69" s="563">
        <f t="shared" si="63"/>
        <v>-0.12990000000000002</v>
      </c>
      <c r="DO69" s="803">
        <v>-0.13</v>
      </c>
      <c r="DP69" s="650">
        <f t="shared" ca="1" si="185"/>
        <v>38412</v>
      </c>
      <c r="DQ69" s="653">
        <v>1E-4</v>
      </c>
      <c r="DR69" s="590">
        <v>1E-4</v>
      </c>
      <c r="DS69" s="650">
        <f t="shared" ca="1" si="186"/>
        <v>38412</v>
      </c>
      <c r="DT69" s="653">
        <v>1E-4</v>
      </c>
      <c r="DU69" s="590">
        <v>1E-4</v>
      </c>
      <c r="DV69" s="651">
        <f t="shared" ca="1" si="187"/>
        <v>38412</v>
      </c>
      <c r="DW69" s="590">
        <v>1E-4</v>
      </c>
      <c r="DX69" s="651">
        <f t="shared" ca="1" si="64"/>
        <v>38412</v>
      </c>
      <c r="DY69" s="590">
        <f t="shared" si="65"/>
        <v>1E-4</v>
      </c>
      <c r="DZ69" s="1"/>
      <c r="EA69" s="863" t="e">
        <f ca="1">_xll.ASN(X69,X69,AO69,AS69,0,AI69,0,BI69,BL69,1,0)</f>
        <v>#NAME?</v>
      </c>
      <c r="EB69" s="653" t="e">
        <f ca="1">_xll.ASN(X69,X69,AO69,AS69,0,AI69,0,BI69,BL69,1,3)/100</f>
        <v>#NAME?</v>
      </c>
      <c r="EC69" s="653" t="e">
        <f ca="1">_xll.xCrudeAPO(L70,L71,O70,O71,S70,S71,BI69,BL69,AJ69,AK69,0,X69,AO69,1,0,+BL69,1,0,1)</f>
        <v>#NAME?</v>
      </c>
      <c r="ED69" s="869" t="e">
        <f t="shared" ca="1" si="165"/>
        <v>#NAME?</v>
      </c>
      <c r="EE69" s="863" t="e">
        <f t="shared" ca="1" si="29"/>
        <v>#NAME?</v>
      </c>
      <c r="EF69" s="590" t="e">
        <f t="shared" ca="1" si="30"/>
        <v>#NAME?</v>
      </c>
      <c r="EG69" s="862" t="str">
        <f t="shared" ca="1" si="188"/>
        <v/>
      </c>
      <c r="EH69" s="114" t="str">
        <f t="shared" ca="1" si="32"/>
        <v/>
      </c>
      <c r="EI69" s="109" t="str">
        <f t="shared" ca="1" si="33"/>
        <v/>
      </c>
      <c r="EJ69" s="115">
        <f ca="1">IF(BD69,_xll.xASN(BP69,Strike1,AO69,EH69,0,BM69,0,BI69,BL69,IF(OptControl=4,0,1),0),0)</f>
        <v>0</v>
      </c>
      <c r="EK69" s="108">
        <f ca="1">IF(BD69,_xll.xASN(BP69,Strike2,AO69,EI69,0,BM69,0,BI69,BL69,IF(OptControl=3,1,0),0),0)</f>
        <v>0</v>
      </c>
      <c r="EP69" s="53"/>
      <c r="EQ69" s="1"/>
      <c r="ER69" s="681">
        <v>41640</v>
      </c>
      <c r="ES69" s="682">
        <v>45651</v>
      </c>
      <c r="ET69" s="1"/>
      <c r="EU69" s="667" t="s">
        <v>255</v>
      </c>
      <c r="EW69" s="488">
        <v>50</v>
      </c>
      <c r="EX69" s="466">
        <f t="shared" ca="1" si="166"/>
        <v>4.1013004791238874</v>
      </c>
      <c r="EY69" s="824">
        <f t="shared" ca="1" si="189"/>
        <v>0.17084660637529495</v>
      </c>
      <c r="EZ69" s="798">
        <f t="shared" ca="1" si="269"/>
        <v>0.20689747690510185</v>
      </c>
      <c r="FA69" s="468" t="str">
        <f t="shared" ca="1" si="270"/>
        <v/>
      </c>
      <c r="FB69" s="467" t="str">
        <f t="shared" ca="1" si="271"/>
        <v/>
      </c>
      <c r="FC69" s="242">
        <v>0</v>
      </c>
      <c r="FD69" s="589" t="str">
        <f ca="1">IF(OR(FA69="",FA70=""),"",SQRT(SUM(INDEX(FO69:IH69,SwaptionFirstMonthPosition+1):INDEX(FO69:IH69,FN69))/SUM(INDEX($FO$15:$IH$15,SwaptionFirstMonthPosition+1):INDEX($FO$15:$IH$15,FN69))))</f>
        <v/>
      </c>
      <c r="FE69" s="565" t="str">
        <f ca="1">IF(OR(FA69="",FA68=""),"",SQRT(SUM(INDEX(FO69:IH69,SwaptionFirstMonthPosition+1):INDEX(FO69:IH69,FN69-1))/SUM(INDEX($FO$15:$IH$15,SwaptionFirstMonthPosition+1):INDEX($FO$15:$IH$15,FN69-1))))</f>
        <v/>
      </c>
      <c r="FF69" s="562" t="str">
        <f t="shared" ca="1" si="190"/>
        <v/>
      </c>
      <c r="FG69" s="593" t="str">
        <f t="shared" ca="1" si="191"/>
        <v/>
      </c>
      <c r="FH69" s="563" t="str">
        <f t="shared" ca="1" si="192"/>
        <v/>
      </c>
      <c r="FI69" s="563" t="str">
        <f t="shared" ca="1" si="193"/>
        <v/>
      </c>
      <c r="FJ69" s="563" t="str">
        <f t="shared" ca="1" si="194"/>
        <v/>
      </c>
      <c r="FK69" s="564" t="str">
        <f t="shared" ca="1" si="195"/>
        <v/>
      </c>
      <c r="FL69" s="590" t="str">
        <f t="shared" ca="1" si="196"/>
        <v/>
      </c>
      <c r="FM69" s="242"/>
      <c r="FN69" s="657">
        <v>50</v>
      </c>
      <c r="FO69" s="450">
        <f t="shared" ca="1" si="197"/>
        <v>6.5861758614660067E-4</v>
      </c>
      <c r="FP69" s="450">
        <f t="shared" ca="1" si="198"/>
        <v>2.4708416697952784E-3</v>
      </c>
      <c r="FQ69" s="450">
        <f t="shared" ca="1" si="199"/>
        <v>2.3849922885049637E-3</v>
      </c>
      <c r="FR69" s="450">
        <f t="shared" ca="1" si="200"/>
        <v>2.6282540009379151E-3</v>
      </c>
      <c r="FS69" s="450">
        <f t="shared" ca="1" si="201"/>
        <v>2.4611376285794133E-3</v>
      </c>
      <c r="FT69" s="450">
        <f t="shared" ca="1" si="202"/>
        <v>2.6226319641215363E-3</v>
      </c>
      <c r="FU69" s="450">
        <f t="shared" ca="1" si="203"/>
        <v>2.4567674223002632E-3</v>
      </c>
      <c r="FV69" s="450">
        <f t="shared" ca="1" si="204"/>
        <v>2.2916432229807878E-3</v>
      </c>
      <c r="FW69" s="450">
        <f t="shared" ca="1" si="205"/>
        <v>2.4544611358950654E-3</v>
      </c>
      <c r="FX69" s="450">
        <f t="shared" ca="1" si="206"/>
        <v>2.6996316864370687E-3</v>
      </c>
      <c r="FY69" s="450">
        <f t="shared" ca="1" si="207"/>
        <v>2.3728216907886479E-3</v>
      </c>
      <c r="FZ69" s="450">
        <f t="shared" ca="1" si="208"/>
        <v>2.3739679721844226E-3</v>
      </c>
      <c r="GA69" s="450">
        <f t="shared" ca="1" si="209"/>
        <v>2.703631690948735E-3</v>
      </c>
      <c r="GB69" s="450">
        <f t="shared" ca="1" si="210"/>
        <v>2.3787598483912494E-3</v>
      </c>
      <c r="GC69" s="450">
        <f t="shared" ca="1" si="211"/>
        <v>2.6290624218411351E-3</v>
      </c>
      <c r="GD69" s="450">
        <f t="shared" ca="1" si="212"/>
        <v>2.4698395152402226E-3</v>
      </c>
      <c r="GE69" s="450">
        <f t="shared" ca="1" si="213"/>
        <v>2.3936538653413155E-3</v>
      </c>
      <c r="GF69" s="450">
        <f t="shared" ca="1" si="214"/>
        <v>2.7323473855706448E-3</v>
      </c>
      <c r="GG69" s="450">
        <f t="shared" ca="1" si="215"/>
        <v>2.4932778738093898E-3</v>
      </c>
      <c r="GH69" s="450">
        <f t="shared" ca="1" si="216"/>
        <v>2.4208770505019556E-3</v>
      </c>
      <c r="GI69" s="450">
        <f t="shared" ca="1" si="217"/>
        <v>2.6013086596859561E-3</v>
      </c>
      <c r="GJ69" s="450">
        <f t="shared" ca="1" si="218"/>
        <v>2.6170585623207991E-3</v>
      </c>
      <c r="GK69" s="450">
        <f t="shared" ca="1" si="219"/>
        <v>2.6353670232128375E-3</v>
      </c>
      <c r="GL69" s="450">
        <f t="shared" ca="1" si="220"/>
        <v>2.3994724811228067E-3</v>
      </c>
      <c r="GM69" s="450">
        <f t="shared" ca="1" si="221"/>
        <v>2.6810075505074565E-3</v>
      </c>
      <c r="GN69" s="450">
        <f t="shared" ca="1" si="222"/>
        <v>2.6217527164665612E-3</v>
      </c>
      <c r="GO69" s="450">
        <f t="shared" ca="1" si="223"/>
        <v>2.7414692565879001E-3</v>
      </c>
      <c r="GP69" s="450">
        <f t="shared" ca="1" si="224"/>
        <v>2.688932118545752E-3</v>
      </c>
      <c r="GQ69" s="450">
        <f t="shared" ca="1" si="225"/>
        <v>2.8211054901276949E-3</v>
      </c>
      <c r="GR69" s="450">
        <f t="shared" ca="1" si="226"/>
        <v>2.8698935766446362E-3</v>
      </c>
      <c r="GS69" s="450">
        <f t="shared" ca="1" si="227"/>
        <v>2.8314855807954702E-3</v>
      </c>
      <c r="GT69" s="450">
        <f t="shared" ca="1" si="228"/>
        <v>2.9901465955997054E-3</v>
      </c>
      <c r="GU69" s="450">
        <f t="shared" ca="1" si="229"/>
        <v>2.9652201061427831E-3</v>
      </c>
      <c r="GV69" s="450">
        <f t="shared" ca="1" si="230"/>
        <v>3.1492118942824596E-3</v>
      </c>
      <c r="GW69" s="450">
        <f t="shared" ca="1" si="231"/>
        <v>3.2475362625823483E-3</v>
      </c>
      <c r="GX69" s="450">
        <f t="shared" ca="1" si="232"/>
        <v>3.1445290668975215E-3</v>
      </c>
      <c r="GY69" s="450">
        <f t="shared" ca="1" si="233"/>
        <v>3.4936799051647712E-3</v>
      </c>
      <c r="GZ69" s="450">
        <f t="shared" ca="1" si="234"/>
        <v>3.5303081546736842E-3</v>
      </c>
      <c r="HA69" s="450">
        <f t="shared" ca="1" si="235"/>
        <v>3.8287939581895867E-3</v>
      </c>
      <c r="HB69" s="450">
        <f t="shared" ca="1" si="236"/>
        <v>3.9113881445130604E-3</v>
      </c>
      <c r="HC69" s="450">
        <f t="shared" ca="1" si="237"/>
        <v>4.2941278293070718E-3</v>
      </c>
      <c r="HD69" s="450">
        <f t="shared" ca="1" si="238"/>
        <v>4.5951909817805257E-3</v>
      </c>
      <c r="HE69" s="450">
        <f t="shared" ca="1" si="239"/>
        <v>4.7972187415522083E-3</v>
      </c>
      <c r="HF69" s="450">
        <f t="shared" ca="1" si="240"/>
        <v>5.3960396929147334E-3</v>
      </c>
      <c r="HG69" s="450">
        <f t="shared" ca="1" si="241"/>
        <v>5.742155517594329E-3</v>
      </c>
      <c r="HH69" s="450">
        <f t="shared" ca="1" si="242"/>
        <v>6.5991924703801335E-3</v>
      </c>
      <c r="HI69" s="450">
        <f t="shared" ca="1" si="243"/>
        <v>7.4338752248287523E-3</v>
      </c>
      <c r="HJ69" s="450">
        <f t="shared" ca="1" si="244"/>
        <v>7.6733495695675514E-3</v>
      </c>
      <c r="HK69" s="450">
        <f t="shared" ca="1" si="245"/>
        <v>9.8675948314105293E-3</v>
      </c>
      <c r="HL69" s="450">
        <f t="shared" ca="1" si="246"/>
        <v>1.1296959555424972E-2</v>
      </c>
      <c r="HM69" s="450" t="str">
        <f t="shared" si="247"/>
        <v/>
      </c>
      <c r="HN69" s="450" t="str">
        <f t="shared" si="248"/>
        <v/>
      </c>
      <c r="HO69" s="450" t="str">
        <f t="shared" si="249"/>
        <v/>
      </c>
      <c r="HP69" s="450" t="str">
        <f t="shared" si="250"/>
        <v/>
      </c>
      <c r="HQ69" s="450" t="str">
        <f t="shared" si="251"/>
        <v/>
      </c>
      <c r="HR69" s="450" t="str">
        <f t="shared" si="252"/>
        <v/>
      </c>
      <c r="HS69" s="450" t="str">
        <f t="shared" si="253"/>
        <v/>
      </c>
      <c r="HT69" s="450" t="str">
        <f t="shared" si="254"/>
        <v/>
      </c>
      <c r="HU69" s="450" t="str">
        <f t="shared" si="255"/>
        <v/>
      </c>
      <c r="HV69" s="450" t="str">
        <f t="shared" si="256"/>
        <v/>
      </c>
      <c r="HW69" s="450" t="str">
        <f t="shared" si="257"/>
        <v/>
      </c>
      <c r="HX69" s="450" t="str">
        <f t="shared" si="258"/>
        <v/>
      </c>
      <c r="HY69" s="450" t="str">
        <f t="shared" si="259"/>
        <v/>
      </c>
      <c r="HZ69" s="450" t="str">
        <f t="shared" si="260"/>
        <v/>
      </c>
      <c r="IA69" s="450" t="str">
        <f t="shared" si="261"/>
        <v/>
      </c>
      <c r="IB69" s="450" t="str">
        <f t="shared" si="262"/>
        <v/>
      </c>
      <c r="IC69" s="450" t="str">
        <f t="shared" si="263"/>
        <v/>
      </c>
      <c r="ID69" s="450" t="str">
        <f t="shared" si="264"/>
        <v/>
      </c>
      <c r="IE69" s="450" t="str">
        <f t="shared" si="265"/>
        <v/>
      </c>
      <c r="IF69" s="450" t="str">
        <f t="shared" si="266"/>
        <v/>
      </c>
      <c r="IG69" s="450" t="str">
        <f t="shared" si="267"/>
        <v/>
      </c>
      <c r="IH69" s="658" t="str">
        <f t="shared" si="268"/>
        <v/>
      </c>
      <c r="II69" s="242"/>
    </row>
    <row r="70" spans="1:243">
      <c r="A70" s="51"/>
      <c r="F70" s="51"/>
      <c r="G70" s="51"/>
      <c r="H70" s="49" t="e">
        <f t="shared" ca="1" si="34"/>
        <v>#N/A</v>
      </c>
      <c r="I70" s="369">
        <f t="shared" si="35"/>
        <v>38534</v>
      </c>
      <c r="J70" s="367">
        <v>22.089166666666699</v>
      </c>
      <c r="K70" s="101" t="s">
        <v>268</v>
      </c>
      <c r="L70" s="382">
        <f t="shared" si="36"/>
        <v>22.089166666666667</v>
      </c>
      <c r="M70" s="163">
        <v>0.20339317284934999</v>
      </c>
      <c r="N70" s="372">
        <v>0</v>
      </c>
      <c r="O70" s="163">
        <f t="shared" si="37"/>
        <v>0.20339317284934999</v>
      </c>
      <c r="P70" s="367">
        <v>20.853618181078499</v>
      </c>
      <c r="Q70" s="101" t="s">
        <v>267</v>
      </c>
      <c r="R70" s="367">
        <f t="shared" ca="1" si="147"/>
        <v>20.85361818107847</v>
      </c>
      <c r="S70" s="814">
        <f t="shared" si="163"/>
        <v>0.37055586197664336</v>
      </c>
      <c r="T70" s="813">
        <f t="shared" si="148"/>
        <v>0.99959760479162474</v>
      </c>
      <c r="U70" s="532">
        <f t="shared" si="149"/>
        <v>0.99999999150517516</v>
      </c>
      <c r="V70" s="379">
        <v>0</v>
      </c>
      <c r="W70" s="424">
        <f t="shared" si="168"/>
        <v>22.05429166666665</v>
      </c>
      <c r="X70" s="405">
        <f t="shared" si="169"/>
        <v>22.054291666666668</v>
      </c>
      <c r="Y70" s="313">
        <f t="shared" si="170"/>
        <v>20.73589166666665</v>
      </c>
      <c r="Z70" s="313">
        <f t="shared" ca="1" si="171"/>
        <v>20.735891666666667</v>
      </c>
      <c r="AA70" s="419">
        <f t="shared" si="1"/>
        <v>1.3184</v>
      </c>
      <c r="AB70" s="423">
        <f t="shared" ca="1" si="2"/>
        <v>1.3184</v>
      </c>
      <c r="AC70" s="221">
        <v>38523</v>
      </c>
      <c r="AD70" s="221">
        <v>38519</v>
      </c>
      <c r="AE70" s="221">
        <v>38518</v>
      </c>
      <c r="AF70" s="221">
        <v>38514</v>
      </c>
      <c r="AG70" s="241" t="s">
        <v>90</v>
      </c>
      <c r="AH70" s="239" t="s">
        <v>497</v>
      </c>
      <c r="AI70" s="141">
        <v>20</v>
      </c>
      <c r="AJ70" s="41">
        <v>13</v>
      </c>
      <c r="AK70" s="41">
        <v>7</v>
      </c>
      <c r="AL70" s="285">
        <v>21</v>
      </c>
      <c r="AM70" s="41">
        <v>10</v>
      </c>
      <c r="AN70" s="142">
        <v>11</v>
      </c>
      <c r="AO70" s="364">
        <v>5.2330705957549697E-2</v>
      </c>
      <c r="AP70" s="145">
        <f t="shared" ca="1" si="41"/>
        <v>0.80042462386722379</v>
      </c>
      <c r="AQ70" s="364">
        <v>4.5410013495697801E-2</v>
      </c>
      <c r="AR70" s="145">
        <f t="shared" ca="1" si="151"/>
        <v>0.82864098692315369</v>
      </c>
      <c r="AS70" s="264">
        <f t="shared" si="172"/>
        <v>0.20125279833646351</v>
      </c>
      <c r="AT70" s="149">
        <f t="shared" si="42"/>
        <v>0.20339317284934999</v>
      </c>
      <c r="AU70" s="149">
        <f t="shared" si="4"/>
        <v>0.2011473207384219</v>
      </c>
      <c r="AV70" s="263">
        <f t="shared" ca="1" si="164"/>
        <v>0.19845230228451974</v>
      </c>
      <c r="AW70" s="150" t="str">
        <f t="shared" ca="1" si="173"/>
        <v/>
      </c>
      <c r="AX70" s="149">
        <f t="shared" ca="1" si="152"/>
        <v>3.2220110190982677E-2</v>
      </c>
      <c r="AY70" s="149">
        <f t="shared" ca="1" si="153"/>
        <v>1.6390544125259393E-2</v>
      </c>
      <c r="AZ70" s="149">
        <f t="shared" ca="1" si="154"/>
        <v>8.6332728120337345E-3</v>
      </c>
      <c r="BA70" s="149">
        <f t="shared" ca="1" si="155"/>
        <v>1.0000000000000137E-4</v>
      </c>
      <c r="BB70" s="149">
        <f t="shared" ca="1" si="156"/>
        <v>1.0000000000000137E-4</v>
      </c>
      <c r="BC70" s="149">
        <f t="shared" ca="1" si="157"/>
        <v>1.0000000000000137E-4</v>
      </c>
      <c r="BD70" s="143">
        <f t="shared" ca="1" si="174"/>
        <v>0</v>
      </c>
      <c r="BE70" s="144">
        <f t="shared" ca="1" si="175"/>
        <v>0</v>
      </c>
      <c r="BF70" s="40">
        <f t="shared" si="176"/>
        <v>2005</v>
      </c>
      <c r="BG70" s="139">
        <f t="shared" si="177"/>
        <v>7</v>
      </c>
      <c r="BH70" s="140">
        <f t="shared" ca="1" si="178"/>
        <v>1529</v>
      </c>
      <c r="BI70" s="304">
        <f t="shared" ca="1" si="179"/>
        <v>4.2272416153319643</v>
      </c>
      <c r="BJ70" s="42">
        <f t="shared" ca="1" si="47"/>
        <v>4.2806297056810401</v>
      </c>
      <c r="BK70" s="42">
        <f t="shared" ca="1" si="180"/>
        <v>4.2833675564681721</v>
      </c>
      <c r="BL70" s="42">
        <f t="shared" ca="1" si="181"/>
        <v>4.3093771389459272</v>
      </c>
      <c r="BM70" s="285">
        <f t="shared" si="49"/>
        <v>20</v>
      </c>
      <c r="BN70" s="41">
        <f t="shared" si="50"/>
        <v>13</v>
      </c>
      <c r="BO70" s="41">
        <f t="shared" si="51"/>
        <v>7</v>
      </c>
      <c r="BP70" s="297" t="str">
        <f t="shared" ca="1" si="10"/>
        <v/>
      </c>
      <c r="BQ70" s="297" t="str">
        <f t="shared" ca="1" si="11"/>
        <v/>
      </c>
      <c r="BR70" s="299" t="str">
        <f t="shared" ca="1" si="12"/>
        <v/>
      </c>
      <c r="BS70" s="153" t="str">
        <f t="shared" ca="1" si="13"/>
        <v/>
      </c>
      <c r="BT70" s="153" t="str">
        <f t="shared" ca="1" si="14"/>
        <v/>
      </c>
      <c r="BU70" s="300" t="str">
        <f t="shared" ca="1" si="15"/>
        <v/>
      </c>
      <c r="BV70" s="301" t="str">
        <f t="shared" ca="1" si="16"/>
        <v/>
      </c>
      <c r="BW70" s="300" t="str">
        <f t="shared" ca="1" si="17"/>
        <v/>
      </c>
      <c r="BX70" s="301" t="str">
        <f t="shared" ca="1" si="18"/>
        <v/>
      </c>
      <c r="BY70" s="146" t="str">
        <f t="shared" ca="1" si="19"/>
        <v/>
      </c>
      <c r="BZ70" s="146" t="str">
        <f t="shared" ca="1" si="20"/>
        <v/>
      </c>
      <c r="CA70" s="146" t="str">
        <f t="shared" ca="1" si="21"/>
        <v/>
      </c>
      <c r="CB70" s="146" t="str">
        <f t="shared" ca="1" si="22"/>
        <v/>
      </c>
      <c r="CC70" s="302">
        <v>1</v>
      </c>
      <c r="CD70" s="154">
        <f ca="1">IF(BD70,_xll.xCrudeAPO(BS70,BT70,BY70,BZ70,S71,S72,BI70,BL70,BN70,BO70,0,Strike1,AO70,CC70,0,BL70,IF(OptControl=4,0,1),0,1),0)</f>
        <v>0</v>
      </c>
      <c r="CE70" s="155">
        <f ca="1">IF(BD70,_xll.xCrudeAPO(BS70,BT70,BY70,BZ70,S71,S72,BI70,BL70,BN70,BO70,0,Strike1,AO70,CC70,0,BL70,IF(OptControl=4,0,1),1,1)+_xll.xCrudeAPO(BS70,BT70,BY70,BZ70,S71,S72,BI70,BL70,BN70,BO70,0,Strike1,AO70,CC70,0,BL70,IF(OptControl=4,0,1),1,2)+IF(OR(VolSkewFlag=2,ABS(BQ70)&lt;0.0001),0,IF(BQ70&gt;0,-1,1)*CF70*Strike1/BP70^2*BW70/10%),0)</f>
        <v>0</v>
      </c>
      <c r="CF70" s="155">
        <f ca="1">IF(BD70,(_xll.xCrudeAPO(BS70,BT70,BY70,BZ70,S71,S72,BI70,BL70,BN70,BO70,0,Strike1,AO70,CC70,0,BL70,IF(OptControl=4,0,1),3,1)+_xll.xCrudeAPO(BS70,BT70,BY70,BZ70,S71,S72,BI70,BL70,BN70,BO70,0,Strike1,AO70,CC70,0,BL70,IF(OptControl=4,0,1),3,2))/100,0)</f>
        <v>0</v>
      </c>
      <c r="CG70" s="155">
        <f ca="1">IF(BD70,_xll.xCrudeAPO(BS70,BT70,BY70,BZ70,S71,S72,BI70-DaysForThetaCalculation/365.25,BL70-DaysForThetaCalculation/365.25,BN70,BO70,0,Strike1,AO70,CC70,0,BL70,IF(OptControl=4,0,1),0,1)-_xll.xCrudeAPO(BS70,BT70,BY70,BZ70,S71,S72,BI70,BL70,BN70,BO70,0,Strike1,AO70,CC70,0,BL70,IF(OptControl=4,0,1),0,1),0)</f>
        <v>0</v>
      </c>
      <c r="CH70" s="303">
        <f ca="1">IF(BD70,_xll.xCrudeAPO(BS70,BT70,CA70,CB70,S71,S72,BI70,BL70,BN70,BO70,0,Strike2,AO70,CC70,0,BL70,IF(OptControl=3,1,0),0,1),0)</f>
        <v>0</v>
      </c>
      <c r="CI70" s="155">
        <f ca="1">IF(BD70,_xll.xCrudeAPO(BS70,BT70,CA70,CB70,S71,S72,BI70,BL70,BN70,BO70,0,Strike2,AO70,CC70,0,BL70,IF(OptControl=3,1,0),1,1)+_xll.xCrudeAPO(BS70,BT70,CA70,CB70,S71,S72,BI70,BL70,BN70,BO70,0,Strike2,AO70,CC70,0,BL70,IF(OptControl=3,1,0),1,2)+IF(OR(VolSkewFlag=2,ABS(BR70)&lt;0.0001),0,IF(BR70&gt;0,-1,1)*CJ70*Strike2/BP70^2*BX70/10%),0)</f>
        <v>0</v>
      </c>
      <c r="CJ70" s="155">
        <f ca="1">IF(BD70,(_xll.xCrudeAPO(BS70,BT70,CA70,CB70,S71,S72,BI70,BL70,BN70,BO70,0,Strike2,AO70,CC70,0,BL70,IF(OptControl=3,1,0),3,1)+_xll.xCrudeAPO(BS70,BT70,CA70,CB70,S71,S72,BI70,BL70,BN70,BO70,0,Strike2,AO70,CC70,0,BL70,IF(OptControl=3,1,0),3,2))/100,0)</f>
        <v>0</v>
      </c>
      <c r="CK70" s="156">
        <f ca="1">IF(BD70,_xll.xCrudeAPO(BS70,BT70,CA70,CB70,S71,S72,BI70-DaysForThetaCalculation/365.25,BL70-DaysForThetaCalculation/365.25,BN70,BO70,0,Strike2,AO70,CC70,0,BL70,IF(OptControl=3,1,0),0,1)-_xll.xCrudeAPO(BS70,BT70,CA70,CB70,S71,S72,BI70,BL70,BN70,BO70,0,Strike2,AO70,CC70,0,BL70,IF(OptControl=3,1,0),0,1),0)</f>
        <v>0</v>
      </c>
      <c r="CL70" s="51"/>
      <c r="CM70" s="779" t="str">
        <f t="shared" ca="1" si="52"/>
        <v/>
      </c>
      <c r="CN70" s="783" t="str">
        <f t="shared" ca="1" si="53"/>
        <v/>
      </c>
      <c r="CO70" s="780" t="str">
        <f t="shared" ca="1" si="54"/>
        <v/>
      </c>
      <c r="CP70" s="780" t="str">
        <f t="shared" ca="1" si="55"/>
        <v/>
      </c>
      <c r="CQ70" s="780" t="str">
        <f t="shared" ca="1" si="56"/>
        <v/>
      </c>
      <c r="CR70" s="780" t="str">
        <f t="shared" ca="1" si="57"/>
        <v/>
      </c>
      <c r="CS70" s="781" t="str">
        <f t="shared" ca="1" si="58"/>
        <v/>
      </c>
      <c r="CT70" s="782" t="str">
        <f t="shared" ca="1" si="59"/>
        <v/>
      </c>
      <c r="CU70" s="782" t="str">
        <f t="shared" ca="1" si="60"/>
        <v/>
      </c>
      <c r="CV70" s="155">
        <f ca="1">IF(BD70,_xll.EURO(CN70,Strike1,AO70,AO70,CT70,CM70,IF(OptControl=4,0,1),0),0)</f>
        <v>0</v>
      </c>
      <c r="CW70" s="155">
        <f ca="1">IF(BD70,_xll.EURO(CN70,Strike1,AO70,AO70,CT70,CM70,IF(OptControl=4,0,1),1)+IF(OR(VolSkewFlag=2,ABS(CO70)&lt;0.0001),0,IF(CO70&gt;0,-1,1)*CX70*100*Strike1/CN70^2*CQ70/10%),0)</f>
        <v>0</v>
      </c>
      <c r="CX70" s="155">
        <f ca="1">IF(BD70,_xll.EURO(CN70,Strike1,AO70,AO70,CT70,CM70,IF(OptControl=4,0,1),3)/100,0)</f>
        <v>0</v>
      </c>
      <c r="CY70" s="155">
        <f ca="1">IF(BD70,_xll.EURO(CN70,Strike1,AO70,AO70,CT70,CM70,IF(OptControl=4,0,1),0)-_xll.EURO(CN70,Strike1,AO70,AO70,CT70,CM70-1,IF(OptControl=4,0,1),0),0)</f>
        <v>0</v>
      </c>
      <c r="CZ70" s="155">
        <f ca="1">IF(BD70,_xll.EURO(CN70,Strike2,AO70,AO70,CU70,CM70,IF(OptControl=3,1,0),0),0)</f>
        <v>0</v>
      </c>
      <c r="DA70" s="155">
        <f ca="1">IF(BD70,_xll.EURO(CN70,Strike2,AO70,AO70,CU70,CM70,IF(OptControl=3,1,0),1)+IF(OR(VolSkewFlag=2,ABS(CP70)&lt;0.0001),0,IF(CP70&gt;0,-1,1)*DB70*100*Strike2/CN70^2*CR70/10%),0)</f>
        <v>0</v>
      </c>
      <c r="DB70" s="155">
        <f ca="1">IF(BD70,_xll.EURO(CN70,Strike2,AO70,AO70,CU70,CM70,IF(OptControl=3,1,0),3)/100,0)</f>
        <v>0</v>
      </c>
      <c r="DC70" s="156">
        <f ca="1">IF(BD70,_xll.EURO(CN70,Strike2,AO70,AO70,CU70,CM70,IF(OptControl=3,1,0),0)-_xll.EURO(CN70,Strike2,AO70,AO70,CU70,CM70-1,IF(OptControl=3,1,0),0),0)</f>
        <v>0</v>
      </c>
      <c r="DE70" s="651">
        <f t="shared" ca="1" si="61"/>
        <v>38443</v>
      </c>
      <c r="DF70" s="465">
        <v>1E-4</v>
      </c>
      <c r="DG70" s="649">
        <v>1E-4</v>
      </c>
      <c r="DH70" s="650">
        <f t="shared" ca="1" si="182"/>
        <v>38443</v>
      </c>
      <c r="DI70" s="465">
        <v>1E-4</v>
      </c>
      <c r="DJ70" s="649">
        <v>1E-4</v>
      </c>
      <c r="DK70" s="651">
        <f t="shared" ca="1" si="183"/>
        <v>38443</v>
      </c>
      <c r="DL70" s="652">
        <f t="shared" si="184"/>
        <v>5.0100000000000006E-2</v>
      </c>
      <c r="DM70" s="651">
        <f t="shared" ca="1" si="62"/>
        <v>38443</v>
      </c>
      <c r="DN70" s="563">
        <f t="shared" si="63"/>
        <v>-0.12990000000000002</v>
      </c>
      <c r="DO70" s="803">
        <v>-0.13</v>
      </c>
      <c r="DP70" s="650">
        <f t="shared" ca="1" si="185"/>
        <v>38443</v>
      </c>
      <c r="DQ70" s="653">
        <v>1E-4</v>
      </c>
      <c r="DR70" s="590">
        <v>1E-4</v>
      </c>
      <c r="DS70" s="650">
        <f t="shared" ca="1" si="186"/>
        <v>38443</v>
      </c>
      <c r="DT70" s="653">
        <v>1E-4</v>
      </c>
      <c r="DU70" s="590">
        <v>1E-4</v>
      </c>
      <c r="DV70" s="651">
        <f t="shared" ca="1" si="187"/>
        <v>38443</v>
      </c>
      <c r="DW70" s="590">
        <v>1E-4</v>
      </c>
      <c r="DX70" s="651">
        <f t="shared" ca="1" si="64"/>
        <v>38443</v>
      </c>
      <c r="DY70" s="590">
        <f t="shared" si="65"/>
        <v>1E-4</v>
      </c>
      <c r="DZ70" s="1"/>
      <c r="EA70" s="863" t="e">
        <f ca="1">_xll.ASN(X70,X70,AO70,AS70,0,AI70,0,BI70,BL70,1,0)</f>
        <v>#NAME?</v>
      </c>
      <c r="EB70" s="653" t="e">
        <f ca="1">_xll.ASN(X70,X70,AO70,AS70,0,AI70,0,BI70,BL70,1,3)/100</f>
        <v>#NAME?</v>
      </c>
      <c r="EC70" s="653" t="e">
        <f ca="1">_xll.xCrudeAPO(L71,L72,O71,O72,S71,S72,BI70,BL70,AJ70,AK70,0,X70,AO70,1,0,+BL70,1,0,1)</f>
        <v>#NAME?</v>
      </c>
      <c r="ED70" s="869" t="e">
        <f t="shared" ca="1" si="165"/>
        <v>#NAME?</v>
      </c>
      <c r="EE70" s="863" t="e">
        <f t="shared" ca="1" si="29"/>
        <v>#NAME?</v>
      </c>
      <c r="EF70" s="590" t="e">
        <f t="shared" ca="1" si="30"/>
        <v>#NAME?</v>
      </c>
      <c r="EG70" s="862" t="str">
        <f t="shared" ca="1" si="188"/>
        <v/>
      </c>
      <c r="EH70" s="114" t="str">
        <f t="shared" ca="1" si="32"/>
        <v/>
      </c>
      <c r="EI70" s="109" t="str">
        <f t="shared" ca="1" si="33"/>
        <v/>
      </c>
      <c r="EJ70" s="115">
        <f ca="1">IF(BD70,_xll.xASN(BP70,Strike1,AO70,EH70,0,BM70,0,BI70,BL70,IF(OptControl=4,0,1),0),0)</f>
        <v>0</v>
      </c>
      <c r="EK70" s="108">
        <f ca="1">IF(BD70,_xll.xASN(BP70,Strike2,AO70,EI70,0,BM70,0,BI70,BL70,IF(OptControl=3,1,0),0),0)</f>
        <v>0</v>
      </c>
      <c r="EP70" s="53"/>
      <c r="EQ70" s="1"/>
      <c r="ER70" s="681">
        <v>41824</v>
      </c>
      <c r="ES70" s="682">
        <v>45658</v>
      </c>
      <c r="ET70" s="1"/>
      <c r="EU70" s="667" t="s">
        <v>256</v>
      </c>
      <c r="EW70" s="488">
        <v>51</v>
      </c>
      <c r="EX70" s="466">
        <f t="shared" ca="1" si="166"/>
        <v>4.1861738535249833</v>
      </c>
      <c r="EY70" s="824">
        <f t="shared" ca="1" si="189"/>
        <v>0.17317691674929062</v>
      </c>
      <c r="EZ70" s="798">
        <f t="shared" ca="1" si="269"/>
        <v>0.20619649919602145</v>
      </c>
      <c r="FA70" s="468" t="str">
        <f t="shared" ca="1" si="270"/>
        <v/>
      </c>
      <c r="FB70" s="467" t="str">
        <f t="shared" ca="1" si="271"/>
        <v/>
      </c>
      <c r="FC70" s="242">
        <v>0</v>
      </c>
      <c r="FD70" s="589" t="str">
        <f ca="1">IF(OR(FA70="",FA71=""),"",SQRT(SUM(INDEX(FO70:IH70,SwaptionFirstMonthPosition+1):INDEX(FO70:IH70,FN70))/SUM(INDEX($FO$15:$IH$15,SwaptionFirstMonthPosition+1):INDEX($FO$15:$IH$15,FN70))))</f>
        <v/>
      </c>
      <c r="FE70" s="565" t="str">
        <f ca="1">IF(OR(FA70="",FA69=""),"",SQRT(SUM(INDEX(FO70:IH70,SwaptionFirstMonthPosition+1):INDEX(FO70:IH70,FN70-1))/SUM(INDEX($FO$15:$IH$15,SwaptionFirstMonthPosition+1):INDEX($FO$15:$IH$15,FN70-1))))</f>
        <v/>
      </c>
      <c r="FF70" s="562" t="str">
        <f t="shared" ca="1" si="190"/>
        <v/>
      </c>
      <c r="FG70" s="593" t="str">
        <f t="shared" ca="1" si="191"/>
        <v/>
      </c>
      <c r="FH70" s="563" t="str">
        <f t="shared" ca="1" si="192"/>
        <v/>
      </c>
      <c r="FI70" s="563" t="str">
        <f t="shared" ca="1" si="193"/>
        <v/>
      </c>
      <c r="FJ70" s="563" t="str">
        <f t="shared" ca="1" si="194"/>
        <v/>
      </c>
      <c r="FK70" s="564" t="str">
        <f t="shared" ca="1" si="195"/>
        <v/>
      </c>
      <c r="FL70" s="590" t="str">
        <f t="shared" ca="1" si="196"/>
        <v/>
      </c>
      <c r="FM70" s="242"/>
      <c r="FN70" s="657">
        <v>51</v>
      </c>
      <c r="FO70" s="450">
        <f t="shared" ca="1" si="197"/>
        <v>6.5802876738362123E-4</v>
      </c>
      <c r="FP70" s="450">
        <f t="shared" ca="1" si="198"/>
        <v>2.4683872393739281E-3</v>
      </c>
      <c r="FQ70" s="450">
        <f t="shared" ca="1" si="199"/>
        <v>2.3823598982285143E-3</v>
      </c>
      <c r="FR70" s="450">
        <f t="shared" ca="1" si="200"/>
        <v>2.6250307944872867E-3</v>
      </c>
      <c r="FS70" s="450">
        <f t="shared" ca="1" si="201"/>
        <v>2.4577840060361284E-3</v>
      </c>
      <c r="FT70" s="450">
        <f t="shared" ca="1" si="202"/>
        <v>2.6186612088562192E-3</v>
      </c>
      <c r="FU70" s="450">
        <f t="shared" ca="1" si="203"/>
        <v>2.4526344993810933E-3</v>
      </c>
      <c r="FV70" s="450">
        <f t="shared" ca="1" si="204"/>
        <v>2.2873597329890901E-3</v>
      </c>
      <c r="FW70" s="450">
        <f t="shared" ca="1" si="205"/>
        <v>2.449363551766017E-3</v>
      </c>
      <c r="FX70" s="450">
        <f t="shared" ca="1" si="206"/>
        <v>2.6934019417318043E-3</v>
      </c>
      <c r="FY70" s="450">
        <f t="shared" ca="1" si="207"/>
        <v>2.3667377030938356E-3</v>
      </c>
      <c r="FZ70" s="450">
        <f t="shared" ca="1" si="208"/>
        <v>2.367204720189402E-3</v>
      </c>
      <c r="GA70" s="450">
        <f t="shared" ca="1" si="209"/>
        <v>2.6950734258921545E-3</v>
      </c>
      <c r="GB70" s="450">
        <f t="shared" ca="1" si="210"/>
        <v>2.3703933006363909E-3</v>
      </c>
      <c r="GC70" s="450">
        <f t="shared" ca="1" si="211"/>
        <v>2.6187880782967158E-3</v>
      </c>
      <c r="GD70" s="450">
        <f t="shared" ca="1" si="212"/>
        <v>2.4591149570317118E-3</v>
      </c>
      <c r="GE70" s="450">
        <f t="shared" ca="1" si="213"/>
        <v>2.3821052606416188E-3</v>
      </c>
      <c r="GF70" s="450">
        <f t="shared" ca="1" si="214"/>
        <v>2.7176999508521172E-3</v>
      </c>
      <c r="GG70" s="450">
        <f t="shared" ca="1" si="215"/>
        <v>2.4784269376653609E-3</v>
      </c>
      <c r="GH70" s="450">
        <f t="shared" ca="1" si="216"/>
        <v>2.4048551742993649E-3</v>
      </c>
      <c r="GI70" s="450">
        <f t="shared" ca="1" si="217"/>
        <v>2.5821797588598079E-3</v>
      </c>
      <c r="GJ70" s="450">
        <f t="shared" ca="1" si="218"/>
        <v>2.5956755414202944E-3</v>
      </c>
      <c r="GK70" s="450">
        <f t="shared" ca="1" si="219"/>
        <v>2.6114418981170559E-3</v>
      </c>
      <c r="GL70" s="450">
        <f t="shared" ca="1" si="220"/>
        <v>2.3752685240483518E-3</v>
      </c>
      <c r="GM70" s="450">
        <f t="shared" ca="1" si="221"/>
        <v>2.6509588200379778E-3</v>
      </c>
      <c r="GN70" s="450">
        <f t="shared" ca="1" si="222"/>
        <v>2.5891031583141024E-3</v>
      </c>
      <c r="GO70" s="450">
        <f t="shared" ca="1" si="223"/>
        <v>2.7035354476711189E-3</v>
      </c>
      <c r="GP70" s="450">
        <f t="shared" ca="1" si="224"/>
        <v>2.6475911733857011E-3</v>
      </c>
      <c r="GQ70" s="450">
        <f t="shared" ca="1" si="225"/>
        <v>2.7729132205589597E-3</v>
      </c>
      <c r="GR70" s="450">
        <f t="shared" ca="1" si="226"/>
        <v>2.8154205713465225E-3</v>
      </c>
      <c r="GS70" s="450">
        <f t="shared" ca="1" si="227"/>
        <v>2.7717700373731495E-3</v>
      </c>
      <c r="GT70" s="450">
        <f t="shared" ca="1" si="228"/>
        <v>2.9200780657008081E-3</v>
      </c>
      <c r="GU70" s="450">
        <f t="shared" ca="1" si="229"/>
        <v>2.8880151906640465E-3</v>
      </c>
      <c r="GV70" s="450">
        <f t="shared" ca="1" si="230"/>
        <v>3.0581058083111426E-3</v>
      </c>
      <c r="GW70" s="450">
        <f t="shared" ca="1" si="231"/>
        <v>3.1431467172802151E-3</v>
      </c>
      <c r="GX70" s="450">
        <f t="shared" ca="1" si="232"/>
        <v>3.0322196685169393E-3</v>
      </c>
      <c r="GY70" s="450">
        <f t="shared" ca="1" si="233"/>
        <v>3.35503590193958E-3</v>
      </c>
      <c r="GZ70" s="450">
        <f t="shared" ca="1" si="234"/>
        <v>3.3746441911520347E-3</v>
      </c>
      <c r="HA70" s="450">
        <f t="shared" ca="1" si="235"/>
        <v>3.6412103199326834E-3</v>
      </c>
      <c r="HB70" s="450">
        <f t="shared" ca="1" si="236"/>
        <v>3.6984657387184377E-3</v>
      </c>
      <c r="HC70" s="450">
        <f t="shared" ca="1" si="237"/>
        <v>4.0343973549915877E-3</v>
      </c>
      <c r="HD70" s="450">
        <f t="shared" ca="1" si="238"/>
        <v>4.2863684375706625E-3</v>
      </c>
      <c r="HE70" s="450">
        <f t="shared" ca="1" si="239"/>
        <v>4.4389965859766307E-3</v>
      </c>
      <c r="HF70" s="450">
        <f t="shared" ca="1" si="240"/>
        <v>4.9483309788762942E-3</v>
      </c>
      <c r="HG70" s="450">
        <f t="shared" ca="1" si="241"/>
        <v>5.2127934074184179E-3</v>
      </c>
      <c r="HH70" s="450">
        <f t="shared" ca="1" si="242"/>
        <v>5.9232243912863483E-3</v>
      </c>
      <c r="HI70" s="450">
        <f t="shared" ca="1" si="243"/>
        <v>6.5878016116127074E-3</v>
      </c>
      <c r="HJ70" s="450">
        <f t="shared" ca="1" si="244"/>
        <v>6.7029840469588721E-3</v>
      </c>
      <c r="HK70" s="450">
        <f t="shared" ca="1" si="245"/>
        <v>8.4810970678541736E-3</v>
      </c>
      <c r="HL70" s="450">
        <f t="shared" ca="1" si="246"/>
        <v>9.5332505636086268E-3</v>
      </c>
      <c r="HM70" s="450">
        <f t="shared" ca="1" si="247"/>
        <v>1.1654102812328227E-2</v>
      </c>
      <c r="HN70" s="450" t="str">
        <f t="shared" si="248"/>
        <v/>
      </c>
      <c r="HO70" s="450" t="str">
        <f t="shared" si="249"/>
        <v/>
      </c>
      <c r="HP70" s="450" t="str">
        <f t="shared" si="250"/>
        <v/>
      </c>
      <c r="HQ70" s="450" t="str">
        <f t="shared" si="251"/>
        <v/>
      </c>
      <c r="HR70" s="450" t="str">
        <f t="shared" si="252"/>
        <v/>
      </c>
      <c r="HS70" s="450" t="str">
        <f t="shared" si="253"/>
        <v/>
      </c>
      <c r="HT70" s="450" t="str">
        <f t="shared" si="254"/>
        <v/>
      </c>
      <c r="HU70" s="450" t="str">
        <f t="shared" si="255"/>
        <v/>
      </c>
      <c r="HV70" s="450" t="str">
        <f t="shared" si="256"/>
        <v/>
      </c>
      <c r="HW70" s="450" t="str">
        <f t="shared" si="257"/>
        <v/>
      </c>
      <c r="HX70" s="450" t="str">
        <f t="shared" si="258"/>
        <v/>
      </c>
      <c r="HY70" s="450" t="str">
        <f t="shared" si="259"/>
        <v/>
      </c>
      <c r="HZ70" s="450" t="str">
        <f t="shared" si="260"/>
        <v/>
      </c>
      <c r="IA70" s="450" t="str">
        <f t="shared" si="261"/>
        <v/>
      </c>
      <c r="IB70" s="450" t="str">
        <f t="shared" si="262"/>
        <v/>
      </c>
      <c r="IC70" s="450" t="str">
        <f t="shared" si="263"/>
        <v/>
      </c>
      <c r="ID70" s="450" t="str">
        <f t="shared" si="264"/>
        <v/>
      </c>
      <c r="IE70" s="450" t="str">
        <f t="shared" si="265"/>
        <v/>
      </c>
      <c r="IF70" s="450" t="str">
        <f t="shared" si="266"/>
        <v/>
      </c>
      <c r="IG70" s="450" t="str">
        <f t="shared" si="267"/>
        <v/>
      </c>
      <c r="IH70" s="658" t="str">
        <f t="shared" si="268"/>
        <v/>
      </c>
      <c r="II70" s="242"/>
    </row>
    <row r="71" spans="1:243">
      <c r="A71" s="51"/>
      <c r="F71" s="51"/>
      <c r="G71" s="51"/>
      <c r="H71" s="49" t="e">
        <f t="shared" ca="1" si="34"/>
        <v>#N/A</v>
      </c>
      <c r="I71" s="369">
        <f t="shared" si="35"/>
        <v>38565</v>
      </c>
      <c r="J71" s="367">
        <v>22.063333333333301</v>
      </c>
      <c r="K71" s="101" t="s">
        <v>268</v>
      </c>
      <c r="L71" s="382">
        <f t="shared" si="36"/>
        <v>22.063333333333333</v>
      </c>
      <c r="M71" s="163">
        <v>0.20146519843114999</v>
      </c>
      <c r="N71" s="372">
        <v>0</v>
      </c>
      <c r="O71" s="163">
        <f t="shared" si="37"/>
        <v>0.20146519843114999</v>
      </c>
      <c r="P71" s="367">
        <v>20.637568182434599</v>
      </c>
      <c r="Q71" s="101" t="s">
        <v>267</v>
      </c>
      <c r="R71" s="367">
        <f t="shared" ca="1" si="147"/>
        <v>20.637568182434602</v>
      </c>
      <c r="S71" s="814">
        <f t="shared" si="163"/>
        <v>0.37025030335687692</v>
      </c>
      <c r="T71" s="813">
        <f t="shared" si="148"/>
        <v>0.99963785223816115</v>
      </c>
      <c r="U71" s="532">
        <f t="shared" si="149"/>
        <v>0.99999999362888137</v>
      </c>
      <c r="V71" s="379">
        <v>0</v>
      </c>
      <c r="W71" s="424">
        <f t="shared" si="168"/>
        <v>22.028514492753633</v>
      </c>
      <c r="X71" s="405">
        <f t="shared" si="169"/>
        <v>22.028514492753626</v>
      </c>
      <c r="Y71" s="313">
        <f t="shared" si="170"/>
        <v>20.710114492753632</v>
      </c>
      <c r="Z71" s="313">
        <f t="shared" ca="1" si="171"/>
        <v>20.710114492753625</v>
      </c>
      <c r="AA71" s="419">
        <f t="shared" si="1"/>
        <v>1.3184</v>
      </c>
      <c r="AB71" s="423">
        <f t="shared" ca="1" si="2"/>
        <v>1.3184</v>
      </c>
      <c r="AC71" s="221">
        <v>38553</v>
      </c>
      <c r="AD71" s="221">
        <v>38549</v>
      </c>
      <c r="AE71" s="221">
        <v>38548</v>
      </c>
      <c r="AF71" s="221">
        <v>38544</v>
      </c>
      <c r="AG71" s="241" t="s">
        <v>90</v>
      </c>
      <c r="AH71" s="239" t="s">
        <v>497</v>
      </c>
      <c r="AI71" s="141">
        <v>23</v>
      </c>
      <c r="AJ71" s="41">
        <v>15</v>
      </c>
      <c r="AK71" s="41">
        <v>8</v>
      </c>
      <c r="AL71" s="285">
        <v>23</v>
      </c>
      <c r="AM71" s="41">
        <v>10</v>
      </c>
      <c r="AN71" s="142">
        <v>13</v>
      </c>
      <c r="AO71" s="364">
        <v>5.24895084453183E-2</v>
      </c>
      <c r="AP71" s="145">
        <f t="shared" ca="1" si="41"/>
        <v>0.79638122491142438</v>
      </c>
      <c r="AQ71" s="364">
        <v>4.5343547139993702E-2</v>
      </c>
      <c r="AR71" s="145">
        <f t="shared" ca="1" si="151"/>
        <v>0.82581959000961391</v>
      </c>
      <c r="AS71" s="264">
        <f t="shared" si="172"/>
        <v>0.20064609173090087</v>
      </c>
      <c r="AT71" s="149">
        <f t="shared" si="42"/>
        <v>0.20146519843114999</v>
      </c>
      <c r="AU71" s="149">
        <f t="shared" si="4"/>
        <v>0.20051343592661389</v>
      </c>
      <c r="AV71" s="263">
        <f t="shared" ca="1" si="164"/>
        <v>0.19671016615690973</v>
      </c>
      <c r="AW71" s="150" t="str">
        <f t="shared" ca="1" si="173"/>
        <v/>
      </c>
      <c r="AX71" s="149">
        <f t="shared" ca="1" si="152"/>
        <v>3.176747519656635E-2</v>
      </c>
      <c r="AY71" s="149">
        <f t="shared" ca="1" si="153"/>
        <v>1.6108530578573952E-2</v>
      </c>
      <c r="AZ71" s="149">
        <f t="shared" ca="1" si="154"/>
        <v>8.5303822463959206E-3</v>
      </c>
      <c r="BA71" s="149">
        <f t="shared" ca="1" si="155"/>
        <v>1.0000000000000141E-4</v>
      </c>
      <c r="BB71" s="149">
        <f t="shared" ca="1" si="156"/>
        <v>1.0000000000000141E-4</v>
      </c>
      <c r="BC71" s="149">
        <f t="shared" ca="1" si="157"/>
        <v>1.0000000000000141E-4</v>
      </c>
      <c r="BD71" s="143">
        <f t="shared" ca="1" si="174"/>
        <v>0</v>
      </c>
      <c r="BE71" s="144">
        <f t="shared" ca="1" si="175"/>
        <v>0</v>
      </c>
      <c r="BF71" s="40">
        <f t="shared" si="176"/>
        <v>2005</v>
      </c>
      <c r="BG71" s="139">
        <f t="shared" si="177"/>
        <v>8</v>
      </c>
      <c r="BH71" s="140">
        <f t="shared" ca="1" si="178"/>
        <v>1559</v>
      </c>
      <c r="BI71" s="304">
        <f t="shared" ca="1" si="179"/>
        <v>4.3121149897330593</v>
      </c>
      <c r="BJ71" s="42">
        <f t="shared" ca="1" si="47"/>
        <v>4.3656816355682526</v>
      </c>
      <c r="BK71" s="42">
        <f t="shared" ca="1" si="180"/>
        <v>4.3684194863553847</v>
      </c>
      <c r="BL71" s="42">
        <f t="shared" ca="1" si="181"/>
        <v>4.3942505133470222</v>
      </c>
      <c r="BM71" s="285">
        <f t="shared" si="49"/>
        <v>23</v>
      </c>
      <c r="BN71" s="41">
        <f t="shared" si="50"/>
        <v>15</v>
      </c>
      <c r="BO71" s="41">
        <f t="shared" si="51"/>
        <v>8</v>
      </c>
      <c r="BP71" s="297" t="str">
        <f t="shared" ca="1" si="10"/>
        <v/>
      </c>
      <c r="BQ71" s="297" t="str">
        <f t="shared" ca="1" si="11"/>
        <v/>
      </c>
      <c r="BR71" s="299" t="str">
        <f t="shared" ca="1" si="12"/>
        <v/>
      </c>
      <c r="BS71" s="153" t="str">
        <f t="shared" ca="1" si="13"/>
        <v/>
      </c>
      <c r="BT71" s="153" t="str">
        <f t="shared" ca="1" si="14"/>
        <v/>
      </c>
      <c r="BU71" s="300" t="str">
        <f t="shared" ca="1" si="15"/>
        <v/>
      </c>
      <c r="BV71" s="301" t="str">
        <f t="shared" ca="1" si="16"/>
        <v/>
      </c>
      <c r="BW71" s="300" t="str">
        <f t="shared" ca="1" si="17"/>
        <v/>
      </c>
      <c r="BX71" s="301" t="str">
        <f t="shared" ca="1" si="18"/>
        <v/>
      </c>
      <c r="BY71" s="146" t="str">
        <f t="shared" ca="1" si="19"/>
        <v/>
      </c>
      <c r="BZ71" s="146" t="str">
        <f t="shared" ca="1" si="20"/>
        <v/>
      </c>
      <c r="CA71" s="146" t="str">
        <f t="shared" ca="1" si="21"/>
        <v/>
      </c>
      <c r="CB71" s="146" t="str">
        <f t="shared" ca="1" si="22"/>
        <v/>
      </c>
      <c r="CC71" s="302">
        <v>1</v>
      </c>
      <c r="CD71" s="154">
        <f ca="1">IF(BD71,_xll.xCrudeAPO(BS71,BT71,BY71,BZ71,S72,S73,BI71,BL71,BN71,BO71,0,Strike1,AO71,CC71,0,BL71,IF(OptControl=4,0,1),0,1),0)</f>
        <v>0</v>
      </c>
      <c r="CE71" s="155">
        <f ca="1">IF(BD71,_xll.xCrudeAPO(BS71,BT71,BY71,BZ71,S72,S73,BI71,BL71,BN71,BO71,0,Strike1,AO71,CC71,0,BL71,IF(OptControl=4,0,1),1,1)+_xll.xCrudeAPO(BS71,BT71,BY71,BZ71,S72,S73,BI71,BL71,BN71,BO71,0,Strike1,AO71,CC71,0,BL71,IF(OptControl=4,0,1),1,2)+IF(OR(VolSkewFlag=2,ABS(BQ71)&lt;0.0001),0,IF(BQ71&gt;0,-1,1)*CF71*Strike1/BP71^2*BW71/10%),0)</f>
        <v>0</v>
      </c>
      <c r="CF71" s="155">
        <f ca="1">IF(BD71,(_xll.xCrudeAPO(BS71,BT71,BY71,BZ71,S72,S73,BI71,BL71,BN71,BO71,0,Strike1,AO71,CC71,0,BL71,IF(OptControl=4,0,1),3,1)+_xll.xCrudeAPO(BS71,BT71,BY71,BZ71,S72,S73,BI71,BL71,BN71,BO71,0,Strike1,AO71,CC71,0,BL71,IF(OptControl=4,0,1),3,2))/100,0)</f>
        <v>0</v>
      </c>
      <c r="CG71" s="155">
        <f ca="1">IF(BD71,_xll.xCrudeAPO(BS71,BT71,BY71,BZ71,S72,S73,BI71-DaysForThetaCalculation/365.25,BL71-DaysForThetaCalculation/365.25,BN71,BO71,0,Strike1,AO71,CC71,0,BL71,IF(OptControl=4,0,1),0,1)-_xll.xCrudeAPO(BS71,BT71,BY71,BZ71,S72,S73,BI71,BL71,BN71,BO71,0,Strike1,AO71,CC71,0,BL71,IF(OptControl=4,0,1),0,1),0)</f>
        <v>0</v>
      </c>
      <c r="CH71" s="303">
        <f ca="1">IF(BD71,_xll.xCrudeAPO(BS71,BT71,CA71,CB71,S72,S73,BI71,BL71,BN71,BO71,0,Strike2,AO71,CC71,0,BL71,IF(OptControl=3,1,0),0,1),0)</f>
        <v>0</v>
      </c>
      <c r="CI71" s="155">
        <f ca="1">IF(BD71,_xll.xCrudeAPO(BS71,BT71,CA71,CB71,S72,S73,BI71,BL71,BN71,BO71,0,Strike2,AO71,CC71,0,BL71,IF(OptControl=3,1,0),1,1)+_xll.xCrudeAPO(BS71,BT71,CA71,CB71,S72,S73,BI71,BL71,BN71,BO71,0,Strike2,AO71,CC71,0,BL71,IF(OptControl=3,1,0),1,2)+IF(OR(VolSkewFlag=2,ABS(BR71)&lt;0.0001),0,IF(BR71&gt;0,-1,1)*CJ71*Strike2/BP71^2*BX71/10%),0)</f>
        <v>0</v>
      </c>
      <c r="CJ71" s="155">
        <f ca="1">IF(BD71,(_xll.xCrudeAPO(BS71,BT71,CA71,CB71,S72,S73,BI71,BL71,BN71,BO71,0,Strike2,AO71,CC71,0,BL71,IF(OptControl=3,1,0),3,1)+_xll.xCrudeAPO(BS71,BT71,CA71,CB71,S72,S73,BI71,BL71,BN71,BO71,0,Strike2,AO71,CC71,0,BL71,IF(OptControl=3,1,0),3,2))/100,0)</f>
        <v>0</v>
      </c>
      <c r="CK71" s="156">
        <f ca="1">IF(BD71,_xll.xCrudeAPO(BS71,BT71,CA71,CB71,S72,S73,BI71-DaysForThetaCalculation/365.25,BL71-DaysForThetaCalculation/365.25,BN71,BO71,0,Strike2,AO71,CC71,0,BL71,IF(OptControl=3,1,0),0,1)-_xll.xCrudeAPO(BS71,BT71,CA71,CB71,S72,S73,BI71,BL71,BN71,BO71,0,Strike2,AO71,CC71,0,BL71,IF(OptControl=3,1,0),0,1),0)</f>
        <v>0</v>
      </c>
      <c r="CL71" s="51"/>
      <c r="CM71" s="779" t="str">
        <f t="shared" ca="1" si="52"/>
        <v/>
      </c>
      <c r="CN71" s="783" t="str">
        <f t="shared" ca="1" si="53"/>
        <v/>
      </c>
      <c r="CO71" s="780" t="str">
        <f t="shared" ca="1" si="54"/>
        <v/>
      </c>
      <c r="CP71" s="780" t="str">
        <f t="shared" ca="1" si="55"/>
        <v/>
      </c>
      <c r="CQ71" s="780" t="str">
        <f t="shared" ca="1" si="56"/>
        <v/>
      </c>
      <c r="CR71" s="780" t="str">
        <f t="shared" ca="1" si="57"/>
        <v/>
      </c>
      <c r="CS71" s="781" t="str">
        <f t="shared" ca="1" si="58"/>
        <v/>
      </c>
      <c r="CT71" s="782" t="str">
        <f t="shared" ca="1" si="59"/>
        <v/>
      </c>
      <c r="CU71" s="782" t="str">
        <f t="shared" ca="1" si="60"/>
        <v/>
      </c>
      <c r="CV71" s="155">
        <f ca="1">IF(BD71,_xll.EURO(CN71,Strike1,AO71,AO71,CT71,CM71,IF(OptControl=4,0,1),0),0)</f>
        <v>0</v>
      </c>
      <c r="CW71" s="155">
        <f ca="1">IF(BD71,_xll.EURO(CN71,Strike1,AO71,AO71,CT71,CM71,IF(OptControl=4,0,1),1)+IF(OR(VolSkewFlag=2,ABS(CO71)&lt;0.0001),0,IF(CO71&gt;0,-1,1)*CX71*100*Strike1/CN71^2*CQ71/10%),0)</f>
        <v>0</v>
      </c>
      <c r="CX71" s="155">
        <f ca="1">IF(BD71,_xll.EURO(CN71,Strike1,AO71,AO71,CT71,CM71,IF(OptControl=4,0,1),3)/100,0)</f>
        <v>0</v>
      </c>
      <c r="CY71" s="155">
        <f ca="1">IF(BD71,_xll.EURO(CN71,Strike1,AO71,AO71,CT71,CM71,IF(OptControl=4,0,1),0)-_xll.EURO(CN71,Strike1,AO71,AO71,CT71,CM71-1,IF(OptControl=4,0,1),0),0)</f>
        <v>0</v>
      </c>
      <c r="CZ71" s="155">
        <f ca="1">IF(BD71,_xll.EURO(CN71,Strike2,AO71,AO71,CU71,CM71,IF(OptControl=3,1,0),0),0)</f>
        <v>0</v>
      </c>
      <c r="DA71" s="155">
        <f ca="1">IF(BD71,_xll.EURO(CN71,Strike2,AO71,AO71,CU71,CM71,IF(OptControl=3,1,0),1)+IF(OR(VolSkewFlag=2,ABS(CP71)&lt;0.0001),0,IF(CP71&gt;0,-1,1)*DB71*100*Strike2/CN71^2*CR71/10%),0)</f>
        <v>0</v>
      </c>
      <c r="DB71" s="155">
        <f ca="1">IF(BD71,_xll.EURO(CN71,Strike2,AO71,AO71,CU71,CM71,IF(OptControl=3,1,0),3)/100,0)</f>
        <v>0</v>
      </c>
      <c r="DC71" s="156">
        <f ca="1">IF(BD71,_xll.EURO(CN71,Strike2,AO71,AO71,CU71,CM71,IF(OptControl=3,1,0),0)-_xll.EURO(CN71,Strike2,AO71,AO71,CU71,CM71-1,IF(OptControl=3,1,0),0),0)</f>
        <v>0</v>
      </c>
      <c r="DE71" s="651">
        <f t="shared" ca="1" si="61"/>
        <v>38473</v>
      </c>
      <c r="DF71" s="465">
        <v>1E-4</v>
      </c>
      <c r="DG71" s="649">
        <v>1E-4</v>
      </c>
      <c r="DH71" s="650">
        <f t="shared" ca="1" si="182"/>
        <v>38473</v>
      </c>
      <c r="DI71" s="465">
        <v>1E-4</v>
      </c>
      <c r="DJ71" s="649">
        <v>1E-4</v>
      </c>
      <c r="DK71" s="651">
        <f t="shared" ca="1" si="183"/>
        <v>38473</v>
      </c>
      <c r="DL71" s="652">
        <f t="shared" si="184"/>
        <v>5.0100000000000006E-2</v>
      </c>
      <c r="DM71" s="651">
        <f t="shared" ca="1" si="62"/>
        <v>38473</v>
      </c>
      <c r="DN71" s="563">
        <f t="shared" si="63"/>
        <v>-0.12990000000000002</v>
      </c>
      <c r="DO71" s="803">
        <v>-0.13</v>
      </c>
      <c r="DP71" s="650">
        <f t="shared" ca="1" si="185"/>
        <v>38473</v>
      </c>
      <c r="DQ71" s="653">
        <v>1E-4</v>
      </c>
      <c r="DR71" s="590">
        <v>1E-4</v>
      </c>
      <c r="DS71" s="650">
        <f t="shared" ca="1" si="186"/>
        <v>38473</v>
      </c>
      <c r="DT71" s="653">
        <v>1E-4</v>
      </c>
      <c r="DU71" s="590">
        <v>1E-4</v>
      </c>
      <c r="DV71" s="651">
        <f t="shared" ca="1" si="187"/>
        <v>38473</v>
      </c>
      <c r="DW71" s="590">
        <v>1E-4</v>
      </c>
      <c r="DX71" s="651">
        <f t="shared" ca="1" si="64"/>
        <v>38473</v>
      </c>
      <c r="DY71" s="590">
        <f t="shared" si="65"/>
        <v>1E-4</v>
      </c>
      <c r="DZ71" s="1"/>
      <c r="EA71" s="863" t="e">
        <f ca="1">_xll.ASN(X71,X71,AO71,AS71,0,AI71,0,BI71,BL71,1,0)</f>
        <v>#NAME?</v>
      </c>
      <c r="EB71" s="653" t="e">
        <f ca="1">_xll.ASN(X71,X71,AO71,AS71,0,AI71,0,BI71,BL71,1,3)/100</f>
        <v>#NAME?</v>
      </c>
      <c r="EC71" s="653" t="e">
        <f ca="1">_xll.xCrudeAPO(L72,L73,O72,O73,S72,S73,BI71,BL71,AJ71,AK71,0,X71,AO71,1,0,+BL71,1,0,1)</f>
        <v>#NAME?</v>
      </c>
      <c r="ED71" s="869" t="e">
        <f t="shared" ca="1" si="165"/>
        <v>#NAME?</v>
      </c>
      <c r="EE71" s="863" t="e">
        <f t="shared" ca="1" si="29"/>
        <v>#NAME?</v>
      </c>
      <c r="EF71" s="590" t="e">
        <f t="shared" ca="1" si="30"/>
        <v>#NAME?</v>
      </c>
      <c r="EG71" s="862" t="str">
        <f t="shared" ca="1" si="188"/>
        <v/>
      </c>
      <c r="EH71" s="114" t="str">
        <f t="shared" ca="1" si="32"/>
        <v/>
      </c>
      <c r="EI71" s="109" t="str">
        <f t="shared" ca="1" si="33"/>
        <v/>
      </c>
      <c r="EJ71" s="115">
        <f ca="1">IF(BD71,_xll.xASN(BP71,Strike1,AO71,EH71,0,BM71,0,BI71,BL71,IF(OptControl=4,0,1),0),0)</f>
        <v>0</v>
      </c>
      <c r="EK71" s="108">
        <f ca="1">IF(BD71,_xll.xASN(BP71,Strike2,AO71,EI71,0,BM71,0,BI71,BL71,IF(OptControl=3,1,0),0),0)</f>
        <v>0</v>
      </c>
      <c r="EP71" s="53"/>
      <c r="EQ71" s="1"/>
      <c r="ER71" s="681">
        <v>41998</v>
      </c>
      <c r="ES71" s="682">
        <v>46016</v>
      </c>
      <c r="ET71" s="1"/>
      <c r="EU71" s="667" t="s">
        <v>257</v>
      </c>
      <c r="EW71" s="488">
        <v>52</v>
      </c>
      <c r="EX71" s="466">
        <f t="shared" ca="1" si="166"/>
        <v>4.2683093771389462</v>
      </c>
      <c r="EY71" s="824">
        <f t="shared" ca="1" si="189"/>
        <v>0.17324310640084661</v>
      </c>
      <c r="EZ71" s="798">
        <f t="shared" ca="1" si="269"/>
        <v>0.20534415185340632</v>
      </c>
      <c r="FA71" s="468" t="str">
        <f t="shared" ca="1" si="270"/>
        <v/>
      </c>
      <c r="FB71" s="467" t="str">
        <f t="shared" ca="1" si="271"/>
        <v/>
      </c>
      <c r="FC71" s="242">
        <v>0</v>
      </c>
      <c r="FD71" s="589" t="str">
        <f ca="1">IF(OR(FA71="",FA72=""),"",SQRT(SUM(INDEX(FO71:IH71,SwaptionFirstMonthPosition+1):INDEX(FO71:IH71,FN71))/SUM(INDEX($FO$15:$IH$15,SwaptionFirstMonthPosition+1):INDEX($FO$15:$IH$15,FN71))))</f>
        <v/>
      </c>
      <c r="FE71" s="565" t="str">
        <f ca="1">IF(OR(FA71="",FA70=""),"",SQRT(SUM(INDEX(FO71:IH71,SwaptionFirstMonthPosition+1):INDEX(FO71:IH71,FN71-1))/SUM(INDEX($FO$15:$IH$15,SwaptionFirstMonthPosition+1):INDEX($FO$15:$IH$15,FN71-1))))</f>
        <v/>
      </c>
      <c r="FF71" s="562" t="str">
        <f t="shared" ca="1" si="190"/>
        <v/>
      </c>
      <c r="FG71" s="593" t="str">
        <f t="shared" ca="1" si="191"/>
        <v/>
      </c>
      <c r="FH71" s="563" t="str">
        <f t="shared" ca="1" si="192"/>
        <v/>
      </c>
      <c r="FI71" s="563" t="str">
        <f t="shared" ca="1" si="193"/>
        <v/>
      </c>
      <c r="FJ71" s="563" t="str">
        <f t="shared" ca="1" si="194"/>
        <v/>
      </c>
      <c r="FK71" s="564" t="str">
        <f t="shared" ca="1" si="195"/>
        <v/>
      </c>
      <c r="FL71" s="590" t="str">
        <f t="shared" ca="1" si="196"/>
        <v/>
      </c>
      <c r="FM71" s="242"/>
      <c r="FN71" s="657">
        <v>52</v>
      </c>
      <c r="FO71" s="450">
        <f t="shared" ca="1" si="197"/>
        <v>6.5749930427229689E-4</v>
      </c>
      <c r="FP71" s="450">
        <f t="shared" ca="1" si="198"/>
        <v>2.4661804463100715E-3</v>
      </c>
      <c r="FQ71" s="450">
        <f t="shared" ca="1" si="199"/>
        <v>2.3799933618857375E-3</v>
      </c>
      <c r="FR71" s="450">
        <f t="shared" ca="1" si="200"/>
        <v>2.6221334662350766E-3</v>
      </c>
      <c r="FS71" s="450">
        <f t="shared" ca="1" si="201"/>
        <v>2.454769858522349E-3</v>
      </c>
      <c r="FT71" s="450">
        <f t="shared" ca="1" si="202"/>
        <v>2.6150929397918375E-3</v>
      </c>
      <c r="FU71" s="450">
        <f t="shared" ca="1" si="203"/>
        <v>2.4489211261417114E-3</v>
      </c>
      <c r="FV71" s="450">
        <f t="shared" ca="1" si="204"/>
        <v>2.2835117979427984E-3</v>
      </c>
      <c r="FW71" s="450">
        <f t="shared" ca="1" si="205"/>
        <v>2.4447852543439726E-3</v>
      </c>
      <c r="FX71" s="450">
        <f t="shared" ca="1" si="206"/>
        <v>2.6878081098350472E-3</v>
      </c>
      <c r="FY71" s="450">
        <f t="shared" ca="1" si="207"/>
        <v>2.3612761537466884E-3</v>
      </c>
      <c r="FZ71" s="450">
        <f t="shared" ca="1" si="208"/>
        <v>2.3611351345797279E-3</v>
      </c>
      <c r="GA71" s="450">
        <f t="shared" ca="1" si="209"/>
        <v>2.6873953691795281E-3</v>
      </c>
      <c r="GB71" s="450">
        <f t="shared" ca="1" si="210"/>
        <v>2.3628898917130883E-3</v>
      </c>
      <c r="GC71" s="450">
        <f t="shared" ca="1" si="211"/>
        <v>2.6095773059138954E-3</v>
      </c>
      <c r="GD71" s="450">
        <f t="shared" ca="1" si="212"/>
        <v>2.449504766085363E-3</v>
      </c>
      <c r="GE71" s="450">
        <f t="shared" ca="1" si="213"/>
        <v>2.3717616628617178E-3</v>
      </c>
      <c r="GF71" s="450">
        <f t="shared" ca="1" si="214"/>
        <v>2.7045879287342909E-3</v>
      </c>
      <c r="GG71" s="450">
        <f t="shared" ca="1" si="215"/>
        <v>2.4651407073105363E-3</v>
      </c>
      <c r="GH71" s="450">
        <f t="shared" ca="1" si="216"/>
        <v>2.3905309182650422E-3</v>
      </c>
      <c r="GI71" s="450">
        <f t="shared" ca="1" si="217"/>
        <v>2.5650903472266523E-3</v>
      </c>
      <c r="GJ71" s="450">
        <f t="shared" ca="1" si="218"/>
        <v>2.5765880641138985E-3</v>
      </c>
      <c r="GK71" s="450">
        <f t="shared" ca="1" si="219"/>
        <v>2.5901047689095335E-3</v>
      </c>
      <c r="GL71" s="450">
        <f t="shared" ca="1" si="220"/>
        <v>2.3537046978057935E-3</v>
      </c>
      <c r="GM71" s="450">
        <f t="shared" ca="1" si="221"/>
        <v>2.6242180701476843E-3</v>
      </c>
      <c r="GN71" s="450">
        <f t="shared" ca="1" si="222"/>
        <v>2.560084492198399E-3</v>
      </c>
      <c r="GO71" s="450">
        <f t="shared" ca="1" si="223"/>
        <v>2.6698674219791554E-3</v>
      </c>
      <c r="GP71" s="450">
        <f t="shared" ca="1" si="224"/>
        <v>2.6109563588899254E-3</v>
      </c>
      <c r="GQ71" s="450">
        <f t="shared" ca="1" si="225"/>
        <v>2.7302811092482786E-3</v>
      </c>
      <c r="GR71" s="450">
        <f t="shared" ca="1" si="226"/>
        <v>2.7673254158840617E-3</v>
      </c>
      <c r="GS71" s="450">
        <f t="shared" ca="1" si="227"/>
        <v>2.7191594997700414E-3</v>
      </c>
      <c r="GT71" s="450">
        <f t="shared" ca="1" si="228"/>
        <v>2.8584941220241695E-3</v>
      </c>
      <c r="GU71" s="450">
        <f t="shared" ca="1" si="229"/>
        <v>2.8203399204838808E-3</v>
      </c>
      <c r="GV71" s="450">
        <f t="shared" ca="1" si="230"/>
        <v>2.9784824441073908E-3</v>
      </c>
      <c r="GW71" s="450">
        <f t="shared" ca="1" si="231"/>
        <v>3.0522160956967985E-3</v>
      </c>
      <c r="GX71" s="450">
        <f t="shared" ca="1" si="232"/>
        <v>2.9347513088562004E-3</v>
      </c>
      <c r="GY71" s="450">
        <f t="shared" ca="1" si="233"/>
        <v>3.2352080817236099E-3</v>
      </c>
      <c r="GZ71" s="450">
        <f t="shared" ca="1" si="234"/>
        <v>3.2407240287953489E-3</v>
      </c>
      <c r="HA71" s="450">
        <f t="shared" ca="1" si="235"/>
        <v>3.4806562817062256E-3</v>
      </c>
      <c r="HB71" s="450">
        <f t="shared" ca="1" si="236"/>
        <v>3.5172672551193477E-3</v>
      </c>
      <c r="HC71" s="450">
        <f t="shared" ca="1" si="237"/>
        <v>3.814778754377557E-3</v>
      </c>
      <c r="HD71" s="450">
        <f t="shared" ca="1" si="238"/>
        <v>4.0271072903400283E-3</v>
      </c>
      <c r="HE71" s="450">
        <f t="shared" ca="1" si="239"/>
        <v>4.1406711790772151E-3</v>
      </c>
      <c r="HF71" s="450">
        <f t="shared" ca="1" si="240"/>
        <v>4.5788248368276354E-3</v>
      </c>
      <c r="HG71" s="450">
        <f t="shared" ca="1" si="241"/>
        <v>4.7802886139403852E-3</v>
      </c>
      <c r="HH71" s="450">
        <f t="shared" ca="1" si="242"/>
        <v>5.3771697689046823E-3</v>
      </c>
      <c r="HI71" s="450">
        <f t="shared" ca="1" si="243"/>
        <v>5.9130003202667878E-3</v>
      </c>
      <c r="HJ71" s="450">
        <f t="shared" ca="1" si="244"/>
        <v>5.940095545279636E-3</v>
      </c>
      <c r="HK71" s="450">
        <f t="shared" ca="1" si="245"/>
        <v>7.4085844559978811E-3</v>
      </c>
      <c r="HL71" s="450">
        <f t="shared" ca="1" si="246"/>
        <v>8.1937315813546407E-3</v>
      </c>
      <c r="HM71" s="450">
        <f t="shared" ca="1" si="247"/>
        <v>9.8346357406075974E-3</v>
      </c>
      <c r="HN71" s="450">
        <f t="shared" ca="1" si="248"/>
        <v>1.1259571838674267E-2</v>
      </c>
      <c r="HO71" s="450" t="str">
        <f t="shared" si="249"/>
        <v/>
      </c>
      <c r="HP71" s="450" t="str">
        <f t="shared" si="250"/>
        <v/>
      </c>
      <c r="HQ71" s="450" t="str">
        <f t="shared" si="251"/>
        <v/>
      </c>
      <c r="HR71" s="450" t="str">
        <f t="shared" si="252"/>
        <v/>
      </c>
      <c r="HS71" s="450" t="str">
        <f t="shared" si="253"/>
        <v/>
      </c>
      <c r="HT71" s="450" t="str">
        <f t="shared" si="254"/>
        <v/>
      </c>
      <c r="HU71" s="450" t="str">
        <f t="shared" si="255"/>
        <v/>
      </c>
      <c r="HV71" s="450" t="str">
        <f t="shared" si="256"/>
        <v/>
      </c>
      <c r="HW71" s="450" t="str">
        <f t="shared" si="257"/>
        <v/>
      </c>
      <c r="HX71" s="450" t="str">
        <f t="shared" si="258"/>
        <v/>
      </c>
      <c r="HY71" s="450" t="str">
        <f t="shared" si="259"/>
        <v/>
      </c>
      <c r="HZ71" s="450" t="str">
        <f t="shared" si="260"/>
        <v/>
      </c>
      <c r="IA71" s="450" t="str">
        <f t="shared" si="261"/>
        <v/>
      </c>
      <c r="IB71" s="450" t="str">
        <f t="shared" si="262"/>
        <v/>
      </c>
      <c r="IC71" s="450" t="str">
        <f t="shared" si="263"/>
        <v/>
      </c>
      <c r="ID71" s="450" t="str">
        <f t="shared" si="264"/>
        <v/>
      </c>
      <c r="IE71" s="450" t="str">
        <f t="shared" si="265"/>
        <v/>
      </c>
      <c r="IF71" s="450" t="str">
        <f t="shared" si="266"/>
        <v/>
      </c>
      <c r="IG71" s="450" t="str">
        <f t="shared" si="267"/>
        <v/>
      </c>
      <c r="IH71" s="658" t="str">
        <f t="shared" si="268"/>
        <v/>
      </c>
      <c r="II71" s="242"/>
    </row>
    <row r="72" spans="1:243">
      <c r="A72" s="51"/>
      <c r="F72" s="51"/>
      <c r="G72" s="51"/>
      <c r="H72" s="49" t="e">
        <f t="shared" ca="1" si="34"/>
        <v>#N/A</v>
      </c>
      <c r="I72" s="369">
        <f t="shared" si="35"/>
        <v>38596</v>
      </c>
      <c r="J72" s="367">
        <v>22.037500000000001</v>
      </c>
      <c r="K72" s="101" t="s">
        <v>268</v>
      </c>
      <c r="L72" s="382">
        <f t="shared" si="36"/>
        <v>22.037500000000005</v>
      </c>
      <c r="M72" s="163">
        <v>0.20085834101775998</v>
      </c>
      <c r="N72" s="372">
        <v>0</v>
      </c>
      <c r="O72" s="163">
        <f t="shared" si="37"/>
        <v>0.20085834101775998</v>
      </c>
      <c r="P72" s="367">
        <v>20.825276652332199</v>
      </c>
      <c r="Q72" s="101" t="s">
        <v>267</v>
      </c>
      <c r="R72" s="367">
        <f t="shared" ca="1" si="147"/>
        <v>20.825276652332182</v>
      </c>
      <c r="S72" s="814">
        <f t="shared" si="163"/>
        <v>0.36994780032330815</v>
      </c>
      <c r="T72" s="813">
        <f t="shared" si="148"/>
        <v>0.99967407339553482</v>
      </c>
      <c r="U72" s="532">
        <f t="shared" si="149"/>
        <v>0.99999999522166105</v>
      </c>
      <c r="V72" s="379">
        <v>0</v>
      </c>
      <c r="W72" s="424">
        <f t="shared" si="168"/>
        <v>22.002272727272736</v>
      </c>
      <c r="X72" s="405">
        <f t="shared" si="169"/>
        <v>22.002272727272729</v>
      </c>
      <c r="Y72" s="313">
        <f t="shared" si="170"/>
        <v>20.683872727272735</v>
      </c>
      <c r="Z72" s="313">
        <f t="shared" ca="1" si="171"/>
        <v>20.683872727272728</v>
      </c>
      <c r="AA72" s="419">
        <f t="shared" si="1"/>
        <v>1.3184</v>
      </c>
      <c r="AB72" s="423">
        <f t="shared" ca="1" si="2"/>
        <v>1.3184</v>
      </c>
      <c r="AC72" s="221">
        <v>38584</v>
      </c>
      <c r="AD72" s="221">
        <v>38580</v>
      </c>
      <c r="AE72" s="221">
        <v>38579</v>
      </c>
      <c r="AF72" s="221">
        <v>38575</v>
      </c>
      <c r="AG72" s="241" t="s">
        <v>90</v>
      </c>
      <c r="AH72" s="239" t="s">
        <v>497</v>
      </c>
      <c r="AI72" s="141">
        <v>22</v>
      </c>
      <c r="AJ72" s="41">
        <v>14</v>
      </c>
      <c r="AK72" s="41">
        <v>8</v>
      </c>
      <c r="AL72" s="285">
        <v>22</v>
      </c>
      <c r="AM72" s="41">
        <v>10</v>
      </c>
      <c r="AN72" s="142">
        <v>12</v>
      </c>
      <c r="AO72" s="364">
        <v>5.2648310941495705E-2</v>
      </c>
      <c r="AP72" s="145">
        <f t="shared" ca="1" si="41"/>
        <v>0.79245022136485499</v>
      </c>
      <c r="AQ72" s="364">
        <v>4.5277080815335304E-2</v>
      </c>
      <c r="AR72" s="145">
        <f t="shared" ca="1" si="151"/>
        <v>0.82291571485245263</v>
      </c>
      <c r="AS72" s="264">
        <f t="shared" si="172"/>
        <v>0.19991789729329817</v>
      </c>
      <c r="AT72" s="149">
        <f t="shared" si="42"/>
        <v>0.20085834101775998</v>
      </c>
      <c r="AU72" s="149">
        <f t="shared" si="4"/>
        <v>0.19975278378092726</v>
      </c>
      <c r="AV72" s="263">
        <f t="shared" ca="1" si="164"/>
        <v>0.1960226284780246</v>
      </c>
      <c r="AW72" s="150" t="str">
        <f t="shared" ca="1" si="173"/>
        <v/>
      </c>
      <c r="AX72" s="149">
        <f t="shared" ca="1" si="152"/>
        <v>3.1321198915293953E-2</v>
      </c>
      <c r="AY72" s="149">
        <f t="shared" ca="1" si="153"/>
        <v>1.583136931988495E-2</v>
      </c>
      <c r="AZ72" s="149">
        <f t="shared" ca="1" si="154"/>
        <v>8.4287179212265556E-3</v>
      </c>
      <c r="BA72" s="149">
        <f t="shared" ca="1" si="155"/>
        <v>1.0000000000000145E-4</v>
      </c>
      <c r="BB72" s="149">
        <f t="shared" ca="1" si="156"/>
        <v>1.0000000000000145E-4</v>
      </c>
      <c r="BC72" s="149">
        <f t="shared" ca="1" si="157"/>
        <v>1.0000000000000145E-4</v>
      </c>
      <c r="BD72" s="143">
        <f t="shared" ca="1" si="174"/>
        <v>0</v>
      </c>
      <c r="BE72" s="144">
        <f t="shared" ca="1" si="175"/>
        <v>0</v>
      </c>
      <c r="BF72" s="40">
        <f t="shared" si="176"/>
        <v>2005</v>
      </c>
      <c r="BG72" s="139">
        <f t="shared" si="177"/>
        <v>9</v>
      </c>
      <c r="BH72" s="140">
        <f t="shared" ca="1" si="178"/>
        <v>1590</v>
      </c>
      <c r="BI72" s="304">
        <f t="shared" ca="1" si="179"/>
        <v>4.3969883641341543</v>
      </c>
      <c r="BJ72" s="42">
        <f t="shared" ca="1" si="47"/>
        <v>4.4475141559330469</v>
      </c>
      <c r="BK72" s="42">
        <f t="shared" ca="1" si="180"/>
        <v>4.450252006720179</v>
      </c>
      <c r="BL72" s="42">
        <f t="shared" ca="1" si="181"/>
        <v>4.476386036960986</v>
      </c>
      <c r="BM72" s="285">
        <f t="shared" si="49"/>
        <v>22</v>
      </c>
      <c r="BN72" s="41">
        <f t="shared" si="50"/>
        <v>14</v>
      </c>
      <c r="BO72" s="41">
        <f t="shared" si="51"/>
        <v>8</v>
      </c>
      <c r="BP72" s="297" t="str">
        <f t="shared" ca="1" si="10"/>
        <v/>
      </c>
      <c r="BQ72" s="297" t="str">
        <f t="shared" ca="1" si="11"/>
        <v/>
      </c>
      <c r="BR72" s="299" t="str">
        <f t="shared" ca="1" si="12"/>
        <v/>
      </c>
      <c r="BS72" s="153" t="str">
        <f t="shared" ca="1" si="13"/>
        <v/>
      </c>
      <c r="BT72" s="153" t="str">
        <f t="shared" ca="1" si="14"/>
        <v/>
      </c>
      <c r="BU72" s="300" t="str">
        <f t="shared" ca="1" si="15"/>
        <v/>
      </c>
      <c r="BV72" s="301" t="str">
        <f t="shared" ca="1" si="16"/>
        <v/>
      </c>
      <c r="BW72" s="300" t="str">
        <f t="shared" ca="1" si="17"/>
        <v/>
      </c>
      <c r="BX72" s="301" t="str">
        <f t="shared" ca="1" si="18"/>
        <v/>
      </c>
      <c r="BY72" s="146" t="str">
        <f t="shared" ca="1" si="19"/>
        <v/>
      </c>
      <c r="BZ72" s="146" t="str">
        <f t="shared" ca="1" si="20"/>
        <v/>
      </c>
      <c r="CA72" s="146" t="str">
        <f t="shared" ca="1" si="21"/>
        <v/>
      </c>
      <c r="CB72" s="146" t="str">
        <f t="shared" ca="1" si="22"/>
        <v/>
      </c>
      <c r="CC72" s="302">
        <v>1</v>
      </c>
      <c r="CD72" s="154">
        <f ca="1">IF(BD72,_xll.xCrudeAPO(BS72,BT72,BY72,BZ72,S73,S74,BI72,BL72,BN72,BO72,0,Strike1,AO72,CC72,0,BL72,IF(OptControl=4,0,1),0,1),0)</f>
        <v>0</v>
      </c>
      <c r="CE72" s="155">
        <f ca="1">IF(BD72,_xll.xCrudeAPO(BS72,BT72,BY72,BZ72,S73,S74,BI72,BL72,BN72,BO72,0,Strike1,AO72,CC72,0,BL72,IF(OptControl=4,0,1),1,1)+_xll.xCrudeAPO(BS72,BT72,BY72,BZ72,S73,S74,BI72,BL72,BN72,BO72,0,Strike1,AO72,CC72,0,BL72,IF(OptControl=4,0,1),1,2)+IF(OR(VolSkewFlag=2,ABS(BQ72)&lt;0.0001),0,IF(BQ72&gt;0,-1,1)*CF72*Strike1/BP72^2*BW72/10%),0)</f>
        <v>0</v>
      </c>
      <c r="CF72" s="155">
        <f ca="1">IF(BD72,(_xll.xCrudeAPO(BS72,BT72,BY72,BZ72,S73,S74,BI72,BL72,BN72,BO72,0,Strike1,AO72,CC72,0,BL72,IF(OptControl=4,0,1),3,1)+_xll.xCrudeAPO(BS72,BT72,BY72,BZ72,S73,S74,BI72,BL72,BN72,BO72,0,Strike1,AO72,CC72,0,BL72,IF(OptControl=4,0,1),3,2))/100,0)</f>
        <v>0</v>
      </c>
      <c r="CG72" s="155">
        <f ca="1">IF(BD72,_xll.xCrudeAPO(BS72,BT72,BY72,BZ72,S73,S74,BI72-DaysForThetaCalculation/365.25,BL72-DaysForThetaCalculation/365.25,BN72,BO72,0,Strike1,AO72,CC72,0,BL72,IF(OptControl=4,0,1),0,1)-_xll.xCrudeAPO(BS72,BT72,BY72,BZ72,S73,S74,BI72,BL72,BN72,BO72,0,Strike1,AO72,CC72,0,BL72,IF(OptControl=4,0,1),0,1),0)</f>
        <v>0</v>
      </c>
      <c r="CH72" s="303">
        <f ca="1">IF(BD72,_xll.xCrudeAPO(BS72,BT72,CA72,CB72,S73,S74,BI72,BL72,BN72,BO72,0,Strike2,AO72,CC72,0,BL72,IF(OptControl=3,1,0),0,1),0)</f>
        <v>0</v>
      </c>
      <c r="CI72" s="155">
        <f ca="1">IF(BD72,_xll.xCrudeAPO(BS72,BT72,CA72,CB72,S73,S74,BI72,BL72,BN72,BO72,0,Strike2,AO72,CC72,0,BL72,IF(OptControl=3,1,0),1,1)+_xll.xCrudeAPO(BS72,BT72,CA72,CB72,S73,S74,BI72,BL72,BN72,BO72,0,Strike2,AO72,CC72,0,BL72,IF(OptControl=3,1,0),1,2)+IF(OR(VolSkewFlag=2,ABS(BR72)&lt;0.0001),0,IF(BR72&gt;0,-1,1)*CJ72*Strike2/BP72^2*BX72/10%),0)</f>
        <v>0</v>
      </c>
      <c r="CJ72" s="155">
        <f ca="1">IF(BD72,(_xll.xCrudeAPO(BS72,BT72,CA72,CB72,S73,S74,BI72,BL72,BN72,BO72,0,Strike2,AO72,CC72,0,BL72,IF(OptControl=3,1,0),3,1)+_xll.xCrudeAPO(BS72,BT72,CA72,CB72,S73,S74,BI72,BL72,BN72,BO72,0,Strike2,AO72,CC72,0,BL72,IF(OptControl=3,1,0),3,2))/100,0)</f>
        <v>0</v>
      </c>
      <c r="CK72" s="156">
        <f ca="1">IF(BD72,_xll.xCrudeAPO(BS72,BT72,CA72,CB72,S73,S74,BI72-DaysForThetaCalculation/365.25,BL72-DaysForThetaCalculation/365.25,BN72,BO72,0,Strike2,AO72,CC72,0,BL72,IF(OptControl=3,1,0),0,1)-_xll.xCrudeAPO(BS72,BT72,CA72,CB72,S73,S74,BI72,BL72,BN72,BO72,0,Strike2,AO72,CC72,0,BL72,IF(OptControl=3,1,0),0,1),0)</f>
        <v>0</v>
      </c>
      <c r="CL72" s="51"/>
      <c r="CM72" s="779" t="str">
        <f t="shared" ca="1" si="52"/>
        <v/>
      </c>
      <c r="CN72" s="783" t="str">
        <f t="shared" ca="1" si="53"/>
        <v/>
      </c>
      <c r="CO72" s="780" t="str">
        <f t="shared" ca="1" si="54"/>
        <v/>
      </c>
      <c r="CP72" s="780" t="str">
        <f t="shared" ca="1" si="55"/>
        <v/>
      </c>
      <c r="CQ72" s="780" t="str">
        <f t="shared" ca="1" si="56"/>
        <v/>
      </c>
      <c r="CR72" s="780" t="str">
        <f t="shared" ca="1" si="57"/>
        <v/>
      </c>
      <c r="CS72" s="781" t="str">
        <f t="shared" ca="1" si="58"/>
        <v/>
      </c>
      <c r="CT72" s="782" t="str">
        <f t="shared" ca="1" si="59"/>
        <v/>
      </c>
      <c r="CU72" s="782" t="str">
        <f t="shared" ca="1" si="60"/>
        <v/>
      </c>
      <c r="CV72" s="155">
        <f ca="1">IF(BD72,_xll.EURO(CN72,Strike1,AO72,AO72,CT72,CM72,IF(OptControl=4,0,1),0),0)</f>
        <v>0</v>
      </c>
      <c r="CW72" s="155">
        <f ca="1">IF(BD72,_xll.EURO(CN72,Strike1,AO72,AO72,CT72,CM72,IF(OptControl=4,0,1),1)+IF(OR(VolSkewFlag=2,ABS(CO72)&lt;0.0001),0,IF(CO72&gt;0,-1,1)*CX72*100*Strike1/CN72^2*CQ72/10%),0)</f>
        <v>0</v>
      </c>
      <c r="CX72" s="155">
        <f ca="1">IF(BD72,_xll.EURO(CN72,Strike1,AO72,AO72,CT72,CM72,IF(OptControl=4,0,1),3)/100,0)</f>
        <v>0</v>
      </c>
      <c r="CY72" s="155">
        <f ca="1">IF(BD72,_xll.EURO(CN72,Strike1,AO72,AO72,CT72,CM72,IF(OptControl=4,0,1),0)-_xll.EURO(CN72,Strike1,AO72,AO72,CT72,CM72-1,IF(OptControl=4,0,1),0),0)</f>
        <v>0</v>
      </c>
      <c r="CZ72" s="155">
        <f ca="1">IF(BD72,_xll.EURO(CN72,Strike2,AO72,AO72,CU72,CM72,IF(OptControl=3,1,0),0),0)</f>
        <v>0</v>
      </c>
      <c r="DA72" s="155">
        <f ca="1">IF(BD72,_xll.EURO(CN72,Strike2,AO72,AO72,CU72,CM72,IF(OptControl=3,1,0),1)+IF(OR(VolSkewFlag=2,ABS(CP72)&lt;0.0001),0,IF(CP72&gt;0,-1,1)*DB72*100*Strike2/CN72^2*CR72/10%),0)</f>
        <v>0</v>
      </c>
      <c r="DB72" s="155">
        <f ca="1">IF(BD72,_xll.EURO(CN72,Strike2,AO72,AO72,CU72,CM72,IF(OptControl=3,1,0),3)/100,0)</f>
        <v>0</v>
      </c>
      <c r="DC72" s="156">
        <f ca="1">IF(BD72,_xll.EURO(CN72,Strike2,AO72,AO72,CU72,CM72,IF(OptControl=3,1,0),0)-_xll.EURO(CN72,Strike2,AO72,AO72,CU72,CM72-1,IF(OptControl=3,1,0),0),0)</f>
        <v>0</v>
      </c>
      <c r="DE72" s="651">
        <f t="shared" ca="1" si="61"/>
        <v>38504</v>
      </c>
      <c r="DF72" s="465">
        <v>1E-4</v>
      </c>
      <c r="DG72" s="649">
        <v>1E-4</v>
      </c>
      <c r="DH72" s="650">
        <f t="shared" ca="1" si="182"/>
        <v>38504</v>
      </c>
      <c r="DI72" s="465">
        <v>1E-4</v>
      </c>
      <c r="DJ72" s="649">
        <v>1E-4</v>
      </c>
      <c r="DK72" s="651">
        <f t="shared" ca="1" si="183"/>
        <v>38504</v>
      </c>
      <c r="DL72" s="652">
        <f t="shared" si="184"/>
        <v>5.0100000000000006E-2</v>
      </c>
      <c r="DM72" s="651">
        <f t="shared" ca="1" si="62"/>
        <v>38504</v>
      </c>
      <c r="DN72" s="563">
        <f t="shared" si="63"/>
        <v>-0.12990000000000002</v>
      </c>
      <c r="DO72" s="803">
        <v>-0.13</v>
      </c>
      <c r="DP72" s="650">
        <f t="shared" ca="1" si="185"/>
        <v>38504</v>
      </c>
      <c r="DQ72" s="653">
        <v>1E-4</v>
      </c>
      <c r="DR72" s="590">
        <v>1E-4</v>
      </c>
      <c r="DS72" s="650">
        <f t="shared" ca="1" si="186"/>
        <v>38504</v>
      </c>
      <c r="DT72" s="653">
        <v>1E-4</v>
      </c>
      <c r="DU72" s="590">
        <v>1E-4</v>
      </c>
      <c r="DV72" s="651">
        <f t="shared" ca="1" si="187"/>
        <v>38504</v>
      </c>
      <c r="DW72" s="590">
        <v>1E-4</v>
      </c>
      <c r="DX72" s="651">
        <f t="shared" ca="1" si="64"/>
        <v>38504</v>
      </c>
      <c r="DY72" s="590">
        <f t="shared" si="65"/>
        <v>1E-4</v>
      </c>
      <c r="DZ72" s="1"/>
      <c r="EA72" s="863" t="e">
        <f ca="1">_xll.ASN(X72,X72,AO72,AS72,0,AI72,0,BI72,BL72,1,0)</f>
        <v>#NAME?</v>
      </c>
      <c r="EB72" s="653" t="e">
        <f ca="1">_xll.ASN(X72,X72,AO72,AS72,0,AI72,0,BI72,BL72,1,3)/100</f>
        <v>#NAME?</v>
      </c>
      <c r="EC72" s="653" t="e">
        <f ca="1">_xll.xCrudeAPO(L73,L74,O73,O74,S73,S74,BI72,BL72,AJ72,AK72,0,X72,AO72,1,0,+BL72,1,0,1)</f>
        <v>#NAME?</v>
      </c>
      <c r="ED72" s="869" t="e">
        <f t="shared" ca="1" si="165"/>
        <v>#NAME?</v>
      </c>
      <c r="EE72" s="863" t="e">
        <f t="shared" ca="1" si="29"/>
        <v>#NAME?</v>
      </c>
      <c r="EF72" s="590" t="e">
        <f t="shared" ca="1" si="30"/>
        <v>#NAME?</v>
      </c>
      <c r="EG72" s="862" t="str">
        <f t="shared" ca="1" si="188"/>
        <v/>
      </c>
      <c r="EH72" s="114" t="str">
        <f t="shared" ca="1" si="32"/>
        <v/>
      </c>
      <c r="EI72" s="109" t="str">
        <f t="shared" ca="1" si="33"/>
        <v/>
      </c>
      <c r="EJ72" s="115">
        <f ca="1">IF(BD72,_xll.xASN(BP72,Strike1,AO72,EH72,0,BM72,0,BI72,BL72,IF(OptControl=4,0,1),0),0)</f>
        <v>0</v>
      </c>
      <c r="EK72" s="108">
        <f ca="1">IF(BD72,_xll.xASN(BP72,Strike2,AO72,EI72,0,BM72,0,BI72,BL72,IF(OptControl=3,1,0),0),0)</f>
        <v>0</v>
      </c>
      <c r="EP72" s="53"/>
      <c r="EQ72" s="1"/>
      <c r="ER72" s="681">
        <v>42005</v>
      </c>
      <c r="ES72" s="682">
        <v>46023</v>
      </c>
      <c r="ET72" s="1"/>
      <c r="EU72" s="667" t="s">
        <v>258</v>
      </c>
      <c r="EW72" s="488">
        <v>53</v>
      </c>
      <c r="EX72" s="466">
        <f t="shared" ca="1" si="166"/>
        <v>4.3531827515400412</v>
      </c>
      <c r="EY72" s="824">
        <f t="shared" ca="1" si="189"/>
        <v>0.17562512339133951</v>
      </c>
      <c r="EZ72" s="798">
        <f t="shared" ca="1" si="269"/>
        <v>0.2046780587463331</v>
      </c>
      <c r="FA72" s="468" t="str">
        <f t="shared" ca="1" si="270"/>
        <v/>
      </c>
      <c r="FB72" s="467" t="str">
        <f t="shared" ca="1" si="271"/>
        <v/>
      </c>
      <c r="FC72" s="242">
        <v>0</v>
      </c>
      <c r="FD72" s="589" t="str">
        <f ca="1">IF(OR(FA72="",FA73=""),"",SQRT(SUM(INDEX(FO72:IH72,SwaptionFirstMonthPosition+1):INDEX(FO72:IH72,FN72))/SUM(INDEX($FO$15:$IH$15,SwaptionFirstMonthPosition+1):INDEX($FO$15:$IH$15,FN72))))</f>
        <v/>
      </c>
      <c r="FE72" s="565" t="str">
        <f ca="1">IF(OR(FA72="",FA71=""),"",SQRT(SUM(INDEX(FO72:IH72,SwaptionFirstMonthPosition+1):INDEX(FO72:IH72,FN72-1))/SUM(INDEX($FO$15:$IH$15,SwaptionFirstMonthPosition+1):INDEX($FO$15:$IH$15,FN72-1))))</f>
        <v/>
      </c>
      <c r="FF72" s="562" t="str">
        <f t="shared" ca="1" si="190"/>
        <v/>
      </c>
      <c r="FG72" s="593" t="str">
        <f t="shared" ca="1" si="191"/>
        <v/>
      </c>
      <c r="FH72" s="563" t="str">
        <f t="shared" ca="1" si="192"/>
        <v/>
      </c>
      <c r="FI72" s="563" t="str">
        <f t="shared" ca="1" si="193"/>
        <v/>
      </c>
      <c r="FJ72" s="563" t="str">
        <f t="shared" ca="1" si="194"/>
        <v/>
      </c>
      <c r="FK72" s="564" t="str">
        <f t="shared" ca="1" si="195"/>
        <v/>
      </c>
      <c r="FL72" s="590" t="str">
        <f t="shared" ca="1" si="196"/>
        <v/>
      </c>
      <c r="FM72" s="242"/>
      <c r="FN72" s="657">
        <v>53</v>
      </c>
      <c r="FO72" s="450">
        <f t="shared" ca="1" si="197"/>
        <v>6.5702317088705599E-4</v>
      </c>
      <c r="FP72" s="450">
        <f t="shared" ca="1" si="198"/>
        <v>2.4641961081824509E-3</v>
      </c>
      <c r="FQ72" s="450">
        <f t="shared" ca="1" si="199"/>
        <v>2.3778655949133372E-3</v>
      </c>
      <c r="FR72" s="450">
        <f t="shared" ca="1" si="200"/>
        <v>2.619528748892382E-3</v>
      </c>
      <c r="FS72" s="450">
        <f t="shared" ca="1" si="201"/>
        <v>2.4520604525684431E-3</v>
      </c>
      <c r="FT72" s="450">
        <f t="shared" ca="1" si="202"/>
        <v>2.6118858736446835E-3</v>
      </c>
      <c r="FU72" s="450">
        <f t="shared" ca="1" si="203"/>
        <v>2.4455841501839319E-3</v>
      </c>
      <c r="FV72" s="450">
        <f t="shared" ca="1" si="204"/>
        <v>2.2800544823075365E-3</v>
      </c>
      <c r="FW72" s="450">
        <f t="shared" ca="1" si="205"/>
        <v>2.4406724885532791E-3</v>
      </c>
      <c r="FX72" s="450">
        <f t="shared" ca="1" si="206"/>
        <v>2.6827841169976691E-3</v>
      </c>
      <c r="FY72" s="450">
        <f t="shared" ca="1" si="207"/>
        <v>2.3563721022342777E-3</v>
      </c>
      <c r="FZ72" s="450">
        <f t="shared" ca="1" si="208"/>
        <v>2.355686513874555E-3</v>
      </c>
      <c r="GA72" s="450">
        <f t="shared" ca="1" si="209"/>
        <v>2.6805048049114016E-3</v>
      </c>
      <c r="GB72" s="450">
        <f t="shared" ca="1" si="210"/>
        <v>2.3561582003164953E-3</v>
      </c>
      <c r="GC72" s="450">
        <f t="shared" ca="1" si="211"/>
        <v>2.6013167671931751E-3</v>
      </c>
      <c r="GD72" s="450">
        <f t="shared" ca="1" si="212"/>
        <v>2.4408893950906545E-3</v>
      </c>
      <c r="GE72" s="450">
        <f t="shared" ca="1" si="213"/>
        <v>2.3624928475124577E-3</v>
      </c>
      <c r="GF72" s="450">
        <f t="shared" ca="1" si="214"/>
        <v>2.6928440439625205E-3</v>
      </c>
      <c r="GG72" s="450">
        <f t="shared" ca="1" si="215"/>
        <v>2.453247201749823E-3</v>
      </c>
      <c r="GH72" s="450">
        <f t="shared" ca="1" si="216"/>
        <v>2.377715876607886E-3</v>
      </c>
      <c r="GI72" s="450">
        <f t="shared" ca="1" si="217"/>
        <v>2.5498116679625051E-3</v>
      </c>
      <c r="GJ72" s="450">
        <f t="shared" ca="1" si="218"/>
        <v>2.5595356594989072E-3</v>
      </c>
      <c r="GK72" s="450">
        <f t="shared" ca="1" si="219"/>
        <v>2.5710582566591243E-3</v>
      </c>
      <c r="GL72" s="450">
        <f t="shared" ca="1" si="220"/>
        <v>2.3344734442635852E-3</v>
      </c>
      <c r="GM72" s="450">
        <f t="shared" ca="1" si="221"/>
        <v>2.6003941605920611E-3</v>
      </c>
      <c r="GN72" s="450">
        <f t="shared" ca="1" si="222"/>
        <v>2.5342604097620997E-3</v>
      </c>
      <c r="GO72" s="450">
        <f t="shared" ca="1" si="223"/>
        <v>2.6399435500612609E-3</v>
      </c>
      <c r="GP72" s="450">
        <f t="shared" ca="1" si="224"/>
        <v>2.5784412513675044E-3</v>
      </c>
      <c r="GQ72" s="450">
        <f t="shared" ca="1" si="225"/>
        <v>2.6925021111295008E-3</v>
      </c>
      <c r="GR72" s="450">
        <f t="shared" ca="1" si="226"/>
        <v>2.724779214189706E-3</v>
      </c>
      <c r="GS72" s="450">
        <f t="shared" ca="1" si="227"/>
        <v>2.6727087491434237E-3</v>
      </c>
      <c r="GT72" s="450">
        <f t="shared" ca="1" si="228"/>
        <v>2.8042374880079004E-3</v>
      </c>
      <c r="GU72" s="450">
        <f t="shared" ca="1" si="229"/>
        <v>2.7608594371186629E-3</v>
      </c>
      <c r="GV72" s="450">
        <f t="shared" ca="1" si="230"/>
        <v>2.9086872419272036E-3</v>
      </c>
      <c r="GW72" s="450">
        <f t="shared" ca="1" si="231"/>
        <v>2.9727460809066842E-3</v>
      </c>
      <c r="GX72" s="450">
        <f t="shared" ca="1" si="232"/>
        <v>2.8498495257991388E-3</v>
      </c>
      <c r="GY72" s="450">
        <f t="shared" ca="1" si="233"/>
        <v>3.1312148162749381E-3</v>
      </c>
      <c r="GZ72" s="450">
        <f t="shared" ca="1" si="234"/>
        <v>3.1249789495645824E-3</v>
      </c>
      <c r="HA72" s="450">
        <f t="shared" ca="1" si="235"/>
        <v>3.3425291109733641E-3</v>
      </c>
      <c r="HB72" s="450">
        <f t="shared" ca="1" si="236"/>
        <v>3.3621783116876097E-3</v>
      </c>
      <c r="HC72" s="450">
        <f t="shared" ca="1" si="237"/>
        <v>3.627881761302056E-3</v>
      </c>
      <c r="HD72" s="450">
        <f t="shared" ca="1" si="238"/>
        <v>3.8078855355635002E-3</v>
      </c>
      <c r="HE72" s="450">
        <f t="shared" ca="1" si="239"/>
        <v>3.8902225357028237E-3</v>
      </c>
      <c r="HF72" s="450">
        <f t="shared" ca="1" si="240"/>
        <v>4.271102189127688E-3</v>
      </c>
      <c r="HG72" s="450">
        <f t="shared" ca="1" si="241"/>
        <v>4.4233306798093595E-3</v>
      </c>
      <c r="HH72" s="450">
        <f t="shared" ca="1" si="242"/>
        <v>4.9310266900159687E-3</v>
      </c>
      <c r="HI72" s="450">
        <f t="shared" ca="1" si="243"/>
        <v>5.3678882421601638E-3</v>
      </c>
      <c r="HJ72" s="450">
        <f t="shared" ca="1" si="244"/>
        <v>5.3316400420648719E-3</v>
      </c>
      <c r="HK72" s="450">
        <f t="shared" ca="1" si="245"/>
        <v>6.5653892677645801E-3</v>
      </c>
      <c r="HL72" s="450">
        <f t="shared" ca="1" si="246"/>
        <v>7.1575589743370091E-3</v>
      </c>
      <c r="HM72" s="450">
        <f t="shared" ca="1" si="247"/>
        <v>8.4527690656263071E-3</v>
      </c>
      <c r="HN72" s="450">
        <f t="shared" ca="1" si="248"/>
        <v>9.5016999087587962E-3</v>
      </c>
      <c r="HO72" s="450">
        <f t="shared" ca="1" si="249"/>
        <v>1.1615886718372829E-2</v>
      </c>
      <c r="HP72" s="450" t="str">
        <f t="shared" si="250"/>
        <v/>
      </c>
      <c r="HQ72" s="450" t="str">
        <f t="shared" si="251"/>
        <v/>
      </c>
      <c r="HR72" s="450" t="str">
        <f t="shared" si="252"/>
        <v/>
      </c>
      <c r="HS72" s="450" t="str">
        <f t="shared" si="253"/>
        <v/>
      </c>
      <c r="HT72" s="450" t="str">
        <f t="shared" si="254"/>
        <v/>
      </c>
      <c r="HU72" s="450" t="str">
        <f t="shared" si="255"/>
        <v/>
      </c>
      <c r="HV72" s="450" t="str">
        <f t="shared" si="256"/>
        <v/>
      </c>
      <c r="HW72" s="450" t="str">
        <f t="shared" si="257"/>
        <v/>
      </c>
      <c r="HX72" s="450" t="str">
        <f t="shared" si="258"/>
        <v/>
      </c>
      <c r="HY72" s="450" t="str">
        <f t="shared" si="259"/>
        <v/>
      </c>
      <c r="HZ72" s="450" t="str">
        <f t="shared" si="260"/>
        <v/>
      </c>
      <c r="IA72" s="450" t="str">
        <f t="shared" si="261"/>
        <v/>
      </c>
      <c r="IB72" s="450" t="str">
        <f t="shared" si="262"/>
        <v/>
      </c>
      <c r="IC72" s="450" t="str">
        <f t="shared" si="263"/>
        <v/>
      </c>
      <c r="ID72" s="450" t="str">
        <f t="shared" si="264"/>
        <v/>
      </c>
      <c r="IE72" s="450" t="str">
        <f t="shared" si="265"/>
        <v/>
      </c>
      <c r="IF72" s="450" t="str">
        <f t="shared" si="266"/>
        <v/>
      </c>
      <c r="IG72" s="450" t="str">
        <f t="shared" si="267"/>
        <v/>
      </c>
      <c r="IH72" s="658" t="str">
        <f t="shared" si="268"/>
        <v/>
      </c>
      <c r="II72" s="242"/>
    </row>
    <row r="73" spans="1:243">
      <c r="A73" s="51"/>
      <c r="F73" s="51"/>
      <c r="G73" s="51"/>
      <c r="H73" s="49" t="e">
        <f t="shared" ca="1" si="34"/>
        <v>#N/A</v>
      </c>
      <c r="I73" s="369">
        <f t="shared" si="35"/>
        <v>38626</v>
      </c>
      <c r="J73" s="367">
        <v>22.011666666666699</v>
      </c>
      <c r="K73" s="101" t="s">
        <v>268</v>
      </c>
      <c r="L73" s="382">
        <f t="shared" si="36"/>
        <v>22.01166666666667</v>
      </c>
      <c r="M73" s="163">
        <v>0.20024812431803998</v>
      </c>
      <c r="N73" s="372">
        <v>0</v>
      </c>
      <c r="O73" s="163">
        <f t="shared" si="37"/>
        <v>0.20024812431803998</v>
      </c>
      <c r="P73" s="367">
        <v>20.621528216154697</v>
      </c>
      <c r="Q73" s="101" t="s">
        <v>267</v>
      </c>
      <c r="R73" s="367">
        <f t="shared" ca="1" si="147"/>
        <v>20.621528216154736</v>
      </c>
      <c r="S73" s="814">
        <f t="shared" si="163"/>
        <v>0.36964832232007505</v>
      </c>
      <c r="T73" s="813">
        <f t="shared" si="148"/>
        <v>0.99970667119578083</v>
      </c>
      <c r="U73" s="532">
        <f t="shared" si="149"/>
        <v>0.99999999641624582</v>
      </c>
      <c r="V73" s="379">
        <v>0</v>
      </c>
      <c r="W73" s="424">
        <f t="shared" si="168"/>
        <v>21.977222222222199</v>
      </c>
      <c r="X73" s="405">
        <f t="shared" si="169"/>
        <v>21.97722222222222</v>
      </c>
      <c r="Y73" s="313">
        <f t="shared" si="170"/>
        <v>20.735622222222197</v>
      </c>
      <c r="Z73" s="313">
        <f t="shared" ca="1" si="171"/>
        <v>20.735622222222219</v>
      </c>
      <c r="AA73" s="419">
        <f t="shared" si="1"/>
        <v>1.2416</v>
      </c>
      <c r="AB73" s="423">
        <f t="shared" ca="1" si="2"/>
        <v>1.2416</v>
      </c>
      <c r="AC73" s="221">
        <v>38615</v>
      </c>
      <c r="AD73" s="221">
        <v>38611</v>
      </c>
      <c r="AE73" s="221">
        <v>38610</v>
      </c>
      <c r="AF73" s="221">
        <v>38606</v>
      </c>
      <c r="AG73" s="241" t="s">
        <v>90</v>
      </c>
      <c r="AH73" s="239" t="s">
        <v>497</v>
      </c>
      <c r="AI73" s="141">
        <v>21</v>
      </c>
      <c r="AJ73" s="41">
        <v>14</v>
      </c>
      <c r="AK73" s="41">
        <v>7</v>
      </c>
      <c r="AL73" s="285">
        <v>21</v>
      </c>
      <c r="AM73" s="41">
        <v>10</v>
      </c>
      <c r="AN73" s="142">
        <v>11</v>
      </c>
      <c r="AO73" s="364">
        <v>5.2801990784513197E-2</v>
      </c>
      <c r="AP73" s="145">
        <f t="shared" ca="1" si="41"/>
        <v>0.78842405404144489</v>
      </c>
      <c r="AQ73" s="364">
        <v>4.5212758595227304E-2</v>
      </c>
      <c r="AR73" s="145">
        <f t="shared" ca="1" si="151"/>
        <v>0.82002347478032078</v>
      </c>
      <c r="AS73" s="264">
        <f t="shared" si="172"/>
        <v>0.19901333333333332</v>
      </c>
      <c r="AT73" s="149">
        <f t="shared" si="42"/>
        <v>0.20024812431803998</v>
      </c>
      <c r="AU73" s="149">
        <f t="shared" si="4"/>
        <v>0.19882666666666665</v>
      </c>
      <c r="AV73" s="263">
        <f t="shared" ca="1" si="164"/>
        <v>0.19549187642206942</v>
      </c>
      <c r="AW73" s="150" t="str">
        <f t="shared" ca="1" si="173"/>
        <v/>
      </c>
      <c r="AX73" s="149">
        <f t="shared" ca="1" si="152"/>
        <v>3.0881192018604186E-2</v>
      </c>
      <c r="AY73" s="149">
        <f t="shared" ca="1" si="153"/>
        <v>1.5558976861363248E-2</v>
      </c>
      <c r="AZ73" s="149">
        <f t="shared" ca="1" si="154"/>
        <v>8.3282652223024868E-3</v>
      </c>
      <c r="BA73" s="149">
        <f t="shared" ca="1" si="155"/>
        <v>1.000000000000015E-4</v>
      </c>
      <c r="BB73" s="149">
        <f t="shared" ca="1" si="156"/>
        <v>1.000000000000015E-4</v>
      </c>
      <c r="BC73" s="149">
        <f t="shared" ca="1" si="157"/>
        <v>1.000000000000015E-4</v>
      </c>
      <c r="BD73" s="143">
        <f t="shared" ca="1" si="174"/>
        <v>0</v>
      </c>
      <c r="BE73" s="144">
        <f t="shared" ca="1" si="175"/>
        <v>0</v>
      </c>
      <c r="BF73" s="40">
        <f t="shared" si="176"/>
        <v>2005</v>
      </c>
      <c r="BG73" s="139">
        <f t="shared" si="177"/>
        <v>10</v>
      </c>
      <c r="BH73" s="140">
        <f t="shared" ca="1" si="178"/>
        <v>1621</v>
      </c>
      <c r="BI73" s="304">
        <f t="shared" ca="1" si="179"/>
        <v>4.4791238877481181</v>
      </c>
      <c r="BJ73" s="42">
        <f t="shared" ca="1" si="47"/>
        <v>4.5338809034907603</v>
      </c>
      <c r="BK73" s="42">
        <f t="shared" ca="1" si="180"/>
        <v>4.5366187542778924</v>
      </c>
      <c r="BL73" s="42">
        <f t="shared" ca="1" si="181"/>
        <v>4.561259411362081</v>
      </c>
      <c r="BM73" s="285">
        <f t="shared" si="49"/>
        <v>21</v>
      </c>
      <c r="BN73" s="41">
        <f t="shared" si="50"/>
        <v>14</v>
      </c>
      <c r="BO73" s="41">
        <f t="shared" si="51"/>
        <v>7</v>
      </c>
      <c r="BP73" s="297" t="str">
        <f t="shared" ca="1" si="10"/>
        <v/>
      </c>
      <c r="BQ73" s="297" t="str">
        <f t="shared" ca="1" si="11"/>
        <v/>
      </c>
      <c r="BR73" s="299" t="str">
        <f t="shared" ca="1" si="12"/>
        <v/>
      </c>
      <c r="BS73" s="153" t="str">
        <f t="shared" ca="1" si="13"/>
        <v/>
      </c>
      <c r="BT73" s="153" t="str">
        <f t="shared" ca="1" si="14"/>
        <v/>
      </c>
      <c r="BU73" s="300" t="str">
        <f t="shared" ca="1" si="15"/>
        <v/>
      </c>
      <c r="BV73" s="301" t="str">
        <f t="shared" ca="1" si="16"/>
        <v/>
      </c>
      <c r="BW73" s="300" t="str">
        <f t="shared" ca="1" si="17"/>
        <v/>
      </c>
      <c r="BX73" s="301" t="str">
        <f t="shared" ca="1" si="18"/>
        <v/>
      </c>
      <c r="BY73" s="146" t="str">
        <f t="shared" ca="1" si="19"/>
        <v/>
      </c>
      <c r="BZ73" s="146" t="str">
        <f t="shared" ca="1" si="20"/>
        <v/>
      </c>
      <c r="CA73" s="146" t="str">
        <f t="shared" ca="1" si="21"/>
        <v/>
      </c>
      <c r="CB73" s="146" t="str">
        <f t="shared" ca="1" si="22"/>
        <v/>
      </c>
      <c r="CC73" s="302">
        <v>1</v>
      </c>
      <c r="CD73" s="154">
        <f ca="1">IF(BD73,_xll.xCrudeAPO(BS73,BT73,BY73,BZ73,S74,S75,BI73,BL73,BN73,BO73,0,Strike1,AO73,CC73,0,BL73,IF(OptControl=4,0,1),0,1),0)</f>
        <v>0</v>
      </c>
      <c r="CE73" s="155">
        <f ca="1">IF(BD73,_xll.xCrudeAPO(BS73,BT73,BY73,BZ73,S74,S75,BI73,BL73,BN73,BO73,0,Strike1,AO73,CC73,0,BL73,IF(OptControl=4,0,1),1,1)+_xll.xCrudeAPO(BS73,BT73,BY73,BZ73,S74,S75,BI73,BL73,BN73,BO73,0,Strike1,AO73,CC73,0,BL73,IF(OptControl=4,0,1),1,2)+IF(OR(VolSkewFlag=2,ABS(BQ73)&lt;0.0001),0,IF(BQ73&gt;0,-1,1)*CF73*Strike1/BP73^2*BW73/10%),0)</f>
        <v>0</v>
      </c>
      <c r="CF73" s="155">
        <f ca="1">IF(BD73,(_xll.xCrudeAPO(BS73,BT73,BY73,BZ73,S74,S75,BI73,BL73,BN73,BO73,0,Strike1,AO73,CC73,0,BL73,IF(OptControl=4,0,1),3,1)+_xll.xCrudeAPO(BS73,BT73,BY73,BZ73,S74,S75,BI73,BL73,BN73,BO73,0,Strike1,AO73,CC73,0,BL73,IF(OptControl=4,0,1),3,2))/100,0)</f>
        <v>0</v>
      </c>
      <c r="CG73" s="155">
        <f ca="1">IF(BD73,_xll.xCrudeAPO(BS73,BT73,BY73,BZ73,S74,S75,BI73-DaysForThetaCalculation/365.25,BL73-DaysForThetaCalculation/365.25,BN73,BO73,0,Strike1,AO73,CC73,0,BL73,IF(OptControl=4,0,1),0,1)-_xll.xCrudeAPO(BS73,BT73,BY73,BZ73,S74,S75,BI73,BL73,BN73,BO73,0,Strike1,AO73,CC73,0,BL73,IF(OptControl=4,0,1),0,1),0)</f>
        <v>0</v>
      </c>
      <c r="CH73" s="303">
        <f ca="1">IF(BD73,_xll.xCrudeAPO(BS73,BT73,CA73,CB73,S74,S75,BI73,BL73,BN73,BO73,0,Strike2,AO73,CC73,0,BL73,IF(OptControl=3,1,0),0,1),0)</f>
        <v>0</v>
      </c>
      <c r="CI73" s="155">
        <f ca="1">IF(BD73,_xll.xCrudeAPO(BS73,BT73,CA73,CB73,S74,S75,BI73,BL73,BN73,BO73,0,Strike2,AO73,CC73,0,BL73,IF(OptControl=3,1,0),1,1)+_xll.xCrudeAPO(BS73,BT73,CA73,CB73,S74,S75,BI73,BL73,BN73,BO73,0,Strike2,AO73,CC73,0,BL73,IF(OptControl=3,1,0),1,2)+IF(OR(VolSkewFlag=2,ABS(BR73)&lt;0.0001),0,IF(BR73&gt;0,-1,1)*CJ73*Strike2/BP73^2*BX73/10%),0)</f>
        <v>0</v>
      </c>
      <c r="CJ73" s="155">
        <f ca="1">IF(BD73,(_xll.xCrudeAPO(BS73,BT73,CA73,CB73,S74,S75,BI73,BL73,BN73,BO73,0,Strike2,AO73,CC73,0,BL73,IF(OptControl=3,1,0),3,1)+_xll.xCrudeAPO(BS73,BT73,CA73,CB73,S74,S75,BI73,BL73,BN73,BO73,0,Strike2,AO73,CC73,0,BL73,IF(OptControl=3,1,0),3,2))/100,0)</f>
        <v>0</v>
      </c>
      <c r="CK73" s="156">
        <f ca="1">IF(BD73,_xll.xCrudeAPO(BS73,BT73,CA73,CB73,S74,S75,BI73-DaysForThetaCalculation/365.25,BL73-DaysForThetaCalculation/365.25,BN73,BO73,0,Strike2,AO73,CC73,0,BL73,IF(OptControl=3,1,0),0,1)-_xll.xCrudeAPO(BS73,BT73,CA73,CB73,S74,S75,BI73,BL73,BN73,BO73,0,Strike2,AO73,CC73,0,BL73,IF(OptControl=3,1,0),0,1),0)</f>
        <v>0</v>
      </c>
      <c r="CL73" s="51"/>
      <c r="CM73" s="779" t="str">
        <f t="shared" ca="1" si="52"/>
        <v/>
      </c>
      <c r="CN73" s="783" t="str">
        <f t="shared" ca="1" si="53"/>
        <v/>
      </c>
      <c r="CO73" s="780" t="str">
        <f t="shared" ca="1" si="54"/>
        <v/>
      </c>
      <c r="CP73" s="780" t="str">
        <f t="shared" ca="1" si="55"/>
        <v/>
      </c>
      <c r="CQ73" s="780" t="str">
        <f t="shared" ca="1" si="56"/>
        <v/>
      </c>
      <c r="CR73" s="780" t="str">
        <f t="shared" ca="1" si="57"/>
        <v/>
      </c>
      <c r="CS73" s="781" t="str">
        <f t="shared" ca="1" si="58"/>
        <v/>
      </c>
      <c r="CT73" s="782" t="str">
        <f t="shared" ca="1" si="59"/>
        <v/>
      </c>
      <c r="CU73" s="782" t="str">
        <f t="shared" ca="1" si="60"/>
        <v/>
      </c>
      <c r="CV73" s="155">
        <f ca="1">IF(BD73,_xll.EURO(CN73,Strike1,AO73,AO73,CT73,CM73,IF(OptControl=4,0,1),0),0)</f>
        <v>0</v>
      </c>
      <c r="CW73" s="155">
        <f ca="1">IF(BD73,_xll.EURO(CN73,Strike1,AO73,AO73,CT73,CM73,IF(OptControl=4,0,1),1)+IF(OR(VolSkewFlag=2,ABS(CO73)&lt;0.0001),0,IF(CO73&gt;0,-1,1)*CX73*100*Strike1/CN73^2*CQ73/10%),0)</f>
        <v>0</v>
      </c>
      <c r="CX73" s="155">
        <f ca="1">IF(BD73,_xll.EURO(CN73,Strike1,AO73,AO73,CT73,CM73,IF(OptControl=4,0,1),3)/100,0)</f>
        <v>0</v>
      </c>
      <c r="CY73" s="155">
        <f ca="1">IF(BD73,_xll.EURO(CN73,Strike1,AO73,AO73,CT73,CM73,IF(OptControl=4,0,1),0)-_xll.EURO(CN73,Strike1,AO73,AO73,CT73,CM73-1,IF(OptControl=4,0,1),0),0)</f>
        <v>0</v>
      </c>
      <c r="CZ73" s="155">
        <f ca="1">IF(BD73,_xll.EURO(CN73,Strike2,AO73,AO73,CU73,CM73,IF(OptControl=3,1,0),0),0)</f>
        <v>0</v>
      </c>
      <c r="DA73" s="155">
        <f ca="1">IF(BD73,_xll.EURO(CN73,Strike2,AO73,AO73,CU73,CM73,IF(OptControl=3,1,0),1)+IF(OR(VolSkewFlag=2,ABS(CP73)&lt;0.0001),0,IF(CP73&gt;0,-1,1)*DB73*100*Strike2/CN73^2*CR73/10%),0)</f>
        <v>0</v>
      </c>
      <c r="DB73" s="155">
        <f ca="1">IF(BD73,_xll.EURO(CN73,Strike2,AO73,AO73,CU73,CM73,IF(OptControl=3,1,0),3)/100,0)</f>
        <v>0</v>
      </c>
      <c r="DC73" s="156">
        <f ca="1">IF(BD73,_xll.EURO(CN73,Strike2,AO73,AO73,CU73,CM73,IF(OptControl=3,1,0),0)-_xll.EURO(CN73,Strike2,AO73,AO73,CU73,CM73-1,IF(OptControl=3,1,0),0),0)</f>
        <v>0</v>
      </c>
      <c r="DE73" s="651">
        <f t="shared" ca="1" si="61"/>
        <v>38534</v>
      </c>
      <c r="DF73" s="465">
        <v>1E-4</v>
      </c>
      <c r="DG73" s="649">
        <v>1E-4</v>
      </c>
      <c r="DH73" s="650">
        <f t="shared" ca="1" si="182"/>
        <v>38534</v>
      </c>
      <c r="DI73" s="465">
        <v>1E-4</v>
      </c>
      <c r="DJ73" s="649">
        <v>1E-4</v>
      </c>
      <c r="DK73" s="651">
        <f t="shared" ca="1" si="183"/>
        <v>38534</v>
      </c>
      <c r="DL73" s="652">
        <f t="shared" si="184"/>
        <v>5.0100000000000006E-2</v>
      </c>
      <c r="DM73" s="651">
        <f t="shared" ca="1" si="62"/>
        <v>38534</v>
      </c>
      <c r="DN73" s="563">
        <f t="shared" si="63"/>
        <v>-0.12990000000000002</v>
      </c>
      <c r="DO73" s="803">
        <v>-0.13</v>
      </c>
      <c r="DP73" s="650">
        <f t="shared" ca="1" si="185"/>
        <v>38534</v>
      </c>
      <c r="DQ73" s="653">
        <v>1E-4</v>
      </c>
      <c r="DR73" s="590">
        <v>1E-4</v>
      </c>
      <c r="DS73" s="650">
        <f t="shared" ca="1" si="186"/>
        <v>38534</v>
      </c>
      <c r="DT73" s="653">
        <v>1E-4</v>
      </c>
      <c r="DU73" s="590">
        <v>1E-4</v>
      </c>
      <c r="DV73" s="651">
        <f t="shared" ca="1" si="187"/>
        <v>38534</v>
      </c>
      <c r="DW73" s="590">
        <v>1E-4</v>
      </c>
      <c r="DX73" s="651">
        <f t="shared" ca="1" si="64"/>
        <v>38534</v>
      </c>
      <c r="DY73" s="590">
        <f t="shared" si="65"/>
        <v>1E-4</v>
      </c>
      <c r="DZ73" s="1"/>
      <c r="EA73" s="863" t="e">
        <f ca="1">_xll.ASN(X73,X73,AO73,AS73,0,AI73,0,BI73,BL73,1,0)</f>
        <v>#NAME?</v>
      </c>
      <c r="EB73" s="653" t="e">
        <f ca="1">_xll.ASN(X73,X73,AO73,AS73,0,AI73,0,BI73,BL73,1,3)/100</f>
        <v>#NAME?</v>
      </c>
      <c r="EC73" s="653" t="e">
        <f ca="1">_xll.xCrudeAPO(L74,L75,O74,O75,S74,S75,BI73,BL73,AJ73,AK73,0,X73,AO73,1,0,+BL73,1,0,1)</f>
        <v>#NAME?</v>
      </c>
      <c r="ED73" s="869" t="e">
        <f t="shared" ca="1" si="165"/>
        <v>#NAME?</v>
      </c>
      <c r="EE73" s="863" t="e">
        <f t="shared" ca="1" si="29"/>
        <v>#NAME?</v>
      </c>
      <c r="EF73" s="590" t="e">
        <f t="shared" ca="1" si="30"/>
        <v>#NAME?</v>
      </c>
      <c r="EG73" s="862" t="str">
        <f t="shared" ca="1" si="188"/>
        <v/>
      </c>
      <c r="EH73" s="114" t="str">
        <f t="shared" ca="1" si="32"/>
        <v/>
      </c>
      <c r="EI73" s="109" t="str">
        <f t="shared" ca="1" si="33"/>
        <v/>
      </c>
      <c r="EJ73" s="115">
        <f ca="1">IF(BD73,_xll.xASN(BP73,Strike1,AO73,EH73,0,BM73,0,BI73,BL73,IF(OptControl=4,0,1),0),0)</f>
        <v>0</v>
      </c>
      <c r="EK73" s="108">
        <f ca="1">IF(BD73,_xll.xASN(BP73,Strike2,AO73,EI73,0,BM73,0,BI73,BL73,IF(OptControl=3,1,0),0),0)</f>
        <v>0</v>
      </c>
      <c r="EP73" s="53"/>
      <c r="EQ73" s="1"/>
      <c r="ER73" s="681">
        <v>42189</v>
      </c>
      <c r="ES73" s="682">
        <v>46381</v>
      </c>
      <c r="ET73" s="1"/>
      <c r="EU73" s="667" t="s">
        <v>259</v>
      </c>
      <c r="EW73" s="488">
        <v>54</v>
      </c>
      <c r="EX73" s="466">
        <f t="shared" ca="1" si="166"/>
        <v>4.4380561259411362</v>
      </c>
      <c r="EY73" s="824">
        <f t="shared" ca="1" si="189"/>
        <v>0.17796299412944522</v>
      </c>
      <c r="EZ73" s="798">
        <f t="shared" ca="1" si="269"/>
        <v>0.20401069203216071</v>
      </c>
      <c r="FA73" s="468" t="str">
        <f t="shared" ca="1" si="270"/>
        <v/>
      </c>
      <c r="FB73" s="467" t="str">
        <f t="shared" ca="1" si="271"/>
        <v/>
      </c>
      <c r="FC73" s="242">
        <v>0</v>
      </c>
      <c r="FD73" s="589" t="str">
        <f ca="1">IF(OR(FA73="",FA74=""),"",SQRT(SUM(INDEX(FO73:IH73,SwaptionFirstMonthPosition+1):INDEX(FO73:IH73,FN73))/SUM(INDEX($FO$15:$IH$15,SwaptionFirstMonthPosition+1):INDEX($FO$15:$IH$15,FN73))))</f>
        <v/>
      </c>
      <c r="FE73" s="565" t="str">
        <f ca="1">IF(OR(FA73="",FA72=""),"",SQRT(SUM(INDEX(FO73:IH73,SwaptionFirstMonthPosition+1):INDEX(FO73:IH73,FN73-1))/SUM(INDEX($FO$15:$IH$15,SwaptionFirstMonthPosition+1):INDEX($FO$15:$IH$15,FN73-1))))</f>
        <v/>
      </c>
      <c r="FF73" s="562" t="str">
        <f t="shared" ca="1" si="190"/>
        <v/>
      </c>
      <c r="FG73" s="593" t="str">
        <f t="shared" ca="1" si="191"/>
        <v/>
      </c>
      <c r="FH73" s="563" t="str">
        <f t="shared" ca="1" si="192"/>
        <v/>
      </c>
      <c r="FI73" s="563" t="str">
        <f t="shared" ca="1" si="193"/>
        <v/>
      </c>
      <c r="FJ73" s="563" t="str">
        <f t="shared" ca="1" si="194"/>
        <v/>
      </c>
      <c r="FK73" s="564" t="str">
        <f t="shared" ca="1" si="195"/>
        <v/>
      </c>
      <c r="FL73" s="590" t="str">
        <f t="shared" ca="1" si="196"/>
        <v/>
      </c>
      <c r="FM73" s="242"/>
      <c r="FN73" s="657">
        <v>54</v>
      </c>
      <c r="FO73" s="450">
        <f t="shared" ca="1" si="197"/>
        <v>6.5659496115656182E-4</v>
      </c>
      <c r="FP73" s="450">
        <f t="shared" ca="1" si="198"/>
        <v>2.4624116408419341E-3</v>
      </c>
      <c r="FQ73" s="450">
        <f t="shared" ca="1" si="199"/>
        <v>2.3759523166820527E-3</v>
      </c>
      <c r="FR73" s="450">
        <f t="shared" ca="1" si="200"/>
        <v>2.617186831959164E-3</v>
      </c>
      <c r="FS73" s="450">
        <f t="shared" ca="1" si="201"/>
        <v>2.4496246786200973E-3</v>
      </c>
      <c r="FT73" s="450">
        <f t="shared" ca="1" si="202"/>
        <v>2.6090030538510451E-3</v>
      </c>
      <c r="FU73" s="450">
        <f t="shared" ca="1" si="203"/>
        <v>2.442584964182269E-3</v>
      </c>
      <c r="FV73" s="450">
        <f t="shared" ca="1" si="204"/>
        <v>2.2769476092814236E-3</v>
      </c>
      <c r="FW73" s="450">
        <f t="shared" ca="1" si="205"/>
        <v>2.4369772262109383E-3</v>
      </c>
      <c r="FX73" s="450">
        <f t="shared" ca="1" si="206"/>
        <v>2.67827097510899E-3</v>
      </c>
      <c r="FY73" s="450">
        <f t="shared" ca="1" si="207"/>
        <v>2.3519676224202221E-3</v>
      </c>
      <c r="FZ73" s="450">
        <f t="shared" ca="1" si="208"/>
        <v>2.3507940712888787E-3</v>
      </c>
      <c r="GA73" s="450">
        <f t="shared" ca="1" si="209"/>
        <v>2.6743191979266678E-3</v>
      </c>
      <c r="GB73" s="450">
        <f t="shared" ca="1" si="210"/>
        <v>2.3501169383230618E-3</v>
      </c>
      <c r="GC73" s="450">
        <f t="shared" ca="1" si="211"/>
        <v>2.593905815983412E-3</v>
      </c>
      <c r="GD73" s="450">
        <f t="shared" ca="1" si="212"/>
        <v>2.4331628328939921E-3</v>
      </c>
      <c r="GE73" s="450">
        <f t="shared" ca="1" si="213"/>
        <v>2.3541835138726655E-3</v>
      </c>
      <c r="GF73" s="450">
        <f t="shared" ca="1" si="214"/>
        <v>2.6823204426248853E-3</v>
      </c>
      <c r="GG73" s="450">
        <f t="shared" ca="1" si="215"/>
        <v>2.4425946908264674E-3</v>
      </c>
      <c r="GH73" s="450">
        <f t="shared" ca="1" si="216"/>
        <v>2.3662441675422058E-3</v>
      </c>
      <c r="GI73" s="450">
        <f t="shared" ca="1" si="217"/>
        <v>2.5361427618240491E-3</v>
      </c>
      <c r="GJ73" s="450">
        <f t="shared" ca="1" si="218"/>
        <v>2.544290066122864E-3</v>
      </c>
      <c r="GK73" s="450">
        <f t="shared" ca="1" si="219"/>
        <v>2.5540424494791191E-3</v>
      </c>
      <c r="GL73" s="450">
        <f t="shared" ca="1" si="220"/>
        <v>2.3173067344114807E-3</v>
      </c>
      <c r="GM73" s="450">
        <f t="shared" ca="1" si="221"/>
        <v>2.5791472983758093E-3</v>
      </c>
      <c r="GN73" s="450">
        <f t="shared" ca="1" si="222"/>
        <v>2.5112531789685207E-3</v>
      </c>
      <c r="GO73" s="450">
        <f t="shared" ca="1" si="223"/>
        <v>2.613313913394302E-3</v>
      </c>
      <c r="GP73" s="450">
        <f t="shared" ca="1" si="224"/>
        <v>2.549542083896282E-3</v>
      </c>
      <c r="GQ73" s="450">
        <f t="shared" ca="1" si="225"/>
        <v>2.6589714872454072E-3</v>
      </c>
      <c r="GR73" s="450">
        <f t="shared" ca="1" si="226"/>
        <v>2.6870763459911633E-3</v>
      </c>
      <c r="GS73" s="450">
        <f t="shared" ca="1" si="227"/>
        <v>2.6316172299246775E-3</v>
      </c>
      <c r="GT73" s="450">
        <f t="shared" ca="1" si="228"/>
        <v>2.7563333704803024E-3</v>
      </c>
      <c r="GU73" s="450">
        <f t="shared" ca="1" si="229"/>
        <v>2.7084559919284251E-3</v>
      </c>
      <c r="GV73" s="450">
        <f t="shared" ca="1" si="230"/>
        <v>2.8473435287628738E-3</v>
      </c>
      <c r="GW73" s="450">
        <f t="shared" ca="1" si="231"/>
        <v>2.9030852997401794E-3</v>
      </c>
      <c r="GX73" s="450">
        <f t="shared" ca="1" si="232"/>
        <v>2.7756484938721536E-3</v>
      </c>
      <c r="GY73" s="450">
        <f t="shared" ca="1" si="233"/>
        <v>3.0406293822607547E-3</v>
      </c>
      <c r="GZ73" s="450">
        <f t="shared" ca="1" si="234"/>
        <v>3.0245289144464563E-3</v>
      </c>
      <c r="HA73" s="450">
        <f t="shared" ca="1" si="235"/>
        <v>3.2231479809101023E-3</v>
      </c>
      <c r="HB73" s="450">
        <f t="shared" ca="1" si="236"/>
        <v>3.2287528481813009E-3</v>
      </c>
      <c r="HC73" s="450">
        <f t="shared" ca="1" si="237"/>
        <v>3.4679154270871385E-3</v>
      </c>
      <c r="HD73" s="450">
        <f t="shared" ca="1" si="238"/>
        <v>3.6213262611217416E-3</v>
      </c>
      <c r="HE73" s="450">
        <f t="shared" ca="1" si="239"/>
        <v>3.6784523122489654E-3</v>
      </c>
      <c r="HF73" s="450">
        <f t="shared" ca="1" si="240"/>
        <v>4.0127644214764989E-3</v>
      </c>
      <c r="HG73" s="450">
        <f t="shared" ca="1" si="241"/>
        <v>4.1260581094556088E-3</v>
      </c>
      <c r="HH73" s="450">
        <f t="shared" ca="1" si="242"/>
        <v>4.5628127091111321E-3</v>
      </c>
      <c r="HI73" s="450">
        <f t="shared" ca="1" si="243"/>
        <v>4.9225152503426326E-3</v>
      </c>
      <c r="HJ73" s="450">
        <f t="shared" ca="1" si="244"/>
        <v>4.8401228383392102E-3</v>
      </c>
      <c r="HK73" s="450">
        <f t="shared" ca="1" si="245"/>
        <v>5.8928837162515275E-3</v>
      </c>
      <c r="HL73" s="450">
        <f t="shared" ca="1" si="246"/>
        <v>6.3429338158465746E-3</v>
      </c>
      <c r="HM73" s="450">
        <f t="shared" ca="1" si="247"/>
        <v>7.3838387898068512E-3</v>
      </c>
      <c r="HN73" s="450">
        <f t="shared" ca="1" si="248"/>
        <v>8.1666141154566694E-3</v>
      </c>
      <c r="HO73" s="450">
        <f t="shared" ca="1" si="249"/>
        <v>9.8023860368309495E-3</v>
      </c>
      <c r="HP73" s="450">
        <f t="shared" ca="1" si="250"/>
        <v>1.1597087879576787E-2</v>
      </c>
      <c r="HQ73" s="450" t="str">
        <f t="shared" si="251"/>
        <v/>
      </c>
      <c r="HR73" s="450" t="str">
        <f t="shared" si="252"/>
        <v/>
      </c>
      <c r="HS73" s="450" t="str">
        <f t="shared" si="253"/>
        <v/>
      </c>
      <c r="HT73" s="450" t="str">
        <f t="shared" si="254"/>
        <v/>
      </c>
      <c r="HU73" s="450" t="str">
        <f t="shared" si="255"/>
        <v/>
      </c>
      <c r="HV73" s="450" t="str">
        <f t="shared" si="256"/>
        <v/>
      </c>
      <c r="HW73" s="450" t="str">
        <f t="shared" si="257"/>
        <v/>
      </c>
      <c r="HX73" s="450" t="str">
        <f t="shared" si="258"/>
        <v/>
      </c>
      <c r="HY73" s="450" t="str">
        <f t="shared" si="259"/>
        <v/>
      </c>
      <c r="HZ73" s="450" t="str">
        <f t="shared" si="260"/>
        <v/>
      </c>
      <c r="IA73" s="450" t="str">
        <f t="shared" si="261"/>
        <v/>
      </c>
      <c r="IB73" s="450" t="str">
        <f t="shared" si="262"/>
        <v/>
      </c>
      <c r="IC73" s="450" t="str">
        <f t="shared" si="263"/>
        <v/>
      </c>
      <c r="ID73" s="450" t="str">
        <f t="shared" si="264"/>
        <v/>
      </c>
      <c r="IE73" s="450" t="str">
        <f t="shared" si="265"/>
        <v/>
      </c>
      <c r="IF73" s="450" t="str">
        <f t="shared" si="266"/>
        <v/>
      </c>
      <c r="IG73" s="450" t="str">
        <f t="shared" si="267"/>
        <v/>
      </c>
      <c r="IH73" s="658" t="str">
        <f t="shared" si="268"/>
        <v/>
      </c>
      <c r="II73" s="242"/>
    </row>
    <row r="74" spans="1:243">
      <c r="A74" s="51"/>
      <c r="F74" s="51"/>
      <c r="G74" s="51"/>
      <c r="H74" s="49" t="e">
        <f t="shared" ca="1" si="34"/>
        <v>#N/A</v>
      </c>
      <c r="I74" s="369">
        <f t="shared" si="35"/>
        <v>38657</v>
      </c>
      <c r="J74" s="367">
        <v>21.9858333333333</v>
      </c>
      <c r="K74" s="101" t="s">
        <v>268</v>
      </c>
      <c r="L74" s="382">
        <f t="shared" si="36"/>
        <v>21.985833333333332</v>
      </c>
      <c r="M74" s="163">
        <v>0.19933999999999999</v>
      </c>
      <c r="N74" s="372">
        <v>0</v>
      </c>
      <c r="O74" s="163">
        <f t="shared" si="37"/>
        <v>0.19933999999999999</v>
      </c>
      <c r="P74" s="367">
        <v>20.7358264865377</v>
      </c>
      <c r="Q74" s="101" t="s">
        <v>267</v>
      </c>
      <c r="R74" s="367">
        <f t="shared" ca="1" si="147"/>
        <v>20.735826486537722</v>
      </c>
      <c r="S74" s="814">
        <f t="shared" si="163"/>
        <v>0.3693518390968743</v>
      </c>
      <c r="T74" s="813">
        <f t="shared" si="148"/>
        <v>0.99973600821772157</v>
      </c>
      <c r="U74" s="532">
        <f t="shared" si="149"/>
        <v>0.99999999731218436</v>
      </c>
      <c r="V74" s="379">
        <v>0</v>
      </c>
      <c r="W74" s="424">
        <f t="shared" si="168"/>
        <v>21.950909090909089</v>
      </c>
      <c r="X74" s="405">
        <f t="shared" si="169"/>
        <v>21.950909090909093</v>
      </c>
      <c r="Y74" s="313">
        <f t="shared" si="170"/>
        <v>20.709309090909088</v>
      </c>
      <c r="Z74" s="313">
        <f t="shared" ca="1" si="171"/>
        <v>20.709309090909095</v>
      </c>
      <c r="AA74" s="419">
        <f t="shared" si="1"/>
        <v>1.2416</v>
      </c>
      <c r="AB74" s="423">
        <f t="shared" ca="1" si="2"/>
        <v>1.2416</v>
      </c>
      <c r="AC74" s="221">
        <v>38645</v>
      </c>
      <c r="AD74" s="221">
        <v>38641</v>
      </c>
      <c r="AE74" s="221">
        <v>38640</v>
      </c>
      <c r="AF74" s="221">
        <v>38636</v>
      </c>
      <c r="AG74" s="241" t="s">
        <v>90</v>
      </c>
      <c r="AH74" s="239" t="s">
        <v>497</v>
      </c>
      <c r="AI74" s="141">
        <v>22</v>
      </c>
      <c r="AJ74" s="41">
        <v>14</v>
      </c>
      <c r="AK74" s="41">
        <v>8</v>
      </c>
      <c r="AL74" s="285">
        <v>22</v>
      </c>
      <c r="AM74" s="41">
        <v>10</v>
      </c>
      <c r="AN74" s="142">
        <v>12</v>
      </c>
      <c r="AO74" s="364">
        <v>5.29607932972374E-2</v>
      </c>
      <c r="AP74" s="145">
        <f t="shared" ca="1" si="41"/>
        <v>0.78449252118124446</v>
      </c>
      <c r="AQ74" s="364">
        <v>4.5146292331662799E-2</v>
      </c>
      <c r="AR74" s="145">
        <f t="shared" ca="1" si="151"/>
        <v>0.81725776790273819</v>
      </c>
      <c r="AS74" s="264">
        <f t="shared" si="172"/>
        <v>0.19782181818181813</v>
      </c>
      <c r="AT74" s="149">
        <f t="shared" si="42"/>
        <v>0.19933999999999999</v>
      </c>
      <c r="AU74" s="149">
        <f t="shared" si="4"/>
        <v>0.1975527272727273</v>
      </c>
      <c r="AV74" s="263">
        <f t="shared" ca="1" si="164"/>
        <v>0.19480012652253906</v>
      </c>
      <c r="AW74" s="150" t="str">
        <f t="shared" ca="1" si="173"/>
        <v/>
      </c>
      <c r="AX74" s="149">
        <f t="shared" ca="1" si="152"/>
        <v>3.044736643284246E-2</v>
      </c>
      <c r="AY74" s="149">
        <f t="shared" ca="1" si="153"/>
        <v>1.5291271151660318E-2</v>
      </c>
      <c r="AZ74" s="149">
        <f t="shared" ca="1" si="154"/>
        <v>8.229009709571555E-3</v>
      </c>
      <c r="BA74" s="149">
        <f t="shared" ca="1" si="155"/>
        <v>1.0000000000000154E-4</v>
      </c>
      <c r="BB74" s="149">
        <f t="shared" ca="1" si="156"/>
        <v>1.0000000000000154E-4</v>
      </c>
      <c r="BC74" s="149">
        <f t="shared" ca="1" si="157"/>
        <v>1.0000000000000154E-4</v>
      </c>
      <c r="BD74" s="143">
        <f t="shared" ca="1" si="174"/>
        <v>0</v>
      </c>
      <c r="BE74" s="144">
        <f t="shared" ca="1" si="175"/>
        <v>0</v>
      </c>
      <c r="BF74" s="40">
        <f t="shared" si="176"/>
        <v>2005</v>
      </c>
      <c r="BG74" s="139">
        <f t="shared" si="177"/>
        <v>11</v>
      </c>
      <c r="BH74" s="140">
        <f t="shared" ca="1" si="178"/>
        <v>1651</v>
      </c>
      <c r="BI74" s="304">
        <f t="shared" ca="1" si="179"/>
        <v>4.5639972621492131</v>
      </c>
      <c r="BJ74" s="42">
        <f t="shared" ca="1" si="47"/>
        <v>4.6145230539481057</v>
      </c>
      <c r="BK74" s="42">
        <f t="shared" ca="1" si="180"/>
        <v>4.6172609047352378</v>
      </c>
      <c r="BL74" s="42">
        <f t="shared" ca="1" si="181"/>
        <v>4.6433949349760439</v>
      </c>
      <c r="BM74" s="285">
        <f t="shared" si="49"/>
        <v>22</v>
      </c>
      <c r="BN74" s="41">
        <f t="shared" si="50"/>
        <v>14</v>
      </c>
      <c r="BO74" s="41">
        <f t="shared" si="51"/>
        <v>8</v>
      </c>
      <c r="BP74" s="297" t="str">
        <f t="shared" ca="1" si="10"/>
        <v/>
      </c>
      <c r="BQ74" s="297" t="str">
        <f t="shared" ca="1" si="11"/>
        <v/>
      </c>
      <c r="BR74" s="299" t="str">
        <f t="shared" ca="1" si="12"/>
        <v/>
      </c>
      <c r="BS74" s="153" t="str">
        <f t="shared" ca="1" si="13"/>
        <v/>
      </c>
      <c r="BT74" s="153" t="str">
        <f t="shared" ca="1" si="14"/>
        <v/>
      </c>
      <c r="BU74" s="300" t="str">
        <f t="shared" ca="1" si="15"/>
        <v/>
      </c>
      <c r="BV74" s="301" t="str">
        <f t="shared" ca="1" si="16"/>
        <v/>
      </c>
      <c r="BW74" s="300" t="str">
        <f t="shared" ca="1" si="17"/>
        <v/>
      </c>
      <c r="BX74" s="301" t="str">
        <f t="shared" ca="1" si="18"/>
        <v/>
      </c>
      <c r="BY74" s="146" t="str">
        <f t="shared" ca="1" si="19"/>
        <v/>
      </c>
      <c r="BZ74" s="146" t="str">
        <f t="shared" ca="1" si="20"/>
        <v/>
      </c>
      <c r="CA74" s="146" t="str">
        <f t="shared" ca="1" si="21"/>
        <v/>
      </c>
      <c r="CB74" s="146" t="str">
        <f t="shared" ca="1" si="22"/>
        <v/>
      </c>
      <c r="CC74" s="302">
        <v>1</v>
      </c>
      <c r="CD74" s="154">
        <f ca="1">IF(BD74,_xll.xCrudeAPO(BS74,BT74,BY74,BZ74,S75,S76,BI74,BL74,BN74,BO74,0,Strike1,AO74,CC74,0,BL74,IF(OptControl=4,0,1),0,1),0)</f>
        <v>0</v>
      </c>
      <c r="CE74" s="155">
        <f ca="1">IF(BD74,_xll.xCrudeAPO(BS74,BT74,BY74,BZ74,S75,S76,BI74,BL74,BN74,BO74,0,Strike1,AO74,CC74,0,BL74,IF(OptControl=4,0,1),1,1)+_xll.xCrudeAPO(BS74,BT74,BY74,BZ74,S75,S76,BI74,BL74,BN74,BO74,0,Strike1,AO74,CC74,0,BL74,IF(OptControl=4,0,1),1,2)+IF(OR(VolSkewFlag=2,ABS(BQ74)&lt;0.0001),0,IF(BQ74&gt;0,-1,1)*CF74*Strike1/BP74^2*BW74/10%),0)</f>
        <v>0</v>
      </c>
      <c r="CF74" s="155">
        <f ca="1">IF(BD74,(_xll.xCrudeAPO(BS74,BT74,BY74,BZ74,S75,S76,BI74,BL74,BN74,BO74,0,Strike1,AO74,CC74,0,BL74,IF(OptControl=4,0,1),3,1)+_xll.xCrudeAPO(BS74,BT74,BY74,BZ74,S75,S76,BI74,BL74,BN74,BO74,0,Strike1,AO74,CC74,0,BL74,IF(OptControl=4,0,1),3,2))/100,0)</f>
        <v>0</v>
      </c>
      <c r="CG74" s="155">
        <f ca="1">IF(BD74,_xll.xCrudeAPO(BS74,BT74,BY74,BZ74,S75,S76,BI74-DaysForThetaCalculation/365.25,BL74-DaysForThetaCalculation/365.25,BN74,BO74,0,Strike1,AO74,CC74,0,BL74,IF(OptControl=4,0,1),0,1)-_xll.xCrudeAPO(BS74,BT74,BY74,BZ74,S75,S76,BI74,BL74,BN74,BO74,0,Strike1,AO74,CC74,0,BL74,IF(OptControl=4,0,1),0,1),0)</f>
        <v>0</v>
      </c>
      <c r="CH74" s="303">
        <f ca="1">IF(BD74,_xll.xCrudeAPO(BS74,BT74,CA74,CB74,S75,S76,BI74,BL74,BN74,BO74,0,Strike2,AO74,CC74,0,BL74,IF(OptControl=3,1,0),0,1),0)</f>
        <v>0</v>
      </c>
      <c r="CI74" s="155">
        <f ca="1">IF(BD74,_xll.xCrudeAPO(BS74,BT74,CA74,CB74,S75,S76,BI74,BL74,BN74,BO74,0,Strike2,AO74,CC74,0,BL74,IF(OptControl=3,1,0),1,1)+_xll.xCrudeAPO(BS74,BT74,CA74,CB74,S75,S76,BI74,BL74,BN74,BO74,0,Strike2,AO74,CC74,0,BL74,IF(OptControl=3,1,0),1,2)+IF(OR(VolSkewFlag=2,ABS(BR74)&lt;0.0001),0,IF(BR74&gt;0,-1,1)*CJ74*Strike2/BP74^2*BX74/10%),0)</f>
        <v>0</v>
      </c>
      <c r="CJ74" s="155">
        <f ca="1">IF(BD74,(_xll.xCrudeAPO(BS74,BT74,CA74,CB74,S75,S76,BI74,BL74,BN74,BO74,0,Strike2,AO74,CC74,0,BL74,IF(OptControl=3,1,0),3,1)+_xll.xCrudeAPO(BS74,BT74,CA74,CB74,S75,S76,BI74,BL74,BN74,BO74,0,Strike2,AO74,CC74,0,BL74,IF(OptControl=3,1,0),3,2))/100,0)</f>
        <v>0</v>
      </c>
      <c r="CK74" s="156">
        <f ca="1">IF(BD74,_xll.xCrudeAPO(BS74,BT74,CA74,CB74,S75,S76,BI74-DaysForThetaCalculation/365.25,BL74-DaysForThetaCalculation/365.25,BN74,BO74,0,Strike2,AO74,CC74,0,BL74,IF(OptControl=3,1,0),0,1)-_xll.xCrudeAPO(BS74,BT74,CA74,CB74,S75,S76,BI74,BL74,BN74,BO74,0,Strike2,AO74,CC74,0,BL74,IF(OptControl=3,1,0),0,1),0)</f>
        <v>0</v>
      </c>
      <c r="CL74" s="51"/>
      <c r="CM74" s="779" t="str">
        <f t="shared" ca="1" si="52"/>
        <v/>
      </c>
      <c r="CN74" s="783" t="str">
        <f t="shared" ca="1" si="53"/>
        <v/>
      </c>
      <c r="CO74" s="780" t="str">
        <f t="shared" ca="1" si="54"/>
        <v/>
      </c>
      <c r="CP74" s="780" t="str">
        <f t="shared" ca="1" si="55"/>
        <v/>
      </c>
      <c r="CQ74" s="780" t="str">
        <f t="shared" ca="1" si="56"/>
        <v/>
      </c>
      <c r="CR74" s="780" t="str">
        <f t="shared" ca="1" si="57"/>
        <v/>
      </c>
      <c r="CS74" s="781" t="str">
        <f t="shared" ca="1" si="58"/>
        <v/>
      </c>
      <c r="CT74" s="782" t="str">
        <f t="shared" ca="1" si="59"/>
        <v/>
      </c>
      <c r="CU74" s="782" t="str">
        <f t="shared" ca="1" si="60"/>
        <v/>
      </c>
      <c r="CV74" s="155">
        <f ca="1">IF(BD74,_xll.EURO(CN74,Strike1,AO74,AO74,CT74,CM74,IF(OptControl=4,0,1),0),0)</f>
        <v>0</v>
      </c>
      <c r="CW74" s="155">
        <f ca="1">IF(BD74,_xll.EURO(CN74,Strike1,AO74,AO74,CT74,CM74,IF(OptControl=4,0,1),1)+IF(OR(VolSkewFlag=2,ABS(CO74)&lt;0.0001),0,IF(CO74&gt;0,-1,1)*CX74*100*Strike1/CN74^2*CQ74/10%),0)</f>
        <v>0</v>
      </c>
      <c r="CX74" s="155">
        <f ca="1">IF(BD74,_xll.EURO(CN74,Strike1,AO74,AO74,CT74,CM74,IF(OptControl=4,0,1),3)/100,0)</f>
        <v>0</v>
      </c>
      <c r="CY74" s="155">
        <f ca="1">IF(BD74,_xll.EURO(CN74,Strike1,AO74,AO74,CT74,CM74,IF(OptControl=4,0,1),0)-_xll.EURO(CN74,Strike1,AO74,AO74,CT74,CM74-1,IF(OptControl=4,0,1),0),0)</f>
        <v>0</v>
      </c>
      <c r="CZ74" s="155">
        <f ca="1">IF(BD74,_xll.EURO(CN74,Strike2,AO74,AO74,CU74,CM74,IF(OptControl=3,1,0),0),0)</f>
        <v>0</v>
      </c>
      <c r="DA74" s="155">
        <f ca="1">IF(BD74,_xll.EURO(CN74,Strike2,AO74,AO74,CU74,CM74,IF(OptControl=3,1,0),1)+IF(OR(VolSkewFlag=2,ABS(CP74)&lt;0.0001),0,IF(CP74&gt;0,-1,1)*DB74*100*Strike2/CN74^2*CR74/10%),0)</f>
        <v>0</v>
      </c>
      <c r="DB74" s="155">
        <f ca="1">IF(BD74,_xll.EURO(CN74,Strike2,AO74,AO74,CU74,CM74,IF(OptControl=3,1,0),3)/100,0)</f>
        <v>0</v>
      </c>
      <c r="DC74" s="156">
        <f ca="1">IF(BD74,_xll.EURO(CN74,Strike2,AO74,AO74,CU74,CM74,IF(OptControl=3,1,0),0)-_xll.EURO(CN74,Strike2,AO74,AO74,CU74,CM74-1,IF(OptControl=3,1,0),0),0)</f>
        <v>0</v>
      </c>
      <c r="DE74" s="651">
        <f t="shared" ca="1" si="61"/>
        <v>38565</v>
      </c>
      <c r="DF74" s="465">
        <v>1E-4</v>
      </c>
      <c r="DG74" s="649">
        <v>1E-4</v>
      </c>
      <c r="DH74" s="650">
        <f t="shared" ca="1" si="182"/>
        <v>38565</v>
      </c>
      <c r="DI74" s="465">
        <v>1E-4</v>
      </c>
      <c r="DJ74" s="649">
        <v>1E-4</v>
      </c>
      <c r="DK74" s="651">
        <f t="shared" ca="1" si="183"/>
        <v>38565</v>
      </c>
      <c r="DL74" s="652">
        <f t="shared" si="184"/>
        <v>5.0100000000000006E-2</v>
      </c>
      <c r="DM74" s="651">
        <f t="shared" ca="1" si="62"/>
        <v>38565</v>
      </c>
      <c r="DN74" s="563">
        <f t="shared" si="63"/>
        <v>-0.12990000000000002</v>
      </c>
      <c r="DO74" s="803">
        <v>-0.13</v>
      </c>
      <c r="DP74" s="650">
        <f t="shared" ca="1" si="185"/>
        <v>38565</v>
      </c>
      <c r="DQ74" s="653">
        <v>1E-4</v>
      </c>
      <c r="DR74" s="590">
        <v>1E-4</v>
      </c>
      <c r="DS74" s="650">
        <f t="shared" ca="1" si="186"/>
        <v>38565</v>
      </c>
      <c r="DT74" s="653">
        <v>1E-4</v>
      </c>
      <c r="DU74" s="590">
        <v>1E-4</v>
      </c>
      <c r="DV74" s="651">
        <f t="shared" ca="1" si="187"/>
        <v>38565</v>
      </c>
      <c r="DW74" s="590">
        <v>1E-4</v>
      </c>
      <c r="DX74" s="651">
        <f t="shared" ca="1" si="64"/>
        <v>38565</v>
      </c>
      <c r="DY74" s="590">
        <f t="shared" si="65"/>
        <v>1E-4</v>
      </c>
      <c r="DZ74" s="1"/>
      <c r="EA74" s="863" t="e">
        <f ca="1">_xll.ASN(X74,X74,AO74,AS74,0,AI74,0,BI74,BL74,1,0)</f>
        <v>#NAME?</v>
      </c>
      <c r="EB74" s="653" t="e">
        <f ca="1">_xll.ASN(X74,X74,AO74,AS74,0,AI74,0,BI74,BL74,1,3)/100</f>
        <v>#NAME?</v>
      </c>
      <c r="EC74" s="653" t="e">
        <f ca="1">_xll.xCrudeAPO(L75,L76,O75,O76,S75,S76,BI74,BL74,AJ74,AK74,0,X74,AO74,1,0,+BL74,1,0,1)</f>
        <v>#NAME?</v>
      </c>
      <c r="ED74" s="869" t="e">
        <f t="shared" ca="1" si="165"/>
        <v>#NAME?</v>
      </c>
      <c r="EE74" s="863" t="e">
        <f t="shared" ca="1" si="29"/>
        <v>#NAME?</v>
      </c>
      <c r="EF74" s="590" t="e">
        <f t="shared" ca="1" si="30"/>
        <v>#NAME?</v>
      </c>
      <c r="EG74" s="862" t="str">
        <f t="shared" ca="1" si="188"/>
        <v/>
      </c>
      <c r="EH74" s="114" t="str">
        <f t="shared" ca="1" si="32"/>
        <v/>
      </c>
      <c r="EI74" s="109" t="str">
        <f t="shared" ca="1" si="33"/>
        <v/>
      </c>
      <c r="EJ74" s="115">
        <f ca="1">IF(BD74,_xll.xASN(BP74,Strike1,AO74,EH74,0,BM74,0,BI74,BL74,IF(OptControl=4,0,1),0),0)</f>
        <v>0</v>
      </c>
      <c r="EK74" s="108">
        <f ca="1">IF(BD74,_xll.xASN(BP74,Strike2,AO74,EI74,0,BM74,0,BI74,BL74,IF(OptControl=3,1,0),0),0)</f>
        <v>0</v>
      </c>
      <c r="EP74" s="53"/>
      <c r="EQ74" s="1"/>
      <c r="ER74" s="681">
        <v>42363</v>
      </c>
      <c r="ES74" s="682">
        <v>46388</v>
      </c>
      <c r="ET74" s="1"/>
      <c r="EU74" s="667" t="s">
        <v>260</v>
      </c>
      <c r="EW74" s="488">
        <v>55</v>
      </c>
      <c r="EX74" s="466">
        <f t="shared" ca="1" si="166"/>
        <v>4.5201916495550991</v>
      </c>
      <c r="EY74" s="824">
        <f t="shared" ca="1" si="189"/>
        <v>0.17961630438220394</v>
      </c>
      <c r="EZ74" s="798">
        <f t="shared" ca="1" si="269"/>
        <v>0.20320582945256252</v>
      </c>
      <c r="FA74" s="468" t="str">
        <f t="shared" ca="1" si="270"/>
        <v/>
      </c>
      <c r="FB74" s="467" t="str">
        <f t="shared" ca="1" si="271"/>
        <v/>
      </c>
      <c r="FC74" s="242">
        <v>0</v>
      </c>
      <c r="FD74" s="589" t="str">
        <f ca="1">IF(OR(FA74="",FA75=""),"",SQRT(SUM(INDEX(FO74:IH74,SwaptionFirstMonthPosition+1):INDEX(FO74:IH74,FN74))/SUM(INDEX($FO$15:$IH$15,SwaptionFirstMonthPosition+1):INDEX($FO$15:$IH$15,FN74))))</f>
        <v/>
      </c>
      <c r="FE74" s="565" t="str">
        <f ca="1">IF(OR(FA74="",FA73=""),"",SQRT(SUM(INDEX(FO74:IH74,SwaptionFirstMonthPosition+1):INDEX(FO74:IH74,FN74-1))/SUM(INDEX($FO$15:$IH$15,SwaptionFirstMonthPosition+1):INDEX($FO$15:$IH$15,FN74-1))))</f>
        <v/>
      </c>
      <c r="FF74" s="562" t="str">
        <f t="shared" ca="1" si="190"/>
        <v/>
      </c>
      <c r="FG74" s="593" t="str">
        <f t="shared" ca="1" si="191"/>
        <v/>
      </c>
      <c r="FH74" s="563" t="str">
        <f t="shared" ca="1" si="192"/>
        <v/>
      </c>
      <c r="FI74" s="563" t="str">
        <f t="shared" ca="1" si="193"/>
        <v/>
      </c>
      <c r="FJ74" s="563" t="str">
        <f t="shared" ca="1" si="194"/>
        <v/>
      </c>
      <c r="FK74" s="564" t="str">
        <f t="shared" ca="1" si="195"/>
        <v/>
      </c>
      <c r="FL74" s="590" t="str">
        <f t="shared" ca="1" si="196"/>
        <v/>
      </c>
      <c r="FM74" s="242"/>
      <c r="FN74" s="657">
        <v>55</v>
      </c>
      <c r="FO74" s="450">
        <f t="shared" ca="1" si="197"/>
        <v>6.562098235732358E-4</v>
      </c>
      <c r="FP74" s="450">
        <f t="shared" ca="1" si="198"/>
        <v>2.4608067832481498E-3</v>
      </c>
      <c r="FQ74" s="450">
        <f t="shared" ca="1" si="199"/>
        <v>2.3742317517896458E-3</v>
      </c>
      <c r="FR74" s="450">
        <f t="shared" ca="1" si="200"/>
        <v>2.6150809910724868E-3</v>
      </c>
      <c r="FS74" s="450">
        <f t="shared" ca="1" si="201"/>
        <v>2.4474346597026433E-3</v>
      </c>
      <c r="FT74" s="450">
        <f t="shared" ca="1" si="202"/>
        <v>2.6064113797089707E-3</v>
      </c>
      <c r="FU74" s="450">
        <f t="shared" ca="1" si="203"/>
        <v>2.4398890070757807E-3</v>
      </c>
      <c r="FV74" s="450">
        <f t="shared" ca="1" si="204"/>
        <v>2.2741552337274015E-3</v>
      </c>
      <c r="FW74" s="450">
        <f t="shared" ca="1" si="205"/>
        <v>2.4336565253820254E-3</v>
      </c>
      <c r="FX74" s="450">
        <f t="shared" ca="1" si="206"/>
        <v>2.6742159804616864E-3</v>
      </c>
      <c r="FY74" s="450">
        <f t="shared" ca="1" si="207"/>
        <v>2.3480110000702135E-3</v>
      </c>
      <c r="FZ74" s="450">
        <f t="shared" ca="1" si="208"/>
        <v>2.3464000178097292E-3</v>
      </c>
      <c r="GA74" s="450">
        <f t="shared" ca="1" si="209"/>
        <v>2.6687649983103069E-3</v>
      </c>
      <c r="GB74" s="450">
        <f t="shared" ca="1" si="210"/>
        <v>2.3446937435121452E-3</v>
      </c>
      <c r="GC74" s="450">
        <f t="shared" ca="1" si="211"/>
        <v>2.5872549618011493E-3</v>
      </c>
      <c r="GD74" s="450">
        <f t="shared" ca="1" si="212"/>
        <v>2.4262309392978718E-3</v>
      </c>
      <c r="GE74" s="450">
        <f t="shared" ca="1" si="213"/>
        <v>2.3467314165433566E-3</v>
      </c>
      <c r="GF74" s="450">
        <f t="shared" ca="1" si="214"/>
        <v>2.6728862149149163E-3</v>
      </c>
      <c r="GG74" s="450">
        <f t="shared" ca="1" si="215"/>
        <v>2.4330490608768557E-3</v>
      </c>
      <c r="GH74" s="450">
        <f t="shared" ca="1" si="216"/>
        <v>2.3559694419360414E-3</v>
      </c>
      <c r="GI74" s="450">
        <f t="shared" ca="1" si="217"/>
        <v>2.5239066943447911E-3</v>
      </c>
      <c r="GJ74" s="450">
        <f t="shared" ca="1" si="218"/>
        <v>2.5306507599184846E-3</v>
      </c>
      <c r="GK74" s="450">
        <f t="shared" ca="1" si="219"/>
        <v>2.5388295758059566E-3</v>
      </c>
      <c r="GL74" s="450">
        <f t="shared" ca="1" si="220"/>
        <v>2.3019703084602035E-3</v>
      </c>
      <c r="GM74" s="450">
        <f t="shared" ca="1" si="221"/>
        <v>2.5601813626330611E-3</v>
      </c>
      <c r="GN74" s="450">
        <f t="shared" ca="1" si="222"/>
        <v>2.4907346548569608E-3</v>
      </c>
      <c r="GO74" s="450">
        <f t="shared" ca="1" si="223"/>
        <v>2.5895889970005762E-3</v>
      </c>
      <c r="GP74" s="450">
        <f t="shared" ca="1" si="224"/>
        <v>2.5238243448333754E-3</v>
      </c>
      <c r="GQ74" s="450">
        <f t="shared" ca="1" si="225"/>
        <v>2.6291697369552436E-3</v>
      </c>
      <c r="GR74" s="450">
        <f t="shared" ca="1" si="226"/>
        <v>2.6536132909640766E-3</v>
      </c>
      <c r="GS74" s="450">
        <f t="shared" ca="1" si="227"/>
        <v>2.5952034474603361E-3</v>
      </c>
      <c r="GT74" s="450">
        <f t="shared" ca="1" si="228"/>
        <v>2.7139561658175563E-3</v>
      </c>
      <c r="GU74" s="450">
        <f t="shared" ca="1" si="229"/>
        <v>2.6621880867632899E-3</v>
      </c>
      <c r="GV74" s="450">
        <f t="shared" ca="1" si="230"/>
        <v>2.793298542429551E-3</v>
      </c>
      <c r="GW74" s="450">
        <f t="shared" ca="1" si="231"/>
        <v>2.8418597305721271E-3</v>
      </c>
      <c r="GX74" s="450">
        <f t="shared" ca="1" si="232"/>
        <v>2.7106063284586201E-3</v>
      </c>
      <c r="GY74" s="450">
        <f t="shared" ca="1" si="233"/>
        <v>2.9614610486947942E-3</v>
      </c>
      <c r="GZ74" s="450">
        <f t="shared" ca="1" si="234"/>
        <v>2.9370298827672702E-3</v>
      </c>
      <c r="HA74" s="450">
        <f t="shared" ca="1" si="235"/>
        <v>3.1195423780888583E-3</v>
      </c>
      <c r="HB74" s="450">
        <f t="shared" ca="1" si="236"/>
        <v>3.1134353293464051E-3</v>
      </c>
      <c r="HC74" s="450">
        <f t="shared" ca="1" si="237"/>
        <v>3.3302938673824339E-3</v>
      </c>
      <c r="HD74" s="450">
        <f t="shared" ca="1" si="238"/>
        <v>3.4616489824499165E-3</v>
      </c>
      <c r="HE74" s="450">
        <f t="shared" ca="1" si="239"/>
        <v>3.4982343440268129E-3</v>
      </c>
      <c r="HF74" s="450">
        <f t="shared" ca="1" si="240"/>
        <v>3.7943234427394706E-3</v>
      </c>
      <c r="HG74" s="450">
        <f t="shared" ca="1" si="241"/>
        <v>3.8764933381164467E-3</v>
      </c>
      <c r="HH74" s="450">
        <f t="shared" ca="1" si="242"/>
        <v>4.2561661659820784E-3</v>
      </c>
      <c r="HI74" s="450">
        <f t="shared" ca="1" si="243"/>
        <v>4.5549368431798114E-3</v>
      </c>
      <c r="HJ74" s="450">
        <f t="shared" ca="1" si="244"/>
        <v>4.4385384736826154E-3</v>
      </c>
      <c r="HK74" s="450">
        <f t="shared" ca="1" si="245"/>
        <v>5.3496261626206788E-3</v>
      </c>
      <c r="HL74" s="450">
        <f t="shared" ca="1" si="246"/>
        <v>5.6932148075646664E-3</v>
      </c>
      <c r="HM74" s="450">
        <f t="shared" ca="1" si="247"/>
        <v>6.5434599866449261E-3</v>
      </c>
      <c r="HN74" s="450">
        <f t="shared" ca="1" si="248"/>
        <v>7.1338707610397881E-3</v>
      </c>
      <c r="HO74" s="450">
        <f t="shared" ca="1" si="249"/>
        <v>8.4250507743088877E-3</v>
      </c>
      <c r="HP74" s="450">
        <f t="shared" ca="1" si="250"/>
        <v>9.7865221187857197E-3</v>
      </c>
      <c r="HQ74" s="450">
        <f t="shared" ca="1" si="251"/>
        <v>1.1204992282894713E-2</v>
      </c>
      <c r="HR74" s="450" t="str">
        <f t="shared" si="252"/>
        <v/>
      </c>
      <c r="HS74" s="450" t="str">
        <f t="shared" si="253"/>
        <v/>
      </c>
      <c r="HT74" s="450" t="str">
        <f t="shared" si="254"/>
        <v/>
      </c>
      <c r="HU74" s="450" t="str">
        <f t="shared" si="255"/>
        <v/>
      </c>
      <c r="HV74" s="450" t="str">
        <f t="shared" si="256"/>
        <v/>
      </c>
      <c r="HW74" s="450" t="str">
        <f t="shared" si="257"/>
        <v/>
      </c>
      <c r="HX74" s="450" t="str">
        <f t="shared" si="258"/>
        <v/>
      </c>
      <c r="HY74" s="450" t="str">
        <f t="shared" si="259"/>
        <v/>
      </c>
      <c r="HZ74" s="450" t="str">
        <f t="shared" si="260"/>
        <v/>
      </c>
      <c r="IA74" s="450" t="str">
        <f t="shared" si="261"/>
        <v/>
      </c>
      <c r="IB74" s="450" t="str">
        <f t="shared" si="262"/>
        <v/>
      </c>
      <c r="IC74" s="450" t="str">
        <f t="shared" si="263"/>
        <v/>
      </c>
      <c r="ID74" s="450" t="str">
        <f t="shared" si="264"/>
        <v/>
      </c>
      <c r="IE74" s="450" t="str">
        <f t="shared" si="265"/>
        <v/>
      </c>
      <c r="IF74" s="450" t="str">
        <f t="shared" si="266"/>
        <v/>
      </c>
      <c r="IG74" s="450" t="str">
        <f t="shared" si="267"/>
        <v/>
      </c>
      <c r="IH74" s="658" t="str">
        <f t="shared" si="268"/>
        <v/>
      </c>
      <c r="II74" s="242"/>
    </row>
    <row r="75" spans="1:243">
      <c r="A75" s="51"/>
      <c r="F75" s="51"/>
      <c r="G75" s="51"/>
      <c r="H75" s="49" t="e">
        <f t="shared" ca="1" si="34"/>
        <v>#N/A</v>
      </c>
      <c r="I75" s="369">
        <f t="shared" si="35"/>
        <v>38687</v>
      </c>
      <c r="J75" s="367">
        <v>21.96</v>
      </c>
      <c r="K75" s="101">
        <v>0</v>
      </c>
      <c r="L75" s="382">
        <f t="shared" si="36"/>
        <v>21.96</v>
      </c>
      <c r="M75" s="163">
        <v>0.19835999999999998</v>
      </c>
      <c r="N75" s="372">
        <v>0</v>
      </c>
      <c r="O75" s="163">
        <f t="shared" si="37"/>
        <v>0.19835999999999998</v>
      </c>
      <c r="P75" s="367">
        <v>20.735436527389901</v>
      </c>
      <c r="Q75" s="101" t="s">
        <v>267</v>
      </c>
      <c r="R75" s="367">
        <f t="shared" ca="1" si="147"/>
        <v>20.735436527389943</v>
      </c>
      <c r="S75" s="814">
        <f t="shared" si="163"/>
        <v>0.36905832070590555</v>
      </c>
      <c r="T75" s="813">
        <f t="shared" si="148"/>
        <v>0.99976241073429384</v>
      </c>
      <c r="U75" s="532">
        <f t="shared" si="149"/>
        <v>0.9999999979841383</v>
      </c>
      <c r="V75" s="379">
        <v>0</v>
      </c>
      <c r="W75" s="424">
        <f t="shared" si="168"/>
        <v>21.925909090909091</v>
      </c>
      <c r="X75" s="405">
        <f t="shared" si="169"/>
        <v>21.925909090909091</v>
      </c>
      <c r="Y75" s="313">
        <f t="shared" si="170"/>
        <v>20.684309090909089</v>
      </c>
      <c r="Z75" s="313">
        <f t="shared" ca="1" si="171"/>
        <v>20.684309090909089</v>
      </c>
      <c r="AA75" s="419">
        <f t="shared" si="1"/>
        <v>1.2416</v>
      </c>
      <c r="AB75" s="423">
        <f t="shared" ca="1" si="2"/>
        <v>1.2416</v>
      </c>
      <c r="AC75" s="221">
        <v>38676</v>
      </c>
      <c r="AD75" s="221">
        <v>38672</v>
      </c>
      <c r="AE75" s="221">
        <v>38671</v>
      </c>
      <c r="AF75" s="221">
        <v>38667</v>
      </c>
      <c r="AG75" s="241" t="s">
        <v>495</v>
      </c>
      <c r="AH75" s="239" t="s">
        <v>497</v>
      </c>
      <c r="AI75" s="141">
        <v>22</v>
      </c>
      <c r="AJ75" s="41">
        <v>14</v>
      </c>
      <c r="AK75" s="41">
        <v>8</v>
      </c>
      <c r="AL75" s="285">
        <v>22</v>
      </c>
      <c r="AM75" s="41">
        <v>10</v>
      </c>
      <c r="AN75" s="142">
        <v>12</v>
      </c>
      <c r="AO75" s="364">
        <v>5.3114473156266002E-2</v>
      </c>
      <c r="AP75" s="145">
        <f t="shared" ca="1" si="41"/>
        <v>0.78046718369735679</v>
      </c>
      <c r="AQ75" s="364">
        <v>4.5193066694440898E-2</v>
      </c>
      <c r="AR75" s="145">
        <f t="shared" ca="1" si="151"/>
        <v>0.81399546734817851</v>
      </c>
      <c r="AS75" s="264">
        <f t="shared" si="172"/>
        <v>0.19654181818181818</v>
      </c>
      <c r="AT75" s="149">
        <f t="shared" si="42"/>
        <v>0.19835999999999998</v>
      </c>
      <c r="AU75" s="149">
        <f t="shared" si="4"/>
        <v>0.19637272727272725</v>
      </c>
      <c r="AV75" s="263">
        <f t="shared" ca="1" si="164"/>
        <v>0.19372157229271753</v>
      </c>
      <c r="AW75" s="150" t="str">
        <f t="shared" ca="1" si="173"/>
        <v/>
      </c>
      <c r="AX75" s="149">
        <f t="shared" ca="1" si="152"/>
        <v>3.0019635321631721E-2</v>
      </c>
      <c r="AY75" s="149">
        <f t="shared" ca="1" si="153"/>
        <v>1.502817155119234E-2</v>
      </c>
      <c r="AZ75" s="149">
        <f t="shared" ca="1" si="154"/>
        <v>8.1309371150768365E-3</v>
      </c>
      <c r="BA75" s="149">
        <f t="shared" ca="1" si="155"/>
        <v>1.0000000000000158E-4</v>
      </c>
      <c r="BB75" s="149">
        <f t="shared" ca="1" si="156"/>
        <v>1.0000000000000158E-4</v>
      </c>
      <c r="BC75" s="149">
        <f t="shared" ca="1" si="157"/>
        <v>1.0000000000000158E-4</v>
      </c>
      <c r="BD75" s="143">
        <f t="shared" ca="1" si="174"/>
        <v>0</v>
      </c>
      <c r="BE75" s="144">
        <f t="shared" ca="1" si="175"/>
        <v>0</v>
      </c>
      <c r="BF75" s="40">
        <f t="shared" si="176"/>
        <v>2005</v>
      </c>
      <c r="BG75" s="139">
        <f t="shared" si="177"/>
        <v>12</v>
      </c>
      <c r="BH75" s="140">
        <f t="shared" ca="1" si="178"/>
        <v>1682</v>
      </c>
      <c r="BI75" s="304">
        <f t="shared" ca="1" si="179"/>
        <v>4.646132785763176</v>
      </c>
      <c r="BJ75" s="42">
        <f t="shared" ca="1" si="47"/>
        <v>4.6984008462447884</v>
      </c>
      <c r="BK75" s="42">
        <f t="shared" ca="1" si="180"/>
        <v>4.7011386970319204</v>
      </c>
      <c r="BL75" s="42">
        <f t="shared" ca="1" si="181"/>
        <v>4.7282683093771389</v>
      </c>
      <c r="BM75" s="285">
        <f t="shared" si="49"/>
        <v>22</v>
      </c>
      <c r="BN75" s="41">
        <f t="shared" si="50"/>
        <v>14</v>
      </c>
      <c r="BO75" s="41">
        <f t="shared" si="51"/>
        <v>8</v>
      </c>
      <c r="BP75" s="297" t="str">
        <f t="shared" ca="1" si="10"/>
        <v/>
      </c>
      <c r="BQ75" s="297" t="str">
        <f t="shared" ca="1" si="11"/>
        <v/>
      </c>
      <c r="BR75" s="299" t="str">
        <f t="shared" ca="1" si="12"/>
        <v/>
      </c>
      <c r="BS75" s="153" t="str">
        <f t="shared" ca="1" si="13"/>
        <v/>
      </c>
      <c r="BT75" s="153" t="str">
        <f t="shared" ca="1" si="14"/>
        <v/>
      </c>
      <c r="BU75" s="300" t="str">
        <f t="shared" ca="1" si="15"/>
        <v/>
      </c>
      <c r="BV75" s="301" t="str">
        <f t="shared" ca="1" si="16"/>
        <v/>
      </c>
      <c r="BW75" s="300" t="str">
        <f t="shared" ca="1" si="17"/>
        <v/>
      </c>
      <c r="BX75" s="301" t="str">
        <f t="shared" ca="1" si="18"/>
        <v/>
      </c>
      <c r="BY75" s="146" t="str">
        <f t="shared" ca="1" si="19"/>
        <v/>
      </c>
      <c r="BZ75" s="146" t="str">
        <f t="shared" ca="1" si="20"/>
        <v/>
      </c>
      <c r="CA75" s="146" t="str">
        <f t="shared" ca="1" si="21"/>
        <v/>
      </c>
      <c r="CB75" s="146" t="str">
        <f t="shared" ca="1" si="22"/>
        <v/>
      </c>
      <c r="CC75" s="302">
        <v>1</v>
      </c>
      <c r="CD75" s="154">
        <f ca="1">IF(BD75,_xll.xCrudeAPO(BS75,BT75,BY75,BZ75,S76,S77,BI75,BL75,BN75,BO75,0,Strike1,AO75,CC75,0,BL75,IF(OptControl=4,0,1),0,1),0)</f>
        <v>0</v>
      </c>
      <c r="CE75" s="155">
        <f ca="1">IF(BD75,_xll.xCrudeAPO(BS75,BT75,BY75,BZ75,S76,S77,BI75,BL75,BN75,BO75,0,Strike1,AO75,CC75,0,BL75,IF(OptControl=4,0,1),1,1)+_xll.xCrudeAPO(BS75,BT75,BY75,BZ75,S76,S77,BI75,BL75,BN75,BO75,0,Strike1,AO75,CC75,0,BL75,IF(OptControl=4,0,1),1,2)+IF(OR(VolSkewFlag=2,ABS(BQ75)&lt;0.0001),0,IF(BQ75&gt;0,-1,1)*CF75*Strike1/BP75^2*BW75/10%),0)</f>
        <v>0</v>
      </c>
      <c r="CF75" s="155">
        <f ca="1">IF(BD75,(_xll.xCrudeAPO(BS75,BT75,BY75,BZ75,S76,S77,BI75,BL75,BN75,BO75,0,Strike1,AO75,CC75,0,BL75,IF(OptControl=4,0,1),3,1)+_xll.xCrudeAPO(BS75,BT75,BY75,BZ75,S76,S77,BI75,BL75,BN75,BO75,0,Strike1,AO75,CC75,0,BL75,IF(OptControl=4,0,1),3,2))/100,0)</f>
        <v>0</v>
      </c>
      <c r="CG75" s="155">
        <f ca="1">IF(BD75,_xll.xCrudeAPO(BS75,BT75,BY75,BZ75,S76,S77,BI75-DaysForThetaCalculation/365.25,BL75-DaysForThetaCalculation/365.25,BN75,BO75,0,Strike1,AO75,CC75,0,BL75,IF(OptControl=4,0,1),0,1)-_xll.xCrudeAPO(BS75,BT75,BY75,BZ75,S76,S77,BI75,BL75,BN75,BO75,0,Strike1,AO75,CC75,0,BL75,IF(OptControl=4,0,1),0,1),0)</f>
        <v>0</v>
      </c>
      <c r="CH75" s="303">
        <f ca="1">IF(BD75,_xll.xCrudeAPO(BS75,BT75,CA75,CB75,S76,S77,BI75,BL75,BN75,BO75,0,Strike2,AO75,CC75,0,BL75,IF(OptControl=3,1,0),0,1),0)</f>
        <v>0</v>
      </c>
      <c r="CI75" s="155">
        <f ca="1">IF(BD75,_xll.xCrudeAPO(BS75,BT75,CA75,CB75,S76,S77,BI75,BL75,BN75,BO75,0,Strike2,AO75,CC75,0,BL75,IF(OptControl=3,1,0),1,1)+_xll.xCrudeAPO(BS75,BT75,CA75,CB75,S76,S77,BI75,BL75,BN75,BO75,0,Strike2,AO75,CC75,0,BL75,IF(OptControl=3,1,0),1,2)+IF(OR(VolSkewFlag=2,ABS(BR75)&lt;0.0001),0,IF(BR75&gt;0,-1,1)*CJ75*Strike2/BP75^2*BX75/10%),0)</f>
        <v>0</v>
      </c>
      <c r="CJ75" s="155">
        <f ca="1">IF(BD75,(_xll.xCrudeAPO(BS75,BT75,CA75,CB75,S76,S77,BI75,BL75,BN75,BO75,0,Strike2,AO75,CC75,0,BL75,IF(OptControl=3,1,0),3,1)+_xll.xCrudeAPO(BS75,BT75,CA75,CB75,S76,S77,BI75,BL75,BN75,BO75,0,Strike2,AO75,CC75,0,BL75,IF(OptControl=3,1,0),3,2))/100,0)</f>
        <v>0</v>
      </c>
      <c r="CK75" s="156">
        <f ca="1">IF(BD75,_xll.xCrudeAPO(BS75,BT75,CA75,CB75,S76,S77,BI75-DaysForThetaCalculation/365.25,BL75-DaysForThetaCalculation/365.25,BN75,BO75,0,Strike2,AO75,CC75,0,BL75,IF(OptControl=3,1,0),0,1)-_xll.xCrudeAPO(BS75,BT75,CA75,CB75,S76,S77,BI75,BL75,BN75,BO75,0,Strike2,AO75,CC75,0,BL75,IF(OptControl=3,1,0),0,1),0)</f>
        <v>0</v>
      </c>
      <c r="CL75" s="51"/>
      <c r="CM75" s="779" t="str">
        <f t="shared" ca="1" si="52"/>
        <v/>
      </c>
      <c r="CN75" s="783" t="str">
        <f t="shared" ca="1" si="53"/>
        <v/>
      </c>
      <c r="CO75" s="780" t="str">
        <f t="shared" ca="1" si="54"/>
        <v/>
      </c>
      <c r="CP75" s="780" t="str">
        <f t="shared" ca="1" si="55"/>
        <v/>
      </c>
      <c r="CQ75" s="780" t="str">
        <f t="shared" ca="1" si="56"/>
        <v/>
      </c>
      <c r="CR75" s="780" t="str">
        <f t="shared" ca="1" si="57"/>
        <v/>
      </c>
      <c r="CS75" s="781" t="str">
        <f t="shared" ca="1" si="58"/>
        <v/>
      </c>
      <c r="CT75" s="782" t="str">
        <f t="shared" ca="1" si="59"/>
        <v/>
      </c>
      <c r="CU75" s="782" t="str">
        <f t="shared" ca="1" si="60"/>
        <v/>
      </c>
      <c r="CV75" s="155">
        <f ca="1">IF(BD75,_xll.EURO(CN75,Strike1,AO75,AO75,CT75,CM75,IF(OptControl=4,0,1),0),0)</f>
        <v>0</v>
      </c>
      <c r="CW75" s="155">
        <f ca="1">IF(BD75,_xll.EURO(CN75,Strike1,AO75,AO75,CT75,CM75,IF(OptControl=4,0,1),1)+IF(OR(VolSkewFlag=2,ABS(CO75)&lt;0.0001),0,IF(CO75&gt;0,-1,1)*CX75*100*Strike1/CN75^2*CQ75/10%),0)</f>
        <v>0</v>
      </c>
      <c r="CX75" s="155">
        <f ca="1">IF(BD75,_xll.EURO(CN75,Strike1,AO75,AO75,CT75,CM75,IF(OptControl=4,0,1),3)/100,0)</f>
        <v>0</v>
      </c>
      <c r="CY75" s="155">
        <f ca="1">IF(BD75,_xll.EURO(CN75,Strike1,AO75,AO75,CT75,CM75,IF(OptControl=4,0,1),0)-_xll.EURO(CN75,Strike1,AO75,AO75,CT75,CM75-1,IF(OptControl=4,0,1),0),0)</f>
        <v>0</v>
      </c>
      <c r="CZ75" s="155">
        <f ca="1">IF(BD75,_xll.EURO(CN75,Strike2,AO75,AO75,CU75,CM75,IF(OptControl=3,1,0),0),0)</f>
        <v>0</v>
      </c>
      <c r="DA75" s="155">
        <f ca="1">IF(BD75,_xll.EURO(CN75,Strike2,AO75,AO75,CU75,CM75,IF(OptControl=3,1,0),1)+IF(OR(VolSkewFlag=2,ABS(CP75)&lt;0.0001),0,IF(CP75&gt;0,-1,1)*DB75*100*Strike2/CN75^2*CR75/10%),0)</f>
        <v>0</v>
      </c>
      <c r="DB75" s="155">
        <f ca="1">IF(BD75,_xll.EURO(CN75,Strike2,AO75,AO75,CU75,CM75,IF(OptControl=3,1,0),3)/100,0)</f>
        <v>0</v>
      </c>
      <c r="DC75" s="156">
        <f ca="1">IF(BD75,_xll.EURO(CN75,Strike2,AO75,AO75,CU75,CM75,IF(OptControl=3,1,0),0)-_xll.EURO(CN75,Strike2,AO75,AO75,CU75,CM75-1,IF(OptControl=3,1,0),0),0)</f>
        <v>0</v>
      </c>
      <c r="DE75" s="651">
        <f t="shared" ca="1" si="61"/>
        <v>38596</v>
      </c>
      <c r="DF75" s="465">
        <v>1E-4</v>
      </c>
      <c r="DG75" s="649">
        <v>1E-4</v>
      </c>
      <c r="DH75" s="650">
        <f t="shared" ca="1" si="182"/>
        <v>38596</v>
      </c>
      <c r="DI75" s="465">
        <v>1E-4</v>
      </c>
      <c r="DJ75" s="649">
        <v>1E-4</v>
      </c>
      <c r="DK75" s="651">
        <f t="shared" ca="1" si="183"/>
        <v>38596</v>
      </c>
      <c r="DL75" s="652">
        <f t="shared" si="184"/>
        <v>5.0100000000000006E-2</v>
      </c>
      <c r="DM75" s="651">
        <f t="shared" ca="1" si="62"/>
        <v>38596</v>
      </c>
      <c r="DN75" s="563">
        <f t="shared" si="63"/>
        <v>-0.12990000000000002</v>
      </c>
      <c r="DO75" s="803">
        <v>-0.13</v>
      </c>
      <c r="DP75" s="650">
        <f t="shared" ca="1" si="185"/>
        <v>38596</v>
      </c>
      <c r="DQ75" s="653">
        <v>1E-4</v>
      </c>
      <c r="DR75" s="590">
        <v>1E-4</v>
      </c>
      <c r="DS75" s="650">
        <f t="shared" ca="1" si="186"/>
        <v>38596</v>
      </c>
      <c r="DT75" s="653">
        <v>1E-4</v>
      </c>
      <c r="DU75" s="590">
        <v>1E-4</v>
      </c>
      <c r="DV75" s="651">
        <f t="shared" ca="1" si="187"/>
        <v>38596</v>
      </c>
      <c r="DW75" s="590">
        <v>1E-4</v>
      </c>
      <c r="DX75" s="651">
        <f t="shared" ca="1" si="64"/>
        <v>38596</v>
      </c>
      <c r="DY75" s="590">
        <f t="shared" si="65"/>
        <v>1E-4</v>
      </c>
      <c r="DZ75" s="1"/>
      <c r="EA75" s="863" t="e">
        <f ca="1">_xll.ASN(X75,X75,AO75,AS75,0,AI75,0,BI75,BL75,1,0)</f>
        <v>#NAME?</v>
      </c>
      <c r="EB75" s="653" t="e">
        <f ca="1">_xll.ASN(X75,X75,AO75,AS75,0,AI75,0,BI75,BL75,1,3)/100</f>
        <v>#NAME?</v>
      </c>
      <c r="EC75" s="653" t="e">
        <f ca="1">_xll.xCrudeAPO(L76,L77,O76,O77,S76,S77,BI75,BL75,AJ75,AK75,0,X75,AO75,1,0,+BL75,1,0,1)</f>
        <v>#NAME?</v>
      </c>
      <c r="ED75" s="869" t="e">
        <f t="shared" ca="1" si="165"/>
        <v>#NAME?</v>
      </c>
      <c r="EE75" s="863" t="e">
        <f t="shared" ca="1" si="29"/>
        <v>#NAME?</v>
      </c>
      <c r="EF75" s="590" t="e">
        <f t="shared" ca="1" si="30"/>
        <v>#NAME?</v>
      </c>
      <c r="EG75" s="862" t="str">
        <f t="shared" ca="1" si="188"/>
        <v/>
      </c>
      <c r="EH75" s="114" t="str">
        <f t="shared" ca="1" si="32"/>
        <v/>
      </c>
      <c r="EI75" s="109" t="str">
        <f t="shared" ca="1" si="33"/>
        <v/>
      </c>
      <c r="EJ75" s="115">
        <f ca="1">IF(BD75,_xll.xASN(BP75,Strike1,AO75,EH75,0,BM75,0,BI75,BL75,IF(OptControl=4,0,1),0),0)</f>
        <v>0</v>
      </c>
      <c r="EK75" s="108">
        <f ca="1">IF(BD75,_xll.xASN(BP75,Strike2,AO75,EI75,0,BM75,0,BI75,BL75,IF(OptControl=3,1,0),0),0)</f>
        <v>0</v>
      </c>
      <c r="EP75" s="53"/>
      <c r="EQ75" s="1"/>
      <c r="ER75" s="681">
        <v>42370</v>
      </c>
      <c r="ES75" s="682">
        <v>46746</v>
      </c>
      <c r="ET75" s="1"/>
      <c r="EU75" s="667" t="s">
        <v>261</v>
      </c>
      <c r="EW75" s="488">
        <v>56</v>
      </c>
      <c r="EX75" s="466">
        <f t="shared" ca="1" si="166"/>
        <v>4.6050650239561941</v>
      </c>
      <c r="EY75" s="824">
        <f t="shared" ca="1" si="189"/>
        <v>0.18119406408542088</v>
      </c>
      <c r="EZ75" s="798">
        <f t="shared" ca="1" si="269"/>
        <v>0.20258332838322615</v>
      </c>
      <c r="FA75" s="468" t="str">
        <f t="shared" ca="1" si="270"/>
        <v/>
      </c>
      <c r="FB75" s="467" t="str">
        <f t="shared" ca="1" si="271"/>
        <v/>
      </c>
      <c r="FC75" s="242">
        <v>0</v>
      </c>
      <c r="FD75" s="589" t="str">
        <f ca="1">IF(OR(FA75="",FA76=""),"",SQRT(SUM(INDEX(FO75:IH75,SwaptionFirstMonthPosition+1):INDEX(FO75:IH75,FN75))/SUM(INDEX($FO$15:$IH$15,SwaptionFirstMonthPosition+1):INDEX($FO$15:$IH$15,FN75))))</f>
        <v/>
      </c>
      <c r="FE75" s="565" t="str">
        <f ca="1">IF(OR(FA75="",FA74=""),"",SQRT(SUM(INDEX(FO75:IH75,SwaptionFirstMonthPosition+1):INDEX(FO75:IH75,FN75-1))/SUM(INDEX($FO$15:$IH$15,SwaptionFirstMonthPosition+1):INDEX($FO$15:$IH$15,FN75-1))))</f>
        <v/>
      </c>
      <c r="FF75" s="562" t="str">
        <f t="shared" ca="1" si="190"/>
        <v/>
      </c>
      <c r="FG75" s="593" t="str">
        <f t="shared" ca="1" si="191"/>
        <v/>
      </c>
      <c r="FH75" s="563" t="str">
        <f t="shared" ca="1" si="192"/>
        <v/>
      </c>
      <c r="FI75" s="563" t="str">
        <f t="shared" ca="1" si="193"/>
        <v/>
      </c>
      <c r="FJ75" s="563" t="str">
        <f t="shared" ca="1" si="194"/>
        <v/>
      </c>
      <c r="FK75" s="564" t="str">
        <f t="shared" ca="1" si="195"/>
        <v/>
      </c>
      <c r="FL75" s="590" t="str">
        <f t="shared" ca="1" si="196"/>
        <v/>
      </c>
      <c r="FM75" s="242"/>
      <c r="FN75" s="657">
        <v>56</v>
      </c>
      <c r="FO75" s="450">
        <f t="shared" ca="1" si="197"/>
        <v>6.5586340306668085E-4</v>
      </c>
      <c r="FP75" s="450">
        <f t="shared" ca="1" si="198"/>
        <v>2.4593633527718282E-3</v>
      </c>
      <c r="FQ75" s="450">
        <f t="shared" ca="1" si="199"/>
        <v>2.3726843647512378E-3</v>
      </c>
      <c r="FR75" s="450">
        <f t="shared" ca="1" si="200"/>
        <v>2.6131872592360154E-3</v>
      </c>
      <c r="FS75" s="450">
        <f t="shared" ca="1" si="201"/>
        <v>2.4454654048099711E-3</v>
      </c>
      <c r="FT75" s="450">
        <f t="shared" ca="1" si="202"/>
        <v>2.6040811899953999E-3</v>
      </c>
      <c r="FU75" s="450">
        <f t="shared" ca="1" si="203"/>
        <v>2.4374653237305907E-3</v>
      </c>
      <c r="FV75" s="450">
        <f t="shared" ca="1" si="204"/>
        <v>2.2716451777606574E-3</v>
      </c>
      <c r="FW75" s="450">
        <f t="shared" ca="1" si="205"/>
        <v>2.4306719670370456E-3</v>
      </c>
      <c r="FX75" s="450">
        <f t="shared" ca="1" si="206"/>
        <v>2.6705720107407143E-3</v>
      </c>
      <c r="FY75" s="450">
        <f t="shared" ca="1" si="207"/>
        <v>2.3444560304179333E-3</v>
      </c>
      <c r="FZ75" s="450">
        <f t="shared" ca="1" si="208"/>
        <v>2.3424527616213242E-3</v>
      </c>
      <c r="GA75" s="450">
        <f t="shared" ca="1" si="209"/>
        <v>2.6637766004454829E-3</v>
      </c>
      <c r="GB75" s="450">
        <f t="shared" ca="1" si="210"/>
        <v>2.3398241314251528E-3</v>
      </c>
      <c r="GC75" s="450">
        <f t="shared" ca="1" si="211"/>
        <v>2.5812845407320729E-3</v>
      </c>
      <c r="GD75" s="450">
        <f t="shared" ca="1" si="212"/>
        <v>2.4200100086494525E-3</v>
      </c>
      <c r="GE75" s="450">
        <f t="shared" ca="1" si="213"/>
        <v>2.3400457593985764E-3</v>
      </c>
      <c r="GF75" s="450">
        <f t="shared" ca="1" si="214"/>
        <v>2.6644252737409008E-3</v>
      </c>
      <c r="GG75" s="450">
        <f t="shared" ca="1" si="215"/>
        <v>2.4244915677059885E-3</v>
      </c>
      <c r="GH75" s="450">
        <f t="shared" ca="1" si="216"/>
        <v>2.3467623423915379E-3</v>
      </c>
      <c r="GI75" s="450">
        <f t="shared" ca="1" si="217"/>
        <v>2.5129473651700298E-3</v>
      </c>
      <c r="GJ75" s="450">
        <f t="shared" ca="1" si="218"/>
        <v>2.5184411895698001E-3</v>
      </c>
      <c r="GK75" s="450">
        <f t="shared" ca="1" si="219"/>
        <v>2.5252195419319806E-3</v>
      </c>
      <c r="GL75" s="450">
        <f t="shared" ca="1" si="220"/>
        <v>2.2882588748428341E-3</v>
      </c>
      <c r="GM75" s="450">
        <f t="shared" ca="1" si="221"/>
        <v>2.5432375410375852E-3</v>
      </c>
      <c r="GN75" s="450">
        <f t="shared" ca="1" si="222"/>
        <v>2.4724188675244569E-3</v>
      </c>
      <c r="GO75" s="450">
        <f t="shared" ca="1" si="223"/>
        <v>2.5684304197933941E-3</v>
      </c>
      <c r="GP75" s="450">
        <f t="shared" ca="1" si="224"/>
        <v>2.5009118576397303E-3</v>
      </c>
      <c r="GQ75" s="450">
        <f t="shared" ca="1" si="225"/>
        <v>2.6026487778880478E-3</v>
      </c>
      <c r="GR75" s="450">
        <f t="shared" ca="1" si="226"/>
        <v>2.6238715953335241E-3</v>
      </c>
      <c r="GS75" s="450">
        <f t="shared" ca="1" si="227"/>
        <v>2.562884516180839E-3</v>
      </c>
      <c r="GT75" s="450">
        <f t="shared" ca="1" si="228"/>
        <v>2.6764030565294447E-3</v>
      </c>
      <c r="GU75" s="450">
        <f t="shared" ca="1" si="229"/>
        <v>2.6212583173051661E-3</v>
      </c>
      <c r="GV75" s="450">
        <f t="shared" ca="1" si="230"/>
        <v>2.7455812922899162E-3</v>
      </c>
      <c r="GW75" s="450">
        <f t="shared" ca="1" si="231"/>
        <v>2.7879188313625668E-3</v>
      </c>
      <c r="GX75" s="450">
        <f t="shared" ca="1" si="232"/>
        <v>2.6534401076571661E-3</v>
      </c>
      <c r="GY75" s="450">
        <f t="shared" ca="1" si="233"/>
        <v>2.892064711291051E-3</v>
      </c>
      <c r="GZ75" s="450">
        <f t="shared" ca="1" si="234"/>
        <v>2.8605589511869044E-3</v>
      </c>
      <c r="HA75" s="450">
        <f t="shared" ca="1" si="235"/>
        <v>3.0292946254351469E-3</v>
      </c>
      <c r="HB75" s="450">
        <f t="shared" ca="1" si="236"/>
        <v>3.0133563549858142E-3</v>
      </c>
      <c r="HC75" s="450">
        <f t="shared" ca="1" si="237"/>
        <v>3.2113497289377904E-3</v>
      </c>
      <c r="HD75" s="450">
        <f t="shared" ca="1" si="238"/>
        <v>3.3242761017868174E-3</v>
      </c>
      <c r="HE75" s="450">
        <f t="shared" ca="1" si="239"/>
        <v>3.3439846299904178E-3</v>
      </c>
      <c r="HF75" s="450">
        <f t="shared" ca="1" si="240"/>
        <v>3.6084286142674064E-3</v>
      </c>
      <c r="HG75" s="450">
        <f t="shared" ca="1" si="241"/>
        <v>3.6654704845659877E-3</v>
      </c>
      <c r="HH75" s="450">
        <f t="shared" ca="1" si="242"/>
        <v>3.9987318042214925E-3</v>
      </c>
      <c r="HI75" s="450">
        <f t="shared" ca="1" si="243"/>
        <v>4.2488196023070541E-3</v>
      </c>
      <c r="HJ75" s="450">
        <f t="shared" ca="1" si="244"/>
        <v>4.1071000079158319E-3</v>
      </c>
      <c r="HK75" s="450">
        <f t="shared" ca="1" si="245"/>
        <v>4.905768373175922E-3</v>
      </c>
      <c r="HL75" s="450">
        <f t="shared" ca="1" si="246"/>
        <v>5.1683644800208043E-3</v>
      </c>
      <c r="HM75" s="450">
        <f t="shared" ca="1" si="247"/>
        <v>5.8732006939129127E-3</v>
      </c>
      <c r="HN75" s="450">
        <f t="shared" ca="1" si="248"/>
        <v>6.3219416354539778E-3</v>
      </c>
      <c r="HO75" s="450">
        <f t="shared" ca="1" si="249"/>
        <v>7.3596257309822563E-3</v>
      </c>
      <c r="HP75" s="450">
        <f t="shared" ca="1" si="250"/>
        <v>8.4114158986257279E-3</v>
      </c>
      <c r="HQ75" s="450">
        <f t="shared" ca="1" si="251"/>
        <v>9.4556414468917657E-3</v>
      </c>
      <c r="HR75" s="450">
        <f t="shared" ca="1" si="252"/>
        <v>1.1560096828337156E-2</v>
      </c>
      <c r="HS75" s="450" t="str">
        <f t="shared" si="253"/>
        <v/>
      </c>
      <c r="HT75" s="450" t="str">
        <f t="shared" si="254"/>
        <v/>
      </c>
      <c r="HU75" s="450" t="str">
        <f t="shared" si="255"/>
        <v/>
      </c>
      <c r="HV75" s="450" t="str">
        <f t="shared" si="256"/>
        <v/>
      </c>
      <c r="HW75" s="450" t="str">
        <f t="shared" si="257"/>
        <v/>
      </c>
      <c r="HX75" s="450" t="str">
        <f t="shared" si="258"/>
        <v/>
      </c>
      <c r="HY75" s="450" t="str">
        <f t="shared" si="259"/>
        <v/>
      </c>
      <c r="HZ75" s="450" t="str">
        <f t="shared" si="260"/>
        <v/>
      </c>
      <c r="IA75" s="450" t="str">
        <f t="shared" si="261"/>
        <v/>
      </c>
      <c r="IB75" s="450" t="str">
        <f t="shared" si="262"/>
        <v/>
      </c>
      <c r="IC75" s="450" t="str">
        <f t="shared" si="263"/>
        <v/>
      </c>
      <c r="ID75" s="450" t="str">
        <f t="shared" si="264"/>
        <v/>
      </c>
      <c r="IE75" s="450" t="str">
        <f t="shared" si="265"/>
        <v/>
      </c>
      <c r="IF75" s="450" t="str">
        <f t="shared" si="266"/>
        <v/>
      </c>
      <c r="IG75" s="450" t="str">
        <f t="shared" si="267"/>
        <v/>
      </c>
      <c r="IH75" s="658" t="str">
        <f t="shared" si="268"/>
        <v/>
      </c>
      <c r="II75" s="242"/>
    </row>
    <row r="76" spans="1:243">
      <c r="A76" s="51"/>
      <c r="F76" s="51"/>
      <c r="G76" s="51"/>
      <c r="H76" s="49" t="e">
        <f t="shared" ca="1" si="34"/>
        <v>#N/A</v>
      </c>
      <c r="I76" s="369">
        <f t="shared" si="35"/>
        <v>38718</v>
      </c>
      <c r="J76" s="367">
        <v>21.934999999999999</v>
      </c>
      <c r="K76" s="101" t="s">
        <v>268</v>
      </c>
      <c r="L76" s="382">
        <f t="shared" si="36"/>
        <v>21.935000000000002</v>
      </c>
      <c r="M76" s="163">
        <v>0.19688</v>
      </c>
      <c r="N76" s="372">
        <v>0</v>
      </c>
      <c r="O76" s="163">
        <f t="shared" si="37"/>
        <v>0.19688</v>
      </c>
      <c r="P76" s="367">
        <v>20.687536227175098</v>
      </c>
      <c r="Q76" s="101" t="s">
        <v>267</v>
      </c>
      <c r="R76" s="367">
        <f t="shared" ca="1" si="147"/>
        <v>20.687536227175055</v>
      </c>
      <c r="S76" s="814">
        <f t="shared" si="163"/>
        <v>0.3687677374988465</v>
      </c>
      <c r="T76" s="813">
        <f t="shared" si="148"/>
        <v>0.99978617235271161</v>
      </c>
      <c r="U76" s="532">
        <f t="shared" si="149"/>
        <v>0.99999999848810373</v>
      </c>
      <c r="V76" s="379">
        <v>0</v>
      </c>
      <c r="W76" s="424">
        <f t="shared" si="168"/>
        <v>21.902045454545455</v>
      </c>
      <c r="X76" s="405">
        <f t="shared" si="169"/>
        <v>21.902045454545455</v>
      </c>
      <c r="Y76" s="313">
        <f t="shared" si="170"/>
        <v>20.686045454545454</v>
      </c>
      <c r="Z76" s="313">
        <f t="shared" ca="1" si="171"/>
        <v>20.686045454545454</v>
      </c>
      <c r="AA76" s="419">
        <f t="shared" si="1"/>
        <v>1.216</v>
      </c>
      <c r="AB76" s="423">
        <f t="shared" ca="1" si="2"/>
        <v>1.216</v>
      </c>
      <c r="AC76" s="221">
        <v>38706</v>
      </c>
      <c r="AD76" s="221">
        <v>38702</v>
      </c>
      <c r="AE76" s="221">
        <v>38701</v>
      </c>
      <c r="AF76" s="221">
        <v>38697</v>
      </c>
      <c r="AG76" s="241" t="s">
        <v>90</v>
      </c>
      <c r="AH76" s="239" t="s">
        <v>497</v>
      </c>
      <c r="AI76" s="141">
        <v>22</v>
      </c>
      <c r="AJ76" s="41">
        <v>15</v>
      </c>
      <c r="AK76" s="41">
        <v>7</v>
      </c>
      <c r="AL76" s="285">
        <v>22</v>
      </c>
      <c r="AM76" s="41">
        <v>10</v>
      </c>
      <c r="AN76" s="142">
        <v>12</v>
      </c>
      <c r="AO76" s="364">
        <v>5.3273275685534305E-2</v>
      </c>
      <c r="AP76" s="145">
        <f t="shared" ca="1" si="41"/>
        <v>0.77642416367669187</v>
      </c>
      <c r="AQ76" s="364">
        <v>4.5341850101159806E-2</v>
      </c>
      <c r="AR76" s="145">
        <f t="shared" ca="1" si="151"/>
        <v>0.81046018508218098</v>
      </c>
      <c r="AS76" s="264">
        <f t="shared" si="172"/>
        <v>0.19547272727272727</v>
      </c>
      <c r="AT76" s="149">
        <f t="shared" si="42"/>
        <v>0.19688</v>
      </c>
      <c r="AU76" s="149">
        <f t="shared" si="4"/>
        <v>0.19513181818181816</v>
      </c>
      <c r="AV76" s="263">
        <f t="shared" ca="1" si="164"/>
        <v>0.19242553413411928</v>
      </c>
      <c r="AW76" s="150" t="str">
        <f t="shared" ca="1" si="173"/>
        <v/>
      </c>
      <c r="AX76" s="149">
        <f t="shared" ca="1" si="152"/>
        <v>2.9597913068490894E-2</v>
      </c>
      <c r="AY76" s="149">
        <f t="shared" ca="1" si="153"/>
        <v>1.4769598807849572E-2</v>
      </c>
      <c r="AZ76" s="149">
        <f t="shared" ca="1" si="154"/>
        <v>8.0340333409056296E-3</v>
      </c>
      <c r="BA76" s="149">
        <f t="shared" ca="1" si="155"/>
        <v>1.0000000000000163E-4</v>
      </c>
      <c r="BB76" s="149">
        <f t="shared" ca="1" si="156"/>
        <v>1.0000000000000163E-4</v>
      </c>
      <c r="BC76" s="149">
        <f t="shared" ca="1" si="157"/>
        <v>1.0000000000000163E-4</v>
      </c>
      <c r="BD76" s="143">
        <f t="shared" ca="1" si="174"/>
        <v>0</v>
      </c>
      <c r="BE76" s="144">
        <f t="shared" ca="1" si="175"/>
        <v>0</v>
      </c>
      <c r="BF76" s="40">
        <f t="shared" si="176"/>
        <v>2006</v>
      </c>
      <c r="BG76" s="139">
        <f t="shared" si="177"/>
        <v>1</v>
      </c>
      <c r="BH76" s="140">
        <f t="shared" ca="1" si="178"/>
        <v>1712</v>
      </c>
      <c r="BI76" s="304">
        <f t="shared" ca="1" si="179"/>
        <v>4.731006160164271</v>
      </c>
      <c r="BJ76" s="42">
        <f t="shared" ca="1" si="47"/>
        <v>4.7870076535374277</v>
      </c>
      <c r="BK76" s="42">
        <f t="shared" ca="1" si="180"/>
        <v>4.7897455043245598</v>
      </c>
      <c r="BL76" s="42">
        <f t="shared" ca="1" si="181"/>
        <v>4.8131416837782339</v>
      </c>
      <c r="BM76" s="285">
        <f t="shared" si="49"/>
        <v>22</v>
      </c>
      <c r="BN76" s="41">
        <f t="shared" si="50"/>
        <v>15</v>
      </c>
      <c r="BO76" s="41">
        <f t="shared" si="51"/>
        <v>7</v>
      </c>
      <c r="BP76" s="297" t="str">
        <f t="shared" ca="1" si="10"/>
        <v/>
      </c>
      <c r="BQ76" s="297" t="str">
        <f t="shared" ca="1" si="11"/>
        <v/>
      </c>
      <c r="BR76" s="299" t="str">
        <f t="shared" ca="1" si="12"/>
        <v/>
      </c>
      <c r="BS76" s="153" t="str">
        <f t="shared" ca="1" si="13"/>
        <v/>
      </c>
      <c r="BT76" s="153" t="str">
        <f t="shared" ca="1" si="14"/>
        <v/>
      </c>
      <c r="BU76" s="300" t="str">
        <f t="shared" ca="1" si="15"/>
        <v/>
      </c>
      <c r="BV76" s="301" t="str">
        <f t="shared" ca="1" si="16"/>
        <v/>
      </c>
      <c r="BW76" s="300" t="str">
        <f t="shared" ca="1" si="17"/>
        <v/>
      </c>
      <c r="BX76" s="301" t="str">
        <f t="shared" ca="1" si="18"/>
        <v/>
      </c>
      <c r="BY76" s="146" t="str">
        <f t="shared" ca="1" si="19"/>
        <v/>
      </c>
      <c r="BZ76" s="146" t="str">
        <f t="shared" ca="1" si="20"/>
        <v/>
      </c>
      <c r="CA76" s="146" t="str">
        <f t="shared" ca="1" si="21"/>
        <v/>
      </c>
      <c r="CB76" s="146" t="str">
        <f t="shared" ca="1" si="22"/>
        <v/>
      </c>
      <c r="CC76" s="302">
        <v>1</v>
      </c>
      <c r="CD76" s="154">
        <f ca="1">IF(BD76,_xll.xCrudeAPO(BS76,BT76,BY76,BZ76,S77,S78,BI76,BL76,BN76,BO76,0,Strike1,AO76,CC76,0,BL76,IF(OptControl=4,0,1),0,1),0)</f>
        <v>0</v>
      </c>
      <c r="CE76" s="155">
        <f ca="1">IF(BD76,_xll.xCrudeAPO(BS76,BT76,BY76,BZ76,S77,S78,BI76,BL76,BN76,BO76,0,Strike1,AO76,CC76,0,BL76,IF(OptControl=4,0,1),1,1)+_xll.xCrudeAPO(BS76,BT76,BY76,BZ76,S77,S78,BI76,BL76,BN76,BO76,0,Strike1,AO76,CC76,0,BL76,IF(OptControl=4,0,1),1,2)+IF(OR(VolSkewFlag=2,ABS(BQ76)&lt;0.0001),0,IF(BQ76&gt;0,-1,1)*CF76*Strike1/BP76^2*BW76/10%),0)</f>
        <v>0</v>
      </c>
      <c r="CF76" s="155">
        <f ca="1">IF(BD76,(_xll.xCrudeAPO(BS76,BT76,BY76,BZ76,S77,S78,BI76,BL76,BN76,BO76,0,Strike1,AO76,CC76,0,BL76,IF(OptControl=4,0,1),3,1)+_xll.xCrudeAPO(BS76,BT76,BY76,BZ76,S77,S78,BI76,BL76,BN76,BO76,0,Strike1,AO76,CC76,0,BL76,IF(OptControl=4,0,1),3,2))/100,0)</f>
        <v>0</v>
      </c>
      <c r="CG76" s="155">
        <f ca="1">IF(BD76,_xll.xCrudeAPO(BS76,BT76,BY76,BZ76,S77,S78,BI76-DaysForThetaCalculation/365.25,BL76-DaysForThetaCalculation/365.25,BN76,BO76,0,Strike1,AO76,CC76,0,BL76,IF(OptControl=4,0,1),0,1)-_xll.xCrudeAPO(BS76,BT76,BY76,BZ76,S77,S78,BI76,BL76,BN76,BO76,0,Strike1,AO76,CC76,0,BL76,IF(OptControl=4,0,1),0,1),0)</f>
        <v>0</v>
      </c>
      <c r="CH76" s="303">
        <f ca="1">IF(BD76,_xll.xCrudeAPO(BS76,BT76,CA76,CB76,S77,S78,BI76,BL76,BN76,BO76,0,Strike2,AO76,CC76,0,BL76,IF(OptControl=3,1,0),0,1),0)</f>
        <v>0</v>
      </c>
      <c r="CI76" s="155">
        <f ca="1">IF(BD76,_xll.xCrudeAPO(BS76,BT76,CA76,CB76,S77,S78,BI76,BL76,BN76,BO76,0,Strike2,AO76,CC76,0,BL76,IF(OptControl=3,1,0),1,1)+_xll.xCrudeAPO(BS76,BT76,CA76,CB76,S77,S78,BI76,BL76,BN76,BO76,0,Strike2,AO76,CC76,0,BL76,IF(OptControl=3,1,0),1,2)+IF(OR(VolSkewFlag=2,ABS(BR76)&lt;0.0001),0,IF(BR76&gt;0,-1,1)*CJ76*Strike2/BP76^2*BX76/10%),0)</f>
        <v>0</v>
      </c>
      <c r="CJ76" s="155">
        <f ca="1">IF(BD76,(_xll.xCrudeAPO(BS76,BT76,CA76,CB76,S77,S78,BI76,BL76,BN76,BO76,0,Strike2,AO76,CC76,0,BL76,IF(OptControl=3,1,0),3,1)+_xll.xCrudeAPO(BS76,BT76,CA76,CB76,S77,S78,BI76,BL76,BN76,BO76,0,Strike2,AO76,CC76,0,BL76,IF(OptControl=3,1,0),3,2))/100,0)</f>
        <v>0</v>
      </c>
      <c r="CK76" s="156">
        <f ca="1">IF(BD76,_xll.xCrudeAPO(BS76,BT76,CA76,CB76,S77,S78,BI76-DaysForThetaCalculation/365.25,BL76-DaysForThetaCalculation/365.25,BN76,BO76,0,Strike2,AO76,CC76,0,BL76,IF(OptControl=3,1,0),0,1)-_xll.xCrudeAPO(BS76,BT76,CA76,CB76,S77,S78,BI76,BL76,BN76,BO76,0,Strike2,AO76,CC76,0,BL76,IF(OptControl=3,1,0),0,1),0)</f>
        <v>0</v>
      </c>
      <c r="CL76" s="51"/>
      <c r="CM76" s="779" t="str">
        <f t="shared" ca="1" si="52"/>
        <v/>
      </c>
      <c r="CN76" s="783" t="str">
        <f t="shared" ca="1" si="53"/>
        <v/>
      </c>
      <c r="CO76" s="780" t="str">
        <f t="shared" ca="1" si="54"/>
        <v/>
      </c>
      <c r="CP76" s="780" t="str">
        <f t="shared" ca="1" si="55"/>
        <v/>
      </c>
      <c r="CQ76" s="780" t="str">
        <f t="shared" ca="1" si="56"/>
        <v/>
      </c>
      <c r="CR76" s="780" t="str">
        <f t="shared" ca="1" si="57"/>
        <v/>
      </c>
      <c r="CS76" s="781" t="str">
        <f t="shared" ca="1" si="58"/>
        <v/>
      </c>
      <c r="CT76" s="782" t="str">
        <f t="shared" ca="1" si="59"/>
        <v/>
      </c>
      <c r="CU76" s="782" t="str">
        <f t="shared" ca="1" si="60"/>
        <v/>
      </c>
      <c r="CV76" s="155">
        <f ca="1">IF(BD76,_xll.EURO(CN76,Strike1,AO76,AO76,CT76,CM76,IF(OptControl=4,0,1),0),0)</f>
        <v>0</v>
      </c>
      <c r="CW76" s="155">
        <f ca="1">IF(BD76,_xll.EURO(CN76,Strike1,AO76,AO76,CT76,CM76,IF(OptControl=4,0,1),1)+IF(OR(VolSkewFlag=2,ABS(CO76)&lt;0.0001),0,IF(CO76&gt;0,-1,1)*CX76*100*Strike1/CN76^2*CQ76/10%),0)</f>
        <v>0</v>
      </c>
      <c r="CX76" s="155">
        <f ca="1">IF(BD76,_xll.EURO(CN76,Strike1,AO76,AO76,CT76,CM76,IF(OptControl=4,0,1),3)/100,0)</f>
        <v>0</v>
      </c>
      <c r="CY76" s="155">
        <f ca="1">IF(BD76,_xll.EURO(CN76,Strike1,AO76,AO76,CT76,CM76,IF(OptControl=4,0,1),0)-_xll.EURO(CN76,Strike1,AO76,AO76,CT76,CM76-1,IF(OptControl=4,0,1),0),0)</f>
        <v>0</v>
      </c>
      <c r="CZ76" s="155">
        <f ca="1">IF(BD76,_xll.EURO(CN76,Strike2,AO76,AO76,CU76,CM76,IF(OptControl=3,1,0),0),0)</f>
        <v>0</v>
      </c>
      <c r="DA76" s="155">
        <f ca="1">IF(BD76,_xll.EURO(CN76,Strike2,AO76,AO76,CU76,CM76,IF(OptControl=3,1,0),1)+IF(OR(VolSkewFlag=2,ABS(CP76)&lt;0.0001),0,IF(CP76&gt;0,-1,1)*DB76*100*Strike2/CN76^2*CR76/10%),0)</f>
        <v>0</v>
      </c>
      <c r="DB76" s="155">
        <f ca="1">IF(BD76,_xll.EURO(CN76,Strike2,AO76,AO76,CU76,CM76,IF(OptControl=3,1,0),3)/100,0)</f>
        <v>0</v>
      </c>
      <c r="DC76" s="156">
        <f ca="1">IF(BD76,_xll.EURO(CN76,Strike2,AO76,AO76,CU76,CM76,IF(OptControl=3,1,0),0)-_xll.EURO(CN76,Strike2,AO76,AO76,CU76,CM76-1,IF(OptControl=3,1,0),0),0)</f>
        <v>0</v>
      </c>
      <c r="DE76" s="651">
        <f t="shared" ca="1" si="61"/>
        <v>38626</v>
      </c>
      <c r="DF76" s="465">
        <v>1E-4</v>
      </c>
      <c r="DG76" s="649">
        <v>1E-4</v>
      </c>
      <c r="DH76" s="650">
        <f t="shared" ca="1" si="182"/>
        <v>38626</v>
      </c>
      <c r="DI76" s="465">
        <v>1E-4</v>
      </c>
      <c r="DJ76" s="649">
        <v>1E-4</v>
      </c>
      <c r="DK76" s="651">
        <f t="shared" ca="1" si="183"/>
        <v>38626</v>
      </c>
      <c r="DL76" s="652">
        <f t="shared" si="184"/>
        <v>5.0100000000000006E-2</v>
      </c>
      <c r="DM76" s="651">
        <f t="shared" ca="1" si="62"/>
        <v>38626</v>
      </c>
      <c r="DN76" s="563">
        <f t="shared" si="63"/>
        <v>-0.12990000000000002</v>
      </c>
      <c r="DO76" s="803">
        <v>-0.13</v>
      </c>
      <c r="DP76" s="650">
        <f t="shared" ca="1" si="185"/>
        <v>38626</v>
      </c>
      <c r="DQ76" s="653">
        <v>1E-4</v>
      </c>
      <c r="DR76" s="590">
        <v>1E-4</v>
      </c>
      <c r="DS76" s="650">
        <f t="shared" ca="1" si="186"/>
        <v>38626</v>
      </c>
      <c r="DT76" s="653">
        <v>1E-4</v>
      </c>
      <c r="DU76" s="590">
        <v>1E-4</v>
      </c>
      <c r="DV76" s="651">
        <f t="shared" ca="1" si="187"/>
        <v>38626</v>
      </c>
      <c r="DW76" s="590">
        <v>1E-4</v>
      </c>
      <c r="DX76" s="651">
        <f t="shared" ca="1" si="64"/>
        <v>38626</v>
      </c>
      <c r="DY76" s="590">
        <f t="shared" si="65"/>
        <v>1E-4</v>
      </c>
      <c r="DZ76" s="1"/>
      <c r="EA76" s="863" t="e">
        <f ca="1">_xll.ASN(X76,X76,AO76,AS76,0,AI76,0,BI76,BL76,1,0)</f>
        <v>#NAME?</v>
      </c>
      <c r="EB76" s="653" t="e">
        <f ca="1">_xll.ASN(X76,X76,AO76,AS76,0,AI76,0,BI76,BL76,1,3)/100</f>
        <v>#NAME?</v>
      </c>
      <c r="EC76" s="653" t="e">
        <f ca="1">_xll.xCrudeAPO(L77,L78,O77,O78,S77,S78,BI76,BL76,AJ76,AK76,0,X76,AO76,1,0,+BL76,1,0,1)</f>
        <v>#NAME?</v>
      </c>
      <c r="ED76" s="869" t="e">
        <f t="shared" ca="1" si="165"/>
        <v>#NAME?</v>
      </c>
      <c r="EE76" s="863" t="e">
        <f t="shared" ca="1" si="29"/>
        <v>#NAME?</v>
      </c>
      <c r="EF76" s="590" t="e">
        <f t="shared" ca="1" si="30"/>
        <v>#NAME?</v>
      </c>
      <c r="EG76" s="862" t="str">
        <f t="shared" ca="1" si="188"/>
        <v/>
      </c>
      <c r="EH76" s="114" t="str">
        <f t="shared" ca="1" si="32"/>
        <v/>
      </c>
      <c r="EI76" s="109" t="str">
        <f t="shared" ca="1" si="33"/>
        <v/>
      </c>
      <c r="EJ76" s="115">
        <f ca="1">IF(BD76,_xll.xASN(BP76,Strike1,AO76,EH76,0,BM76,0,BI76,BL76,IF(OptControl=4,0,1),0),0)</f>
        <v>0</v>
      </c>
      <c r="EK76" s="108">
        <f ca="1">IF(BD76,_xll.xASN(BP76,Strike2,AO76,EI76,0,BM76,0,BI76,BL76,IF(OptControl=3,1,0),0),0)</f>
        <v>0</v>
      </c>
      <c r="EP76" s="53"/>
      <c r="EQ76" s="1"/>
      <c r="ER76" s="681">
        <v>42555</v>
      </c>
      <c r="ES76" s="682">
        <v>46753</v>
      </c>
      <c r="ET76" s="1"/>
      <c r="EU76" s="667" t="s">
        <v>262</v>
      </c>
      <c r="EW76" s="488">
        <v>57</v>
      </c>
      <c r="EX76" s="466">
        <f t="shared" ca="1" si="166"/>
        <v>4.687200547570157</v>
      </c>
      <c r="EY76" s="824">
        <f t="shared" ca="1" si="189"/>
        <v>0.18168402270444897</v>
      </c>
      <c r="EZ76" s="798">
        <f t="shared" ca="1" si="269"/>
        <v>0.20182473453799094</v>
      </c>
      <c r="FA76" s="468" t="str">
        <f t="shared" ca="1" si="270"/>
        <v/>
      </c>
      <c r="FB76" s="467" t="str">
        <f t="shared" ca="1" si="271"/>
        <v/>
      </c>
      <c r="FC76" s="242">
        <v>0</v>
      </c>
      <c r="FD76" s="589" t="str">
        <f ca="1">IF(OR(FA76="",FA77=""),"",SQRT(SUM(INDEX(FO76:IH76,SwaptionFirstMonthPosition+1):INDEX(FO76:IH76,FN76))/SUM(INDEX($FO$15:$IH$15,SwaptionFirstMonthPosition+1):INDEX($FO$15:$IH$15,FN76))))</f>
        <v/>
      </c>
      <c r="FE76" s="565" t="str">
        <f ca="1">IF(OR(FA76="",FA75=""),"",SQRT(SUM(INDEX(FO76:IH76,SwaptionFirstMonthPosition+1):INDEX(FO76:IH76,FN76-1))/SUM(INDEX($FO$15:$IH$15,SwaptionFirstMonthPosition+1):INDEX($FO$15:$IH$15,FN76-1))))</f>
        <v/>
      </c>
      <c r="FF76" s="562" t="str">
        <f t="shared" ca="1" si="190"/>
        <v/>
      </c>
      <c r="FG76" s="593" t="str">
        <f t="shared" ca="1" si="191"/>
        <v/>
      </c>
      <c r="FH76" s="563" t="str">
        <f t="shared" ca="1" si="192"/>
        <v/>
      </c>
      <c r="FI76" s="563" t="str">
        <f t="shared" ca="1" si="193"/>
        <v/>
      </c>
      <c r="FJ76" s="563" t="str">
        <f t="shared" ca="1" si="194"/>
        <v/>
      </c>
      <c r="FK76" s="564" t="str">
        <f t="shared" ca="1" si="195"/>
        <v/>
      </c>
      <c r="FL76" s="590" t="str">
        <f t="shared" ca="1" si="196"/>
        <v/>
      </c>
      <c r="FM76" s="242"/>
      <c r="FN76" s="657">
        <v>57</v>
      </c>
      <c r="FO76" s="450">
        <f t="shared" ca="1" si="197"/>
        <v>6.5555178920211597E-4</v>
      </c>
      <c r="FP76" s="450">
        <f t="shared" ca="1" si="198"/>
        <v>2.4580650273462344E-3</v>
      </c>
      <c r="FQ76" s="450">
        <f t="shared" ca="1" si="199"/>
        <v>2.3712926240643671E-3</v>
      </c>
      <c r="FR76" s="450">
        <f t="shared" ca="1" si="200"/>
        <v>2.6114841348081549E-3</v>
      </c>
      <c r="FS76" s="450">
        <f t="shared" ca="1" si="201"/>
        <v>2.4436945014582631E-3</v>
      </c>
      <c r="FT76" s="450">
        <f t="shared" ca="1" si="202"/>
        <v>2.6019858941704497E-3</v>
      </c>
      <c r="FU76" s="450">
        <f t="shared" ca="1" si="203"/>
        <v>2.4352861755467083E-3</v>
      </c>
      <c r="FV76" s="450">
        <f t="shared" ca="1" si="204"/>
        <v>2.2693886207748462E-3</v>
      </c>
      <c r="FW76" s="450">
        <f t="shared" ca="1" si="205"/>
        <v>2.4279891586765721E-3</v>
      </c>
      <c r="FX76" s="450">
        <f t="shared" ca="1" si="206"/>
        <v>2.6672969068394872E-3</v>
      </c>
      <c r="FY76" s="450">
        <f t="shared" ca="1" si="207"/>
        <v>2.3412614018428995E-3</v>
      </c>
      <c r="FZ76" s="450">
        <f t="shared" ca="1" si="208"/>
        <v>2.3389062073337959E-3</v>
      </c>
      <c r="GA76" s="450">
        <f t="shared" ca="1" si="209"/>
        <v>2.6592954341520848E-3</v>
      </c>
      <c r="GB76" s="450">
        <f t="shared" ca="1" si="210"/>
        <v>2.3354505827205443E-3</v>
      </c>
      <c r="GC76" s="450">
        <f t="shared" ca="1" si="211"/>
        <v>2.5759235615277327E-3</v>
      </c>
      <c r="GD76" s="450">
        <f t="shared" ca="1" si="212"/>
        <v>2.4144255266574039E-3</v>
      </c>
      <c r="GE76" s="450">
        <f t="shared" ca="1" si="213"/>
        <v>2.3340458101985392E-3</v>
      </c>
      <c r="GF76" s="450">
        <f t="shared" ca="1" si="214"/>
        <v>2.6568345312543333E-3</v>
      </c>
      <c r="GG76" s="450">
        <f t="shared" ca="1" si="215"/>
        <v>2.4168169123402676E-3</v>
      </c>
      <c r="GH76" s="450">
        <f t="shared" ca="1" si="216"/>
        <v>2.3385083359098828E-3</v>
      </c>
      <c r="GI76" s="450">
        <f t="shared" ca="1" si="217"/>
        <v>2.503126797836098E-3</v>
      </c>
      <c r="GJ76" s="450">
        <f t="shared" ca="1" si="218"/>
        <v>2.5075055927564886E-3</v>
      </c>
      <c r="GK76" s="450">
        <f t="shared" ca="1" si="219"/>
        <v>2.5130361754511451E-3</v>
      </c>
      <c r="GL76" s="450">
        <f t="shared" ca="1" si="220"/>
        <v>2.2759920881723857E-3</v>
      </c>
      <c r="GM76" s="450">
        <f t="shared" ca="1" si="221"/>
        <v>2.5280890256162616E-3</v>
      </c>
      <c r="GN76" s="450">
        <f t="shared" ca="1" si="222"/>
        <v>2.4560558766785513E-3</v>
      </c>
      <c r="GO76" s="450">
        <f t="shared" ca="1" si="223"/>
        <v>2.5495432913489667E-3</v>
      </c>
      <c r="GP76" s="450">
        <f t="shared" ca="1" si="224"/>
        <v>2.4804778286530776E-3</v>
      </c>
      <c r="GQ76" s="450">
        <f t="shared" ca="1" si="225"/>
        <v>2.579020684706764E-3</v>
      </c>
      <c r="GR76" s="450">
        <f t="shared" ca="1" si="226"/>
        <v>2.5974040796766596E-3</v>
      </c>
      <c r="GS76" s="450">
        <f t="shared" ca="1" si="227"/>
        <v>2.534159708585075E-3</v>
      </c>
      <c r="GT76" s="450">
        <f t="shared" ca="1" si="228"/>
        <v>2.6430729195242482E-3</v>
      </c>
      <c r="GU76" s="450">
        <f t="shared" ca="1" si="229"/>
        <v>2.5849878714881169E-3</v>
      </c>
      <c r="GV76" s="450">
        <f t="shared" ca="1" si="230"/>
        <v>2.7033693952865788E-3</v>
      </c>
      <c r="GW76" s="450">
        <f t="shared" ca="1" si="231"/>
        <v>2.7402934815389073E-3</v>
      </c>
      <c r="GX76" s="450">
        <f t="shared" ca="1" si="232"/>
        <v>2.6030755721151797E-3</v>
      </c>
      <c r="GY76" s="450">
        <f t="shared" ca="1" si="233"/>
        <v>2.8310715644360553E-3</v>
      </c>
      <c r="GZ76" s="450">
        <f t="shared" ca="1" si="234"/>
        <v>2.7935270669663254E-3</v>
      </c>
      <c r="HA76" s="450">
        <f t="shared" ca="1" si="235"/>
        <v>2.950421412943295E-3</v>
      </c>
      <c r="HB76" s="450">
        <f t="shared" ca="1" si="236"/>
        <v>2.9261805432730546E-3</v>
      </c>
      <c r="HC76" s="450">
        <f t="shared" ca="1" si="237"/>
        <v>3.1081233718151823E-3</v>
      </c>
      <c r="HD76" s="450">
        <f t="shared" ca="1" si="238"/>
        <v>3.2055468927065594E-3</v>
      </c>
      <c r="HE76" s="450">
        <f t="shared" ca="1" si="239"/>
        <v>3.2112811687660509E-3</v>
      </c>
      <c r="HF76" s="450">
        <f t="shared" ca="1" si="240"/>
        <v>3.4493200391595442E-3</v>
      </c>
      <c r="HG76" s="450">
        <f t="shared" ca="1" si="241"/>
        <v>3.4858885334538153E-3</v>
      </c>
      <c r="HH76" s="450">
        <f t="shared" ca="1" si="242"/>
        <v>3.7810547125023564E-3</v>
      </c>
      <c r="HI76" s="450">
        <f t="shared" ca="1" si="243"/>
        <v>3.9918295977113575E-3</v>
      </c>
      <c r="HJ76" s="450">
        <f t="shared" ca="1" si="244"/>
        <v>3.831079908033616E-3</v>
      </c>
      <c r="HK76" s="450">
        <f t="shared" ca="1" si="245"/>
        <v>4.539440503618538E-3</v>
      </c>
      <c r="HL76" s="450">
        <f t="shared" ca="1" si="246"/>
        <v>4.7395459488913244E-3</v>
      </c>
      <c r="HM76" s="450">
        <f t="shared" ca="1" si="247"/>
        <v>5.3317576934072599E-3</v>
      </c>
      <c r="HN76" s="450">
        <f t="shared" ca="1" si="248"/>
        <v>5.6743728969088081E-3</v>
      </c>
      <c r="HO76" s="450">
        <f t="shared" ca="1" si="249"/>
        <v>6.5220026951082078E-3</v>
      </c>
      <c r="HP76" s="450">
        <f t="shared" ca="1" si="250"/>
        <v>7.3477151105474777E-3</v>
      </c>
      <c r="HQ76" s="450">
        <f t="shared" ca="1" si="251"/>
        <v>8.1270273374662617E-3</v>
      </c>
      <c r="HR76" s="450">
        <f t="shared" ca="1" si="252"/>
        <v>9.7553062010559497E-3</v>
      </c>
      <c r="HS76" s="450">
        <f t="shared" ca="1" si="253"/>
        <v>1.1169580634087718E-2</v>
      </c>
      <c r="HT76" s="450" t="str">
        <f t="shared" si="254"/>
        <v/>
      </c>
      <c r="HU76" s="450" t="str">
        <f t="shared" si="255"/>
        <v/>
      </c>
      <c r="HV76" s="450" t="str">
        <f t="shared" si="256"/>
        <v/>
      </c>
      <c r="HW76" s="450" t="str">
        <f t="shared" si="257"/>
        <v/>
      </c>
      <c r="HX76" s="450" t="str">
        <f t="shared" si="258"/>
        <v/>
      </c>
      <c r="HY76" s="450" t="str">
        <f t="shared" si="259"/>
        <v/>
      </c>
      <c r="HZ76" s="450" t="str">
        <f t="shared" si="260"/>
        <v/>
      </c>
      <c r="IA76" s="450" t="str">
        <f t="shared" si="261"/>
        <v/>
      </c>
      <c r="IB76" s="450" t="str">
        <f t="shared" si="262"/>
        <v/>
      </c>
      <c r="IC76" s="450" t="str">
        <f t="shared" si="263"/>
        <v/>
      </c>
      <c r="ID76" s="450" t="str">
        <f t="shared" si="264"/>
        <v/>
      </c>
      <c r="IE76" s="450" t="str">
        <f t="shared" si="265"/>
        <v/>
      </c>
      <c r="IF76" s="450" t="str">
        <f t="shared" si="266"/>
        <v/>
      </c>
      <c r="IG76" s="450" t="str">
        <f t="shared" si="267"/>
        <v/>
      </c>
      <c r="IH76" s="658" t="str">
        <f t="shared" si="268"/>
        <v/>
      </c>
      <c r="II76" s="242"/>
    </row>
    <row r="77" spans="1:243">
      <c r="H77" s="49" t="e">
        <f t="shared" ca="1" si="34"/>
        <v>#N/A</v>
      </c>
      <c r="I77" s="369">
        <f t="shared" si="35"/>
        <v>38749</v>
      </c>
      <c r="J77" s="367">
        <v>21.91</v>
      </c>
      <c r="K77" s="101" t="s">
        <v>268</v>
      </c>
      <c r="L77" s="382">
        <f t="shared" si="36"/>
        <v>21.91</v>
      </c>
      <c r="M77" s="163">
        <v>0.19594999999999999</v>
      </c>
      <c r="N77" s="372">
        <v>0</v>
      </c>
      <c r="O77" s="163">
        <f t="shared" si="37"/>
        <v>0.19594999999999999</v>
      </c>
      <c r="P77" s="367">
        <v>20.681619810687398</v>
      </c>
      <c r="Q77" s="101" t="s">
        <v>267</v>
      </c>
      <c r="R77" s="367">
        <f t="shared" ca="1" si="147"/>
        <v>20.681619810687447</v>
      </c>
      <c r="S77" s="814">
        <f t="shared" si="163"/>
        <v>0.36848006012385803</v>
      </c>
      <c r="T77" s="813">
        <f t="shared" si="148"/>
        <v>0.99980755728867965</v>
      </c>
      <c r="U77" s="532">
        <f t="shared" si="149"/>
        <v>0.99999999886607782</v>
      </c>
      <c r="V77" s="379">
        <v>0</v>
      </c>
      <c r="W77" s="424">
        <f t="shared" si="168"/>
        <v>21.877500000000005</v>
      </c>
      <c r="X77" s="405">
        <f t="shared" si="169"/>
        <v>21.877500000000005</v>
      </c>
      <c r="Y77" s="313">
        <f t="shared" si="170"/>
        <v>20.661500000000004</v>
      </c>
      <c r="Z77" s="313">
        <f t="shared" ca="1" si="171"/>
        <v>20.661500000000004</v>
      </c>
      <c r="AA77" s="419">
        <f t="shared" si="1"/>
        <v>1.216</v>
      </c>
      <c r="AB77" s="423">
        <f t="shared" ca="1" si="2"/>
        <v>1.216</v>
      </c>
      <c r="AC77" s="221">
        <v>38737</v>
      </c>
      <c r="AD77" s="221">
        <v>38733</v>
      </c>
      <c r="AE77" s="221">
        <v>38732</v>
      </c>
      <c r="AF77" s="221">
        <v>38728</v>
      </c>
      <c r="AG77" s="241" t="s">
        <v>90</v>
      </c>
      <c r="AH77" s="239" t="s">
        <v>497</v>
      </c>
      <c r="AI77" s="141">
        <v>20</v>
      </c>
      <c r="AJ77" s="41">
        <v>14</v>
      </c>
      <c r="AK77" s="41">
        <v>6</v>
      </c>
      <c r="AL77" s="285">
        <v>20</v>
      </c>
      <c r="AM77" s="41">
        <v>10</v>
      </c>
      <c r="AN77" s="142">
        <v>10</v>
      </c>
      <c r="AO77" s="364">
        <v>5.3432078223208695E-2</v>
      </c>
      <c r="AP77" s="145">
        <f t="shared" ca="1" si="41"/>
        <v>0.77271644797159</v>
      </c>
      <c r="AQ77" s="364">
        <v>4.5490633663443504E-2</v>
      </c>
      <c r="AR77" s="145">
        <f t="shared" ca="1" si="151"/>
        <v>0.80682164437252446</v>
      </c>
      <c r="AS77" s="264">
        <f t="shared" si="172"/>
        <v>0.19427</v>
      </c>
      <c r="AT77" s="149">
        <f t="shared" si="42"/>
        <v>0.19594999999999999</v>
      </c>
      <c r="AU77" s="149">
        <f t="shared" si="4"/>
        <v>0.19414999999999999</v>
      </c>
      <c r="AV77" s="263">
        <f t="shared" ca="1" si="164"/>
        <v>0.1913976895410136</v>
      </c>
      <c r="AW77" s="150" t="str">
        <f t="shared" ca="1" si="173"/>
        <v/>
      </c>
      <c r="AX77" s="149">
        <f t="shared" ca="1" si="152"/>
        <v>2.9182115259697532E-2</v>
      </c>
      <c r="AY77" s="149">
        <f t="shared" ca="1" si="153"/>
        <v>1.4515475033123648E-2</v>
      </c>
      <c r="AZ77" s="149">
        <f t="shared" ca="1" si="154"/>
        <v>7.9382844571628843E-3</v>
      </c>
      <c r="BA77" s="149">
        <f t="shared" ca="1" si="155"/>
        <v>1.0000000000000169E-4</v>
      </c>
      <c r="BB77" s="149">
        <f t="shared" ca="1" si="156"/>
        <v>1.0000000000000169E-4</v>
      </c>
      <c r="BC77" s="149">
        <f t="shared" ca="1" si="157"/>
        <v>1.0000000000000169E-4</v>
      </c>
      <c r="BD77" s="143">
        <f t="shared" ca="1" si="174"/>
        <v>0</v>
      </c>
      <c r="BE77" s="144">
        <f t="shared" ca="1" si="175"/>
        <v>0</v>
      </c>
      <c r="BF77" s="40">
        <f t="shared" si="176"/>
        <v>2006</v>
      </c>
      <c r="BG77" s="139">
        <f t="shared" si="177"/>
        <v>2</v>
      </c>
      <c r="BH77" s="140">
        <f t="shared" ca="1" si="178"/>
        <v>1743</v>
      </c>
      <c r="BI77" s="304">
        <f t="shared" ca="1" si="179"/>
        <v>4.815879534565366</v>
      </c>
      <c r="BJ77" s="42">
        <f t="shared" ca="1" si="47"/>
        <v>4.8676249144421631</v>
      </c>
      <c r="BK77" s="42">
        <f t="shared" ca="1" si="180"/>
        <v>4.8703627652292951</v>
      </c>
      <c r="BL77" s="42">
        <f t="shared" ca="1" si="181"/>
        <v>4.8898015058179327</v>
      </c>
      <c r="BM77" s="285">
        <f t="shared" si="49"/>
        <v>20</v>
      </c>
      <c r="BN77" s="41">
        <f t="shared" si="50"/>
        <v>14</v>
      </c>
      <c r="BO77" s="41">
        <f t="shared" si="51"/>
        <v>6</v>
      </c>
      <c r="BP77" s="297" t="str">
        <f t="shared" ca="1" si="10"/>
        <v/>
      </c>
      <c r="BQ77" s="297" t="str">
        <f t="shared" ca="1" si="11"/>
        <v/>
      </c>
      <c r="BR77" s="299" t="str">
        <f t="shared" ca="1" si="12"/>
        <v/>
      </c>
      <c r="BS77" s="153" t="str">
        <f t="shared" ca="1" si="13"/>
        <v/>
      </c>
      <c r="BT77" s="153" t="str">
        <f t="shared" ca="1" si="14"/>
        <v/>
      </c>
      <c r="BU77" s="300" t="str">
        <f t="shared" ca="1" si="15"/>
        <v/>
      </c>
      <c r="BV77" s="301" t="str">
        <f t="shared" ca="1" si="16"/>
        <v/>
      </c>
      <c r="BW77" s="300" t="str">
        <f t="shared" ca="1" si="17"/>
        <v/>
      </c>
      <c r="BX77" s="301" t="str">
        <f t="shared" ca="1" si="18"/>
        <v/>
      </c>
      <c r="BY77" s="146" t="str">
        <f t="shared" ca="1" si="19"/>
        <v/>
      </c>
      <c r="BZ77" s="146" t="str">
        <f t="shared" ca="1" si="20"/>
        <v/>
      </c>
      <c r="CA77" s="146" t="str">
        <f t="shared" ca="1" si="21"/>
        <v/>
      </c>
      <c r="CB77" s="146" t="str">
        <f t="shared" ca="1" si="22"/>
        <v/>
      </c>
      <c r="CC77" s="302">
        <v>1</v>
      </c>
      <c r="CD77" s="154">
        <f ca="1">IF(BD77,_xll.xCrudeAPO(BS77,BT77,BY77,BZ77,S78,S79,BI77,BL77,BN77,BO77,0,Strike1,AO77,CC77,0,BL77,IF(OptControl=4,0,1),0,1),0)</f>
        <v>0</v>
      </c>
      <c r="CE77" s="155">
        <f ca="1">IF(BD77,_xll.xCrudeAPO(BS77,BT77,BY77,BZ77,S78,S79,BI77,BL77,BN77,BO77,0,Strike1,AO77,CC77,0,BL77,IF(OptControl=4,0,1),1,1)+_xll.xCrudeAPO(BS77,BT77,BY77,BZ77,S78,S79,BI77,BL77,BN77,BO77,0,Strike1,AO77,CC77,0,BL77,IF(OptControl=4,0,1),1,2)+IF(OR(VolSkewFlag=2,ABS(BQ77)&lt;0.0001),0,IF(BQ77&gt;0,-1,1)*CF77*Strike1/BP77^2*BW77/10%),0)</f>
        <v>0</v>
      </c>
      <c r="CF77" s="155">
        <f ca="1">IF(BD77,(_xll.xCrudeAPO(BS77,BT77,BY77,BZ77,S78,S79,BI77,BL77,BN77,BO77,0,Strike1,AO77,CC77,0,BL77,IF(OptControl=4,0,1),3,1)+_xll.xCrudeAPO(BS77,BT77,BY77,BZ77,S78,S79,BI77,BL77,BN77,BO77,0,Strike1,AO77,CC77,0,BL77,IF(OptControl=4,0,1),3,2))/100,0)</f>
        <v>0</v>
      </c>
      <c r="CG77" s="155">
        <f ca="1">IF(BD77,_xll.xCrudeAPO(BS77,BT77,BY77,BZ77,S78,S79,BI77-DaysForThetaCalculation/365.25,BL77-DaysForThetaCalculation/365.25,BN77,BO77,0,Strike1,AO77,CC77,0,BL77,IF(OptControl=4,0,1),0,1)-_xll.xCrudeAPO(BS77,BT77,BY77,BZ77,S78,S79,BI77,BL77,BN77,BO77,0,Strike1,AO77,CC77,0,BL77,IF(OptControl=4,0,1),0,1),0)</f>
        <v>0</v>
      </c>
      <c r="CH77" s="303">
        <f ca="1">IF(BD77,_xll.xCrudeAPO(BS77,BT77,CA77,CB77,S78,S79,BI77,BL77,BN77,BO77,0,Strike2,AO77,CC77,0,BL77,IF(OptControl=3,1,0),0,1),0)</f>
        <v>0</v>
      </c>
      <c r="CI77" s="155">
        <f ca="1">IF(BD77,_xll.xCrudeAPO(BS77,BT77,CA77,CB77,S78,S79,BI77,BL77,BN77,BO77,0,Strike2,AO77,CC77,0,BL77,IF(OptControl=3,1,0),1,1)+_xll.xCrudeAPO(BS77,BT77,CA77,CB77,S78,S79,BI77,BL77,BN77,BO77,0,Strike2,AO77,CC77,0,BL77,IF(OptControl=3,1,0),1,2)+IF(OR(VolSkewFlag=2,ABS(BR77)&lt;0.0001),0,IF(BR77&gt;0,-1,1)*CJ77*Strike2/BP77^2*BX77/10%),0)</f>
        <v>0</v>
      </c>
      <c r="CJ77" s="155">
        <f ca="1">IF(BD77,(_xll.xCrudeAPO(BS77,BT77,CA77,CB77,S78,S79,BI77,BL77,BN77,BO77,0,Strike2,AO77,CC77,0,BL77,IF(OptControl=3,1,0),3,1)+_xll.xCrudeAPO(BS77,BT77,CA77,CB77,S78,S79,BI77,BL77,BN77,BO77,0,Strike2,AO77,CC77,0,BL77,IF(OptControl=3,1,0),3,2))/100,0)</f>
        <v>0</v>
      </c>
      <c r="CK77" s="156">
        <f ca="1">IF(BD77,_xll.xCrudeAPO(BS77,BT77,CA77,CB77,S78,S79,BI77-DaysForThetaCalculation/365.25,BL77-DaysForThetaCalculation/365.25,BN77,BO77,0,Strike2,AO77,CC77,0,BL77,IF(OptControl=3,1,0),0,1)-_xll.xCrudeAPO(BS77,BT77,CA77,CB77,S78,S79,BI77,BL77,BN77,BO77,0,Strike2,AO77,CC77,0,BL77,IF(OptControl=3,1,0),0,1),0)</f>
        <v>0</v>
      </c>
      <c r="CL77" s="51"/>
      <c r="CM77" s="779" t="str">
        <f t="shared" ca="1" si="52"/>
        <v/>
      </c>
      <c r="CN77" s="783" t="str">
        <f t="shared" ca="1" si="53"/>
        <v/>
      </c>
      <c r="CO77" s="780" t="str">
        <f t="shared" ca="1" si="54"/>
        <v/>
      </c>
      <c r="CP77" s="780" t="str">
        <f t="shared" ca="1" si="55"/>
        <v/>
      </c>
      <c r="CQ77" s="780" t="str">
        <f t="shared" ca="1" si="56"/>
        <v/>
      </c>
      <c r="CR77" s="780" t="str">
        <f t="shared" ca="1" si="57"/>
        <v/>
      </c>
      <c r="CS77" s="781" t="str">
        <f t="shared" ca="1" si="58"/>
        <v/>
      </c>
      <c r="CT77" s="782" t="str">
        <f t="shared" ca="1" si="59"/>
        <v/>
      </c>
      <c r="CU77" s="782" t="str">
        <f t="shared" ca="1" si="60"/>
        <v/>
      </c>
      <c r="CV77" s="155">
        <f ca="1">IF(BD77,_xll.EURO(CN77,Strike1,AO77,AO77,CT77,CM77,IF(OptControl=4,0,1),0),0)</f>
        <v>0</v>
      </c>
      <c r="CW77" s="155">
        <f ca="1">IF(BD77,_xll.EURO(CN77,Strike1,AO77,AO77,CT77,CM77,IF(OptControl=4,0,1),1)+IF(OR(VolSkewFlag=2,ABS(CO77)&lt;0.0001),0,IF(CO77&gt;0,-1,1)*CX77*100*Strike1/CN77^2*CQ77/10%),0)</f>
        <v>0</v>
      </c>
      <c r="CX77" s="155">
        <f ca="1">IF(BD77,_xll.EURO(CN77,Strike1,AO77,AO77,CT77,CM77,IF(OptControl=4,0,1),3)/100,0)</f>
        <v>0</v>
      </c>
      <c r="CY77" s="155">
        <f ca="1">IF(BD77,_xll.EURO(CN77,Strike1,AO77,AO77,CT77,CM77,IF(OptControl=4,0,1),0)-_xll.EURO(CN77,Strike1,AO77,AO77,CT77,CM77-1,IF(OptControl=4,0,1),0),0)</f>
        <v>0</v>
      </c>
      <c r="CZ77" s="155">
        <f ca="1">IF(BD77,_xll.EURO(CN77,Strike2,AO77,AO77,CU77,CM77,IF(OptControl=3,1,0),0),0)</f>
        <v>0</v>
      </c>
      <c r="DA77" s="155">
        <f ca="1">IF(BD77,_xll.EURO(CN77,Strike2,AO77,AO77,CU77,CM77,IF(OptControl=3,1,0),1)+IF(OR(VolSkewFlag=2,ABS(CP77)&lt;0.0001),0,IF(CP77&gt;0,-1,1)*DB77*100*Strike2/CN77^2*CR77/10%),0)</f>
        <v>0</v>
      </c>
      <c r="DB77" s="155">
        <f ca="1">IF(BD77,_xll.EURO(CN77,Strike2,AO77,AO77,CU77,CM77,IF(OptControl=3,1,0),3)/100,0)</f>
        <v>0</v>
      </c>
      <c r="DC77" s="156">
        <f ca="1">IF(BD77,_xll.EURO(CN77,Strike2,AO77,AO77,CU77,CM77,IF(OptControl=3,1,0),0)-_xll.EURO(CN77,Strike2,AO77,AO77,CU77,CM77-1,IF(OptControl=3,1,0),0),0)</f>
        <v>0</v>
      </c>
      <c r="DE77" s="651">
        <f t="shared" ca="1" si="61"/>
        <v>38657</v>
      </c>
      <c r="DF77" s="465">
        <v>1E-4</v>
      </c>
      <c r="DG77" s="649">
        <v>1E-4</v>
      </c>
      <c r="DH77" s="650">
        <f t="shared" ca="1" si="182"/>
        <v>38657</v>
      </c>
      <c r="DI77" s="465">
        <v>1E-4</v>
      </c>
      <c r="DJ77" s="649">
        <v>1E-4</v>
      </c>
      <c r="DK77" s="651">
        <f t="shared" ca="1" si="183"/>
        <v>38657</v>
      </c>
      <c r="DL77" s="652">
        <f t="shared" si="184"/>
        <v>5.0100000000000006E-2</v>
      </c>
      <c r="DM77" s="651">
        <f t="shared" ca="1" si="62"/>
        <v>38657</v>
      </c>
      <c r="DN77" s="563">
        <f t="shared" si="63"/>
        <v>-0.12990000000000002</v>
      </c>
      <c r="DO77" s="803">
        <v>-0.13</v>
      </c>
      <c r="DP77" s="650">
        <f t="shared" ca="1" si="185"/>
        <v>38657</v>
      </c>
      <c r="DQ77" s="653">
        <v>1E-4</v>
      </c>
      <c r="DR77" s="590">
        <v>1E-4</v>
      </c>
      <c r="DS77" s="650">
        <f t="shared" ca="1" si="186"/>
        <v>38657</v>
      </c>
      <c r="DT77" s="653">
        <v>1E-4</v>
      </c>
      <c r="DU77" s="590">
        <v>1E-4</v>
      </c>
      <c r="DV77" s="651">
        <f t="shared" ca="1" si="187"/>
        <v>38657</v>
      </c>
      <c r="DW77" s="590">
        <v>1E-4</v>
      </c>
      <c r="DX77" s="651">
        <f t="shared" ca="1" si="64"/>
        <v>38657</v>
      </c>
      <c r="DY77" s="590">
        <f t="shared" si="65"/>
        <v>1E-4</v>
      </c>
      <c r="DZ77" s="1"/>
      <c r="EA77" s="863" t="e">
        <f ca="1">_xll.ASN(X77,X77,AO77,AS77,0,AI77,0,BI77,BL77,1,0)</f>
        <v>#NAME?</v>
      </c>
      <c r="EB77" s="653" t="e">
        <f ca="1">_xll.ASN(X77,X77,AO77,AS77,0,AI77,0,BI77,BL77,1,3)/100</f>
        <v>#NAME?</v>
      </c>
      <c r="EC77" s="653" t="e">
        <f ca="1">_xll.xCrudeAPO(L78,L79,O78,O79,S78,S79,BI77,BL77,AJ77,AK77,0,X77,AO77,1,0,+BL77,1,0,1)</f>
        <v>#NAME?</v>
      </c>
      <c r="ED77" s="869" t="e">
        <f t="shared" ca="1" si="165"/>
        <v>#NAME?</v>
      </c>
      <c r="EE77" s="863" t="e">
        <f t="shared" ca="1" si="29"/>
        <v>#NAME?</v>
      </c>
      <c r="EF77" s="590" t="e">
        <f t="shared" ca="1" si="30"/>
        <v>#NAME?</v>
      </c>
      <c r="EG77" s="862" t="str">
        <f t="shared" ca="1" si="188"/>
        <v/>
      </c>
      <c r="EH77" s="114" t="str">
        <f t="shared" ca="1" si="32"/>
        <v/>
      </c>
      <c r="EI77" s="109" t="str">
        <f t="shared" ca="1" si="33"/>
        <v/>
      </c>
      <c r="EJ77" s="115">
        <f ca="1">IF(BD77,_xll.xASN(BP77,Strike1,AO77,EH77,0,BM77,0,BI77,BL77,IF(OptControl=4,0,1),0),0)</f>
        <v>0</v>
      </c>
      <c r="EK77" s="108">
        <f ca="1">IF(BD77,_xll.xASN(BP77,Strike2,AO77,EI77,0,BM77,0,BI77,BL77,IF(OptControl=3,1,0),0),0)</f>
        <v>0</v>
      </c>
      <c r="EP77" s="53"/>
      <c r="EQ77" s="1"/>
      <c r="ER77" s="681">
        <v>42729</v>
      </c>
      <c r="ES77" s="682">
        <v>47112</v>
      </c>
      <c r="ET77" s="1"/>
      <c r="EU77" s="667" t="s">
        <v>289</v>
      </c>
      <c r="EW77" s="488">
        <v>58</v>
      </c>
      <c r="EX77" s="466">
        <f t="shared" ca="1" si="166"/>
        <v>4.7720739219712529</v>
      </c>
      <c r="EY77" s="824">
        <f t="shared" ca="1" si="189"/>
        <v>0.1832304710677618</v>
      </c>
      <c r="EZ77" s="798">
        <f t="shared" ca="1" si="269"/>
        <v>0.20124138496744889</v>
      </c>
      <c r="FA77" s="468" t="str">
        <f t="shared" ca="1" si="270"/>
        <v/>
      </c>
      <c r="FB77" s="467" t="str">
        <f t="shared" ca="1" si="271"/>
        <v/>
      </c>
      <c r="FC77" s="242">
        <v>0</v>
      </c>
      <c r="FD77" s="589" t="str">
        <f ca="1">IF(OR(FA77="",FA78=""),"",SQRT(SUM(INDEX(FO77:IH77,SwaptionFirstMonthPosition+1):INDEX(FO77:IH77,FN77))/SUM(INDEX($FO$15:$IH$15,SwaptionFirstMonthPosition+1):INDEX($FO$15:$IH$15,FN77))))</f>
        <v/>
      </c>
      <c r="FE77" s="565" t="str">
        <f ca="1">IF(OR(FA77="",FA76=""),"",SQRT(SUM(INDEX(FO77:IH77,SwaptionFirstMonthPosition+1):INDEX(FO77:IH77,FN77-1))/SUM(INDEX($FO$15:$IH$15,SwaptionFirstMonthPosition+1):INDEX($FO$15:$IH$15,FN77-1))))</f>
        <v/>
      </c>
      <c r="FF77" s="562" t="str">
        <f t="shared" ca="1" si="190"/>
        <v/>
      </c>
      <c r="FG77" s="593" t="str">
        <f t="shared" ca="1" si="191"/>
        <v/>
      </c>
      <c r="FH77" s="563" t="str">
        <f t="shared" ca="1" si="192"/>
        <v/>
      </c>
      <c r="FI77" s="563" t="str">
        <f t="shared" ca="1" si="193"/>
        <v/>
      </c>
      <c r="FJ77" s="563" t="str">
        <f t="shared" ca="1" si="194"/>
        <v/>
      </c>
      <c r="FK77" s="564" t="str">
        <f t="shared" ca="1" si="195"/>
        <v/>
      </c>
      <c r="FL77" s="590" t="str">
        <f t="shared" ca="1" si="196"/>
        <v/>
      </c>
      <c r="FM77" s="242"/>
      <c r="FN77" s="657">
        <v>58</v>
      </c>
      <c r="FO77" s="450">
        <f t="shared" ca="1" si="197"/>
        <v>6.5527146997260805E-4</v>
      </c>
      <c r="FP77" s="450">
        <f t="shared" ca="1" si="198"/>
        <v>2.4568971513236637E-3</v>
      </c>
      <c r="FQ77" s="450">
        <f t="shared" ca="1" si="199"/>
        <v>2.3700407921616613E-3</v>
      </c>
      <c r="FR77" s="450">
        <f t="shared" ca="1" si="200"/>
        <v>2.6099523218213439E-3</v>
      </c>
      <c r="FS77" s="450">
        <f t="shared" ca="1" si="201"/>
        <v>2.4421018426141823E-3</v>
      </c>
      <c r="FT77" s="450">
        <f t="shared" ca="1" si="202"/>
        <v>2.6001016452532415E-3</v>
      </c>
      <c r="FU77" s="450">
        <f t="shared" ca="1" si="203"/>
        <v>2.4333266955674409E-3</v>
      </c>
      <c r="FV77" s="450">
        <f t="shared" ca="1" si="204"/>
        <v>2.2673597368997249E-3</v>
      </c>
      <c r="FW77" s="450">
        <f t="shared" ca="1" si="205"/>
        <v>2.4255772961413822E-3</v>
      </c>
      <c r="FX77" s="450">
        <f t="shared" ca="1" si="206"/>
        <v>2.6643529281625711E-3</v>
      </c>
      <c r="FY77" s="450">
        <f t="shared" ca="1" si="207"/>
        <v>2.3383901539154408E-3</v>
      </c>
      <c r="FZ77" s="450">
        <f t="shared" ca="1" si="208"/>
        <v>2.3357191411200015E-3</v>
      </c>
      <c r="GA77" s="450">
        <f t="shared" ca="1" si="209"/>
        <v>2.6552691691283797E-3</v>
      </c>
      <c r="GB77" s="450">
        <f t="shared" ca="1" si="210"/>
        <v>2.3315217463348529E-3</v>
      </c>
      <c r="GC77" s="450">
        <f t="shared" ca="1" si="211"/>
        <v>2.5711087008703087E-3</v>
      </c>
      <c r="GD77" s="450">
        <f t="shared" ca="1" si="212"/>
        <v>2.4094110910790746E-3</v>
      </c>
      <c r="GE77" s="450">
        <f t="shared" ca="1" si="213"/>
        <v>2.3286597015671358E-3</v>
      </c>
      <c r="GF77" s="450">
        <f t="shared" ca="1" si="214"/>
        <v>2.650022325913303E-3</v>
      </c>
      <c r="GG77" s="450">
        <f t="shared" ca="1" si="215"/>
        <v>2.4099315870134293E-3</v>
      </c>
      <c r="GH77" s="450">
        <f t="shared" ca="1" si="216"/>
        <v>2.3311058578864368E-3</v>
      </c>
      <c r="GI77" s="450">
        <f t="shared" ca="1" si="217"/>
        <v>2.494322828026062E-3</v>
      </c>
      <c r="GJ77" s="450">
        <f t="shared" ca="1" si="218"/>
        <v>2.4977062918020857E-3</v>
      </c>
      <c r="GK77" s="450">
        <f t="shared" ca="1" si="219"/>
        <v>2.5021240483362392E-3</v>
      </c>
      <c r="GL77" s="450">
        <f t="shared" ca="1" si="220"/>
        <v>2.2650111634419877E-3</v>
      </c>
      <c r="GM77" s="450">
        <f t="shared" ca="1" si="221"/>
        <v>2.5145365691603607E-3</v>
      </c>
      <c r="GN77" s="450">
        <f t="shared" ca="1" si="222"/>
        <v>2.441426649277198E-3</v>
      </c>
      <c r="GO77" s="450">
        <f t="shared" ca="1" si="223"/>
        <v>2.5326698747586162E-3</v>
      </c>
      <c r="GP77" s="450">
        <f t="shared" ca="1" si="224"/>
        <v>2.4622374655923203E-3</v>
      </c>
      <c r="GQ77" s="450">
        <f t="shared" ca="1" si="225"/>
        <v>2.5579484572839984E-3</v>
      </c>
      <c r="GR77" s="450">
        <f t="shared" ca="1" si="226"/>
        <v>2.5738236003797765E-3</v>
      </c>
      <c r="GS77" s="450">
        <f t="shared" ca="1" si="227"/>
        <v>2.5085971346072711E-3</v>
      </c>
      <c r="GT77" s="450">
        <f t="shared" ca="1" si="228"/>
        <v>2.6134493603683145E-3</v>
      </c>
      <c r="GU77" s="450">
        <f t="shared" ca="1" si="229"/>
        <v>2.5527961581722635E-3</v>
      </c>
      <c r="GV77" s="450">
        <f t="shared" ca="1" si="230"/>
        <v>2.6659627755238934E-3</v>
      </c>
      <c r="GW77" s="450">
        <f t="shared" ca="1" si="231"/>
        <v>2.6981628818999646E-3</v>
      </c>
      <c r="GX77" s="450">
        <f t="shared" ca="1" si="232"/>
        <v>2.5586078554281706E-3</v>
      </c>
      <c r="GY77" s="450">
        <f t="shared" ca="1" si="233"/>
        <v>2.7773354337363343E-3</v>
      </c>
      <c r="GZ77" s="450">
        <f t="shared" ca="1" si="234"/>
        <v>2.7346120620656152E-3</v>
      </c>
      <c r="HA77" s="450">
        <f t="shared" ca="1" si="235"/>
        <v>2.8812837688922009E-3</v>
      </c>
      <c r="HB77" s="450">
        <f t="shared" ca="1" si="236"/>
        <v>2.8499920940409352E-3</v>
      </c>
      <c r="HC77" s="450">
        <f t="shared" ca="1" si="237"/>
        <v>3.0182059687861394E-3</v>
      </c>
      <c r="HD77" s="450">
        <f t="shared" ca="1" si="238"/>
        <v>3.1025070632734559E-3</v>
      </c>
      <c r="HE77" s="450">
        <f t="shared" ca="1" si="239"/>
        <v>3.0965876650895711E-3</v>
      </c>
      <c r="HF77" s="450">
        <f t="shared" ca="1" si="240"/>
        <v>3.3124364231399482E-3</v>
      </c>
      <c r="HG77" s="450">
        <f t="shared" ca="1" si="241"/>
        <v>3.3321831905381493E-3</v>
      </c>
      <c r="HH77" s="450">
        <f t="shared" ca="1" si="242"/>
        <v>3.5958099573223283E-3</v>
      </c>
      <c r="HI77" s="450">
        <f t="shared" ca="1" si="243"/>
        <v>3.7745282381776071E-3</v>
      </c>
      <c r="HJ77" s="450">
        <f t="shared" ca="1" si="244"/>
        <v>3.5993569036873161E-3</v>
      </c>
      <c r="HK77" s="450">
        <f t="shared" ca="1" si="245"/>
        <v>4.2343647034667918E-3</v>
      </c>
      <c r="HL77" s="450">
        <f t="shared" ca="1" si="246"/>
        <v>4.3856303870355813E-3</v>
      </c>
      <c r="HM77" s="450">
        <f t="shared" ca="1" si="247"/>
        <v>4.889382448537532E-3</v>
      </c>
      <c r="HN77" s="450">
        <f t="shared" ca="1" si="248"/>
        <v>5.1512595814597901E-3</v>
      </c>
      <c r="HO77" s="450">
        <f t="shared" ca="1" si="249"/>
        <v>5.8539413143491714E-3</v>
      </c>
      <c r="HP77" s="450">
        <f t="shared" ca="1" si="250"/>
        <v>6.5114476612769326E-3</v>
      </c>
      <c r="HQ77" s="450">
        <f t="shared" ca="1" si="251"/>
        <v>7.0992900946783106E-3</v>
      </c>
      <c r="HR77" s="450">
        <f t="shared" ca="1" si="252"/>
        <v>8.3845861358667617E-3</v>
      </c>
      <c r="HS77" s="450">
        <f t="shared" ca="1" si="253"/>
        <v>9.4257583514189246E-3</v>
      </c>
      <c r="HT77" s="450">
        <f t="shared" ca="1" si="254"/>
        <v>1.1523899236072223E-2</v>
      </c>
      <c r="HU77" s="450" t="str">
        <f t="shared" si="255"/>
        <v/>
      </c>
      <c r="HV77" s="450" t="str">
        <f t="shared" si="256"/>
        <v/>
      </c>
      <c r="HW77" s="450" t="str">
        <f t="shared" si="257"/>
        <v/>
      </c>
      <c r="HX77" s="450" t="str">
        <f t="shared" si="258"/>
        <v/>
      </c>
      <c r="HY77" s="450" t="str">
        <f t="shared" si="259"/>
        <v/>
      </c>
      <c r="HZ77" s="450" t="str">
        <f t="shared" si="260"/>
        <v/>
      </c>
      <c r="IA77" s="450" t="str">
        <f t="shared" si="261"/>
        <v/>
      </c>
      <c r="IB77" s="450" t="str">
        <f t="shared" si="262"/>
        <v/>
      </c>
      <c r="IC77" s="450" t="str">
        <f t="shared" si="263"/>
        <v/>
      </c>
      <c r="ID77" s="450" t="str">
        <f t="shared" si="264"/>
        <v/>
      </c>
      <c r="IE77" s="450" t="str">
        <f t="shared" si="265"/>
        <v/>
      </c>
      <c r="IF77" s="450" t="str">
        <f t="shared" si="266"/>
        <v/>
      </c>
      <c r="IG77" s="450" t="str">
        <f t="shared" si="267"/>
        <v/>
      </c>
      <c r="IH77" s="658" t="str">
        <f t="shared" si="268"/>
        <v/>
      </c>
      <c r="II77" s="242"/>
    </row>
    <row r="78" spans="1:243">
      <c r="H78" s="49" t="e">
        <f t="shared" ca="1" si="34"/>
        <v>#N/A</v>
      </c>
      <c r="I78" s="369">
        <f t="shared" si="35"/>
        <v>38777</v>
      </c>
      <c r="J78" s="367">
        <v>21.885000000000002</v>
      </c>
      <c r="K78" s="101" t="s">
        <v>268</v>
      </c>
      <c r="L78" s="382">
        <f t="shared" si="36"/>
        <v>21.885000000000002</v>
      </c>
      <c r="M78" s="163">
        <v>0.19444999999999998</v>
      </c>
      <c r="N78" s="372">
        <v>0</v>
      </c>
      <c r="O78" s="163">
        <f t="shared" si="37"/>
        <v>0.19444999999999998</v>
      </c>
      <c r="P78" s="367">
        <v>20.689733491093801</v>
      </c>
      <c r="Q78" s="101" t="s">
        <v>267</v>
      </c>
      <c r="R78" s="367">
        <f t="shared" ca="1" si="147"/>
        <v>20.68973349109379</v>
      </c>
      <c r="S78" s="814">
        <f t="shared" si="163"/>
        <v>0.36819525952261944</v>
      </c>
      <c r="T78" s="813">
        <f t="shared" si="148"/>
        <v>0.99982680331164908</v>
      </c>
      <c r="U78" s="532">
        <f t="shared" si="149"/>
        <v>0.99999999914955839</v>
      </c>
      <c r="V78" s="379">
        <v>0</v>
      </c>
      <c r="W78" s="424">
        <f t="shared" si="168"/>
        <v>21.850217391304344</v>
      </c>
      <c r="X78" s="405">
        <f t="shared" si="169"/>
        <v>21.850217391304344</v>
      </c>
      <c r="Y78" s="313">
        <f t="shared" si="170"/>
        <v>20.634217391304343</v>
      </c>
      <c r="Z78" s="313">
        <f t="shared" ca="1" si="171"/>
        <v>20.634217391304343</v>
      </c>
      <c r="AA78" s="419">
        <f t="shared" si="1"/>
        <v>1.216</v>
      </c>
      <c r="AB78" s="423">
        <f t="shared" ca="1" si="2"/>
        <v>1.216</v>
      </c>
      <c r="AC78" s="221">
        <v>38768</v>
      </c>
      <c r="AD78" s="221">
        <v>38764</v>
      </c>
      <c r="AE78" s="221">
        <v>38763</v>
      </c>
      <c r="AF78" s="221">
        <v>38759</v>
      </c>
      <c r="AG78" s="241" t="s">
        <v>90</v>
      </c>
      <c r="AH78" s="239" t="s">
        <v>497</v>
      </c>
      <c r="AI78" s="141">
        <v>23</v>
      </c>
      <c r="AJ78" s="41">
        <v>14</v>
      </c>
      <c r="AK78" s="41">
        <v>9</v>
      </c>
      <c r="AL78" s="285">
        <v>23</v>
      </c>
      <c r="AM78" s="41">
        <v>10</v>
      </c>
      <c r="AN78" s="142">
        <v>13</v>
      </c>
      <c r="AO78" s="364">
        <v>5.3575512780591202E-2</v>
      </c>
      <c r="AP78" s="145">
        <f t="shared" ca="1" si="41"/>
        <v>0.76873151364083825</v>
      </c>
      <c r="AQ78" s="364">
        <v>4.5625018950177197E-2</v>
      </c>
      <c r="AR78" s="145">
        <f t="shared" ca="1" si="151"/>
        <v>0.8032345621371999</v>
      </c>
      <c r="AS78" s="264">
        <f t="shared" si="172"/>
        <v>0.19365434782608695</v>
      </c>
      <c r="AT78" s="149">
        <f t="shared" si="42"/>
        <v>0.19444999999999998</v>
      </c>
      <c r="AU78" s="149">
        <f t="shared" si="4"/>
        <v>0.19356739130434783</v>
      </c>
      <c r="AV78" s="263">
        <f t="shared" ca="1" si="164"/>
        <v>0.18992670539035422</v>
      </c>
      <c r="AW78" s="150" t="str">
        <f t="shared" ca="1" si="173"/>
        <v/>
      </c>
      <c r="AX78" s="149">
        <f t="shared" ca="1" si="152"/>
        <v>2.87721586673912E-2</v>
      </c>
      <c r="AY78" s="149">
        <f t="shared" ca="1" si="153"/>
        <v>1.4265723678645634E-2</v>
      </c>
      <c r="AZ78" s="149">
        <f t="shared" ca="1" si="154"/>
        <v>7.8436766999687799E-3</v>
      </c>
      <c r="BA78" s="149">
        <f t="shared" ca="1" si="155"/>
        <v>1.0000000000000174E-4</v>
      </c>
      <c r="BB78" s="149">
        <f t="shared" ca="1" si="156"/>
        <v>1.0000000000000174E-4</v>
      </c>
      <c r="BC78" s="149">
        <f t="shared" ca="1" si="157"/>
        <v>1.0000000000000174E-4</v>
      </c>
      <c r="BD78" s="143">
        <f t="shared" ca="1" si="174"/>
        <v>0</v>
      </c>
      <c r="BE78" s="144">
        <f t="shared" ca="1" si="175"/>
        <v>0</v>
      </c>
      <c r="BF78" s="40">
        <f t="shared" si="176"/>
        <v>2006</v>
      </c>
      <c r="BG78" s="139">
        <f t="shared" si="177"/>
        <v>3</v>
      </c>
      <c r="BH78" s="140">
        <f t="shared" ca="1" si="178"/>
        <v>1774</v>
      </c>
      <c r="BI78" s="304">
        <f t="shared" ca="1" si="179"/>
        <v>4.8925393566050648</v>
      </c>
      <c r="BJ78" s="42">
        <f t="shared" ca="1" si="47"/>
        <v>4.9425348927179114</v>
      </c>
      <c r="BK78" s="42">
        <f t="shared" ca="1" si="180"/>
        <v>4.9452727435050434</v>
      </c>
      <c r="BL78" s="42">
        <f t="shared" ca="1" si="181"/>
        <v>4.9746748802190277</v>
      </c>
      <c r="BM78" s="285">
        <f t="shared" si="49"/>
        <v>23</v>
      </c>
      <c r="BN78" s="41">
        <f t="shared" si="50"/>
        <v>14</v>
      </c>
      <c r="BO78" s="41">
        <f t="shared" si="51"/>
        <v>9</v>
      </c>
      <c r="BP78" s="297" t="str">
        <f t="shared" ca="1" si="10"/>
        <v/>
      </c>
      <c r="BQ78" s="297" t="str">
        <f t="shared" ca="1" si="11"/>
        <v/>
      </c>
      <c r="BR78" s="299" t="str">
        <f t="shared" ca="1" si="12"/>
        <v/>
      </c>
      <c r="BS78" s="153" t="str">
        <f t="shared" ca="1" si="13"/>
        <v/>
      </c>
      <c r="BT78" s="153" t="str">
        <f t="shared" ca="1" si="14"/>
        <v/>
      </c>
      <c r="BU78" s="300" t="str">
        <f t="shared" ca="1" si="15"/>
        <v/>
      </c>
      <c r="BV78" s="301" t="str">
        <f t="shared" ca="1" si="16"/>
        <v/>
      </c>
      <c r="BW78" s="300" t="str">
        <f t="shared" ca="1" si="17"/>
        <v/>
      </c>
      <c r="BX78" s="301" t="str">
        <f t="shared" ca="1" si="18"/>
        <v/>
      </c>
      <c r="BY78" s="146" t="str">
        <f t="shared" ca="1" si="19"/>
        <v/>
      </c>
      <c r="BZ78" s="146" t="str">
        <f t="shared" ca="1" si="20"/>
        <v/>
      </c>
      <c r="CA78" s="146" t="str">
        <f t="shared" ca="1" si="21"/>
        <v/>
      </c>
      <c r="CB78" s="146" t="str">
        <f t="shared" ca="1" si="22"/>
        <v/>
      </c>
      <c r="CC78" s="302">
        <v>1</v>
      </c>
      <c r="CD78" s="154">
        <f ca="1">IF(BD78,_xll.xCrudeAPO(BS78,BT78,BY78,BZ78,S79,S80,BI78,BL78,BN78,BO78,0,Strike1,AO78,CC78,0,BL78,IF(OptControl=4,0,1),0,1),0)</f>
        <v>0</v>
      </c>
      <c r="CE78" s="155">
        <f ca="1">IF(BD78,_xll.xCrudeAPO(BS78,BT78,BY78,BZ78,S79,S80,BI78,BL78,BN78,BO78,0,Strike1,AO78,CC78,0,BL78,IF(OptControl=4,0,1),1,1)+_xll.xCrudeAPO(BS78,BT78,BY78,BZ78,S79,S80,BI78,BL78,BN78,BO78,0,Strike1,AO78,CC78,0,BL78,IF(OptControl=4,0,1),1,2)+IF(OR(VolSkewFlag=2,ABS(BQ78)&lt;0.0001),0,IF(BQ78&gt;0,-1,1)*CF78*Strike1/BP78^2*BW78/10%),0)</f>
        <v>0</v>
      </c>
      <c r="CF78" s="155">
        <f ca="1">IF(BD78,(_xll.xCrudeAPO(BS78,BT78,BY78,BZ78,S79,S80,BI78,BL78,BN78,BO78,0,Strike1,AO78,CC78,0,BL78,IF(OptControl=4,0,1),3,1)+_xll.xCrudeAPO(BS78,BT78,BY78,BZ78,S79,S80,BI78,BL78,BN78,BO78,0,Strike1,AO78,CC78,0,BL78,IF(OptControl=4,0,1),3,2))/100,0)</f>
        <v>0</v>
      </c>
      <c r="CG78" s="155">
        <f ca="1">IF(BD78,_xll.xCrudeAPO(BS78,BT78,BY78,BZ78,S79,S80,BI78-DaysForThetaCalculation/365.25,BL78-DaysForThetaCalculation/365.25,BN78,BO78,0,Strike1,AO78,CC78,0,BL78,IF(OptControl=4,0,1),0,1)-_xll.xCrudeAPO(BS78,BT78,BY78,BZ78,S79,S80,BI78,BL78,BN78,BO78,0,Strike1,AO78,CC78,0,BL78,IF(OptControl=4,0,1),0,1),0)</f>
        <v>0</v>
      </c>
      <c r="CH78" s="303">
        <f ca="1">IF(BD78,_xll.xCrudeAPO(BS78,BT78,CA78,CB78,S79,S80,BI78,BL78,BN78,BO78,0,Strike2,AO78,CC78,0,BL78,IF(OptControl=3,1,0),0,1),0)</f>
        <v>0</v>
      </c>
      <c r="CI78" s="155">
        <f ca="1">IF(BD78,_xll.xCrudeAPO(BS78,BT78,CA78,CB78,S79,S80,BI78,BL78,BN78,BO78,0,Strike2,AO78,CC78,0,BL78,IF(OptControl=3,1,0),1,1)+_xll.xCrudeAPO(BS78,BT78,CA78,CB78,S79,S80,BI78,BL78,BN78,BO78,0,Strike2,AO78,CC78,0,BL78,IF(OptControl=3,1,0),1,2)+IF(OR(VolSkewFlag=2,ABS(BR78)&lt;0.0001),0,IF(BR78&gt;0,-1,1)*CJ78*Strike2/BP78^2*BX78/10%),0)</f>
        <v>0</v>
      </c>
      <c r="CJ78" s="155">
        <f ca="1">IF(BD78,(_xll.xCrudeAPO(BS78,BT78,CA78,CB78,S79,S80,BI78,BL78,BN78,BO78,0,Strike2,AO78,CC78,0,BL78,IF(OptControl=3,1,0),3,1)+_xll.xCrudeAPO(BS78,BT78,CA78,CB78,S79,S80,BI78,BL78,BN78,BO78,0,Strike2,AO78,CC78,0,BL78,IF(OptControl=3,1,0),3,2))/100,0)</f>
        <v>0</v>
      </c>
      <c r="CK78" s="156">
        <f ca="1">IF(BD78,_xll.xCrudeAPO(BS78,BT78,CA78,CB78,S79,S80,BI78-DaysForThetaCalculation/365.25,BL78-DaysForThetaCalculation/365.25,BN78,BO78,0,Strike2,AO78,CC78,0,BL78,IF(OptControl=3,1,0),0,1)-_xll.xCrudeAPO(BS78,BT78,CA78,CB78,S79,S80,BI78,BL78,BN78,BO78,0,Strike2,AO78,CC78,0,BL78,IF(OptControl=3,1,0),0,1),0)</f>
        <v>0</v>
      </c>
      <c r="CL78" s="51"/>
      <c r="CM78" s="779" t="str">
        <f t="shared" ca="1" si="52"/>
        <v/>
      </c>
      <c r="CN78" s="783" t="str">
        <f t="shared" ca="1" si="53"/>
        <v/>
      </c>
      <c r="CO78" s="780" t="str">
        <f t="shared" ca="1" si="54"/>
        <v/>
      </c>
      <c r="CP78" s="780" t="str">
        <f t="shared" ca="1" si="55"/>
        <v/>
      </c>
      <c r="CQ78" s="780" t="str">
        <f t="shared" ca="1" si="56"/>
        <v/>
      </c>
      <c r="CR78" s="780" t="str">
        <f t="shared" ca="1" si="57"/>
        <v/>
      </c>
      <c r="CS78" s="781" t="str">
        <f t="shared" ca="1" si="58"/>
        <v/>
      </c>
      <c r="CT78" s="782" t="str">
        <f t="shared" ca="1" si="59"/>
        <v/>
      </c>
      <c r="CU78" s="782" t="str">
        <f t="shared" ca="1" si="60"/>
        <v/>
      </c>
      <c r="CV78" s="155">
        <f ca="1">IF(BD78,_xll.EURO(CN78,Strike1,AO78,AO78,CT78,CM78,IF(OptControl=4,0,1),0),0)</f>
        <v>0</v>
      </c>
      <c r="CW78" s="155">
        <f ca="1">IF(BD78,_xll.EURO(CN78,Strike1,AO78,AO78,CT78,CM78,IF(OptControl=4,0,1),1)+IF(OR(VolSkewFlag=2,ABS(CO78)&lt;0.0001),0,IF(CO78&gt;0,-1,1)*CX78*100*Strike1/CN78^2*CQ78/10%),0)</f>
        <v>0</v>
      </c>
      <c r="CX78" s="155">
        <f ca="1">IF(BD78,_xll.EURO(CN78,Strike1,AO78,AO78,CT78,CM78,IF(OptControl=4,0,1),3)/100,0)</f>
        <v>0</v>
      </c>
      <c r="CY78" s="155">
        <f ca="1">IF(BD78,_xll.EURO(CN78,Strike1,AO78,AO78,CT78,CM78,IF(OptControl=4,0,1),0)-_xll.EURO(CN78,Strike1,AO78,AO78,CT78,CM78-1,IF(OptControl=4,0,1),0),0)</f>
        <v>0</v>
      </c>
      <c r="CZ78" s="155">
        <f ca="1">IF(BD78,_xll.EURO(CN78,Strike2,AO78,AO78,CU78,CM78,IF(OptControl=3,1,0),0),0)</f>
        <v>0</v>
      </c>
      <c r="DA78" s="155">
        <f ca="1">IF(BD78,_xll.EURO(CN78,Strike2,AO78,AO78,CU78,CM78,IF(OptControl=3,1,0),1)+IF(OR(VolSkewFlag=2,ABS(CP78)&lt;0.0001),0,IF(CP78&gt;0,-1,1)*DB78*100*Strike2/CN78^2*CR78/10%),0)</f>
        <v>0</v>
      </c>
      <c r="DB78" s="155">
        <f ca="1">IF(BD78,_xll.EURO(CN78,Strike2,AO78,AO78,CU78,CM78,IF(OptControl=3,1,0),3)/100,0)</f>
        <v>0</v>
      </c>
      <c r="DC78" s="156">
        <f ca="1">IF(BD78,_xll.EURO(CN78,Strike2,AO78,AO78,CU78,CM78,IF(OptControl=3,1,0),0)-_xll.EURO(CN78,Strike2,AO78,AO78,CU78,CM78-1,IF(OptControl=3,1,0),0),0)</f>
        <v>0</v>
      </c>
      <c r="DE78" s="651">
        <f t="shared" ca="1" si="61"/>
        <v>38687</v>
      </c>
      <c r="DF78" s="465">
        <v>1E-4</v>
      </c>
      <c r="DG78" s="649">
        <v>1E-4</v>
      </c>
      <c r="DH78" s="650">
        <f t="shared" ca="1" si="182"/>
        <v>38687</v>
      </c>
      <c r="DI78" s="465">
        <v>1E-4</v>
      </c>
      <c r="DJ78" s="649">
        <v>1E-4</v>
      </c>
      <c r="DK78" s="651">
        <f t="shared" ca="1" si="183"/>
        <v>38687</v>
      </c>
      <c r="DL78" s="652">
        <f t="shared" si="184"/>
        <v>5.0100000000000006E-2</v>
      </c>
      <c r="DM78" s="651">
        <f t="shared" ca="1" si="62"/>
        <v>38687</v>
      </c>
      <c r="DN78" s="563">
        <f t="shared" si="63"/>
        <v>-0.12990000000000002</v>
      </c>
      <c r="DO78" s="803">
        <v>-0.13</v>
      </c>
      <c r="DP78" s="650">
        <f t="shared" ca="1" si="185"/>
        <v>38687</v>
      </c>
      <c r="DQ78" s="653">
        <v>1E-4</v>
      </c>
      <c r="DR78" s="590">
        <v>1E-4</v>
      </c>
      <c r="DS78" s="650">
        <f t="shared" ca="1" si="186"/>
        <v>38687</v>
      </c>
      <c r="DT78" s="653">
        <v>1E-4</v>
      </c>
      <c r="DU78" s="590">
        <v>1E-4</v>
      </c>
      <c r="DV78" s="651">
        <f t="shared" ca="1" si="187"/>
        <v>38687</v>
      </c>
      <c r="DW78" s="590">
        <v>1E-4</v>
      </c>
      <c r="DX78" s="651">
        <f t="shared" ca="1" si="64"/>
        <v>38687</v>
      </c>
      <c r="DY78" s="590">
        <f t="shared" si="65"/>
        <v>1E-4</v>
      </c>
      <c r="DZ78" s="1"/>
      <c r="EA78" s="863" t="e">
        <f ca="1">_xll.ASN(X78,X78,AO78,AS78,0,AI78,0,BI78,BL78,1,0)</f>
        <v>#NAME?</v>
      </c>
      <c r="EB78" s="653" t="e">
        <f ca="1">_xll.ASN(X78,X78,AO78,AS78,0,AI78,0,BI78,BL78,1,3)/100</f>
        <v>#NAME?</v>
      </c>
      <c r="EC78" s="653" t="e">
        <f ca="1">_xll.xCrudeAPO(L79,L80,O79,O80,S79,S80,BI78,BL78,AJ78,AK78,0,X78,AO78,1,0,+BL78,1,0,1)</f>
        <v>#NAME?</v>
      </c>
      <c r="ED78" s="869" t="e">
        <f t="shared" ca="1" si="165"/>
        <v>#NAME?</v>
      </c>
      <c r="EE78" s="863" t="e">
        <f t="shared" ca="1" si="29"/>
        <v>#NAME?</v>
      </c>
      <c r="EF78" s="590" t="e">
        <f t="shared" ca="1" si="30"/>
        <v>#NAME?</v>
      </c>
      <c r="EG78" s="862" t="str">
        <f t="shared" ca="1" si="188"/>
        <v/>
      </c>
      <c r="EH78" s="114" t="str">
        <f t="shared" ca="1" si="32"/>
        <v/>
      </c>
      <c r="EI78" s="109" t="str">
        <f t="shared" ca="1" si="33"/>
        <v/>
      </c>
      <c r="EJ78" s="115">
        <f ca="1">IF(BD78,_xll.xASN(BP78,Strike1,AO78,EH78,0,BM78,0,BI78,BL78,IF(OptControl=4,0,1),0),0)</f>
        <v>0</v>
      </c>
      <c r="EK78" s="108">
        <f ca="1">IF(BD78,_xll.xASN(BP78,Strike2,AO78,EI78,0,BM78,0,BI78,BL78,IF(OptControl=3,1,0),0),0)</f>
        <v>0</v>
      </c>
      <c r="EP78" s="53"/>
      <c r="EQ78" s="1"/>
      <c r="ER78" s="681">
        <v>42736</v>
      </c>
      <c r="ES78" s="682">
        <v>47119</v>
      </c>
      <c r="ET78" s="1"/>
      <c r="EU78" s="667" t="s">
        <v>290</v>
      </c>
      <c r="EW78" s="488">
        <v>59</v>
      </c>
      <c r="EX78" s="466">
        <f t="shared" ca="1" si="166"/>
        <v>4.8569472963723479</v>
      </c>
      <c r="EY78" s="824">
        <f t="shared" ca="1" si="189"/>
        <v>0.18364507497604377</v>
      </c>
      <c r="EZ78" s="798">
        <f t="shared" ca="1" si="269"/>
        <v>0.20065808915804204</v>
      </c>
      <c r="FA78" s="468" t="str">
        <f t="shared" ca="1" si="270"/>
        <v/>
      </c>
      <c r="FB78" s="467" t="str">
        <f t="shared" ca="1" si="271"/>
        <v/>
      </c>
      <c r="FC78" s="242">
        <v>0</v>
      </c>
      <c r="FD78" s="589" t="str">
        <f ca="1">IF(OR(FA78="",FA79=""),"",SQRT(SUM(INDEX(FO78:IH78,SwaptionFirstMonthPosition+1):INDEX(FO78:IH78,FN78))/SUM(INDEX($FO$15:$IH$15,SwaptionFirstMonthPosition+1):INDEX($FO$15:$IH$15,FN78))))</f>
        <v/>
      </c>
      <c r="FE78" s="565" t="str">
        <f ca="1">IF(OR(FA78="",FA77=""),"",SQRT(SUM(INDEX(FO78:IH78,SwaptionFirstMonthPosition+1):INDEX(FO78:IH78,FN78-1))/SUM(INDEX($FO$15:$IH$15,SwaptionFirstMonthPosition+1):INDEX($FO$15:$IH$15,FN78-1))))</f>
        <v/>
      </c>
      <c r="FF78" s="562" t="str">
        <f t="shared" ca="1" si="190"/>
        <v/>
      </c>
      <c r="FG78" s="593" t="str">
        <f t="shared" ca="1" si="191"/>
        <v/>
      </c>
      <c r="FH78" s="563" t="str">
        <f t="shared" ca="1" si="192"/>
        <v/>
      </c>
      <c r="FI78" s="563" t="str">
        <f t="shared" ca="1" si="193"/>
        <v/>
      </c>
      <c r="FJ78" s="563" t="str">
        <f t="shared" ca="1" si="194"/>
        <v/>
      </c>
      <c r="FK78" s="564" t="str">
        <f t="shared" ca="1" si="195"/>
        <v/>
      </c>
      <c r="FL78" s="590" t="str">
        <f t="shared" ca="1" si="196"/>
        <v/>
      </c>
      <c r="FM78" s="242"/>
      <c r="FN78" s="657">
        <v>59</v>
      </c>
      <c r="FO78" s="450">
        <f t="shared" ca="1" si="197"/>
        <v>6.5501929054613702E-4</v>
      </c>
      <c r="FP78" s="450">
        <f t="shared" ca="1" si="198"/>
        <v>2.455846562296552E-3</v>
      </c>
      <c r="FQ78" s="450">
        <f t="shared" ca="1" si="199"/>
        <v>2.3689147382196839E-3</v>
      </c>
      <c r="FR78" s="450">
        <f t="shared" ca="1" si="200"/>
        <v>2.6085744987944253E-3</v>
      </c>
      <c r="FS78" s="450">
        <f t="shared" ca="1" si="201"/>
        <v>2.4406693838571977E-3</v>
      </c>
      <c r="FT78" s="450">
        <f t="shared" ca="1" si="202"/>
        <v>2.598407049272299E-3</v>
      </c>
      <c r="FU78" s="450">
        <f t="shared" ca="1" si="203"/>
        <v>2.4315645825592151E-3</v>
      </c>
      <c r="FV78" s="450">
        <f t="shared" ca="1" si="204"/>
        <v>2.2655353738926733E-3</v>
      </c>
      <c r="FW78" s="450">
        <f t="shared" ca="1" si="205"/>
        <v>2.4234087761184336E-3</v>
      </c>
      <c r="FX78" s="450">
        <f t="shared" ca="1" si="206"/>
        <v>2.6617062717782152E-3</v>
      </c>
      <c r="FY78" s="450">
        <f t="shared" ca="1" si="207"/>
        <v>2.3358091998664991E-3</v>
      </c>
      <c r="FZ78" s="450">
        <f t="shared" ca="1" si="208"/>
        <v>2.3328546900434205E-3</v>
      </c>
      <c r="GA78" s="450">
        <f t="shared" ca="1" si="209"/>
        <v>2.6516510169207691E-3</v>
      </c>
      <c r="GB78" s="450">
        <f t="shared" ca="1" si="210"/>
        <v>2.3279917419815497E-3</v>
      </c>
      <c r="GC78" s="450">
        <f t="shared" ca="1" si="211"/>
        <v>2.5667834261287729E-3</v>
      </c>
      <c r="GD78" s="450">
        <f t="shared" ca="1" si="212"/>
        <v>2.4049074719332034E-3</v>
      </c>
      <c r="GE78" s="450">
        <f t="shared" ca="1" si="213"/>
        <v>2.3238233900187213E-3</v>
      </c>
      <c r="GF78" s="450">
        <f t="shared" ca="1" si="214"/>
        <v>2.6439070611397292E-3</v>
      </c>
      <c r="GG78" s="450">
        <f t="shared" ca="1" si="215"/>
        <v>2.4037524484048912E-3</v>
      </c>
      <c r="GH78" s="450">
        <f t="shared" ca="1" si="216"/>
        <v>2.3244647167553513E-3</v>
      </c>
      <c r="GI78" s="450">
        <f t="shared" ca="1" si="217"/>
        <v>2.4864271238995003E-3</v>
      </c>
      <c r="GJ78" s="450">
        <f t="shared" ca="1" si="218"/>
        <v>2.4889213869357511E-3</v>
      </c>
      <c r="GK78" s="450">
        <f t="shared" ca="1" si="219"/>
        <v>2.4923457783911094E-3</v>
      </c>
      <c r="GL78" s="450">
        <f t="shared" ca="1" si="220"/>
        <v>2.2551760126496511E-3</v>
      </c>
      <c r="GM78" s="450">
        <f t="shared" ca="1" si="221"/>
        <v>2.5024047445633972E-3</v>
      </c>
      <c r="GN78" s="450">
        <f t="shared" ca="1" si="222"/>
        <v>2.4283387682653575E-3</v>
      </c>
      <c r="GO78" s="450">
        <f t="shared" ca="1" si="223"/>
        <v>2.5175843044822161E-3</v>
      </c>
      <c r="GP78" s="450">
        <f t="shared" ca="1" si="224"/>
        <v>2.4459418574172085E-3</v>
      </c>
      <c r="GQ78" s="450">
        <f t="shared" ca="1" si="225"/>
        <v>2.5391384086665106E-3</v>
      </c>
      <c r="GR78" s="450">
        <f t="shared" ca="1" si="226"/>
        <v>2.552793836417472E-3</v>
      </c>
      <c r="GS78" s="450">
        <f t="shared" ca="1" si="227"/>
        <v>2.4858228873271982E-3</v>
      </c>
      <c r="GT78" s="450">
        <f t="shared" ca="1" si="228"/>
        <v>2.5870869758724455E-3</v>
      </c>
      <c r="GU78" s="450">
        <f t="shared" ca="1" si="229"/>
        <v>2.5241844208849441E-3</v>
      </c>
      <c r="GV78" s="450">
        <f t="shared" ca="1" si="230"/>
        <v>2.6327626548088212E-3</v>
      </c>
      <c r="GW78" s="450">
        <f t="shared" ca="1" si="231"/>
        <v>2.660828304850673E-3</v>
      </c>
      <c r="GX78" s="450">
        <f t="shared" ca="1" si="232"/>
        <v>2.5192705786305186E-3</v>
      </c>
      <c r="GY78" s="450">
        <f t="shared" ca="1" si="233"/>
        <v>2.7298908775601092E-3</v>
      </c>
      <c r="GZ78" s="450">
        <f t="shared" ca="1" si="234"/>
        <v>2.6827068142343184E-3</v>
      </c>
      <c r="HA78" s="450">
        <f t="shared" ca="1" si="235"/>
        <v>2.8205179902563186E-3</v>
      </c>
      <c r="HB78" s="450">
        <f t="shared" ca="1" si="236"/>
        <v>2.7832078244847871E-3</v>
      </c>
      <c r="HC78" s="450">
        <f t="shared" ca="1" si="237"/>
        <v>2.9396214697012908E-3</v>
      </c>
      <c r="HD78" s="450">
        <f t="shared" ca="1" si="238"/>
        <v>3.0127521389552844E-3</v>
      </c>
      <c r="HE78" s="450">
        <f t="shared" ca="1" si="239"/>
        <v>2.9970502458861736E-3</v>
      </c>
      <c r="HF78" s="450">
        <f t="shared" ca="1" si="240"/>
        <v>3.1941300777564665E-3</v>
      </c>
      <c r="HG78" s="450">
        <f t="shared" ca="1" si="241"/>
        <v>3.1999480603726936E-3</v>
      </c>
      <c r="HH78" s="450">
        <f t="shared" ca="1" si="242"/>
        <v>3.437257784111504E-3</v>
      </c>
      <c r="HI78" s="450">
        <f t="shared" ca="1" si="243"/>
        <v>3.5896032337630144E-3</v>
      </c>
      <c r="HJ78" s="450">
        <f t="shared" ca="1" si="244"/>
        <v>3.4034203965110396E-3</v>
      </c>
      <c r="HK78" s="450">
        <f t="shared" ca="1" si="245"/>
        <v>3.9782490039409948E-3</v>
      </c>
      <c r="HL78" s="450">
        <f t="shared" ca="1" si="246"/>
        <v>4.0908914872905206E-3</v>
      </c>
      <c r="HM78" s="450">
        <f t="shared" ca="1" si="247"/>
        <v>4.5242781632195365E-3</v>
      </c>
      <c r="HN78" s="450">
        <f t="shared" ca="1" si="248"/>
        <v>4.723860241547263E-3</v>
      </c>
      <c r="HO78" s="450">
        <f t="shared" ca="1" si="249"/>
        <v>5.3142738118730128E-3</v>
      </c>
      <c r="HP78" s="450">
        <f t="shared" ca="1" si="250"/>
        <v>5.8444674530970754E-3</v>
      </c>
      <c r="HQ78" s="450">
        <f t="shared" ca="1" si="251"/>
        <v>6.2912967076475612E-3</v>
      </c>
      <c r="HR78" s="450">
        <f t="shared" ca="1" si="252"/>
        <v>7.3242782176851633E-3</v>
      </c>
      <c r="HS78" s="450">
        <f t="shared" ca="1" si="253"/>
        <v>8.1013431218368986E-3</v>
      </c>
      <c r="HT78" s="450">
        <f t="shared" ca="1" si="254"/>
        <v>9.7247598655425815E-3</v>
      </c>
      <c r="HU78" s="450">
        <f t="shared" ca="1" si="255"/>
        <v>1.1506092329042558E-2</v>
      </c>
      <c r="HV78" s="450" t="str">
        <f t="shared" si="256"/>
        <v/>
      </c>
      <c r="HW78" s="450" t="str">
        <f t="shared" si="257"/>
        <v/>
      </c>
      <c r="HX78" s="450" t="str">
        <f t="shared" si="258"/>
        <v/>
      </c>
      <c r="HY78" s="450" t="str">
        <f t="shared" si="259"/>
        <v/>
      </c>
      <c r="HZ78" s="450" t="str">
        <f t="shared" si="260"/>
        <v/>
      </c>
      <c r="IA78" s="450" t="str">
        <f t="shared" si="261"/>
        <v/>
      </c>
      <c r="IB78" s="450" t="str">
        <f t="shared" si="262"/>
        <v/>
      </c>
      <c r="IC78" s="450" t="str">
        <f t="shared" si="263"/>
        <v/>
      </c>
      <c r="ID78" s="450" t="str">
        <f t="shared" si="264"/>
        <v/>
      </c>
      <c r="IE78" s="450" t="str">
        <f t="shared" si="265"/>
        <v/>
      </c>
      <c r="IF78" s="450" t="str">
        <f t="shared" si="266"/>
        <v/>
      </c>
      <c r="IG78" s="450" t="str">
        <f t="shared" si="267"/>
        <v/>
      </c>
      <c r="IH78" s="658" t="str">
        <f t="shared" si="268"/>
        <v/>
      </c>
      <c r="II78" s="242"/>
    </row>
    <row r="79" spans="1:243">
      <c r="H79" s="49" t="e">
        <f t="shared" ca="1" si="34"/>
        <v>#N/A</v>
      </c>
      <c r="I79" s="369">
        <f t="shared" si="35"/>
        <v>38808</v>
      </c>
      <c r="J79" s="367">
        <v>21.86</v>
      </c>
      <c r="K79" s="101" t="s">
        <v>268</v>
      </c>
      <c r="L79" s="382">
        <f t="shared" si="36"/>
        <v>21.86</v>
      </c>
      <c r="M79" s="163">
        <v>0.19384999999999999</v>
      </c>
      <c r="N79" s="372">
        <v>0</v>
      </c>
      <c r="O79" s="163">
        <f t="shared" si="37"/>
        <v>0.19384999999999999</v>
      </c>
      <c r="P79" s="367">
        <v>20.6332665089062</v>
      </c>
      <c r="Q79" s="101" t="s">
        <v>267</v>
      </c>
      <c r="R79" s="367">
        <f t="shared" ca="1" si="147"/>
        <v>20.633266508906217</v>
      </c>
      <c r="S79" s="814">
        <f t="shared" si="163"/>
        <v>0.36791330692739327</v>
      </c>
      <c r="T79" s="813">
        <f t="shared" si="148"/>
        <v>0.99984412439432369</v>
      </c>
      <c r="U79" s="532">
        <f t="shared" si="149"/>
        <v>0.99999999936216877</v>
      </c>
      <c r="V79" s="379">
        <v>0</v>
      </c>
      <c r="W79" s="424">
        <f t="shared" si="168"/>
        <v>21.827499999999997</v>
      </c>
      <c r="X79" s="405">
        <f t="shared" si="169"/>
        <v>21.827499999999997</v>
      </c>
      <c r="Y79" s="313">
        <f t="shared" si="170"/>
        <v>20.483499999999996</v>
      </c>
      <c r="Z79" s="313">
        <f t="shared" ca="1" si="171"/>
        <v>20.483499999999996</v>
      </c>
      <c r="AA79" s="419">
        <f t="shared" si="1"/>
        <v>1.3440000000000001</v>
      </c>
      <c r="AB79" s="423">
        <f t="shared" ca="1" si="2"/>
        <v>1.3440000000000001</v>
      </c>
      <c r="AC79" s="221">
        <v>38796</v>
      </c>
      <c r="AD79" s="221">
        <v>38792</v>
      </c>
      <c r="AE79" s="221">
        <v>38791</v>
      </c>
      <c r="AF79" s="221">
        <v>38787</v>
      </c>
      <c r="AG79" s="241" t="s">
        <v>90</v>
      </c>
      <c r="AH79" s="239" t="s">
        <v>497</v>
      </c>
      <c r="AI79" s="141">
        <v>20</v>
      </c>
      <c r="AJ79" s="41">
        <v>14</v>
      </c>
      <c r="AK79" s="41">
        <v>6</v>
      </c>
      <c r="AL79" s="285">
        <v>20</v>
      </c>
      <c r="AM79" s="41">
        <v>10</v>
      </c>
      <c r="AN79" s="142">
        <v>10</v>
      </c>
      <c r="AO79" s="364">
        <v>5.3734315334264003E-2</v>
      </c>
      <c r="AP79" s="145">
        <f t="shared" ca="1" si="41"/>
        <v>0.76480214938285729</v>
      </c>
      <c r="AQ79" s="364">
        <v>4.5773802808506805E-2</v>
      </c>
      <c r="AR79" s="145">
        <f t="shared" ca="1" si="151"/>
        <v>0.79988728789234853</v>
      </c>
      <c r="AS79" s="264">
        <f t="shared" si="172"/>
        <v>0.19323000000000001</v>
      </c>
      <c r="AT79" s="149">
        <f t="shared" si="42"/>
        <v>0.19384999999999999</v>
      </c>
      <c r="AU79" s="149">
        <f t="shared" si="4"/>
        <v>0.19314999999999999</v>
      </c>
      <c r="AV79" s="263">
        <f t="shared" ca="1" si="164"/>
        <v>0.18982747537937436</v>
      </c>
      <c r="AW79" s="150" t="str">
        <f t="shared" ca="1" si="173"/>
        <v/>
      </c>
      <c r="AX79" s="149">
        <f t="shared" ca="1" si="152"/>
        <v>2.8367961232914237E-2</v>
      </c>
      <c r="AY79" s="149">
        <f t="shared" ca="1" si="153"/>
        <v>1.4020269513127764E-2</v>
      </c>
      <c r="AZ79" s="149">
        <f t="shared" ca="1" si="154"/>
        <v>7.7501964694801735E-3</v>
      </c>
      <c r="BA79" s="149">
        <f t="shared" ca="1" si="155"/>
        <v>1.0000000000000179E-4</v>
      </c>
      <c r="BB79" s="149">
        <f t="shared" ca="1" si="156"/>
        <v>1.0000000000000179E-4</v>
      </c>
      <c r="BC79" s="149">
        <f t="shared" ca="1" si="157"/>
        <v>1.0000000000000179E-4</v>
      </c>
      <c r="BD79" s="143">
        <f t="shared" ca="1" si="174"/>
        <v>0</v>
      </c>
      <c r="BE79" s="144">
        <f t="shared" ca="1" si="175"/>
        <v>0</v>
      </c>
      <c r="BF79" s="40">
        <f t="shared" si="176"/>
        <v>2006</v>
      </c>
      <c r="BG79" s="139">
        <f t="shared" si="177"/>
        <v>4</v>
      </c>
      <c r="BH79" s="140">
        <f t="shared" ca="1" si="178"/>
        <v>1802</v>
      </c>
      <c r="BI79" s="304">
        <f t="shared" ca="1" si="179"/>
        <v>4.9774127310061598</v>
      </c>
      <c r="BJ79" s="42">
        <f t="shared" ca="1" si="47"/>
        <v>5.0329911019849423</v>
      </c>
      <c r="BK79" s="42">
        <f t="shared" ca="1" si="180"/>
        <v>5.0357289527720743</v>
      </c>
      <c r="BL79" s="42">
        <f t="shared" ca="1" si="181"/>
        <v>5.0568104038329915</v>
      </c>
      <c r="BM79" s="285">
        <f t="shared" si="49"/>
        <v>20</v>
      </c>
      <c r="BN79" s="41">
        <f t="shared" si="50"/>
        <v>14</v>
      </c>
      <c r="BO79" s="41">
        <f t="shared" si="51"/>
        <v>6</v>
      </c>
      <c r="BP79" s="297" t="str">
        <f t="shared" ca="1" si="10"/>
        <v/>
      </c>
      <c r="BQ79" s="297" t="str">
        <f t="shared" ca="1" si="11"/>
        <v/>
      </c>
      <c r="BR79" s="299" t="str">
        <f t="shared" ca="1" si="12"/>
        <v/>
      </c>
      <c r="BS79" s="153" t="str">
        <f t="shared" ca="1" si="13"/>
        <v/>
      </c>
      <c r="BT79" s="153" t="str">
        <f t="shared" ca="1" si="14"/>
        <v/>
      </c>
      <c r="BU79" s="300" t="str">
        <f t="shared" ca="1" si="15"/>
        <v/>
      </c>
      <c r="BV79" s="301" t="str">
        <f t="shared" ca="1" si="16"/>
        <v/>
      </c>
      <c r="BW79" s="300" t="str">
        <f t="shared" ca="1" si="17"/>
        <v/>
      </c>
      <c r="BX79" s="301" t="str">
        <f t="shared" ca="1" si="18"/>
        <v/>
      </c>
      <c r="BY79" s="146" t="str">
        <f t="shared" ca="1" si="19"/>
        <v/>
      </c>
      <c r="BZ79" s="146" t="str">
        <f t="shared" ca="1" si="20"/>
        <v/>
      </c>
      <c r="CA79" s="146" t="str">
        <f t="shared" ca="1" si="21"/>
        <v/>
      </c>
      <c r="CB79" s="146" t="str">
        <f t="shared" ca="1" si="22"/>
        <v/>
      </c>
      <c r="CC79" s="302">
        <v>1</v>
      </c>
      <c r="CD79" s="154">
        <f ca="1">IF(BD79,_xll.xCrudeAPO(BS79,BT79,BY79,BZ79,S80,S81,BI79,BL79,BN79,BO79,0,Strike1,AO79,CC79,0,BL79,IF(OptControl=4,0,1),0,1),0)</f>
        <v>0</v>
      </c>
      <c r="CE79" s="155">
        <f ca="1">IF(BD79,_xll.xCrudeAPO(BS79,BT79,BY79,BZ79,S80,S81,BI79,BL79,BN79,BO79,0,Strike1,AO79,CC79,0,BL79,IF(OptControl=4,0,1),1,1)+_xll.xCrudeAPO(BS79,BT79,BY79,BZ79,S80,S81,BI79,BL79,BN79,BO79,0,Strike1,AO79,CC79,0,BL79,IF(OptControl=4,0,1),1,2)+IF(OR(VolSkewFlag=2,ABS(BQ79)&lt;0.0001),0,IF(BQ79&gt;0,-1,1)*CF79*Strike1/BP79^2*BW79/10%),0)</f>
        <v>0</v>
      </c>
      <c r="CF79" s="155">
        <f ca="1">IF(BD79,(_xll.xCrudeAPO(BS79,BT79,BY79,BZ79,S80,S81,BI79,BL79,BN79,BO79,0,Strike1,AO79,CC79,0,BL79,IF(OptControl=4,0,1),3,1)+_xll.xCrudeAPO(BS79,BT79,BY79,BZ79,S80,S81,BI79,BL79,BN79,BO79,0,Strike1,AO79,CC79,0,BL79,IF(OptControl=4,0,1),3,2))/100,0)</f>
        <v>0</v>
      </c>
      <c r="CG79" s="155">
        <f ca="1">IF(BD79,_xll.xCrudeAPO(BS79,BT79,BY79,BZ79,S80,S81,BI79-DaysForThetaCalculation/365.25,BL79-DaysForThetaCalculation/365.25,BN79,BO79,0,Strike1,AO79,CC79,0,BL79,IF(OptControl=4,0,1),0,1)-_xll.xCrudeAPO(BS79,BT79,BY79,BZ79,S80,S81,BI79,BL79,BN79,BO79,0,Strike1,AO79,CC79,0,BL79,IF(OptControl=4,0,1),0,1),0)</f>
        <v>0</v>
      </c>
      <c r="CH79" s="303">
        <f ca="1">IF(BD79,_xll.xCrudeAPO(BS79,BT79,CA79,CB79,S80,S81,BI79,BL79,BN79,BO79,0,Strike2,AO79,CC79,0,BL79,IF(OptControl=3,1,0),0,1),0)</f>
        <v>0</v>
      </c>
      <c r="CI79" s="155">
        <f ca="1">IF(BD79,_xll.xCrudeAPO(BS79,BT79,CA79,CB79,S80,S81,BI79,BL79,BN79,BO79,0,Strike2,AO79,CC79,0,BL79,IF(OptControl=3,1,0),1,1)+_xll.xCrudeAPO(BS79,BT79,CA79,CB79,S80,S81,BI79,BL79,BN79,BO79,0,Strike2,AO79,CC79,0,BL79,IF(OptControl=3,1,0),1,2)+IF(OR(VolSkewFlag=2,ABS(BR79)&lt;0.0001),0,IF(BR79&gt;0,-1,1)*CJ79*Strike2/BP79^2*BX79/10%),0)</f>
        <v>0</v>
      </c>
      <c r="CJ79" s="155">
        <f ca="1">IF(BD79,(_xll.xCrudeAPO(BS79,BT79,CA79,CB79,S80,S81,BI79,BL79,BN79,BO79,0,Strike2,AO79,CC79,0,BL79,IF(OptControl=3,1,0),3,1)+_xll.xCrudeAPO(BS79,BT79,CA79,CB79,S80,S81,BI79,BL79,BN79,BO79,0,Strike2,AO79,CC79,0,BL79,IF(OptControl=3,1,0),3,2))/100,0)</f>
        <v>0</v>
      </c>
      <c r="CK79" s="156">
        <f ca="1">IF(BD79,_xll.xCrudeAPO(BS79,BT79,CA79,CB79,S80,S81,BI79-DaysForThetaCalculation/365.25,BL79-DaysForThetaCalculation/365.25,BN79,BO79,0,Strike2,AO79,CC79,0,BL79,IF(OptControl=3,1,0),0,1)-_xll.xCrudeAPO(BS79,BT79,CA79,CB79,S80,S81,BI79,BL79,BN79,BO79,0,Strike2,AO79,CC79,0,BL79,IF(OptControl=3,1,0),0,1),0)</f>
        <v>0</v>
      </c>
      <c r="CL79" s="51"/>
      <c r="CM79" s="779" t="str">
        <f t="shared" ca="1" si="52"/>
        <v/>
      </c>
      <c r="CN79" s="783" t="str">
        <f t="shared" ca="1" si="53"/>
        <v/>
      </c>
      <c r="CO79" s="780" t="str">
        <f t="shared" ca="1" si="54"/>
        <v/>
      </c>
      <c r="CP79" s="780" t="str">
        <f t="shared" ca="1" si="55"/>
        <v/>
      </c>
      <c r="CQ79" s="780" t="str">
        <f t="shared" ca="1" si="56"/>
        <v/>
      </c>
      <c r="CR79" s="780" t="str">
        <f t="shared" ca="1" si="57"/>
        <v/>
      </c>
      <c r="CS79" s="781" t="str">
        <f t="shared" ca="1" si="58"/>
        <v/>
      </c>
      <c r="CT79" s="782" t="str">
        <f t="shared" ca="1" si="59"/>
        <v/>
      </c>
      <c r="CU79" s="782" t="str">
        <f t="shared" ca="1" si="60"/>
        <v/>
      </c>
      <c r="CV79" s="155">
        <f ca="1">IF(BD79,_xll.EURO(CN79,Strike1,AO79,AO79,CT79,CM79,IF(OptControl=4,0,1),0),0)</f>
        <v>0</v>
      </c>
      <c r="CW79" s="155">
        <f ca="1">IF(BD79,_xll.EURO(CN79,Strike1,AO79,AO79,CT79,CM79,IF(OptControl=4,0,1),1)+IF(OR(VolSkewFlag=2,ABS(CO79)&lt;0.0001),0,IF(CO79&gt;0,-1,1)*CX79*100*Strike1/CN79^2*CQ79/10%),0)</f>
        <v>0</v>
      </c>
      <c r="CX79" s="155">
        <f ca="1">IF(BD79,_xll.EURO(CN79,Strike1,AO79,AO79,CT79,CM79,IF(OptControl=4,0,1),3)/100,0)</f>
        <v>0</v>
      </c>
      <c r="CY79" s="155">
        <f ca="1">IF(BD79,_xll.EURO(CN79,Strike1,AO79,AO79,CT79,CM79,IF(OptControl=4,0,1),0)-_xll.EURO(CN79,Strike1,AO79,AO79,CT79,CM79-1,IF(OptControl=4,0,1),0),0)</f>
        <v>0</v>
      </c>
      <c r="CZ79" s="155">
        <f ca="1">IF(BD79,_xll.EURO(CN79,Strike2,AO79,AO79,CU79,CM79,IF(OptControl=3,1,0),0),0)</f>
        <v>0</v>
      </c>
      <c r="DA79" s="155">
        <f ca="1">IF(BD79,_xll.EURO(CN79,Strike2,AO79,AO79,CU79,CM79,IF(OptControl=3,1,0),1)+IF(OR(VolSkewFlag=2,ABS(CP79)&lt;0.0001),0,IF(CP79&gt;0,-1,1)*DB79*100*Strike2/CN79^2*CR79/10%),0)</f>
        <v>0</v>
      </c>
      <c r="DB79" s="155">
        <f ca="1">IF(BD79,_xll.EURO(CN79,Strike2,AO79,AO79,CU79,CM79,IF(OptControl=3,1,0),3)/100,0)</f>
        <v>0</v>
      </c>
      <c r="DC79" s="156">
        <f ca="1">IF(BD79,_xll.EURO(CN79,Strike2,AO79,AO79,CU79,CM79,IF(OptControl=3,1,0),0)-_xll.EURO(CN79,Strike2,AO79,AO79,CU79,CM79-1,IF(OptControl=3,1,0),0),0)</f>
        <v>0</v>
      </c>
      <c r="DE79" s="651">
        <f t="shared" ca="1" si="61"/>
        <v>38718</v>
      </c>
      <c r="DF79" s="465">
        <v>1E-4</v>
      </c>
      <c r="DG79" s="649">
        <v>1E-4</v>
      </c>
      <c r="DH79" s="650">
        <f t="shared" ca="1" si="182"/>
        <v>38718</v>
      </c>
      <c r="DI79" s="465">
        <v>1E-4</v>
      </c>
      <c r="DJ79" s="649">
        <v>1E-4</v>
      </c>
      <c r="DK79" s="651">
        <f t="shared" ca="1" si="183"/>
        <v>38718</v>
      </c>
      <c r="DL79" s="652">
        <f t="shared" si="184"/>
        <v>5.0100000000000006E-2</v>
      </c>
      <c r="DM79" s="651">
        <f t="shared" ca="1" si="62"/>
        <v>38718</v>
      </c>
      <c r="DN79" s="563">
        <f t="shared" si="63"/>
        <v>-0.12990000000000002</v>
      </c>
      <c r="DO79" s="803">
        <v>-0.13</v>
      </c>
      <c r="DP79" s="650">
        <f t="shared" ca="1" si="185"/>
        <v>38718</v>
      </c>
      <c r="DQ79" s="653">
        <v>1E-4</v>
      </c>
      <c r="DR79" s="590">
        <v>1E-4</v>
      </c>
      <c r="DS79" s="650">
        <f t="shared" ca="1" si="186"/>
        <v>38718</v>
      </c>
      <c r="DT79" s="653">
        <v>1E-4</v>
      </c>
      <c r="DU79" s="590">
        <v>1E-4</v>
      </c>
      <c r="DV79" s="651">
        <f t="shared" ca="1" si="187"/>
        <v>38718</v>
      </c>
      <c r="DW79" s="590">
        <v>1E-4</v>
      </c>
      <c r="DX79" s="651">
        <f t="shared" ca="1" si="64"/>
        <v>38718</v>
      </c>
      <c r="DY79" s="590">
        <f t="shared" si="65"/>
        <v>1E-4</v>
      </c>
      <c r="DZ79" s="1"/>
      <c r="EA79" s="863" t="e">
        <f ca="1">_xll.ASN(X79,X79,AO79,AS79,0,AI79,0,BI79,BL79,1,0)</f>
        <v>#NAME?</v>
      </c>
      <c r="EB79" s="653" t="e">
        <f ca="1">_xll.ASN(X79,X79,AO79,AS79,0,AI79,0,BI79,BL79,1,3)/100</f>
        <v>#NAME?</v>
      </c>
      <c r="EC79" s="653" t="e">
        <f ca="1">_xll.xCrudeAPO(L80,L81,O80,O81,S80,S81,BI79,BL79,AJ79,AK79,0,X79,AO79,1,0,+BL79,1,0,1)</f>
        <v>#NAME?</v>
      </c>
      <c r="ED79" s="869" t="e">
        <f t="shared" ca="1" si="165"/>
        <v>#NAME?</v>
      </c>
      <c r="EE79" s="863" t="e">
        <f t="shared" ca="1" si="29"/>
        <v>#NAME?</v>
      </c>
      <c r="EF79" s="590" t="e">
        <f t="shared" ca="1" si="30"/>
        <v>#NAME?</v>
      </c>
      <c r="EG79" s="862" t="str">
        <f t="shared" ca="1" si="188"/>
        <v/>
      </c>
      <c r="EH79" s="114" t="str">
        <f t="shared" ca="1" si="32"/>
        <v/>
      </c>
      <c r="EI79" s="109" t="str">
        <f t="shared" ca="1" si="33"/>
        <v/>
      </c>
      <c r="EJ79" s="115">
        <f ca="1">IF(BD79,_xll.xASN(BP79,Strike1,AO79,EH79,0,BM79,0,BI79,BL79,IF(OptControl=4,0,1),0),0)</f>
        <v>0</v>
      </c>
      <c r="EK79" s="108">
        <f ca="1">IF(BD79,_xll.xASN(BP79,Strike2,AO79,EI79,0,BM79,0,BI79,BL79,IF(OptControl=3,1,0),0),0)</f>
        <v>0</v>
      </c>
      <c r="EP79" s="53"/>
      <c r="EQ79" s="1"/>
      <c r="ER79" s="681">
        <v>42920</v>
      </c>
      <c r="ES79" s="682">
        <v>47477</v>
      </c>
      <c r="ET79" s="1"/>
      <c r="EU79" s="667" t="s">
        <v>291</v>
      </c>
      <c r="EW79" s="488">
        <v>60</v>
      </c>
      <c r="EX79" s="466">
        <f t="shared" ca="1" si="166"/>
        <v>4.9336071184120467</v>
      </c>
      <c r="EY79" s="824">
        <f t="shared" ca="1" si="189"/>
        <v>0.18539421258042435</v>
      </c>
      <c r="EZ79" s="798">
        <f t="shared" ca="1" si="269"/>
        <v>0.19968189195679678</v>
      </c>
      <c r="FA79" s="468" t="str">
        <f t="shared" ca="1" si="270"/>
        <v/>
      </c>
      <c r="FB79" s="467" t="str">
        <f t="shared" ca="1" si="271"/>
        <v/>
      </c>
      <c r="FC79" s="242">
        <v>0</v>
      </c>
      <c r="FD79" s="589" t="str">
        <f ca="1">IF(OR(FA79="",FA80=""),"",SQRT(SUM(INDEX(FO79:IH79,SwaptionFirstMonthPosition+1):INDEX(FO79:IH79,FN79))/SUM(INDEX($FO$15:$IH$15,SwaptionFirstMonthPosition+1):INDEX($FO$15:$IH$15,FN79))))</f>
        <v/>
      </c>
      <c r="FE79" s="565" t="str">
        <f ca="1">IF(OR(FA79="",FA78=""),"",SQRT(SUM(INDEX(FO79:IH79,SwaptionFirstMonthPosition+1):INDEX(FO79:IH79,FN79-1))/SUM(INDEX($FO$15:$IH$15,SwaptionFirstMonthPosition+1):INDEX($FO$15:$IH$15,FN79-1))))</f>
        <v/>
      </c>
      <c r="FF79" s="562" t="str">
        <f t="shared" ca="1" si="190"/>
        <v/>
      </c>
      <c r="FG79" s="593" t="str">
        <f t="shared" ca="1" si="191"/>
        <v/>
      </c>
      <c r="FH79" s="563" t="str">
        <f t="shared" ca="1" si="192"/>
        <v/>
      </c>
      <c r="FI79" s="563" t="str">
        <f t="shared" ca="1" si="193"/>
        <v/>
      </c>
      <c r="FJ79" s="563" t="str">
        <f t="shared" ca="1" si="194"/>
        <v/>
      </c>
      <c r="FK79" s="564" t="str">
        <f t="shared" ca="1" si="195"/>
        <v/>
      </c>
      <c r="FL79" s="590" t="str">
        <f t="shared" ca="1" si="196"/>
        <v/>
      </c>
      <c r="FM79" s="242"/>
      <c r="FN79" s="657">
        <v>60</v>
      </c>
      <c r="FO79" s="450">
        <f t="shared" ca="1" si="197"/>
        <v>6.5479241640781704E-4</v>
      </c>
      <c r="FP79" s="450">
        <f t="shared" ca="1" si="198"/>
        <v>2.454901436488455E-3</v>
      </c>
      <c r="FQ79" s="450">
        <f t="shared" ca="1" si="199"/>
        <v>2.3679017711816471E-3</v>
      </c>
      <c r="FR79" s="450">
        <f t="shared" ca="1" si="200"/>
        <v>2.6073351127015683E-3</v>
      </c>
      <c r="FS79" s="450">
        <f t="shared" ca="1" si="201"/>
        <v>2.4393809271869137E-3</v>
      </c>
      <c r="FT79" s="450">
        <f t="shared" ca="1" si="202"/>
        <v>2.5968829068852002E-3</v>
      </c>
      <c r="FU79" s="450">
        <f t="shared" ca="1" si="203"/>
        <v>2.4299798292952302E-3</v>
      </c>
      <c r="FV79" s="450">
        <f t="shared" ca="1" si="204"/>
        <v>2.2638947683134045E-3</v>
      </c>
      <c r="FW79" s="450">
        <f t="shared" ca="1" si="205"/>
        <v>2.4214588529323758E-3</v>
      </c>
      <c r="FX79" s="450">
        <f t="shared" ca="1" si="206"/>
        <v>2.6593266472019379E-3</v>
      </c>
      <c r="FY79" s="450">
        <f t="shared" ca="1" si="207"/>
        <v>2.3334889050338897E-3</v>
      </c>
      <c r="FZ79" s="450">
        <f t="shared" ca="1" si="208"/>
        <v>2.330279845658373E-3</v>
      </c>
      <c r="GA79" s="450">
        <f t="shared" ca="1" si="209"/>
        <v>2.648399117119797E-3</v>
      </c>
      <c r="GB79" s="450">
        <f t="shared" ca="1" si="210"/>
        <v>2.324819548157104E-3</v>
      </c>
      <c r="GC79" s="450">
        <f t="shared" ca="1" si="211"/>
        <v>2.562897227476556E-3</v>
      </c>
      <c r="GD79" s="450">
        <f t="shared" ca="1" si="212"/>
        <v>2.4008617909627473E-3</v>
      </c>
      <c r="GE79" s="450">
        <f t="shared" ca="1" si="213"/>
        <v>2.3194797495541858E-3</v>
      </c>
      <c r="GF79" s="450">
        <f t="shared" ca="1" si="214"/>
        <v>2.6384160234221446E-3</v>
      </c>
      <c r="GG79" s="450">
        <f t="shared" ca="1" si="215"/>
        <v>2.3982054828082691E-3</v>
      </c>
      <c r="GH79" s="450">
        <f t="shared" ca="1" si="216"/>
        <v>2.3185047178272125E-3</v>
      </c>
      <c r="GI79" s="450">
        <f t="shared" ca="1" si="217"/>
        <v>2.4793434844388078E-3</v>
      </c>
      <c r="GJ79" s="450">
        <f t="shared" ca="1" si="218"/>
        <v>2.4810427809090134E-3</v>
      </c>
      <c r="GK79" s="450">
        <f t="shared" ca="1" si="219"/>
        <v>2.4835797274630881E-3</v>
      </c>
      <c r="GL79" s="450">
        <f t="shared" ca="1" si="220"/>
        <v>2.2463628125846372E-3</v>
      </c>
      <c r="GM79" s="450">
        <f t="shared" ca="1" si="221"/>
        <v>2.4915387813383687E-3</v>
      </c>
      <c r="GN79" s="450">
        <f t="shared" ca="1" si="222"/>
        <v>2.4166228201419871E-3</v>
      </c>
      <c r="GO79" s="450">
        <f t="shared" ca="1" si="223"/>
        <v>2.5040881612234805E-3</v>
      </c>
      <c r="GP79" s="450">
        <f t="shared" ca="1" si="224"/>
        <v>2.4313728730620825E-3</v>
      </c>
      <c r="GQ79" s="450">
        <f t="shared" ca="1" si="225"/>
        <v>2.522333853789813E-3</v>
      </c>
      <c r="GR79" s="450">
        <f t="shared" ca="1" si="226"/>
        <v>2.5340216926564439E-3</v>
      </c>
      <c r="GS79" s="450">
        <f t="shared" ca="1" si="227"/>
        <v>2.4655121447553796E-3</v>
      </c>
      <c r="GT79" s="450">
        <f t="shared" ca="1" si="228"/>
        <v>2.5636001601893848E-3</v>
      </c>
      <c r="GU79" s="450">
        <f t="shared" ca="1" si="229"/>
        <v>2.4987224696220076E-3</v>
      </c>
      <c r="GV79" s="450">
        <f t="shared" ca="1" si="230"/>
        <v>2.6032546530915246E-3</v>
      </c>
      <c r="GW79" s="450">
        <f t="shared" ca="1" si="231"/>
        <v>2.6276921254057956E-3</v>
      </c>
      <c r="GX79" s="450">
        <f t="shared" ca="1" si="232"/>
        <v>2.4844113408295514E-3</v>
      </c>
      <c r="GY79" s="450">
        <f t="shared" ca="1" si="233"/>
        <v>2.6879202125947282E-3</v>
      </c>
      <c r="GZ79" s="450">
        <f t="shared" ca="1" si="234"/>
        <v>2.6368787761060415E-3</v>
      </c>
      <c r="HA79" s="450">
        <f t="shared" ca="1" si="235"/>
        <v>2.766982175312863E-3</v>
      </c>
      <c r="HB79" s="450">
        <f t="shared" ca="1" si="236"/>
        <v>2.7245104506314222E-3</v>
      </c>
      <c r="HC79" s="450">
        <f t="shared" ca="1" si="237"/>
        <v>2.8707369022542241E-3</v>
      </c>
      <c r="HD79" s="450">
        <f t="shared" ca="1" si="238"/>
        <v>2.9343096402805421E-3</v>
      </c>
      <c r="HE79" s="450">
        <f t="shared" ca="1" si="239"/>
        <v>2.9103461667297995E-3</v>
      </c>
      <c r="HF79" s="450">
        <f t="shared" ca="1" si="240"/>
        <v>3.0914572330234787E-3</v>
      </c>
      <c r="HG79" s="450">
        <f t="shared" ca="1" si="241"/>
        <v>3.0856593278267589E-3</v>
      </c>
      <c r="HH79" s="450">
        <f t="shared" ca="1" si="242"/>
        <v>3.300852849417381E-3</v>
      </c>
      <c r="HI79" s="450">
        <f t="shared" ca="1" si="243"/>
        <v>3.4313247372816415E-3</v>
      </c>
      <c r="HJ79" s="450">
        <f t="shared" ca="1" si="244"/>
        <v>3.2366770335965286E-3</v>
      </c>
      <c r="HK79" s="450">
        <f t="shared" ca="1" si="245"/>
        <v>3.7616869248342615E-3</v>
      </c>
      <c r="HL79" s="450">
        <f t="shared" ca="1" si="246"/>
        <v>3.8434537703423977E-3</v>
      </c>
      <c r="HM79" s="450">
        <f t="shared" ca="1" si="247"/>
        <v>4.220221357176362E-3</v>
      </c>
      <c r="HN79" s="450">
        <f t="shared" ca="1" si="248"/>
        <v>4.3711159766865581E-3</v>
      </c>
      <c r="HO79" s="450">
        <f t="shared" ca="1" si="249"/>
        <v>4.8733492023884141E-3</v>
      </c>
      <c r="HP79" s="450">
        <f t="shared" ca="1" si="250"/>
        <v>5.3056733339990848E-3</v>
      </c>
      <c r="HQ79" s="450">
        <f t="shared" ca="1" si="251"/>
        <v>5.6468669884712375E-3</v>
      </c>
      <c r="HR79" s="450">
        <f t="shared" ca="1" si="252"/>
        <v>6.4906781977199087E-3</v>
      </c>
      <c r="HS79" s="450">
        <f t="shared" ca="1" si="253"/>
        <v>7.0768538839907288E-3</v>
      </c>
      <c r="HT79" s="450">
        <f t="shared" ca="1" si="254"/>
        <v>8.3583318721903253E-3</v>
      </c>
      <c r="HU79" s="450">
        <f t="shared" ca="1" si="255"/>
        <v>9.7097330164471404E-3</v>
      </c>
      <c r="HV79" s="450">
        <f t="shared" ca="1" si="256"/>
        <v>1.0376688951674212E-2</v>
      </c>
      <c r="HW79" s="450" t="str">
        <f t="shared" si="257"/>
        <v/>
      </c>
      <c r="HX79" s="450" t="str">
        <f t="shared" si="258"/>
        <v/>
      </c>
      <c r="HY79" s="450" t="str">
        <f t="shared" si="259"/>
        <v/>
      </c>
      <c r="HZ79" s="450" t="str">
        <f t="shared" si="260"/>
        <v/>
      </c>
      <c r="IA79" s="450" t="str">
        <f t="shared" si="261"/>
        <v/>
      </c>
      <c r="IB79" s="450" t="str">
        <f t="shared" si="262"/>
        <v/>
      </c>
      <c r="IC79" s="450" t="str">
        <f t="shared" si="263"/>
        <v/>
      </c>
      <c r="ID79" s="450" t="str">
        <f t="shared" si="264"/>
        <v/>
      </c>
      <c r="IE79" s="450" t="str">
        <f t="shared" si="265"/>
        <v/>
      </c>
      <c r="IF79" s="450" t="str">
        <f t="shared" si="266"/>
        <v/>
      </c>
      <c r="IG79" s="450" t="str">
        <f t="shared" si="267"/>
        <v/>
      </c>
      <c r="IH79" s="658" t="str">
        <f t="shared" si="268"/>
        <v/>
      </c>
      <c r="II79" s="242"/>
    </row>
    <row r="80" spans="1:243">
      <c r="H80" s="49" t="e">
        <f t="shared" ca="1" si="34"/>
        <v>#N/A</v>
      </c>
      <c r="I80" s="369">
        <f t="shared" si="35"/>
        <v>38838</v>
      </c>
      <c r="J80" s="367">
        <v>21.835000000000001</v>
      </c>
      <c r="K80" s="101" t="s">
        <v>268</v>
      </c>
      <c r="L80" s="382">
        <f t="shared" si="36"/>
        <v>21.834999999999997</v>
      </c>
      <c r="M80" s="163">
        <v>0.19334999999999999</v>
      </c>
      <c r="N80" s="372">
        <v>0</v>
      </c>
      <c r="O80" s="163">
        <f t="shared" si="37"/>
        <v>0.19334999999999999</v>
      </c>
      <c r="P80" s="367">
        <v>20.634948839302897</v>
      </c>
      <c r="Q80" s="101" t="s">
        <v>267</v>
      </c>
      <c r="R80" s="367">
        <f t="shared" ca="1" si="147"/>
        <v>20.634948839302901</v>
      </c>
      <c r="S80" s="814">
        <f t="shared" si="163"/>
        <v>0.36763417385811936</v>
      </c>
      <c r="T80" s="813">
        <f t="shared" si="148"/>
        <v>0.99985971309624067</v>
      </c>
      <c r="U80" s="532">
        <f t="shared" si="149"/>
        <v>0.99999999952162655</v>
      </c>
      <c r="V80" s="379">
        <v>0</v>
      </c>
      <c r="W80" s="424">
        <f t="shared" si="168"/>
        <v>21.801304347826086</v>
      </c>
      <c r="X80" s="405">
        <f t="shared" si="169"/>
        <v>21.80130434782609</v>
      </c>
      <c r="Y80" s="313">
        <f t="shared" si="170"/>
        <v>20.457304347826085</v>
      </c>
      <c r="Z80" s="313">
        <f t="shared" ca="1" si="171"/>
        <v>20.457304347826089</v>
      </c>
      <c r="AA80" s="419">
        <f t="shared" si="1"/>
        <v>1.3440000000000001</v>
      </c>
      <c r="AB80" s="423">
        <f t="shared" ca="1" si="2"/>
        <v>1.3440000000000001</v>
      </c>
      <c r="AC80" s="221">
        <v>38827</v>
      </c>
      <c r="AD80" s="221">
        <v>38823</v>
      </c>
      <c r="AE80" s="221">
        <v>38822</v>
      </c>
      <c r="AF80" s="221">
        <v>38818</v>
      </c>
      <c r="AG80" s="241" t="s">
        <v>90</v>
      </c>
      <c r="AH80" s="239" t="s">
        <v>497</v>
      </c>
      <c r="AI80" s="141">
        <v>23</v>
      </c>
      <c r="AJ80" s="41">
        <v>15</v>
      </c>
      <c r="AK80" s="41">
        <v>8</v>
      </c>
      <c r="AL80" s="285">
        <v>23</v>
      </c>
      <c r="AM80" s="41">
        <v>10</v>
      </c>
      <c r="AN80" s="142">
        <v>13</v>
      </c>
      <c r="AO80" s="364">
        <v>5.3861363799004601E-2</v>
      </c>
      <c r="AP80" s="145">
        <f t="shared" ca="1" si="41"/>
        <v>0.76088377333088197</v>
      </c>
      <c r="AQ80" s="364">
        <v>4.5917787335623995E-2</v>
      </c>
      <c r="AR80" s="145">
        <f t="shared" ca="1" si="151"/>
        <v>0.79625799698078814</v>
      </c>
      <c r="AS80" s="264">
        <f t="shared" si="172"/>
        <v>0.19263695652173912</v>
      </c>
      <c r="AT80" s="149">
        <f t="shared" si="42"/>
        <v>0.19334999999999999</v>
      </c>
      <c r="AU80" s="149">
        <f t="shared" si="4"/>
        <v>0.19244130434782608</v>
      </c>
      <c r="AV80" s="263">
        <f t="shared" ca="1" si="164"/>
        <v>0.18895042538624032</v>
      </c>
      <c r="AW80" s="150" t="str">
        <f t="shared" ca="1" si="173"/>
        <v/>
      </c>
      <c r="AX80" s="149">
        <f t="shared" ca="1" si="152"/>
        <v>2.7969442050386539E-2</v>
      </c>
      <c r="AY80" s="149">
        <f t="shared" ca="1" si="153"/>
        <v>1.377903859970192E-2</v>
      </c>
      <c r="AZ80" s="149">
        <f t="shared" ca="1" si="154"/>
        <v>7.6578303279356257E-3</v>
      </c>
      <c r="BA80" s="149">
        <f t="shared" ca="1" si="155"/>
        <v>1.0000000000000185E-4</v>
      </c>
      <c r="BB80" s="149">
        <f t="shared" ca="1" si="156"/>
        <v>1.0000000000000185E-4</v>
      </c>
      <c r="BC80" s="149">
        <f t="shared" ca="1" si="157"/>
        <v>1.0000000000000185E-4</v>
      </c>
      <c r="BD80" s="143">
        <f t="shared" ca="1" si="174"/>
        <v>0</v>
      </c>
      <c r="BE80" s="144">
        <f t="shared" ca="1" si="175"/>
        <v>0</v>
      </c>
      <c r="BF80" s="40">
        <f t="shared" si="176"/>
        <v>2006</v>
      </c>
      <c r="BG80" s="139">
        <f t="shared" si="177"/>
        <v>5</v>
      </c>
      <c r="BH80" s="140">
        <f t="shared" ca="1" si="178"/>
        <v>1833</v>
      </c>
      <c r="BI80" s="304">
        <f t="shared" ca="1" si="179"/>
        <v>5.0595482546201236</v>
      </c>
      <c r="BJ80" s="42">
        <f t="shared" ca="1" si="47"/>
        <v>5.1131149004553169</v>
      </c>
      <c r="BK80" s="42">
        <f t="shared" ca="1" si="180"/>
        <v>5.115852751242449</v>
      </c>
      <c r="BL80" s="42">
        <f t="shared" ca="1" si="181"/>
        <v>5.1416837782340865</v>
      </c>
      <c r="BM80" s="285">
        <f t="shared" si="49"/>
        <v>23</v>
      </c>
      <c r="BN80" s="41">
        <f t="shared" si="50"/>
        <v>15</v>
      </c>
      <c r="BO80" s="41">
        <f t="shared" si="51"/>
        <v>8</v>
      </c>
      <c r="BP80" s="297" t="str">
        <f t="shared" ca="1" si="10"/>
        <v/>
      </c>
      <c r="BQ80" s="297" t="str">
        <f t="shared" ca="1" si="11"/>
        <v/>
      </c>
      <c r="BR80" s="299" t="str">
        <f t="shared" ca="1" si="12"/>
        <v/>
      </c>
      <c r="BS80" s="153" t="str">
        <f t="shared" ca="1" si="13"/>
        <v/>
      </c>
      <c r="BT80" s="153" t="str">
        <f t="shared" ca="1" si="14"/>
        <v/>
      </c>
      <c r="BU80" s="300" t="str">
        <f t="shared" ca="1" si="15"/>
        <v/>
      </c>
      <c r="BV80" s="301" t="str">
        <f t="shared" ca="1" si="16"/>
        <v/>
      </c>
      <c r="BW80" s="300" t="str">
        <f t="shared" ca="1" si="17"/>
        <v/>
      </c>
      <c r="BX80" s="301" t="str">
        <f t="shared" ca="1" si="18"/>
        <v/>
      </c>
      <c r="BY80" s="146" t="str">
        <f t="shared" ca="1" si="19"/>
        <v/>
      </c>
      <c r="BZ80" s="146" t="str">
        <f t="shared" ca="1" si="20"/>
        <v/>
      </c>
      <c r="CA80" s="146" t="str">
        <f t="shared" ca="1" si="21"/>
        <v/>
      </c>
      <c r="CB80" s="146" t="str">
        <f t="shared" ca="1" si="22"/>
        <v/>
      </c>
      <c r="CC80" s="302">
        <v>1</v>
      </c>
      <c r="CD80" s="154">
        <f ca="1">IF(BD80,_xll.xCrudeAPO(BS80,BT80,BY80,BZ80,S81,S82,BI80,BL80,BN80,BO80,0,Strike1,AO80,CC80,0,BL80,IF(OptControl=4,0,1),0,1),0)</f>
        <v>0</v>
      </c>
      <c r="CE80" s="155">
        <f ca="1">IF(BD80,_xll.xCrudeAPO(BS80,BT80,BY80,BZ80,S81,S82,BI80,BL80,BN80,BO80,0,Strike1,AO80,CC80,0,BL80,IF(OptControl=4,0,1),1,1)+_xll.xCrudeAPO(BS80,BT80,BY80,BZ80,S81,S82,BI80,BL80,BN80,BO80,0,Strike1,AO80,CC80,0,BL80,IF(OptControl=4,0,1),1,2)+IF(OR(VolSkewFlag=2,ABS(BQ80)&lt;0.0001),0,IF(BQ80&gt;0,-1,1)*CF80*Strike1/BP80^2*BW80/10%),0)</f>
        <v>0</v>
      </c>
      <c r="CF80" s="155">
        <f ca="1">IF(BD80,(_xll.xCrudeAPO(BS80,BT80,BY80,BZ80,S81,S82,BI80,BL80,BN80,BO80,0,Strike1,AO80,CC80,0,BL80,IF(OptControl=4,0,1),3,1)+_xll.xCrudeAPO(BS80,BT80,BY80,BZ80,S81,S82,BI80,BL80,BN80,BO80,0,Strike1,AO80,CC80,0,BL80,IF(OptControl=4,0,1),3,2))/100,0)</f>
        <v>0</v>
      </c>
      <c r="CG80" s="155">
        <f ca="1">IF(BD80,_xll.xCrudeAPO(BS80,BT80,BY80,BZ80,S81,S82,BI80-DaysForThetaCalculation/365.25,BL80-DaysForThetaCalculation/365.25,BN80,BO80,0,Strike1,AO80,CC80,0,BL80,IF(OptControl=4,0,1),0,1)-_xll.xCrudeAPO(BS80,BT80,BY80,BZ80,S81,S82,BI80,BL80,BN80,BO80,0,Strike1,AO80,CC80,0,BL80,IF(OptControl=4,0,1),0,1),0)</f>
        <v>0</v>
      </c>
      <c r="CH80" s="303">
        <f ca="1">IF(BD80,_xll.xCrudeAPO(BS80,BT80,CA80,CB80,S81,S82,BI80,BL80,BN80,BO80,0,Strike2,AO80,CC80,0,BL80,IF(OptControl=3,1,0),0,1),0)</f>
        <v>0</v>
      </c>
      <c r="CI80" s="155">
        <f ca="1">IF(BD80,_xll.xCrudeAPO(BS80,BT80,CA80,CB80,S81,S82,BI80,BL80,BN80,BO80,0,Strike2,AO80,CC80,0,BL80,IF(OptControl=3,1,0),1,1)+_xll.xCrudeAPO(BS80,BT80,CA80,CB80,S81,S82,BI80,BL80,BN80,BO80,0,Strike2,AO80,CC80,0,BL80,IF(OptControl=3,1,0),1,2)+IF(OR(VolSkewFlag=2,ABS(BR80)&lt;0.0001),0,IF(BR80&gt;0,-1,1)*CJ80*Strike2/BP80^2*BX80/10%),0)</f>
        <v>0</v>
      </c>
      <c r="CJ80" s="155">
        <f ca="1">IF(BD80,(_xll.xCrudeAPO(BS80,BT80,CA80,CB80,S81,S82,BI80,BL80,BN80,BO80,0,Strike2,AO80,CC80,0,BL80,IF(OptControl=3,1,0),3,1)+_xll.xCrudeAPO(BS80,BT80,CA80,CB80,S81,S82,BI80,BL80,BN80,BO80,0,Strike2,AO80,CC80,0,BL80,IF(OptControl=3,1,0),3,2))/100,0)</f>
        <v>0</v>
      </c>
      <c r="CK80" s="156">
        <f ca="1">IF(BD80,_xll.xCrudeAPO(BS80,BT80,CA80,CB80,S81,S82,BI80-DaysForThetaCalculation/365.25,BL80-DaysForThetaCalculation/365.25,BN80,BO80,0,Strike2,AO80,CC80,0,BL80,IF(OptControl=3,1,0),0,1)-_xll.xCrudeAPO(BS80,BT80,CA80,CB80,S81,S82,BI80,BL80,BN80,BO80,0,Strike2,AO80,CC80,0,BL80,IF(OptControl=3,1,0),0,1),0)</f>
        <v>0</v>
      </c>
      <c r="CL80" s="51"/>
      <c r="CM80" s="779" t="str">
        <f t="shared" ca="1" si="52"/>
        <v/>
      </c>
      <c r="CN80" s="783" t="str">
        <f t="shared" ca="1" si="53"/>
        <v/>
      </c>
      <c r="CO80" s="780" t="str">
        <f t="shared" ca="1" si="54"/>
        <v/>
      </c>
      <c r="CP80" s="780" t="str">
        <f t="shared" ca="1" si="55"/>
        <v/>
      </c>
      <c r="CQ80" s="780" t="str">
        <f t="shared" ca="1" si="56"/>
        <v/>
      </c>
      <c r="CR80" s="780" t="str">
        <f t="shared" ca="1" si="57"/>
        <v/>
      </c>
      <c r="CS80" s="781" t="str">
        <f t="shared" ca="1" si="58"/>
        <v/>
      </c>
      <c r="CT80" s="782" t="str">
        <f t="shared" ca="1" si="59"/>
        <v/>
      </c>
      <c r="CU80" s="782" t="str">
        <f t="shared" ca="1" si="60"/>
        <v/>
      </c>
      <c r="CV80" s="155">
        <f ca="1">IF(BD80,_xll.EURO(CN80,Strike1,AO80,AO80,CT80,CM80,IF(OptControl=4,0,1),0),0)</f>
        <v>0</v>
      </c>
      <c r="CW80" s="155">
        <f ca="1">IF(BD80,_xll.EURO(CN80,Strike1,AO80,AO80,CT80,CM80,IF(OptControl=4,0,1),1)+IF(OR(VolSkewFlag=2,ABS(CO80)&lt;0.0001),0,IF(CO80&gt;0,-1,1)*CX80*100*Strike1/CN80^2*CQ80/10%),0)</f>
        <v>0</v>
      </c>
      <c r="CX80" s="155">
        <f ca="1">IF(BD80,_xll.EURO(CN80,Strike1,AO80,AO80,CT80,CM80,IF(OptControl=4,0,1),3)/100,0)</f>
        <v>0</v>
      </c>
      <c r="CY80" s="155">
        <f ca="1">IF(BD80,_xll.EURO(CN80,Strike1,AO80,AO80,CT80,CM80,IF(OptControl=4,0,1),0)-_xll.EURO(CN80,Strike1,AO80,AO80,CT80,CM80-1,IF(OptControl=4,0,1),0),0)</f>
        <v>0</v>
      </c>
      <c r="CZ80" s="155">
        <f ca="1">IF(BD80,_xll.EURO(CN80,Strike2,AO80,AO80,CU80,CM80,IF(OptControl=3,1,0),0),0)</f>
        <v>0</v>
      </c>
      <c r="DA80" s="155">
        <f ca="1">IF(BD80,_xll.EURO(CN80,Strike2,AO80,AO80,CU80,CM80,IF(OptControl=3,1,0),1)+IF(OR(VolSkewFlag=2,ABS(CP80)&lt;0.0001),0,IF(CP80&gt;0,-1,1)*DB80*100*Strike2/CN80^2*CR80/10%),0)</f>
        <v>0</v>
      </c>
      <c r="DB80" s="155">
        <f ca="1">IF(BD80,_xll.EURO(CN80,Strike2,AO80,AO80,CU80,CM80,IF(OptControl=3,1,0),3)/100,0)</f>
        <v>0</v>
      </c>
      <c r="DC80" s="156">
        <f ca="1">IF(BD80,_xll.EURO(CN80,Strike2,AO80,AO80,CU80,CM80,IF(OptControl=3,1,0),0)-_xll.EURO(CN80,Strike2,AO80,AO80,CU80,CM80-1,IF(OptControl=3,1,0),0),0)</f>
        <v>0</v>
      </c>
      <c r="DE80" s="651">
        <f t="shared" ca="1" si="61"/>
        <v>38749</v>
      </c>
      <c r="DF80" s="465">
        <v>1E-4</v>
      </c>
      <c r="DG80" s="649">
        <v>1E-4</v>
      </c>
      <c r="DH80" s="650">
        <f t="shared" ca="1" si="182"/>
        <v>38749</v>
      </c>
      <c r="DI80" s="465">
        <v>1E-4</v>
      </c>
      <c r="DJ80" s="649">
        <v>1E-4</v>
      </c>
      <c r="DK80" s="651">
        <f t="shared" ca="1" si="183"/>
        <v>38749</v>
      </c>
      <c r="DL80" s="652">
        <f t="shared" si="184"/>
        <v>5.0100000000000006E-2</v>
      </c>
      <c r="DM80" s="651">
        <f t="shared" ca="1" si="62"/>
        <v>38749</v>
      </c>
      <c r="DN80" s="563">
        <f t="shared" si="63"/>
        <v>-0.12990000000000002</v>
      </c>
      <c r="DO80" s="803">
        <v>-0.13</v>
      </c>
      <c r="DP80" s="650">
        <f t="shared" ca="1" si="185"/>
        <v>38749</v>
      </c>
      <c r="DQ80" s="653">
        <v>1E-4</v>
      </c>
      <c r="DR80" s="590">
        <v>1E-4</v>
      </c>
      <c r="DS80" s="650">
        <f t="shared" ca="1" si="186"/>
        <v>38749</v>
      </c>
      <c r="DT80" s="653">
        <v>1E-4</v>
      </c>
      <c r="DU80" s="590">
        <v>1E-4</v>
      </c>
      <c r="DV80" s="651">
        <f t="shared" ca="1" si="187"/>
        <v>38749</v>
      </c>
      <c r="DW80" s="590">
        <v>1E-4</v>
      </c>
      <c r="DX80" s="651">
        <f t="shared" ca="1" si="64"/>
        <v>38749</v>
      </c>
      <c r="DY80" s="590">
        <f t="shared" si="65"/>
        <v>1E-4</v>
      </c>
      <c r="DZ80" s="1"/>
      <c r="EA80" s="863" t="e">
        <f ca="1">_xll.ASN(X80,X80,AO80,AS80,0,AI80,0,BI80,BL80,1,0)</f>
        <v>#NAME?</v>
      </c>
      <c r="EB80" s="653" t="e">
        <f ca="1">_xll.ASN(X80,X80,AO80,AS80,0,AI80,0,BI80,BL80,1,3)/100</f>
        <v>#NAME?</v>
      </c>
      <c r="EC80" s="653" t="e">
        <f ca="1">_xll.xCrudeAPO(L81,L82,O81,O82,S81,S82,BI80,BL80,AJ80,AK80,0,X80,AO80,1,0,+BL80,1,0,1)</f>
        <v>#NAME?</v>
      </c>
      <c r="ED80" s="869" t="e">
        <f t="shared" ca="1" si="165"/>
        <v>#NAME?</v>
      </c>
      <c r="EE80" s="863" t="e">
        <f t="shared" ca="1" si="29"/>
        <v>#NAME?</v>
      </c>
      <c r="EF80" s="590" t="e">
        <f t="shared" ca="1" si="30"/>
        <v>#NAME?</v>
      </c>
      <c r="EG80" s="862" t="str">
        <f t="shared" ca="1" si="188"/>
        <v/>
      </c>
      <c r="EH80" s="114" t="str">
        <f t="shared" ca="1" si="32"/>
        <v/>
      </c>
      <c r="EI80" s="109" t="str">
        <f t="shared" ca="1" si="33"/>
        <v/>
      </c>
      <c r="EJ80" s="115">
        <f ca="1">IF(BD80,_xll.xASN(BP80,Strike1,AO80,EH80,0,BM80,0,BI80,BL80,IF(OptControl=4,0,1),0),0)</f>
        <v>0</v>
      </c>
      <c r="EK80" s="108">
        <f ca="1">IF(BD80,_xll.xASN(BP80,Strike2,AO80,EI80,0,BM80,0,BI80,BL80,IF(OptControl=3,1,0),0),0)</f>
        <v>0</v>
      </c>
      <c r="EP80" s="53"/>
      <c r="EQ80" s="1"/>
      <c r="ER80" s="681">
        <v>43094</v>
      </c>
      <c r="ES80" s="682">
        <v>47484</v>
      </c>
      <c r="ET80" s="1"/>
      <c r="EU80" s="667" t="s">
        <v>292</v>
      </c>
      <c r="EW80" s="488">
        <v>61</v>
      </c>
      <c r="EX80" s="466">
        <f t="shared" ca="1" si="166"/>
        <v>5.0184804928131417</v>
      </c>
      <c r="EY80" s="824">
        <f t="shared" ca="1" si="189"/>
        <v>0.18761199135523612</v>
      </c>
      <c r="EZ80" s="798">
        <f t="shared" ca="1" si="269"/>
        <v>0.19920093679932505</v>
      </c>
      <c r="FA80" s="468" t="str">
        <f t="shared" ca="1" si="270"/>
        <v/>
      </c>
      <c r="FB80" s="467" t="str">
        <f t="shared" ca="1" si="271"/>
        <v/>
      </c>
      <c r="FC80" s="242">
        <v>0</v>
      </c>
      <c r="FD80" s="589" t="str">
        <f ca="1">IF(OR(FA80="",FA81=""),"",SQRT(SUM(INDEX(FO80:IH80,SwaptionFirstMonthPosition+1):INDEX(FO80:IH80,FN80))/SUM(INDEX($FO$15:$IH$15,SwaptionFirstMonthPosition+1):INDEX($FO$15:$IH$15,FN80))))</f>
        <v/>
      </c>
      <c r="FE80" s="565" t="str">
        <f ca="1">IF(OR(FA80="",FA79=""),"",SQRT(SUM(INDEX(FO80:IH80,SwaptionFirstMonthPosition+1):INDEX(FO80:IH80,FN80-1))/SUM(INDEX($FO$15:$IH$15,SwaptionFirstMonthPosition+1):INDEX($FO$15:$IH$15,FN80-1))))</f>
        <v/>
      </c>
      <c r="FF80" s="562" t="str">
        <f t="shared" ca="1" si="190"/>
        <v/>
      </c>
      <c r="FG80" s="593" t="str">
        <f t="shared" ca="1" si="191"/>
        <v/>
      </c>
      <c r="FH80" s="563" t="str">
        <f t="shared" ca="1" si="192"/>
        <v/>
      </c>
      <c r="FI80" s="563" t="str">
        <f t="shared" ca="1" si="193"/>
        <v/>
      </c>
      <c r="FJ80" s="563" t="str">
        <f t="shared" ca="1" si="194"/>
        <v/>
      </c>
      <c r="FK80" s="564" t="str">
        <f t="shared" ca="1" si="195"/>
        <v/>
      </c>
      <c r="FL80" s="590" t="str">
        <f t="shared" ca="1" si="196"/>
        <v/>
      </c>
      <c r="FM80" s="242"/>
      <c r="FN80" s="657">
        <v>61</v>
      </c>
      <c r="FO80" s="450">
        <f t="shared" ca="1" si="197"/>
        <v>6.5458830040595944E-4</v>
      </c>
      <c r="FP80" s="450">
        <f t="shared" ca="1" si="198"/>
        <v>2.4540511506173329E-3</v>
      </c>
      <c r="FQ80" s="450">
        <f t="shared" ca="1" si="199"/>
        <v>2.3669904906849981E-3</v>
      </c>
      <c r="FR80" s="450">
        <f t="shared" ca="1" si="200"/>
        <v>2.6062201951894811E-3</v>
      </c>
      <c r="FS80" s="450">
        <f t="shared" ca="1" si="201"/>
        <v>2.4382219283552785E-3</v>
      </c>
      <c r="FT80" s="450">
        <f t="shared" ca="1" si="202"/>
        <v>2.5955119833486274E-3</v>
      </c>
      <c r="FU80" s="450">
        <f t="shared" ca="1" si="203"/>
        <v>2.4285544809231727E-3</v>
      </c>
      <c r="FV80" s="450">
        <f t="shared" ca="1" si="204"/>
        <v>2.2624192925439616E-3</v>
      </c>
      <c r="FW80" s="450">
        <f t="shared" ca="1" si="205"/>
        <v>2.4197053341174102E-3</v>
      </c>
      <c r="FX80" s="450">
        <f t="shared" ca="1" si="206"/>
        <v>2.6571868997768314E-3</v>
      </c>
      <c r="FY80" s="450">
        <f t="shared" ca="1" si="207"/>
        <v>2.3314027140797014E-3</v>
      </c>
      <c r="FZ80" s="450">
        <f t="shared" ca="1" si="208"/>
        <v>2.3279650434541842E-3</v>
      </c>
      <c r="GA80" s="450">
        <f t="shared" ca="1" si="209"/>
        <v>2.645475996522022E-3</v>
      </c>
      <c r="GB80" s="450">
        <f t="shared" ca="1" si="210"/>
        <v>2.3219684639919154E-3</v>
      </c>
      <c r="GC80" s="450">
        <f t="shared" ca="1" si="211"/>
        <v>2.5594049441444982E-3</v>
      </c>
      <c r="GD80" s="450">
        <f t="shared" ca="1" si="212"/>
        <v>2.3972268033898882E-3</v>
      </c>
      <c r="GE80" s="450">
        <f t="shared" ca="1" si="213"/>
        <v>2.3155777802711074E-3</v>
      </c>
      <c r="GF80" s="450">
        <f t="shared" ca="1" si="214"/>
        <v>2.6334843532053631E-3</v>
      </c>
      <c r="GG80" s="450">
        <f t="shared" ca="1" si="215"/>
        <v>2.3932247340693394E-3</v>
      </c>
      <c r="GH80" s="450">
        <f t="shared" ca="1" si="216"/>
        <v>2.3131544722501656E-3</v>
      </c>
      <c r="GI80" s="450">
        <f t="shared" ca="1" si="217"/>
        <v>2.4729863715933311E-3</v>
      </c>
      <c r="GJ80" s="450">
        <f t="shared" ca="1" si="218"/>
        <v>2.473974481026992E-3</v>
      </c>
      <c r="GK80" s="450">
        <f t="shared" ca="1" si="219"/>
        <v>2.4757180302992557E-3</v>
      </c>
      <c r="GL80" s="450">
        <f t="shared" ca="1" si="220"/>
        <v>2.2384619302156421E-3</v>
      </c>
      <c r="GM80" s="450">
        <f t="shared" ca="1" si="221"/>
        <v>2.4818018784862157E-3</v>
      </c>
      <c r="GN80" s="450">
        <f t="shared" ca="1" si="222"/>
        <v>2.406129339920821E-3</v>
      </c>
      <c r="GO80" s="450">
        <f t="shared" ca="1" si="223"/>
        <v>2.4920067468110273E-3</v>
      </c>
      <c r="GP80" s="450">
        <f t="shared" ca="1" si="224"/>
        <v>2.4183388878438604E-3</v>
      </c>
      <c r="GQ80" s="450">
        <f t="shared" ca="1" si="225"/>
        <v>2.507309848888457E-3</v>
      </c>
      <c r="GR80" s="450">
        <f t="shared" ca="1" si="226"/>
        <v>2.5172510012882046E-3</v>
      </c>
      <c r="GS80" s="450">
        <f t="shared" ca="1" si="227"/>
        <v>2.4473818328729045E-3</v>
      </c>
      <c r="GT80" s="450">
        <f t="shared" ca="1" si="228"/>
        <v>2.5426539281886555E-3</v>
      </c>
      <c r="GU80" s="450">
        <f t="shared" ca="1" si="229"/>
        <v>2.4760378692840761E-3</v>
      </c>
      <c r="GV80" s="450">
        <f t="shared" ca="1" si="230"/>
        <v>2.5769951046395174E-3</v>
      </c>
      <c r="GW80" s="450">
        <f t="shared" ca="1" si="231"/>
        <v>2.5982409541779696E-3</v>
      </c>
      <c r="GX80" s="450">
        <f t="shared" ca="1" si="232"/>
        <v>2.4534721404856057E-3</v>
      </c>
      <c r="GY80" s="450">
        <f t="shared" ca="1" si="233"/>
        <v>2.6507273637297996E-3</v>
      </c>
      <c r="GZ80" s="450">
        <f t="shared" ca="1" si="234"/>
        <v>2.596338124252153E-3</v>
      </c>
      <c r="HA80" s="450">
        <f t="shared" ca="1" si="235"/>
        <v>2.719714481371178E-3</v>
      </c>
      <c r="HB80" s="450">
        <f t="shared" ca="1" si="236"/>
        <v>2.6727969399215476E-3</v>
      </c>
      <c r="HC80" s="450">
        <f t="shared" ca="1" si="237"/>
        <v>2.810193555219958E-3</v>
      </c>
      <c r="HD80" s="450">
        <f t="shared" ca="1" si="238"/>
        <v>2.8655495456867907E-3</v>
      </c>
      <c r="HE80" s="450">
        <f t="shared" ca="1" si="239"/>
        <v>2.8345699943806498E-3</v>
      </c>
      <c r="HF80" s="450">
        <f t="shared" ca="1" si="240"/>
        <v>3.0020219781396029E-3</v>
      </c>
      <c r="HG80" s="450">
        <f t="shared" ca="1" si="241"/>
        <v>2.9864731915854388E-3</v>
      </c>
      <c r="HH80" s="450">
        <f t="shared" ca="1" si="242"/>
        <v>3.1829602207362104E-3</v>
      </c>
      <c r="HI80" s="450">
        <f t="shared" ca="1" si="243"/>
        <v>3.2951552509932519E-3</v>
      </c>
      <c r="HJ80" s="450">
        <f t="shared" ca="1" si="244"/>
        <v>3.0939603206030417E-3</v>
      </c>
      <c r="HK80" s="450">
        <f t="shared" ca="1" si="245"/>
        <v>3.577391053327641E-3</v>
      </c>
      <c r="HL80" s="450">
        <f t="shared" ca="1" si="246"/>
        <v>3.6342294762795042E-3</v>
      </c>
      <c r="HM80" s="450">
        <f t="shared" ca="1" si="247"/>
        <v>3.9649611184534202E-3</v>
      </c>
      <c r="HN80" s="450">
        <f t="shared" ca="1" si="248"/>
        <v>4.0773525265255222E-3</v>
      </c>
      <c r="HO80" s="450">
        <f t="shared" ca="1" si="249"/>
        <v>4.5094421657901115E-3</v>
      </c>
      <c r="HP80" s="450">
        <f t="shared" ca="1" si="250"/>
        <v>4.8654623050491336E-3</v>
      </c>
      <c r="HQ80" s="450">
        <f t="shared" ca="1" si="251"/>
        <v>5.1262894081983571E-3</v>
      </c>
      <c r="HR80" s="450">
        <f t="shared" ca="1" si="252"/>
        <v>5.8258254459595251E-3</v>
      </c>
      <c r="HS80" s="450">
        <f t="shared" ca="1" si="253"/>
        <v>6.2714140353594293E-3</v>
      </c>
      <c r="HT80" s="450">
        <f t="shared" ca="1" si="254"/>
        <v>7.3013440467611978E-3</v>
      </c>
      <c r="HU80" s="450">
        <f t="shared" ca="1" si="255"/>
        <v>8.3454164487279884E-3</v>
      </c>
      <c r="HV80" s="450">
        <f t="shared" ca="1" si="256"/>
        <v>8.7566548602393615E-3</v>
      </c>
      <c r="HW80" s="450">
        <f t="shared" ca="1" si="257"/>
        <v>1.1471051223651177E-2</v>
      </c>
      <c r="HX80" s="450" t="str">
        <f t="shared" si="258"/>
        <v/>
      </c>
      <c r="HY80" s="450" t="str">
        <f t="shared" si="259"/>
        <v/>
      </c>
      <c r="HZ80" s="450" t="str">
        <f t="shared" si="260"/>
        <v/>
      </c>
      <c r="IA80" s="450" t="str">
        <f t="shared" si="261"/>
        <v/>
      </c>
      <c r="IB80" s="450" t="str">
        <f t="shared" si="262"/>
        <v/>
      </c>
      <c r="IC80" s="450" t="str">
        <f t="shared" si="263"/>
        <v/>
      </c>
      <c r="ID80" s="450" t="str">
        <f t="shared" si="264"/>
        <v/>
      </c>
      <c r="IE80" s="450" t="str">
        <f t="shared" si="265"/>
        <v/>
      </c>
      <c r="IF80" s="450" t="str">
        <f t="shared" si="266"/>
        <v/>
      </c>
      <c r="IG80" s="450" t="str">
        <f t="shared" si="267"/>
        <v/>
      </c>
      <c r="IH80" s="658" t="str">
        <f t="shared" si="268"/>
        <v/>
      </c>
      <c r="II80" s="242"/>
    </row>
    <row r="81" spans="8:243">
      <c r="H81" s="49" t="e">
        <f t="shared" ca="1" si="34"/>
        <v>#N/A</v>
      </c>
      <c r="I81" s="369">
        <f t="shared" si="35"/>
        <v>38869</v>
      </c>
      <c r="J81" s="367">
        <v>21.81</v>
      </c>
      <c r="K81" s="101" t="s">
        <v>268</v>
      </c>
      <c r="L81" s="382">
        <f t="shared" si="36"/>
        <v>21.810000000000002</v>
      </c>
      <c r="M81" s="163">
        <v>0.19294999999999998</v>
      </c>
      <c r="N81" s="372">
        <v>0</v>
      </c>
      <c r="O81" s="163">
        <f t="shared" si="37"/>
        <v>0.19294999999999998</v>
      </c>
      <c r="P81" s="367">
        <v>20.332051160697098</v>
      </c>
      <c r="Q81" s="101" t="s">
        <v>267</v>
      </c>
      <c r="R81" s="367">
        <f t="shared" ca="1" si="147"/>
        <v>20.332051160697091</v>
      </c>
      <c r="S81" s="814">
        <f t="shared" si="163"/>
        <v>0.36735783211953815</v>
      </c>
      <c r="T81" s="813">
        <f t="shared" si="148"/>
        <v>0.9998737427082145</v>
      </c>
      <c r="U81" s="532">
        <f t="shared" si="149"/>
        <v>0.99999999964121988</v>
      </c>
      <c r="V81" s="379">
        <v>0</v>
      </c>
      <c r="W81" s="424">
        <f t="shared" si="168"/>
        <v>21.775909090909092</v>
      </c>
      <c r="X81" s="405">
        <f t="shared" si="169"/>
        <v>21.775909090909092</v>
      </c>
      <c r="Y81" s="313">
        <f t="shared" si="170"/>
        <v>20.431909090909091</v>
      </c>
      <c r="Z81" s="313">
        <f t="shared" ca="1" si="171"/>
        <v>20.431909090909091</v>
      </c>
      <c r="AA81" s="419">
        <f t="shared" si="1"/>
        <v>1.3440000000000001</v>
      </c>
      <c r="AB81" s="423">
        <f t="shared" ca="1" si="2"/>
        <v>1.3440000000000001</v>
      </c>
      <c r="AC81" s="221">
        <v>38857</v>
      </c>
      <c r="AD81" s="221">
        <v>38853</v>
      </c>
      <c r="AE81" s="221">
        <v>38852</v>
      </c>
      <c r="AF81" s="221">
        <v>38848</v>
      </c>
      <c r="AG81" s="241" t="s">
        <v>90</v>
      </c>
      <c r="AH81" s="239" t="s">
        <v>497</v>
      </c>
      <c r="AI81" s="141">
        <v>22</v>
      </c>
      <c r="AJ81" s="41">
        <v>14</v>
      </c>
      <c r="AK81" s="41">
        <v>8</v>
      </c>
      <c r="AL81" s="285">
        <v>22</v>
      </c>
      <c r="AM81" s="41">
        <v>10</v>
      </c>
      <c r="AN81" s="142">
        <v>12</v>
      </c>
      <c r="AO81" s="364">
        <v>5.3978887643524799E-2</v>
      </c>
      <c r="AP81" s="145">
        <f t="shared" ca="1" si="41"/>
        <v>0.75711669867588249</v>
      </c>
      <c r="AQ81" s="364">
        <v>4.6066571499992402E-2</v>
      </c>
      <c r="AR81" s="145">
        <f t="shared" ca="1" si="151"/>
        <v>0.7927061356720555</v>
      </c>
      <c r="AS81" s="264">
        <f t="shared" si="172"/>
        <v>0.19172272727272729</v>
      </c>
      <c r="AT81" s="149">
        <f t="shared" si="42"/>
        <v>0.19294999999999998</v>
      </c>
      <c r="AU81" s="149">
        <f t="shared" si="4"/>
        <v>0.1915590909090909</v>
      </c>
      <c r="AV81" s="263">
        <f t="shared" ca="1" si="164"/>
        <v>0.18875996189579164</v>
      </c>
      <c r="AW81" s="150" t="str">
        <f t="shared" ca="1" si="173"/>
        <v/>
      </c>
      <c r="AX81" s="149">
        <f t="shared" ca="1" si="152"/>
        <v>2.7576521350511106E-2</v>
      </c>
      <c r="AY81" s="149">
        <f t="shared" ca="1" si="153"/>
        <v>1.3541958273648009E-2</v>
      </c>
      <c r="AZ81" s="149">
        <f t="shared" ca="1" si="154"/>
        <v>7.5665649977237227E-3</v>
      </c>
      <c r="BA81" s="149">
        <f t="shared" ca="1" si="155"/>
        <v>1.000000000000019E-4</v>
      </c>
      <c r="BB81" s="149">
        <f t="shared" ca="1" si="156"/>
        <v>1.000000000000019E-4</v>
      </c>
      <c r="BC81" s="149">
        <f t="shared" ca="1" si="157"/>
        <v>1.000000000000019E-4</v>
      </c>
      <c r="BD81" s="143">
        <f t="shared" ca="1" si="174"/>
        <v>0</v>
      </c>
      <c r="BE81" s="144">
        <f t="shared" ca="1" si="175"/>
        <v>0</v>
      </c>
      <c r="BF81" s="40">
        <f t="shared" si="176"/>
        <v>2006</v>
      </c>
      <c r="BG81" s="139">
        <f t="shared" si="177"/>
        <v>6</v>
      </c>
      <c r="BH81" s="140">
        <f t="shared" ca="1" si="178"/>
        <v>1863</v>
      </c>
      <c r="BI81" s="304">
        <f t="shared" ca="1" si="179"/>
        <v>5.1444216290212186</v>
      </c>
      <c r="BJ81" s="42">
        <f t="shared" ca="1" si="47"/>
        <v>5.1949474208201112</v>
      </c>
      <c r="BK81" s="42">
        <f t="shared" ca="1" si="180"/>
        <v>5.1976852716072433</v>
      </c>
      <c r="BL81" s="42">
        <f t="shared" ca="1" si="181"/>
        <v>5.2238193018480494</v>
      </c>
      <c r="BM81" s="285">
        <f t="shared" si="49"/>
        <v>22</v>
      </c>
      <c r="BN81" s="41">
        <f t="shared" si="50"/>
        <v>14</v>
      </c>
      <c r="BO81" s="41">
        <f t="shared" si="51"/>
        <v>8</v>
      </c>
      <c r="BP81" s="297" t="str">
        <f t="shared" ca="1" si="10"/>
        <v/>
      </c>
      <c r="BQ81" s="297" t="str">
        <f t="shared" ca="1" si="11"/>
        <v/>
      </c>
      <c r="BR81" s="299" t="str">
        <f t="shared" ca="1" si="12"/>
        <v/>
      </c>
      <c r="BS81" s="153" t="str">
        <f t="shared" ca="1" si="13"/>
        <v/>
      </c>
      <c r="BT81" s="153" t="str">
        <f t="shared" ca="1" si="14"/>
        <v/>
      </c>
      <c r="BU81" s="300" t="str">
        <f t="shared" ca="1" si="15"/>
        <v/>
      </c>
      <c r="BV81" s="301" t="str">
        <f t="shared" ca="1" si="16"/>
        <v/>
      </c>
      <c r="BW81" s="300" t="str">
        <f t="shared" ca="1" si="17"/>
        <v/>
      </c>
      <c r="BX81" s="301" t="str">
        <f t="shared" ca="1" si="18"/>
        <v/>
      </c>
      <c r="BY81" s="146" t="str">
        <f t="shared" ca="1" si="19"/>
        <v/>
      </c>
      <c r="BZ81" s="146" t="str">
        <f t="shared" ca="1" si="20"/>
        <v/>
      </c>
      <c r="CA81" s="146" t="str">
        <f t="shared" ca="1" si="21"/>
        <v/>
      </c>
      <c r="CB81" s="146" t="str">
        <f t="shared" ca="1" si="22"/>
        <v/>
      </c>
      <c r="CC81" s="302">
        <v>1</v>
      </c>
      <c r="CD81" s="154">
        <f ca="1">IF(BD81,_xll.xCrudeAPO(BS81,BT81,BY81,BZ81,S82,S83,BI81,BL81,BN81,BO81,0,Strike1,AO81,CC81,0,BL81,IF(OptControl=4,0,1),0,1),0)</f>
        <v>0</v>
      </c>
      <c r="CE81" s="155">
        <f ca="1">IF(BD81,_xll.xCrudeAPO(BS81,BT81,BY81,BZ81,S82,S83,BI81,BL81,BN81,BO81,0,Strike1,AO81,CC81,0,BL81,IF(OptControl=4,0,1),1,1)+_xll.xCrudeAPO(BS81,BT81,BY81,BZ81,S82,S83,BI81,BL81,BN81,BO81,0,Strike1,AO81,CC81,0,BL81,IF(OptControl=4,0,1),1,2)+IF(OR(VolSkewFlag=2,ABS(BQ81)&lt;0.0001),0,IF(BQ81&gt;0,-1,1)*CF81*Strike1/BP81^2*BW81/10%),0)</f>
        <v>0</v>
      </c>
      <c r="CF81" s="155">
        <f ca="1">IF(BD81,(_xll.xCrudeAPO(BS81,BT81,BY81,BZ81,S82,S83,BI81,BL81,BN81,BO81,0,Strike1,AO81,CC81,0,BL81,IF(OptControl=4,0,1),3,1)+_xll.xCrudeAPO(BS81,BT81,BY81,BZ81,S82,S83,BI81,BL81,BN81,BO81,0,Strike1,AO81,CC81,0,BL81,IF(OptControl=4,0,1),3,2))/100,0)</f>
        <v>0</v>
      </c>
      <c r="CG81" s="155">
        <f ca="1">IF(BD81,_xll.xCrudeAPO(BS81,BT81,BY81,BZ81,S82,S83,BI81-DaysForThetaCalculation/365.25,BL81-DaysForThetaCalculation/365.25,BN81,BO81,0,Strike1,AO81,CC81,0,BL81,IF(OptControl=4,0,1),0,1)-_xll.xCrudeAPO(BS81,BT81,BY81,BZ81,S82,S83,BI81,BL81,BN81,BO81,0,Strike1,AO81,CC81,0,BL81,IF(OptControl=4,0,1),0,1),0)</f>
        <v>0</v>
      </c>
      <c r="CH81" s="303">
        <f ca="1">IF(BD81,_xll.xCrudeAPO(BS81,BT81,CA81,CB81,S82,S83,BI81,BL81,BN81,BO81,0,Strike2,AO81,CC81,0,BL81,IF(OptControl=3,1,0),0,1),0)</f>
        <v>0</v>
      </c>
      <c r="CI81" s="155">
        <f ca="1">IF(BD81,_xll.xCrudeAPO(BS81,BT81,CA81,CB81,S82,S83,BI81,BL81,BN81,BO81,0,Strike2,AO81,CC81,0,BL81,IF(OptControl=3,1,0),1,1)+_xll.xCrudeAPO(BS81,BT81,CA81,CB81,S82,S83,BI81,BL81,BN81,BO81,0,Strike2,AO81,CC81,0,BL81,IF(OptControl=3,1,0),1,2)+IF(OR(VolSkewFlag=2,ABS(BR81)&lt;0.0001),0,IF(BR81&gt;0,-1,1)*CJ81*Strike2/BP81^2*BX81/10%),0)</f>
        <v>0</v>
      </c>
      <c r="CJ81" s="155">
        <f ca="1">IF(BD81,(_xll.xCrudeAPO(BS81,BT81,CA81,CB81,S82,S83,BI81,BL81,BN81,BO81,0,Strike2,AO81,CC81,0,BL81,IF(OptControl=3,1,0),3,1)+_xll.xCrudeAPO(BS81,BT81,CA81,CB81,S82,S83,BI81,BL81,BN81,BO81,0,Strike2,AO81,CC81,0,BL81,IF(OptControl=3,1,0),3,2))/100,0)</f>
        <v>0</v>
      </c>
      <c r="CK81" s="156">
        <f ca="1">IF(BD81,_xll.xCrudeAPO(BS81,BT81,CA81,CB81,S82,S83,BI81-DaysForThetaCalculation/365.25,BL81-DaysForThetaCalculation/365.25,BN81,BO81,0,Strike2,AO81,CC81,0,BL81,IF(OptControl=3,1,0),0,1)-_xll.xCrudeAPO(BS81,BT81,CA81,CB81,S82,S83,BI81,BL81,BN81,BO81,0,Strike2,AO81,CC81,0,BL81,IF(OptControl=3,1,0),0,1),0)</f>
        <v>0</v>
      </c>
      <c r="CL81" s="51"/>
      <c r="CM81" s="779" t="str">
        <f t="shared" ca="1" si="52"/>
        <v/>
      </c>
      <c r="CN81" s="783" t="str">
        <f t="shared" ca="1" si="53"/>
        <v/>
      </c>
      <c r="CO81" s="780" t="str">
        <f t="shared" ca="1" si="54"/>
        <v/>
      </c>
      <c r="CP81" s="780" t="str">
        <f t="shared" ca="1" si="55"/>
        <v/>
      </c>
      <c r="CQ81" s="780" t="str">
        <f t="shared" ca="1" si="56"/>
        <v/>
      </c>
      <c r="CR81" s="780" t="str">
        <f t="shared" ca="1" si="57"/>
        <v/>
      </c>
      <c r="CS81" s="781" t="str">
        <f t="shared" ca="1" si="58"/>
        <v/>
      </c>
      <c r="CT81" s="782" t="str">
        <f t="shared" ca="1" si="59"/>
        <v/>
      </c>
      <c r="CU81" s="782" t="str">
        <f t="shared" ca="1" si="60"/>
        <v/>
      </c>
      <c r="CV81" s="155">
        <f ca="1">IF(BD81,_xll.EURO(CN81,Strike1,AO81,AO81,CT81,CM81,IF(OptControl=4,0,1),0),0)</f>
        <v>0</v>
      </c>
      <c r="CW81" s="155">
        <f ca="1">IF(BD81,_xll.EURO(CN81,Strike1,AO81,AO81,CT81,CM81,IF(OptControl=4,0,1),1)+IF(OR(VolSkewFlag=2,ABS(CO81)&lt;0.0001),0,IF(CO81&gt;0,-1,1)*CX81*100*Strike1/CN81^2*CQ81/10%),0)</f>
        <v>0</v>
      </c>
      <c r="CX81" s="155">
        <f ca="1">IF(BD81,_xll.EURO(CN81,Strike1,AO81,AO81,CT81,CM81,IF(OptControl=4,0,1),3)/100,0)</f>
        <v>0</v>
      </c>
      <c r="CY81" s="155">
        <f ca="1">IF(BD81,_xll.EURO(CN81,Strike1,AO81,AO81,CT81,CM81,IF(OptControl=4,0,1),0)-_xll.EURO(CN81,Strike1,AO81,AO81,CT81,CM81-1,IF(OptControl=4,0,1),0),0)</f>
        <v>0</v>
      </c>
      <c r="CZ81" s="155">
        <f ca="1">IF(BD81,_xll.EURO(CN81,Strike2,AO81,AO81,CU81,CM81,IF(OptControl=3,1,0),0),0)</f>
        <v>0</v>
      </c>
      <c r="DA81" s="155">
        <f ca="1">IF(BD81,_xll.EURO(CN81,Strike2,AO81,AO81,CU81,CM81,IF(OptControl=3,1,0),1)+IF(OR(VolSkewFlag=2,ABS(CP81)&lt;0.0001),0,IF(CP81&gt;0,-1,1)*DB81*100*Strike2/CN81^2*CR81/10%),0)</f>
        <v>0</v>
      </c>
      <c r="DB81" s="155">
        <f ca="1">IF(BD81,_xll.EURO(CN81,Strike2,AO81,AO81,CU81,CM81,IF(OptControl=3,1,0),3)/100,0)</f>
        <v>0</v>
      </c>
      <c r="DC81" s="156">
        <f ca="1">IF(BD81,_xll.EURO(CN81,Strike2,AO81,AO81,CU81,CM81,IF(OptControl=3,1,0),0)-_xll.EURO(CN81,Strike2,AO81,AO81,CU81,CM81-1,IF(OptControl=3,1,0),0),0)</f>
        <v>0</v>
      </c>
      <c r="DE81" s="651">
        <f t="shared" ca="1" si="61"/>
        <v>38777</v>
      </c>
      <c r="DF81" s="465">
        <v>1E-4</v>
      </c>
      <c r="DG81" s="649">
        <v>1E-4</v>
      </c>
      <c r="DH81" s="650">
        <f t="shared" ca="1" si="182"/>
        <v>38777</v>
      </c>
      <c r="DI81" s="465">
        <v>1E-4</v>
      </c>
      <c r="DJ81" s="649">
        <v>1E-4</v>
      </c>
      <c r="DK81" s="651">
        <f t="shared" ca="1" si="183"/>
        <v>38777</v>
      </c>
      <c r="DL81" s="652">
        <f t="shared" si="184"/>
        <v>5.0100000000000006E-2</v>
      </c>
      <c r="DM81" s="651">
        <f t="shared" ca="1" si="62"/>
        <v>38777</v>
      </c>
      <c r="DN81" s="563">
        <f t="shared" si="63"/>
        <v>-0.12990000000000002</v>
      </c>
      <c r="DO81" s="803">
        <v>-0.13</v>
      </c>
      <c r="DP81" s="650">
        <f t="shared" ca="1" si="185"/>
        <v>38777</v>
      </c>
      <c r="DQ81" s="653">
        <v>1E-4</v>
      </c>
      <c r="DR81" s="590">
        <v>1E-4</v>
      </c>
      <c r="DS81" s="650">
        <f t="shared" ca="1" si="186"/>
        <v>38777</v>
      </c>
      <c r="DT81" s="653">
        <v>1E-4</v>
      </c>
      <c r="DU81" s="590">
        <v>1E-4</v>
      </c>
      <c r="DV81" s="651">
        <f t="shared" ca="1" si="187"/>
        <v>38777</v>
      </c>
      <c r="DW81" s="590">
        <v>1E-4</v>
      </c>
      <c r="DX81" s="651">
        <f t="shared" ca="1" si="64"/>
        <v>38777</v>
      </c>
      <c r="DY81" s="590">
        <f t="shared" si="65"/>
        <v>1E-4</v>
      </c>
      <c r="DZ81" s="1"/>
      <c r="EA81" s="863" t="e">
        <f ca="1">_xll.ASN(X81,X81,AO81,AS81,0,AI81,0,BI81,BL81,1,0)</f>
        <v>#NAME?</v>
      </c>
      <c r="EB81" s="653" t="e">
        <f ca="1">_xll.ASN(X81,X81,AO81,AS81,0,AI81,0,BI81,BL81,1,3)/100</f>
        <v>#NAME?</v>
      </c>
      <c r="EC81" s="653" t="e">
        <f ca="1">_xll.xCrudeAPO(L82,L83,O82,O83,S82,S83,BI81,BL81,AJ81,AK81,0,X81,AO81,1,0,+BL81,1,0,1)</f>
        <v>#NAME?</v>
      </c>
      <c r="ED81" s="869" t="e">
        <f t="shared" ca="1" si="165"/>
        <v>#NAME?</v>
      </c>
      <c r="EE81" s="863" t="e">
        <f t="shared" ca="1" si="29"/>
        <v>#NAME?</v>
      </c>
      <c r="EF81" s="590" t="e">
        <f t="shared" ca="1" si="30"/>
        <v>#NAME?</v>
      </c>
      <c r="EG81" s="862" t="str">
        <f t="shared" ca="1" si="188"/>
        <v/>
      </c>
      <c r="EH81" s="114" t="str">
        <f t="shared" ca="1" si="32"/>
        <v/>
      </c>
      <c r="EI81" s="109" t="str">
        <f t="shared" ca="1" si="33"/>
        <v/>
      </c>
      <c r="EJ81" s="115">
        <f ca="1">IF(BD81,_xll.xASN(BP81,Strike1,AO81,EH81,0,BM81,0,BI81,BL81,IF(OptControl=4,0,1),0),0)</f>
        <v>0</v>
      </c>
      <c r="EK81" s="108">
        <f ca="1">IF(BD81,_xll.xASN(BP81,Strike2,AO81,EI81,0,BM81,0,BI81,BL81,IF(OptControl=3,1,0),0),0)</f>
        <v>0</v>
      </c>
      <c r="EP81" s="53"/>
      <c r="EQ81" s="1"/>
      <c r="ER81" s="681">
        <v>43101</v>
      </c>
      <c r="ES81" s="682">
        <v>47842</v>
      </c>
      <c r="ET81" s="1"/>
      <c r="EU81" s="667" t="s">
        <v>293</v>
      </c>
      <c r="EW81" s="488">
        <v>62</v>
      </c>
      <c r="EX81" s="466">
        <f t="shared" ca="1" si="166"/>
        <v>5.1006160164271046</v>
      </c>
      <c r="EY81" s="824">
        <f t="shared" ca="1" si="189"/>
        <v>0.18989441685831621</v>
      </c>
      <c r="EZ81" s="798">
        <f t="shared" ca="1" si="269"/>
        <v>0.19857632054461435</v>
      </c>
      <c r="FA81" s="468" t="str">
        <f t="shared" ca="1" si="270"/>
        <v/>
      </c>
      <c r="FB81" s="467" t="str">
        <f t="shared" ca="1" si="271"/>
        <v/>
      </c>
      <c r="FC81" s="242">
        <v>0</v>
      </c>
      <c r="FD81" s="589" t="str">
        <f ca="1">IF(OR(FA81="",FA82=""),"",SQRT(SUM(INDEX(FO81:IH81,SwaptionFirstMonthPosition+1):INDEX(FO81:IH81,FN81))/SUM(INDEX($FO$15:$IH$15,SwaptionFirstMonthPosition+1):INDEX($FO$15:$IH$15,FN81))))</f>
        <v/>
      </c>
      <c r="FE81" s="565" t="str">
        <f ca="1">IF(OR(FA81="",FA80=""),"",SQRT(SUM(INDEX(FO81:IH81,SwaptionFirstMonthPosition+1):INDEX(FO81:IH81,FN81-1))/SUM(INDEX($FO$15:$IH$15,SwaptionFirstMonthPosition+1):INDEX($FO$15:$IH$15,FN81-1))))</f>
        <v/>
      </c>
      <c r="FF81" s="562" t="str">
        <f t="shared" ca="1" si="190"/>
        <v/>
      </c>
      <c r="FG81" s="593" t="str">
        <f t="shared" ca="1" si="191"/>
        <v/>
      </c>
      <c r="FH81" s="563" t="str">
        <f t="shared" ca="1" si="192"/>
        <v/>
      </c>
      <c r="FI81" s="563" t="str">
        <f t="shared" ca="1" si="193"/>
        <v/>
      </c>
      <c r="FJ81" s="563" t="str">
        <f t="shared" ca="1" si="194"/>
        <v/>
      </c>
      <c r="FK81" s="564" t="str">
        <f t="shared" ca="1" si="195"/>
        <v/>
      </c>
      <c r="FL81" s="590" t="str">
        <f t="shared" ca="1" si="196"/>
        <v/>
      </c>
      <c r="FM81" s="242"/>
      <c r="FN81" s="657">
        <v>62</v>
      </c>
      <c r="FO81" s="450">
        <f t="shared" ca="1" si="197"/>
        <v>6.5440465326977685E-4</v>
      </c>
      <c r="FP81" s="450">
        <f t="shared" ca="1" si="198"/>
        <v>2.4532861583897716E-3</v>
      </c>
      <c r="FQ81" s="450">
        <f t="shared" ca="1" si="199"/>
        <v>2.3661706538714322E-3</v>
      </c>
      <c r="FR81" s="450">
        <f t="shared" ca="1" si="200"/>
        <v>2.6052171985015467E-3</v>
      </c>
      <c r="FS81" s="450">
        <f t="shared" ca="1" si="201"/>
        <v>2.43717932500405E-3</v>
      </c>
      <c r="FT81" s="450">
        <f t="shared" ca="1" si="202"/>
        <v>2.5942788035189955E-3</v>
      </c>
      <c r="FU81" s="450">
        <f t="shared" ca="1" si="203"/>
        <v>2.4272724198456711E-3</v>
      </c>
      <c r="FV81" s="450">
        <f t="shared" ca="1" si="204"/>
        <v>2.2610922298183112E-3</v>
      </c>
      <c r="FW81" s="450">
        <f t="shared" ca="1" si="205"/>
        <v>2.4181283100261613E-3</v>
      </c>
      <c r="FX81" s="450">
        <f t="shared" ca="1" si="206"/>
        <v>2.655262676609464E-3</v>
      </c>
      <c r="FY81" s="450">
        <f t="shared" ca="1" si="207"/>
        <v>2.3295268208119121E-3</v>
      </c>
      <c r="FZ81" s="450">
        <f t="shared" ca="1" si="208"/>
        <v>2.3258837909550432E-3</v>
      </c>
      <c r="GA81" s="450">
        <f t="shared" ca="1" si="209"/>
        <v>2.6428480916893529E-3</v>
      </c>
      <c r="GB81" s="450">
        <f t="shared" ca="1" si="210"/>
        <v>2.3194056350736444E-3</v>
      </c>
      <c r="GC81" s="450">
        <f t="shared" ca="1" si="211"/>
        <v>2.5562661719699697E-3</v>
      </c>
      <c r="GD81" s="450">
        <f t="shared" ca="1" si="212"/>
        <v>2.3939602677212368E-3</v>
      </c>
      <c r="GE81" s="450">
        <f t="shared" ca="1" si="213"/>
        <v>2.3120719156324355E-3</v>
      </c>
      <c r="GF81" s="450">
        <f t="shared" ca="1" si="214"/>
        <v>2.6290541463645186E-3</v>
      </c>
      <c r="GG81" s="450">
        <f t="shared" ca="1" si="215"/>
        <v>2.3887513701122158E-3</v>
      </c>
      <c r="GH81" s="450">
        <f t="shared" ca="1" si="216"/>
        <v>2.3083503629679545E-3</v>
      </c>
      <c r="GI81" s="450">
        <f t="shared" ca="1" si="217"/>
        <v>2.4672796398817333E-3</v>
      </c>
      <c r="GJ81" s="450">
        <f t="shared" ca="1" si="218"/>
        <v>2.4676311344711687E-3</v>
      </c>
      <c r="GK81" s="450">
        <f t="shared" ca="1" si="219"/>
        <v>2.4686649002218009E-3</v>
      </c>
      <c r="GL81" s="450">
        <f t="shared" ca="1" si="220"/>
        <v>2.2313761460897993E-3</v>
      </c>
      <c r="GM81" s="450">
        <f t="shared" ca="1" si="221"/>
        <v>2.4730729124459927E-3</v>
      </c>
      <c r="GN81" s="450">
        <f t="shared" ca="1" si="222"/>
        <v>2.3967262161131556E-3</v>
      </c>
      <c r="GO81" s="450">
        <f t="shared" ca="1" si="223"/>
        <v>2.481185933860524E-3</v>
      </c>
      <c r="GP81" s="450">
        <f t="shared" ca="1" si="224"/>
        <v>2.4066711859049962E-3</v>
      </c>
      <c r="GQ81" s="450">
        <f t="shared" ca="1" si="225"/>
        <v>2.4938687844305988E-3</v>
      </c>
      <c r="GR81" s="450">
        <f t="shared" ca="1" si="226"/>
        <v>2.5022572718401879E-3</v>
      </c>
      <c r="GS81" s="450">
        <f t="shared" ca="1" si="227"/>
        <v>2.4311845424162789E-3</v>
      </c>
      <c r="GT81" s="450">
        <f t="shared" ca="1" si="228"/>
        <v>2.5239563489350622E-3</v>
      </c>
      <c r="GU81" s="450">
        <f t="shared" ca="1" si="229"/>
        <v>2.4558070764880632E-3</v>
      </c>
      <c r="GV81" s="450">
        <f t="shared" ca="1" si="230"/>
        <v>2.553599907801032E-3</v>
      </c>
      <c r="GW81" s="450">
        <f t="shared" ca="1" si="231"/>
        <v>2.5720319799060138E-3</v>
      </c>
      <c r="GX81" s="450">
        <f t="shared" ca="1" si="232"/>
        <v>2.4259736267086217E-3</v>
      </c>
      <c r="GY81" s="450">
        <f t="shared" ca="1" si="233"/>
        <v>2.6177169746626531E-3</v>
      </c>
      <c r="GZ81" s="450">
        <f t="shared" ca="1" si="234"/>
        <v>2.5604125000446005E-3</v>
      </c>
      <c r="HA81" s="450">
        <f t="shared" ca="1" si="235"/>
        <v>2.6779002732512012E-3</v>
      </c>
      <c r="HB81" s="450">
        <f t="shared" ca="1" si="236"/>
        <v>2.6271381898032176E-3</v>
      </c>
      <c r="HC81" s="450">
        <f t="shared" ca="1" si="237"/>
        <v>2.756853706778192E-3</v>
      </c>
      <c r="HD81" s="450">
        <f t="shared" ca="1" si="238"/>
        <v>2.8051155991094621E-3</v>
      </c>
      <c r="HE81" s="450">
        <f t="shared" ca="1" si="239"/>
        <v>2.7681471130764162E-3</v>
      </c>
      <c r="HF81" s="450">
        <f t="shared" ca="1" si="240"/>
        <v>2.9238588587787704E-3</v>
      </c>
      <c r="HG81" s="450">
        <f t="shared" ca="1" si="241"/>
        <v>2.9000751045473454E-3</v>
      </c>
      <c r="HH81" s="450">
        <f t="shared" ca="1" si="242"/>
        <v>3.0806464224313931E-3</v>
      </c>
      <c r="HI81" s="450">
        <f t="shared" ca="1" si="243"/>
        <v>3.1774661166470409E-3</v>
      </c>
      <c r="HJ81" s="450">
        <f t="shared" ca="1" si="244"/>
        <v>2.9711788820304453E-3</v>
      </c>
      <c r="HK81" s="450">
        <f t="shared" ca="1" si="245"/>
        <v>3.4196510357343774E-3</v>
      </c>
      <c r="HL81" s="450">
        <f t="shared" ca="1" si="246"/>
        <v>3.4561781120991926E-3</v>
      </c>
      <c r="HM81" s="450">
        <f t="shared" ca="1" si="247"/>
        <v>3.7491223857499083E-3</v>
      </c>
      <c r="HN81" s="450">
        <f t="shared" ca="1" si="248"/>
        <v>3.8307337141002765E-3</v>
      </c>
      <c r="HO81" s="450">
        <f t="shared" ca="1" si="249"/>
        <v>4.2063824217820544E-3</v>
      </c>
      <c r="HP81" s="450">
        <f t="shared" ca="1" si="250"/>
        <v>4.5021442058159776E-3</v>
      </c>
      <c r="HQ81" s="450">
        <f t="shared" ca="1" si="251"/>
        <v>4.7009618403254004E-3</v>
      </c>
      <c r="HR81" s="450">
        <f t="shared" ca="1" si="252"/>
        <v>5.2887499101019241E-3</v>
      </c>
      <c r="HS81" s="450">
        <f t="shared" ca="1" si="253"/>
        <v>5.6290209368536175E-3</v>
      </c>
      <c r="HT81" s="450">
        <f t="shared" ca="1" si="254"/>
        <v>6.4703542396758879E-3</v>
      </c>
      <c r="HU81" s="450">
        <f t="shared" ca="1" si="255"/>
        <v>7.2900618972067044E-3</v>
      </c>
      <c r="HV81" s="450">
        <f t="shared" ca="1" si="256"/>
        <v>7.5262554987547093E-3</v>
      </c>
      <c r="HW81" s="450">
        <f t="shared" ca="1" si="257"/>
        <v>9.6801626142444131E-3</v>
      </c>
      <c r="HX81" s="450">
        <f t="shared" ca="1" si="258"/>
        <v>1.108433485170978E-2</v>
      </c>
      <c r="HY81" s="450" t="str">
        <f t="shared" si="259"/>
        <v/>
      </c>
      <c r="HZ81" s="450" t="str">
        <f t="shared" si="260"/>
        <v/>
      </c>
      <c r="IA81" s="450" t="str">
        <f t="shared" si="261"/>
        <v/>
      </c>
      <c r="IB81" s="450" t="str">
        <f t="shared" si="262"/>
        <v/>
      </c>
      <c r="IC81" s="450" t="str">
        <f t="shared" si="263"/>
        <v/>
      </c>
      <c r="ID81" s="450" t="str">
        <f t="shared" si="264"/>
        <v/>
      </c>
      <c r="IE81" s="450" t="str">
        <f t="shared" si="265"/>
        <v/>
      </c>
      <c r="IF81" s="450" t="str">
        <f t="shared" si="266"/>
        <v/>
      </c>
      <c r="IG81" s="450" t="str">
        <f t="shared" si="267"/>
        <v/>
      </c>
      <c r="IH81" s="658" t="str">
        <f t="shared" si="268"/>
        <v/>
      </c>
      <c r="II81" s="242"/>
    </row>
    <row r="82" spans="8:243">
      <c r="H82" s="49" t="e">
        <f t="shared" ca="1" si="34"/>
        <v>#N/A</v>
      </c>
      <c r="I82" s="369">
        <f t="shared" si="35"/>
        <v>38899</v>
      </c>
      <c r="J82" s="367">
        <v>21.785</v>
      </c>
      <c r="K82" s="101" t="s">
        <v>268</v>
      </c>
      <c r="L82" s="382">
        <f t="shared" si="36"/>
        <v>21.785</v>
      </c>
      <c r="M82" s="163">
        <v>0.19205</v>
      </c>
      <c r="N82" s="372">
        <v>0</v>
      </c>
      <c r="O82" s="163">
        <f t="shared" si="37"/>
        <v>0.19205</v>
      </c>
      <c r="P82" s="367">
        <v>20.5536529533099</v>
      </c>
      <c r="Q82" s="101" t="s">
        <v>267</v>
      </c>
      <c r="R82" s="367">
        <f t="shared" ca="1" si="147"/>
        <v>20.553652953309932</v>
      </c>
      <c r="S82" s="814">
        <f t="shared" si="163"/>
        <v>0.36708425379834275</v>
      </c>
      <c r="T82" s="813">
        <f t="shared" si="148"/>
        <v>0.99988636918171658</v>
      </c>
      <c r="U82" s="532">
        <f t="shared" si="149"/>
        <v>0.99999999973091491</v>
      </c>
      <c r="V82" s="379">
        <v>0</v>
      </c>
      <c r="W82" s="424">
        <f t="shared" si="168"/>
        <v>21.751249999999999</v>
      </c>
      <c r="X82" s="405">
        <f t="shared" si="169"/>
        <v>21.751249999999999</v>
      </c>
      <c r="Y82" s="313">
        <f t="shared" si="170"/>
        <v>20.432849999999998</v>
      </c>
      <c r="Z82" s="313">
        <f t="shared" ca="1" si="171"/>
        <v>20.432849999999998</v>
      </c>
      <c r="AA82" s="419">
        <f t="shared" si="1"/>
        <v>1.3184</v>
      </c>
      <c r="AB82" s="423">
        <f t="shared" ca="1" si="2"/>
        <v>1.3184</v>
      </c>
      <c r="AC82" s="221">
        <v>38888</v>
      </c>
      <c r="AD82" s="221">
        <v>38884</v>
      </c>
      <c r="AE82" s="221">
        <v>38883</v>
      </c>
      <c r="AF82" s="221">
        <v>38879</v>
      </c>
      <c r="AG82" s="241" t="s">
        <v>90</v>
      </c>
      <c r="AH82" s="239" t="s">
        <v>497</v>
      </c>
      <c r="AI82" s="141">
        <v>20</v>
      </c>
      <c r="AJ82" s="41">
        <v>13</v>
      </c>
      <c r="AK82" s="41">
        <v>7</v>
      </c>
      <c r="AL82" s="285">
        <v>21</v>
      </c>
      <c r="AM82" s="41">
        <v>10</v>
      </c>
      <c r="AN82" s="142">
        <v>11</v>
      </c>
      <c r="AO82" s="364">
        <v>5.4092620400668E-2</v>
      </c>
      <c r="AP82" s="145">
        <f t="shared" ca="1" si="41"/>
        <v>0.75325881143978513</v>
      </c>
      <c r="AQ82" s="364">
        <v>4.6210556323255804E-2</v>
      </c>
      <c r="AR82" s="145">
        <f t="shared" ca="1" si="151"/>
        <v>0.78907179143440587</v>
      </c>
      <c r="AS82" s="264">
        <f t="shared" si="172"/>
        <v>0.190835</v>
      </c>
      <c r="AT82" s="149">
        <f t="shared" si="42"/>
        <v>0.19205</v>
      </c>
      <c r="AU82" s="149">
        <f t="shared" si="4"/>
        <v>0.19067857142857142</v>
      </c>
      <c r="AV82" s="263">
        <f t="shared" ca="1" si="164"/>
        <v>0.1877623542303854</v>
      </c>
      <c r="AW82" s="150" t="str">
        <f t="shared" ca="1" si="173"/>
        <v/>
      </c>
      <c r="AX82" s="149">
        <f t="shared" ca="1" si="152"/>
        <v>2.7189120484607063E-2</v>
      </c>
      <c r="AY82" s="149">
        <f t="shared" ca="1" si="153"/>
        <v>1.3308957120505553E-2</v>
      </c>
      <c r="AZ82" s="149">
        <f t="shared" ca="1" si="154"/>
        <v>7.4763873594744252E-3</v>
      </c>
      <c r="BA82" s="149">
        <f t="shared" ca="1" si="155"/>
        <v>1.0000000000000196E-4</v>
      </c>
      <c r="BB82" s="149">
        <f t="shared" ca="1" si="156"/>
        <v>1.0000000000000196E-4</v>
      </c>
      <c r="BC82" s="149">
        <f t="shared" ca="1" si="157"/>
        <v>1.0000000000000196E-4</v>
      </c>
      <c r="BD82" s="143">
        <f t="shared" ca="1" si="174"/>
        <v>0</v>
      </c>
      <c r="BE82" s="144">
        <f t="shared" ca="1" si="175"/>
        <v>0</v>
      </c>
      <c r="BF82" s="40">
        <f t="shared" si="176"/>
        <v>2006</v>
      </c>
      <c r="BG82" s="139">
        <f t="shared" si="177"/>
        <v>7</v>
      </c>
      <c r="BH82" s="140">
        <f t="shared" ca="1" si="178"/>
        <v>1894</v>
      </c>
      <c r="BI82" s="304">
        <f t="shared" ca="1" si="179"/>
        <v>5.2265571526351815</v>
      </c>
      <c r="BJ82" s="42">
        <f t="shared" ca="1" si="47"/>
        <v>5.2799452429842573</v>
      </c>
      <c r="BK82" s="42">
        <f t="shared" ca="1" si="180"/>
        <v>5.2826830937713893</v>
      </c>
      <c r="BL82" s="42">
        <f t="shared" ca="1" si="181"/>
        <v>5.3086926762491444</v>
      </c>
      <c r="BM82" s="285">
        <f t="shared" si="49"/>
        <v>20</v>
      </c>
      <c r="BN82" s="41">
        <f t="shared" si="50"/>
        <v>13</v>
      </c>
      <c r="BO82" s="41">
        <f t="shared" si="51"/>
        <v>7</v>
      </c>
      <c r="BP82" s="297" t="str">
        <f t="shared" ca="1" si="10"/>
        <v/>
      </c>
      <c r="BQ82" s="297" t="str">
        <f t="shared" ca="1" si="11"/>
        <v/>
      </c>
      <c r="BR82" s="299" t="str">
        <f t="shared" ca="1" si="12"/>
        <v/>
      </c>
      <c r="BS82" s="153" t="str">
        <f t="shared" ca="1" si="13"/>
        <v/>
      </c>
      <c r="BT82" s="153" t="str">
        <f t="shared" ca="1" si="14"/>
        <v/>
      </c>
      <c r="BU82" s="300" t="str">
        <f t="shared" ca="1" si="15"/>
        <v/>
      </c>
      <c r="BV82" s="301" t="str">
        <f t="shared" ca="1" si="16"/>
        <v/>
      </c>
      <c r="BW82" s="300" t="str">
        <f t="shared" ca="1" si="17"/>
        <v/>
      </c>
      <c r="BX82" s="301" t="str">
        <f t="shared" ca="1" si="18"/>
        <v/>
      </c>
      <c r="BY82" s="146" t="str">
        <f t="shared" ca="1" si="19"/>
        <v/>
      </c>
      <c r="BZ82" s="146" t="str">
        <f t="shared" ca="1" si="20"/>
        <v/>
      </c>
      <c r="CA82" s="146" t="str">
        <f t="shared" ca="1" si="21"/>
        <v/>
      </c>
      <c r="CB82" s="146" t="str">
        <f t="shared" ca="1" si="22"/>
        <v/>
      </c>
      <c r="CC82" s="302">
        <v>1</v>
      </c>
      <c r="CD82" s="154">
        <f ca="1">IF(BD82,_xll.xCrudeAPO(BS82,BT82,BY82,BZ82,S83,S84,BI82,BL82,BN82,BO82,0,Strike1,AO82,CC82,0,BL82,IF(OptControl=4,0,1),0,1),0)</f>
        <v>0</v>
      </c>
      <c r="CE82" s="155">
        <f ca="1">IF(BD82,_xll.xCrudeAPO(BS82,BT82,BY82,BZ82,S83,S84,BI82,BL82,BN82,BO82,0,Strike1,AO82,CC82,0,BL82,IF(OptControl=4,0,1),1,1)+_xll.xCrudeAPO(BS82,BT82,BY82,BZ82,S83,S84,BI82,BL82,BN82,BO82,0,Strike1,AO82,CC82,0,BL82,IF(OptControl=4,0,1),1,2)+IF(OR(VolSkewFlag=2,ABS(BQ82)&lt;0.0001),0,IF(BQ82&gt;0,-1,1)*CF82*Strike1/BP82^2*BW82/10%),0)</f>
        <v>0</v>
      </c>
      <c r="CF82" s="155">
        <f ca="1">IF(BD82,(_xll.xCrudeAPO(BS82,BT82,BY82,BZ82,S83,S84,BI82,BL82,BN82,BO82,0,Strike1,AO82,CC82,0,BL82,IF(OptControl=4,0,1),3,1)+_xll.xCrudeAPO(BS82,BT82,BY82,BZ82,S83,S84,BI82,BL82,BN82,BO82,0,Strike1,AO82,CC82,0,BL82,IF(OptControl=4,0,1),3,2))/100,0)</f>
        <v>0</v>
      </c>
      <c r="CG82" s="155">
        <f ca="1">IF(BD82,_xll.xCrudeAPO(BS82,BT82,BY82,BZ82,S83,S84,BI82-DaysForThetaCalculation/365.25,BL82-DaysForThetaCalculation/365.25,BN82,BO82,0,Strike1,AO82,CC82,0,BL82,IF(OptControl=4,0,1),0,1)-_xll.xCrudeAPO(BS82,BT82,BY82,BZ82,S83,S84,BI82,BL82,BN82,BO82,0,Strike1,AO82,CC82,0,BL82,IF(OptControl=4,0,1),0,1),0)</f>
        <v>0</v>
      </c>
      <c r="CH82" s="303">
        <f ca="1">IF(BD82,_xll.xCrudeAPO(BS82,BT82,CA82,CB82,S83,S84,BI82,BL82,BN82,BO82,0,Strike2,AO82,CC82,0,BL82,IF(OptControl=3,1,0),0,1),0)</f>
        <v>0</v>
      </c>
      <c r="CI82" s="155">
        <f ca="1">IF(BD82,_xll.xCrudeAPO(BS82,BT82,CA82,CB82,S83,S84,BI82,BL82,BN82,BO82,0,Strike2,AO82,CC82,0,BL82,IF(OptControl=3,1,0),1,1)+_xll.xCrudeAPO(BS82,BT82,CA82,CB82,S83,S84,BI82,BL82,BN82,BO82,0,Strike2,AO82,CC82,0,BL82,IF(OptControl=3,1,0),1,2)+IF(OR(VolSkewFlag=2,ABS(BR82)&lt;0.0001),0,IF(BR82&gt;0,-1,1)*CJ82*Strike2/BP82^2*BX82/10%),0)</f>
        <v>0</v>
      </c>
      <c r="CJ82" s="155">
        <f ca="1">IF(BD82,(_xll.xCrudeAPO(BS82,BT82,CA82,CB82,S83,S84,BI82,BL82,BN82,BO82,0,Strike2,AO82,CC82,0,BL82,IF(OptControl=3,1,0),3,1)+_xll.xCrudeAPO(BS82,BT82,CA82,CB82,S83,S84,BI82,BL82,BN82,BO82,0,Strike2,AO82,CC82,0,BL82,IF(OptControl=3,1,0),3,2))/100,0)</f>
        <v>0</v>
      </c>
      <c r="CK82" s="156">
        <f ca="1">IF(BD82,_xll.xCrudeAPO(BS82,BT82,CA82,CB82,S83,S84,BI82-DaysForThetaCalculation/365.25,BL82-DaysForThetaCalculation/365.25,BN82,BO82,0,Strike2,AO82,CC82,0,BL82,IF(OptControl=3,1,0),0,1)-_xll.xCrudeAPO(BS82,BT82,CA82,CB82,S83,S84,BI82,BL82,BN82,BO82,0,Strike2,AO82,CC82,0,BL82,IF(OptControl=3,1,0),0,1),0)</f>
        <v>0</v>
      </c>
      <c r="CL82" s="51"/>
      <c r="CM82" s="779" t="str">
        <f t="shared" ca="1" si="52"/>
        <v/>
      </c>
      <c r="CN82" s="783" t="str">
        <f t="shared" ca="1" si="53"/>
        <v/>
      </c>
      <c r="CO82" s="780" t="str">
        <f t="shared" ca="1" si="54"/>
        <v/>
      </c>
      <c r="CP82" s="780" t="str">
        <f t="shared" ca="1" si="55"/>
        <v/>
      </c>
      <c r="CQ82" s="780" t="str">
        <f t="shared" ca="1" si="56"/>
        <v/>
      </c>
      <c r="CR82" s="780" t="str">
        <f t="shared" ca="1" si="57"/>
        <v/>
      </c>
      <c r="CS82" s="781" t="str">
        <f t="shared" ca="1" si="58"/>
        <v/>
      </c>
      <c r="CT82" s="782" t="str">
        <f t="shared" ca="1" si="59"/>
        <v/>
      </c>
      <c r="CU82" s="782" t="str">
        <f t="shared" ca="1" si="60"/>
        <v/>
      </c>
      <c r="CV82" s="155">
        <f ca="1">IF(BD82,_xll.EURO(CN82,Strike1,AO82,AO82,CT82,CM82,IF(OptControl=4,0,1),0),0)</f>
        <v>0</v>
      </c>
      <c r="CW82" s="155">
        <f ca="1">IF(BD82,_xll.EURO(CN82,Strike1,AO82,AO82,CT82,CM82,IF(OptControl=4,0,1),1)+IF(OR(VolSkewFlag=2,ABS(CO82)&lt;0.0001),0,IF(CO82&gt;0,-1,1)*CX82*100*Strike1/CN82^2*CQ82/10%),0)</f>
        <v>0</v>
      </c>
      <c r="CX82" s="155">
        <f ca="1">IF(BD82,_xll.EURO(CN82,Strike1,AO82,AO82,CT82,CM82,IF(OptControl=4,0,1),3)/100,0)</f>
        <v>0</v>
      </c>
      <c r="CY82" s="155">
        <f ca="1">IF(BD82,_xll.EURO(CN82,Strike1,AO82,AO82,CT82,CM82,IF(OptControl=4,0,1),0)-_xll.EURO(CN82,Strike1,AO82,AO82,CT82,CM82-1,IF(OptControl=4,0,1),0),0)</f>
        <v>0</v>
      </c>
      <c r="CZ82" s="155">
        <f ca="1">IF(BD82,_xll.EURO(CN82,Strike2,AO82,AO82,CU82,CM82,IF(OptControl=3,1,0),0),0)</f>
        <v>0</v>
      </c>
      <c r="DA82" s="155">
        <f ca="1">IF(BD82,_xll.EURO(CN82,Strike2,AO82,AO82,CU82,CM82,IF(OptControl=3,1,0),1)+IF(OR(VolSkewFlag=2,ABS(CP82)&lt;0.0001),0,IF(CP82&gt;0,-1,1)*DB82*100*Strike2/CN82^2*CR82/10%),0)</f>
        <v>0</v>
      </c>
      <c r="DB82" s="155">
        <f ca="1">IF(BD82,_xll.EURO(CN82,Strike2,AO82,AO82,CU82,CM82,IF(OptControl=3,1,0),3)/100,0)</f>
        <v>0</v>
      </c>
      <c r="DC82" s="156">
        <f ca="1">IF(BD82,_xll.EURO(CN82,Strike2,AO82,AO82,CU82,CM82,IF(OptControl=3,1,0),0)-_xll.EURO(CN82,Strike2,AO82,AO82,CU82,CM82-1,IF(OptControl=3,1,0),0),0)</f>
        <v>0</v>
      </c>
      <c r="DE82" s="651">
        <f t="shared" ca="1" si="61"/>
        <v>38808</v>
      </c>
      <c r="DF82" s="465">
        <v>1E-4</v>
      </c>
      <c r="DG82" s="649">
        <v>1E-4</v>
      </c>
      <c r="DH82" s="650">
        <f t="shared" ca="1" si="182"/>
        <v>38808</v>
      </c>
      <c r="DI82" s="465">
        <v>1E-4</v>
      </c>
      <c r="DJ82" s="649">
        <v>1E-4</v>
      </c>
      <c r="DK82" s="651">
        <f t="shared" ca="1" si="183"/>
        <v>38808</v>
      </c>
      <c r="DL82" s="652">
        <f t="shared" si="184"/>
        <v>5.0100000000000006E-2</v>
      </c>
      <c r="DM82" s="651">
        <f t="shared" ca="1" si="62"/>
        <v>38808</v>
      </c>
      <c r="DN82" s="563">
        <f t="shared" si="63"/>
        <v>-0.12990000000000002</v>
      </c>
      <c r="DO82" s="803">
        <v>-0.13</v>
      </c>
      <c r="DP82" s="650">
        <f t="shared" ca="1" si="185"/>
        <v>38808</v>
      </c>
      <c r="DQ82" s="653">
        <v>1E-4</v>
      </c>
      <c r="DR82" s="590">
        <v>1E-4</v>
      </c>
      <c r="DS82" s="650">
        <f t="shared" ca="1" si="186"/>
        <v>38808</v>
      </c>
      <c r="DT82" s="653">
        <v>1E-4</v>
      </c>
      <c r="DU82" s="590">
        <v>1E-4</v>
      </c>
      <c r="DV82" s="651">
        <f t="shared" ca="1" si="187"/>
        <v>38808</v>
      </c>
      <c r="DW82" s="590">
        <v>1E-4</v>
      </c>
      <c r="DX82" s="651">
        <f t="shared" ca="1" si="64"/>
        <v>38808</v>
      </c>
      <c r="DY82" s="590">
        <f t="shared" si="65"/>
        <v>1E-4</v>
      </c>
      <c r="DZ82" s="1"/>
      <c r="EA82" s="863" t="e">
        <f ca="1">_xll.ASN(X82,X82,AO82,AS82,0,AI82,0,BI82,BL82,1,0)</f>
        <v>#NAME?</v>
      </c>
      <c r="EB82" s="653" t="e">
        <f ca="1">_xll.ASN(X82,X82,AO82,AS82,0,AI82,0,BI82,BL82,1,3)/100</f>
        <v>#NAME?</v>
      </c>
      <c r="EC82" s="653" t="e">
        <f ca="1">_xll.xCrudeAPO(L83,L84,O83,O84,S83,S84,BI82,BL82,AJ82,AK82,0,X82,AO82,1,0,+BL82,1,0,1)</f>
        <v>#NAME?</v>
      </c>
      <c r="ED82" s="869" t="e">
        <f t="shared" ca="1" si="165"/>
        <v>#NAME?</v>
      </c>
      <c r="EE82" s="863" t="e">
        <f t="shared" ca="1" si="29"/>
        <v>#NAME?</v>
      </c>
      <c r="EF82" s="590" t="e">
        <f t="shared" ca="1" si="30"/>
        <v>#NAME?</v>
      </c>
      <c r="EG82" s="862" t="str">
        <f t="shared" ca="1" si="188"/>
        <v/>
      </c>
      <c r="EH82" s="114" t="str">
        <f t="shared" ca="1" si="32"/>
        <v/>
      </c>
      <c r="EI82" s="109" t="str">
        <f t="shared" ca="1" si="33"/>
        <v/>
      </c>
      <c r="EJ82" s="115">
        <f ca="1">IF(BD82,_xll.xASN(BP82,Strike1,AO82,EH82,0,BM82,0,BI82,BL82,IF(OptControl=4,0,1),0),0)</f>
        <v>0</v>
      </c>
      <c r="EK82" s="108">
        <f ca="1">IF(BD82,_xll.xASN(BP82,Strike2,AO82,EI82,0,BM82,0,BI82,BL82,IF(OptControl=3,1,0),0),0)</f>
        <v>0</v>
      </c>
      <c r="EP82" s="53"/>
      <c r="EQ82" s="1"/>
      <c r="ER82" s="681">
        <v>43285</v>
      </c>
      <c r="ES82" s="682">
        <v>47849</v>
      </c>
      <c r="ET82" s="1"/>
      <c r="EU82" s="667" t="s">
        <v>294</v>
      </c>
      <c r="EW82" s="488">
        <v>63</v>
      </c>
      <c r="EX82" s="466">
        <f t="shared" ca="1" si="166"/>
        <v>5.1854893908281996</v>
      </c>
      <c r="EY82" s="824">
        <f t="shared" ca="1" si="189"/>
        <v>0.19125745526351812</v>
      </c>
      <c r="EZ82" s="798">
        <f t="shared" ca="1" si="269"/>
        <v>0.19810350591523626</v>
      </c>
      <c r="FA82" s="468" t="str">
        <f t="shared" ca="1" si="270"/>
        <v/>
      </c>
      <c r="FB82" s="467" t="str">
        <f t="shared" ca="1" si="271"/>
        <v/>
      </c>
      <c r="FC82" s="242">
        <v>0</v>
      </c>
      <c r="FD82" s="589" t="str">
        <f ca="1">IF(OR(FA82="",FA83=""),"",SQRT(SUM(INDEX(FO82:IH82,SwaptionFirstMonthPosition+1):INDEX(FO82:IH82,FN82))/SUM(INDEX($FO$15:$IH$15,SwaptionFirstMonthPosition+1):INDEX($FO$15:$IH$15,FN82))))</f>
        <v/>
      </c>
      <c r="FE82" s="565" t="str">
        <f ca="1">IF(OR(FA82="",FA81=""),"",SQRT(SUM(INDEX(FO82:IH82,SwaptionFirstMonthPosition+1):INDEX(FO82:IH82,FN82-1))/SUM(INDEX($FO$15:$IH$15,SwaptionFirstMonthPosition+1):INDEX($FO$15:$IH$15,FN82-1))))</f>
        <v/>
      </c>
      <c r="FF82" s="562" t="str">
        <f t="shared" ca="1" si="190"/>
        <v/>
      </c>
      <c r="FG82" s="593" t="str">
        <f t="shared" ca="1" si="191"/>
        <v/>
      </c>
      <c r="FH82" s="563" t="str">
        <f t="shared" ca="1" si="192"/>
        <v/>
      </c>
      <c r="FI82" s="563" t="str">
        <f t="shared" ca="1" si="193"/>
        <v/>
      </c>
      <c r="FJ82" s="563" t="str">
        <f t="shared" ca="1" si="194"/>
        <v/>
      </c>
      <c r="FK82" s="564" t="str">
        <f t="shared" ca="1" si="195"/>
        <v/>
      </c>
      <c r="FL82" s="590" t="str">
        <f t="shared" ca="1" si="196"/>
        <v/>
      </c>
      <c r="FM82" s="242"/>
      <c r="FN82" s="657">
        <v>63</v>
      </c>
      <c r="FO82" s="450">
        <f t="shared" ca="1" si="197"/>
        <v>6.5423941721779919E-4</v>
      </c>
      <c r="FP82" s="450">
        <f t="shared" ca="1" si="198"/>
        <v>2.4525978800063277E-3</v>
      </c>
      <c r="FQ82" s="450">
        <f t="shared" ca="1" si="199"/>
        <v>2.3654330563039E-3</v>
      </c>
      <c r="FR82" s="450">
        <f t="shared" ca="1" si="200"/>
        <v>2.6043148488828758E-3</v>
      </c>
      <c r="FS82" s="450">
        <f t="shared" ca="1" si="201"/>
        <v>2.4362413832309821E-3</v>
      </c>
      <c r="FT82" s="450">
        <f t="shared" ca="1" si="202"/>
        <v>2.593169468989963E-3</v>
      </c>
      <c r="FU82" s="450">
        <f t="shared" ca="1" si="203"/>
        <v>2.4261191740088655E-3</v>
      </c>
      <c r="FV82" s="450">
        <f t="shared" ca="1" si="204"/>
        <v>2.259898573936484E-3</v>
      </c>
      <c r="FW82" s="450">
        <f t="shared" ca="1" si="205"/>
        <v>2.4167099133758801E-3</v>
      </c>
      <c r="FX82" s="450">
        <f t="shared" ca="1" si="206"/>
        <v>2.6535321298562851E-3</v>
      </c>
      <c r="FY82" s="450">
        <f t="shared" ca="1" si="207"/>
        <v>2.3278398753140304E-3</v>
      </c>
      <c r="FZ82" s="450">
        <f t="shared" ca="1" si="208"/>
        <v>2.3240123383232165E-3</v>
      </c>
      <c r="GA82" s="450">
        <f t="shared" ca="1" si="209"/>
        <v>2.6404853267452894E-3</v>
      </c>
      <c r="GB82" s="450">
        <f t="shared" ca="1" si="210"/>
        <v>2.3171016348538941E-3</v>
      </c>
      <c r="GC82" s="450">
        <f t="shared" ca="1" si="211"/>
        <v>2.5534447413735092E-3</v>
      </c>
      <c r="GD82" s="450">
        <f t="shared" ca="1" si="212"/>
        <v>2.391024391594076E-3</v>
      </c>
      <c r="GE82" s="450">
        <f t="shared" ca="1" si="213"/>
        <v>2.308921414657634E-3</v>
      </c>
      <c r="GF82" s="450">
        <f t="shared" ca="1" si="214"/>
        <v>2.6250736676937426E-3</v>
      </c>
      <c r="GG82" s="450">
        <f t="shared" ca="1" si="215"/>
        <v>2.384732867914522E-3</v>
      </c>
      <c r="GH82" s="450">
        <f t="shared" ca="1" si="216"/>
        <v>2.3040356443512215E-3</v>
      </c>
      <c r="GI82" s="450">
        <f t="shared" ca="1" si="217"/>
        <v>2.4621554334519585E-3</v>
      </c>
      <c r="GJ82" s="450">
        <f t="shared" ca="1" si="218"/>
        <v>2.4619367606527882E-3</v>
      </c>
      <c r="GK82" s="450">
        <f t="shared" ca="1" si="219"/>
        <v>2.4623351675942418E-3</v>
      </c>
      <c r="GL82" s="450">
        <f t="shared" ca="1" si="220"/>
        <v>2.2250191272300225E-3</v>
      </c>
      <c r="GM82" s="450">
        <f t="shared" ca="1" si="221"/>
        <v>2.4652444742900782E-3</v>
      </c>
      <c r="GN82" s="450">
        <f t="shared" ca="1" si="222"/>
        <v>2.3882964772490183E-3</v>
      </c>
      <c r="GO82" s="450">
        <f t="shared" ca="1" si="223"/>
        <v>2.4714894898087273E-3</v>
      </c>
      <c r="GP82" s="450">
        <f t="shared" ca="1" si="224"/>
        <v>2.3962209177548922E-3</v>
      </c>
      <c r="GQ82" s="450">
        <f t="shared" ca="1" si="225"/>
        <v>2.4818366752015586E-3</v>
      </c>
      <c r="GR82" s="450">
        <f t="shared" ca="1" si="226"/>
        <v>2.4888432929911601E-3</v>
      </c>
      <c r="GS82" s="450">
        <f t="shared" ca="1" si="227"/>
        <v>2.4167034583890859E-3</v>
      </c>
      <c r="GT82" s="450">
        <f t="shared" ca="1" si="228"/>
        <v>2.5072522721398382E-3</v>
      </c>
      <c r="GU82" s="450">
        <f t="shared" ca="1" si="229"/>
        <v>2.4377481314876784E-3</v>
      </c>
      <c r="GV82" s="450">
        <f t="shared" ca="1" si="230"/>
        <v>2.5327353841766106E-3</v>
      </c>
      <c r="GW82" s="450">
        <f t="shared" ca="1" si="231"/>
        <v>2.5486818406929247E-3</v>
      </c>
      <c r="GX82" s="450">
        <f t="shared" ca="1" si="232"/>
        <v>2.4015023472975993E-3</v>
      </c>
      <c r="GY82" s="450">
        <f t="shared" ca="1" si="233"/>
        <v>2.5883776049163321E-3</v>
      </c>
      <c r="GZ82" s="450">
        <f t="shared" ca="1" si="234"/>
        <v>2.5285268319991585E-3</v>
      </c>
      <c r="HA82" s="450">
        <f t="shared" ca="1" si="235"/>
        <v>2.6408460706481272E-3</v>
      </c>
      <c r="HB82" s="450">
        <f t="shared" ca="1" si="236"/>
        <v>2.5867472944423975E-3</v>
      </c>
      <c r="HC82" s="450">
        <f t="shared" ca="1" si="237"/>
        <v>2.7097590350392041E-3</v>
      </c>
      <c r="HD82" s="450">
        <f t="shared" ca="1" si="238"/>
        <v>2.7518721345658175E-3</v>
      </c>
      <c r="HE82" s="450">
        <f t="shared" ca="1" si="239"/>
        <v>2.7097673670337589E-3</v>
      </c>
      <c r="HF82" s="450">
        <f t="shared" ca="1" si="240"/>
        <v>2.8553436588323925E-3</v>
      </c>
      <c r="HG82" s="450">
        <f t="shared" ca="1" si="241"/>
        <v>2.8245663580415692E-3</v>
      </c>
      <c r="HH82" s="450">
        <f t="shared" ca="1" si="242"/>
        <v>2.9915239221897216E-3</v>
      </c>
      <c r="HI82" s="450">
        <f t="shared" ca="1" si="243"/>
        <v>3.0753289220754347E-3</v>
      </c>
      <c r="HJ82" s="450">
        <f t="shared" ca="1" si="244"/>
        <v>2.8650608256783191E-3</v>
      </c>
      <c r="HK82" s="450">
        <f t="shared" ca="1" si="245"/>
        <v>3.283944811324266E-3</v>
      </c>
      <c r="HL82" s="450">
        <f t="shared" ca="1" si="246"/>
        <v>3.3037828083481921E-3</v>
      </c>
      <c r="HM82" s="450">
        <f t="shared" ca="1" si="247"/>
        <v>3.5654420871835402E-3</v>
      </c>
      <c r="HN82" s="450">
        <f t="shared" ca="1" si="248"/>
        <v>3.6222018557857285E-3</v>
      </c>
      <c r="HO82" s="450">
        <f t="shared" ca="1" si="249"/>
        <v>3.9519592315581014E-3</v>
      </c>
      <c r="HP82" s="450">
        <f t="shared" ca="1" si="250"/>
        <v>4.1995749255504923E-3</v>
      </c>
      <c r="HQ82" s="450">
        <f t="shared" ca="1" si="251"/>
        <v>4.3499274651084335E-3</v>
      </c>
      <c r="HR82" s="450">
        <f t="shared" ca="1" si="252"/>
        <v>4.8499430154395834E-3</v>
      </c>
      <c r="HS82" s="450">
        <f t="shared" ca="1" si="253"/>
        <v>5.1100885616807493E-3</v>
      </c>
      <c r="HT82" s="450">
        <f t="shared" ca="1" si="254"/>
        <v>5.8075833103415457E-3</v>
      </c>
      <c r="HU82" s="450">
        <f t="shared" ca="1" si="255"/>
        <v>6.4603561484018641E-3</v>
      </c>
      <c r="HV82" s="450">
        <f t="shared" ca="1" si="256"/>
        <v>6.5744913722642299E-3</v>
      </c>
      <c r="HW82" s="450">
        <f t="shared" ca="1" si="257"/>
        <v>8.3200009897735402E-3</v>
      </c>
      <c r="HX82" s="450">
        <f t="shared" ca="1" si="258"/>
        <v>9.3538213493510099E-3</v>
      </c>
      <c r="HY82" s="450">
        <f t="shared" ca="1" si="259"/>
        <v>1.1436759290861772E-2</v>
      </c>
      <c r="HZ82" s="450" t="str">
        <f t="shared" si="260"/>
        <v/>
      </c>
      <c r="IA82" s="450" t="str">
        <f t="shared" si="261"/>
        <v/>
      </c>
      <c r="IB82" s="450" t="str">
        <f t="shared" si="262"/>
        <v/>
      </c>
      <c r="IC82" s="450" t="str">
        <f t="shared" si="263"/>
        <v/>
      </c>
      <c r="ID82" s="450" t="str">
        <f t="shared" si="264"/>
        <v/>
      </c>
      <c r="IE82" s="450" t="str">
        <f t="shared" si="265"/>
        <v/>
      </c>
      <c r="IF82" s="450" t="str">
        <f t="shared" si="266"/>
        <v/>
      </c>
      <c r="IG82" s="450" t="str">
        <f t="shared" si="267"/>
        <v/>
      </c>
      <c r="IH82" s="658" t="str">
        <f t="shared" si="268"/>
        <v/>
      </c>
      <c r="II82" s="242"/>
    </row>
    <row r="83" spans="8:243">
      <c r="H83" s="49" t="e">
        <f t="shared" ca="1" si="34"/>
        <v>#N/A</v>
      </c>
      <c r="I83" s="369">
        <f t="shared" si="35"/>
        <v>38930</v>
      </c>
      <c r="J83" s="367">
        <v>21.76</v>
      </c>
      <c r="K83" s="101" t="s">
        <v>268</v>
      </c>
      <c r="L83" s="382">
        <f t="shared" si="36"/>
        <v>21.76</v>
      </c>
      <c r="M83" s="163">
        <v>0.19114999999999999</v>
      </c>
      <c r="N83" s="372">
        <v>0</v>
      </c>
      <c r="O83" s="163">
        <f t="shared" ref="O83:O146" si="272">M83+N83</f>
        <v>0.19114999999999999</v>
      </c>
      <c r="P83" s="367">
        <v>20.3304558722417</v>
      </c>
      <c r="Q83" s="101" t="s">
        <v>267</v>
      </c>
      <c r="R83" s="367">
        <f t="shared" ca="1" si="147"/>
        <v>20.330455872241725</v>
      </c>
      <c r="S83" s="814">
        <f t="shared" si="163"/>
        <v>0.36681341126035932</v>
      </c>
      <c r="T83" s="813">
        <f t="shared" si="148"/>
        <v>0.9998977328648192</v>
      </c>
      <c r="U83" s="532">
        <f t="shared" si="149"/>
        <v>0.99999999979818621</v>
      </c>
      <c r="V83" s="379">
        <v>0</v>
      </c>
      <c r="W83" s="424">
        <f t="shared" ref="W83:W114" si="273">(J84*AJ83+J85*AK83)/AI83</f>
        <v>21.725217391304344</v>
      </c>
      <c r="X83" s="405">
        <f t="shared" ref="X83:X114" si="274">(L84*AJ83+L85*AK83)/AI83</f>
        <v>21.725217391304344</v>
      </c>
      <c r="Y83" s="313">
        <f t="shared" ref="Y83:Y114" si="275">IF(Q85="extra",W83-AA83,(P84*AM83+P85*AN83)/AL83)</f>
        <v>20.406817391304344</v>
      </c>
      <c r="Z83" s="313">
        <f t="shared" ref="Z83:Z114" ca="1" si="276">IF(Q85="extra",X83-AB83,(R84*AM83+R85*AN83)/AL83)</f>
        <v>20.406817391304344</v>
      </c>
      <c r="AA83" s="419">
        <f t="shared" ref="AA83:AA146" si="277">IF(Q85="extra",INDEX(BrentSeasonalityTable,INT((BG83-1)/3)+1)*VLOOKUP(MAX(BF83,$AB$4),PriceSpreadTable,3),W83-Y83)</f>
        <v>1.3184</v>
      </c>
      <c r="AB83" s="423">
        <f t="shared" ref="AB83:AB146" ca="1" si="278">IF(Q85="extra",INDEX(BrentSeasonalityTable,INT((BG83-1)/3)+1)*VLOOKUP(MAX(BF83,$AB$4),PriceSpreadTable,3),X83-Z83)</f>
        <v>1.3184</v>
      </c>
      <c r="AC83" s="221">
        <v>38918</v>
      </c>
      <c r="AD83" s="221">
        <v>38914</v>
      </c>
      <c r="AE83" s="221">
        <v>38913</v>
      </c>
      <c r="AF83" s="221">
        <v>38909</v>
      </c>
      <c r="AG83" s="241" t="s">
        <v>90</v>
      </c>
      <c r="AH83" s="239" t="s">
        <v>497</v>
      </c>
      <c r="AI83" s="141">
        <v>23</v>
      </c>
      <c r="AJ83" s="41">
        <v>14</v>
      </c>
      <c r="AK83" s="41">
        <v>9</v>
      </c>
      <c r="AL83" s="285">
        <v>23</v>
      </c>
      <c r="AM83" s="41">
        <v>10</v>
      </c>
      <c r="AN83" s="142">
        <v>13</v>
      </c>
      <c r="AO83" s="364">
        <v>5.4210144254244405E-2</v>
      </c>
      <c r="AP83" s="145">
        <f t="shared" ca="1" si="41"/>
        <v>0.74939160046291664</v>
      </c>
      <c r="AQ83" s="364">
        <v>4.6359340793621098E-2</v>
      </c>
      <c r="AR83" s="145">
        <f t="shared" ca="1" si="151"/>
        <v>0.78551452582286307</v>
      </c>
      <c r="AS83" s="264">
        <f t="shared" ref="AS83:AS114" si="279">(O84*AJ83+O85*AK83)/AI83</f>
        <v>0.18985869565217389</v>
      </c>
      <c r="AT83" s="149">
        <f t="shared" si="42"/>
        <v>0.19114999999999999</v>
      </c>
      <c r="AU83" s="149">
        <f t="shared" ref="AU83:AU146" si="280">(AT84*AM83+AT85*AN83)/AL83</f>
        <v>0.18968478260869565</v>
      </c>
      <c r="AV83" s="263">
        <f t="shared" ca="1" si="164"/>
        <v>0.18704500603257088</v>
      </c>
      <c r="AW83" s="150" t="str">
        <f t="shared" ref="AW83:AW114" ca="1" si="281">IF($I83-DateToday+15&gt;=$T$8,"",IF($I83-DateToday+15&lt;$T$5,1,MATCH($I83-DateToday+15,$T$5:$T$8)))</f>
        <v/>
      </c>
      <c r="AX83" s="149">
        <f t="shared" ca="1" si="152"/>
        <v>2.6807161908867019E-2</v>
      </c>
      <c r="AY83" s="149">
        <f t="shared" ca="1" si="153"/>
        <v>1.3079964954561896E-2</v>
      </c>
      <c r="AZ83" s="149">
        <f t="shared" ca="1" si="154"/>
        <v>7.3872844501731601E-3</v>
      </c>
      <c r="BA83" s="149">
        <f t="shared" ca="1" si="155"/>
        <v>1.0000000000000201E-4</v>
      </c>
      <c r="BB83" s="149">
        <f t="shared" ca="1" si="156"/>
        <v>1.0000000000000201E-4</v>
      </c>
      <c r="BC83" s="149">
        <f t="shared" ca="1" si="157"/>
        <v>1.0000000000000201E-4</v>
      </c>
      <c r="BD83" s="143">
        <f t="shared" ref="BD83:BD114" ca="1" si="282">IF(OR(DateStart&gt;=I84,DateEnd&lt;I83),0,IF(VolumeOverrideFlag,V83,Volume))</f>
        <v>0</v>
      </c>
      <c r="BE83" s="144">
        <f t="shared" ref="BE83:BE114" ca="1" si="283">IF(OR(DateStart2&gt;=I84,DateEnd2&lt;I83),0,IF(VolumeOverrideFlag,V83,VolumeSwaption))</f>
        <v>0</v>
      </c>
      <c r="BF83" s="40">
        <f t="shared" ref="BF83:BF114" si="284">YEAR(I83)</f>
        <v>2006</v>
      </c>
      <c r="BG83" s="139">
        <f t="shared" ref="BG83:BG114" si="285">MONTH(I83)</f>
        <v>8</v>
      </c>
      <c r="BH83" s="140">
        <f t="shared" ref="BH83:BH114" ca="1" si="286">AD83-DateToday+1</f>
        <v>1924</v>
      </c>
      <c r="BI83" s="304">
        <f t="shared" ref="BI83:BI100" ca="1" si="287">(I83-DateToday+1)/365.25</f>
        <v>5.3114305270362765</v>
      </c>
      <c r="BJ83" s="42">
        <f t="shared" ref="BJ83:BJ146" ca="1" si="288">BI83+(BL83-BI83)*CHOOSE(Underlying,AJ83/AI83,AM83/AL83)</f>
        <v>5.3614260631491231</v>
      </c>
      <c r="BK83" s="42">
        <f t="shared" ref="BK83:BK146" ca="1" si="289">BJ83+1/365.25</f>
        <v>5.3641639139362551</v>
      </c>
      <c r="BL83" s="42">
        <f t="shared" ref="BL83:BL100" ca="1" si="290">(I84-DateToday)/365.25</f>
        <v>5.3935660506502394</v>
      </c>
      <c r="BM83" s="285">
        <f t="shared" si="49"/>
        <v>23</v>
      </c>
      <c r="BN83" s="41">
        <f t="shared" ref="BN83:BN100" si="291">CHOOSE(Underlying,AJ83,AM83)</f>
        <v>14</v>
      </c>
      <c r="BO83" s="41">
        <f t="shared" ref="BO83:BO100" si="292">CHOOSE(Underlying,AK83,AN83)</f>
        <v>9</v>
      </c>
      <c r="BP83" s="297" t="str">
        <f t="shared" ref="BP83:BP146" ca="1" si="293">IF(BD83,IF(Underlying=1,X83,Z83)+UnderlyingPriceAsian-SwapPriceCurve,"")</f>
        <v/>
      </c>
      <c r="BQ83" s="297" t="str">
        <f t="shared" ref="BQ83:BQ146" ca="1" si="294">IF(BD83,Strike1/BP83-1,"")</f>
        <v/>
      </c>
      <c r="BR83" s="299" t="str">
        <f t="shared" ref="BR83:BR146" ca="1" si="295">IF(BD83,Strike2/BP83-1,"")</f>
        <v/>
      </c>
      <c r="BS83" s="153" t="str">
        <f t="shared" ref="BS83:BS146" ca="1" si="296">IF(BD83,IF(Underlying=1,L84,R84)+UnderlyingPriceAsian-SwapPriceCurve,"")</f>
        <v/>
      </c>
      <c r="BT83" s="153" t="str">
        <f t="shared" ref="BT83:BT146" ca="1" si="297">IF(BD83,IF(Underlying=1,L85,R85)+UnderlyingPriceAsian-SwapPriceCurve,"")</f>
        <v/>
      </c>
      <c r="BU83" s="300" t="str">
        <f t="shared" ref="BU83:BU146" ca="1" si="298">IF(BD83,IF(Underlying=1,O84,AT84),"")</f>
        <v/>
      </c>
      <c r="BV83" s="301" t="str">
        <f t="shared" ref="BV83:BV146" ca="1" si="299">IF(BD83,IF(Underlying=1,O85,AT85),"")</f>
        <v/>
      </c>
      <c r="BW83" s="300" t="str">
        <f t="shared" ref="BW83:BW146" ca="1" si="300">IF(BD83,IF(BQ83&gt;0,IF(BQ83&gt;0.2,BC83-BB83,IF(BQ83&gt;0.1,BB83-BA83,BA83)),IF(BQ83&lt;-0.2,AX83-AY83,IF(BQ83&lt;-0.1,AY83-AZ83,AZ83))),"")</f>
        <v/>
      </c>
      <c r="BX83" s="301" t="str">
        <f t="shared" ref="BX83:BX146" ca="1" si="301">IF(BD83,IF(BR83&gt;0,IF(BR83&gt;0.2,BC83-BB83,IF(BR83&gt;0.1,BB83-BA83,BA83)),IF(BR83&lt;-0.2,AX83-AY83,IF(BR83&lt;-0.1,AY83-AZ83,AZ83))),"")</f>
        <v/>
      </c>
      <c r="BY83" s="146" t="str">
        <f t="shared" ref="BY83:BY146" ca="1" si="302">IF($BD83,$BU83+IF(VolSkewFlag=1,IF(BQ83&gt;0,$BA83*MIN(BQ83/10%,1)+($BB83-$BA83)*MAX(0,MIN(BQ83/10%-1,1))+($BC83-$BB83)*MAX(0,BQ83/10%-2),$AZ83*MIN(-BQ83/10%,1)+($AY83-$AZ83)*MAX(0,MIN(-BQ83/10%-1,1))+($AX83-$AY83)*MAX(0,-BQ83/10%-2)),0),"")</f>
        <v/>
      </c>
      <c r="BZ83" s="146" t="str">
        <f t="shared" ref="BZ83:BZ146" ca="1" si="303">IF($BD83,$BV83+IF(VolSkewFlag=1,IF(BQ83&gt;0,$BA83*MIN(BQ83/10%,1)+($BB83-$BA83)*MAX(0,MIN(BQ83/10%-1,1))+($BC83-$BB83)*MAX(0,BQ83/10%-2),$AZ83*MIN(-BQ83/10%,1)+($AY83-$AZ83)*MAX(0,MIN(-BQ83/10%-1,1))+($AX83-$AY83)*MAX(0,-BQ83/10%-2)),0),"")</f>
        <v/>
      </c>
      <c r="CA83" s="146" t="str">
        <f t="shared" ref="CA83:CA146" ca="1" si="304">IF($BD83,$BU83+IF(VolSkewFlag=1,IF(BR83&gt;0,$BA83*MIN(BR83/10%,1)+($BB83-$BA83)*MAX(0,MIN(BR83/10%-1,1))+($BC83-$BB83)*MAX(0,BR83/10%-2),$AZ83*MIN(-BR83/10%,1)+($AY83-$AZ83)*MAX(0,MIN(-BR83/10%-1,1))+($AX83-$AY83)*MAX(0,-BR83/10%-2)),0),"")</f>
        <v/>
      </c>
      <c r="CB83" s="146" t="str">
        <f t="shared" ref="CB83:CB146" ca="1" si="305">IF($BD83,$BV83+IF(VolSkewFlag=1,IF(BR83&gt;0,$BA83*MIN(BR83/10%,1)+($BB83-$BA83)*MAX(0,MIN(BR83/10%-1,1))+($BC83-$BB83)*MAX(0,BR83/10%-2),$AZ83*MIN(-BR83/10%,1)+($AY83-$AZ83)*MAX(0,MIN(-BR83/10%-1,1))+($AX83-$AY83)*MAX(0,-BR83/10%-2)),0),"")</f>
        <v/>
      </c>
      <c r="CC83" s="302">
        <v>1</v>
      </c>
      <c r="CD83" s="154">
        <f ca="1">IF(BD83,_xll.xCrudeAPO(BS83,BT83,BY83,BZ83,S84,S85,BI83,BL83,BN83,BO83,0,Strike1,AO83,CC83,0,BL83,IF(OptControl=4,0,1),0,1),0)</f>
        <v>0</v>
      </c>
      <c r="CE83" s="155">
        <f ca="1">IF(BD83,_xll.xCrudeAPO(BS83,BT83,BY83,BZ83,S84,S85,BI83,BL83,BN83,BO83,0,Strike1,AO83,CC83,0,BL83,IF(OptControl=4,0,1),1,1)+_xll.xCrudeAPO(BS83,BT83,BY83,BZ83,S84,S85,BI83,BL83,BN83,BO83,0,Strike1,AO83,CC83,0,BL83,IF(OptControl=4,0,1),1,2)+IF(OR(VolSkewFlag=2,ABS(BQ83)&lt;0.0001),0,IF(BQ83&gt;0,-1,1)*CF83*Strike1/BP83^2*BW83/10%),0)</f>
        <v>0</v>
      </c>
      <c r="CF83" s="155">
        <f ca="1">IF(BD83,(_xll.xCrudeAPO(BS83,BT83,BY83,BZ83,S84,S85,BI83,BL83,BN83,BO83,0,Strike1,AO83,CC83,0,BL83,IF(OptControl=4,0,1),3,1)+_xll.xCrudeAPO(BS83,BT83,BY83,BZ83,S84,S85,BI83,BL83,BN83,BO83,0,Strike1,AO83,CC83,0,BL83,IF(OptControl=4,0,1),3,2))/100,0)</f>
        <v>0</v>
      </c>
      <c r="CG83" s="155">
        <f ca="1">IF(BD83,_xll.xCrudeAPO(BS83,BT83,BY83,BZ83,S84,S85,BI83-DaysForThetaCalculation/365.25,BL83-DaysForThetaCalculation/365.25,BN83,BO83,0,Strike1,AO83,CC83,0,BL83,IF(OptControl=4,0,1),0,1)-_xll.xCrudeAPO(BS83,BT83,BY83,BZ83,S84,S85,BI83,BL83,BN83,BO83,0,Strike1,AO83,CC83,0,BL83,IF(OptControl=4,0,1),0,1),0)</f>
        <v>0</v>
      </c>
      <c r="CH83" s="303">
        <f ca="1">IF(BD83,_xll.xCrudeAPO(BS83,BT83,CA83,CB83,S84,S85,BI83,BL83,BN83,BO83,0,Strike2,AO83,CC83,0,BL83,IF(OptControl=3,1,0),0,1),0)</f>
        <v>0</v>
      </c>
      <c r="CI83" s="155">
        <f ca="1">IF(BD83,_xll.xCrudeAPO(BS83,BT83,CA83,CB83,S84,S85,BI83,BL83,BN83,BO83,0,Strike2,AO83,CC83,0,BL83,IF(OptControl=3,1,0),1,1)+_xll.xCrudeAPO(BS83,BT83,CA83,CB83,S84,S85,BI83,BL83,BN83,BO83,0,Strike2,AO83,CC83,0,BL83,IF(OptControl=3,1,0),1,2)+IF(OR(VolSkewFlag=2,ABS(BR83)&lt;0.0001),0,IF(BR83&gt;0,-1,1)*CJ83*Strike2/BP83^2*BX83/10%),0)</f>
        <v>0</v>
      </c>
      <c r="CJ83" s="155">
        <f ca="1">IF(BD83,(_xll.xCrudeAPO(BS83,BT83,CA83,CB83,S84,S85,BI83,BL83,BN83,BO83,0,Strike2,AO83,CC83,0,BL83,IF(OptControl=3,1,0),3,1)+_xll.xCrudeAPO(BS83,BT83,CA83,CB83,S84,S85,BI83,BL83,BN83,BO83,0,Strike2,AO83,CC83,0,BL83,IF(OptControl=3,1,0),3,2))/100,0)</f>
        <v>0</v>
      </c>
      <c r="CK83" s="156">
        <f ca="1">IF(BD83,_xll.xCrudeAPO(BS83,BT83,CA83,CB83,S84,S85,BI83-DaysForThetaCalculation/365.25,BL83-DaysForThetaCalculation/365.25,BN83,BO83,0,Strike2,AO83,CC83,0,BL83,IF(OptControl=3,1,0),0,1)-_xll.xCrudeAPO(BS83,BT83,CA83,CB83,S84,S85,BI83,BL83,BN83,BO83,0,Strike2,AO83,CC83,0,BL83,IF(OptControl=3,1,0),0,1),0)</f>
        <v>0</v>
      </c>
      <c r="CL83" s="51"/>
      <c r="CM83" s="779" t="str">
        <f t="shared" ca="1" si="52"/>
        <v/>
      </c>
      <c r="CN83" s="783" t="str">
        <f t="shared" ca="1" si="53"/>
        <v/>
      </c>
      <c r="CO83" s="780" t="str">
        <f t="shared" ca="1" si="54"/>
        <v/>
      </c>
      <c r="CP83" s="780" t="str">
        <f t="shared" ca="1" si="55"/>
        <v/>
      </c>
      <c r="CQ83" s="780" t="str">
        <f t="shared" ca="1" si="56"/>
        <v/>
      </c>
      <c r="CR83" s="780" t="str">
        <f t="shared" ca="1" si="57"/>
        <v/>
      </c>
      <c r="CS83" s="781" t="str">
        <f t="shared" ca="1" si="58"/>
        <v/>
      </c>
      <c r="CT83" s="782" t="str">
        <f t="shared" ca="1" si="59"/>
        <v/>
      </c>
      <c r="CU83" s="782" t="str">
        <f t="shared" ca="1" si="60"/>
        <v/>
      </c>
      <c r="CV83" s="155">
        <f ca="1">IF(BD83,_xll.EURO(CN83,Strike1,AO83,AO83,CT83,CM83,IF(OptControl=4,0,1),0),0)</f>
        <v>0</v>
      </c>
      <c r="CW83" s="155">
        <f ca="1">IF(BD83,_xll.EURO(CN83,Strike1,AO83,AO83,CT83,CM83,IF(OptControl=4,0,1),1)+IF(OR(VolSkewFlag=2,ABS(CO83)&lt;0.0001),0,IF(CO83&gt;0,-1,1)*CX83*100*Strike1/CN83^2*CQ83/10%),0)</f>
        <v>0</v>
      </c>
      <c r="CX83" s="155">
        <f ca="1">IF(BD83,_xll.EURO(CN83,Strike1,AO83,AO83,CT83,CM83,IF(OptControl=4,0,1),3)/100,0)</f>
        <v>0</v>
      </c>
      <c r="CY83" s="155">
        <f ca="1">IF(BD83,_xll.EURO(CN83,Strike1,AO83,AO83,CT83,CM83,IF(OptControl=4,0,1),0)-_xll.EURO(CN83,Strike1,AO83,AO83,CT83,CM83-1,IF(OptControl=4,0,1),0),0)</f>
        <v>0</v>
      </c>
      <c r="CZ83" s="155">
        <f ca="1">IF(BD83,_xll.EURO(CN83,Strike2,AO83,AO83,CU83,CM83,IF(OptControl=3,1,0),0),0)</f>
        <v>0</v>
      </c>
      <c r="DA83" s="155">
        <f ca="1">IF(BD83,_xll.EURO(CN83,Strike2,AO83,AO83,CU83,CM83,IF(OptControl=3,1,0),1)+IF(OR(VolSkewFlag=2,ABS(CP83)&lt;0.0001),0,IF(CP83&gt;0,-1,1)*DB83*100*Strike2/CN83^2*CR83/10%),0)</f>
        <v>0</v>
      </c>
      <c r="DB83" s="155">
        <f ca="1">IF(BD83,_xll.EURO(CN83,Strike2,AO83,AO83,CU83,CM83,IF(OptControl=3,1,0),3)/100,0)</f>
        <v>0</v>
      </c>
      <c r="DC83" s="156">
        <f ca="1">IF(BD83,_xll.EURO(CN83,Strike2,AO83,AO83,CU83,CM83,IF(OptControl=3,1,0),0)-_xll.EURO(CN83,Strike2,AO83,AO83,CU83,CM83-1,IF(OptControl=3,1,0),0),0)</f>
        <v>0</v>
      </c>
      <c r="DE83" s="651">
        <f t="shared" ca="1" si="61"/>
        <v>38838</v>
      </c>
      <c r="DF83" s="465">
        <v>1E-4</v>
      </c>
      <c r="DG83" s="649">
        <v>1E-4</v>
      </c>
      <c r="DH83" s="650">
        <f t="shared" ref="DH83:DH114" ca="1" si="306">DE83</f>
        <v>38838</v>
      </c>
      <c r="DI83" s="465">
        <v>1E-4</v>
      </c>
      <c r="DJ83" s="649">
        <v>1E-4</v>
      </c>
      <c r="DK83" s="651">
        <f t="shared" ref="DK83:DK114" ca="1" si="307">DE83</f>
        <v>38838</v>
      </c>
      <c r="DL83" s="652">
        <f t="shared" ref="DL83:DL114" si="308">DI83+BrentPhyBrentSpread</f>
        <v>5.0100000000000006E-2</v>
      </c>
      <c r="DM83" s="651">
        <f t="shared" ca="1" si="62"/>
        <v>38838</v>
      </c>
      <c r="DN83" s="563">
        <f t="shared" si="63"/>
        <v>-0.12990000000000002</v>
      </c>
      <c r="DO83" s="803">
        <v>-0.13</v>
      </c>
      <c r="DP83" s="650">
        <f t="shared" ref="DP83:DP114" ca="1" si="309">DE83</f>
        <v>38838</v>
      </c>
      <c r="DQ83" s="653">
        <v>1E-4</v>
      </c>
      <c r="DR83" s="590">
        <v>1E-4</v>
      </c>
      <c r="DS83" s="650">
        <f t="shared" ref="DS83:DS114" ca="1" si="310">DE83</f>
        <v>38838</v>
      </c>
      <c r="DT83" s="653">
        <v>1E-4</v>
      </c>
      <c r="DU83" s="590">
        <v>1E-4</v>
      </c>
      <c r="DV83" s="651">
        <f t="shared" ref="DV83:DV114" ca="1" si="311">DE83</f>
        <v>38838</v>
      </c>
      <c r="DW83" s="590">
        <v>1E-4</v>
      </c>
      <c r="DX83" s="651">
        <f t="shared" ca="1" si="64"/>
        <v>38838</v>
      </c>
      <c r="DY83" s="590">
        <f t="shared" si="65"/>
        <v>1E-4</v>
      </c>
      <c r="DZ83" s="1"/>
      <c r="EA83" s="863" t="e">
        <f ca="1">_xll.ASN(X83,X83,AO83,AS83,0,AI83,0,BI83,BL83,1,0)</f>
        <v>#NAME?</v>
      </c>
      <c r="EB83" s="653" t="e">
        <f ca="1">_xll.ASN(X83,X83,AO83,AS83,0,AI83,0,BI83,BL83,1,3)/100</f>
        <v>#NAME?</v>
      </c>
      <c r="EC83" s="653" t="e">
        <f ca="1">_xll.xCrudeAPO(L84,L85,O84,O85,S84,S85,BI83,BL83,AJ83,AK83,0,X83,AO83,1,0,+BL83,1,0,1)</f>
        <v>#NAME?</v>
      </c>
      <c r="ED83" s="869" t="e">
        <f t="shared" ca="1" si="165"/>
        <v>#NAME?</v>
      </c>
      <c r="EE83" s="863" t="e">
        <f t="shared" ref="EE83:EE146" ca="1" si="312">AS83+ED83</f>
        <v>#NAME?</v>
      </c>
      <c r="EF83" s="590" t="e">
        <f t="shared" ref="EF83:EF146" ca="1" si="313">AU83+ED83</f>
        <v>#NAME?</v>
      </c>
      <c r="EG83" s="862" t="str">
        <f t="shared" ref="EG83:EG114" ca="1" si="314">IF(BD83,IF(Underlying=1,AS83,AU83),"")</f>
        <v/>
      </c>
      <c r="EH83" s="114" t="str">
        <f t="shared" ref="EH83:EH146" ca="1" si="315">IF($BD83,$EG83+IF(VolSkewFlag=1,IF(BQ83&gt;0,$BA83*MIN(BQ83/10%,1)+($BB83-$BA83)*MAX(0,MIN(BQ83/10%-1,1))+($BC83-$BB83)*MAX(0,BQ83/10%-2),$AZ83*MIN(-BQ83/10%,1)+($AY83-$AZ83)*MAX(0,MIN(-BQ83/10%-1,1))+($AX83-$AY83)*MAX(0,-BQ83/10%-2)),0),"")</f>
        <v/>
      </c>
      <c r="EI83" s="109" t="str">
        <f t="shared" ref="EI83:EI146" ca="1" si="316">IF($BD83,$EG83+IF(VolSkewFlag=1,IF(BR83&gt;0,$BA83*MIN(BR83/10%,1)+($BB83-$BA83)*MAX(0,MIN(BR83/10%-1,1))+($BC83-$BB83)*MAX(0,BR83/10%-2),$AZ83*MIN(-BR83/10%,1)+($AY83-$AZ83)*MAX(0,MIN(-BR83/10%-1,1))+($AX83-$AY83)*MAX(0,-BR83/10%-2)),0),"")</f>
        <v/>
      </c>
      <c r="EJ83" s="115">
        <f ca="1">IF(BD83,_xll.xASN(BP83,Strike1,AO83,EH83,0,BM83,0,BI83,BL83,IF(OptControl=4,0,1),0),0)</f>
        <v>0</v>
      </c>
      <c r="EK83" s="108">
        <f ca="1">IF(BD83,_xll.xASN(BP83,Strike2,AO83,EI83,0,BM83,0,BI83,BL83,IF(OptControl=3,1,0),0),0)</f>
        <v>0</v>
      </c>
      <c r="EP83" s="53"/>
      <c r="EQ83" s="1"/>
      <c r="ER83" s="681">
        <v>43459</v>
      </c>
      <c r="ES83" s="682">
        <v>48207</v>
      </c>
      <c r="ET83" s="1"/>
      <c r="EU83" s="667" t="s">
        <v>295</v>
      </c>
      <c r="EW83" s="488">
        <v>64</v>
      </c>
      <c r="EX83" s="466">
        <f t="shared" ca="1" si="166"/>
        <v>5.2676249144421625</v>
      </c>
      <c r="EY83" s="824">
        <f t="shared" ca="1" si="189"/>
        <v>0.19247017793292262</v>
      </c>
      <c r="EZ83" s="798">
        <f t="shared" ca="1" si="269"/>
        <v>0.19749604046028502</v>
      </c>
      <c r="FA83" s="468" t="str">
        <f t="shared" ca="1" si="270"/>
        <v/>
      </c>
      <c r="FB83" s="467" t="str">
        <f t="shared" ca="1" si="271"/>
        <v/>
      </c>
      <c r="FC83" s="242">
        <v>0</v>
      </c>
      <c r="FD83" s="589" t="str">
        <f ca="1">IF(OR(FA83="",FA84=""),"",SQRT(SUM(INDEX(FO83:IH83,SwaptionFirstMonthPosition+1):INDEX(FO83:IH83,FN83))/SUM(INDEX($FO$15:$IH$15,SwaptionFirstMonthPosition+1):INDEX($FO$15:$IH$15,FN83))))</f>
        <v/>
      </c>
      <c r="FE83" s="565" t="str">
        <f ca="1">IF(OR(FA83="",FA82=""),"",SQRT(SUM(INDEX(FO83:IH83,SwaptionFirstMonthPosition+1):INDEX(FO83:IH83,FN83-1))/SUM(INDEX($FO$15:$IH$15,SwaptionFirstMonthPosition+1):INDEX($FO$15:$IH$15,FN83-1))))</f>
        <v/>
      </c>
      <c r="FF83" s="562" t="str">
        <f t="shared" ca="1" si="190"/>
        <v/>
      </c>
      <c r="FG83" s="593" t="str">
        <f t="shared" ca="1" si="191"/>
        <v/>
      </c>
      <c r="FH83" s="563" t="str">
        <f t="shared" ca="1" si="192"/>
        <v/>
      </c>
      <c r="FI83" s="563" t="str">
        <f t="shared" ca="1" si="193"/>
        <v/>
      </c>
      <c r="FJ83" s="563" t="str">
        <f t="shared" ca="1" si="194"/>
        <v/>
      </c>
      <c r="FK83" s="564" t="str">
        <f t="shared" ca="1" si="195"/>
        <v/>
      </c>
      <c r="FL83" s="590" t="str">
        <f t="shared" ca="1" si="196"/>
        <v/>
      </c>
      <c r="FM83" s="242"/>
      <c r="FN83" s="657">
        <v>64</v>
      </c>
      <c r="FO83" s="450">
        <f t="shared" ca="1" si="197"/>
        <v>6.5409074232065684E-4</v>
      </c>
      <c r="FP83" s="450">
        <f t="shared" ca="1" si="198"/>
        <v>2.4519786032503386E-3</v>
      </c>
      <c r="FQ83" s="450">
        <f t="shared" ca="1" si="199"/>
        <v>2.3647694254288107E-3</v>
      </c>
      <c r="FR83" s="450">
        <f t="shared" ca="1" si="200"/>
        <v>2.6035030155121589E-3</v>
      </c>
      <c r="FS83" s="450">
        <f t="shared" ca="1" si="201"/>
        <v>2.4353975605031063E-3</v>
      </c>
      <c r="FT83" s="450">
        <f t="shared" ca="1" si="202"/>
        <v>2.5921714948381816E-3</v>
      </c>
      <c r="FU83" s="450">
        <f t="shared" ca="1" si="203"/>
        <v>2.4250817458929567E-3</v>
      </c>
      <c r="FV83" s="450">
        <f t="shared" ca="1" si="204"/>
        <v>2.2588248507727031E-3</v>
      </c>
      <c r="FW83" s="450">
        <f t="shared" ca="1" si="205"/>
        <v>2.415434105178086E-3</v>
      </c>
      <c r="FX83" s="450">
        <f t="shared" ca="1" si="206"/>
        <v>2.6519756528617451E-3</v>
      </c>
      <c r="FY83" s="450">
        <f t="shared" ca="1" si="207"/>
        <v>2.3263227238195161E-3</v>
      </c>
      <c r="FZ83" s="450">
        <f t="shared" ca="1" si="208"/>
        <v>2.3223293861819789E-3</v>
      </c>
      <c r="GA83" s="450">
        <f t="shared" ca="1" si="209"/>
        <v>2.6383607394235777E-3</v>
      </c>
      <c r="GB83" s="450">
        <f t="shared" ca="1" si="210"/>
        <v>2.3150300944835334E-3</v>
      </c>
      <c r="GC83" s="450">
        <f t="shared" ca="1" si="211"/>
        <v>2.5509082565274431E-3</v>
      </c>
      <c r="GD83" s="450">
        <f t="shared" ca="1" si="212"/>
        <v>2.3883853434975596E-3</v>
      </c>
      <c r="GE83" s="450">
        <f t="shared" ca="1" si="213"/>
        <v>2.3060898274537096E-3</v>
      </c>
      <c r="GF83" s="450">
        <f t="shared" ca="1" si="214"/>
        <v>2.621496660813862E-3</v>
      </c>
      <c r="GG83" s="450">
        <f t="shared" ca="1" si="215"/>
        <v>2.3811223000875497E-3</v>
      </c>
      <c r="GH83" s="450">
        <f t="shared" ca="1" si="216"/>
        <v>2.300159656077082E-3</v>
      </c>
      <c r="GI83" s="450">
        <f t="shared" ca="1" si="217"/>
        <v>2.4575532257210893E-3</v>
      </c>
      <c r="GJ83" s="450">
        <f t="shared" ca="1" si="218"/>
        <v>2.4568236506612344E-3</v>
      </c>
      <c r="GK83" s="450">
        <f t="shared" ca="1" si="219"/>
        <v>2.4566530148954226E-3</v>
      </c>
      <c r="GL83" s="450">
        <f t="shared" ca="1" si="220"/>
        <v>2.2193141098478314E-3</v>
      </c>
      <c r="GM83" s="450">
        <f t="shared" ca="1" si="221"/>
        <v>2.4582211825673961E-3</v>
      </c>
      <c r="GN83" s="450">
        <f t="shared" ca="1" si="222"/>
        <v>2.3807363963569269E-3</v>
      </c>
      <c r="GO83" s="450">
        <f t="shared" ca="1" si="223"/>
        <v>2.4627967943875815E-3</v>
      </c>
      <c r="GP83" s="450">
        <f t="shared" ca="1" si="224"/>
        <v>2.3868565159389414E-3</v>
      </c>
      <c r="GQ83" s="450">
        <f t="shared" ca="1" si="225"/>
        <v>2.4710600228227391E-3</v>
      </c>
      <c r="GR83" s="450">
        <f t="shared" ca="1" si="226"/>
        <v>2.4768354301307762E-3</v>
      </c>
      <c r="GS83" s="450">
        <f t="shared" ca="1" si="227"/>
        <v>2.4037481122542088E-3</v>
      </c>
      <c r="GT83" s="450">
        <f t="shared" ca="1" si="228"/>
        <v>2.4923180990251382E-3</v>
      </c>
      <c r="GU83" s="450">
        <f t="shared" ca="1" si="229"/>
        <v>2.4216145989038184E-3</v>
      </c>
      <c r="GV83" s="450">
        <f t="shared" ca="1" si="230"/>
        <v>2.5141107416135709E-3</v>
      </c>
      <c r="GW83" s="450">
        <f t="shared" ca="1" si="231"/>
        <v>2.5278575007821108E-3</v>
      </c>
      <c r="GX83" s="450">
        <f t="shared" ca="1" si="232"/>
        <v>2.3797003578324423E-3</v>
      </c>
      <c r="GY83" s="450">
        <f t="shared" ca="1" si="233"/>
        <v>2.5622681242139077E-3</v>
      </c>
      <c r="GZ83" s="450">
        <f t="shared" ca="1" si="234"/>
        <v>2.5001871053000652E-3</v>
      </c>
      <c r="HA83" s="450">
        <f t="shared" ca="1" si="235"/>
        <v>2.6079587366086591E-3</v>
      </c>
      <c r="HB83" s="450">
        <f t="shared" ca="1" si="236"/>
        <v>2.5509543788926141E-3</v>
      </c>
      <c r="HC83" s="450">
        <f t="shared" ca="1" si="237"/>
        <v>2.6680978867744819E-3</v>
      </c>
      <c r="HD83" s="450">
        <f t="shared" ca="1" si="238"/>
        <v>2.7048625618320866E-3</v>
      </c>
      <c r="HE83" s="450">
        <f t="shared" ca="1" si="239"/>
        <v>2.6583336925092614E-3</v>
      </c>
      <c r="HF83" s="450">
        <f t="shared" ca="1" si="240"/>
        <v>2.7951249526517482E-3</v>
      </c>
      <c r="HG83" s="450">
        <f t="shared" ca="1" si="241"/>
        <v>2.7583778933685981E-3</v>
      </c>
      <c r="HH83" s="450">
        <f t="shared" ca="1" si="242"/>
        <v>2.9136341388691458E-3</v>
      </c>
      <c r="HI83" s="450">
        <f t="shared" ca="1" si="243"/>
        <v>2.9863602560820908E-3</v>
      </c>
      <c r="HJ83" s="450">
        <f t="shared" ca="1" si="244"/>
        <v>2.7729656579348521E-3</v>
      </c>
      <c r="HK83" s="450">
        <f t="shared" ca="1" si="245"/>
        <v>3.1666560668959154E-3</v>
      </c>
      <c r="HL83" s="450">
        <f t="shared" ca="1" si="246"/>
        <v>3.1726747255330446E-3</v>
      </c>
      <c r="HM83" s="450">
        <f t="shared" ca="1" si="247"/>
        <v>3.4082289424151079E-3</v>
      </c>
      <c r="HN83" s="450">
        <f t="shared" ca="1" si="248"/>
        <v>3.4447397593582486E-3</v>
      </c>
      <c r="HO83" s="450">
        <f t="shared" ca="1" si="249"/>
        <v>3.7368282764862993E-3</v>
      </c>
      <c r="HP83" s="450">
        <f t="shared" ca="1" si="250"/>
        <v>3.9455634869779588E-3</v>
      </c>
      <c r="HQ83" s="450">
        <f t="shared" ca="1" si="251"/>
        <v>4.0575880014758186E-3</v>
      </c>
      <c r="HR83" s="450">
        <f t="shared" ca="1" si="252"/>
        <v>4.4877837863093852E-3</v>
      </c>
      <c r="HS83" s="450">
        <f t="shared" ca="1" si="253"/>
        <v>4.6861051759438605E-3</v>
      </c>
      <c r="HT83" s="450">
        <f t="shared" ca="1" si="254"/>
        <v>5.2721894940708251E-3</v>
      </c>
      <c r="HU83" s="450">
        <f t="shared" ca="1" si="255"/>
        <v>5.7986093429407736E-3</v>
      </c>
      <c r="HV83" s="450">
        <f t="shared" ca="1" si="256"/>
        <v>5.8262270414599091E-3</v>
      </c>
      <c r="HW83" s="450">
        <f t="shared" ca="1" si="257"/>
        <v>7.2678604564443217E-3</v>
      </c>
      <c r="HX83" s="450">
        <f t="shared" ca="1" si="258"/>
        <v>8.0395140026105674E-3</v>
      </c>
      <c r="HY83" s="450">
        <f t="shared" ca="1" si="259"/>
        <v>9.6512244219823344E-3</v>
      </c>
      <c r="HZ83" s="450">
        <f t="shared" ca="1" si="260"/>
        <v>1.1051505435766844E-2</v>
      </c>
      <c r="IA83" s="450" t="str">
        <f t="shared" si="261"/>
        <v/>
      </c>
      <c r="IB83" s="450" t="str">
        <f t="shared" si="262"/>
        <v/>
      </c>
      <c r="IC83" s="450" t="str">
        <f t="shared" si="263"/>
        <v/>
      </c>
      <c r="ID83" s="450" t="str">
        <f t="shared" si="264"/>
        <v/>
      </c>
      <c r="IE83" s="450" t="str">
        <f t="shared" si="265"/>
        <v/>
      </c>
      <c r="IF83" s="450" t="str">
        <f t="shared" si="266"/>
        <v/>
      </c>
      <c r="IG83" s="450" t="str">
        <f t="shared" si="267"/>
        <v/>
      </c>
      <c r="IH83" s="658" t="str">
        <f t="shared" si="268"/>
        <v/>
      </c>
      <c r="II83" s="242"/>
    </row>
    <row r="84" spans="8:243">
      <c r="H84" s="49" t="e">
        <f t="shared" ref="H84:H147" ca="1" si="317">VLOOKUP(I84,$EN$20:$EP$54,3)</f>
        <v>#N/A</v>
      </c>
      <c r="I84" s="369">
        <f t="shared" ref="I84:I147" si="318">EOMONTH(I83,0)+1</f>
        <v>38961</v>
      </c>
      <c r="J84" s="367">
        <v>21.734999999999999</v>
      </c>
      <c r="K84" s="101" t="s">
        <v>268</v>
      </c>
      <c r="L84" s="382">
        <f t="shared" ref="L84:L147" si="319">IF(ISNUMBER(K84),J84+K84/100,IF(K84="extra",L83+VLOOKUP(BF84,PriceSpreadTable,2)/12,IF(K84="inter",interpolateprices($K$19:$L$200,ROW(K84)-ROW(FirstPricingMonth)+1),interpolatechanges($J$19:$K$200,ROW(K84)-ROW(FirstPricingMonth)+1))))</f>
        <v>21.734999999999999</v>
      </c>
      <c r="M84" s="163">
        <v>0.19025</v>
      </c>
      <c r="N84" s="372">
        <v>0</v>
      </c>
      <c r="O84" s="163">
        <f t="shared" si="272"/>
        <v>0.19025</v>
      </c>
      <c r="P84" s="367">
        <v>20.525935570689299</v>
      </c>
      <c r="Q84" s="101" t="s">
        <v>267</v>
      </c>
      <c r="R84" s="367">
        <f t="shared" ca="1" si="147"/>
        <v>20.525935570689338</v>
      </c>
      <c r="S84" s="814">
        <f t="shared" si="163"/>
        <v>0.36654527714775575</v>
      </c>
      <c r="T84" s="813">
        <f t="shared" si="148"/>
        <v>0.99990796006414884</v>
      </c>
      <c r="U84" s="532">
        <f t="shared" si="149"/>
        <v>0.99999999984863963</v>
      </c>
      <c r="V84" s="379">
        <v>0</v>
      </c>
      <c r="W84" s="424">
        <f t="shared" si="273"/>
        <v>21.701666666666668</v>
      </c>
      <c r="X84" s="405">
        <f t="shared" si="274"/>
        <v>21.701666666666661</v>
      </c>
      <c r="Y84" s="313">
        <f t="shared" si="275"/>
        <v>20.383266666666668</v>
      </c>
      <c r="Z84" s="313">
        <f t="shared" ca="1" si="276"/>
        <v>20.38326666666666</v>
      </c>
      <c r="AA84" s="419">
        <f t="shared" si="277"/>
        <v>1.3184</v>
      </c>
      <c r="AB84" s="423">
        <f t="shared" ca="1" si="278"/>
        <v>1.3184</v>
      </c>
      <c r="AC84" s="221">
        <v>38949</v>
      </c>
      <c r="AD84" s="221">
        <v>38945</v>
      </c>
      <c r="AE84" s="221">
        <v>38944</v>
      </c>
      <c r="AF84" s="221">
        <v>38940</v>
      </c>
      <c r="AG84" s="241" t="s">
        <v>90</v>
      </c>
      <c r="AH84" s="239" t="s">
        <v>497</v>
      </c>
      <c r="AI84" s="141">
        <v>21</v>
      </c>
      <c r="AJ84" s="41">
        <v>14</v>
      </c>
      <c r="AK84" s="41">
        <v>7</v>
      </c>
      <c r="AL84" s="285">
        <v>21</v>
      </c>
      <c r="AM84" s="41">
        <v>10</v>
      </c>
      <c r="AN84" s="142">
        <v>11</v>
      </c>
      <c r="AO84" s="364">
        <v>5.4327668112422997E-2</v>
      </c>
      <c r="AP84" s="145">
        <f t="shared" ref="AP84:AP147" ca="1" si="320">(1+AO84/2)^(-2*BL84)</f>
        <v>0.74563920903990077</v>
      </c>
      <c r="AQ84" s="364">
        <v>4.6508125419476402E-2</v>
      </c>
      <c r="AR84" s="145">
        <f t="shared" ca="1" si="151"/>
        <v>0.78185623901516521</v>
      </c>
      <c r="AS84" s="264">
        <f t="shared" si="279"/>
        <v>0.18888333333333332</v>
      </c>
      <c r="AT84" s="149">
        <f t="shared" ref="AT84:AT147" si="321">O84*VLOOKUP(BF84,BrentVolTable,2)+VLOOKUP(BF84,BrentVolTable,3)</f>
        <v>0.19025</v>
      </c>
      <c r="AU84" s="149">
        <f t="shared" si="280"/>
        <v>0.18867380952380952</v>
      </c>
      <c r="AV84" s="263">
        <f t="shared" ca="1" si="164"/>
        <v>0.18604697356535504</v>
      </c>
      <c r="AW84" s="150" t="str">
        <f t="shared" ca="1" si="281"/>
        <v/>
      </c>
      <c r="AX84" s="149">
        <f t="shared" ca="1" si="152"/>
        <v>2.6430569168835561E-2</v>
      </c>
      <c r="AY84" s="149">
        <f t="shared" ca="1" si="153"/>
        <v>1.285491279771052E-2</v>
      </c>
      <c r="AZ84" s="149">
        <f t="shared" ca="1" si="154"/>
        <v>7.2992434612973913E-3</v>
      </c>
      <c r="BA84" s="149">
        <f t="shared" ca="1" si="155"/>
        <v>1.0000000000000206E-4</v>
      </c>
      <c r="BB84" s="149">
        <f t="shared" ca="1" si="156"/>
        <v>1.0000000000000206E-4</v>
      </c>
      <c r="BC84" s="149">
        <f t="shared" ca="1" si="157"/>
        <v>1.0000000000000206E-4</v>
      </c>
      <c r="BD84" s="143">
        <f t="shared" ca="1" si="282"/>
        <v>0</v>
      </c>
      <c r="BE84" s="144">
        <f t="shared" ca="1" si="283"/>
        <v>0</v>
      </c>
      <c r="BF84" s="40">
        <f t="shared" si="284"/>
        <v>2006</v>
      </c>
      <c r="BG84" s="139">
        <f t="shared" si="285"/>
        <v>9</v>
      </c>
      <c r="BH84" s="140">
        <f t="shared" ca="1" si="286"/>
        <v>1955</v>
      </c>
      <c r="BI84" s="304">
        <f t="shared" ca="1" si="287"/>
        <v>5.3963039014373715</v>
      </c>
      <c r="BJ84" s="42">
        <f t="shared" ca="1" si="288"/>
        <v>5.4492356833219251</v>
      </c>
      <c r="BK84" s="42">
        <f t="shared" ca="1" si="289"/>
        <v>5.4519735341090572</v>
      </c>
      <c r="BL84" s="42">
        <f t="shared" ca="1" si="290"/>
        <v>5.4757015742642023</v>
      </c>
      <c r="BM84" s="285">
        <f t="shared" ref="BM84:BM100" si="322">CHOOSE(Underlying,AI84,AL84)</f>
        <v>21</v>
      </c>
      <c r="BN84" s="41">
        <f t="shared" si="291"/>
        <v>14</v>
      </c>
      <c r="BO84" s="41">
        <f t="shared" si="292"/>
        <v>7</v>
      </c>
      <c r="BP84" s="297" t="str">
        <f t="shared" ca="1" si="293"/>
        <v/>
      </c>
      <c r="BQ84" s="297" t="str">
        <f t="shared" ca="1" si="294"/>
        <v/>
      </c>
      <c r="BR84" s="299" t="str">
        <f t="shared" ca="1" si="295"/>
        <v/>
      </c>
      <c r="BS84" s="153" t="str">
        <f t="shared" ca="1" si="296"/>
        <v/>
      </c>
      <c r="BT84" s="153" t="str">
        <f t="shared" ca="1" si="297"/>
        <v/>
      </c>
      <c r="BU84" s="300" t="str">
        <f t="shared" ca="1" si="298"/>
        <v/>
      </c>
      <c r="BV84" s="301" t="str">
        <f t="shared" ca="1" si="299"/>
        <v/>
      </c>
      <c r="BW84" s="300" t="str">
        <f t="shared" ca="1" si="300"/>
        <v/>
      </c>
      <c r="BX84" s="301" t="str">
        <f t="shared" ca="1" si="301"/>
        <v/>
      </c>
      <c r="BY84" s="146" t="str">
        <f t="shared" ca="1" si="302"/>
        <v/>
      </c>
      <c r="BZ84" s="146" t="str">
        <f t="shared" ca="1" si="303"/>
        <v/>
      </c>
      <c r="CA84" s="146" t="str">
        <f t="shared" ca="1" si="304"/>
        <v/>
      </c>
      <c r="CB84" s="146" t="str">
        <f t="shared" ca="1" si="305"/>
        <v/>
      </c>
      <c r="CC84" s="302">
        <v>1</v>
      </c>
      <c r="CD84" s="154">
        <f ca="1">IF(BD84,_xll.xCrudeAPO(BS84,BT84,BY84,BZ84,S85,S86,BI84,BL84,BN84,BO84,0,Strike1,AO84,CC84,0,BL84,IF(OptControl=4,0,1),0,1),0)</f>
        <v>0</v>
      </c>
      <c r="CE84" s="155">
        <f ca="1">IF(BD84,_xll.xCrudeAPO(BS84,BT84,BY84,BZ84,S85,S86,BI84,BL84,BN84,BO84,0,Strike1,AO84,CC84,0,BL84,IF(OptControl=4,0,1),1,1)+_xll.xCrudeAPO(BS84,BT84,BY84,BZ84,S85,S86,BI84,BL84,BN84,BO84,0,Strike1,AO84,CC84,0,BL84,IF(OptControl=4,0,1),1,2)+IF(OR(VolSkewFlag=2,ABS(BQ84)&lt;0.0001),0,IF(BQ84&gt;0,-1,1)*CF84*Strike1/BP84^2*BW84/10%),0)</f>
        <v>0</v>
      </c>
      <c r="CF84" s="155">
        <f ca="1">IF(BD84,(_xll.xCrudeAPO(BS84,BT84,BY84,BZ84,S85,S86,BI84,BL84,BN84,BO84,0,Strike1,AO84,CC84,0,BL84,IF(OptControl=4,0,1),3,1)+_xll.xCrudeAPO(BS84,BT84,BY84,BZ84,S85,S86,BI84,BL84,BN84,BO84,0,Strike1,AO84,CC84,0,BL84,IF(OptControl=4,0,1),3,2))/100,0)</f>
        <v>0</v>
      </c>
      <c r="CG84" s="155">
        <f ca="1">IF(BD84,_xll.xCrudeAPO(BS84,BT84,BY84,BZ84,S85,S86,BI84-DaysForThetaCalculation/365.25,BL84-DaysForThetaCalculation/365.25,BN84,BO84,0,Strike1,AO84,CC84,0,BL84,IF(OptControl=4,0,1),0,1)-_xll.xCrudeAPO(BS84,BT84,BY84,BZ84,S85,S86,BI84,BL84,BN84,BO84,0,Strike1,AO84,CC84,0,BL84,IF(OptControl=4,0,1),0,1),0)</f>
        <v>0</v>
      </c>
      <c r="CH84" s="303">
        <f ca="1">IF(BD84,_xll.xCrudeAPO(BS84,BT84,CA84,CB84,S85,S86,BI84,BL84,BN84,BO84,0,Strike2,AO84,CC84,0,BL84,IF(OptControl=3,1,0),0,1),0)</f>
        <v>0</v>
      </c>
      <c r="CI84" s="155">
        <f ca="1">IF(BD84,_xll.xCrudeAPO(BS84,BT84,CA84,CB84,S85,S86,BI84,BL84,BN84,BO84,0,Strike2,AO84,CC84,0,BL84,IF(OptControl=3,1,0),1,1)+_xll.xCrudeAPO(BS84,BT84,CA84,CB84,S85,S86,BI84,BL84,BN84,BO84,0,Strike2,AO84,CC84,0,BL84,IF(OptControl=3,1,0),1,2)+IF(OR(VolSkewFlag=2,ABS(BR84)&lt;0.0001),0,IF(BR84&gt;0,-1,1)*CJ84*Strike2/BP84^2*BX84/10%),0)</f>
        <v>0</v>
      </c>
      <c r="CJ84" s="155">
        <f ca="1">IF(BD84,(_xll.xCrudeAPO(BS84,BT84,CA84,CB84,S85,S86,BI84,BL84,BN84,BO84,0,Strike2,AO84,CC84,0,BL84,IF(OptControl=3,1,0),3,1)+_xll.xCrudeAPO(BS84,BT84,CA84,CB84,S85,S86,BI84,BL84,BN84,BO84,0,Strike2,AO84,CC84,0,BL84,IF(OptControl=3,1,0),3,2))/100,0)</f>
        <v>0</v>
      </c>
      <c r="CK84" s="156">
        <f ca="1">IF(BD84,_xll.xCrudeAPO(BS84,BT84,CA84,CB84,S85,S86,BI84-DaysForThetaCalculation/365.25,BL84-DaysForThetaCalculation/365.25,BN84,BO84,0,Strike2,AO84,CC84,0,BL84,IF(OptControl=3,1,0),0,1)-_xll.xCrudeAPO(BS84,BT84,CA84,CB84,S85,S86,BI84,BL84,BN84,BO84,0,Strike2,AO84,CC84,0,BL84,IF(OptControl=3,1,0),0,1),0)</f>
        <v>0</v>
      </c>
      <c r="CL84" s="51"/>
      <c r="CM84" s="779" t="str">
        <f t="shared" ref="CM84:CM147" ca="1" si="323">IF(BD84,CHOOSE(Underlying,AD84,AF84)-DateToday+1,"")</f>
        <v/>
      </c>
      <c r="CN84" s="783" t="str">
        <f t="shared" ref="CN84:CN147" ca="1" si="324">IF(BD84,CHOOSE(Underlying,L84,R84),"")</f>
        <v/>
      </c>
      <c r="CO84" s="780" t="str">
        <f t="shared" ref="CO84:CO147" ca="1" si="325">IF(BD84,Strike1/CN84-1,"")</f>
        <v/>
      </c>
      <c r="CP84" s="780" t="str">
        <f t="shared" ref="CP84:CP147" ca="1" si="326">IF(BD84,Strike2/CN84-1,"")</f>
        <v/>
      </c>
      <c r="CQ84" s="780" t="str">
        <f t="shared" ref="CQ84:CQ147" ca="1" si="327">IF(BD84,IF(CO84&gt;0,IF(CO84&gt;0.2,BC83-BB83,IF(CO84&gt;0.1,BB83-BA83,BA83)),IF(CO84&lt;-0.2,AX83-AY83,IF(CO84&lt;-0.1,AY83-AZ83,AZ83))),"")</f>
        <v/>
      </c>
      <c r="CR84" s="780" t="str">
        <f t="shared" ref="CR84:CR147" ca="1" si="328">IF(BD84,IF(CP84&gt;0,IF(CP84&gt;0.2,BC83-BB83,IF(CP84&gt;0.1,BB83-BA83,BA83)),IF(CP84&lt;-0.2,AX83-AY83,IF(CP84&lt;-0.1,AY83-AZ83,AZ83))),"")</f>
        <v/>
      </c>
      <c r="CS84" s="781" t="str">
        <f t="shared" ref="CS84:CS147" ca="1" si="329">IF(BD84,CHOOSE(Underlying,O84,AT84),"")</f>
        <v/>
      </c>
      <c r="CT84" s="782" t="str">
        <f t="shared" ref="CT84:CT147" ca="1" si="330">IF(BD84,CS84+IF(VolSkewFlag=1,IF(CO84&gt;0,BA83*MIN(CO84/10%,1)+(BB83-BA83)*MAX(0,MIN(CO84/10%-1,1))+(BC83-BB83)*MAX(0,CO84/10%-2),AZ83*MIN(-CO84/10%,1)+(AY83-AZ83)*MAX(0,MIN(-CO84/10%-1,1))+(AX83-AY83)*MAX(0,-CO84/10%-2)),0),"")</f>
        <v/>
      </c>
      <c r="CU84" s="782" t="str">
        <f t="shared" ref="CU84:CU147" ca="1" si="331">IF(BD84,CS84+IF(VolSkewFlag=1,IF(CP84&gt;0,BA83*MIN(CP84/10%,1)+(BB83-BA83)*MAX(0,MIN(CP84/10%-1,1))+(BC83-BB83)*MAX(0,CP84/10%-2),AZ83*MIN(-CP84/10%,1)+(AY83-AZ83)*MAX(0,MIN(-CP84/10%-1,1))+(AX83-AY83)*MAX(0,-CP84/10%-2)),0),"")</f>
        <v/>
      </c>
      <c r="CV84" s="155">
        <f ca="1">IF(BD84,_xll.EURO(CN84,Strike1,AO84,AO84,CT84,CM84,IF(OptControl=4,0,1),0),0)</f>
        <v>0</v>
      </c>
      <c r="CW84" s="155">
        <f ca="1">IF(BD84,_xll.EURO(CN84,Strike1,AO84,AO84,CT84,CM84,IF(OptControl=4,0,1),1)+IF(OR(VolSkewFlag=2,ABS(CO84)&lt;0.0001),0,IF(CO84&gt;0,-1,1)*CX84*100*Strike1/CN84^2*CQ84/10%),0)</f>
        <v>0</v>
      </c>
      <c r="CX84" s="155">
        <f ca="1">IF(BD84,_xll.EURO(CN84,Strike1,AO84,AO84,CT84,CM84,IF(OptControl=4,0,1),3)/100,0)</f>
        <v>0</v>
      </c>
      <c r="CY84" s="155">
        <f ca="1">IF(BD84,_xll.EURO(CN84,Strike1,AO84,AO84,CT84,CM84,IF(OptControl=4,0,1),0)-_xll.EURO(CN84,Strike1,AO84,AO84,CT84,CM84-1,IF(OptControl=4,0,1),0),0)</f>
        <v>0</v>
      </c>
      <c r="CZ84" s="155">
        <f ca="1">IF(BD84,_xll.EURO(CN84,Strike2,AO84,AO84,CU84,CM84,IF(OptControl=3,1,0),0),0)</f>
        <v>0</v>
      </c>
      <c r="DA84" s="155">
        <f ca="1">IF(BD84,_xll.EURO(CN84,Strike2,AO84,AO84,CU84,CM84,IF(OptControl=3,1,0),1)+IF(OR(VolSkewFlag=2,ABS(CP84)&lt;0.0001),0,IF(CP84&gt;0,-1,1)*DB84*100*Strike2/CN84^2*CR84/10%),0)</f>
        <v>0</v>
      </c>
      <c r="DB84" s="155">
        <f ca="1">IF(BD84,_xll.EURO(CN84,Strike2,AO84,AO84,CU84,CM84,IF(OptControl=3,1,0),3)/100,0)</f>
        <v>0</v>
      </c>
      <c r="DC84" s="156">
        <f ca="1">IF(BD84,_xll.EURO(CN84,Strike2,AO84,AO84,CU84,CM84,IF(OptControl=3,1,0),0)-_xll.EURO(CN84,Strike2,AO84,AO84,CU84,CM84-1,IF(OptControl=3,1,0),0),0)</f>
        <v>0</v>
      </c>
      <c r="DE84" s="651">
        <f t="shared" ref="DE84:DE147" ca="1" si="332">EOMONTH(DE83,0)+1</f>
        <v>38869</v>
      </c>
      <c r="DF84" s="465">
        <v>1E-4</v>
      </c>
      <c r="DG84" s="649">
        <v>1E-4</v>
      </c>
      <c r="DH84" s="650">
        <f t="shared" ca="1" si="306"/>
        <v>38869</v>
      </c>
      <c r="DI84" s="465">
        <v>1E-4</v>
      </c>
      <c r="DJ84" s="649">
        <v>1E-4</v>
      </c>
      <c r="DK84" s="651">
        <f t="shared" ca="1" si="307"/>
        <v>38869</v>
      </c>
      <c r="DL84" s="652">
        <f t="shared" si="308"/>
        <v>5.0100000000000006E-2</v>
      </c>
      <c r="DM84" s="651">
        <f t="shared" ref="DM84:DM147" ca="1" si="333">DE84</f>
        <v>38869</v>
      </c>
      <c r="DN84" s="563">
        <f t="shared" ref="DN84:DN147" si="334">DJ84+DO84</f>
        <v>-0.12990000000000002</v>
      </c>
      <c r="DO84" s="803">
        <v>-0.13</v>
      </c>
      <c r="DP84" s="650">
        <f t="shared" ca="1" si="309"/>
        <v>38869</v>
      </c>
      <c r="DQ84" s="653">
        <v>1E-4</v>
      </c>
      <c r="DR84" s="590">
        <v>1E-4</v>
      </c>
      <c r="DS84" s="650">
        <f t="shared" ca="1" si="310"/>
        <v>38869</v>
      </c>
      <c r="DT84" s="653">
        <v>1E-4</v>
      </c>
      <c r="DU84" s="590">
        <v>1E-4</v>
      </c>
      <c r="DV84" s="651">
        <f t="shared" ca="1" si="311"/>
        <v>38869</v>
      </c>
      <c r="DW84" s="590">
        <v>1E-4</v>
      </c>
      <c r="DX84" s="651">
        <f t="shared" ref="DX84:DX147" ca="1" si="335">DP84</f>
        <v>38869</v>
      </c>
      <c r="DY84" s="590">
        <f t="shared" ref="DY84:DY147" si="336">DR84</f>
        <v>1E-4</v>
      </c>
      <c r="DZ84" s="1"/>
      <c r="EA84" s="863" t="e">
        <f ca="1">_xll.ASN(X84,X84,AO84,AS84,0,AI84,0,BI84,BL84,1,0)</f>
        <v>#NAME?</v>
      </c>
      <c r="EB84" s="653" t="e">
        <f ca="1">_xll.ASN(X84,X84,AO84,AS84,0,AI84,0,BI84,BL84,1,3)/100</f>
        <v>#NAME?</v>
      </c>
      <c r="EC84" s="653" t="e">
        <f ca="1">_xll.xCrudeAPO(L85,L86,O85,O86,S85,S86,BI84,BL84,AJ84,AK84,0,X84,AO84,1,0,+BL84,1,0,1)</f>
        <v>#NAME?</v>
      </c>
      <c r="ED84" s="869" t="e">
        <f t="shared" ca="1" si="165"/>
        <v>#NAME?</v>
      </c>
      <c r="EE84" s="863" t="e">
        <f t="shared" ca="1" si="312"/>
        <v>#NAME?</v>
      </c>
      <c r="EF84" s="590" t="e">
        <f t="shared" ca="1" si="313"/>
        <v>#NAME?</v>
      </c>
      <c r="EG84" s="862" t="str">
        <f t="shared" ca="1" si="314"/>
        <v/>
      </c>
      <c r="EH84" s="114" t="str">
        <f t="shared" ca="1" si="315"/>
        <v/>
      </c>
      <c r="EI84" s="109" t="str">
        <f t="shared" ca="1" si="316"/>
        <v/>
      </c>
      <c r="EJ84" s="115">
        <f ca="1">IF(BD84,_xll.xASN(BP84,Strike1,AO84,EH84,0,BM84,0,BI84,BL84,IF(OptControl=4,0,1),0),0)</f>
        <v>0</v>
      </c>
      <c r="EK84" s="108">
        <f ca="1">IF(BD84,_xll.xASN(BP84,Strike2,AO84,EI84,0,BM84,0,BI84,BL84,IF(OptControl=3,1,0),0),0)</f>
        <v>0</v>
      </c>
      <c r="EP84" s="53"/>
      <c r="EQ84" s="1"/>
      <c r="ER84" s="681">
        <v>43466</v>
      </c>
      <c r="ES84" s="682">
        <v>48214</v>
      </c>
      <c r="ET84" s="1"/>
      <c r="EU84" s="667" t="s">
        <v>296</v>
      </c>
      <c r="EW84" s="488">
        <v>65</v>
      </c>
      <c r="EX84" s="466">
        <f t="shared" ca="1" si="166"/>
        <v>5.3524982888432584</v>
      </c>
      <c r="EY84" s="824">
        <f t="shared" ref="EY84:EY93" ca="1" si="337">O84^2*EX84</f>
        <v>0.19373401009582478</v>
      </c>
      <c r="EZ84" s="798">
        <f t="shared" ca="1" si="269"/>
        <v>0.19703958218007897</v>
      </c>
      <c r="FA84" s="468" t="str">
        <f t="shared" ca="1" si="270"/>
        <v/>
      </c>
      <c r="FB84" s="467" t="str">
        <f t="shared" ca="1" si="271"/>
        <v/>
      </c>
      <c r="FC84" s="242">
        <v>0</v>
      </c>
      <c r="FD84" s="589" t="str">
        <f ca="1">IF(OR(FA84="",FA85=""),"",SQRT(SUM(INDEX(FO84:IH84,SwaptionFirstMonthPosition+1):INDEX(FO84:IH84,FN84))/SUM(INDEX($FO$15:$IH$15,SwaptionFirstMonthPosition+1):INDEX($FO$15:$IH$15,FN84))))</f>
        <v/>
      </c>
      <c r="FE84" s="565" t="str">
        <f ca="1">IF(OR(FA84="",FA83=""),"",SQRT(SUM(INDEX(FO84:IH84,SwaptionFirstMonthPosition+1):INDEX(FO84:IH84,FN84-1))/SUM(INDEX($FO$15:$IH$15,SwaptionFirstMonthPosition+1):INDEX($FO$15:$IH$15,FN84-1))))</f>
        <v/>
      </c>
      <c r="FF84" s="562" t="str">
        <f t="shared" ref="FF84:FF91" ca="1" si="338">IF(BE84,2/3*FD85+1/3*FE86,"")</f>
        <v/>
      </c>
      <c r="FG84" s="593" t="str">
        <f t="shared" ref="FG84:FG91" ca="1" si="339">IF(BE84,(I85+I84-1)/2-DateToday,"")</f>
        <v/>
      </c>
      <c r="FH84" s="563" t="str">
        <f t="shared" ref="FH84:FH91" ca="1" si="340">IF(BE84,CHOOSE(Underlying,X84,Z84)+SwaptionUnderlyingPrice-$D$26,"")</f>
        <v/>
      </c>
      <c r="FI84" s="563" t="str">
        <f t="shared" ref="FI84:FI91" ca="1" si="341">IF(BE84,CollartionFloor/FH84-1,"")</f>
        <v/>
      </c>
      <c r="FJ84" s="563" t="str">
        <f t="shared" ref="FJ84:FJ91" ca="1" si="342">IF(BE84,CollartionCap/FH84-1,"")</f>
        <v/>
      </c>
      <c r="FK84" s="564" t="str">
        <f t="shared" ref="FK84:FK91" ca="1" si="343">IF(BE84,IF(VolSkewFlag=1,IF(FI84&gt;0,$BA84*MIN(FI84/10%,1)+($BB84-$BA84)*MAX(0,MIN(FI84/10%-1,1))+($BC84-$BB84)*MAX(0,FI84/10%-2),$AZ84*MIN(-FI84/10%,1)+($AY84-$AZ84)*MAX(0,MIN(-FI84/10%-1,1))+($AX84-$AY84)*MAX(0,-FI84/10%-2)),0),"")</f>
        <v/>
      </c>
      <c r="FL84" s="590" t="str">
        <f t="shared" ref="FL84:FL91" ca="1" si="344">IF(BE84,IF(VolSkewFlag=1,IF(FJ84&gt;0,$BA84*MIN(FJ84/10%,1)+($BB84-$BA84)*MAX(0,MIN(FJ84/10%-1,1))+($BC84-$BB84)*MAX(0,FJ84/10%-2),$AZ84*MIN(-FJ84/10%,1)+($AY84-$AZ84)*MAX(0,MIN(-FJ84/10%-1,1))+($AX84-$AY84)*MAX(0,-FJ84/10%-2)),0),"")</f>
        <v/>
      </c>
      <c r="FM84" s="242"/>
      <c r="FN84" s="657">
        <v>65</v>
      </c>
      <c r="FO84" s="450">
        <f t="shared" ref="FO84:FO91" ca="1" si="345">IF(FO$19&gt;$FN84,"",MAX(0,IF(FO$19=$FN84,$S84^2*FO$15,FO83*INDEX($T$20:$T$91,$FN84-FO$19)^2/INDEX($U$20:$U$91,$FN84-FO$19))))</f>
        <v>6.5395696532075532E-4</v>
      </c>
      <c r="FP84" s="450">
        <f t="shared" ref="FP84:FP91" ca="1" si="346">IF(FP$19&gt;$FN84,"",MAX(0,IF(FP$19=$FN84,$S84^2*FP$15,FP83*INDEX($T$20:$T$91,$FN84-FP$19)^2/INDEX($U$20:$U$91,$FN84-FP$19))))</f>
        <v>2.4514213948996343E-3</v>
      </c>
      <c r="FQ84" s="450">
        <f t="shared" ref="FQ84:FQ91" ca="1" si="347">IF(FQ$19&gt;$FN84,"",MAX(0,IF(FQ$19=$FN84,$S84^2*FQ$15,FQ83*INDEX($T$20:$T$91,$FN84-FQ$19)^2/INDEX($U$20:$U$91,$FN84-FQ$19))))</f>
        <v>2.3641723252068869E-3</v>
      </c>
      <c r="FR84" s="450">
        <f t="shared" ref="FR84:FR91" ca="1" si="348">IF(FR$19&gt;$FN84,"",MAX(0,IF(FR$19=$FN84,$S84^2*FR$15,FR83*INDEX($T$20:$T$91,$FN84-FR$19)^2/INDEX($U$20:$U$91,$FN84-FR$19))))</f>
        <v>2.6027725932413286E-3</v>
      </c>
      <c r="FS84" s="450">
        <f t="shared" ref="FS84:FS91" ca="1" si="349">IF(FS$19&gt;$FN84,"",MAX(0,IF(FS$19=$FN84,$S84^2*FS$15,FS83*INDEX($T$20:$T$91,$FN84-FS$19)^2/INDEX($U$20:$U$91,$FN84-FS$19))))</f>
        <v>2.4346383830897351E-3</v>
      </c>
      <c r="FT84" s="450">
        <f t="shared" ref="FT84:FT91" ca="1" si="350">IF(FT$19&gt;$FN84,"",MAX(0,IF(FT$19=$FN84,$S84^2*FT$15,FT83*INDEX($T$20:$T$91,$FN84-FT$19)^2/INDEX($U$20:$U$91,$FN84-FT$19))))</f>
        <v>2.5912736637624298E-3</v>
      </c>
      <c r="FU84" s="450">
        <f t="shared" ref="FU84:FU91" ca="1" si="351">IF(FU$19&gt;$FN84,"",MAX(0,IF(FU$19=$FN84,$S84^2*FU$15,FU83*INDEX($T$20:$T$91,$FN84-FU$19)^2/INDEX($U$20:$U$91,$FN84-FU$19))))</f>
        <v>2.4241484598400017E-3</v>
      </c>
      <c r="FV84" s="450">
        <f t="shared" ref="FV84:FV91" ca="1" si="352">IF(FV$19&gt;$FN84,"",MAX(0,IF(FV$19=$FN84,$S84^2*FV$15,FV83*INDEX($T$20:$T$91,$FN84-FV$19)^2/INDEX($U$20:$U$91,$FN84-FV$19))))</f>
        <v>2.2578589590579808E-3</v>
      </c>
      <c r="FW84" s="450">
        <f t="shared" ref="FW84:FW91" ca="1" si="353">IF(FW$19&gt;$FN84,"",MAX(0,IF(FW$19=$FN84,$S84^2*FW$15,FW83*INDEX($T$20:$T$91,$FN84-FW$19)^2/INDEX($U$20:$U$91,$FN84-FW$19))))</f>
        <v>2.4142864839621484E-3</v>
      </c>
      <c r="FX84" s="450">
        <f t="shared" ref="FX84:FX91" ca="1" si="354">IF(FX$19&gt;$FN84,"",MAX(0,IF(FX$19=$FN84,$S84^2*FX$15,FX83*INDEX($T$20:$T$91,$FN84-FX$19)^2/INDEX($U$20:$U$91,$FN84-FX$19))))</f>
        <v>2.6505756452482763E-3</v>
      </c>
      <c r="FY84" s="450">
        <f t="shared" ref="FY84:FY91" ca="1" si="355">IF(FY$19&gt;$FN84,"",MAX(0,IF(FY$19=$FN84,$S84^2*FY$15,FY83*INDEX($T$20:$T$91,$FN84-FY$19)^2/INDEX($U$20:$U$91,$FN84-FY$19))))</f>
        <v>2.3249581773869478E-3</v>
      </c>
      <c r="FZ84" s="450">
        <f t="shared" ref="FZ84:FZ91" ca="1" si="356">IF(FZ$19&gt;$FN84,"",MAX(0,IF(FZ$19=$FN84,$S84^2*FZ$15,FZ83*INDEX($T$20:$T$91,$FN84-FZ$19)^2/INDEX($U$20:$U$91,$FN84-FZ$19))))</f>
        <v>2.3208158261058057E-3</v>
      </c>
      <c r="GA84" s="450">
        <f t="shared" ref="GA84:GA91" ca="1" si="357">IF(GA$19&gt;$FN84,"",MAX(0,IF(GA$19=$FN84,$S84^2*GA$15,GA83*INDEX($T$20:$T$91,$FN84-GA$19)^2/INDEX($U$20:$U$91,$FN84-GA$19))))</f>
        <v>2.636450149370956E-3</v>
      </c>
      <c r="GB84" s="450">
        <f t="shared" ref="GB84:GB91" ca="1" si="358">IF(GB$19&gt;$FN84,"",MAX(0,IF(GB$19=$FN84,$S84^2*GB$15,GB83*INDEX($T$20:$T$91,$FN84-GB$19)^2/INDEX($U$20:$U$91,$FN84-GB$19))))</f>
        <v>2.3131673749530362E-3</v>
      </c>
      <c r="GC84" s="450">
        <f t="shared" ref="GC84:GC91" ca="1" si="359">IF(GC$19&gt;$FN84,"",MAX(0,IF(GC$19=$FN84,$S84^2*GC$15,GC83*INDEX($T$20:$T$91,$FN84-GC$19)^2/INDEX($U$20:$U$91,$FN84-GC$19))))</f>
        <v>2.5486276878398223E-3</v>
      </c>
      <c r="GD84" s="450">
        <f t="shared" ref="GD84:GD91" ca="1" si="360">IF(GD$19&gt;$FN84,"",MAX(0,IF(GD$19=$FN84,$S84^2*GD$15,GD83*INDEX($T$20:$T$91,$FN84-GD$19)^2/INDEX($U$20:$U$91,$FN84-GD$19))))</f>
        <v>2.3860128217303217E-3</v>
      </c>
      <c r="GE84" s="450">
        <f t="shared" ref="GE84:GE91" ca="1" si="361">IF(GE$19&gt;$FN84,"",MAX(0,IF(GE$19=$FN84,$S84^2*GE$15,GE83*INDEX($T$20:$T$91,$FN84-GE$19)^2/INDEX($U$20:$U$91,$FN84-GE$19))))</f>
        <v>2.303544524281173E-3</v>
      </c>
      <c r="GF84" s="450">
        <f t="shared" ref="GF84:GF91" ca="1" si="362">IF(GF$19&gt;$FN84,"",MAX(0,IF(GF$19=$FN84,$S84^2*GF$15,GF83*INDEX($T$20:$T$91,$FN84-GF$19)^2/INDEX($U$20:$U$91,$FN84-GF$19))))</f>
        <v>2.618281741348536E-3</v>
      </c>
      <c r="GG84" s="450">
        <f t="shared" ref="GG84:GG91" ca="1" si="363">IF(GG$19&gt;$FN84,"",MAX(0,IF(GG$19=$FN84,$S84^2*GG$15,GG83*INDEX($T$20:$T$91,$FN84-GG$19)^2/INDEX($U$20:$U$91,$FN84-GG$19))))</f>
        <v>2.3778777089150925E-3</v>
      </c>
      <c r="GH84" s="450">
        <f t="shared" ref="GH84:GH91" ca="1" si="364">IF(GH$19&gt;$FN84,"",MAX(0,IF(GH$19=$FN84,$S84^2*GH$15,GH83*INDEX($T$20:$T$91,$FN84-GH$19)^2/INDEX($U$20:$U$91,$FN84-GH$19))))</f>
        <v>2.2966771350103115E-3</v>
      </c>
      <c r="GI84" s="450">
        <f t="shared" ref="GI84:GI91" ca="1" si="365">IF(GI$19&gt;$FN84,"",MAX(0,IF(GI$19=$FN84,$S84^2*GI$15,GI83*INDEX($T$20:$T$91,$FN84-GI$19)^2/INDEX($U$20:$U$91,$FN84-GI$19))))</f>
        <v>2.453418980875823E-3</v>
      </c>
      <c r="GJ84" s="450">
        <f t="shared" ref="GJ84:GJ91" ca="1" si="366">IF(GJ$19&gt;$FN84,"",MAX(0,IF(GJ$19=$FN84,$S84^2*GJ$15,GJ83*INDEX($T$20:$T$91,$FN84-GJ$19)^2/INDEX($U$20:$U$91,$FN84-GJ$19))))</f>
        <v>2.4522314089835424E-3</v>
      </c>
      <c r="GK84" s="450">
        <f t="shared" ref="GK84:GK91" ca="1" si="367">IF(GK$19&gt;$FN84,"",MAX(0,IF(GK$19=$FN84,$S84^2*GK$15,GK83*INDEX($T$20:$T$91,$FN84-GK$19)^2/INDEX($U$20:$U$91,$FN84-GK$19))))</f>
        <v>2.4515508785298602E-3</v>
      </c>
      <c r="GL84" s="450">
        <f t="shared" ref="GL84:GL91" ca="1" si="368">IF(GL$19&gt;$FN84,"",MAX(0,IF(GL$19=$FN84,$S84^2*GL$15,GL83*INDEX($T$20:$T$91,$FN84-GL$19)^2/INDEX($U$20:$U$91,$FN84-GL$19))))</f>
        <v>2.2141927592596736E-3</v>
      </c>
      <c r="GM84" s="450">
        <f t="shared" ref="GM84:GM91" ca="1" si="369">IF(GM$19&gt;$FN84,"",MAX(0,IF(GM$19=$FN84,$S84^2*GM$15,GM83*INDEX($T$20:$T$91,$FN84-GM$19)^2/INDEX($U$20:$U$91,$FN84-GM$19))))</f>
        <v>2.4519182279526749E-3</v>
      </c>
      <c r="GN84" s="450">
        <f t="shared" ref="GN84:GN91" ca="1" si="370">IF(GN$19&gt;$FN84,"",MAX(0,IF(GN$19=$FN84,$S84^2*GN$15,GN83*INDEX($T$20:$T$91,$FN84-GN$19)^2/INDEX($U$20:$U$91,$FN84-GN$19))))</f>
        <v>2.3739538616425002E-3</v>
      </c>
      <c r="GO84" s="450">
        <f t="shared" ref="GO84:GO91" ca="1" si="371">IF(GO$19&gt;$FN84,"",MAX(0,IF(GO$19=$FN84,$S84^2*GO$15,GO83*INDEX($T$20:$T$91,$FN84-GO$19)^2/INDEX($U$20:$U$91,$FN84-GO$19))))</f>
        <v>2.4550008849752794E-3</v>
      </c>
      <c r="GP84" s="450">
        <f t="shared" ref="GP84:GP91" ca="1" si="372">IF(GP$19&gt;$FN84,"",MAX(0,IF(GP$19=$FN84,$S84^2*GP$15,GP83*INDEX($T$20:$T$91,$FN84-GP$19)^2/INDEX($U$20:$U$91,$FN84-GP$19))))</f>
        <v>2.3784614906747874E-3</v>
      </c>
      <c r="GQ84" s="450">
        <f t="shared" ref="GQ84:GQ91" ca="1" si="373">IF(GQ$19&gt;$FN84,"",MAX(0,IF(GQ$19=$FN84,$S84^2*GQ$15,GQ83*INDEX($T$20:$T$91,$FN84-GQ$19)^2/INDEX($U$20:$U$91,$FN84-GQ$19))))</f>
        <v>2.4614031507064881E-3</v>
      </c>
      <c r="GR84" s="450">
        <f t="shared" ref="GR84:GR91" ca="1" si="374">IF(GR$19&gt;$FN84,"",MAX(0,IF(GR$19=$FN84,$S84^2*GR$15,GR83*INDEX($T$20:$T$91,$FN84-GR$19)^2/INDEX($U$20:$U$91,$FN84-GR$19))))</f>
        <v>2.4660804942009591E-3</v>
      </c>
      <c r="GS84" s="450">
        <f t="shared" ref="GS84:GS91" ca="1" si="375">IF(GS$19&gt;$FN84,"",MAX(0,IF(GS$19=$FN84,$S84^2*GS$15,GS83*INDEX($T$20:$T$91,$FN84-GS$19)^2/INDEX($U$20:$U$91,$FN84-GS$19))))</f>
        <v>2.3921508060822461E-3</v>
      </c>
      <c r="GT84" s="450">
        <f t="shared" ref="GT84:GT91" ca="1" si="376">IF(GT$19&gt;$FN84,"",MAX(0,IF(GT$19=$FN84,$S84^2*GT$15,GT83*INDEX($T$20:$T$91,$FN84-GT$19)^2/INDEX($U$20:$U$91,$FN84-GT$19))))</f>
        <v>2.4789574016094058E-3</v>
      </c>
      <c r="GU84" s="450">
        <f t="shared" ref="GU84:GU91" ca="1" si="377">IF(GU$19&gt;$FN84,"",MAX(0,IF(GU$19=$FN84,$S84^2*GU$15,GU83*INDEX($T$20:$T$91,$FN84-GU$19)^2/INDEX($U$20:$U$91,$FN84-GU$19))))</f>
        <v>2.4071905171953395E-3</v>
      </c>
      <c r="GV84" s="450">
        <f t="shared" ref="GV84:GV91" ca="1" si="378">IF(GV$19&gt;$FN84,"",MAX(0,IF(GV$19=$FN84,$S84^2*GV$15,GV83*INDEX($T$20:$T$91,$FN84-GV$19)^2/INDEX($U$20:$U$91,$FN84-GV$19))))</f>
        <v>2.4974718251294047E-3</v>
      </c>
      <c r="GW84" s="450">
        <f t="shared" ref="GW84:GW91" ca="1" si="379">IF(GW$19&gt;$FN84,"",MAX(0,IF(GW$19=$FN84,$S84^2*GW$15,GW83*INDEX($T$20:$T$91,$FN84-GW$19)^2/INDEX($U$20:$U$91,$FN84-GW$19))))</f>
        <v>2.5092687280676364E-3</v>
      </c>
      <c r="GX84" s="450">
        <f t="shared" ref="GX84:GX91" ca="1" si="380">IF(GX$19&gt;$FN84,"",MAX(0,IF(GX$19=$FN84,$S84^2*GX$15,GX83*INDEX($T$20:$T$91,$FN84-GX$19)^2/INDEX($U$20:$U$91,$FN84-GX$19))))</f>
        <v>2.3602567033338033E-3</v>
      </c>
      <c r="GY84" s="450">
        <f t="shared" ref="GY84:GY91" ca="1" si="381">IF(GY$19&gt;$FN84,"",MAX(0,IF(GY$19=$FN84,$S84^2*GY$15,GY83*INDEX($T$20:$T$91,$FN84-GY$19)^2/INDEX($U$20:$U$91,$FN84-GY$19))))</f>
        <v>2.5390066259630812E-3</v>
      </c>
      <c r="GZ84" s="450">
        <f t="shared" ref="GZ84:GZ91" ca="1" si="382">IF(GZ$19&gt;$FN84,"",MAX(0,IF(GZ$19=$FN84,$S84^2*GZ$15,GZ83*INDEX($T$20:$T$91,$FN84-GZ$19)^2/INDEX($U$20:$U$91,$FN84-GZ$19))))</f>
        <v>2.4749672197415229E-3</v>
      </c>
      <c r="HA84" s="450">
        <f t="shared" ref="HA84:HA91" ca="1" si="383">IF(HA$19&gt;$FN84,"",MAX(0,IF(HA$19=$FN84,$S84^2*HA$15,HA83*INDEX($T$20:$T$91,$FN84-HA$19)^2/INDEX($U$20:$U$91,$FN84-HA$19))))</f>
        <v>2.5787287371865975E-3</v>
      </c>
      <c r="HB84" s="450">
        <f t="shared" ref="HB84:HB91" ca="1" si="384">IF(HB$19&gt;$FN84,"",MAX(0,IF(HB$19=$FN84,$S84^2*HB$15,HB83*INDEX($T$20:$T$91,$FN84-HB$19)^2/INDEX($U$20:$U$91,$FN84-HB$19))))</f>
        <v>2.5191864959741312E-3</v>
      </c>
      <c r="HC84" s="450">
        <f t="shared" ref="HC84:HC91" ca="1" si="385">IF(HC$19&gt;$FN84,"",MAX(0,IF(HC$19=$FN84,$S84^2*HC$15,HC83*INDEX($T$20:$T$91,$FN84-HC$19)^2/INDEX($U$20:$U$91,$FN84-HC$19))))</f>
        <v>2.6311793201464024E-3</v>
      </c>
      <c r="HD84" s="450">
        <f t="shared" ref="HD84:HD91" ca="1" si="386">IF(HD$19&gt;$FN84,"",MAX(0,IF(HD$19=$FN84,$S84^2*HD$15,HD83*INDEX($T$20:$T$91,$FN84-HD$19)^2/INDEX($U$20:$U$91,$FN84-HD$19))))</f>
        <v>2.6632766943187587E-3</v>
      </c>
      <c r="HE84" s="450">
        <f t="shared" ref="HE84:HE91" ca="1" si="387">IF(HE$19&gt;$FN84,"",MAX(0,IF(HE$19=$FN84,$S84^2*HE$15,HE83*INDEX($T$20:$T$91,$FN84-HE$19)^2/INDEX($U$20:$U$91,$FN84-HE$19))))</f>
        <v>2.6129220145832232E-3</v>
      </c>
      <c r="HF84" s="450">
        <f t="shared" ref="HF84:HF91" ca="1" si="388">IF(HF$19&gt;$FN84,"",MAX(0,IF(HF$19=$FN84,$S84^2*HF$15,HF83*INDEX($T$20:$T$91,$FN84-HF$19)^2/INDEX($U$20:$U$91,$FN84-HF$19))))</f>
        <v>2.7420711190205014E-3</v>
      </c>
      <c r="HG84" s="450">
        <f t="shared" ref="HG84:HG91" ca="1" si="389">IF(HG$19&gt;$FN84,"",MAX(0,IF(HG$19=$FN84,$S84^2*HG$15,HG83*INDEX($T$20:$T$91,$FN84-HG$19)^2/INDEX($U$20:$U$91,$FN84-HG$19))))</f>
        <v>2.7002041784876816E-3</v>
      </c>
      <c r="HH84" s="450">
        <f t="shared" ref="HH84:HH91" ca="1" si="390">IF(HH$19&gt;$FN84,"",MAX(0,IF(HH$19=$FN84,$S84^2*HH$15,HH83*INDEX($T$20:$T$91,$FN84-HH$19)^2/INDEX($U$20:$U$91,$FN84-HH$19))))</f>
        <v>2.8453585362367422E-3</v>
      </c>
      <c r="HI84" s="450">
        <f t="shared" ref="HI84:HI91" ca="1" si="391">IF(HI$19&gt;$FN84,"",MAX(0,IF(HI$19=$FN84,$S84^2*HI$15,HI83*INDEX($T$20:$T$91,$FN84-HI$19)^2/INDEX($U$20:$U$91,$FN84-HI$19))))</f>
        <v>2.9086049182296863E-3</v>
      </c>
      <c r="HJ84" s="450">
        <f t="shared" ref="HJ84:HJ91" ca="1" si="392">IF(HJ$19&gt;$FN84,"",MAX(0,IF(HJ$19=$FN84,$S84^2*HJ$15,HJ83*INDEX($T$20:$T$91,$FN84-HJ$19)^2/INDEX($U$20:$U$91,$FN84-HJ$19))))</f>
        <v>2.6927443022089987E-3</v>
      </c>
      <c r="HK84" s="450">
        <f t="shared" ref="HK84:HK91" ca="1" si="393">IF(HK$19&gt;$FN84,"",MAX(0,IF(HK$19=$FN84,$S84^2*HK$15,HK83*INDEX($T$20:$T$91,$FN84-HK$19)^2/INDEX($U$20:$U$91,$FN84-HK$19))))</f>
        <v>3.0648663530256693E-3</v>
      </c>
      <c r="HL84" s="450">
        <f t="shared" ref="HL84:HL91" ca="1" si="394">IF(HL$19&gt;$FN84,"",MAX(0,IF(HL$19=$FN84,$S84^2*HL$15,HL83*INDEX($T$20:$T$91,$FN84-HL$19)^2/INDEX($U$20:$U$91,$FN84-HL$19))))</f>
        <v>3.0593600821949081E-3</v>
      </c>
      <c r="HM84" s="450">
        <f t="shared" ref="HM84:HM91" ca="1" si="395">IF(HM$19&gt;$FN84,"",MAX(0,IF(HM$19=$FN84,$S84^2*HM$15,HM83*INDEX($T$20:$T$91,$FN84-HM$19)^2/INDEX($U$20:$U$91,$FN84-HM$19))))</f>
        <v>3.2729759950040297E-3</v>
      </c>
      <c r="HN84" s="450">
        <f t="shared" ref="HN84:HN91" ca="1" si="396">IF(HN$19&gt;$FN84,"",MAX(0,IF(HN$19=$FN84,$S84^2*HN$15,HN83*INDEX($T$20:$T$91,$FN84-HN$19)^2/INDEX($U$20:$U$91,$FN84-HN$19))))</f>
        <v>3.2928488136535722E-3</v>
      </c>
      <c r="HO84" s="450">
        <f t="shared" ref="HO84:HO91" ca="1" si="397">IF(HO$19&gt;$FN84,"",MAX(0,IF(HO$19=$FN84,$S84^2*HO$15,HO83*INDEX($T$20:$T$91,$FN84-HO$19)^2/INDEX($U$20:$U$91,$FN84-HO$19))))</f>
        <v>3.5537503017247581E-3</v>
      </c>
      <c r="HP84" s="450">
        <f t="shared" ref="HP84:HP91" ca="1" si="398">IF(HP$19&gt;$FN84,"",MAX(0,IF(HP$19=$FN84,$S84^2*HP$15,HP83*INDEX($T$20:$T$91,$FN84-HP$19)^2/INDEX($U$20:$U$91,$FN84-HP$19))))</f>
        <v>3.7307806940604965E-3</v>
      </c>
      <c r="HQ84" s="450">
        <f t="shared" ref="HQ84:HQ91" ca="1" si="399">IF(HQ$19&gt;$FN84,"",MAX(0,IF(HQ$19=$FN84,$S84^2*HQ$15,HQ83*INDEX($T$20:$T$91,$FN84-HQ$19)^2/INDEX($U$20:$U$91,$FN84-HQ$19))))</f>
        <v>3.8121646470503892E-3</v>
      </c>
      <c r="HR84" s="450">
        <f t="shared" ref="HR84:HR91" ca="1" si="400">IF(HR$19&gt;$FN84,"",MAX(0,IF(HR$19=$FN84,$S84^2*HR$15,HR83*INDEX($T$20:$T$91,$FN84-HR$19)^2/INDEX($U$20:$U$91,$FN84-HR$19))))</f>
        <v>4.1861796065817292E-3</v>
      </c>
      <c r="HS84" s="450">
        <f t="shared" ref="HS84:HS91" ca="1" si="401">IF(HS$19&gt;$FN84,"",MAX(0,IF(HS$19=$FN84,$S84^2*HS$15,HS83*INDEX($T$20:$T$91,$FN84-HS$19)^2/INDEX($U$20:$U$91,$FN84-HS$19))))</f>
        <v>4.3361801906934847E-3</v>
      </c>
      <c r="HT84" s="450">
        <f t="shared" ref="HT84:HT91" ca="1" si="402">IF(HT$19&gt;$FN84,"",MAX(0,IF(HT$19=$FN84,$S84^2*HT$15,HT83*INDEX($T$20:$T$91,$FN84-HT$19)^2/INDEX($U$20:$U$91,$FN84-HT$19))))</f>
        <v>4.8347566149804892E-3</v>
      </c>
      <c r="HU84" s="450">
        <f t="shared" ref="HU84:HU91" ca="1" si="403">IF(HU$19&gt;$FN84,"",MAX(0,IF(HU$19=$FN84,$S84^2*HU$15,HU83*INDEX($T$20:$T$91,$FN84-HU$19)^2/INDEX($U$20:$U$91,$FN84-HU$19))))</f>
        <v>5.2640428254614857E-3</v>
      </c>
      <c r="HV84" s="450">
        <f t="shared" ref="HV84:HV91" ca="1" si="404">IF(HV$19&gt;$FN84,"",MAX(0,IF(HV$19=$FN84,$S84^2*HV$15,HV83*INDEX($T$20:$T$91,$FN84-HV$19)^2/INDEX($U$20:$U$91,$FN84-HV$19))))</f>
        <v>5.229435309856866E-3</v>
      </c>
      <c r="HW84" s="450">
        <f t="shared" ref="HW84:HW91" ca="1" si="405">IF(HW$19&gt;$FN84,"",MAX(0,IF(HW$19=$FN84,$S84^2*HW$15,HW83*INDEX($T$20:$T$91,$FN84-HW$19)^2/INDEX($U$20:$U$91,$FN84-HW$19))))</f>
        <v>6.4406815261071485E-3</v>
      </c>
      <c r="HX84" s="450">
        <f t="shared" ref="HX84:HX91" ca="1" si="406">IF(HX$19&gt;$FN84,"",MAX(0,IF(HX$19=$FN84,$S84^2*HX$15,HX83*INDEX($T$20:$T$91,$FN84-HX$19)^2/INDEX($U$20:$U$91,$FN84-HX$19))))</f>
        <v>7.0228436247090102E-3</v>
      </c>
      <c r="HY84" s="450">
        <f t="shared" ref="HY84:HY91" ca="1" si="407">IF(HY$19&gt;$FN84,"",MAX(0,IF(HY$19=$FN84,$S84^2*HY$15,HY83*INDEX($T$20:$T$91,$FN84-HY$19)^2/INDEX($U$20:$U$91,$FN84-HY$19))))</f>
        <v>8.295128908811962E-3</v>
      </c>
      <c r="HZ84" s="450">
        <f t="shared" ref="HZ84:HZ91" ca="1" si="408">IF(HZ$19&gt;$FN84,"",MAX(0,IF(HZ$19=$FN84,$S84^2*HZ$15,HZ83*INDEX($T$20:$T$91,$FN84-HZ$19)^2/INDEX($U$20:$U$91,$FN84-HZ$19))))</f>
        <v>9.3261173422236558E-3</v>
      </c>
      <c r="IA84" s="450">
        <f t="shared" ref="IA84:IA91" ca="1" si="409">IF(IA$19&gt;$FN84,"",MAX(0,IF(IA$19=$FN84,$S84^2*IA$15,IA83*INDEX($T$20:$T$91,$FN84-IA$19)^2/INDEX($U$20:$U$91,$FN84-IA$19))))</f>
        <v>1.1403199578861366E-2</v>
      </c>
      <c r="IB84" s="450" t="str">
        <f t="shared" ref="IB84:IB91" si="410">IF(IB$19&gt;$FN84,"",MAX(0,IF(IB$19=$FN84,$S84^2*IB$15,IB83*INDEX($T$20:$T$91,$FN84-IB$19)^2/INDEX($U$20:$U$91,$FN84-IB$19))))</f>
        <v/>
      </c>
      <c r="IC84" s="450" t="str">
        <f t="shared" ref="IC84:IC91" si="411">IF(IC$19&gt;$FN84,"",MAX(0,IF(IC$19=$FN84,$S84^2*IC$15,IC83*INDEX($T$20:$T$91,$FN84-IC$19)^2/INDEX($U$20:$U$91,$FN84-IC$19))))</f>
        <v/>
      </c>
      <c r="ID84" s="450" t="str">
        <f t="shared" ref="ID84:ID91" si="412">IF(ID$19&gt;$FN84,"",MAX(0,IF(ID$19=$FN84,$S84^2*ID$15,ID83*INDEX($T$20:$T$91,$FN84-ID$19)^2/INDEX($U$20:$U$91,$FN84-ID$19))))</f>
        <v/>
      </c>
      <c r="IE84" s="450" t="str">
        <f t="shared" ref="IE84:IE91" si="413">IF(IE$19&gt;$FN84,"",MAX(0,IF(IE$19=$FN84,$S84^2*IE$15,IE83*INDEX($T$20:$T$91,$FN84-IE$19)^2/INDEX($U$20:$U$91,$FN84-IE$19))))</f>
        <v/>
      </c>
      <c r="IF84" s="450" t="str">
        <f t="shared" ref="IF84:IF91" si="414">IF(IF$19&gt;$FN84,"",MAX(0,IF(IF$19=$FN84,$S84^2*IF$15,IF83*INDEX($T$20:$T$91,$FN84-IF$19)^2/INDEX($U$20:$U$91,$FN84-IF$19))))</f>
        <v/>
      </c>
      <c r="IG84" s="450" t="str">
        <f t="shared" ref="IG84:IG91" si="415">IF(IG$19&gt;$FN84,"",MAX(0,IF(IG$19=$FN84,$S84^2*IG$15,IG83*INDEX($T$20:$T$91,$FN84-IG$19)^2/INDEX($U$20:$U$91,$FN84-IG$19))))</f>
        <v/>
      </c>
      <c r="IH84" s="658" t="str">
        <f t="shared" ref="IH84:IH91" si="416">IF(IH$19&gt;$FN84,"",MAX(0,IF(IH$19=$FN84,$S84^2*IH$15,IH83*INDEX($T$20:$T$91,$FN84-IH$19)^2/INDEX($U$20:$U$91,$FN84-IH$19))))</f>
        <v/>
      </c>
      <c r="II84" s="242"/>
    </row>
    <row r="85" spans="8:243">
      <c r="H85" s="49" t="e">
        <f t="shared" ca="1" si="317"/>
        <v>#N/A</v>
      </c>
      <c r="I85" s="369">
        <f t="shared" si="318"/>
        <v>38991</v>
      </c>
      <c r="J85" s="367">
        <v>21.71</v>
      </c>
      <c r="K85" s="101" t="s">
        <v>268</v>
      </c>
      <c r="L85" s="382">
        <f t="shared" si="319"/>
        <v>21.709999999999997</v>
      </c>
      <c r="M85" s="163">
        <v>0.18925</v>
      </c>
      <c r="N85" s="372">
        <v>0</v>
      </c>
      <c r="O85" s="163">
        <f t="shared" si="272"/>
        <v>0.18925</v>
      </c>
      <c r="P85" s="367">
        <v>20.3151880225467</v>
      </c>
      <c r="Q85" s="101" t="s">
        <v>267</v>
      </c>
      <c r="R85" s="367">
        <f t="shared" ref="R85:R148" ca="1" si="417">IF(ISNUMBER(Q85),P85+Q85/100,IF(Q85="extra",(Z83*AL83-R84*AM83)/AN83,IF(Q85="inter",interpolateprices($Q$19:$R$260,ROW(Q85)-ROW(FirstPricingMonth)+1),interpolatechanges($P$19:$Q$260,ROW(Q85)-ROW(FirstPricingMonth)+1))))</f>
        <v>20.315188022546653</v>
      </c>
      <c r="S85" s="814">
        <f t="shared" si="163"/>
        <v>0.36627982437627821</v>
      </c>
      <c r="T85" s="813">
        <f t="shared" ref="T85:T148" si="418">SQRT((1-(1-T84^2/U84)*T$18)*U85)</f>
        <v>0.99991716445032608</v>
      </c>
      <c r="U85" s="532">
        <f t="shared" ref="U85:U148" si="419">1-(1-U84)*U$18</f>
        <v>0.9999999998864797</v>
      </c>
      <c r="V85" s="379">
        <v>0</v>
      </c>
      <c r="W85" s="424">
        <f t="shared" si="273"/>
        <v>21.677045454545453</v>
      </c>
      <c r="X85" s="405">
        <f t="shared" si="274"/>
        <v>21.677045454545453</v>
      </c>
      <c r="Y85" s="313">
        <f t="shared" si="275"/>
        <v>20.435445454545452</v>
      </c>
      <c r="Z85" s="313">
        <f t="shared" ca="1" si="276"/>
        <v>20.435445454545452</v>
      </c>
      <c r="AA85" s="419">
        <f t="shared" si="277"/>
        <v>1.2416</v>
      </c>
      <c r="AB85" s="423">
        <f t="shared" ca="1" si="278"/>
        <v>1.2416</v>
      </c>
      <c r="AC85" s="221">
        <v>38980</v>
      </c>
      <c r="AD85" s="221">
        <v>38976</v>
      </c>
      <c r="AE85" s="221">
        <v>38975</v>
      </c>
      <c r="AF85" s="221">
        <v>38971</v>
      </c>
      <c r="AG85" s="241" t="s">
        <v>90</v>
      </c>
      <c r="AH85" s="239" t="s">
        <v>497</v>
      </c>
      <c r="AI85" s="141">
        <v>22</v>
      </c>
      <c r="AJ85" s="41">
        <v>15</v>
      </c>
      <c r="AK85" s="41">
        <v>7</v>
      </c>
      <c r="AL85" s="285">
        <v>22</v>
      </c>
      <c r="AM85" s="41">
        <v>10</v>
      </c>
      <c r="AN85" s="142">
        <v>12</v>
      </c>
      <c r="AO85" s="364">
        <v>5.4441400882783202E-2</v>
      </c>
      <c r="AP85" s="145">
        <f t="shared" ca="1" si="320"/>
        <v>0.74179781027498248</v>
      </c>
      <c r="AQ85" s="364">
        <v>4.6652110689308704E-2</v>
      </c>
      <c r="AR85" s="145">
        <f t="shared" ref="AR85:AR148" ca="1" si="420">(1+AQ85/2)^(-2*BH85/365.25)</f>
        <v>0.77821567111960088</v>
      </c>
      <c r="AS85" s="264">
        <f t="shared" si="279"/>
        <v>0.18786363636363637</v>
      </c>
      <c r="AT85" s="149">
        <f t="shared" si="321"/>
        <v>0.18925</v>
      </c>
      <c r="AU85" s="149">
        <f t="shared" si="280"/>
        <v>0.18765909090909091</v>
      </c>
      <c r="AV85" s="263">
        <f t="shared" ca="1" si="164"/>
        <v>0.18508409497091519</v>
      </c>
      <c r="AW85" s="150" t="str">
        <f t="shared" ca="1" si="281"/>
        <v/>
      </c>
      <c r="AX85" s="149">
        <f t="shared" ref="AX85:AX148" ca="1" si="421">IF($AW85="",AX84^2/AX83,INDEX(U$5:U$8,$AW85)^((INDEX($T$5:$T$8,$AW85+1)-($I85-DateToday+15))/(INDEX($T$5:$T$8,$AW85+1)-INDEX($T$5:$T$8,$AW85)))/INDEX(U$5:U$8,$AW85+1)^((INDEX($T$5:$T$8,$AW85)-($I85-DateToday+15))/(INDEX($T$5:$T$8,$AW85+1)-INDEX($T$5:$T$8,$AW85))))</f>
        <v>2.6059266884105807E-2</v>
      </c>
      <c r="AY85" s="149">
        <f t="shared" ref="AY85:AY148" ca="1" si="422">IF($AW85="",AY84^2/AY83,INDEX(V$5:V$8,$AW85)^((INDEX($T$5:$T$8,$AW85+1)-($I85-DateToday+15))/(INDEX($T$5:$T$8,$AW85+1)-INDEX($T$5:$T$8,$AW85)))/INDEX(V$5:V$8,$AW85+1)^((INDEX($T$5:$T$8,$AW85)-($I85-DateToday+15))/(INDEX($T$5:$T$8,$AW85+1)-INDEX($T$5:$T$8,$AW85))))</f>
        <v>1.2633732858673138E-2</v>
      </c>
      <c r="AZ85" s="149">
        <f t="shared" ref="AZ85:AZ148" ca="1" si="423">IF($AW85="",AZ84^2/AZ83,INDEX(W$5:W$8,$AW85)^((INDEX($T$5:$T$8,$AW85+1)-($I85-DateToday+15))/(INDEX($T$5:$T$8,$AW85+1)-INDEX($T$5:$T$8,$AW85)))/INDEX(W$5:W$8,$AW85+1)^((INDEX($T$5:$T$8,$AW85)-($I85-DateToday+15))/(INDEX($T$5:$T$8,$AW85+1)-INDEX($T$5:$T$8,$AW85))))</f>
        <v>7.2122517369753976E-3</v>
      </c>
      <c r="BA85" s="149">
        <f t="shared" ref="BA85:BA148" ca="1" si="424">IF($AW85="",BA84^2/BA83,INDEX(X$5:X$8,$AW85)^((INDEX($T$5:$T$8,$AW85+1)-($I85-DateToday+15))/(INDEX($T$5:$T$8,$AW85+1)-INDEX($T$5:$T$8,$AW85)))/INDEX(X$5:X$8,$AW85+1)^((INDEX($T$5:$T$8,$AW85)-($I85-DateToday+15))/(INDEX($T$5:$T$8,$AW85+1)-INDEX($T$5:$T$8,$AW85))))</f>
        <v>1.0000000000000211E-4</v>
      </c>
      <c r="BB85" s="149">
        <f t="shared" ref="BB85:BB148" ca="1" si="425">IF($AW85="",BB84^2/BB83,INDEX(Y$5:Y$8,$AW85)^((INDEX($T$5:$T$8,$AW85+1)-($I85-DateToday+15))/(INDEX($T$5:$T$8,$AW85+1)-INDEX($T$5:$T$8,$AW85)))/INDEX(Y$5:Y$8,$AW85+1)^((INDEX($T$5:$T$8,$AW85)-($I85-DateToday+15))/(INDEX($T$5:$T$8,$AW85+1)-INDEX($T$5:$T$8,$AW85))))</f>
        <v>1.0000000000000211E-4</v>
      </c>
      <c r="BC85" s="149">
        <f t="shared" ref="BC85:BC148" ca="1" si="426">IF($AW85="",BC84^2/BC83,INDEX(Z$5:Z$8,$AW85)^((INDEX($T$5:$T$8,$AW85+1)-($I85-DateToday+15))/(INDEX($T$5:$T$8,$AW85+1)-INDEX($T$5:$T$8,$AW85)))/INDEX(Z$5:Z$8,$AW85+1)^((INDEX($T$5:$T$8,$AW85)-($I85-DateToday+15))/(INDEX($T$5:$T$8,$AW85+1)-INDEX($T$5:$T$8,$AW85))))</f>
        <v>1.0000000000000211E-4</v>
      </c>
      <c r="BD85" s="143">
        <f t="shared" ca="1" si="282"/>
        <v>0</v>
      </c>
      <c r="BE85" s="144">
        <f t="shared" ca="1" si="283"/>
        <v>0</v>
      </c>
      <c r="BF85" s="40">
        <f t="shared" si="284"/>
        <v>2006</v>
      </c>
      <c r="BG85" s="139">
        <f t="shared" si="285"/>
        <v>10</v>
      </c>
      <c r="BH85" s="140">
        <f t="shared" ca="1" si="286"/>
        <v>1986</v>
      </c>
      <c r="BI85" s="304">
        <f t="shared" ca="1" si="287"/>
        <v>5.4784394250513344</v>
      </c>
      <c r="BJ85" s="42">
        <f t="shared" ca="1" si="288"/>
        <v>5.5344409184244912</v>
      </c>
      <c r="BK85" s="42">
        <f t="shared" ca="1" si="289"/>
        <v>5.5371787692116232</v>
      </c>
      <c r="BL85" s="42">
        <f t="shared" ca="1" si="290"/>
        <v>5.5605749486652973</v>
      </c>
      <c r="BM85" s="285">
        <f t="shared" si="322"/>
        <v>22</v>
      </c>
      <c r="BN85" s="41">
        <f t="shared" si="291"/>
        <v>15</v>
      </c>
      <c r="BO85" s="41">
        <f t="shared" si="292"/>
        <v>7</v>
      </c>
      <c r="BP85" s="297" t="str">
        <f t="shared" ca="1" si="293"/>
        <v/>
      </c>
      <c r="BQ85" s="297" t="str">
        <f t="shared" ca="1" si="294"/>
        <v/>
      </c>
      <c r="BR85" s="299" t="str">
        <f t="shared" ca="1" si="295"/>
        <v/>
      </c>
      <c r="BS85" s="153" t="str">
        <f t="shared" ca="1" si="296"/>
        <v/>
      </c>
      <c r="BT85" s="153" t="str">
        <f t="shared" ca="1" si="297"/>
        <v/>
      </c>
      <c r="BU85" s="300" t="str">
        <f t="shared" ca="1" si="298"/>
        <v/>
      </c>
      <c r="BV85" s="301" t="str">
        <f t="shared" ca="1" si="299"/>
        <v/>
      </c>
      <c r="BW85" s="300" t="str">
        <f t="shared" ca="1" si="300"/>
        <v/>
      </c>
      <c r="BX85" s="301" t="str">
        <f t="shared" ca="1" si="301"/>
        <v/>
      </c>
      <c r="BY85" s="146" t="str">
        <f t="shared" ca="1" si="302"/>
        <v/>
      </c>
      <c r="BZ85" s="146" t="str">
        <f t="shared" ca="1" si="303"/>
        <v/>
      </c>
      <c r="CA85" s="146" t="str">
        <f t="shared" ca="1" si="304"/>
        <v/>
      </c>
      <c r="CB85" s="146" t="str">
        <f t="shared" ca="1" si="305"/>
        <v/>
      </c>
      <c r="CC85" s="302">
        <v>1</v>
      </c>
      <c r="CD85" s="154">
        <f ca="1">IF(BD85,_xll.xCrudeAPO(BS85,BT85,BY85,BZ85,S86,S87,BI85,BL85,BN85,BO85,0,Strike1,AO85,CC85,0,BL85,IF(OptControl=4,0,1),0,1),0)</f>
        <v>0</v>
      </c>
      <c r="CE85" s="155">
        <f ca="1">IF(BD85,_xll.xCrudeAPO(BS85,BT85,BY85,BZ85,S86,S87,BI85,BL85,BN85,BO85,0,Strike1,AO85,CC85,0,BL85,IF(OptControl=4,0,1),1,1)+_xll.xCrudeAPO(BS85,BT85,BY85,BZ85,S86,S87,BI85,BL85,BN85,BO85,0,Strike1,AO85,CC85,0,BL85,IF(OptControl=4,0,1),1,2)+IF(OR(VolSkewFlag=2,ABS(BQ85)&lt;0.0001),0,IF(BQ85&gt;0,-1,1)*CF85*Strike1/BP85^2*BW85/10%),0)</f>
        <v>0</v>
      </c>
      <c r="CF85" s="155">
        <f ca="1">IF(BD85,(_xll.xCrudeAPO(BS85,BT85,BY85,BZ85,S86,S87,BI85,BL85,BN85,BO85,0,Strike1,AO85,CC85,0,BL85,IF(OptControl=4,0,1),3,1)+_xll.xCrudeAPO(BS85,BT85,BY85,BZ85,S86,S87,BI85,BL85,BN85,BO85,0,Strike1,AO85,CC85,0,BL85,IF(OptControl=4,0,1),3,2))/100,0)</f>
        <v>0</v>
      </c>
      <c r="CG85" s="155">
        <f ca="1">IF(BD85,_xll.xCrudeAPO(BS85,BT85,BY85,BZ85,S86,S87,BI85-DaysForThetaCalculation/365.25,BL85-DaysForThetaCalculation/365.25,BN85,BO85,0,Strike1,AO85,CC85,0,BL85,IF(OptControl=4,0,1),0,1)-_xll.xCrudeAPO(BS85,BT85,BY85,BZ85,S86,S87,BI85,BL85,BN85,BO85,0,Strike1,AO85,CC85,0,BL85,IF(OptControl=4,0,1),0,1),0)</f>
        <v>0</v>
      </c>
      <c r="CH85" s="303">
        <f ca="1">IF(BD85,_xll.xCrudeAPO(BS85,BT85,CA85,CB85,S86,S87,BI85,BL85,BN85,BO85,0,Strike2,AO85,CC85,0,BL85,IF(OptControl=3,1,0),0,1),0)</f>
        <v>0</v>
      </c>
      <c r="CI85" s="155">
        <f ca="1">IF(BD85,_xll.xCrudeAPO(BS85,BT85,CA85,CB85,S86,S87,BI85,BL85,BN85,BO85,0,Strike2,AO85,CC85,0,BL85,IF(OptControl=3,1,0),1,1)+_xll.xCrudeAPO(BS85,BT85,CA85,CB85,S86,S87,BI85,BL85,BN85,BO85,0,Strike2,AO85,CC85,0,BL85,IF(OptControl=3,1,0),1,2)+IF(OR(VolSkewFlag=2,ABS(BR85)&lt;0.0001),0,IF(BR85&gt;0,-1,1)*CJ85*Strike2/BP85^2*BX85/10%),0)</f>
        <v>0</v>
      </c>
      <c r="CJ85" s="155">
        <f ca="1">IF(BD85,(_xll.xCrudeAPO(BS85,BT85,CA85,CB85,S86,S87,BI85,BL85,BN85,BO85,0,Strike2,AO85,CC85,0,BL85,IF(OptControl=3,1,0),3,1)+_xll.xCrudeAPO(BS85,BT85,CA85,CB85,S86,S87,BI85,BL85,BN85,BO85,0,Strike2,AO85,CC85,0,BL85,IF(OptControl=3,1,0),3,2))/100,0)</f>
        <v>0</v>
      </c>
      <c r="CK85" s="156">
        <f ca="1">IF(BD85,_xll.xCrudeAPO(BS85,BT85,CA85,CB85,S86,S87,BI85-DaysForThetaCalculation/365.25,BL85-DaysForThetaCalculation/365.25,BN85,BO85,0,Strike2,AO85,CC85,0,BL85,IF(OptControl=3,1,0),0,1)-_xll.xCrudeAPO(BS85,BT85,CA85,CB85,S86,S87,BI85,BL85,BN85,BO85,0,Strike2,AO85,CC85,0,BL85,IF(OptControl=3,1,0),0,1),0)</f>
        <v>0</v>
      </c>
      <c r="CL85" s="51"/>
      <c r="CM85" s="779" t="str">
        <f t="shared" ca="1" si="323"/>
        <v/>
      </c>
      <c r="CN85" s="783" t="str">
        <f t="shared" ca="1" si="324"/>
        <v/>
      </c>
      <c r="CO85" s="780" t="str">
        <f t="shared" ca="1" si="325"/>
        <v/>
      </c>
      <c r="CP85" s="780" t="str">
        <f t="shared" ca="1" si="326"/>
        <v/>
      </c>
      <c r="CQ85" s="780" t="str">
        <f t="shared" ca="1" si="327"/>
        <v/>
      </c>
      <c r="CR85" s="780" t="str">
        <f t="shared" ca="1" si="328"/>
        <v/>
      </c>
      <c r="CS85" s="781" t="str">
        <f t="shared" ca="1" si="329"/>
        <v/>
      </c>
      <c r="CT85" s="782" t="str">
        <f t="shared" ca="1" si="330"/>
        <v/>
      </c>
      <c r="CU85" s="782" t="str">
        <f t="shared" ca="1" si="331"/>
        <v/>
      </c>
      <c r="CV85" s="155">
        <f ca="1">IF(BD85,_xll.EURO(CN85,Strike1,AO85,AO85,CT85,CM85,IF(OptControl=4,0,1),0),0)</f>
        <v>0</v>
      </c>
      <c r="CW85" s="155">
        <f ca="1">IF(BD85,_xll.EURO(CN85,Strike1,AO85,AO85,CT85,CM85,IF(OptControl=4,0,1),1)+IF(OR(VolSkewFlag=2,ABS(CO85)&lt;0.0001),0,IF(CO85&gt;0,-1,1)*CX85*100*Strike1/CN85^2*CQ85/10%),0)</f>
        <v>0</v>
      </c>
      <c r="CX85" s="155">
        <f ca="1">IF(BD85,_xll.EURO(CN85,Strike1,AO85,AO85,CT85,CM85,IF(OptControl=4,0,1),3)/100,0)</f>
        <v>0</v>
      </c>
      <c r="CY85" s="155">
        <f ca="1">IF(BD85,_xll.EURO(CN85,Strike1,AO85,AO85,CT85,CM85,IF(OptControl=4,0,1),0)-_xll.EURO(CN85,Strike1,AO85,AO85,CT85,CM85-1,IF(OptControl=4,0,1),0),0)</f>
        <v>0</v>
      </c>
      <c r="CZ85" s="155">
        <f ca="1">IF(BD85,_xll.EURO(CN85,Strike2,AO85,AO85,CU85,CM85,IF(OptControl=3,1,0),0),0)</f>
        <v>0</v>
      </c>
      <c r="DA85" s="155">
        <f ca="1">IF(BD85,_xll.EURO(CN85,Strike2,AO85,AO85,CU85,CM85,IF(OptControl=3,1,0),1)+IF(OR(VolSkewFlag=2,ABS(CP85)&lt;0.0001),0,IF(CP85&gt;0,-1,1)*DB85*100*Strike2/CN85^2*CR85/10%),0)</f>
        <v>0</v>
      </c>
      <c r="DB85" s="155">
        <f ca="1">IF(BD85,_xll.EURO(CN85,Strike2,AO85,AO85,CU85,CM85,IF(OptControl=3,1,0),3)/100,0)</f>
        <v>0</v>
      </c>
      <c r="DC85" s="156">
        <f ca="1">IF(BD85,_xll.EURO(CN85,Strike2,AO85,AO85,CU85,CM85,IF(OptControl=3,1,0),0)-_xll.EURO(CN85,Strike2,AO85,AO85,CU85,CM85-1,IF(OptControl=3,1,0),0),0)</f>
        <v>0</v>
      </c>
      <c r="DE85" s="651">
        <f t="shared" ca="1" si="332"/>
        <v>38899</v>
      </c>
      <c r="DF85" s="465">
        <v>1E-4</v>
      </c>
      <c r="DG85" s="649">
        <v>1E-4</v>
      </c>
      <c r="DH85" s="650">
        <f t="shared" ca="1" si="306"/>
        <v>38899</v>
      </c>
      <c r="DI85" s="465">
        <v>1E-4</v>
      </c>
      <c r="DJ85" s="649">
        <v>1E-4</v>
      </c>
      <c r="DK85" s="651">
        <f t="shared" ca="1" si="307"/>
        <v>38899</v>
      </c>
      <c r="DL85" s="652">
        <f t="shared" si="308"/>
        <v>5.0100000000000006E-2</v>
      </c>
      <c r="DM85" s="651">
        <f t="shared" ca="1" si="333"/>
        <v>38899</v>
      </c>
      <c r="DN85" s="563">
        <f t="shared" si="334"/>
        <v>-0.12990000000000002</v>
      </c>
      <c r="DO85" s="803">
        <v>-0.13</v>
      </c>
      <c r="DP85" s="650">
        <f t="shared" ca="1" si="309"/>
        <v>38899</v>
      </c>
      <c r="DQ85" s="653">
        <v>1E-4</v>
      </c>
      <c r="DR85" s="590">
        <v>1E-4</v>
      </c>
      <c r="DS85" s="650">
        <f t="shared" ca="1" si="310"/>
        <v>38899</v>
      </c>
      <c r="DT85" s="653">
        <v>1E-4</v>
      </c>
      <c r="DU85" s="590">
        <v>1E-4</v>
      </c>
      <c r="DV85" s="651">
        <f t="shared" ca="1" si="311"/>
        <v>38899</v>
      </c>
      <c r="DW85" s="590">
        <v>1E-4</v>
      </c>
      <c r="DX85" s="651">
        <f t="shared" ca="1" si="335"/>
        <v>38899</v>
      </c>
      <c r="DY85" s="590">
        <f t="shared" si="336"/>
        <v>1E-4</v>
      </c>
      <c r="DZ85" s="1"/>
      <c r="EA85" s="863" t="e">
        <f ca="1">_xll.ASN(X85,X85,AO85,AS85,0,AI85,0,BI85,BL85,1,0)</f>
        <v>#NAME?</v>
      </c>
      <c r="EB85" s="653" t="e">
        <f ca="1">_xll.ASN(X85,X85,AO85,AS85,0,AI85,0,BI85,BL85,1,3)/100</f>
        <v>#NAME?</v>
      </c>
      <c r="EC85" s="653" t="e">
        <f ca="1">_xll.xCrudeAPO(L86,L87,O86,O87,S86,S87,BI85,BL85,AJ85,AK85,0,X85,AO85,1,0,+BL85,1,0,1)</f>
        <v>#NAME?</v>
      </c>
      <c r="ED85" s="869" t="e">
        <f t="shared" ca="1" si="165"/>
        <v>#NAME?</v>
      </c>
      <c r="EE85" s="863" t="e">
        <f t="shared" ca="1" si="312"/>
        <v>#NAME?</v>
      </c>
      <c r="EF85" s="590" t="e">
        <f t="shared" ca="1" si="313"/>
        <v>#NAME?</v>
      </c>
      <c r="EG85" s="862" t="str">
        <f t="shared" ca="1" si="314"/>
        <v/>
      </c>
      <c r="EH85" s="114" t="str">
        <f t="shared" ca="1" si="315"/>
        <v/>
      </c>
      <c r="EI85" s="109" t="str">
        <f t="shared" ca="1" si="316"/>
        <v/>
      </c>
      <c r="EJ85" s="115">
        <f ca="1">IF(BD85,_xll.xASN(BP85,Strike1,AO85,EH85,0,BM85,0,BI85,BL85,IF(OptControl=4,0,1),0),0)</f>
        <v>0</v>
      </c>
      <c r="EK85" s="108">
        <f ca="1">IF(BD85,_xll.xASN(BP85,Strike2,AO85,EI85,0,BM85,0,BI85,BL85,IF(OptControl=3,1,0),0),0)</f>
        <v>0</v>
      </c>
      <c r="EP85" s="53"/>
      <c r="EQ85" s="1"/>
      <c r="ER85" s="681">
        <v>43650</v>
      </c>
      <c r="ES85" s="682">
        <v>48573</v>
      </c>
      <c r="ET85" s="1"/>
      <c r="EU85" s="667" t="s">
        <v>297</v>
      </c>
      <c r="EW85" s="488">
        <v>66</v>
      </c>
      <c r="EX85" s="466">
        <f t="shared" ca="1" si="166"/>
        <v>5.4373716632443534</v>
      </c>
      <c r="EY85" s="824">
        <f t="shared" ca="1" si="337"/>
        <v>0.19474252464065711</v>
      </c>
      <c r="EZ85" s="798">
        <f t="shared" ref="EZ85:EZ91" ca="1" si="427">SQRT(SUM(FO85:IH85)/EX85)</f>
        <v>0.1965764175425308</v>
      </c>
      <c r="FA85" s="468" t="str">
        <f t="shared" ref="FA85:FA91" ca="1" si="428">IF(OR(DateStart2&gt;I84,DateEnd2&lt;I83),"",IF(DateStart2&lt;I84,AK83/AI83*AP83*BE83*SwaptionNumOfMonths/$D$33,0)+IF(DateEnd2&gt;I83,AJ84/AI84*AP84*BE84*SwaptionNumOfMonths/$D$33,0))</f>
        <v/>
      </c>
      <c r="FB85" s="467" t="str">
        <f t="shared" ref="FB85:FB116" ca="1" si="429">IF(FA85="","",SQRT(SUM(FO390:IH390)/SwaptionYearsToExp))</f>
        <v/>
      </c>
      <c r="FC85" s="242">
        <v>0</v>
      </c>
      <c r="FD85" s="589" t="str">
        <f ca="1">IF(OR(FA85="",FA86=""),"",SQRT(SUM(INDEX(FO85:IH85,SwaptionFirstMonthPosition+1):INDEX(FO85:IH85,FN85))/SUM(INDEX($FO$15:$IH$15,SwaptionFirstMonthPosition+1):INDEX($FO$15:$IH$15,FN85))))</f>
        <v/>
      </c>
      <c r="FE85" s="565" t="str">
        <f ca="1">IF(OR(FA85="",FA84=""),"",SQRT(SUM(INDEX(FO85:IH85,SwaptionFirstMonthPosition+1):INDEX(FO85:IH85,FN85-1))/SUM(INDEX($FO$15:$IH$15,SwaptionFirstMonthPosition+1):INDEX($FO$15:$IH$15,FN85-1))))</f>
        <v/>
      </c>
      <c r="FF85" s="562" t="str">
        <f t="shared" ca="1" si="338"/>
        <v/>
      </c>
      <c r="FG85" s="593" t="str">
        <f t="shared" ca="1" si="339"/>
        <v/>
      </c>
      <c r="FH85" s="563" t="str">
        <f t="shared" ca="1" si="340"/>
        <v/>
      </c>
      <c r="FI85" s="563" t="str">
        <f t="shared" ca="1" si="341"/>
        <v/>
      </c>
      <c r="FJ85" s="563" t="str">
        <f t="shared" ca="1" si="342"/>
        <v/>
      </c>
      <c r="FK85" s="564" t="str">
        <f t="shared" ca="1" si="343"/>
        <v/>
      </c>
      <c r="FL85" s="590" t="str">
        <f t="shared" ca="1" si="344"/>
        <v/>
      </c>
      <c r="FM85" s="242"/>
      <c r="FN85" s="657">
        <v>66</v>
      </c>
      <c r="FO85" s="450">
        <f t="shared" ca="1" si="345"/>
        <v>6.5383659064534349E-4</v>
      </c>
      <c r="FP85" s="450">
        <f t="shared" ca="1" si="346"/>
        <v>2.4509200213462638E-3</v>
      </c>
      <c r="FQ85" s="450">
        <f t="shared" ca="1" si="347"/>
        <v>2.3636350706972586E-3</v>
      </c>
      <c r="FR85" s="450">
        <f t="shared" ca="1" si="348"/>
        <v>2.6021153976279509E-3</v>
      </c>
      <c r="FS85" s="450">
        <f t="shared" ca="1" si="349"/>
        <v>2.4339553364076949E-3</v>
      </c>
      <c r="FT85" s="450">
        <f t="shared" ca="1" si="350"/>
        <v>2.5904658956717916E-3</v>
      </c>
      <c r="FU85" s="450">
        <f t="shared" ca="1" si="351"/>
        <v>2.4233088256476604E-3</v>
      </c>
      <c r="FV85" s="450">
        <f t="shared" ca="1" si="352"/>
        <v>2.2569900282355055E-3</v>
      </c>
      <c r="FW85" s="450">
        <f t="shared" ca="1" si="353"/>
        <v>2.4132541155998878E-3</v>
      </c>
      <c r="FX85" s="450">
        <f t="shared" ca="1" si="354"/>
        <v>2.6493163035678667E-3</v>
      </c>
      <c r="FY85" s="450">
        <f t="shared" ca="1" si="355"/>
        <v>2.3237308059569626E-3</v>
      </c>
      <c r="FZ85" s="450">
        <f t="shared" ca="1" si="356"/>
        <v>2.3194545098431333E-3</v>
      </c>
      <c r="GA85" s="450">
        <f t="shared" ca="1" si="357"/>
        <v>2.6347318635357715E-3</v>
      </c>
      <c r="GB85" s="450">
        <f t="shared" ca="1" si="358"/>
        <v>2.3114922762788493E-3</v>
      </c>
      <c r="GC85" s="450">
        <f t="shared" ca="1" si="359"/>
        <v>2.5465770110121564E-3</v>
      </c>
      <c r="GD85" s="450">
        <f t="shared" ca="1" si="360"/>
        <v>2.3838796732270086E-3</v>
      </c>
      <c r="GE85" s="450">
        <f t="shared" ca="1" si="361"/>
        <v>2.3012562798232434E-3</v>
      </c>
      <c r="GF85" s="450">
        <f t="shared" ca="1" si="362"/>
        <v>2.6153918622364943E-3</v>
      </c>
      <c r="GG85" s="450">
        <f t="shared" ca="1" si="363"/>
        <v>2.37496155592248E-3</v>
      </c>
      <c r="GH85" s="450">
        <f t="shared" ca="1" si="364"/>
        <v>2.2935476114415449E-3</v>
      </c>
      <c r="GI85" s="450">
        <f t="shared" ca="1" si="365"/>
        <v>2.4497044199043964E-3</v>
      </c>
      <c r="GJ85" s="450">
        <f t="shared" ca="1" si="366"/>
        <v>2.4481061168206367E-3</v>
      </c>
      <c r="GK85" s="450">
        <f t="shared" ca="1" si="367"/>
        <v>2.4469684926038955E-3</v>
      </c>
      <c r="GL85" s="450">
        <f t="shared" ca="1" si="368"/>
        <v>2.2095941800834994E-3</v>
      </c>
      <c r="GM85" s="450">
        <f t="shared" ca="1" si="369"/>
        <v>2.4462601136717266E-3</v>
      </c>
      <c r="GN85" s="450">
        <f t="shared" ca="1" si="370"/>
        <v>2.367866971026845E-3</v>
      </c>
      <c r="GO85" s="450">
        <f t="shared" ca="1" si="371"/>
        <v>2.448006776449962E-3</v>
      </c>
      <c r="GP85" s="450">
        <f t="shared" ca="1" si="372"/>
        <v>2.3709325421378213E-3</v>
      </c>
      <c r="GQ85" s="450">
        <f t="shared" ca="1" si="373"/>
        <v>2.4527459308453605E-3</v>
      </c>
      <c r="GR85" s="450">
        <f t="shared" ca="1" si="374"/>
        <v>2.456443082021195E-3</v>
      </c>
      <c r="GS85" s="450">
        <f t="shared" ca="1" si="375"/>
        <v>2.381763588449254E-3</v>
      </c>
      <c r="GT85" s="450">
        <f t="shared" ca="1" si="376"/>
        <v>2.466997234973328E-3</v>
      </c>
      <c r="GU85" s="450">
        <f t="shared" ca="1" si="377"/>
        <v>2.3942861675720524E-3</v>
      </c>
      <c r="GV85" s="450">
        <f t="shared" ca="1" si="378"/>
        <v>2.4825959081744126E-3</v>
      </c>
      <c r="GW85" s="450">
        <f t="shared" ca="1" si="379"/>
        <v>2.492661857052937E-3</v>
      </c>
      <c r="GX85" s="450">
        <f t="shared" ca="1" si="380"/>
        <v>2.3429003945258458E-3</v>
      </c>
      <c r="GY85" s="450">
        <f t="shared" ca="1" si="381"/>
        <v>2.5182613386656723E-3</v>
      </c>
      <c r="GZ85" s="450">
        <f t="shared" ca="1" si="382"/>
        <v>2.4524982809490483E-3</v>
      </c>
      <c r="HA85" s="450">
        <f t="shared" ca="1" si="383"/>
        <v>2.5527165865357505E-3</v>
      </c>
      <c r="HB85" s="450">
        <f t="shared" ca="1" si="384"/>
        <v>2.4909514557536925E-3</v>
      </c>
      <c r="HC85" s="450">
        <f t="shared" ca="1" si="385"/>
        <v>2.5984123693645425E-3</v>
      </c>
      <c r="HD85" s="450">
        <f t="shared" ca="1" si="386"/>
        <v>2.6264248387044644E-3</v>
      </c>
      <c r="HE85" s="450">
        <f t="shared" ca="1" si="387"/>
        <v>2.5727496855878764E-3</v>
      </c>
      <c r="HF85" s="450">
        <f t="shared" ca="1" si="388"/>
        <v>2.6952289746884589E-3</v>
      </c>
      <c r="HG85" s="450">
        <f t="shared" ca="1" si="389"/>
        <v>2.6489520213631938E-3</v>
      </c>
      <c r="HH85" s="450">
        <f t="shared" ca="1" si="390"/>
        <v>2.7853504145725731E-3</v>
      </c>
      <c r="HI85" s="450">
        <f t="shared" ca="1" si="391"/>
        <v>2.8404471660388834E-3</v>
      </c>
      <c r="HJ85" s="450">
        <f t="shared" ca="1" si="392"/>
        <v>2.6226337914151384E-3</v>
      </c>
      <c r="HK85" s="450">
        <f t="shared" ca="1" si="393"/>
        <v>2.9762003671146217E-3</v>
      </c>
      <c r="HL85" s="450">
        <f t="shared" ca="1" si="394"/>
        <v>2.9610193148952467E-3</v>
      </c>
      <c r="HM85" s="450">
        <f t="shared" ca="1" si="395"/>
        <v>3.1560790107202558E-3</v>
      </c>
      <c r="HN85" s="450">
        <f t="shared" ca="1" si="396"/>
        <v>3.1621746380184911E-3</v>
      </c>
      <c r="HO85" s="450">
        <f t="shared" ca="1" si="397"/>
        <v>3.3970526897612306E-3</v>
      </c>
      <c r="HP85" s="450">
        <f t="shared" ca="1" si="398"/>
        <v>3.5479990077716388E-3</v>
      </c>
      <c r="HQ85" s="450">
        <f t="shared" ca="1" si="399"/>
        <v>3.6046436243480444E-3</v>
      </c>
      <c r="HR85" s="450">
        <f t="shared" ca="1" si="400"/>
        <v>3.9329783843529238E-3</v>
      </c>
      <c r="HS85" s="450">
        <f t="shared" ca="1" si="401"/>
        <v>4.0447646208179753E-3</v>
      </c>
      <c r="HT85" s="450">
        <f t="shared" ca="1" si="402"/>
        <v>4.4737313981605435E-3</v>
      </c>
      <c r="HU85" s="450">
        <f t="shared" ca="1" si="403"/>
        <v>4.8272858744099253E-3</v>
      </c>
      <c r="HV85" s="450">
        <f t="shared" ca="1" si="404"/>
        <v>4.747340232116092E-3</v>
      </c>
      <c r="HW85" s="450">
        <f t="shared" ca="1" si="405"/>
        <v>5.780950030352382E-3</v>
      </c>
      <c r="HX85" s="450">
        <f t="shared" ca="1" si="406"/>
        <v>6.2235508600465934E-3</v>
      </c>
      <c r="HY85" s="450">
        <f t="shared" ca="1" si="407"/>
        <v>7.246133678537406E-3</v>
      </c>
      <c r="HZ85" s="450">
        <f t="shared" ca="1" si="408"/>
        <v>8.0157026911785566E-3</v>
      </c>
      <c r="IA85" s="450">
        <f t="shared" ca="1" si="409"/>
        <v>9.6229041344064806E-3</v>
      </c>
      <c r="IB85" s="450">
        <f t="shared" ca="1" si="410"/>
        <v>1.1386689122788847E-2</v>
      </c>
      <c r="IC85" s="450" t="str">
        <f t="shared" si="411"/>
        <v/>
      </c>
      <c r="ID85" s="450" t="str">
        <f t="shared" si="412"/>
        <v/>
      </c>
      <c r="IE85" s="450" t="str">
        <f t="shared" si="413"/>
        <v/>
      </c>
      <c r="IF85" s="450" t="str">
        <f t="shared" si="414"/>
        <v/>
      </c>
      <c r="IG85" s="450" t="str">
        <f t="shared" si="415"/>
        <v/>
      </c>
      <c r="IH85" s="658" t="str">
        <f t="shared" si="416"/>
        <v/>
      </c>
      <c r="II85" s="242"/>
    </row>
    <row r="86" spans="8:243">
      <c r="H86" s="49" t="e">
        <f t="shared" ca="1" si="317"/>
        <v>#N/A</v>
      </c>
      <c r="I86" s="369">
        <f t="shared" si="318"/>
        <v>39022</v>
      </c>
      <c r="J86" s="367">
        <v>21.684999999999999</v>
      </c>
      <c r="K86" s="101" t="s">
        <v>268</v>
      </c>
      <c r="L86" s="382">
        <f t="shared" si="319"/>
        <v>21.684999999999999</v>
      </c>
      <c r="M86" s="163">
        <v>0.18814999999999998</v>
      </c>
      <c r="N86" s="372">
        <v>0</v>
      </c>
      <c r="O86" s="163">
        <f t="shared" si="272"/>
        <v>0.18814999999999998</v>
      </c>
      <c r="P86" s="367">
        <v>20.445156343139402</v>
      </c>
      <c r="Q86" s="101" t="s">
        <v>267</v>
      </c>
      <c r="R86" s="367">
        <f t="shared" ca="1" si="417"/>
        <v>20.445156343139391</v>
      </c>
      <c r="S86" s="814">
        <f t="shared" si="163"/>
        <v>0.36601702613251541</v>
      </c>
      <c r="T86" s="813">
        <f t="shared" si="418"/>
        <v>0.99992544832260677</v>
      </c>
      <c r="U86" s="532">
        <f t="shared" si="419"/>
        <v>0.99999999991485977</v>
      </c>
      <c r="V86" s="379">
        <v>0</v>
      </c>
      <c r="W86" s="424">
        <f t="shared" si="273"/>
        <v>21.66</v>
      </c>
      <c r="X86" s="405">
        <f t="shared" si="274"/>
        <v>21.66</v>
      </c>
      <c r="Y86" s="313">
        <f t="shared" si="275"/>
        <v>20.418399999999998</v>
      </c>
      <c r="Z86" s="313">
        <f t="shared" ca="1" si="276"/>
        <v>20.418399999999998</v>
      </c>
      <c r="AA86" s="419">
        <f t="shared" si="277"/>
        <v>1.2416</v>
      </c>
      <c r="AB86" s="423">
        <f t="shared" ca="1" si="278"/>
        <v>1.2416</v>
      </c>
      <c r="AC86" s="221">
        <v>39010</v>
      </c>
      <c r="AD86" s="221">
        <v>39006</v>
      </c>
      <c r="AE86" s="221">
        <v>39005</v>
      </c>
      <c r="AF86" s="221">
        <v>39001</v>
      </c>
      <c r="AG86" s="241" t="s">
        <v>90</v>
      </c>
      <c r="AH86" s="239" t="s">
        <v>497</v>
      </c>
      <c r="AI86" s="141">
        <v>22</v>
      </c>
      <c r="AJ86" s="41">
        <v>14</v>
      </c>
      <c r="AK86" s="41">
        <v>8</v>
      </c>
      <c r="AL86" s="285">
        <v>22</v>
      </c>
      <c r="AM86" s="41">
        <v>10</v>
      </c>
      <c r="AN86" s="142">
        <v>12</v>
      </c>
      <c r="AO86" s="364">
        <v>5.4558924750016703E-2</v>
      </c>
      <c r="AP86" s="145">
        <f t="shared" ca="1" si="320"/>
        <v>0.73805574423150255</v>
      </c>
      <c r="AQ86" s="364">
        <v>4.68008956210966E-2</v>
      </c>
      <c r="AR86" s="145">
        <f t="shared" ca="1" si="420"/>
        <v>0.77465164548115495</v>
      </c>
      <c r="AS86" s="264">
        <f t="shared" si="279"/>
        <v>0.1869227272727273</v>
      </c>
      <c r="AT86" s="149">
        <f t="shared" si="321"/>
        <v>0.18814999999999998</v>
      </c>
      <c r="AU86" s="149">
        <f t="shared" si="280"/>
        <v>0.1867590909090909</v>
      </c>
      <c r="AV86" s="263">
        <f t="shared" ref="AV86:AV149" ca="1" si="430">SQRT(MAX(0.000000000001,(O86^2*BH86-S86^2*(BH86-BH85))/BH85))</f>
        <v>0.18415069721210006</v>
      </c>
      <c r="AW86" s="150" t="str">
        <f t="shared" ca="1" si="281"/>
        <v/>
      </c>
      <c r="AX86" s="149">
        <f t="shared" ca="1" si="421"/>
        <v>2.5693180733230944E-2</v>
      </c>
      <c r="AY86" s="149">
        <f t="shared" ca="1" si="422"/>
        <v>1.2416358512579278E-2</v>
      </c>
      <c r="AZ86" s="149">
        <f t="shared" ca="1" si="423"/>
        <v>7.1262967721669951E-3</v>
      </c>
      <c r="BA86" s="149">
        <f t="shared" ca="1" si="424"/>
        <v>1.0000000000000215E-4</v>
      </c>
      <c r="BB86" s="149">
        <f t="shared" ca="1" si="425"/>
        <v>1.0000000000000215E-4</v>
      </c>
      <c r="BC86" s="149">
        <f t="shared" ca="1" si="426"/>
        <v>1.0000000000000215E-4</v>
      </c>
      <c r="BD86" s="143">
        <f t="shared" ca="1" si="282"/>
        <v>0</v>
      </c>
      <c r="BE86" s="144">
        <f t="shared" ca="1" si="283"/>
        <v>0</v>
      </c>
      <c r="BF86" s="40">
        <f t="shared" si="284"/>
        <v>2006</v>
      </c>
      <c r="BG86" s="139">
        <f t="shared" si="285"/>
        <v>11</v>
      </c>
      <c r="BH86" s="140">
        <f t="shared" ca="1" si="286"/>
        <v>2016</v>
      </c>
      <c r="BI86" s="304">
        <f t="shared" ca="1" si="287"/>
        <v>5.5633127994524294</v>
      </c>
      <c r="BJ86" s="42">
        <f t="shared" ca="1" si="288"/>
        <v>5.613838591251322</v>
      </c>
      <c r="BK86" s="42">
        <f t="shared" ca="1" si="289"/>
        <v>5.6165764420384541</v>
      </c>
      <c r="BL86" s="42">
        <f t="shared" ca="1" si="290"/>
        <v>5.6427104722792611</v>
      </c>
      <c r="BM86" s="285">
        <f t="shared" si="322"/>
        <v>22</v>
      </c>
      <c r="BN86" s="41">
        <f t="shared" si="291"/>
        <v>14</v>
      </c>
      <c r="BO86" s="41">
        <f t="shared" si="292"/>
        <v>8</v>
      </c>
      <c r="BP86" s="297" t="str">
        <f t="shared" ca="1" si="293"/>
        <v/>
      </c>
      <c r="BQ86" s="297" t="str">
        <f t="shared" ca="1" si="294"/>
        <v/>
      </c>
      <c r="BR86" s="299" t="str">
        <f t="shared" ca="1" si="295"/>
        <v/>
      </c>
      <c r="BS86" s="153" t="str">
        <f t="shared" ca="1" si="296"/>
        <v/>
      </c>
      <c r="BT86" s="153" t="str">
        <f t="shared" ca="1" si="297"/>
        <v/>
      </c>
      <c r="BU86" s="300" t="str">
        <f t="shared" ca="1" si="298"/>
        <v/>
      </c>
      <c r="BV86" s="301" t="str">
        <f t="shared" ca="1" si="299"/>
        <v/>
      </c>
      <c r="BW86" s="300" t="str">
        <f t="shared" ca="1" si="300"/>
        <v/>
      </c>
      <c r="BX86" s="301" t="str">
        <f t="shared" ca="1" si="301"/>
        <v/>
      </c>
      <c r="BY86" s="146" t="str">
        <f t="shared" ca="1" si="302"/>
        <v/>
      </c>
      <c r="BZ86" s="146" t="str">
        <f t="shared" ca="1" si="303"/>
        <v/>
      </c>
      <c r="CA86" s="146" t="str">
        <f t="shared" ca="1" si="304"/>
        <v/>
      </c>
      <c r="CB86" s="146" t="str">
        <f t="shared" ca="1" si="305"/>
        <v/>
      </c>
      <c r="CC86" s="302">
        <v>1</v>
      </c>
      <c r="CD86" s="154">
        <f ca="1">IF(BD86,_xll.xCrudeAPO(BS86,BT86,BY86,BZ86,S87,S88,BI86,BL86,BN86,BO86,0,Strike1,AO86,CC86,0,BL86,IF(OptControl=4,0,1),0,1),0)</f>
        <v>0</v>
      </c>
      <c r="CE86" s="155">
        <f ca="1">IF(BD86,_xll.xCrudeAPO(BS86,BT86,BY86,BZ86,S87,S88,BI86,BL86,BN86,BO86,0,Strike1,AO86,CC86,0,BL86,IF(OptControl=4,0,1),1,1)+_xll.xCrudeAPO(BS86,BT86,BY86,BZ86,S87,S88,BI86,BL86,BN86,BO86,0,Strike1,AO86,CC86,0,BL86,IF(OptControl=4,0,1),1,2)+IF(OR(VolSkewFlag=2,ABS(BQ86)&lt;0.0001),0,IF(BQ86&gt;0,-1,1)*CF86*Strike1/BP86^2*BW86/10%),0)</f>
        <v>0</v>
      </c>
      <c r="CF86" s="155">
        <f ca="1">IF(BD86,(_xll.xCrudeAPO(BS86,BT86,BY86,BZ86,S87,S88,BI86,BL86,BN86,BO86,0,Strike1,AO86,CC86,0,BL86,IF(OptControl=4,0,1),3,1)+_xll.xCrudeAPO(BS86,BT86,BY86,BZ86,S87,S88,BI86,BL86,BN86,BO86,0,Strike1,AO86,CC86,0,BL86,IF(OptControl=4,0,1),3,2))/100,0)</f>
        <v>0</v>
      </c>
      <c r="CG86" s="155">
        <f ca="1">IF(BD86,_xll.xCrudeAPO(BS86,BT86,BY86,BZ86,S87,S88,BI86-DaysForThetaCalculation/365.25,BL86-DaysForThetaCalculation/365.25,BN86,BO86,0,Strike1,AO86,CC86,0,BL86,IF(OptControl=4,0,1),0,1)-_xll.xCrudeAPO(BS86,BT86,BY86,BZ86,S87,S88,BI86,BL86,BN86,BO86,0,Strike1,AO86,CC86,0,BL86,IF(OptControl=4,0,1),0,1),0)</f>
        <v>0</v>
      </c>
      <c r="CH86" s="303">
        <f ca="1">IF(BD86,_xll.xCrudeAPO(BS86,BT86,CA86,CB86,S87,S88,BI86,BL86,BN86,BO86,0,Strike2,AO86,CC86,0,BL86,IF(OptControl=3,1,0),0,1),0)</f>
        <v>0</v>
      </c>
      <c r="CI86" s="155">
        <f ca="1">IF(BD86,_xll.xCrudeAPO(BS86,BT86,CA86,CB86,S87,S88,BI86,BL86,BN86,BO86,0,Strike2,AO86,CC86,0,BL86,IF(OptControl=3,1,0),1,1)+_xll.xCrudeAPO(BS86,BT86,CA86,CB86,S87,S88,BI86,BL86,BN86,BO86,0,Strike2,AO86,CC86,0,BL86,IF(OptControl=3,1,0),1,2)+IF(OR(VolSkewFlag=2,ABS(BR86)&lt;0.0001),0,IF(BR86&gt;0,-1,1)*CJ86*Strike2/BP86^2*BX86/10%),0)</f>
        <v>0</v>
      </c>
      <c r="CJ86" s="155">
        <f ca="1">IF(BD86,(_xll.xCrudeAPO(BS86,BT86,CA86,CB86,S87,S88,BI86,BL86,BN86,BO86,0,Strike2,AO86,CC86,0,BL86,IF(OptControl=3,1,0),3,1)+_xll.xCrudeAPO(BS86,BT86,CA86,CB86,S87,S88,BI86,BL86,BN86,BO86,0,Strike2,AO86,CC86,0,BL86,IF(OptControl=3,1,0),3,2))/100,0)</f>
        <v>0</v>
      </c>
      <c r="CK86" s="156">
        <f ca="1">IF(BD86,_xll.xCrudeAPO(BS86,BT86,CA86,CB86,S87,S88,BI86-DaysForThetaCalculation/365.25,BL86-DaysForThetaCalculation/365.25,BN86,BO86,0,Strike2,AO86,CC86,0,BL86,IF(OptControl=3,1,0),0,1)-_xll.xCrudeAPO(BS86,BT86,CA86,CB86,S87,S88,BI86,BL86,BN86,BO86,0,Strike2,AO86,CC86,0,BL86,IF(OptControl=3,1,0),0,1),0)</f>
        <v>0</v>
      </c>
      <c r="CL86" s="51"/>
      <c r="CM86" s="779" t="str">
        <f t="shared" ca="1" si="323"/>
        <v/>
      </c>
      <c r="CN86" s="783" t="str">
        <f t="shared" ca="1" si="324"/>
        <v/>
      </c>
      <c r="CO86" s="780" t="str">
        <f t="shared" ca="1" si="325"/>
        <v/>
      </c>
      <c r="CP86" s="780" t="str">
        <f t="shared" ca="1" si="326"/>
        <v/>
      </c>
      <c r="CQ86" s="780" t="str">
        <f t="shared" ca="1" si="327"/>
        <v/>
      </c>
      <c r="CR86" s="780" t="str">
        <f t="shared" ca="1" si="328"/>
        <v/>
      </c>
      <c r="CS86" s="781" t="str">
        <f t="shared" ca="1" si="329"/>
        <v/>
      </c>
      <c r="CT86" s="782" t="str">
        <f t="shared" ca="1" si="330"/>
        <v/>
      </c>
      <c r="CU86" s="782" t="str">
        <f t="shared" ca="1" si="331"/>
        <v/>
      </c>
      <c r="CV86" s="155">
        <f ca="1">IF(BD86,_xll.EURO(CN86,Strike1,AO86,AO86,CT86,CM86,IF(OptControl=4,0,1),0),0)</f>
        <v>0</v>
      </c>
      <c r="CW86" s="155">
        <f ca="1">IF(BD86,_xll.EURO(CN86,Strike1,AO86,AO86,CT86,CM86,IF(OptControl=4,0,1),1)+IF(OR(VolSkewFlag=2,ABS(CO86)&lt;0.0001),0,IF(CO86&gt;0,-1,1)*CX86*100*Strike1/CN86^2*CQ86/10%),0)</f>
        <v>0</v>
      </c>
      <c r="CX86" s="155">
        <f ca="1">IF(BD86,_xll.EURO(CN86,Strike1,AO86,AO86,CT86,CM86,IF(OptControl=4,0,1),3)/100,0)</f>
        <v>0</v>
      </c>
      <c r="CY86" s="155">
        <f ca="1">IF(BD86,_xll.EURO(CN86,Strike1,AO86,AO86,CT86,CM86,IF(OptControl=4,0,1),0)-_xll.EURO(CN86,Strike1,AO86,AO86,CT86,CM86-1,IF(OptControl=4,0,1),0),0)</f>
        <v>0</v>
      </c>
      <c r="CZ86" s="155">
        <f ca="1">IF(BD86,_xll.EURO(CN86,Strike2,AO86,AO86,CU86,CM86,IF(OptControl=3,1,0),0),0)</f>
        <v>0</v>
      </c>
      <c r="DA86" s="155">
        <f ca="1">IF(BD86,_xll.EURO(CN86,Strike2,AO86,AO86,CU86,CM86,IF(OptControl=3,1,0),1)+IF(OR(VolSkewFlag=2,ABS(CP86)&lt;0.0001),0,IF(CP86&gt;0,-1,1)*DB86*100*Strike2/CN86^2*CR86/10%),0)</f>
        <v>0</v>
      </c>
      <c r="DB86" s="155">
        <f ca="1">IF(BD86,_xll.EURO(CN86,Strike2,AO86,AO86,CU86,CM86,IF(OptControl=3,1,0),3)/100,0)</f>
        <v>0</v>
      </c>
      <c r="DC86" s="156">
        <f ca="1">IF(BD86,_xll.EURO(CN86,Strike2,AO86,AO86,CU86,CM86,IF(OptControl=3,1,0),0)-_xll.EURO(CN86,Strike2,AO86,AO86,CU86,CM86-1,IF(OptControl=3,1,0),0),0)</f>
        <v>0</v>
      </c>
      <c r="DE86" s="651">
        <f t="shared" ca="1" si="332"/>
        <v>38930</v>
      </c>
      <c r="DF86" s="465">
        <v>1E-4</v>
      </c>
      <c r="DG86" s="649">
        <v>1E-4</v>
      </c>
      <c r="DH86" s="650">
        <f t="shared" ca="1" si="306"/>
        <v>38930</v>
      </c>
      <c r="DI86" s="465">
        <v>1E-4</v>
      </c>
      <c r="DJ86" s="649">
        <v>1E-4</v>
      </c>
      <c r="DK86" s="651">
        <f t="shared" ca="1" si="307"/>
        <v>38930</v>
      </c>
      <c r="DL86" s="652">
        <f t="shared" si="308"/>
        <v>5.0100000000000006E-2</v>
      </c>
      <c r="DM86" s="651">
        <f t="shared" ca="1" si="333"/>
        <v>38930</v>
      </c>
      <c r="DN86" s="563">
        <f t="shared" si="334"/>
        <v>-0.12990000000000002</v>
      </c>
      <c r="DO86" s="803">
        <v>-0.13</v>
      </c>
      <c r="DP86" s="650">
        <f t="shared" ca="1" si="309"/>
        <v>38930</v>
      </c>
      <c r="DQ86" s="653">
        <v>1E-4</v>
      </c>
      <c r="DR86" s="590">
        <v>1E-4</v>
      </c>
      <c r="DS86" s="650">
        <f t="shared" ca="1" si="310"/>
        <v>38930</v>
      </c>
      <c r="DT86" s="653">
        <v>1E-4</v>
      </c>
      <c r="DU86" s="590">
        <v>1E-4</v>
      </c>
      <c r="DV86" s="651">
        <f t="shared" ca="1" si="311"/>
        <v>38930</v>
      </c>
      <c r="DW86" s="590">
        <v>1E-4</v>
      </c>
      <c r="DX86" s="651">
        <f t="shared" ca="1" si="335"/>
        <v>38930</v>
      </c>
      <c r="DY86" s="590">
        <f t="shared" si="336"/>
        <v>1E-4</v>
      </c>
      <c r="DZ86" s="1"/>
      <c r="EA86" s="863" t="e">
        <f ca="1">_xll.ASN(X86,X86,AO86,AS86,0,AI86,0,BI86,BL86,1,0)</f>
        <v>#NAME?</v>
      </c>
      <c r="EB86" s="653" t="e">
        <f ca="1">_xll.ASN(X86,X86,AO86,AS86,0,AI86,0,BI86,BL86,1,3)/100</f>
        <v>#NAME?</v>
      </c>
      <c r="EC86" s="653" t="e">
        <f ca="1">_xll.xCrudeAPO(L87,L88,O87,O88,S87,S88,BI86,BL86,AJ86,AK86,0,X86,AO86,1,0,+BL86,1,0,1)</f>
        <v>#NAME?</v>
      </c>
      <c r="ED86" s="869" t="e">
        <f t="shared" ref="ED86:ED94" ca="1" si="431">(EC86-EA86)/EB86/100</f>
        <v>#NAME?</v>
      </c>
      <c r="EE86" s="863" t="e">
        <f t="shared" ca="1" si="312"/>
        <v>#NAME?</v>
      </c>
      <c r="EF86" s="590" t="e">
        <f t="shared" ca="1" si="313"/>
        <v>#NAME?</v>
      </c>
      <c r="EG86" s="862" t="str">
        <f t="shared" ca="1" si="314"/>
        <v/>
      </c>
      <c r="EH86" s="114" t="str">
        <f t="shared" ca="1" si="315"/>
        <v/>
      </c>
      <c r="EI86" s="109" t="str">
        <f t="shared" ca="1" si="316"/>
        <v/>
      </c>
      <c r="EJ86" s="115">
        <f ca="1">IF(BD86,_xll.xASN(BP86,Strike1,AO86,EH86,0,BM86,0,BI86,BL86,IF(OptControl=4,0,1),0),0)</f>
        <v>0</v>
      </c>
      <c r="EK86" s="108">
        <f ca="1">IF(BD86,_xll.xASN(BP86,Strike2,AO86,EI86,0,BM86,0,BI86,BL86,IF(OptControl=3,1,0),0),0)</f>
        <v>0</v>
      </c>
      <c r="EP86" s="53"/>
      <c r="EQ86" s="1"/>
      <c r="ER86" s="681">
        <v>43824</v>
      </c>
      <c r="ES86" s="682">
        <v>48580</v>
      </c>
      <c r="ET86" s="1"/>
      <c r="EU86" s="667" t="s">
        <v>298</v>
      </c>
      <c r="EW86" s="488">
        <v>67</v>
      </c>
      <c r="EX86" s="466">
        <f t="shared" ca="1" si="166"/>
        <v>5.5195071868583163</v>
      </c>
      <c r="EY86" s="824">
        <f t="shared" ca="1" si="337"/>
        <v>0.19539288640657082</v>
      </c>
      <c r="EZ86" s="798">
        <f t="shared" ca="1" si="427"/>
        <v>0.1959904609323124</v>
      </c>
      <c r="FA86" s="468" t="str">
        <f t="shared" ca="1" si="428"/>
        <v/>
      </c>
      <c r="FB86" s="467" t="str">
        <f t="shared" ca="1" si="429"/>
        <v/>
      </c>
      <c r="FC86" s="242">
        <v>0</v>
      </c>
      <c r="FD86" s="589" t="str">
        <f ca="1">IF(OR(FA86="",FA87=""),"",SQRT(SUM(INDEX(FO86:IH86,SwaptionFirstMonthPosition+1):INDEX(FO86:IH86,FN86))/SUM(INDEX($FO$15:$IH$15,SwaptionFirstMonthPosition+1):INDEX($FO$15:$IH$15,FN86))))</f>
        <v/>
      </c>
      <c r="FE86" s="565" t="str">
        <f ca="1">IF(OR(FA86="",FA85=""),"",SQRT(SUM(INDEX(FO86:IH86,SwaptionFirstMonthPosition+1):INDEX(FO86:IH86,FN86-1))/SUM(INDEX($FO$15:$IH$15,SwaptionFirstMonthPosition+1):INDEX($FO$15:$IH$15,FN86-1))))</f>
        <v/>
      </c>
      <c r="FF86" s="562" t="str">
        <f t="shared" ca="1" si="338"/>
        <v/>
      </c>
      <c r="FG86" s="593" t="str">
        <f t="shared" ca="1" si="339"/>
        <v/>
      </c>
      <c r="FH86" s="563" t="str">
        <f t="shared" ca="1" si="340"/>
        <v/>
      </c>
      <c r="FI86" s="563" t="str">
        <f t="shared" ca="1" si="341"/>
        <v/>
      </c>
      <c r="FJ86" s="563" t="str">
        <f t="shared" ca="1" si="342"/>
        <v/>
      </c>
      <c r="FK86" s="564" t="str">
        <f t="shared" ca="1" si="343"/>
        <v/>
      </c>
      <c r="FL86" s="590" t="str">
        <f t="shared" ca="1" si="344"/>
        <v/>
      </c>
      <c r="FM86" s="242"/>
      <c r="FN86" s="657">
        <v>67</v>
      </c>
      <c r="FO86" s="450">
        <f t="shared" ca="1" si="345"/>
        <v>6.5372827337923788E-4</v>
      </c>
      <c r="FP86" s="450">
        <f t="shared" ca="1" si="346"/>
        <v>2.4504688774366866E-3</v>
      </c>
      <c r="FQ86" s="450">
        <f t="shared" ca="1" si="347"/>
        <v>2.3631516515198246E-3</v>
      </c>
      <c r="FR86" s="450">
        <f t="shared" ca="1" si="348"/>
        <v>2.6015240709225985E-3</v>
      </c>
      <c r="FS86" s="450">
        <f t="shared" ca="1" si="349"/>
        <v>2.4333407668619732E-3</v>
      </c>
      <c r="FT86" s="450">
        <f t="shared" ca="1" si="350"/>
        <v>2.5897391310125031E-3</v>
      </c>
      <c r="FU86" s="450">
        <f t="shared" ca="1" si="351"/>
        <v>2.4225534166105933E-3</v>
      </c>
      <c r="FV86" s="450">
        <f t="shared" ca="1" si="352"/>
        <v>2.2562082914603554E-3</v>
      </c>
      <c r="FW86" s="450">
        <f t="shared" ca="1" si="353"/>
        <v>2.4123253813779838E-3</v>
      </c>
      <c r="FX86" s="450">
        <f t="shared" ca="1" si="354"/>
        <v>2.6481834345601519E-3</v>
      </c>
      <c r="FY86" s="450">
        <f t="shared" ca="1" si="355"/>
        <v>2.322626754818773E-3</v>
      </c>
      <c r="FZ86" s="450">
        <f t="shared" ca="1" si="356"/>
        <v>2.3182300438608114E-3</v>
      </c>
      <c r="GA86" s="450">
        <f t="shared" ca="1" si="357"/>
        <v>2.633186414175565E-3</v>
      </c>
      <c r="GB86" s="450">
        <f t="shared" ca="1" si="358"/>
        <v>2.3099857792045859E-3</v>
      </c>
      <c r="GC86" s="450">
        <f t="shared" ca="1" si="359"/>
        <v>2.5447328868812998E-3</v>
      </c>
      <c r="GD86" s="450">
        <f t="shared" ca="1" si="360"/>
        <v>2.3819615559479905E-3</v>
      </c>
      <c r="GE86" s="450">
        <f t="shared" ca="1" si="361"/>
        <v>2.2991989055525198E-3</v>
      </c>
      <c r="GF86" s="450">
        <f t="shared" ca="1" si="362"/>
        <v>2.6127938417202881E-3</v>
      </c>
      <c r="GG86" s="450">
        <f t="shared" ca="1" si="363"/>
        <v>2.3723402368780186E-3</v>
      </c>
      <c r="GH86" s="450">
        <f t="shared" ca="1" si="364"/>
        <v>2.2907348781770341E-3</v>
      </c>
      <c r="GI86" s="450">
        <f t="shared" ca="1" si="365"/>
        <v>2.4463663766062173E-3</v>
      </c>
      <c r="GJ86" s="450">
        <f t="shared" ca="1" si="366"/>
        <v>2.444399599708665E-3</v>
      </c>
      <c r="GK86" s="450">
        <f t="shared" ca="1" si="367"/>
        <v>2.4428520540376022E-3</v>
      </c>
      <c r="GL86" s="450">
        <f t="shared" ca="1" si="368"/>
        <v>2.2054640543897669E-3</v>
      </c>
      <c r="GM86" s="450">
        <f t="shared" ca="1" si="369"/>
        <v>2.4411795619577025E-3</v>
      </c>
      <c r="GN86" s="450">
        <f t="shared" ca="1" si="370"/>
        <v>2.3624028157497993E-3</v>
      </c>
      <c r="GO86" s="450">
        <f t="shared" ca="1" si="371"/>
        <v>2.4417300118862546E-3</v>
      </c>
      <c r="GP86" s="450">
        <f t="shared" ca="1" si="372"/>
        <v>2.3641779378493241E-3</v>
      </c>
      <c r="GQ86" s="450">
        <f t="shared" ca="1" si="373"/>
        <v>2.4449818371402531E-3</v>
      </c>
      <c r="GR86" s="450">
        <f t="shared" ca="1" si="374"/>
        <v>2.4478033076586331E-3</v>
      </c>
      <c r="GS86" s="450">
        <f t="shared" ca="1" si="375"/>
        <v>2.3724556856980598E-3</v>
      </c>
      <c r="GT86" s="450">
        <f t="shared" ca="1" si="376"/>
        <v>2.4562850185384341E-3</v>
      </c>
      <c r="GU86" s="450">
        <f t="shared" ca="1" si="377"/>
        <v>2.3827345122188676E-3</v>
      </c>
      <c r="GV86" s="450">
        <f t="shared" ca="1" si="378"/>
        <v>2.4692873290056354E-3</v>
      </c>
      <c r="GW86" s="450">
        <f t="shared" ca="1" si="379"/>
        <v>2.4778145901451416E-3</v>
      </c>
      <c r="GX86" s="450">
        <f t="shared" ca="1" si="380"/>
        <v>2.3273945843202797E-3</v>
      </c>
      <c r="GY86" s="450">
        <f t="shared" ca="1" si="381"/>
        <v>2.4997431319844728E-3</v>
      </c>
      <c r="GZ86" s="450">
        <f t="shared" ca="1" si="382"/>
        <v>2.4324598214529487E-3</v>
      </c>
      <c r="HA86" s="450">
        <f t="shared" ca="1" si="383"/>
        <v>2.5295418017224807E-3</v>
      </c>
      <c r="HB86" s="450">
        <f t="shared" ca="1" si="384"/>
        <v>2.4658247320325684E-3</v>
      </c>
      <c r="HC86" s="450">
        <f t="shared" ca="1" si="385"/>
        <v>2.5692893656188735E-3</v>
      </c>
      <c r="HD86" s="450">
        <f t="shared" ca="1" si="386"/>
        <v>2.5937170970605789E-3</v>
      </c>
      <c r="HE86" s="450">
        <f t="shared" ca="1" si="387"/>
        <v>2.5371504554563421E-3</v>
      </c>
      <c r="HF86" s="450">
        <f t="shared" ca="1" si="388"/>
        <v>2.6537912186112853E-3</v>
      </c>
      <c r="HG86" s="450">
        <f t="shared" ca="1" si="389"/>
        <v>2.6037006082788848E-3</v>
      </c>
      <c r="HH86" s="450">
        <f t="shared" ca="1" si="390"/>
        <v>2.7324821099340758E-3</v>
      </c>
      <c r="HI86" s="450">
        <f t="shared" ca="1" si="391"/>
        <v>2.7805426243266316E-3</v>
      </c>
      <c r="HJ86" s="450">
        <f t="shared" ca="1" si="392"/>
        <v>2.5611772412586819E-3</v>
      </c>
      <c r="HK86" s="450">
        <f t="shared" ca="1" si="393"/>
        <v>2.8987095605081037E-3</v>
      </c>
      <c r="HL86" s="450">
        <f t="shared" ca="1" si="394"/>
        <v>2.8753576035460198E-3</v>
      </c>
      <c r="HM86" s="450">
        <f t="shared" ca="1" si="395"/>
        <v>3.0546292881528116E-3</v>
      </c>
      <c r="HN86" s="450">
        <f t="shared" ca="1" si="396"/>
        <v>3.0492350137966088E-3</v>
      </c>
      <c r="HO86" s="450">
        <f t="shared" ca="1" si="397"/>
        <v>3.2622432633512321E-3</v>
      </c>
      <c r="HP86" s="450">
        <f t="shared" ca="1" si="398"/>
        <v>3.3915549910108235E-3</v>
      </c>
      <c r="HQ86" s="450">
        <f t="shared" ca="1" si="399"/>
        <v>3.4280417562249348E-3</v>
      </c>
      <c r="HR86" s="450">
        <f t="shared" ca="1" si="400"/>
        <v>3.7188806807769152E-3</v>
      </c>
      <c r="HS86" s="450">
        <f t="shared" ca="1" si="401"/>
        <v>3.8001168890272191E-3</v>
      </c>
      <c r="HT86" s="450">
        <f t="shared" ca="1" si="402"/>
        <v>4.1730716175400317E-3</v>
      </c>
      <c r="HU86" s="450">
        <f t="shared" ca="1" si="403"/>
        <v>4.4668185193292723E-3</v>
      </c>
      <c r="HV86" s="450">
        <f t="shared" ca="1" si="404"/>
        <v>4.353454028273961E-3</v>
      </c>
      <c r="HW86" s="450">
        <f t="shared" ca="1" si="405"/>
        <v>5.248011502736378E-3</v>
      </c>
      <c r="HX86" s="450">
        <f t="shared" ca="1" si="406"/>
        <v>5.5860604793840276E-3</v>
      </c>
      <c r="HY86" s="450">
        <f t="shared" ca="1" si="407"/>
        <v>6.4214275437384002E-3</v>
      </c>
      <c r="HZ86" s="450">
        <f t="shared" ca="1" si="408"/>
        <v>7.0020434722828859E-3</v>
      </c>
      <c r="IA86" s="450">
        <f t="shared" ca="1" si="409"/>
        <v>8.2707879106230404E-3</v>
      </c>
      <c r="IB86" s="450">
        <f t="shared" ca="1" si="410"/>
        <v>9.608971331169773E-3</v>
      </c>
      <c r="IC86" s="450">
        <f t="shared" ca="1" si="411"/>
        <v>1.1003569890668606E-2</v>
      </c>
      <c r="ID86" s="450" t="str">
        <f t="shared" si="412"/>
        <v/>
      </c>
      <c r="IE86" s="450" t="str">
        <f t="shared" si="413"/>
        <v/>
      </c>
      <c r="IF86" s="450" t="str">
        <f t="shared" si="414"/>
        <v/>
      </c>
      <c r="IG86" s="450" t="str">
        <f t="shared" si="415"/>
        <v/>
      </c>
      <c r="IH86" s="658" t="str">
        <f t="shared" si="416"/>
        <v/>
      </c>
      <c r="II86" s="242"/>
    </row>
    <row r="87" spans="8:243">
      <c r="H87" s="49" t="e">
        <f t="shared" ca="1" si="317"/>
        <v>#N/A</v>
      </c>
      <c r="I87" s="369">
        <f t="shared" si="318"/>
        <v>39052</v>
      </c>
      <c r="J87" s="367">
        <v>21.66</v>
      </c>
      <c r="K87" s="101">
        <v>0</v>
      </c>
      <c r="L87" s="382">
        <f t="shared" si="319"/>
        <v>21.66</v>
      </c>
      <c r="M87" s="163">
        <v>0.18725</v>
      </c>
      <c r="N87" s="372">
        <v>0</v>
      </c>
      <c r="O87" s="163">
        <f t="shared" si="272"/>
        <v>0.18725</v>
      </c>
      <c r="P87" s="367">
        <v>20.4273530473838</v>
      </c>
      <c r="Q87" s="101" t="s">
        <v>267</v>
      </c>
      <c r="R87" s="367">
        <f t="shared" ca="1" si="417"/>
        <v>20.427353047383836</v>
      </c>
      <c r="S87" s="814">
        <f t="shared" si="163"/>
        <v>0.36575685587119028</v>
      </c>
      <c r="T87" s="813">
        <f t="shared" si="418"/>
        <v>0.99993290374685528</v>
      </c>
      <c r="U87" s="532">
        <f t="shared" si="419"/>
        <v>0.99999999993614486</v>
      </c>
      <c r="V87" s="379">
        <v>0</v>
      </c>
      <c r="W87" s="424">
        <f t="shared" si="273"/>
        <v>21.660000000000004</v>
      </c>
      <c r="X87" s="405">
        <f t="shared" si="274"/>
        <v>21.660000000000004</v>
      </c>
      <c r="Y87" s="313">
        <f t="shared" si="275"/>
        <v>20.418400000000005</v>
      </c>
      <c r="Z87" s="313">
        <f t="shared" ca="1" si="276"/>
        <v>20.418400000000005</v>
      </c>
      <c r="AA87" s="419">
        <f t="shared" si="277"/>
        <v>1.2416</v>
      </c>
      <c r="AB87" s="423">
        <f t="shared" ca="1" si="278"/>
        <v>1.2416</v>
      </c>
      <c r="AC87" s="221">
        <v>39041</v>
      </c>
      <c r="AD87" s="221">
        <v>39037</v>
      </c>
      <c r="AE87" s="221">
        <v>39036</v>
      </c>
      <c r="AF87" s="221">
        <v>39032</v>
      </c>
      <c r="AG87" s="241" t="s">
        <v>495</v>
      </c>
      <c r="AH87" s="239" t="s">
        <v>497</v>
      </c>
      <c r="AI87" s="141">
        <v>20</v>
      </c>
      <c r="AJ87" s="41">
        <v>14</v>
      </c>
      <c r="AK87" s="41">
        <v>6</v>
      </c>
      <c r="AL87" s="285">
        <v>20</v>
      </c>
      <c r="AM87" s="41">
        <v>10</v>
      </c>
      <c r="AN87" s="142">
        <v>10</v>
      </c>
      <c r="AO87" s="364">
        <v>5.4672657529139607E-2</v>
      </c>
      <c r="AP87" s="145">
        <f t="shared" ca="1" si="320"/>
        <v>0.73422585984111199</v>
      </c>
      <c r="AQ87" s="364">
        <v>4.6944881186972202E-2</v>
      </c>
      <c r="AR87" s="145">
        <f t="shared" ca="1" si="420"/>
        <v>0.77100786937473831</v>
      </c>
      <c r="AS87" s="264">
        <f t="shared" si="279"/>
        <v>0.18611</v>
      </c>
      <c r="AT87" s="149">
        <f t="shared" si="321"/>
        <v>0.18725</v>
      </c>
      <c r="AU87" s="149">
        <f t="shared" si="280"/>
        <v>0.18595</v>
      </c>
      <c r="AV87" s="263">
        <f t="shared" ca="1" si="430"/>
        <v>0.18315189213044519</v>
      </c>
      <c r="AW87" s="150" t="str">
        <f t="shared" ca="1" si="281"/>
        <v/>
      </c>
      <c r="AX87" s="149">
        <f t="shared" ca="1" si="421"/>
        <v>2.5332237438847723E-2</v>
      </c>
      <c r="AY87" s="149">
        <f t="shared" ca="1" si="422"/>
        <v>1.2202724280897234E-2</v>
      </c>
      <c r="AZ87" s="149">
        <f t="shared" ca="1" si="423"/>
        <v>7.0413662108659378E-3</v>
      </c>
      <c r="BA87" s="149">
        <f t="shared" ca="1" si="424"/>
        <v>1.0000000000000219E-4</v>
      </c>
      <c r="BB87" s="149">
        <f t="shared" ca="1" si="425"/>
        <v>1.0000000000000219E-4</v>
      </c>
      <c r="BC87" s="149">
        <f t="shared" ca="1" si="426"/>
        <v>1.0000000000000219E-4</v>
      </c>
      <c r="BD87" s="143">
        <f t="shared" ca="1" si="282"/>
        <v>0</v>
      </c>
      <c r="BE87" s="144">
        <f t="shared" ca="1" si="283"/>
        <v>0</v>
      </c>
      <c r="BF87" s="40">
        <f t="shared" si="284"/>
        <v>2006</v>
      </c>
      <c r="BG87" s="139">
        <f t="shared" si="285"/>
        <v>12</v>
      </c>
      <c r="BH87" s="140">
        <f t="shared" ca="1" si="286"/>
        <v>2047</v>
      </c>
      <c r="BI87" s="304">
        <f t="shared" ca="1" si="287"/>
        <v>5.6454483230663932</v>
      </c>
      <c r="BJ87" s="42">
        <f t="shared" ca="1" si="288"/>
        <v>5.7029431895961675</v>
      </c>
      <c r="BK87" s="42">
        <f t="shared" ca="1" si="289"/>
        <v>5.7056810403832996</v>
      </c>
      <c r="BL87" s="42">
        <f t="shared" ca="1" si="290"/>
        <v>5.7275838466803561</v>
      </c>
      <c r="BM87" s="285">
        <f t="shared" si="322"/>
        <v>20</v>
      </c>
      <c r="BN87" s="41">
        <f t="shared" si="291"/>
        <v>14</v>
      </c>
      <c r="BO87" s="41">
        <f t="shared" si="292"/>
        <v>6</v>
      </c>
      <c r="BP87" s="297" t="str">
        <f t="shared" ca="1" si="293"/>
        <v/>
      </c>
      <c r="BQ87" s="297" t="str">
        <f t="shared" ca="1" si="294"/>
        <v/>
      </c>
      <c r="BR87" s="299" t="str">
        <f t="shared" ca="1" si="295"/>
        <v/>
      </c>
      <c r="BS87" s="153" t="str">
        <f t="shared" ca="1" si="296"/>
        <v/>
      </c>
      <c r="BT87" s="153" t="str">
        <f t="shared" ca="1" si="297"/>
        <v/>
      </c>
      <c r="BU87" s="300" t="str">
        <f t="shared" ca="1" si="298"/>
        <v/>
      </c>
      <c r="BV87" s="301" t="str">
        <f t="shared" ca="1" si="299"/>
        <v/>
      </c>
      <c r="BW87" s="300" t="str">
        <f t="shared" ca="1" si="300"/>
        <v/>
      </c>
      <c r="BX87" s="301" t="str">
        <f t="shared" ca="1" si="301"/>
        <v/>
      </c>
      <c r="BY87" s="146" t="str">
        <f t="shared" ca="1" si="302"/>
        <v/>
      </c>
      <c r="BZ87" s="146" t="str">
        <f t="shared" ca="1" si="303"/>
        <v/>
      </c>
      <c r="CA87" s="146" t="str">
        <f t="shared" ca="1" si="304"/>
        <v/>
      </c>
      <c r="CB87" s="146" t="str">
        <f t="shared" ca="1" si="305"/>
        <v/>
      </c>
      <c r="CC87" s="302">
        <v>1</v>
      </c>
      <c r="CD87" s="154">
        <f ca="1">IF(BD87,_xll.xCrudeAPO(BS87,BT87,BY87,BZ87,S88,S89,BI87,BL87,BN87,BO87,0,Strike1,AO87,CC87,0,BL87,IF(OptControl=4,0,1),0,1),0)</f>
        <v>0</v>
      </c>
      <c r="CE87" s="155">
        <f ca="1">IF(BD87,_xll.xCrudeAPO(BS87,BT87,BY87,BZ87,S88,S89,BI87,BL87,BN87,BO87,0,Strike1,AO87,CC87,0,BL87,IF(OptControl=4,0,1),1,1)+_xll.xCrudeAPO(BS87,BT87,BY87,BZ87,S88,S89,BI87,BL87,BN87,BO87,0,Strike1,AO87,CC87,0,BL87,IF(OptControl=4,0,1),1,2)+IF(OR(VolSkewFlag=2,ABS(BQ87)&lt;0.0001),0,IF(BQ87&gt;0,-1,1)*CF87*Strike1/BP87^2*BW87/10%),0)</f>
        <v>0</v>
      </c>
      <c r="CF87" s="155">
        <f ca="1">IF(BD87,(_xll.xCrudeAPO(BS87,BT87,BY87,BZ87,S88,S89,BI87,BL87,BN87,BO87,0,Strike1,AO87,CC87,0,BL87,IF(OptControl=4,0,1),3,1)+_xll.xCrudeAPO(BS87,BT87,BY87,BZ87,S88,S89,BI87,BL87,BN87,BO87,0,Strike1,AO87,CC87,0,BL87,IF(OptControl=4,0,1),3,2))/100,0)</f>
        <v>0</v>
      </c>
      <c r="CG87" s="155">
        <f ca="1">IF(BD87,_xll.xCrudeAPO(BS87,BT87,BY87,BZ87,S88,S89,BI87-DaysForThetaCalculation/365.25,BL87-DaysForThetaCalculation/365.25,BN87,BO87,0,Strike1,AO87,CC87,0,BL87,IF(OptControl=4,0,1),0,1)-_xll.xCrudeAPO(BS87,BT87,BY87,BZ87,S88,S89,BI87,BL87,BN87,BO87,0,Strike1,AO87,CC87,0,BL87,IF(OptControl=4,0,1),0,1),0)</f>
        <v>0</v>
      </c>
      <c r="CH87" s="303">
        <f ca="1">IF(BD87,_xll.xCrudeAPO(BS87,BT87,CA87,CB87,S88,S89,BI87,BL87,BN87,BO87,0,Strike2,AO87,CC87,0,BL87,IF(OptControl=3,1,0),0,1),0)</f>
        <v>0</v>
      </c>
      <c r="CI87" s="155">
        <f ca="1">IF(BD87,_xll.xCrudeAPO(BS87,BT87,CA87,CB87,S88,S89,BI87,BL87,BN87,BO87,0,Strike2,AO87,CC87,0,BL87,IF(OptControl=3,1,0),1,1)+_xll.xCrudeAPO(BS87,BT87,CA87,CB87,S88,S89,BI87,BL87,BN87,BO87,0,Strike2,AO87,CC87,0,BL87,IF(OptControl=3,1,0),1,2)+IF(OR(VolSkewFlag=2,ABS(BR87)&lt;0.0001),0,IF(BR87&gt;0,-1,1)*CJ87*Strike2/BP87^2*BX87/10%),0)</f>
        <v>0</v>
      </c>
      <c r="CJ87" s="155">
        <f ca="1">IF(BD87,(_xll.xCrudeAPO(BS87,BT87,CA87,CB87,S88,S89,BI87,BL87,BN87,BO87,0,Strike2,AO87,CC87,0,BL87,IF(OptControl=3,1,0),3,1)+_xll.xCrudeAPO(BS87,BT87,CA87,CB87,S88,S89,BI87,BL87,BN87,BO87,0,Strike2,AO87,CC87,0,BL87,IF(OptControl=3,1,0),3,2))/100,0)</f>
        <v>0</v>
      </c>
      <c r="CK87" s="156">
        <f ca="1">IF(BD87,_xll.xCrudeAPO(BS87,BT87,CA87,CB87,S88,S89,BI87-DaysForThetaCalculation/365.25,BL87-DaysForThetaCalculation/365.25,BN87,BO87,0,Strike2,AO87,CC87,0,BL87,IF(OptControl=3,1,0),0,1)-_xll.xCrudeAPO(BS87,BT87,CA87,CB87,S88,S89,BI87,BL87,BN87,BO87,0,Strike2,AO87,CC87,0,BL87,IF(OptControl=3,1,0),0,1),0)</f>
        <v>0</v>
      </c>
      <c r="CL87" s="51"/>
      <c r="CM87" s="779" t="str">
        <f t="shared" ca="1" si="323"/>
        <v/>
      </c>
      <c r="CN87" s="783" t="str">
        <f t="shared" ca="1" si="324"/>
        <v/>
      </c>
      <c r="CO87" s="780" t="str">
        <f t="shared" ca="1" si="325"/>
        <v/>
      </c>
      <c r="CP87" s="780" t="str">
        <f t="shared" ca="1" si="326"/>
        <v/>
      </c>
      <c r="CQ87" s="780" t="str">
        <f t="shared" ca="1" si="327"/>
        <v/>
      </c>
      <c r="CR87" s="780" t="str">
        <f t="shared" ca="1" si="328"/>
        <v/>
      </c>
      <c r="CS87" s="781" t="str">
        <f t="shared" ca="1" si="329"/>
        <v/>
      </c>
      <c r="CT87" s="782" t="str">
        <f t="shared" ca="1" si="330"/>
        <v/>
      </c>
      <c r="CU87" s="782" t="str">
        <f t="shared" ca="1" si="331"/>
        <v/>
      </c>
      <c r="CV87" s="155">
        <f ca="1">IF(BD87,_xll.EURO(CN87,Strike1,AO87,AO87,CT87,CM87,IF(OptControl=4,0,1),0),0)</f>
        <v>0</v>
      </c>
      <c r="CW87" s="155">
        <f ca="1">IF(BD87,_xll.EURO(CN87,Strike1,AO87,AO87,CT87,CM87,IF(OptControl=4,0,1),1)+IF(OR(VolSkewFlag=2,ABS(CO87)&lt;0.0001),0,IF(CO87&gt;0,-1,1)*CX87*100*Strike1/CN87^2*CQ87/10%),0)</f>
        <v>0</v>
      </c>
      <c r="CX87" s="155">
        <f ca="1">IF(BD87,_xll.EURO(CN87,Strike1,AO87,AO87,CT87,CM87,IF(OptControl=4,0,1),3)/100,0)</f>
        <v>0</v>
      </c>
      <c r="CY87" s="155">
        <f ca="1">IF(BD87,_xll.EURO(CN87,Strike1,AO87,AO87,CT87,CM87,IF(OptControl=4,0,1),0)-_xll.EURO(CN87,Strike1,AO87,AO87,CT87,CM87-1,IF(OptControl=4,0,1),0),0)</f>
        <v>0</v>
      </c>
      <c r="CZ87" s="155">
        <f ca="1">IF(BD87,_xll.EURO(CN87,Strike2,AO87,AO87,CU87,CM87,IF(OptControl=3,1,0),0),0)</f>
        <v>0</v>
      </c>
      <c r="DA87" s="155">
        <f ca="1">IF(BD87,_xll.EURO(CN87,Strike2,AO87,AO87,CU87,CM87,IF(OptControl=3,1,0),1)+IF(OR(VolSkewFlag=2,ABS(CP87)&lt;0.0001),0,IF(CP87&gt;0,-1,1)*DB87*100*Strike2/CN87^2*CR87/10%),0)</f>
        <v>0</v>
      </c>
      <c r="DB87" s="155">
        <f ca="1">IF(BD87,_xll.EURO(CN87,Strike2,AO87,AO87,CU87,CM87,IF(OptControl=3,1,0),3)/100,0)</f>
        <v>0</v>
      </c>
      <c r="DC87" s="156">
        <f ca="1">IF(BD87,_xll.EURO(CN87,Strike2,AO87,AO87,CU87,CM87,IF(OptControl=3,1,0),0)-_xll.EURO(CN87,Strike2,AO87,AO87,CU87,CM87-1,IF(OptControl=3,1,0),0),0)</f>
        <v>0</v>
      </c>
      <c r="DE87" s="651">
        <f t="shared" ca="1" si="332"/>
        <v>38961</v>
      </c>
      <c r="DF87" s="465">
        <v>1E-4</v>
      </c>
      <c r="DG87" s="649">
        <v>1E-4</v>
      </c>
      <c r="DH87" s="650">
        <f t="shared" ca="1" si="306"/>
        <v>38961</v>
      </c>
      <c r="DI87" s="465">
        <v>1E-4</v>
      </c>
      <c r="DJ87" s="649">
        <v>1E-4</v>
      </c>
      <c r="DK87" s="651">
        <f t="shared" ca="1" si="307"/>
        <v>38961</v>
      </c>
      <c r="DL87" s="652">
        <f t="shared" si="308"/>
        <v>5.0100000000000006E-2</v>
      </c>
      <c r="DM87" s="651">
        <f t="shared" ca="1" si="333"/>
        <v>38961</v>
      </c>
      <c r="DN87" s="563">
        <f t="shared" si="334"/>
        <v>-0.12990000000000002</v>
      </c>
      <c r="DO87" s="803">
        <v>-0.13</v>
      </c>
      <c r="DP87" s="650">
        <f t="shared" ca="1" si="309"/>
        <v>38961</v>
      </c>
      <c r="DQ87" s="653">
        <v>1E-4</v>
      </c>
      <c r="DR87" s="590">
        <v>1E-4</v>
      </c>
      <c r="DS87" s="650">
        <f t="shared" ca="1" si="310"/>
        <v>38961</v>
      </c>
      <c r="DT87" s="653">
        <v>1E-4</v>
      </c>
      <c r="DU87" s="590">
        <v>1E-4</v>
      </c>
      <c r="DV87" s="651">
        <f t="shared" ca="1" si="311"/>
        <v>38961</v>
      </c>
      <c r="DW87" s="590">
        <v>1E-4</v>
      </c>
      <c r="DX87" s="651">
        <f t="shared" ca="1" si="335"/>
        <v>38961</v>
      </c>
      <c r="DY87" s="590">
        <f t="shared" si="336"/>
        <v>1E-4</v>
      </c>
      <c r="DZ87" s="1"/>
      <c r="EA87" s="863" t="e">
        <f ca="1">_xll.ASN(X87,X87,AO87,AS87,0,AI87,0,BI87,BL87,1,0)</f>
        <v>#NAME?</v>
      </c>
      <c r="EB87" s="653" t="e">
        <f ca="1">_xll.ASN(X87,X87,AO87,AS87,0,AI87,0,BI87,BL87,1,3)/100</f>
        <v>#NAME?</v>
      </c>
      <c r="EC87" s="653" t="e">
        <f ca="1">_xll.xCrudeAPO(L88,L89,O88,O89,S88,S89,BI87,BL87,AJ87,AK87,0,X87,AO87,1,0,+BL87,1,0,1)</f>
        <v>#NAME?</v>
      </c>
      <c r="ED87" s="869" t="e">
        <f t="shared" ca="1" si="431"/>
        <v>#NAME?</v>
      </c>
      <c r="EE87" s="863" t="e">
        <f t="shared" ca="1" si="312"/>
        <v>#NAME?</v>
      </c>
      <c r="EF87" s="590" t="e">
        <f t="shared" ca="1" si="313"/>
        <v>#NAME?</v>
      </c>
      <c r="EG87" s="862" t="str">
        <f t="shared" ca="1" si="314"/>
        <v/>
      </c>
      <c r="EH87" s="114" t="str">
        <f t="shared" ca="1" si="315"/>
        <v/>
      </c>
      <c r="EI87" s="109" t="str">
        <f t="shared" ca="1" si="316"/>
        <v/>
      </c>
      <c r="EJ87" s="115">
        <f ca="1">IF(BD87,_xll.xASN(BP87,Strike1,AO87,EH87,0,BM87,0,BI87,BL87,IF(OptControl=4,0,1),0),0)</f>
        <v>0</v>
      </c>
      <c r="EK87" s="108">
        <f ca="1">IF(BD87,_xll.xASN(BP87,Strike2,AO87,EI87,0,BM87,0,BI87,BL87,IF(OptControl=3,1,0),0),0)</f>
        <v>0</v>
      </c>
      <c r="EP87" s="53"/>
      <c r="EQ87" s="1"/>
      <c r="ER87" s="681">
        <v>43831</v>
      </c>
      <c r="ES87" s="682">
        <v>48938</v>
      </c>
      <c r="ET87" s="1"/>
      <c r="EU87" s="667" t="s">
        <v>299</v>
      </c>
      <c r="EW87" s="488">
        <v>68</v>
      </c>
      <c r="EX87" s="466">
        <f t="shared" ca="1" si="166"/>
        <v>5.6043805612594113</v>
      </c>
      <c r="EY87" s="824">
        <f t="shared" ca="1" si="337"/>
        <v>0.19650394370294319</v>
      </c>
      <c r="EZ87" s="798">
        <f t="shared" ca="1" si="427"/>
        <v>0.19555402471913647</v>
      </c>
      <c r="FA87" s="468" t="str">
        <f t="shared" ca="1" si="428"/>
        <v/>
      </c>
      <c r="FB87" s="467" t="str">
        <f t="shared" ca="1" si="429"/>
        <v/>
      </c>
      <c r="FC87" s="242">
        <v>0</v>
      </c>
      <c r="FD87" s="589" t="str">
        <f ca="1">IF(OR(FA87="",FA88=""),"",SQRT(SUM(INDEX(FO87:IH87,SwaptionFirstMonthPosition+1):INDEX(FO87:IH87,FN87))/SUM(INDEX($FO$15:$IH$15,SwaptionFirstMonthPosition+1):INDEX($FO$15:$IH$15,FN87))))</f>
        <v/>
      </c>
      <c r="FE87" s="565" t="str">
        <f ca="1">IF(OR(FA87="",FA86=""),"",SQRT(SUM(INDEX(FO87:IH87,SwaptionFirstMonthPosition+1):INDEX(FO87:IH87,FN87-1))/SUM(INDEX($FO$15:$IH$15,SwaptionFirstMonthPosition+1):INDEX($FO$15:$IH$15,FN87-1))))</f>
        <v/>
      </c>
      <c r="FF87" s="562" t="str">
        <f t="shared" ca="1" si="338"/>
        <v/>
      </c>
      <c r="FG87" s="593" t="str">
        <f t="shared" ca="1" si="339"/>
        <v/>
      </c>
      <c r="FH87" s="563" t="str">
        <f t="shared" ca="1" si="340"/>
        <v/>
      </c>
      <c r="FI87" s="563" t="str">
        <f t="shared" ca="1" si="341"/>
        <v/>
      </c>
      <c r="FJ87" s="563" t="str">
        <f t="shared" ca="1" si="342"/>
        <v/>
      </c>
      <c r="FK87" s="564" t="str">
        <f t="shared" ca="1" si="343"/>
        <v/>
      </c>
      <c r="FL87" s="590" t="str">
        <f t="shared" ca="1" si="344"/>
        <v/>
      </c>
      <c r="FM87" s="242"/>
      <c r="FN87" s="657">
        <v>68</v>
      </c>
      <c r="FO87" s="450">
        <f t="shared" ca="1" si="345"/>
        <v>6.5363080398959928E-4</v>
      </c>
      <c r="FP87" s="450">
        <f t="shared" ca="1" si="346"/>
        <v>2.4500629226564272E-3</v>
      </c>
      <c r="FQ87" s="450">
        <f t="shared" ca="1" si="347"/>
        <v>2.3627166632437056E-3</v>
      </c>
      <c r="FR87" s="450">
        <f t="shared" ca="1" si="348"/>
        <v>2.6009919978280537E-3</v>
      </c>
      <c r="FS87" s="450">
        <f t="shared" ca="1" si="349"/>
        <v>2.432787793930804E-3</v>
      </c>
      <c r="FT87" s="450">
        <f t="shared" ca="1" si="350"/>
        <v>2.5890852263259724E-3</v>
      </c>
      <c r="FU87" s="450">
        <f t="shared" ca="1" si="351"/>
        <v>2.4218737604099951E-3</v>
      </c>
      <c r="FV87" s="450">
        <f t="shared" ca="1" si="352"/>
        <v>2.2555049720506142E-3</v>
      </c>
      <c r="FW87" s="450">
        <f t="shared" ca="1" si="353"/>
        <v>2.4114898422570043E-3</v>
      </c>
      <c r="FX87" s="450">
        <f t="shared" ca="1" si="354"/>
        <v>2.6471642884347371E-3</v>
      </c>
      <c r="FY87" s="450">
        <f t="shared" ca="1" si="355"/>
        <v>2.3216335808955687E-3</v>
      </c>
      <c r="FZ87" s="450">
        <f t="shared" ca="1" si="356"/>
        <v>2.3171286062450822E-3</v>
      </c>
      <c r="GA87" s="450">
        <f t="shared" ca="1" si="357"/>
        <v>2.6317963256113847E-3</v>
      </c>
      <c r="GB87" s="450">
        <f t="shared" ca="1" si="358"/>
        <v>2.308630815500702E-3</v>
      </c>
      <c r="GC87" s="450">
        <f t="shared" ca="1" si="359"/>
        <v>2.5430743770570572E-3</v>
      </c>
      <c r="GD87" s="450">
        <f t="shared" ca="1" si="360"/>
        <v>2.3802366394168584E-3</v>
      </c>
      <c r="GE87" s="450">
        <f t="shared" ca="1" si="361"/>
        <v>2.2973489241133686E-3</v>
      </c>
      <c r="GF87" s="450">
        <f t="shared" ca="1" si="362"/>
        <v>2.6104579459437977E-3</v>
      </c>
      <c r="GG87" s="450">
        <f t="shared" ca="1" si="363"/>
        <v>2.3699836536463341E-3</v>
      </c>
      <c r="GH87" s="450">
        <f t="shared" ca="1" si="364"/>
        <v>2.2882065227402891E-3</v>
      </c>
      <c r="GI87" s="450">
        <f t="shared" ca="1" si="365"/>
        <v>2.4433662313071464E-3</v>
      </c>
      <c r="GJ87" s="450">
        <f t="shared" ca="1" si="366"/>
        <v>2.4410687849231827E-3</v>
      </c>
      <c r="GK87" s="450">
        <f t="shared" ca="1" si="367"/>
        <v>2.4391534917579303E-3</v>
      </c>
      <c r="GL87" s="450">
        <f t="shared" ca="1" si="368"/>
        <v>2.2017538892129354E-3</v>
      </c>
      <c r="GM87" s="450">
        <f t="shared" ca="1" si="369"/>
        <v>2.4366165618725576E-3</v>
      </c>
      <c r="GN87" s="450">
        <f t="shared" ca="1" si="370"/>
        <v>2.3574964243126438E-3</v>
      </c>
      <c r="GO87" s="450">
        <f t="shared" ca="1" si="371"/>
        <v>2.4360954082143331E-3</v>
      </c>
      <c r="GP87" s="450">
        <f t="shared" ca="1" si="372"/>
        <v>2.3581161130025357E-3</v>
      </c>
      <c r="GQ87" s="450">
        <f t="shared" ca="1" si="373"/>
        <v>2.4380162721109109E-3</v>
      </c>
      <c r="GR87" s="450">
        <f t="shared" ca="1" si="374"/>
        <v>2.440054859679032E-3</v>
      </c>
      <c r="GS87" s="450">
        <f t="shared" ca="1" si="375"/>
        <v>2.3641113108743032E-3</v>
      </c>
      <c r="GT87" s="450">
        <f t="shared" ca="1" si="376"/>
        <v>2.4466858869568414E-3</v>
      </c>
      <c r="GU87" s="450">
        <f t="shared" ca="1" si="377"/>
        <v>2.372388182097401E-3</v>
      </c>
      <c r="GV87" s="450">
        <f t="shared" ca="1" si="378"/>
        <v>2.4573738173381539E-3</v>
      </c>
      <c r="GW87" s="450">
        <f t="shared" ca="1" si="379"/>
        <v>2.4645316424330641E-3</v>
      </c>
      <c r="GX87" s="450">
        <f t="shared" ca="1" si="380"/>
        <v>2.3135317137927798E-3</v>
      </c>
      <c r="GY87" s="450">
        <f t="shared" ca="1" si="381"/>
        <v>2.4831993033787914E-3</v>
      </c>
      <c r="GZ87" s="450">
        <f t="shared" ca="1" si="382"/>
        <v>2.4145725620864336E-3</v>
      </c>
      <c r="HA87" s="450">
        <f t="shared" ca="1" si="383"/>
        <v>2.5088738480153359E-3</v>
      </c>
      <c r="HB87" s="450">
        <f t="shared" ca="1" si="384"/>
        <v>2.4434387931259525E-3</v>
      </c>
      <c r="HC87" s="450">
        <f t="shared" ca="1" si="385"/>
        <v>2.5433724317900706E-3</v>
      </c>
      <c r="HD87" s="450">
        <f t="shared" ca="1" si="386"/>
        <v>2.5646467179231162E-3</v>
      </c>
      <c r="HE87" s="450">
        <f t="shared" ca="1" si="387"/>
        <v>2.5055544773853813E-3</v>
      </c>
      <c r="HF87" s="450">
        <f t="shared" ca="1" si="388"/>
        <v>2.6170706138662491E-3</v>
      </c>
      <c r="HG87" s="450">
        <f t="shared" ca="1" si="389"/>
        <v>2.5636700536517702E-3</v>
      </c>
      <c r="HH87" s="450">
        <f t="shared" ca="1" si="390"/>
        <v>2.6858037723481503E-3</v>
      </c>
      <c r="HI87" s="450">
        <f t="shared" ca="1" si="391"/>
        <v>2.7277655756098415E-3</v>
      </c>
      <c r="HJ87" s="450">
        <f t="shared" ca="1" si="392"/>
        <v>2.5071624541801352E-3</v>
      </c>
      <c r="HK87" s="450">
        <f t="shared" ca="1" si="393"/>
        <v>2.83078368764034E-3</v>
      </c>
      <c r="HL87" s="450">
        <f t="shared" ca="1" si="394"/>
        <v>2.800492422275654E-3</v>
      </c>
      <c r="HM87" s="450">
        <f t="shared" ca="1" si="395"/>
        <v>2.9662594585321976E-3</v>
      </c>
      <c r="HN87" s="450">
        <f t="shared" ca="1" si="396"/>
        <v>2.9512197090016865E-3</v>
      </c>
      <c r="HO87" s="450">
        <f t="shared" ca="1" si="397"/>
        <v>3.1457296072572322E-3</v>
      </c>
      <c r="HP87" s="450">
        <f t="shared" ca="1" si="398"/>
        <v>3.2569637365524552E-3</v>
      </c>
      <c r="HQ87" s="450">
        <f t="shared" ca="1" si="399"/>
        <v>3.2768870854392586E-3</v>
      </c>
      <c r="HR87" s="450">
        <f t="shared" ca="1" si="400"/>
        <v>3.5366820103963086E-3</v>
      </c>
      <c r="HS87" s="450">
        <f t="shared" ca="1" si="401"/>
        <v>3.5932517044897274E-3</v>
      </c>
      <c r="HT87" s="450">
        <f t="shared" ca="1" si="402"/>
        <v>3.9206632324941077E-3</v>
      </c>
      <c r="HU87" s="450">
        <f t="shared" ca="1" si="403"/>
        <v>4.1666233228439906E-3</v>
      </c>
      <c r="HV87" s="450">
        <f t="shared" ca="1" si="404"/>
        <v>4.0283690633755535E-3</v>
      </c>
      <c r="HW87" s="450">
        <f t="shared" ca="1" si="405"/>
        <v>4.8125846684537914E-3</v>
      </c>
      <c r="HX87" s="450">
        <f t="shared" ca="1" si="406"/>
        <v>5.0710885748655229E-3</v>
      </c>
      <c r="HY87" s="450">
        <f t="shared" ca="1" si="407"/>
        <v>5.7636682707268138E-3</v>
      </c>
      <c r="HZ87" s="450">
        <f t="shared" ca="1" si="408"/>
        <v>6.2051180408869509E-3</v>
      </c>
      <c r="IA87" s="450">
        <f t="shared" ca="1" si="409"/>
        <v>7.2248708231092522E-3</v>
      </c>
      <c r="IB87" s="450">
        <f t="shared" ca="1" si="410"/>
        <v>8.258812808412553E-3</v>
      </c>
      <c r="IC87" s="450">
        <f t="shared" ca="1" si="411"/>
        <v>9.2856656118193246E-3</v>
      </c>
      <c r="ID87" s="450">
        <f t="shared" ca="1" si="412"/>
        <v>1.13541968682276E-2</v>
      </c>
      <c r="IE87" s="450" t="str">
        <f t="shared" si="413"/>
        <v/>
      </c>
      <c r="IF87" s="450" t="str">
        <f t="shared" si="414"/>
        <v/>
      </c>
      <c r="IG87" s="450" t="str">
        <f t="shared" si="415"/>
        <v/>
      </c>
      <c r="IH87" s="658" t="str">
        <f t="shared" si="416"/>
        <v/>
      </c>
      <c r="II87" s="242"/>
    </row>
    <row r="88" spans="8:243">
      <c r="H88" s="49" t="e">
        <f t="shared" ca="1" si="317"/>
        <v>#N/A</v>
      </c>
      <c r="I88" s="369">
        <f t="shared" si="318"/>
        <v>39083</v>
      </c>
      <c r="J88" s="367">
        <v>21.66</v>
      </c>
      <c r="K88" s="101" t="s">
        <v>268</v>
      </c>
      <c r="L88" s="382">
        <f t="shared" si="319"/>
        <v>21.66</v>
      </c>
      <c r="M88" s="163">
        <v>0.18634999999999999</v>
      </c>
      <c r="N88" s="372">
        <v>0</v>
      </c>
      <c r="O88" s="163">
        <f t="shared" si="272"/>
        <v>0.18634999999999999</v>
      </c>
      <c r="P88" s="367">
        <v>20.4109391271801</v>
      </c>
      <c r="Q88" s="101" t="s">
        <v>267</v>
      </c>
      <c r="R88" s="367">
        <f t="shared" ca="1" si="417"/>
        <v>20.410939127180136</v>
      </c>
      <c r="S88" s="814">
        <f t="shared" si="163"/>
        <v>0.36549928731247838</v>
      </c>
      <c r="T88" s="813">
        <f t="shared" si="418"/>
        <v>0.9999396135795563</v>
      </c>
      <c r="U88" s="532">
        <f t="shared" si="419"/>
        <v>0.99999999995210864</v>
      </c>
      <c r="V88" s="379">
        <v>0</v>
      </c>
      <c r="W88" s="424">
        <f t="shared" si="273"/>
        <v>21.66</v>
      </c>
      <c r="X88" s="405">
        <f t="shared" si="274"/>
        <v>21.66</v>
      </c>
      <c r="Y88" s="313">
        <f t="shared" si="275"/>
        <v>20.443999999999999</v>
      </c>
      <c r="Z88" s="313">
        <f t="shared" ca="1" si="276"/>
        <v>20.443999999999999</v>
      </c>
      <c r="AA88" s="419">
        <f t="shared" si="277"/>
        <v>1.216</v>
      </c>
      <c r="AB88" s="423">
        <f t="shared" ca="1" si="278"/>
        <v>1.216</v>
      </c>
      <c r="AC88" s="221">
        <v>39071</v>
      </c>
      <c r="AD88" s="221">
        <v>39067</v>
      </c>
      <c r="AE88" s="221">
        <v>39066</v>
      </c>
      <c r="AF88" s="221">
        <v>39062</v>
      </c>
      <c r="AG88" s="241" t="s">
        <v>90</v>
      </c>
      <c r="AH88" s="239" t="s">
        <v>497</v>
      </c>
      <c r="AI88" s="141">
        <v>22</v>
      </c>
      <c r="AJ88" s="41">
        <v>14</v>
      </c>
      <c r="AK88" s="41">
        <v>8</v>
      </c>
      <c r="AL88" s="285">
        <v>22</v>
      </c>
      <c r="AM88" s="41">
        <v>9</v>
      </c>
      <c r="AN88" s="142">
        <v>13</v>
      </c>
      <c r="AO88" s="364">
        <v>5.4790181405427199E-2</v>
      </c>
      <c r="AP88" s="145">
        <f t="shared" ca="1" si="320"/>
        <v>0.73038648352570978</v>
      </c>
      <c r="AQ88" s="364">
        <v>4.7093666424649502E-2</v>
      </c>
      <c r="AR88" s="145">
        <f t="shared" ca="1" si="420"/>
        <v>0.76744027527649461</v>
      </c>
      <c r="AS88" s="264">
        <f t="shared" si="279"/>
        <v>0.18533181818181815</v>
      </c>
      <c r="AT88" s="149">
        <f t="shared" si="321"/>
        <v>0.18634999999999999</v>
      </c>
      <c r="AU88" s="149">
        <f t="shared" si="280"/>
        <v>0.18519545454545455</v>
      </c>
      <c r="AV88" s="263">
        <f t="shared" ca="1" si="430"/>
        <v>0.18242099823440122</v>
      </c>
      <c r="AW88" s="150" t="str">
        <f t="shared" ca="1" si="281"/>
        <v/>
      </c>
      <c r="AX88" s="149">
        <f t="shared" ca="1" si="421"/>
        <v>2.4976364753008958E-2</v>
      </c>
      <c r="AY88" s="149">
        <f t="shared" ca="1" si="422"/>
        <v>1.19927658117103E-2</v>
      </c>
      <c r="AZ88" s="149">
        <f t="shared" ca="1" si="423"/>
        <v>6.9574478443237466E-3</v>
      </c>
      <c r="BA88" s="149">
        <f t="shared" ca="1" si="424"/>
        <v>1.0000000000000223E-4</v>
      </c>
      <c r="BB88" s="149">
        <f t="shared" ca="1" si="425"/>
        <v>1.0000000000000223E-4</v>
      </c>
      <c r="BC88" s="149">
        <f t="shared" ca="1" si="426"/>
        <v>1.0000000000000223E-4</v>
      </c>
      <c r="BD88" s="143">
        <f t="shared" ca="1" si="282"/>
        <v>0</v>
      </c>
      <c r="BE88" s="144">
        <f t="shared" ca="1" si="283"/>
        <v>0</v>
      </c>
      <c r="BF88" s="40">
        <f t="shared" si="284"/>
        <v>2007</v>
      </c>
      <c r="BG88" s="139">
        <f t="shared" si="285"/>
        <v>1</v>
      </c>
      <c r="BH88" s="140">
        <f t="shared" ca="1" si="286"/>
        <v>2077</v>
      </c>
      <c r="BI88" s="304">
        <f t="shared" ca="1" si="287"/>
        <v>5.7303216974674882</v>
      </c>
      <c r="BJ88" s="42">
        <f t="shared" ca="1" si="288"/>
        <v>5.7825897579491006</v>
      </c>
      <c r="BK88" s="42">
        <f t="shared" ca="1" si="289"/>
        <v>5.7853276087362326</v>
      </c>
      <c r="BL88" s="42">
        <f t="shared" ca="1" si="290"/>
        <v>5.8124572210814511</v>
      </c>
      <c r="BM88" s="285">
        <f t="shared" si="322"/>
        <v>22</v>
      </c>
      <c r="BN88" s="41">
        <f t="shared" si="291"/>
        <v>14</v>
      </c>
      <c r="BO88" s="41">
        <f t="shared" si="292"/>
        <v>8</v>
      </c>
      <c r="BP88" s="297" t="str">
        <f t="shared" ca="1" si="293"/>
        <v/>
      </c>
      <c r="BQ88" s="297" t="str">
        <f t="shared" ca="1" si="294"/>
        <v/>
      </c>
      <c r="BR88" s="299" t="str">
        <f t="shared" ca="1" si="295"/>
        <v/>
      </c>
      <c r="BS88" s="153" t="str">
        <f t="shared" ca="1" si="296"/>
        <v/>
      </c>
      <c r="BT88" s="153" t="str">
        <f t="shared" ca="1" si="297"/>
        <v/>
      </c>
      <c r="BU88" s="300" t="str">
        <f t="shared" ca="1" si="298"/>
        <v/>
      </c>
      <c r="BV88" s="301" t="str">
        <f t="shared" ca="1" si="299"/>
        <v/>
      </c>
      <c r="BW88" s="300" t="str">
        <f t="shared" ca="1" si="300"/>
        <v/>
      </c>
      <c r="BX88" s="301" t="str">
        <f t="shared" ca="1" si="301"/>
        <v/>
      </c>
      <c r="BY88" s="146" t="str">
        <f t="shared" ca="1" si="302"/>
        <v/>
      </c>
      <c r="BZ88" s="146" t="str">
        <f t="shared" ca="1" si="303"/>
        <v/>
      </c>
      <c r="CA88" s="146" t="str">
        <f t="shared" ca="1" si="304"/>
        <v/>
      </c>
      <c r="CB88" s="146" t="str">
        <f t="shared" ca="1" si="305"/>
        <v/>
      </c>
      <c r="CC88" s="302">
        <v>1</v>
      </c>
      <c r="CD88" s="154">
        <f ca="1">IF(BD88,_xll.xCrudeAPO(BS88,BT88,BY88,BZ88,S89,S90,BI88,BL88,BN88,BO88,0,Strike1,AO88,CC88,0,BL88,IF(OptControl=4,0,1),0,1),0)</f>
        <v>0</v>
      </c>
      <c r="CE88" s="155">
        <f ca="1">IF(BD88,_xll.xCrudeAPO(BS88,BT88,BY88,BZ88,S89,S90,BI88,BL88,BN88,BO88,0,Strike1,AO88,CC88,0,BL88,IF(OptControl=4,0,1),1,1)+_xll.xCrudeAPO(BS88,BT88,BY88,BZ88,S89,S90,BI88,BL88,BN88,BO88,0,Strike1,AO88,CC88,0,BL88,IF(OptControl=4,0,1),1,2)+IF(OR(VolSkewFlag=2,ABS(BQ88)&lt;0.0001),0,IF(BQ88&gt;0,-1,1)*CF88*Strike1/BP88^2*BW88/10%),0)</f>
        <v>0</v>
      </c>
      <c r="CF88" s="155">
        <f ca="1">IF(BD88,(_xll.xCrudeAPO(BS88,BT88,BY88,BZ88,S89,S90,BI88,BL88,BN88,BO88,0,Strike1,AO88,CC88,0,BL88,IF(OptControl=4,0,1),3,1)+_xll.xCrudeAPO(BS88,BT88,BY88,BZ88,S89,S90,BI88,BL88,BN88,BO88,0,Strike1,AO88,CC88,0,BL88,IF(OptControl=4,0,1),3,2))/100,0)</f>
        <v>0</v>
      </c>
      <c r="CG88" s="155">
        <f ca="1">IF(BD88,_xll.xCrudeAPO(BS88,BT88,BY88,BZ88,S89,S90,BI88-DaysForThetaCalculation/365.25,BL88-DaysForThetaCalculation/365.25,BN88,BO88,0,Strike1,AO88,CC88,0,BL88,IF(OptControl=4,0,1),0,1)-_xll.xCrudeAPO(BS88,BT88,BY88,BZ88,S89,S90,BI88,BL88,BN88,BO88,0,Strike1,AO88,CC88,0,BL88,IF(OptControl=4,0,1),0,1),0)</f>
        <v>0</v>
      </c>
      <c r="CH88" s="303">
        <f ca="1">IF(BD88,_xll.xCrudeAPO(BS88,BT88,CA88,CB88,S89,S90,BI88,BL88,BN88,BO88,0,Strike2,AO88,CC88,0,BL88,IF(OptControl=3,1,0),0,1),0)</f>
        <v>0</v>
      </c>
      <c r="CI88" s="155">
        <f ca="1">IF(BD88,_xll.xCrudeAPO(BS88,BT88,CA88,CB88,S89,S90,BI88,BL88,BN88,BO88,0,Strike2,AO88,CC88,0,BL88,IF(OptControl=3,1,0),1,1)+_xll.xCrudeAPO(BS88,BT88,CA88,CB88,S89,S90,BI88,BL88,BN88,BO88,0,Strike2,AO88,CC88,0,BL88,IF(OptControl=3,1,0),1,2)+IF(OR(VolSkewFlag=2,ABS(BR88)&lt;0.0001),0,IF(BR88&gt;0,-1,1)*CJ88*Strike2/BP88^2*BX88/10%),0)</f>
        <v>0</v>
      </c>
      <c r="CJ88" s="155">
        <f ca="1">IF(BD88,(_xll.xCrudeAPO(BS88,BT88,CA88,CB88,S89,S90,BI88,BL88,BN88,BO88,0,Strike2,AO88,CC88,0,BL88,IF(OptControl=3,1,0),3,1)+_xll.xCrudeAPO(BS88,BT88,CA88,CB88,S89,S90,BI88,BL88,BN88,BO88,0,Strike2,AO88,CC88,0,BL88,IF(OptControl=3,1,0),3,2))/100,0)</f>
        <v>0</v>
      </c>
      <c r="CK88" s="156">
        <f ca="1">IF(BD88,_xll.xCrudeAPO(BS88,BT88,CA88,CB88,S89,S90,BI88-DaysForThetaCalculation/365.25,BL88-DaysForThetaCalculation/365.25,BN88,BO88,0,Strike2,AO88,CC88,0,BL88,IF(OptControl=3,1,0),0,1)-_xll.xCrudeAPO(BS88,BT88,CA88,CB88,S89,S90,BI88,BL88,BN88,BO88,0,Strike2,AO88,CC88,0,BL88,IF(OptControl=3,1,0),0,1),0)</f>
        <v>0</v>
      </c>
      <c r="CL88" s="51"/>
      <c r="CM88" s="779" t="str">
        <f t="shared" ca="1" si="323"/>
        <v/>
      </c>
      <c r="CN88" s="783" t="str">
        <f t="shared" ca="1" si="324"/>
        <v/>
      </c>
      <c r="CO88" s="780" t="str">
        <f t="shared" ca="1" si="325"/>
        <v/>
      </c>
      <c r="CP88" s="780" t="str">
        <f t="shared" ca="1" si="326"/>
        <v/>
      </c>
      <c r="CQ88" s="780" t="str">
        <f t="shared" ca="1" si="327"/>
        <v/>
      </c>
      <c r="CR88" s="780" t="str">
        <f t="shared" ca="1" si="328"/>
        <v/>
      </c>
      <c r="CS88" s="781" t="str">
        <f t="shared" ca="1" si="329"/>
        <v/>
      </c>
      <c r="CT88" s="782" t="str">
        <f t="shared" ca="1" si="330"/>
        <v/>
      </c>
      <c r="CU88" s="782" t="str">
        <f t="shared" ca="1" si="331"/>
        <v/>
      </c>
      <c r="CV88" s="155">
        <f ca="1">IF(BD88,_xll.EURO(CN88,Strike1,AO88,AO88,CT88,CM88,IF(OptControl=4,0,1),0),0)</f>
        <v>0</v>
      </c>
      <c r="CW88" s="155">
        <f ca="1">IF(BD88,_xll.EURO(CN88,Strike1,AO88,AO88,CT88,CM88,IF(OptControl=4,0,1),1)+IF(OR(VolSkewFlag=2,ABS(CO88)&lt;0.0001),0,IF(CO88&gt;0,-1,1)*CX88*100*Strike1/CN88^2*CQ88/10%),0)</f>
        <v>0</v>
      </c>
      <c r="CX88" s="155">
        <f ca="1">IF(BD88,_xll.EURO(CN88,Strike1,AO88,AO88,CT88,CM88,IF(OptControl=4,0,1),3)/100,0)</f>
        <v>0</v>
      </c>
      <c r="CY88" s="155">
        <f ca="1">IF(BD88,_xll.EURO(CN88,Strike1,AO88,AO88,CT88,CM88,IF(OptControl=4,0,1),0)-_xll.EURO(CN88,Strike1,AO88,AO88,CT88,CM88-1,IF(OptControl=4,0,1),0),0)</f>
        <v>0</v>
      </c>
      <c r="CZ88" s="155">
        <f ca="1">IF(BD88,_xll.EURO(CN88,Strike2,AO88,AO88,CU88,CM88,IF(OptControl=3,1,0),0),0)</f>
        <v>0</v>
      </c>
      <c r="DA88" s="155">
        <f ca="1">IF(BD88,_xll.EURO(CN88,Strike2,AO88,AO88,CU88,CM88,IF(OptControl=3,1,0),1)+IF(OR(VolSkewFlag=2,ABS(CP88)&lt;0.0001),0,IF(CP88&gt;0,-1,1)*DB88*100*Strike2/CN88^2*CR88/10%),0)</f>
        <v>0</v>
      </c>
      <c r="DB88" s="155">
        <f ca="1">IF(BD88,_xll.EURO(CN88,Strike2,AO88,AO88,CU88,CM88,IF(OptControl=3,1,0),3)/100,0)</f>
        <v>0</v>
      </c>
      <c r="DC88" s="156">
        <f ca="1">IF(BD88,_xll.EURO(CN88,Strike2,AO88,AO88,CU88,CM88,IF(OptControl=3,1,0),0)-_xll.EURO(CN88,Strike2,AO88,AO88,CU88,CM88-1,IF(OptControl=3,1,0),0),0)</f>
        <v>0</v>
      </c>
      <c r="DE88" s="651">
        <f t="shared" ca="1" si="332"/>
        <v>38991</v>
      </c>
      <c r="DF88" s="465">
        <v>1E-4</v>
      </c>
      <c r="DG88" s="649">
        <v>1E-4</v>
      </c>
      <c r="DH88" s="650">
        <f t="shared" ca="1" si="306"/>
        <v>38991</v>
      </c>
      <c r="DI88" s="465">
        <v>1E-4</v>
      </c>
      <c r="DJ88" s="649">
        <v>1E-4</v>
      </c>
      <c r="DK88" s="651">
        <f t="shared" ca="1" si="307"/>
        <v>38991</v>
      </c>
      <c r="DL88" s="652">
        <f t="shared" si="308"/>
        <v>5.0100000000000006E-2</v>
      </c>
      <c r="DM88" s="651">
        <f t="shared" ca="1" si="333"/>
        <v>38991</v>
      </c>
      <c r="DN88" s="563">
        <f t="shared" si="334"/>
        <v>-0.12990000000000002</v>
      </c>
      <c r="DO88" s="803">
        <v>-0.13</v>
      </c>
      <c r="DP88" s="650">
        <f t="shared" ca="1" si="309"/>
        <v>38991</v>
      </c>
      <c r="DQ88" s="653">
        <v>1E-4</v>
      </c>
      <c r="DR88" s="590">
        <v>1E-4</v>
      </c>
      <c r="DS88" s="650">
        <f t="shared" ca="1" si="310"/>
        <v>38991</v>
      </c>
      <c r="DT88" s="653">
        <v>1E-4</v>
      </c>
      <c r="DU88" s="590">
        <v>1E-4</v>
      </c>
      <c r="DV88" s="651">
        <f t="shared" ca="1" si="311"/>
        <v>38991</v>
      </c>
      <c r="DW88" s="590">
        <v>1E-4</v>
      </c>
      <c r="DX88" s="651">
        <f t="shared" ca="1" si="335"/>
        <v>38991</v>
      </c>
      <c r="DY88" s="590">
        <f t="shared" si="336"/>
        <v>1E-4</v>
      </c>
      <c r="DZ88" s="1"/>
      <c r="EA88" s="863" t="e">
        <f ca="1">_xll.ASN(X88,X88,AO88,AS88,0,AI88,0,BI88,BL88,1,0)</f>
        <v>#NAME?</v>
      </c>
      <c r="EB88" s="653" t="e">
        <f ca="1">_xll.ASN(X88,X88,AO88,AS88,0,AI88,0,BI88,BL88,1,3)/100</f>
        <v>#NAME?</v>
      </c>
      <c r="EC88" s="653" t="e">
        <f ca="1">_xll.xCrudeAPO(L89,L90,O89,O90,S89,S90,BI88,BL88,AJ88,AK88,0,X88,AO88,1,0,+BL88,1,0,1)</f>
        <v>#NAME?</v>
      </c>
      <c r="ED88" s="869" t="e">
        <f t="shared" ca="1" si="431"/>
        <v>#NAME?</v>
      </c>
      <c r="EE88" s="863" t="e">
        <f t="shared" ca="1" si="312"/>
        <v>#NAME?</v>
      </c>
      <c r="EF88" s="590" t="e">
        <f t="shared" ca="1" si="313"/>
        <v>#NAME?</v>
      </c>
      <c r="EG88" s="862" t="str">
        <f t="shared" ca="1" si="314"/>
        <v/>
      </c>
      <c r="EH88" s="114" t="str">
        <f t="shared" ca="1" si="315"/>
        <v/>
      </c>
      <c r="EI88" s="109" t="str">
        <f t="shared" ca="1" si="316"/>
        <v/>
      </c>
      <c r="EJ88" s="115">
        <f ca="1">IF(BD88,_xll.xASN(BP88,Strike1,AO88,EH88,0,BM88,0,BI88,BL88,IF(OptControl=4,0,1),0),0)</f>
        <v>0</v>
      </c>
      <c r="EK88" s="108">
        <f ca="1">IF(BD88,_xll.xASN(BP88,Strike2,AO88,EI88,0,BM88,0,BI88,BL88,IF(OptControl=3,1,0),0),0)</f>
        <v>0</v>
      </c>
      <c r="EP88" s="53"/>
      <c r="EQ88" s="1"/>
      <c r="ER88" s="681">
        <v>44016</v>
      </c>
      <c r="ES88" s="682">
        <v>48945</v>
      </c>
      <c r="ET88" s="1"/>
      <c r="EU88" s="667" t="s">
        <v>300</v>
      </c>
      <c r="EW88" s="488">
        <v>69</v>
      </c>
      <c r="EX88" s="466">
        <f t="shared" ref="EX88:EX93" ca="1" si="432">BH88/365.25</f>
        <v>5.6865160848733742</v>
      </c>
      <c r="EY88" s="824">
        <f t="shared" ca="1" si="337"/>
        <v>0.19747179146475013</v>
      </c>
      <c r="EZ88" s="798">
        <f t="shared" ca="1" si="427"/>
        <v>0.19499624813546404</v>
      </c>
      <c r="FA88" s="468" t="str">
        <f t="shared" ca="1" si="428"/>
        <v/>
      </c>
      <c r="FB88" s="467" t="str">
        <f t="shared" ca="1" si="429"/>
        <v/>
      </c>
      <c r="FC88" s="242">
        <v>0</v>
      </c>
      <c r="FD88" s="589" t="str">
        <f ca="1">IF(OR(FA88="",FA89=""),"",SQRT(SUM(INDEX(FO88:IH88,SwaptionFirstMonthPosition+1):INDEX(FO88:IH88,FN88))/SUM(INDEX($FO$15:$IH$15,SwaptionFirstMonthPosition+1):INDEX($FO$15:$IH$15,FN88))))</f>
        <v/>
      </c>
      <c r="FE88" s="565" t="str">
        <f ca="1">IF(OR(FA88="",FA87=""),"",SQRT(SUM(INDEX(FO88:IH88,SwaptionFirstMonthPosition+1):INDEX(FO88:IH88,FN88-1))/SUM(INDEX($FO$15:$IH$15,SwaptionFirstMonthPosition+1):INDEX($FO$15:$IH$15,FN88-1))))</f>
        <v/>
      </c>
      <c r="FF88" s="562" t="str">
        <f t="shared" ca="1" si="338"/>
        <v/>
      </c>
      <c r="FG88" s="593" t="str">
        <f t="shared" ca="1" si="339"/>
        <v/>
      </c>
      <c r="FH88" s="563" t="str">
        <f t="shared" ca="1" si="340"/>
        <v/>
      </c>
      <c r="FI88" s="563" t="str">
        <f t="shared" ca="1" si="341"/>
        <v/>
      </c>
      <c r="FJ88" s="563" t="str">
        <f t="shared" ca="1" si="342"/>
        <v/>
      </c>
      <c r="FK88" s="564" t="str">
        <f t="shared" ca="1" si="343"/>
        <v/>
      </c>
      <c r="FL88" s="590" t="str">
        <f t="shared" ca="1" si="344"/>
        <v/>
      </c>
      <c r="FM88" s="242"/>
      <c r="FN88" s="657">
        <v>69</v>
      </c>
      <c r="FO88" s="450">
        <f t="shared" ca="1" si="345"/>
        <v>6.5354309461814126E-4</v>
      </c>
      <c r="FP88" s="450">
        <f t="shared" ca="1" si="346"/>
        <v>2.4496976238811228E-3</v>
      </c>
      <c r="FQ88" s="450">
        <f t="shared" ca="1" si="347"/>
        <v>2.3623252458571499E-3</v>
      </c>
      <c r="FR88" s="450">
        <f t="shared" ca="1" si="348"/>
        <v>2.6005132299823227E-3</v>
      </c>
      <c r="FS88" s="450">
        <f t="shared" ca="1" si="349"/>
        <v>2.4322902313887711E-3</v>
      </c>
      <c r="FT88" s="450">
        <f t="shared" ca="1" si="350"/>
        <v>2.5884968607069246E-3</v>
      </c>
      <c r="FU88" s="450">
        <f t="shared" ca="1" si="351"/>
        <v>2.4212622414414809E-3</v>
      </c>
      <c r="FV88" s="450">
        <f t="shared" ca="1" si="352"/>
        <v>2.2548721819006744E-3</v>
      </c>
      <c r="FW88" s="450">
        <f t="shared" ca="1" si="353"/>
        <v>2.4107381175076221E-3</v>
      </c>
      <c r="FX88" s="450">
        <f t="shared" ca="1" si="354"/>
        <v>2.6462474099158933E-3</v>
      </c>
      <c r="FY88" s="450">
        <f t="shared" ca="1" si="355"/>
        <v>2.3207401065849431E-3</v>
      </c>
      <c r="FZ88" s="450">
        <f t="shared" ca="1" si="356"/>
        <v>2.3161377833745291E-3</v>
      </c>
      <c r="GA88" s="450">
        <f t="shared" ca="1" si="357"/>
        <v>2.630545906362595E-3</v>
      </c>
      <c r="GB88" s="450">
        <f t="shared" ca="1" si="358"/>
        <v>2.3074120634677029E-3</v>
      </c>
      <c r="GC88" s="450">
        <f t="shared" ca="1" si="359"/>
        <v>2.5415826910440047E-3</v>
      </c>
      <c r="GD88" s="450">
        <f t="shared" ca="1" si="360"/>
        <v>2.3786853387397443E-3</v>
      </c>
      <c r="GE88" s="450">
        <f t="shared" ca="1" si="361"/>
        <v>2.2956852804970028E-3</v>
      </c>
      <c r="GF88" s="450">
        <f t="shared" ca="1" si="362"/>
        <v>2.6083575192534323E-3</v>
      </c>
      <c r="GG88" s="450">
        <f t="shared" ca="1" si="363"/>
        <v>2.3678648355756142E-3</v>
      </c>
      <c r="GH88" s="450">
        <f t="shared" ca="1" si="364"/>
        <v>2.2859335144094026E-3</v>
      </c>
      <c r="GI88" s="450">
        <f t="shared" ca="1" si="365"/>
        <v>2.4406694118917975E-3</v>
      </c>
      <c r="GJ88" s="450">
        <f t="shared" ca="1" si="366"/>
        <v>2.4380751364207224E-3</v>
      </c>
      <c r="GK88" s="450">
        <f t="shared" ca="1" si="367"/>
        <v>2.435829825482017E-3</v>
      </c>
      <c r="GL88" s="450">
        <f t="shared" ca="1" si="368"/>
        <v>2.1984203578718524E-3</v>
      </c>
      <c r="GM88" s="450">
        <f t="shared" ca="1" si="369"/>
        <v>2.4325175379509671E-3</v>
      </c>
      <c r="GN88" s="450">
        <f t="shared" ca="1" si="370"/>
        <v>2.353089842940055E-3</v>
      </c>
      <c r="GO88" s="450">
        <f t="shared" ca="1" si="371"/>
        <v>2.4310359672200747E-3</v>
      </c>
      <c r="GP88" s="450">
        <f t="shared" ca="1" si="372"/>
        <v>2.3526744590750084E-3</v>
      </c>
      <c r="GQ88" s="450">
        <f t="shared" ca="1" si="373"/>
        <v>2.4317651235071804E-3</v>
      </c>
      <c r="GR88" s="450">
        <f t="shared" ca="1" si="374"/>
        <v>2.4331033312291776E-3</v>
      </c>
      <c r="GS88" s="450">
        <f t="shared" ca="1" si="375"/>
        <v>2.3566277874012441E-3</v>
      </c>
      <c r="GT88" s="450">
        <f t="shared" ca="1" si="376"/>
        <v>2.4380804304925383E-3</v>
      </c>
      <c r="GU88" s="450">
        <f t="shared" ca="1" si="377"/>
        <v>2.3631169183186891E-3</v>
      </c>
      <c r="GV88" s="450">
        <f t="shared" ca="1" si="378"/>
        <v>2.4467033877893945E-3</v>
      </c>
      <c r="GW88" s="450">
        <f t="shared" ca="1" si="379"/>
        <v>2.4526410754131347E-3</v>
      </c>
      <c r="GX88" s="450">
        <f t="shared" ca="1" si="380"/>
        <v>2.3011294457188228E-3</v>
      </c>
      <c r="GY88" s="450">
        <f t="shared" ca="1" si="381"/>
        <v>2.4684083991339183E-3</v>
      </c>
      <c r="GZ88" s="450">
        <f t="shared" ca="1" si="382"/>
        <v>2.3985924103212294E-3</v>
      </c>
      <c r="HA88" s="450">
        <f t="shared" ca="1" si="383"/>
        <v>2.4904246728875384E-3</v>
      </c>
      <c r="HB88" s="450">
        <f t="shared" ca="1" si="384"/>
        <v>2.4234743553656511E-3</v>
      </c>
      <c r="HC88" s="450">
        <f t="shared" ca="1" si="385"/>
        <v>2.5202824776926879E-3</v>
      </c>
      <c r="HD88" s="450">
        <f t="shared" ca="1" si="386"/>
        <v>2.5387766154067893E-3</v>
      </c>
      <c r="HE88" s="450">
        <f t="shared" ca="1" si="387"/>
        <v>2.4774722248183199E-3</v>
      </c>
      <c r="HF88" s="450">
        <f t="shared" ca="1" si="388"/>
        <v>2.5844793634939882E-3</v>
      </c>
      <c r="HG88" s="450">
        <f t="shared" ca="1" si="389"/>
        <v>2.5281964587146014E-3</v>
      </c>
      <c r="HH88" s="450">
        <f t="shared" ca="1" si="390"/>
        <v>2.6445109238982037E-3</v>
      </c>
      <c r="HI88" s="450">
        <f t="shared" ca="1" si="391"/>
        <v>2.6811678094503934E-3</v>
      </c>
      <c r="HJ88" s="450">
        <f t="shared" ca="1" si="392"/>
        <v>2.4595743921135751E-3</v>
      </c>
      <c r="HK88" s="450">
        <f t="shared" ca="1" si="393"/>
        <v>2.7710829470238211E-3</v>
      </c>
      <c r="HL88" s="450">
        <f t="shared" ca="1" si="394"/>
        <v>2.734868085558978E-3</v>
      </c>
      <c r="HM88" s="450">
        <f t="shared" ca="1" si="395"/>
        <v>2.8890274816177142E-3</v>
      </c>
      <c r="HN88" s="450">
        <f t="shared" ca="1" si="396"/>
        <v>2.8658414983399319E-3</v>
      </c>
      <c r="HO88" s="450">
        <f t="shared" ca="1" si="397"/>
        <v>3.0446125582719438E-3</v>
      </c>
      <c r="HP88" s="450">
        <f t="shared" ca="1" si="398"/>
        <v>3.1406386430272502E-3</v>
      </c>
      <c r="HQ88" s="450">
        <f t="shared" ca="1" si="399"/>
        <v>3.1468463387267168E-3</v>
      </c>
      <c r="HR88" s="450">
        <f t="shared" ca="1" si="400"/>
        <v>3.3807370006879731E-3</v>
      </c>
      <c r="HS88" s="450">
        <f t="shared" ca="1" si="401"/>
        <v>3.4172079593152772E-3</v>
      </c>
      <c r="HT88" s="450">
        <f t="shared" ca="1" si="402"/>
        <v>3.7072359230760359E-3</v>
      </c>
      <c r="HU88" s="450">
        <f t="shared" ca="1" si="403"/>
        <v>3.9146049631318498E-3</v>
      </c>
      <c r="HV88" s="450">
        <f t="shared" ca="1" si="404"/>
        <v>3.7576401234684894E-3</v>
      </c>
      <c r="HW88" s="450">
        <f t="shared" ca="1" si="405"/>
        <v>4.4532150948108596E-3</v>
      </c>
      <c r="HX88" s="450">
        <f t="shared" ca="1" si="406"/>
        <v>4.6503410129806137E-3</v>
      </c>
      <c r="HY88" s="450">
        <f t="shared" ca="1" si="407"/>
        <v>5.23232292684032E-3</v>
      </c>
      <c r="HZ88" s="450">
        <f t="shared" ca="1" si="408"/>
        <v>5.5695157696280051E-3</v>
      </c>
      <c r="IA88" s="450">
        <f t="shared" ca="1" si="409"/>
        <v>6.4025846833162562E-3</v>
      </c>
      <c r="IB88" s="450">
        <f t="shared" ca="1" si="410"/>
        <v>7.2144100825487101E-3</v>
      </c>
      <c r="IC88" s="450">
        <f t="shared" ca="1" si="411"/>
        <v>7.980934841668794E-3</v>
      </c>
      <c r="ID88" s="450">
        <f t="shared" ca="1" si="412"/>
        <v>9.5815518469634965E-3</v>
      </c>
      <c r="IE88" s="450">
        <f t="shared" ca="1" si="413"/>
        <v>1.0972462342992149E-2</v>
      </c>
      <c r="IF88" s="450" t="str">
        <f t="shared" si="414"/>
        <v/>
      </c>
      <c r="IG88" s="450" t="str">
        <f t="shared" si="415"/>
        <v/>
      </c>
      <c r="IH88" s="658" t="str">
        <f t="shared" si="416"/>
        <v/>
      </c>
      <c r="II88" s="242"/>
    </row>
    <row r="89" spans="8:243">
      <c r="H89" s="49" t="e">
        <f t="shared" ca="1" si="317"/>
        <v>#N/A</v>
      </c>
      <c r="I89" s="369">
        <f t="shared" si="318"/>
        <v>39114</v>
      </c>
      <c r="J89" s="367">
        <v>21.66</v>
      </c>
      <c r="K89" s="101" t="s">
        <v>268</v>
      </c>
      <c r="L89" s="382">
        <f t="shared" si="319"/>
        <v>21.66</v>
      </c>
      <c r="M89" s="163">
        <v>0.18554999999999999</v>
      </c>
      <c r="N89" s="372">
        <v>0</v>
      </c>
      <c r="O89" s="163">
        <f t="shared" si="272"/>
        <v>0.18554999999999999</v>
      </c>
      <c r="P89" s="367">
        <v>20.4258608728199</v>
      </c>
      <c r="Q89" s="101" t="s">
        <v>267</v>
      </c>
      <c r="R89" s="367">
        <f t="shared" ca="1" si="417"/>
        <v>20.425860872819875</v>
      </c>
      <c r="S89" s="814">
        <f t="shared" si="163"/>
        <v>0.36524429443935358</v>
      </c>
      <c r="T89" s="813">
        <f t="shared" si="418"/>
        <v>0.99994565238929434</v>
      </c>
      <c r="U89" s="532">
        <f t="shared" si="419"/>
        <v>0.99999999996408151</v>
      </c>
      <c r="V89" s="379">
        <v>0</v>
      </c>
      <c r="W89" s="424">
        <f t="shared" si="273"/>
        <v>21.660000000000004</v>
      </c>
      <c r="X89" s="405">
        <f t="shared" si="274"/>
        <v>21.660000000000004</v>
      </c>
      <c r="Y89" s="313">
        <f t="shared" si="275"/>
        <v>20.444000000000003</v>
      </c>
      <c r="Z89" s="313">
        <f t="shared" ca="1" si="276"/>
        <v>20.444000000000003</v>
      </c>
      <c r="AA89" s="419">
        <f t="shared" si="277"/>
        <v>1.216</v>
      </c>
      <c r="AB89" s="423">
        <f t="shared" ca="1" si="278"/>
        <v>1.216</v>
      </c>
      <c r="AC89" s="221">
        <v>39102</v>
      </c>
      <c r="AD89" s="221">
        <v>39098</v>
      </c>
      <c r="AE89" s="221">
        <v>39097</v>
      </c>
      <c r="AF89" s="221">
        <v>39093</v>
      </c>
      <c r="AG89" s="241" t="s">
        <v>90</v>
      </c>
      <c r="AH89" s="239" t="s">
        <v>497</v>
      </c>
      <c r="AI89" s="141">
        <v>20</v>
      </c>
      <c r="AJ89" s="41">
        <v>14</v>
      </c>
      <c r="AK89" s="41">
        <v>6</v>
      </c>
      <c r="AL89" s="285">
        <v>20</v>
      </c>
      <c r="AM89" s="41">
        <v>10</v>
      </c>
      <c r="AN89" s="142">
        <v>10</v>
      </c>
      <c r="AO89" s="364">
        <v>5.4907705286315202E-2</v>
      </c>
      <c r="AP89" s="145">
        <f t="shared" ca="1" si="320"/>
        <v>0.72687642457801471</v>
      </c>
      <c r="AQ89" s="364">
        <v>4.7242451817763001E-2</v>
      </c>
      <c r="AR89" s="145">
        <f t="shared" ca="1" si="420"/>
        <v>0.7637733476307984</v>
      </c>
      <c r="AS89" s="264">
        <f t="shared" si="279"/>
        <v>0.18492000000000003</v>
      </c>
      <c r="AT89" s="149">
        <f t="shared" si="321"/>
        <v>0.18554999999999999</v>
      </c>
      <c r="AU89" s="149">
        <f t="shared" si="280"/>
        <v>0.18489999999999998</v>
      </c>
      <c r="AV89" s="263">
        <f t="shared" ca="1" si="430"/>
        <v>0.1815256725143404</v>
      </c>
      <c r="AW89" s="150" t="str">
        <f t="shared" ca="1" si="281"/>
        <v/>
      </c>
      <c r="AX89" s="149">
        <f t="shared" ca="1" si="421"/>
        <v>2.462549144272207E-2</v>
      </c>
      <c r="AY89" s="149">
        <f t="shared" ca="1" si="422"/>
        <v>1.1786419860332388E-2</v>
      </c>
      <c r="AZ89" s="149">
        <f t="shared" ca="1" si="423"/>
        <v>6.8745296092947049E-3</v>
      </c>
      <c r="BA89" s="149">
        <f t="shared" ca="1" si="424"/>
        <v>1.0000000000000227E-4</v>
      </c>
      <c r="BB89" s="149">
        <f t="shared" ca="1" si="425"/>
        <v>1.0000000000000227E-4</v>
      </c>
      <c r="BC89" s="149">
        <f t="shared" ca="1" si="426"/>
        <v>1.0000000000000227E-4</v>
      </c>
      <c r="BD89" s="143">
        <f t="shared" ca="1" si="282"/>
        <v>0</v>
      </c>
      <c r="BE89" s="144">
        <f t="shared" ca="1" si="283"/>
        <v>0</v>
      </c>
      <c r="BF89" s="40">
        <f t="shared" si="284"/>
        <v>2007</v>
      </c>
      <c r="BG89" s="139">
        <f t="shared" si="285"/>
        <v>2</v>
      </c>
      <c r="BH89" s="140">
        <f t="shared" ca="1" si="286"/>
        <v>2108</v>
      </c>
      <c r="BI89" s="304">
        <f t="shared" ca="1" si="287"/>
        <v>5.8151950718685832</v>
      </c>
      <c r="BJ89" s="42">
        <f t="shared" ca="1" si="288"/>
        <v>5.8669404517453803</v>
      </c>
      <c r="BK89" s="42">
        <f t="shared" ca="1" si="289"/>
        <v>5.8696783025325123</v>
      </c>
      <c r="BL89" s="42">
        <f t="shared" ca="1" si="290"/>
        <v>5.8891170431211499</v>
      </c>
      <c r="BM89" s="285">
        <f t="shared" si="322"/>
        <v>20</v>
      </c>
      <c r="BN89" s="41">
        <f t="shared" si="291"/>
        <v>14</v>
      </c>
      <c r="BO89" s="41">
        <f t="shared" si="292"/>
        <v>6</v>
      </c>
      <c r="BP89" s="297" t="str">
        <f t="shared" ca="1" si="293"/>
        <v/>
      </c>
      <c r="BQ89" s="297" t="str">
        <f t="shared" ca="1" si="294"/>
        <v/>
      </c>
      <c r="BR89" s="299" t="str">
        <f t="shared" ca="1" si="295"/>
        <v/>
      </c>
      <c r="BS89" s="153" t="str">
        <f t="shared" ca="1" si="296"/>
        <v/>
      </c>
      <c r="BT89" s="153" t="str">
        <f t="shared" ca="1" si="297"/>
        <v/>
      </c>
      <c r="BU89" s="300" t="str">
        <f t="shared" ca="1" si="298"/>
        <v/>
      </c>
      <c r="BV89" s="301" t="str">
        <f t="shared" ca="1" si="299"/>
        <v/>
      </c>
      <c r="BW89" s="300" t="str">
        <f t="shared" ca="1" si="300"/>
        <v/>
      </c>
      <c r="BX89" s="301" t="str">
        <f t="shared" ca="1" si="301"/>
        <v/>
      </c>
      <c r="BY89" s="146" t="str">
        <f t="shared" ca="1" si="302"/>
        <v/>
      </c>
      <c r="BZ89" s="146" t="str">
        <f t="shared" ca="1" si="303"/>
        <v/>
      </c>
      <c r="CA89" s="146" t="str">
        <f t="shared" ca="1" si="304"/>
        <v/>
      </c>
      <c r="CB89" s="146" t="str">
        <f t="shared" ca="1" si="305"/>
        <v/>
      </c>
      <c r="CC89" s="302">
        <v>1</v>
      </c>
      <c r="CD89" s="154">
        <f ca="1">IF(BD89,_xll.xCrudeAPO(BS89,BT89,BY89,BZ89,S90,S91,BI89,BL89,BN89,BO89,0,Strike1,AO89,CC89,0,BL89,IF(OptControl=4,0,1),0,1),0)</f>
        <v>0</v>
      </c>
      <c r="CE89" s="155">
        <f ca="1">IF(BD89,_xll.xCrudeAPO(BS89,BT89,BY89,BZ89,S90,S91,BI89,BL89,BN89,BO89,0,Strike1,AO89,CC89,0,BL89,IF(OptControl=4,0,1),1,1)+_xll.xCrudeAPO(BS89,BT89,BY89,BZ89,S90,S91,BI89,BL89,BN89,BO89,0,Strike1,AO89,CC89,0,BL89,IF(OptControl=4,0,1),1,2)+IF(OR(VolSkewFlag=2,ABS(BQ89)&lt;0.0001),0,IF(BQ89&gt;0,-1,1)*CF89*Strike1/BP89^2*BW89/10%),0)</f>
        <v>0</v>
      </c>
      <c r="CF89" s="155">
        <f ca="1">IF(BD89,(_xll.xCrudeAPO(BS89,BT89,BY89,BZ89,S90,S91,BI89,BL89,BN89,BO89,0,Strike1,AO89,CC89,0,BL89,IF(OptControl=4,0,1),3,1)+_xll.xCrudeAPO(BS89,BT89,BY89,BZ89,S90,S91,BI89,BL89,BN89,BO89,0,Strike1,AO89,CC89,0,BL89,IF(OptControl=4,0,1),3,2))/100,0)</f>
        <v>0</v>
      </c>
      <c r="CG89" s="155">
        <f ca="1">IF(BD89,_xll.xCrudeAPO(BS89,BT89,BY89,BZ89,S90,S91,BI89-DaysForThetaCalculation/365.25,BL89-DaysForThetaCalculation/365.25,BN89,BO89,0,Strike1,AO89,CC89,0,BL89,IF(OptControl=4,0,1),0,1)-_xll.xCrudeAPO(BS89,BT89,BY89,BZ89,S90,S91,BI89,BL89,BN89,BO89,0,Strike1,AO89,CC89,0,BL89,IF(OptControl=4,0,1),0,1),0)</f>
        <v>0</v>
      </c>
      <c r="CH89" s="303">
        <f ca="1">IF(BD89,_xll.xCrudeAPO(BS89,BT89,CA89,CB89,S90,S91,BI89,BL89,BN89,BO89,0,Strike2,AO89,CC89,0,BL89,IF(OptControl=3,1,0),0,1),0)</f>
        <v>0</v>
      </c>
      <c r="CI89" s="155">
        <f ca="1">IF(BD89,_xll.xCrudeAPO(BS89,BT89,CA89,CB89,S90,S91,BI89,BL89,BN89,BO89,0,Strike2,AO89,CC89,0,BL89,IF(OptControl=3,1,0),1,1)+_xll.xCrudeAPO(BS89,BT89,CA89,CB89,S90,S91,BI89,BL89,BN89,BO89,0,Strike2,AO89,CC89,0,BL89,IF(OptControl=3,1,0),1,2)+IF(OR(VolSkewFlag=2,ABS(BR89)&lt;0.0001),0,IF(BR89&gt;0,-1,1)*CJ89*Strike2/BP89^2*BX89/10%),0)</f>
        <v>0</v>
      </c>
      <c r="CJ89" s="155">
        <f ca="1">IF(BD89,(_xll.xCrudeAPO(BS89,BT89,CA89,CB89,S90,S91,BI89,BL89,BN89,BO89,0,Strike2,AO89,CC89,0,BL89,IF(OptControl=3,1,0),3,1)+_xll.xCrudeAPO(BS89,BT89,CA89,CB89,S90,S91,BI89,BL89,BN89,BO89,0,Strike2,AO89,CC89,0,BL89,IF(OptControl=3,1,0),3,2))/100,0)</f>
        <v>0</v>
      </c>
      <c r="CK89" s="156">
        <f ca="1">IF(BD89,_xll.xCrudeAPO(BS89,BT89,CA89,CB89,S90,S91,BI89-DaysForThetaCalculation/365.25,BL89-DaysForThetaCalculation/365.25,BN89,BO89,0,Strike2,AO89,CC89,0,BL89,IF(OptControl=3,1,0),0,1)-_xll.xCrudeAPO(BS89,BT89,CA89,CB89,S90,S91,BI89,BL89,BN89,BO89,0,Strike2,AO89,CC89,0,BL89,IF(OptControl=3,1,0),0,1),0)</f>
        <v>0</v>
      </c>
      <c r="CL89" s="51"/>
      <c r="CM89" s="779" t="str">
        <f t="shared" ca="1" si="323"/>
        <v/>
      </c>
      <c r="CN89" s="783" t="str">
        <f t="shared" ca="1" si="324"/>
        <v/>
      </c>
      <c r="CO89" s="780" t="str">
        <f t="shared" ca="1" si="325"/>
        <v/>
      </c>
      <c r="CP89" s="780" t="str">
        <f t="shared" ca="1" si="326"/>
        <v/>
      </c>
      <c r="CQ89" s="780" t="str">
        <f t="shared" ca="1" si="327"/>
        <v/>
      </c>
      <c r="CR89" s="780" t="str">
        <f t="shared" ca="1" si="328"/>
        <v/>
      </c>
      <c r="CS89" s="781" t="str">
        <f t="shared" ca="1" si="329"/>
        <v/>
      </c>
      <c r="CT89" s="782" t="str">
        <f t="shared" ca="1" si="330"/>
        <v/>
      </c>
      <c r="CU89" s="782" t="str">
        <f t="shared" ca="1" si="331"/>
        <v/>
      </c>
      <c r="CV89" s="155">
        <f ca="1">IF(BD89,_xll.EURO(CN89,Strike1,AO89,AO89,CT89,CM89,IF(OptControl=4,0,1),0),0)</f>
        <v>0</v>
      </c>
      <c r="CW89" s="155">
        <f ca="1">IF(BD89,_xll.EURO(CN89,Strike1,AO89,AO89,CT89,CM89,IF(OptControl=4,0,1),1)+IF(OR(VolSkewFlag=2,ABS(CO89)&lt;0.0001),0,IF(CO89&gt;0,-1,1)*CX89*100*Strike1/CN89^2*CQ89/10%),0)</f>
        <v>0</v>
      </c>
      <c r="CX89" s="155">
        <f ca="1">IF(BD89,_xll.EURO(CN89,Strike1,AO89,AO89,CT89,CM89,IF(OptControl=4,0,1),3)/100,0)</f>
        <v>0</v>
      </c>
      <c r="CY89" s="155">
        <f ca="1">IF(BD89,_xll.EURO(CN89,Strike1,AO89,AO89,CT89,CM89,IF(OptControl=4,0,1),0)-_xll.EURO(CN89,Strike1,AO89,AO89,CT89,CM89-1,IF(OptControl=4,0,1),0),0)</f>
        <v>0</v>
      </c>
      <c r="CZ89" s="155">
        <f ca="1">IF(BD89,_xll.EURO(CN89,Strike2,AO89,AO89,CU89,CM89,IF(OptControl=3,1,0),0),0)</f>
        <v>0</v>
      </c>
      <c r="DA89" s="155">
        <f ca="1">IF(BD89,_xll.EURO(CN89,Strike2,AO89,AO89,CU89,CM89,IF(OptControl=3,1,0),1)+IF(OR(VolSkewFlag=2,ABS(CP89)&lt;0.0001),0,IF(CP89&gt;0,-1,1)*DB89*100*Strike2/CN89^2*CR89/10%),0)</f>
        <v>0</v>
      </c>
      <c r="DB89" s="155">
        <f ca="1">IF(BD89,_xll.EURO(CN89,Strike2,AO89,AO89,CU89,CM89,IF(OptControl=3,1,0),3)/100,0)</f>
        <v>0</v>
      </c>
      <c r="DC89" s="156">
        <f ca="1">IF(BD89,_xll.EURO(CN89,Strike2,AO89,AO89,CU89,CM89,IF(OptControl=3,1,0),0)-_xll.EURO(CN89,Strike2,AO89,AO89,CU89,CM89-1,IF(OptControl=3,1,0),0),0)</f>
        <v>0</v>
      </c>
      <c r="DE89" s="651">
        <f t="shared" ca="1" si="332"/>
        <v>39022</v>
      </c>
      <c r="DF89" s="465">
        <v>1E-4</v>
      </c>
      <c r="DG89" s="649">
        <v>1E-4</v>
      </c>
      <c r="DH89" s="650">
        <f t="shared" ca="1" si="306"/>
        <v>39022</v>
      </c>
      <c r="DI89" s="465">
        <v>1E-4</v>
      </c>
      <c r="DJ89" s="649">
        <v>1E-4</v>
      </c>
      <c r="DK89" s="651">
        <f t="shared" ca="1" si="307"/>
        <v>39022</v>
      </c>
      <c r="DL89" s="652">
        <f t="shared" si="308"/>
        <v>5.0100000000000006E-2</v>
      </c>
      <c r="DM89" s="651">
        <f t="shared" ca="1" si="333"/>
        <v>39022</v>
      </c>
      <c r="DN89" s="563">
        <f t="shared" si="334"/>
        <v>-0.12990000000000002</v>
      </c>
      <c r="DO89" s="803">
        <v>-0.13</v>
      </c>
      <c r="DP89" s="650">
        <f t="shared" ca="1" si="309"/>
        <v>39022</v>
      </c>
      <c r="DQ89" s="653">
        <v>1E-4</v>
      </c>
      <c r="DR89" s="590">
        <v>1E-4</v>
      </c>
      <c r="DS89" s="650">
        <f t="shared" ca="1" si="310"/>
        <v>39022</v>
      </c>
      <c r="DT89" s="653">
        <v>1E-4</v>
      </c>
      <c r="DU89" s="590">
        <v>1E-4</v>
      </c>
      <c r="DV89" s="651">
        <f t="shared" ca="1" si="311"/>
        <v>39022</v>
      </c>
      <c r="DW89" s="590">
        <v>1E-4</v>
      </c>
      <c r="DX89" s="651">
        <f t="shared" ca="1" si="335"/>
        <v>39022</v>
      </c>
      <c r="DY89" s="590">
        <f t="shared" si="336"/>
        <v>1E-4</v>
      </c>
      <c r="DZ89" s="1"/>
      <c r="EA89" s="863" t="e">
        <f ca="1">_xll.ASN(X89,X89,AO89,AS89,0,AI89,0,BI89,BL89,1,0)</f>
        <v>#NAME?</v>
      </c>
      <c r="EB89" s="653" t="e">
        <f ca="1">_xll.ASN(X89,X89,AO89,AS89,0,AI89,0,BI89,BL89,1,3)/100</f>
        <v>#NAME?</v>
      </c>
      <c r="EC89" s="653" t="e">
        <f ca="1">_xll.xCrudeAPO(L90,L91,O90,O91,S90,S91,BI89,BL89,AJ89,AK89,0,X89,AO89,1,0,+BL89,1,0,1)</f>
        <v>#NAME?</v>
      </c>
      <c r="ED89" s="869" t="e">
        <f t="shared" ca="1" si="431"/>
        <v>#NAME?</v>
      </c>
      <c r="EE89" s="863" t="e">
        <f t="shared" ca="1" si="312"/>
        <v>#NAME?</v>
      </c>
      <c r="EF89" s="590" t="e">
        <f t="shared" ca="1" si="313"/>
        <v>#NAME?</v>
      </c>
      <c r="EG89" s="862" t="str">
        <f t="shared" ca="1" si="314"/>
        <v/>
      </c>
      <c r="EH89" s="114" t="str">
        <f t="shared" ca="1" si="315"/>
        <v/>
      </c>
      <c r="EI89" s="109" t="str">
        <f t="shared" ca="1" si="316"/>
        <v/>
      </c>
      <c r="EJ89" s="115">
        <f ca="1">IF(BD89,_xll.xASN(BP89,Strike1,AO89,EH89,0,BM89,0,BI89,BL89,IF(OptControl=4,0,1),0),0)</f>
        <v>0</v>
      </c>
      <c r="EK89" s="108">
        <f ca="1">IF(BD89,_xll.xASN(BP89,Strike2,AO89,EI89,0,BM89,0,BI89,BL89,IF(OptControl=3,1,0),0),0)</f>
        <v>0</v>
      </c>
      <c r="EP89" s="53"/>
      <c r="EQ89" s="1"/>
      <c r="ER89" s="681">
        <v>44190</v>
      </c>
      <c r="ES89" s="682">
        <v>49303</v>
      </c>
      <c r="ET89" s="1"/>
      <c r="EU89" s="667" t="s">
        <v>301</v>
      </c>
      <c r="EW89" s="488">
        <v>70</v>
      </c>
      <c r="EX89" s="466">
        <f t="shared" ca="1" si="432"/>
        <v>5.7713894592744692</v>
      </c>
      <c r="EY89" s="824">
        <f t="shared" ca="1" si="337"/>
        <v>0.19870202784394245</v>
      </c>
      <c r="EZ89" s="798">
        <f t="shared" ca="1" si="427"/>
        <v>0.19458311747900117</v>
      </c>
      <c r="FA89" s="468" t="str">
        <f t="shared" ca="1" si="428"/>
        <v/>
      </c>
      <c r="FB89" s="467" t="str">
        <f t="shared" ca="1" si="429"/>
        <v/>
      </c>
      <c r="FC89" s="242">
        <v>0</v>
      </c>
      <c r="FD89" s="589" t="str">
        <f ca="1">IF(OR(FA89="",FA90=""),"",SQRT(SUM(INDEX(FO89:IH89,SwaptionFirstMonthPosition+1):INDEX(FO89:IH89,FN89))/SUM(INDEX($FO$15:$IH$15,SwaptionFirstMonthPosition+1):INDEX($FO$15:$IH$15,FN89))))</f>
        <v/>
      </c>
      <c r="FE89" s="565" t="str">
        <f ca="1">IF(OR(FA89="",FA88=""),"",SQRT(SUM(INDEX(FO89:IH89,SwaptionFirstMonthPosition+1):INDEX(FO89:IH89,FN89-1))/SUM(INDEX($FO$15:$IH$15,SwaptionFirstMonthPosition+1):INDEX($FO$15:$IH$15,FN89-1))))</f>
        <v/>
      </c>
      <c r="FF89" s="562" t="str">
        <f t="shared" ca="1" si="338"/>
        <v/>
      </c>
      <c r="FG89" s="593" t="str">
        <f t="shared" ca="1" si="339"/>
        <v/>
      </c>
      <c r="FH89" s="563" t="str">
        <f t="shared" ca="1" si="340"/>
        <v/>
      </c>
      <c r="FI89" s="563" t="str">
        <f t="shared" ca="1" si="341"/>
        <v/>
      </c>
      <c r="FJ89" s="563" t="str">
        <f t="shared" ca="1" si="342"/>
        <v/>
      </c>
      <c r="FK89" s="564" t="str">
        <f t="shared" ca="1" si="343"/>
        <v/>
      </c>
      <c r="FL89" s="590" t="str">
        <f t="shared" ca="1" si="344"/>
        <v/>
      </c>
      <c r="FM89" s="242"/>
      <c r="FN89" s="657">
        <v>70</v>
      </c>
      <c r="FO89" s="450">
        <f t="shared" ca="1" si="345"/>
        <v>6.5346416677641492E-4</v>
      </c>
      <c r="FP89" s="450">
        <f t="shared" ca="1" si="346"/>
        <v>2.449368904002039E-3</v>
      </c>
      <c r="FQ89" s="450">
        <f t="shared" ca="1" si="347"/>
        <v>2.3619730285686868E-3</v>
      </c>
      <c r="FR89" s="450">
        <f t="shared" ca="1" si="348"/>
        <v>2.6000824182358206E-3</v>
      </c>
      <c r="FS89" s="450">
        <f t="shared" ca="1" si="349"/>
        <v>2.4318425166879004E-3</v>
      </c>
      <c r="FT89" s="450">
        <f t="shared" ca="1" si="350"/>
        <v>2.5879674519844417E-3</v>
      </c>
      <c r="FU89" s="450">
        <f t="shared" ca="1" si="351"/>
        <v>2.4207120133365591E-3</v>
      </c>
      <c r="FV89" s="450">
        <f t="shared" ca="1" si="352"/>
        <v>2.2543028305441553E-3</v>
      </c>
      <c r="FW89" s="450">
        <f t="shared" ca="1" si="353"/>
        <v>2.4100617761322997E-3</v>
      </c>
      <c r="FX89" s="450">
        <f t="shared" ca="1" si="354"/>
        <v>2.6454225050640606E-3</v>
      </c>
      <c r="FY89" s="450">
        <f t="shared" ca="1" si="355"/>
        <v>2.3199362891714024E-3</v>
      </c>
      <c r="FZ89" s="450">
        <f t="shared" ca="1" si="356"/>
        <v>2.3152464241064934E-3</v>
      </c>
      <c r="GA89" s="450">
        <f t="shared" ca="1" si="357"/>
        <v>2.6294210637280348E-3</v>
      </c>
      <c r="GB89" s="450">
        <f t="shared" ca="1" si="358"/>
        <v>2.306315765691552E-3</v>
      </c>
      <c r="GC89" s="450">
        <f t="shared" ca="1" si="359"/>
        <v>2.5402409611099902E-3</v>
      </c>
      <c r="GD89" s="450">
        <f t="shared" ca="1" si="360"/>
        <v>2.3772900780736532E-3</v>
      </c>
      <c r="GE89" s="450">
        <f t="shared" ca="1" si="361"/>
        <v>2.2941890855090337E-3</v>
      </c>
      <c r="GF89" s="450">
        <f t="shared" ca="1" si="362"/>
        <v>2.6064686562729078E-3</v>
      </c>
      <c r="GG89" s="450">
        <f t="shared" ca="1" si="363"/>
        <v>2.3659596041553771E-3</v>
      </c>
      <c r="GH89" s="450">
        <f t="shared" ca="1" si="364"/>
        <v>2.2838898390315819E-3</v>
      </c>
      <c r="GI89" s="450">
        <f t="shared" ca="1" si="365"/>
        <v>2.4382449533252139E-3</v>
      </c>
      <c r="GJ89" s="450">
        <f t="shared" ca="1" si="366"/>
        <v>2.4353841569516067E-3</v>
      </c>
      <c r="GK89" s="450">
        <f t="shared" ca="1" si="367"/>
        <v>2.4328426018714656E-3</v>
      </c>
      <c r="GL89" s="450">
        <f t="shared" ca="1" si="368"/>
        <v>2.1954247220381785E-3</v>
      </c>
      <c r="GM89" s="450">
        <f t="shared" ca="1" si="369"/>
        <v>2.4288346224851549E-3</v>
      </c>
      <c r="GN89" s="450">
        <f t="shared" ca="1" si="370"/>
        <v>2.3491313327227356E-3</v>
      </c>
      <c r="GO89" s="450">
        <f t="shared" ca="1" si="371"/>
        <v>2.4264919273230181E-3</v>
      </c>
      <c r="GP89" s="450">
        <f t="shared" ca="1" si="372"/>
        <v>2.3477882721201575E-3</v>
      </c>
      <c r="GQ89" s="450">
        <f t="shared" ca="1" si="373"/>
        <v>2.4261535150871408E-3</v>
      </c>
      <c r="GR89" s="450">
        <f t="shared" ca="1" si="374"/>
        <v>2.4268647795567654E-3</v>
      </c>
      <c r="GS89" s="450">
        <f t="shared" ca="1" si="375"/>
        <v>2.3499139362577531E-3</v>
      </c>
      <c r="GT89" s="450">
        <f t="shared" ca="1" si="376"/>
        <v>2.4303627599890922E-3</v>
      </c>
      <c r="GU89" s="450">
        <f t="shared" ca="1" si="377"/>
        <v>2.3548053897039789E-3</v>
      </c>
      <c r="GV89" s="450">
        <f t="shared" ca="1" si="378"/>
        <v>2.4371417011026866E-3</v>
      </c>
      <c r="GW89" s="450">
        <f t="shared" ca="1" si="379"/>
        <v>2.4419911964167281E-3</v>
      </c>
      <c r="GX89" s="450">
        <f t="shared" ca="1" si="380"/>
        <v>2.2900272413791619E-3</v>
      </c>
      <c r="GY89" s="450">
        <f t="shared" ca="1" si="381"/>
        <v>2.4551758756722543E-3</v>
      </c>
      <c r="GZ89" s="450">
        <f t="shared" ca="1" si="382"/>
        <v>2.3843054577535206E-3</v>
      </c>
      <c r="HA89" s="450">
        <f t="shared" ca="1" si="383"/>
        <v>2.473942515814502E-3</v>
      </c>
      <c r="HB89" s="450">
        <f t="shared" ca="1" si="384"/>
        <v>2.4056531712374671E-3</v>
      </c>
      <c r="HC89" s="450">
        <f t="shared" ca="1" si="385"/>
        <v>2.4996901785093294E-3</v>
      </c>
      <c r="HD89" s="450">
        <f t="shared" ca="1" si="386"/>
        <v>2.5157283843335312E-3</v>
      </c>
      <c r="HE89" s="450">
        <f t="shared" ca="1" si="387"/>
        <v>2.4524814687857284E-3</v>
      </c>
      <c r="HF89" s="450">
        <f t="shared" ca="1" si="388"/>
        <v>2.5555125208669089E-3</v>
      </c>
      <c r="HG89" s="450">
        <f t="shared" ca="1" si="389"/>
        <v>2.4967119877417282E-3</v>
      </c>
      <c r="HH89" s="450">
        <f t="shared" ca="1" si="390"/>
        <v>2.6079187309256111E-3</v>
      </c>
      <c r="HI89" s="450">
        <f t="shared" ca="1" si="391"/>
        <v>2.6399462365401297E-3</v>
      </c>
      <c r="HJ89" s="450">
        <f t="shared" ca="1" si="392"/>
        <v>2.4175580717229008E-3</v>
      </c>
      <c r="HK89" s="450">
        <f t="shared" ca="1" si="393"/>
        <v>2.718485450976171E-3</v>
      </c>
      <c r="HL89" s="450">
        <f t="shared" ca="1" si="394"/>
        <v>2.6771901884772506E-3</v>
      </c>
      <c r="HM89" s="450">
        <f t="shared" ca="1" si="395"/>
        <v>2.8213284902798442E-3</v>
      </c>
      <c r="HN89" s="450">
        <f t="shared" ca="1" si="396"/>
        <v>2.7912240862306478E-3</v>
      </c>
      <c r="HO89" s="450">
        <f t="shared" ca="1" si="397"/>
        <v>2.9565325106934129E-3</v>
      </c>
      <c r="HP89" s="450">
        <f t="shared" ca="1" si="398"/>
        <v>3.0396852391557177E-3</v>
      </c>
      <c r="HQ89" s="450">
        <f t="shared" ca="1" si="399"/>
        <v>3.0344541771089423E-3</v>
      </c>
      <c r="HR89" s="450">
        <f t="shared" ca="1" si="400"/>
        <v>3.2465750498652914E-3</v>
      </c>
      <c r="HS89" s="450">
        <f t="shared" ca="1" si="401"/>
        <v>3.2665309895384249E-3</v>
      </c>
      <c r="HT89" s="450">
        <f t="shared" ca="1" si="402"/>
        <v>3.5256077628978595E-3</v>
      </c>
      <c r="HU89" s="450">
        <f t="shared" ca="1" si="403"/>
        <v>3.7015074448876286E-3</v>
      </c>
      <c r="HV89" s="450">
        <f t="shared" ca="1" si="404"/>
        <v>3.5303591271007469E-3</v>
      </c>
      <c r="HW89" s="450">
        <f t="shared" ca="1" si="405"/>
        <v>4.1539341245647914E-3</v>
      </c>
      <c r="HX89" s="450">
        <f t="shared" ca="1" si="406"/>
        <v>4.3030866408999228E-3</v>
      </c>
      <c r="HY89" s="450">
        <f t="shared" ca="1" si="407"/>
        <v>4.7981977716667181E-3</v>
      </c>
      <c r="HZ89" s="450">
        <f t="shared" ca="1" si="408"/>
        <v>5.0560691011366093E-3</v>
      </c>
      <c r="IA89" s="450">
        <f t="shared" ca="1" si="409"/>
        <v>5.7467555210297862E-3</v>
      </c>
      <c r="IB89" s="450">
        <f t="shared" ca="1" si="410"/>
        <v>6.3933145137964296E-3</v>
      </c>
      <c r="IC89" s="450">
        <f t="shared" ca="1" si="411"/>
        <v>6.9716723366402104E-3</v>
      </c>
      <c r="ID89" s="450">
        <f t="shared" ca="1" si="412"/>
        <v>8.2352460415279112E-3</v>
      </c>
      <c r="IE89" s="450">
        <f t="shared" ca="1" si="413"/>
        <v>9.2594146506678656E-3</v>
      </c>
      <c r="IF89" s="450">
        <f t="shared" ca="1" si="414"/>
        <v>1.1322396258002821E-2</v>
      </c>
      <c r="IG89" s="450" t="str">
        <f t="shared" si="415"/>
        <v/>
      </c>
      <c r="IH89" s="658" t="str">
        <f t="shared" si="416"/>
        <v/>
      </c>
      <c r="II89" s="242"/>
    </row>
    <row r="90" spans="8:243">
      <c r="H90" s="49" t="e">
        <f t="shared" ca="1" si="317"/>
        <v>#N/A</v>
      </c>
      <c r="I90" s="369">
        <f t="shared" si="318"/>
        <v>39142</v>
      </c>
      <c r="J90" s="367">
        <v>21.66</v>
      </c>
      <c r="K90" s="101" t="s">
        <v>268</v>
      </c>
      <c r="L90" s="382">
        <f t="shared" si="319"/>
        <v>21.66</v>
      </c>
      <c r="M90" s="163">
        <v>0.18495</v>
      </c>
      <c r="N90" s="372">
        <v>0</v>
      </c>
      <c r="O90" s="163">
        <f t="shared" si="272"/>
        <v>0.18495</v>
      </c>
      <c r="P90" s="367">
        <v>20.456557857278501</v>
      </c>
      <c r="Q90" s="101" t="s">
        <v>267</v>
      </c>
      <c r="R90" s="367">
        <f t="shared" ca="1" si="417"/>
        <v>20.456557857278547</v>
      </c>
      <c r="S90" s="814">
        <f t="shared" si="163"/>
        <v>0.36499185149496005</v>
      </c>
      <c r="T90" s="813">
        <f t="shared" si="418"/>
        <v>0.99995108728597981</v>
      </c>
      <c r="U90" s="532">
        <f t="shared" si="419"/>
        <v>0.9999999999730611</v>
      </c>
      <c r="V90" s="379">
        <v>0</v>
      </c>
      <c r="W90" s="424">
        <f t="shared" si="273"/>
        <v>21.66</v>
      </c>
      <c r="X90" s="405">
        <f t="shared" si="274"/>
        <v>21.66</v>
      </c>
      <c r="Y90" s="313">
        <f t="shared" si="275"/>
        <v>20.443999999999999</v>
      </c>
      <c r="Z90" s="313">
        <f t="shared" ca="1" si="276"/>
        <v>20.443999999999999</v>
      </c>
      <c r="AA90" s="419">
        <f t="shared" si="277"/>
        <v>1.216</v>
      </c>
      <c r="AB90" s="423">
        <f t="shared" ca="1" si="278"/>
        <v>1.216</v>
      </c>
      <c r="AC90" s="221">
        <v>39133</v>
      </c>
      <c r="AD90" s="221">
        <v>39129</v>
      </c>
      <c r="AE90" s="221">
        <v>39128</v>
      </c>
      <c r="AF90" s="221">
        <v>39124</v>
      </c>
      <c r="AG90" s="241" t="s">
        <v>90</v>
      </c>
      <c r="AH90" s="239" t="s">
        <v>497</v>
      </c>
      <c r="AI90" s="141">
        <v>22</v>
      </c>
      <c r="AJ90" s="41">
        <v>14</v>
      </c>
      <c r="AK90" s="41">
        <v>8</v>
      </c>
      <c r="AL90" s="285">
        <v>22</v>
      </c>
      <c r="AM90" s="41">
        <v>10</v>
      </c>
      <c r="AN90" s="142">
        <v>12</v>
      </c>
      <c r="AO90" s="364">
        <v>5.5013855892362101E-2</v>
      </c>
      <c r="AP90" s="145">
        <f t="shared" ca="1" si="320"/>
        <v>0.7230959480900776</v>
      </c>
      <c r="AQ90" s="364">
        <v>4.7376838758037602E-2</v>
      </c>
      <c r="AR90" s="145">
        <f t="shared" ca="1" si="420"/>
        <v>0.76016784520469705</v>
      </c>
      <c r="AS90" s="264">
        <f t="shared" si="279"/>
        <v>0.18463181818181817</v>
      </c>
      <c r="AT90" s="149">
        <f t="shared" si="321"/>
        <v>0.18495</v>
      </c>
      <c r="AU90" s="149">
        <f t="shared" si="280"/>
        <v>0.18452272727272725</v>
      </c>
      <c r="AV90" s="263">
        <f t="shared" ca="1" si="430"/>
        <v>0.18097081422323816</v>
      </c>
      <c r="AW90" s="150" t="str">
        <f t="shared" ca="1" si="281"/>
        <v/>
      </c>
      <c r="AX90" s="149">
        <f t="shared" ca="1" si="421"/>
        <v>2.4279547275690785E-2</v>
      </c>
      <c r="AY90" s="149">
        <f t="shared" ca="1" si="422"/>
        <v>1.1583624270257161E-2</v>
      </c>
      <c r="AZ90" s="149">
        <f t="shared" ca="1" si="423"/>
        <v>6.7925995863017683E-3</v>
      </c>
      <c r="BA90" s="149">
        <f t="shared" ca="1" si="424"/>
        <v>1.0000000000000231E-4</v>
      </c>
      <c r="BB90" s="149">
        <f t="shared" ca="1" si="425"/>
        <v>1.0000000000000231E-4</v>
      </c>
      <c r="BC90" s="149">
        <f t="shared" ca="1" si="426"/>
        <v>1.0000000000000231E-4</v>
      </c>
      <c r="BD90" s="143">
        <f t="shared" ca="1" si="282"/>
        <v>0</v>
      </c>
      <c r="BE90" s="144">
        <f t="shared" ca="1" si="283"/>
        <v>0</v>
      </c>
      <c r="BF90" s="40">
        <f t="shared" si="284"/>
        <v>2007</v>
      </c>
      <c r="BG90" s="139">
        <f t="shared" si="285"/>
        <v>3</v>
      </c>
      <c r="BH90" s="140">
        <f t="shared" ca="1" si="286"/>
        <v>2139</v>
      </c>
      <c r="BI90" s="304">
        <f t="shared" ca="1" si="287"/>
        <v>5.891854893908282</v>
      </c>
      <c r="BJ90" s="42">
        <f t="shared" ca="1" si="288"/>
        <v>5.9441229543898944</v>
      </c>
      <c r="BK90" s="42">
        <f t="shared" ca="1" si="289"/>
        <v>5.9468608051770264</v>
      </c>
      <c r="BL90" s="42">
        <f t="shared" ca="1" si="290"/>
        <v>5.9739904175222449</v>
      </c>
      <c r="BM90" s="285">
        <f t="shared" si="322"/>
        <v>22</v>
      </c>
      <c r="BN90" s="41">
        <f t="shared" si="291"/>
        <v>14</v>
      </c>
      <c r="BO90" s="41">
        <f t="shared" si="292"/>
        <v>8</v>
      </c>
      <c r="BP90" s="297" t="str">
        <f t="shared" ca="1" si="293"/>
        <v/>
      </c>
      <c r="BQ90" s="297" t="str">
        <f t="shared" ca="1" si="294"/>
        <v/>
      </c>
      <c r="BR90" s="299" t="str">
        <f t="shared" ca="1" si="295"/>
        <v/>
      </c>
      <c r="BS90" s="153" t="str">
        <f t="shared" ca="1" si="296"/>
        <v/>
      </c>
      <c r="BT90" s="153" t="str">
        <f t="shared" ca="1" si="297"/>
        <v/>
      </c>
      <c r="BU90" s="300" t="str">
        <f t="shared" ca="1" si="298"/>
        <v/>
      </c>
      <c r="BV90" s="301" t="str">
        <f t="shared" ca="1" si="299"/>
        <v/>
      </c>
      <c r="BW90" s="300" t="str">
        <f t="shared" ca="1" si="300"/>
        <v/>
      </c>
      <c r="BX90" s="301" t="str">
        <f t="shared" ca="1" si="301"/>
        <v/>
      </c>
      <c r="BY90" s="146" t="str">
        <f t="shared" ca="1" si="302"/>
        <v/>
      </c>
      <c r="BZ90" s="146" t="str">
        <f t="shared" ca="1" si="303"/>
        <v/>
      </c>
      <c r="CA90" s="146" t="str">
        <f t="shared" ca="1" si="304"/>
        <v/>
      </c>
      <c r="CB90" s="146" t="str">
        <f t="shared" ca="1" si="305"/>
        <v/>
      </c>
      <c r="CC90" s="302">
        <v>1</v>
      </c>
      <c r="CD90" s="154">
        <f ca="1">IF(BD90,_xll.xCrudeAPO(BS90,BT90,BY90,BZ90,S91,S92,BI90,BL90,BN90,BO90,0,Strike1,AO90,CC90,0,BL90,IF(OptControl=4,0,1),0,1),0)</f>
        <v>0</v>
      </c>
      <c r="CE90" s="155">
        <f ca="1">IF(BD90,_xll.xCrudeAPO(BS90,BT90,BY90,BZ90,S91,S92,BI90,BL90,BN90,BO90,0,Strike1,AO90,CC90,0,BL90,IF(OptControl=4,0,1),1,1)+_xll.xCrudeAPO(BS90,BT90,BY90,BZ90,S91,S92,BI90,BL90,BN90,BO90,0,Strike1,AO90,CC90,0,BL90,IF(OptControl=4,0,1),1,2)+IF(OR(VolSkewFlag=2,ABS(BQ90)&lt;0.0001),0,IF(BQ90&gt;0,-1,1)*CF90*Strike1/BP90^2*BW90/10%),0)</f>
        <v>0</v>
      </c>
      <c r="CF90" s="155">
        <f ca="1">IF(BD90,(_xll.xCrudeAPO(BS90,BT90,BY90,BZ90,S91,S92,BI90,BL90,BN90,BO90,0,Strike1,AO90,CC90,0,BL90,IF(OptControl=4,0,1),3,1)+_xll.xCrudeAPO(BS90,BT90,BY90,BZ90,S91,S92,BI90,BL90,BN90,BO90,0,Strike1,AO90,CC90,0,BL90,IF(OptControl=4,0,1),3,2))/100,0)</f>
        <v>0</v>
      </c>
      <c r="CG90" s="155">
        <f ca="1">IF(BD90,_xll.xCrudeAPO(BS90,BT90,BY90,BZ90,S91,S92,BI90-DaysForThetaCalculation/365.25,BL90-DaysForThetaCalculation/365.25,BN90,BO90,0,Strike1,AO90,CC90,0,BL90,IF(OptControl=4,0,1),0,1)-_xll.xCrudeAPO(BS90,BT90,BY90,BZ90,S91,S92,BI90,BL90,BN90,BO90,0,Strike1,AO90,CC90,0,BL90,IF(OptControl=4,0,1),0,1),0)</f>
        <v>0</v>
      </c>
      <c r="CH90" s="303">
        <f ca="1">IF(BD90,_xll.xCrudeAPO(BS90,BT90,CA90,CB90,S91,S92,BI90,BL90,BN90,BO90,0,Strike2,AO90,CC90,0,BL90,IF(OptControl=3,1,0),0,1),0)</f>
        <v>0</v>
      </c>
      <c r="CI90" s="155">
        <f ca="1">IF(BD90,_xll.xCrudeAPO(BS90,BT90,CA90,CB90,S91,S92,BI90,BL90,BN90,BO90,0,Strike2,AO90,CC90,0,BL90,IF(OptControl=3,1,0),1,1)+_xll.xCrudeAPO(BS90,BT90,CA90,CB90,S91,S92,BI90,BL90,BN90,BO90,0,Strike2,AO90,CC90,0,BL90,IF(OptControl=3,1,0),1,2)+IF(OR(VolSkewFlag=2,ABS(BR90)&lt;0.0001),0,IF(BR90&gt;0,-1,1)*CJ90*Strike2/BP90^2*BX90/10%),0)</f>
        <v>0</v>
      </c>
      <c r="CJ90" s="155">
        <f ca="1">IF(BD90,(_xll.xCrudeAPO(BS90,BT90,CA90,CB90,S91,S92,BI90,BL90,BN90,BO90,0,Strike2,AO90,CC90,0,BL90,IF(OptControl=3,1,0),3,1)+_xll.xCrudeAPO(BS90,BT90,CA90,CB90,S91,S92,BI90,BL90,BN90,BO90,0,Strike2,AO90,CC90,0,BL90,IF(OptControl=3,1,0),3,2))/100,0)</f>
        <v>0</v>
      </c>
      <c r="CK90" s="156">
        <f ca="1">IF(BD90,_xll.xCrudeAPO(BS90,BT90,CA90,CB90,S91,S92,BI90-DaysForThetaCalculation/365.25,BL90-DaysForThetaCalculation/365.25,BN90,BO90,0,Strike2,AO90,CC90,0,BL90,IF(OptControl=3,1,0),0,1)-_xll.xCrudeAPO(BS90,BT90,CA90,CB90,S91,S92,BI90,BL90,BN90,BO90,0,Strike2,AO90,CC90,0,BL90,IF(OptControl=3,1,0),0,1),0)</f>
        <v>0</v>
      </c>
      <c r="CL90" s="51"/>
      <c r="CM90" s="779" t="str">
        <f t="shared" ca="1" si="323"/>
        <v/>
      </c>
      <c r="CN90" s="783" t="str">
        <f t="shared" ca="1" si="324"/>
        <v/>
      </c>
      <c r="CO90" s="780" t="str">
        <f t="shared" ca="1" si="325"/>
        <v/>
      </c>
      <c r="CP90" s="780" t="str">
        <f t="shared" ca="1" si="326"/>
        <v/>
      </c>
      <c r="CQ90" s="780" t="str">
        <f t="shared" ca="1" si="327"/>
        <v/>
      </c>
      <c r="CR90" s="780" t="str">
        <f t="shared" ca="1" si="328"/>
        <v/>
      </c>
      <c r="CS90" s="781" t="str">
        <f t="shared" ca="1" si="329"/>
        <v/>
      </c>
      <c r="CT90" s="782" t="str">
        <f t="shared" ca="1" si="330"/>
        <v/>
      </c>
      <c r="CU90" s="782" t="str">
        <f t="shared" ca="1" si="331"/>
        <v/>
      </c>
      <c r="CV90" s="155">
        <f ca="1">IF(BD90,_xll.EURO(CN90,Strike1,AO90,AO90,CT90,CM90,IF(OptControl=4,0,1),0),0)</f>
        <v>0</v>
      </c>
      <c r="CW90" s="155">
        <f ca="1">IF(BD90,_xll.EURO(CN90,Strike1,AO90,AO90,CT90,CM90,IF(OptControl=4,0,1),1)+IF(OR(VolSkewFlag=2,ABS(CO90)&lt;0.0001),0,IF(CO90&gt;0,-1,1)*CX90*100*Strike1/CN90^2*CQ90/10%),0)</f>
        <v>0</v>
      </c>
      <c r="CX90" s="155">
        <f ca="1">IF(BD90,_xll.EURO(CN90,Strike1,AO90,AO90,CT90,CM90,IF(OptControl=4,0,1),3)/100,0)</f>
        <v>0</v>
      </c>
      <c r="CY90" s="155">
        <f ca="1">IF(BD90,_xll.EURO(CN90,Strike1,AO90,AO90,CT90,CM90,IF(OptControl=4,0,1),0)-_xll.EURO(CN90,Strike1,AO90,AO90,CT90,CM90-1,IF(OptControl=4,0,1),0),0)</f>
        <v>0</v>
      </c>
      <c r="CZ90" s="155">
        <f ca="1">IF(BD90,_xll.EURO(CN90,Strike2,AO90,AO90,CU90,CM90,IF(OptControl=3,1,0),0),0)</f>
        <v>0</v>
      </c>
      <c r="DA90" s="155">
        <f ca="1">IF(BD90,_xll.EURO(CN90,Strike2,AO90,AO90,CU90,CM90,IF(OptControl=3,1,0),1)+IF(OR(VolSkewFlag=2,ABS(CP90)&lt;0.0001),0,IF(CP90&gt;0,-1,1)*DB90*100*Strike2/CN90^2*CR90/10%),0)</f>
        <v>0</v>
      </c>
      <c r="DB90" s="155">
        <f ca="1">IF(BD90,_xll.EURO(CN90,Strike2,AO90,AO90,CU90,CM90,IF(OptControl=3,1,0),3)/100,0)</f>
        <v>0</v>
      </c>
      <c r="DC90" s="156">
        <f ca="1">IF(BD90,_xll.EURO(CN90,Strike2,AO90,AO90,CU90,CM90,IF(OptControl=3,1,0),0)-_xll.EURO(CN90,Strike2,AO90,AO90,CU90,CM90-1,IF(OptControl=3,1,0),0),0)</f>
        <v>0</v>
      </c>
      <c r="DE90" s="651">
        <f t="shared" ca="1" si="332"/>
        <v>39052</v>
      </c>
      <c r="DF90" s="465">
        <v>1E-4</v>
      </c>
      <c r="DG90" s="649">
        <v>1E-4</v>
      </c>
      <c r="DH90" s="650">
        <f t="shared" ca="1" si="306"/>
        <v>39052</v>
      </c>
      <c r="DI90" s="465">
        <v>1E-4</v>
      </c>
      <c r="DJ90" s="649">
        <v>1E-4</v>
      </c>
      <c r="DK90" s="651">
        <f t="shared" ca="1" si="307"/>
        <v>39052</v>
      </c>
      <c r="DL90" s="652">
        <f t="shared" si="308"/>
        <v>5.0100000000000006E-2</v>
      </c>
      <c r="DM90" s="651">
        <f t="shared" ca="1" si="333"/>
        <v>39052</v>
      </c>
      <c r="DN90" s="563">
        <f t="shared" si="334"/>
        <v>-0.12990000000000002</v>
      </c>
      <c r="DO90" s="803">
        <v>-0.13</v>
      </c>
      <c r="DP90" s="650">
        <f t="shared" ca="1" si="309"/>
        <v>39052</v>
      </c>
      <c r="DQ90" s="653">
        <v>1E-4</v>
      </c>
      <c r="DR90" s="590">
        <v>1E-4</v>
      </c>
      <c r="DS90" s="650">
        <f t="shared" ca="1" si="310"/>
        <v>39052</v>
      </c>
      <c r="DT90" s="653">
        <v>1E-4</v>
      </c>
      <c r="DU90" s="590">
        <v>1E-4</v>
      </c>
      <c r="DV90" s="651">
        <f t="shared" ca="1" si="311"/>
        <v>39052</v>
      </c>
      <c r="DW90" s="590">
        <v>1E-4</v>
      </c>
      <c r="DX90" s="651">
        <f t="shared" ca="1" si="335"/>
        <v>39052</v>
      </c>
      <c r="DY90" s="590">
        <f t="shared" si="336"/>
        <v>1E-4</v>
      </c>
      <c r="DZ90" s="1"/>
      <c r="EA90" s="863" t="e">
        <f ca="1">_xll.ASN(X90,X90,AO90,AS90,0,AI90,0,BI90,BL90,1,0)</f>
        <v>#NAME?</v>
      </c>
      <c r="EB90" s="653" t="e">
        <f ca="1">_xll.ASN(X90,X90,AO90,AS90,0,AI90,0,BI90,BL90,1,3)/100</f>
        <v>#NAME?</v>
      </c>
      <c r="EC90" s="653" t="e">
        <f ca="1">_xll.xCrudeAPO(L91,L92,O91,O92,S91,S92,BI90,BL90,AJ90,AK90,0,X90,AO90,1,0,+BL90,1,0,1)</f>
        <v>#NAME?</v>
      </c>
      <c r="ED90" s="869" t="e">
        <f t="shared" ca="1" si="431"/>
        <v>#NAME?</v>
      </c>
      <c r="EE90" s="863" t="e">
        <f t="shared" ca="1" si="312"/>
        <v>#NAME?</v>
      </c>
      <c r="EF90" s="590" t="e">
        <f t="shared" ca="1" si="313"/>
        <v>#NAME?</v>
      </c>
      <c r="EG90" s="862" t="str">
        <f t="shared" ca="1" si="314"/>
        <v/>
      </c>
      <c r="EH90" s="114" t="str">
        <f t="shared" ca="1" si="315"/>
        <v/>
      </c>
      <c r="EI90" s="109" t="str">
        <f t="shared" ca="1" si="316"/>
        <v/>
      </c>
      <c r="EJ90" s="115">
        <f ca="1">IF(BD90,_xll.xASN(BP90,Strike1,AO90,EH90,0,BM90,0,BI90,BL90,IF(OptControl=4,0,1),0),0)</f>
        <v>0</v>
      </c>
      <c r="EK90" s="108">
        <f ca="1">IF(BD90,_xll.xASN(BP90,Strike2,AO90,EI90,0,BM90,0,BI90,BL90,IF(OptControl=3,1,0),0),0)</f>
        <v>0</v>
      </c>
      <c r="EP90" s="53"/>
      <c r="EQ90" s="1"/>
      <c r="ER90" s="681">
        <v>44197</v>
      </c>
      <c r="ES90" s="682">
        <v>49310</v>
      </c>
      <c r="ET90" s="1"/>
      <c r="EU90" s="667" t="s">
        <v>302</v>
      </c>
      <c r="EW90" s="488">
        <v>71</v>
      </c>
      <c r="EX90" s="466">
        <f t="shared" ca="1" si="432"/>
        <v>5.8562628336755651</v>
      </c>
      <c r="EY90" s="824">
        <f t="shared" ca="1" si="337"/>
        <v>0.20032226926078031</v>
      </c>
      <c r="EZ90" s="798">
        <f t="shared" ca="1" si="427"/>
        <v>0.19416574024353278</v>
      </c>
      <c r="FA90" s="468" t="str">
        <f t="shared" ca="1" si="428"/>
        <v/>
      </c>
      <c r="FB90" s="467" t="str">
        <f t="shared" ca="1" si="429"/>
        <v/>
      </c>
      <c r="FC90" s="242">
        <v>0</v>
      </c>
      <c r="FD90" s="589" t="str">
        <f ca="1">IF(OR(FA90="",FA91=""),"",SQRT(SUM(INDEX(FO90:IH90,SwaptionFirstMonthPosition+1):INDEX(FO90:IH90,FN90))/SUM(INDEX($FO$15:$IH$15,SwaptionFirstMonthPosition+1):INDEX($FO$15:$IH$15,FN90))))</f>
        <v/>
      </c>
      <c r="FE90" s="565" t="str">
        <f ca="1">IF(OR(FA90="",FA89=""),"",SQRT(SUM(INDEX(FO90:IH90,SwaptionFirstMonthPosition+1):INDEX(FO90:IH90,FN90-1))/SUM(INDEX($FO$15:$IH$15,SwaptionFirstMonthPosition+1):INDEX($FO$15:$IH$15,FN90-1))))</f>
        <v/>
      </c>
      <c r="FF90" s="562" t="str">
        <f t="shared" ca="1" si="338"/>
        <v/>
      </c>
      <c r="FG90" s="593" t="str">
        <f t="shared" ca="1" si="339"/>
        <v/>
      </c>
      <c r="FH90" s="563" t="str">
        <f t="shared" ca="1" si="340"/>
        <v/>
      </c>
      <c r="FI90" s="563" t="str">
        <f t="shared" ca="1" si="341"/>
        <v/>
      </c>
      <c r="FJ90" s="563" t="str">
        <f t="shared" ca="1" si="342"/>
        <v/>
      </c>
      <c r="FK90" s="564" t="str">
        <f t="shared" ca="1" si="343"/>
        <v/>
      </c>
      <c r="FL90" s="590" t="str">
        <f t="shared" ca="1" si="344"/>
        <v/>
      </c>
      <c r="FM90" s="242"/>
      <c r="FN90" s="657">
        <v>71</v>
      </c>
      <c r="FO90" s="450">
        <f t="shared" ca="1" si="345"/>
        <v>6.5339314029770439E-4</v>
      </c>
      <c r="FP90" s="450">
        <f t="shared" ca="1" si="346"/>
        <v>2.4490730958100829E-3</v>
      </c>
      <c r="FQ90" s="450">
        <f t="shared" ca="1" si="347"/>
        <v>2.3616560802723822E-3</v>
      </c>
      <c r="FR90" s="450">
        <f t="shared" ca="1" si="348"/>
        <v>2.5996947518970139E-3</v>
      </c>
      <c r="FS90" s="450">
        <f t="shared" ca="1" si="349"/>
        <v>2.4314396476273806E-3</v>
      </c>
      <c r="FT90" s="450">
        <f t="shared" ca="1" si="350"/>
        <v>2.5874910815831321E-3</v>
      </c>
      <c r="FU90" s="450">
        <f t="shared" ca="1" si="351"/>
        <v>2.4202169205767674E-3</v>
      </c>
      <c r="FV90" s="450">
        <f t="shared" ca="1" si="352"/>
        <v>2.2537905437075042E-3</v>
      </c>
      <c r="FW90" s="450">
        <f t="shared" ca="1" si="353"/>
        <v>2.4094532396695457E-3</v>
      </c>
      <c r="FX90" s="450">
        <f t="shared" ca="1" si="354"/>
        <v>2.6446803221274779E-3</v>
      </c>
      <c r="FY90" s="450">
        <f t="shared" ca="1" si="355"/>
        <v>2.3192131040702252E-3</v>
      </c>
      <c r="FZ90" s="450">
        <f t="shared" ca="1" si="356"/>
        <v>2.314444509498712E-3</v>
      </c>
      <c r="GA90" s="450">
        <f t="shared" ca="1" si="357"/>
        <v>2.6284091382495311E-3</v>
      </c>
      <c r="GB90" s="450">
        <f t="shared" ca="1" si="358"/>
        <v>2.3053295664787823E-3</v>
      </c>
      <c r="GC90" s="450">
        <f t="shared" ca="1" si="359"/>
        <v>2.5390340416521942E-3</v>
      </c>
      <c r="GD90" s="450">
        <f t="shared" ca="1" si="360"/>
        <v>2.3760350800478849E-3</v>
      </c>
      <c r="GE90" s="450">
        <f t="shared" ca="1" si="361"/>
        <v>2.2928433876399403E-3</v>
      </c>
      <c r="GF90" s="450">
        <f t="shared" ca="1" si="362"/>
        <v>2.6047699106421609E-3</v>
      </c>
      <c r="GG90" s="450">
        <f t="shared" ca="1" si="363"/>
        <v>2.3642462755657503E-3</v>
      </c>
      <c r="GH90" s="450">
        <f t="shared" ca="1" si="364"/>
        <v>2.28205217557364E-3</v>
      </c>
      <c r="GI90" s="450">
        <f t="shared" ca="1" si="365"/>
        <v>2.436065108135143E-3</v>
      </c>
      <c r="GJ90" s="450">
        <f t="shared" ca="1" si="366"/>
        <v>2.4329649485354756E-3</v>
      </c>
      <c r="GK90" s="450">
        <f t="shared" ca="1" si="367"/>
        <v>2.4301573977137149E-3</v>
      </c>
      <c r="GL90" s="450">
        <f t="shared" ca="1" si="368"/>
        <v>2.1927323235396245E-3</v>
      </c>
      <c r="GM90" s="450">
        <f t="shared" ca="1" si="369"/>
        <v>2.4255250170208808E-3</v>
      </c>
      <c r="GN90" s="450">
        <f t="shared" ca="1" si="370"/>
        <v>2.3455746668481717E-3</v>
      </c>
      <c r="GO90" s="450">
        <f t="shared" ca="1" si="371"/>
        <v>2.4224099356747308E-3</v>
      </c>
      <c r="GP90" s="450">
        <f t="shared" ca="1" si="372"/>
        <v>2.3433998370158611E-3</v>
      </c>
      <c r="GQ90" s="450">
        <f t="shared" ca="1" si="373"/>
        <v>2.4211147220615449E-3</v>
      </c>
      <c r="GR90" s="450">
        <f t="shared" ca="1" si="374"/>
        <v>2.4212644793058856E-3</v>
      </c>
      <c r="GS90" s="450">
        <f t="shared" ca="1" si="375"/>
        <v>2.3438886847491546E-3</v>
      </c>
      <c r="GT90" s="450">
        <f t="shared" ca="1" si="376"/>
        <v>2.4234388435851171E-3</v>
      </c>
      <c r="GU90" s="450">
        <f t="shared" ca="1" si="377"/>
        <v>2.3473513238453712E-3</v>
      </c>
      <c r="GV90" s="450">
        <f t="shared" ca="1" si="378"/>
        <v>2.4285698133430108E-3</v>
      </c>
      <c r="GW90" s="450">
        <f t="shared" ca="1" si="379"/>
        <v>2.4324479249158326E-3</v>
      </c>
      <c r="GX90" s="450">
        <f t="shared" ca="1" si="380"/>
        <v>2.280083465559842E-3</v>
      </c>
      <c r="GY90" s="450">
        <f t="shared" ca="1" si="381"/>
        <v>2.4433304471970195E-3</v>
      </c>
      <c r="GZ90" s="450">
        <f t="shared" ca="1" si="382"/>
        <v>2.371523789241711E-3</v>
      </c>
      <c r="HA90" s="450">
        <f t="shared" ca="1" si="383"/>
        <v>2.4592067486092907E-3</v>
      </c>
      <c r="HB90" s="450">
        <f t="shared" ca="1" si="384"/>
        <v>2.3897320498868619E-3</v>
      </c>
      <c r="HC90" s="450">
        <f t="shared" ca="1" si="385"/>
        <v>2.4813085361222341E-3</v>
      </c>
      <c r="HD90" s="450">
        <f t="shared" ca="1" si="386"/>
        <v>2.4951732949684341E-3</v>
      </c>
      <c r="HE90" s="450">
        <f t="shared" ca="1" si="387"/>
        <v>2.4302166664189398E-3</v>
      </c>
      <c r="HF90" s="450">
        <f t="shared" ca="1" si="388"/>
        <v>2.5297345568165144E-3</v>
      </c>
      <c r="HG90" s="450">
        <f t="shared" ca="1" si="389"/>
        <v>2.4687288417914797E-3</v>
      </c>
      <c r="HH90" s="450">
        <f t="shared" ca="1" si="390"/>
        <v>2.575441451994058E-3</v>
      </c>
      <c r="HI90" s="450">
        <f t="shared" ca="1" si="391"/>
        <v>2.6034172053110401E-3</v>
      </c>
      <c r="HJ90" s="450">
        <f t="shared" ca="1" si="392"/>
        <v>2.380389362637605E-3</v>
      </c>
      <c r="HK90" s="450">
        <f t="shared" ca="1" si="393"/>
        <v>2.6720462149636966E-3</v>
      </c>
      <c r="HL90" s="450">
        <f t="shared" ca="1" si="394"/>
        <v>2.6263748563312116E-3</v>
      </c>
      <c r="HM90" s="450">
        <f t="shared" ca="1" si="395"/>
        <v>2.7618271581478244E-3</v>
      </c>
      <c r="HN90" s="450">
        <f t="shared" ca="1" si="396"/>
        <v>2.7258169357490007E-3</v>
      </c>
      <c r="HO90" s="450">
        <f t="shared" ca="1" si="397"/>
        <v>2.8795537926126344E-3</v>
      </c>
      <c r="HP90" s="450">
        <f t="shared" ca="1" si="398"/>
        <v>2.9517477379583392E-3</v>
      </c>
      <c r="HQ90" s="450">
        <f t="shared" ca="1" si="399"/>
        <v>2.9369139908950776E-3</v>
      </c>
      <c r="HR90" s="450">
        <f t="shared" ca="1" si="400"/>
        <v>3.1306209966857081E-3</v>
      </c>
      <c r="HS90" s="450">
        <f t="shared" ca="1" si="401"/>
        <v>3.1369012165362543E-3</v>
      </c>
      <c r="HT90" s="450">
        <f t="shared" ca="1" si="402"/>
        <v>3.3701510565282409E-3</v>
      </c>
      <c r="HU90" s="450">
        <f t="shared" ca="1" si="403"/>
        <v>3.5201599393469155E-3</v>
      </c>
      <c r="HV90" s="450">
        <f t="shared" ca="1" si="404"/>
        <v>3.338178619595815E-3</v>
      </c>
      <c r="HW90" s="450">
        <f t="shared" ca="1" si="405"/>
        <v>3.9026832714613839E-3</v>
      </c>
      <c r="HX90" s="450">
        <f t="shared" ca="1" si="406"/>
        <v>4.013895142729965E-3</v>
      </c>
      <c r="HY90" s="450">
        <f t="shared" ca="1" si="407"/>
        <v>4.4399025090895864E-3</v>
      </c>
      <c r="HZ90" s="450">
        <f t="shared" ca="1" si="408"/>
        <v>4.636567703040587E-3</v>
      </c>
      <c r="IA90" s="450">
        <f t="shared" ca="1" si="409"/>
        <v>5.216969342310634E-3</v>
      </c>
      <c r="IB90" s="450">
        <f t="shared" ca="1" si="410"/>
        <v>5.7384349129466538E-3</v>
      </c>
      <c r="IC90" s="450">
        <f t="shared" ca="1" si="411"/>
        <v>6.1782035433628237E-3</v>
      </c>
      <c r="ID90" s="450">
        <f t="shared" ca="1" si="412"/>
        <v>7.1938235497661226E-3</v>
      </c>
      <c r="IE90" s="450">
        <f t="shared" ca="1" si="413"/>
        <v>7.9583724084260656E-3</v>
      </c>
      <c r="IF90" s="450">
        <f t="shared" ca="1" si="414"/>
        <v>9.554716025886055E-3</v>
      </c>
      <c r="IG90" s="450">
        <f t="shared" ca="1" si="415"/>
        <v>1.1306750448704515E-2</v>
      </c>
      <c r="IH90" s="658" t="str">
        <f t="shared" si="416"/>
        <v/>
      </c>
      <c r="II90" s="242"/>
    </row>
    <row r="91" spans="8:243">
      <c r="H91" s="49" t="e">
        <f t="shared" ca="1" si="317"/>
        <v>#N/A</v>
      </c>
      <c r="I91" s="369">
        <f t="shared" si="318"/>
        <v>39173</v>
      </c>
      <c r="J91" s="367">
        <v>21.66</v>
      </c>
      <c r="K91" s="101" t="s">
        <v>268</v>
      </c>
      <c r="L91" s="382">
        <f t="shared" si="319"/>
        <v>21.66</v>
      </c>
      <c r="M91" s="163">
        <v>0.18484999999999999</v>
      </c>
      <c r="N91" s="372">
        <v>0</v>
      </c>
      <c r="O91" s="163">
        <f t="shared" si="272"/>
        <v>0.18484999999999999</v>
      </c>
      <c r="P91" s="367">
        <v>20.431442142721501</v>
      </c>
      <c r="Q91" s="101" t="s">
        <v>267</v>
      </c>
      <c r="R91" s="367">
        <f t="shared" ca="1" si="417"/>
        <v>20.431442142721458</v>
      </c>
      <c r="S91" s="814">
        <f t="shared" si="163"/>
        <v>0.36474193298001045</v>
      </c>
      <c r="T91" s="813">
        <f t="shared" si="418"/>
        <v>0.99995597866706709</v>
      </c>
      <c r="U91" s="532">
        <f t="shared" si="419"/>
        <v>0.99999999997979583</v>
      </c>
      <c r="V91" s="379">
        <v>0</v>
      </c>
      <c r="W91" s="424">
        <f t="shared" si="273"/>
        <v>21.66</v>
      </c>
      <c r="X91" s="405">
        <f t="shared" si="274"/>
        <v>21.66</v>
      </c>
      <c r="Y91" s="313">
        <f t="shared" si="275"/>
        <v>20.315999999999999</v>
      </c>
      <c r="Z91" s="313">
        <f t="shared" ca="1" si="276"/>
        <v>20.315999999999999</v>
      </c>
      <c r="AA91" s="419">
        <f t="shared" si="277"/>
        <v>1.3440000000000001</v>
      </c>
      <c r="AB91" s="423">
        <f t="shared" ca="1" si="278"/>
        <v>1.3440000000000001</v>
      </c>
      <c r="AC91" s="221">
        <v>39161</v>
      </c>
      <c r="AD91" s="221">
        <v>39157</v>
      </c>
      <c r="AE91" s="221">
        <v>39156</v>
      </c>
      <c r="AF91" s="221">
        <v>39152</v>
      </c>
      <c r="AG91" s="241" t="s">
        <v>90</v>
      </c>
      <c r="AH91" s="239" t="s">
        <v>497</v>
      </c>
      <c r="AI91" s="141">
        <v>21</v>
      </c>
      <c r="AJ91" s="41">
        <v>15</v>
      </c>
      <c r="AK91" s="41">
        <v>6</v>
      </c>
      <c r="AL91" s="285">
        <v>21</v>
      </c>
      <c r="AM91" s="41">
        <v>10</v>
      </c>
      <c r="AN91" s="142">
        <v>11</v>
      </c>
      <c r="AO91" s="364">
        <v>5.5131379782005697E-2</v>
      </c>
      <c r="AP91" s="145">
        <f t="shared" ca="1" si="320"/>
        <v>0.71938141250210785</v>
      </c>
      <c r="AQ91" s="364">
        <v>4.7525624446950396E-2</v>
      </c>
      <c r="AR91" s="145">
        <f t="shared" ca="1" si="420"/>
        <v>0.75679123147996574</v>
      </c>
      <c r="AS91" s="264">
        <f t="shared" si="279"/>
        <v>0.1840785714285714</v>
      </c>
      <c r="AT91" s="149">
        <f t="shared" si="321"/>
        <v>0.18484999999999999</v>
      </c>
      <c r="AU91" s="149">
        <f t="shared" si="280"/>
        <v>0.18393571428571426</v>
      </c>
      <c r="AV91" s="263">
        <f t="shared" ca="1" si="430"/>
        <v>0.18131555032699895</v>
      </c>
      <c r="AW91" s="150" t="str">
        <f t="shared" ca="1" si="281"/>
        <v/>
      </c>
      <c r="AX91" s="149">
        <f t="shared" ca="1" si="421"/>
        <v>2.393846300625713E-2</v>
      </c>
      <c r="AY91" s="149">
        <f t="shared" ca="1" si="422"/>
        <v>1.1384317954434956E-2</v>
      </c>
      <c r="AZ91" s="149">
        <f t="shared" ca="1" si="423"/>
        <v>6.7116459979231421E-3</v>
      </c>
      <c r="BA91" s="149">
        <f t="shared" ca="1" si="424"/>
        <v>1.0000000000000235E-4</v>
      </c>
      <c r="BB91" s="149">
        <f t="shared" ca="1" si="425"/>
        <v>1.0000000000000235E-4</v>
      </c>
      <c r="BC91" s="149">
        <f t="shared" ca="1" si="426"/>
        <v>1.0000000000000235E-4</v>
      </c>
      <c r="BD91" s="143">
        <f t="shared" ca="1" si="282"/>
        <v>0</v>
      </c>
      <c r="BE91" s="144">
        <f t="shared" ca="1" si="283"/>
        <v>0</v>
      </c>
      <c r="BF91" s="40">
        <f t="shared" si="284"/>
        <v>2007</v>
      </c>
      <c r="BG91" s="139">
        <f t="shared" si="285"/>
        <v>4</v>
      </c>
      <c r="BH91" s="140">
        <f t="shared" ca="1" si="286"/>
        <v>2167</v>
      </c>
      <c r="BI91" s="304">
        <f t="shared" ca="1" si="287"/>
        <v>5.976728268309377</v>
      </c>
      <c r="BJ91" s="42">
        <f t="shared" ca="1" si="288"/>
        <v>6.0334408917571132</v>
      </c>
      <c r="BK91" s="42">
        <f t="shared" ca="1" si="289"/>
        <v>6.0361787425442452</v>
      </c>
      <c r="BL91" s="42">
        <f t="shared" ca="1" si="290"/>
        <v>6.0561259411362078</v>
      </c>
      <c r="BM91" s="285">
        <f t="shared" si="322"/>
        <v>21</v>
      </c>
      <c r="BN91" s="41">
        <f t="shared" si="291"/>
        <v>15</v>
      </c>
      <c r="BO91" s="41">
        <f t="shared" si="292"/>
        <v>6</v>
      </c>
      <c r="BP91" s="297" t="str">
        <f t="shared" ca="1" si="293"/>
        <v/>
      </c>
      <c r="BQ91" s="297" t="str">
        <f t="shared" ca="1" si="294"/>
        <v/>
      </c>
      <c r="BR91" s="299" t="str">
        <f t="shared" ca="1" si="295"/>
        <v/>
      </c>
      <c r="BS91" s="153" t="str">
        <f t="shared" ca="1" si="296"/>
        <v/>
      </c>
      <c r="BT91" s="153" t="str">
        <f t="shared" ca="1" si="297"/>
        <v/>
      </c>
      <c r="BU91" s="300" t="str">
        <f t="shared" ca="1" si="298"/>
        <v/>
      </c>
      <c r="BV91" s="301" t="str">
        <f t="shared" ca="1" si="299"/>
        <v/>
      </c>
      <c r="BW91" s="300" t="str">
        <f t="shared" ca="1" si="300"/>
        <v/>
      </c>
      <c r="BX91" s="301" t="str">
        <f t="shared" ca="1" si="301"/>
        <v/>
      </c>
      <c r="BY91" s="146" t="str">
        <f t="shared" ca="1" si="302"/>
        <v/>
      </c>
      <c r="BZ91" s="146" t="str">
        <f t="shared" ca="1" si="303"/>
        <v/>
      </c>
      <c r="CA91" s="146" t="str">
        <f t="shared" ca="1" si="304"/>
        <v/>
      </c>
      <c r="CB91" s="146" t="str">
        <f t="shared" ca="1" si="305"/>
        <v/>
      </c>
      <c r="CC91" s="302">
        <v>1</v>
      </c>
      <c r="CD91" s="154">
        <f ca="1">IF(BD91,_xll.xCrudeAPO(BS91,BT91,BY91,BZ91,S92,S93,BI91,BL91,BN91,BO91,0,Strike1,AO91,CC91,0,BL91,IF(OptControl=4,0,1),0,1),0)</f>
        <v>0</v>
      </c>
      <c r="CE91" s="155">
        <f ca="1">IF(BD91,_xll.xCrudeAPO(BS91,BT91,BY91,BZ91,S92,S93,BI91,BL91,BN91,BO91,0,Strike1,AO91,CC91,0,BL91,IF(OptControl=4,0,1),1,1)+_xll.xCrudeAPO(BS91,BT91,BY91,BZ91,S92,S93,BI91,BL91,BN91,BO91,0,Strike1,AO91,CC91,0,BL91,IF(OptControl=4,0,1),1,2)+IF(OR(VolSkewFlag=2,ABS(BQ91)&lt;0.0001),0,IF(BQ91&gt;0,-1,1)*CF91*Strike1/BP91^2*BW91/10%),0)</f>
        <v>0</v>
      </c>
      <c r="CF91" s="155">
        <f ca="1">IF(BD91,(_xll.xCrudeAPO(BS91,BT91,BY91,BZ91,S92,S93,BI91,BL91,BN91,BO91,0,Strike1,AO91,CC91,0,BL91,IF(OptControl=4,0,1),3,1)+_xll.xCrudeAPO(BS91,BT91,BY91,BZ91,S92,S93,BI91,BL91,BN91,BO91,0,Strike1,AO91,CC91,0,BL91,IF(OptControl=4,0,1),3,2))/100,0)</f>
        <v>0</v>
      </c>
      <c r="CG91" s="155">
        <f ca="1">IF(BD91,_xll.xCrudeAPO(BS91,BT91,BY91,BZ91,S92,S93,BI91-DaysForThetaCalculation/365.25,BL91-DaysForThetaCalculation/365.25,BN91,BO91,0,Strike1,AO91,CC91,0,BL91,IF(OptControl=4,0,1),0,1)-_xll.xCrudeAPO(BS91,BT91,BY91,BZ91,S92,S93,BI91,BL91,BN91,BO91,0,Strike1,AO91,CC91,0,BL91,IF(OptControl=4,0,1),0,1),0)</f>
        <v>0</v>
      </c>
      <c r="CH91" s="303">
        <f ca="1">IF(BD91,_xll.xCrudeAPO(BS91,BT91,CA91,CB91,S92,S93,BI91,BL91,BN91,BO91,0,Strike2,AO91,CC91,0,BL91,IF(OptControl=3,1,0),0,1),0)</f>
        <v>0</v>
      </c>
      <c r="CI91" s="155">
        <f ca="1">IF(BD91,_xll.xCrudeAPO(BS91,BT91,CA91,CB91,S92,S93,BI91,BL91,BN91,BO91,0,Strike2,AO91,CC91,0,BL91,IF(OptControl=3,1,0),1,1)+_xll.xCrudeAPO(BS91,BT91,CA91,CB91,S92,S93,BI91,BL91,BN91,BO91,0,Strike2,AO91,CC91,0,BL91,IF(OptControl=3,1,0),1,2)+IF(OR(VolSkewFlag=2,ABS(BR91)&lt;0.0001),0,IF(BR91&gt;0,-1,1)*CJ91*Strike2/BP91^2*BX91/10%),0)</f>
        <v>0</v>
      </c>
      <c r="CJ91" s="155">
        <f ca="1">IF(BD91,(_xll.xCrudeAPO(BS91,BT91,CA91,CB91,S92,S93,BI91,BL91,BN91,BO91,0,Strike2,AO91,CC91,0,BL91,IF(OptControl=3,1,0),3,1)+_xll.xCrudeAPO(BS91,BT91,CA91,CB91,S92,S93,BI91,BL91,BN91,BO91,0,Strike2,AO91,CC91,0,BL91,IF(OptControl=3,1,0),3,2))/100,0)</f>
        <v>0</v>
      </c>
      <c r="CK91" s="156">
        <f ca="1">IF(BD91,_xll.xCrudeAPO(BS91,BT91,CA91,CB91,S92,S93,BI91-DaysForThetaCalculation/365.25,BL91-DaysForThetaCalculation/365.25,BN91,BO91,0,Strike2,AO91,CC91,0,BL91,IF(OptControl=3,1,0),0,1)-_xll.xCrudeAPO(BS91,BT91,CA91,CB91,S92,S93,BI91,BL91,BN91,BO91,0,Strike2,AO91,CC91,0,BL91,IF(OptControl=3,1,0),0,1),0)</f>
        <v>0</v>
      </c>
      <c r="CL91" s="51"/>
      <c r="CM91" s="779" t="str">
        <f t="shared" ca="1" si="323"/>
        <v/>
      </c>
      <c r="CN91" s="783" t="str">
        <f t="shared" ca="1" si="324"/>
        <v/>
      </c>
      <c r="CO91" s="780" t="str">
        <f t="shared" ca="1" si="325"/>
        <v/>
      </c>
      <c r="CP91" s="780" t="str">
        <f t="shared" ca="1" si="326"/>
        <v/>
      </c>
      <c r="CQ91" s="780" t="str">
        <f t="shared" ca="1" si="327"/>
        <v/>
      </c>
      <c r="CR91" s="780" t="str">
        <f t="shared" ca="1" si="328"/>
        <v/>
      </c>
      <c r="CS91" s="781" t="str">
        <f t="shared" ca="1" si="329"/>
        <v/>
      </c>
      <c r="CT91" s="782" t="str">
        <f t="shared" ca="1" si="330"/>
        <v/>
      </c>
      <c r="CU91" s="782" t="str">
        <f t="shared" ca="1" si="331"/>
        <v/>
      </c>
      <c r="CV91" s="155">
        <f ca="1">IF(BD91,_xll.EURO(CN91,Strike1,AO91,AO91,CT91,CM91,IF(OptControl=4,0,1),0),0)</f>
        <v>0</v>
      </c>
      <c r="CW91" s="155">
        <f ca="1">IF(BD91,_xll.EURO(CN91,Strike1,AO91,AO91,CT91,CM91,IF(OptControl=4,0,1),1)+IF(OR(VolSkewFlag=2,ABS(CO91)&lt;0.0001),0,IF(CO91&gt;0,-1,1)*CX91*100*Strike1/CN91^2*CQ91/10%),0)</f>
        <v>0</v>
      </c>
      <c r="CX91" s="155">
        <f ca="1">IF(BD91,_xll.EURO(CN91,Strike1,AO91,AO91,CT91,CM91,IF(OptControl=4,0,1),3)/100,0)</f>
        <v>0</v>
      </c>
      <c r="CY91" s="155">
        <f ca="1">IF(BD91,_xll.EURO(CN91,Strike1,AO91,AO91,CT91,CM91,IF(OptControl=4,0,1),0)-_xll.EURO(CN91,Strike1,AO91,AO91,CT91,CM91-1,IF(OptControl=4,0,1),0),0)</f>
        <v>0</v>
      </c>
      <c r="CZ91" s="155">
        <f ca="1">IF(BD91,_xll.EURO(CN91,Strike2,AO91,AO91,CU91,CM91,IF(OptControl=3,1,0),0),0)</f>
        <v>0</v>
      </c>
      <c r="DA91" s="155">
        <f ca="1">IF(BD91,_xll.EURO(CN91,Strike2,AO91,AO91,CU91,CM91,IF(OptControl=3,1,0),1)+IF(OR(VolSkewFlag=2,ABS(CP91)&lt;0.0001),0,IF(CP91&gt;0,-1,1)*DB91*100*Strike2/CN91^2*CR91/10%),0)</f>
        <v>0</v>
      </c>
      <c r="DB91" s="155">
        <f ca="1">IF(BD91,_xll.EURO(CN91,Strike2,AO91,AO91,CU91,CM91,IF(OptControl=3,1,0),3)/100,0)</f>
        <v>0</v>
      </c>
      <c r="DC91" s="156">
        <f ca="1">IF(BD91,_xll.EURO(CN91,Strike2,AO91,AO91,CU91,CM91,IF(OptControl=3,1,0),0)-_xll.EURO(CN91,Strike2,AO91,AO91,CU91,CM91-1,IF(OptControl=3,1,0),0),0)</f>
        <v>0</v>
      </c>
      <c r="DE91" s="651">
        <f t="shared" ca="1" si="332"/>
        <v>39083</v>
      </c>
      <c r="DF91" s="465">
        <v>1E-4</v>
      </c>
      <c r="DG91" s="649">
        <v>1E-4</v>
      </c>
      <c r="DH91" s="650">
        <f t="shared" ca="1" si="306"/>
        <v>39083</v>
      </c>
      <c r="DI91" s="465">
        <v>1E-4</v>
      </c>
      <c r="DJ91" s="649">
        <v>1E-4</v>
      </c>
      <c r="DK91" s="651">
        <f t="shared" ca="1" si="307"/>
        <v>39083</v>
      </c>
      <c r="DL91" s="652">
        <f t="shared" si="308"/>
        <v>5.0100000000000006E-2</v>
      </c>
      <c r="DM91" s="651">
        <f t="shared" ca="1" si="333"/>
        <v>39083</v>
      </c>
      <c r="DN91" s="563">
        <f t="shared" si="334"/>
        <v>-0.12990000000000002</v>
      </c>
      <c r="DO91" s="803">
        <v>-0.13</v>
      </c>
      <c r="DP91" s="650">
        <f t="shared" ca="1" si="309"/>
        <v>39083</v>
      </c>
      <c r="DQ91" s="653">
        <v>1E-4</v>
      </c>
      <c r="DR91" s="590">
        <v>1E-4</v>
      </c>
      <c r="DS91" s="650">
        <f t="shared" ca="1" si="310"/>
        <v>39083</v>
      </c>
      <c r="DT91" s="653">
        <v>1E-4</v>
      </c>
      <c r="DU91" s="590">
        <v>1E-4</v>
      </c>
      <c r="DV91" s="651">
        <f t="shared" ca="1" si="311"/>
        <v>39083</v>
      </c>
      <c r="DW91" s="590">
        <v>1E-4</v>
      </c>
      <c r="DX91" s="651">
        <f t="shared" ca="1" si="335"/>
        <v>39083</v>
      </c>
      <c r="DY91" s="590">
        <f t="shared" si="336"/>
        <v>1E-4</v>
      </c>
      <c r="DZ91" s="1"/>
      <c r="EA91" s="863" t="e">
        <f ca="1">_xll.ASN(X91,X91,AO91,AS91,0,AI91,0,BI91,BL91,1,0)</f>
        <v>#NAME?</v>
      </c>
      <c r="EB91" s="653" t="e">
        <f ca="1">_xll.ASN(X91,X91,AO91,AS91,0,AI91,0,BI91,BL91,1,3)/100</f>
        <v>#NAME?</v>
      </c>
      <c r="EC91" s="653" t="e">
        <f ca="1">_xll.xCrudeAPO(L92,L93,O92,O93,S92,S93,BI91,BL91,AJ91,AK91,0,X91,AO91,1,0,+BL91,1,0,1)</f>
        <v>#NAME?</v>
      </c>
      <c r="ED91" s="869" t="e">
        <f t="shared" ca="1" si="431"/>
        <v>#NAME?</v>
      </c>
      <c r="EE91" s="863" t="e">
        <f t="shared" ca="1" si="312"/>
        <v>#NAME?</v>
      </c>
      <c r="EF91" s="590" t="e">
        <f t="shared" ca="1" si="313"/>
        <v>#NAME?</v>
      </c>
      <c r="EG91" s="862" t="str">
        <f t="shared" ca="1" si="314"/>
        <v/>
      </c>
      <c r="EH91" s="114" t="str">
        <f t="shared" ca="1" si="315"/>
        <v/>
      </c>
      <c r="EI91" s="109" t="str">
        <f t="shared" ca="1" si="316"/>
        <v/>
      </c>
      <c r="EJ91" s="115">
        <f ca="1">IF(BD91,_xll.xASN(BP91,Strike1,AO91,EH91,0,BM91,0,BI91,BL91,IF(OptControl=4,0,1),0),0)</f>
        <v>0</v>
      </c>
      <c r="EK91" s="108">
        <f ca="1">IF(BD91,_xll.xASN(BP91,Strike2,AO91,EI91,0,BM91,0,BI91,BL91,IF(OptControl=3,1,0),0),0)</f>
        <v>0</v>
      </c>
      <c r="EP91" s="53"/>
      <c r="EQ91" s="1"/>
      <c r="ER91" s="681">
        <v>44381</v>
      </c>
      <c r="ES91" s="682">
        <v>49668</v>
      </c>
      <c r="ET91" s="1"/>
      <c r="EU91" s="667" t="s">
        <v>303</v>
      </c>
      <c r="EW91" s="488">
        <v>72</v>
      </c>
      <c r="EX91" s="466">
        <f t="shared" ca="1" si="432"/>
        <v>5.9329226557152639</v>
      </c>
      <c r="EY91" s="824">
        <f t="shared" ca="1" si="337"/>
        <v>0.20272513417522242</v>
      </c>
      <c r="EZ91" s="798">
        <f t="shared" ca="1" si="427"/>
        <v>0.19340620621996116</v>
      </c>
      <c r="FA91" s="468" t="str">
        <f t="shared" ca="1" si="428"/>
        <v/>
      </c>
      <c r="FB91" s="467" t="str">
        <f t="shared" ca="1" si="429"/>
        <v/>
      </c>
      <c r="FC91" s="242">
        <v>0</v>
      </c>
      <c r="FD91" s="589" t="str">
        <f ca="1">IF(OR(FA91="",FA92=""),"",SQRT(SUM(INDEX(FO91:IH91,SwaptionFirstMonthPosition+1):INDEX(FO91:IH91,FN91))/SUM(INDEX($FO$15:$IH$15,SwaptionFirstMonthPosition+1):INDEX($FO$15:$IH$15,FN91))))</f>
        <v/>
      </c>
      <c r="FE91" s="565" t="str">
        <f ca="1">IF(OR(FA91="",FA90=""),"",SQRT(SUM(INDEX(FO91:IH91,SwaptionFirstMonthPosition+1):INDEX(FO91:IH91,FN91-1))/SUM(INDEX($FO$15:$IH$15,SwaptionFirstMonthPosition+1):INDEX($FO$15:$IH$15,FN91-1))))</f>
        <v/>
      </c>
      <c r="FF91" s="562" t="str">
        <f t="shared" ca="1" si="338"/>
        <v/>
      </c>
      <c r="FG91" s="593" t="str">
        <f t="shared" ca="1" si="339"/>
        <v/>
      </c>
      <c r="FH91" s="563" t="str">
        <f t="shared" ca="1" si="340"/>
        <v/>
      </c>
      <c r="FI91" s="563" t="str">
        <f t="shared" ca="1" si="341"/>
        <v/>
      </c>
      <c r="FJ91" s="563" t="str">
        <f t="shared" ca="1" si="342"/>
        <v/>
      </c>
      <c r="FK91" s="564" t="str">
        <f t="shared" ca="1" si="343"/>
        <v/>
      </c>
      <c r="FL91" s="590" t="str">
        <f t="shared" ca="1" si="344"/>
        <v/>
      </c>
      <c r="FM91" s="242"/>
      <c r="FN91" s="659">
        <v>72</v>
      </c>
      <c r="FO91" s="660">
        <f t="shared" ca="1" si="345"/>
        <v>6.5332922341488882E-4</v>
      </c>
      <c r="FP91" s="660">
        <f t="shared" ca="1" si="346"/>
        <v>2.4488069005893748E-3</v>
      </c>
      <c r="FQ91" s="660">
        <f t="shared" ca="1" si="347"/>
        <v>2.3613708650832834E-3</v>
      </c>
      <c r="FR91" s="660">
        <f t="shared" ca="1" si="348"/>
        <v>2.5993459042122358E-3</v>
      </c>
      <c r="FS91" s="660">
        <f t="shared" ca="1" si="349"/>
        <v>2.4310771255397676E-3</v>
      </c>
      <c r="FT91" s="660">
        <f t="shared" ca="1" si="350"/>
        <v>2.5870624271394382E-3</v>
      </c>
      <c r="FU91" s="660">
        <f t="shared" ca="1" si="351"/>
        <v>2.4197714282252975E-3</v>
      </c>
      <c r="FV91" s="660">
        <f t="shared" ca="1" si="352"/>
        <v>2.2533295903292712E-3</v>
      </c>
      <c r="FW91" s="660">
        <f t="shared" ca="1" si="353"/>
        <v>2.4089056951420384E-3</v>
      </c>
      <c r="FX91" s="660">
        <f t="shared" ca="1" si="354"/>
        <v>2.6440125448844711E-3</v>
      </c>
      <c r="FY91" s="660">
        <f t="shared" ca="1" si="355"/>
        <v>2.3185624403713853E-3</v>
      </c>
      <c r="FZ91" s="660">
        <f t="shared" ca="1" si="356"/>
        <v>2.3137230363295637E-3</v>
      </c>
      <c r="GA91" s="660">
        <f t="shared" ca="1" si="357"/>
        <v>2.6274987558119458E-3</v>
      </c>
      <c r="GB91" s="660">
        <f t="shared" ca="1" si="358"/>
        <v>2.3044423667233499E-3</v>
      </c>
      <c r="GC91" s="660">
        <f t="shared" ca="1" si="359"/>
        <v>2.5379483302286673E-3</v>
      </c>
      <c r="GD91" s="660">
        <f t="shared" ca="1" si="360"/>
        <v>2.3749061780994406E-3</v>
      </c>
      <c r="GE91" s="660">
        <f t="shared" ca="1" si="361"/>
        <v>2.2916329699667146E-3</v>
      </c>
      <c r="GF91" s="660">
        <f t="shared" ca="1" si="362"/>
        <v>2.6032420360042898E-3</v>
      </c>
      <c r="GG91" s="660">
        <f t="shared" ca="1" si="363"/>
        <v>2.3627053964836399E-3</v>
      </c>
      <c r="GH91" s="660">
        <f t="shared" ca="1" si="364"/>
        <v>2.2803996092201975E-3</v>
      </c>
      <c r="GI91" s="660">
        <f t="shared" ca="1" si="365"/>
        <v>2.4341050014111314E-3</v>
      </c>
      <c r="GJ91" s="660">
        <f t="shared" ca="1" si="366"/>
        <v>2.4307898237870603E-3</v>
      </c>
      <c r="GK91" s="660">
        <f t="shared" ca="1" si="367"/>
        <v>2.4277433813408599E-3</v>
      </c>
      <c r="GL91" s="660">
        <f t="shared" ca="1" si="368"/>
        <v>2.190312136575012E-3</v>
      </c>
      <c r="GM91" s="660">
        <f t="shared" ca="1" si="369"/>
        <v>2.4225504308970766E-3</v>
      </c>
      <c r="GN91" s="660">
        <f t="shared" ca="1" si="370"/>
        <v>2.3423785139844084E-3</v>
      </c>
      <c r="GO91" s="660">
        <f t="shared" ca="1" si="371"/>
        <v>2.4187423234674423E-3</v>
      </c>
      <c r="GP91" s="660">
        <f t="shared" ca="1" si="372"/>
        <v>2.3394576279132532E-3</v>
      </c>
      <c r="GQ91" s="660">
        <f t="shared" ca="1" si="373"/>
        <v>2.4165892267415481E-3</v>
      </c>
      <c r="GR91" s="660">
        <f t="shared" ca="1" si="374"/>
        <v>2.4162358401469942E-3</v>
      </c>
      <c r="GS91" s="660">
        <f t="shared" ca="1" si="375"/>
        <v>2.3384798624283528E-3</v>
      </c>
      <c r="GT91" s="660">
        <f t="shared" ca="1" si="376"/>
        <v>2.4172250719558626E-3</v>
      </c>
      <c r="GU91" s="660">
        <f t="shared" ca="1" si="377"/>
        <v>2.3406639006324109E-3</v>
      </c>
      <c r="GV91" s="660">
        <f t="shared" ca="1" si="378"/>
        <v>2.4208822484130012E-3</v>
      </c>
      <c r="GW91" s="660">
        <f t="shared" ca="1" si="379"/>
        <v>2.4238925460537005E-3</v>
      </c>
      <c r="GX91" s="660">
        <f t="shared" ca="1" si="380"/>
        <v>2.2711729274758107E-3</v>
      </c>
      <c r="GY91" s="660">
        <f t="shared" ca="1" si="381"/>
        <v>2.4327209968898638E-3</v>
      </c>
      <c r="GZ91" s="660">
        <f t="shared" ca="1" si="382"/>
        <v>2.3600819549922242E-3</v>
      </c>
      <c r="HA91" s="660">
        <f t="shared" ca="1" si="383"/>
        <v>2.4460235529073669E-3</v>
      </c>
      <c r="HB91" s="660">
        <f t="shared" ca="1" si="384"/>
        <v>2.3754978730841036E-3</v>
      </c>
      <c r="HC91" s="660">
        <f t="shared" ca="1" si="385"/>
        <v>2.4648867115698724E-3</v>
      </c>
      <c r="HD91" s="660">
        <f t="shared" ca="1" si="386"/>
        <v>2.4768248677928344E-3</v>
      </c>
      <c r="HE91" s="660">
        <f t="shared" ca="1" si="387"/>
        <v>2.4103602617824653E-3</v>
      </c>
      <c r="HF91" s="660">
        <f t="shared" ca="1" si="388"/>
        <v>2.5067684138854358E-3</v>
      </c>
      <c r="HG91" s="660">
        <f t="shared" ca="1" si="389"/>
        <v>2.4438262820058272E-3</v>
      </c>
      <c r="HH91" s="660">
        <f t="shared" ca="1" si="390"/>
        <v>2.5465759062717999E-3</v>
      </c>
      <c r="HI91" s="660">
        <f t="shared" ca="1" si="391"/>
        <v>2.57099598537445E-3</v>
      </c>
      <c r="HJ91" s="660">
        <f t="shared" ca="1" si="392"/>
        <v>2.3474518292281588E-3</v>
      </c>
      <c r="HK91" s="660">
        <f t="shared" ca="1" si="393"/>
        <v>2.6309648818664227E-3</v>
      </c>
      <c r="HL91" s="660">
        <f t="shared" ca="1" si="394"/>
        <v>2.5815091235509985E-3</v>
      </c>
      <c r="HM91" s="660">
        <f t="shared" ca="1" si="395"/>
        <v>2.709405344794677E-3</v>
      </c>
      <c r="HN91" s="660">
        <f t="shared" ca="1" si="396"/>
        <v>2.6683299258584941E-3</v>
      </c>
      <c r="HO91" s="660">
        <f t="shared" ca="1" si="397"/>
        <v>2.8120767995748748E-3</v>
      </c>
      <c r="HP91" s="660">
        <f t="shared" ca="1" si="398"/>
        <v>2.8748936001654897E-3</v>
      </c>
      <c r="HQ91" s="660">
        <f t="shared" ca="1" si="399"/>
        <v>2.8519496418683778E-3</v>
      </c>
      <c r="HR91" s="660">
        <f t="shared" ca="1" si="400"/>
        <v>3.0299896023198553E-3</v>
      </c>
      <c r="HS91" s="660">
        <f t="shared" ca="1" si="401"/>
        <v>3.024864252999423E-3</v>
      </c>
      <c r="HT91" s="660">
        <f t="shared" ca="1" si="402"/>
        <v>3.2364092007675176E-3</v>
      </c>
      <c r="HU91" s="660">
        <f t="shared" ca="1" si="403"/>
        <v>3.3649434470802457E-3</v>
      </c>
      <c r="HV91" s="660">
        <f t="shared" ca="1" si="404"/>
        <v>3.1746316391489285E-3</v>
      </c>
      <c r="HW91" s="660">
        <f t="shared" ca="1" si="405"/>
        <v>3.6902347287669757E-3</v>
      </c>
      <c r="HX91" s="660">
        <f t="shared" ca="1" si="406"/>
        <v>3.7711145524180791E-3</v>
      </c>
      <c r="HY91" s="660">
        <f t="shared" ca="1" si="407"/>
        <v>4.1415162190883131E-3</v>
      </c>
      <c r="HZ91" s="660">
        <f t="shared" ca="1" si="408"/>
        <v>4.2903418237266308E-3</v>
      </c>
      <c r="IA91" s="660">
        <f t="shared" ca="1" si="409"/>
        <v>4.7841180720557611E-3</v>
      </c>
      <c r="IB91" s="660">
        <f t="shared" ca="1" si="410"/>
        <v>5.2094158006434728E-3</v>
      </c>
      <c r="IC91" s="660">
        <f t="shared" ca="1" si="411"/>
        <v>5.5453581762664435E-3</v>
      </c>
      <c r="ID91" s="660">
        <f t="shared" ca="1" si="412"/>
        <v>6.3750710015311593E-3</v>
      </c>
      <c r="IE91" s="660">
        <f t="shared" ca="1" si="413"/>
        <v>6.9519631302870444E-3</v>
      </c>
      <c r="IF91" s="660">
        <f t="shared" ca="1" si="414"/>
        <v>8.2121809271467599E-3</v>
      </c>
      <c r="IG91" s="660">
        <f t="shared" ca="1" si="415"/>
        <v>9.541512878651669E-3</v>
      </c>
      <c r="IH91" s="661">
        <f t="shared" ca="1" si="416"/>
        <v>1.0198568035241183E-2</v>
      </c>
      <c r="II91" s="242"/>
    </row>
    <row r="92" spans="8:243">
      <c r="H92" s="49" t="e">
        <f t="shared" ca="1" si="317"/>
        <v>#N/A</v>
      </c>
      <c r="I92" s="369">
        <f t="shared" si="318"/>
        <v>39203</v>
      </c>
      <c r="J92" s="367">
        <v>21.66</v>
      </c>
      <c r="K92" s="101" t="s">
        <v>268</v>
      </c>
      <c r="L92" s="382">
        <f t="shared" si="319"/>
        <v>21.66</v>
      </c>
      <c r="M92" s="163">
        <v>0.18425</v>
      </c>
      <c r="N92" s="372">
        <v>0</v>
      </c>
      <c r="O92" s="163">
        <f t="shared" si="272"/>
        <v>0.18425</v>
      </c>
      <c r="P92" s="367">
        <v>20.454464881065398</v>
      </c>
      <c r="Q92" s="101" t="s">
        <v>267</v>
      </c>
      <c r="R92" s="367">
        <f t="shared" ca="1" si="417"/>
        <v>20.454464881065448</v>
      </c>
      <c r="S92" s="814">
        <f t="shared" si="163"/>
        <v>0.36449451365021035</v>
      </c>
      <c r="T92" s="813">
        <f t="shared" si="418"/>
        <v>0.99996038088908346</v>
      </c>
      <c r="U92" s="532">
        <f t="shared" si="419"/>
        <v>0.9999999999848469</v>
      </c>
      <c r="V92" s="379">
        <v>0</v>
      </c>
      <c r="W92" s="424">
        <f t="shared" si="273"/>
        <v>21.66</v>
      </c>
      <c r="X92" s="405">
        <f t="shared" si="274"/>
        <v>21.66</v>
      </c>
      <c r="Y92" s="313">
        <f t="shared" si="275"/>
        <v>20.315999999999999</v>
      </c>
      <c r="Z92" s="313">
        <f t="shared" ca="1" si="276"/>
        <v>20.315999999999999</v>
      </c>
      <c r="AA92" s="419">
        <f t="shared" si="277"/>
        <v>1.3440000000000001</v>
      </c>
      <c r="AB92" s="423">
        <f t="shared" ca="1" si="278"/>
        <v>1.3440000000000001</v>
      </c>
      <c r="AC92" s="221">
        <v>39192</v>
      </c>
      <c r="AD92" s="221">
        <v>39188</v>
      </c>
      <c r="AE92" s="221">
        <v>39187</v>
      </c>
      <c r="AF92" s="221">
        <v>39183</v>
      </c>
      <c r="AG92" s="241" t="s">
        <v>90</v>
      </c>
      <c r="AH92" s="239" t="s">
        <v>497</v>
      </c>
      <c r="AI92" s="141">
        <v>23</v>
      </c>
      <c r="AJ92" s="41">
        <v>14</v>
      </c>
      <c r="AK92" s="41">
        <v>9</v>
      </c>
      <c r="AL92" s="285">
        <v>23</v>
      </c>
      <c r="AM92" s="41">
        <v>10</v>
      </c>
      <c r="AN92" s="142">
        <v>13</v>
      </c>
      <c r="AO92" s="364">
        <v>5.5245112582815302E-2</v>
      </c>
      <c r="AP92" s="145">
        <f t="shared" ca="1" si="320"/>
        <v>0.71558197348009045</v>
      </c>
      <c r="AQ92" s="364">
        <v>4.7669610745476799E-2</v>
      </c>
      <c r="AR92" s="145">
        <f t="shared" ca="1" si="420"/>
        <v>0.75314262019336209</v>
      </c>
      <c r="AS92" s="264">
        <f t="shared" si="279"/>
        <v>0.18341521739130434</v>
      </c>
      <c r="AT92" s="149">
        <f t="shared" si="321"/>
        <v>0.18425</v>
      </c>
      <c r="AU92" s="149">
        <f t="shared" si="280"/>
        <v>0.18331086956521739</v>
      </c>
      <c r="AV92" s="263">
        <f t="shared" ca="1" si="430"/>
        <v>0.18036943272414585</v>
      </c>
      <c r="AW92" s="150" t="str">
        <f t="shared" ca="1" si="281"/>
        <v/>
      </c>
      <c r="AX92" s="149">
        <f t="shared" ca="1" si="421"/>
        <v>2.3602170361540942E-2</v>
      </c>
      <c r="AY92" s="149">
        <f t="shared" ca="1" si="422"/>
        <v>1.1188440876871854E-2</v>
      </c>
      <c r="AZ92" s="149">
        <f t="shared" ca="1" si="423"/>
        <v>6.6316572070992839E-3</v>
      </c>
      <c r="BA92" s="149">
        <f t="shared" ca="1" si="424"/>
        <v>1.0000000000000239E-4</v>
      </c>
      <c r="BB92" s="149">
        <f t="shared" ca="1" si="425"/>
        <v>1.0000000000000239E-4</v>
      </c>
      <c r="BC92" s="149">
        <f t="shared" ca="1" si="426"/>
        <v>1.0000000000000239E-4</v>
      </c>
      <c r="BD92" s="143">
        <f t="shared" ca="1" si="282"/>
        <v>0</v>
      </c>
      <c r="BE92" s="144">
        <f t="shared" ca="1" si="283"/>
        <v>0</v>
      </c>
      <c r="BF92" s="40">
        <f t="shared" si="284"/>
        <v>2007</v>
      </c>
      <c r="BG92" s="139">
        <f t="shared" si="285"/>
        <v>5</v>
      </c>
      <c r="BH92" s="140">
        <f t="shared" ca="1" si="286"/>
        <v>2198</v>
      </c>
      <c r="BI92" s="304">
        <f t="shared" ca="1" si="287"/>
        <v>6.0588637919233399</v>
      </c>
      <c r="BJ92" s="42">
        <f t="shared" ca="1" si="288"/>
        <v>6.1088593280361865</v>
      </c>
      <c r="BK92" s="42">
        <f t="shared" ca="1" si="289"/>
        <v>6.1115971788233185</v>
      </c>
      <c r="BL92" s="42">
        <f t="shared" ca="1" si="290"/>
        <v>6.1409993155373028</v>
      </c>
      <c r="BM92" s="285">
        <f t="shared" si="322"/>
        <v>23</v>
      </c>
      <c r="BN92" s="41">
        <f t="shared" si="291"/>
        <v>14</v>
      </c>
      <c r="BO92" s="41">
        <f t="shared" si="292"/>
        <v>9</v>
      </c>
      <c r="BP92" s="297" t="str">
        <f t="shared" ca="1" si="293"/>
        <v/>
      </c>
      <c r="BQ92" s="297" t="str">
        <f t="shared" ca="1" si="294"/>
        <v/>
      </c>
      <c r="BR92" s="299" t="str">
        <f t="shared" ca="1" si="295"/>
        <v/>
      </c>
      <c r="BS92" s="153" t="str">
        <f t="shared" ca="1" si="296"/>
        <v/>
      </c>
      <c r="BT92" s="153" t="str">
        <f t="shared" ca="1" si="297"/>
        <v/>
      </c>
      <c r="BU92" s="300" t="str">
        <f t="shared" ca="1" si="298"/>
        <v/>
      </c>
      <c r="BV92" s="301" t="str">
        <f t="shared" ca="1" si="299"/>
        <v/>
      </c>
      <c r="BW92" s="300" t="str">
        <f t="shared" ca="1" si="300"/>
        <v/>
      </c>
      <c r="BX92" s="301" t="str">
        <f t="shared" ca="1" si="301"/>
        <v/>
      </c>
      <c r="BY92" s="146" t="str">
        <f t="shared" ca="1" si="302"/>
        <v/>
      </c>
      <c r="BZ92" s="146" t="str">
        <f t="shared" ca="1" si="303"/>
        <v/>
      </c>
      <c r="CA92" s="146" t="str">
        <f t="shared" ca="1" si="304"/>
        <v/>
      </c>
      <c r="CB92" s="146" t="str">
        <f t="shared" ca="1" si="305"/>
        <v/>
      </c>
      <c r="CC92" s="302">
        <v>1</v>
      </c>
      <c r="CD92" s="154">
        <f ca="1">IF(BD92,_xll.xCrudeAPO(BS92,BT92,BY92,BZ92,S93,S94,BI92,BL92,BN92,BO92,0,Strike1,AO92,CC92,0,BL92,IF(OptControl=4,0,1),0,1),0)</f>
        <v>0</v>
      </c>
      <c r="CE92" s="155">
        <f ca="1">IF(BD92,_xll.xCrudeAPO(BS92,BT92,BY92,BZ92,S93,S94,BI92,BL92,BN92,BO92,0,Strike1,AO92,CC92,0,BL92,IF(OptControl=4,0,1),1,1)+_xll.xCrudeAPO(BS92,BT92,BY92,BZ92,S93,S94,BI92,BL92,BN92,BO92,0,Strike1,AO92,CC92,0,BL92,IF(OptControl=4,0,1),1,2)+IF(OR(VolSkewFlag=2,ABS(BQ92)&lt;0.0001),0,IF(BQ92&gt;0,-1,1)*CF92*Strike1/BP92^2*BW92/10%),0)</f>
        <v>0</v>
      </c>
      <c r="CF92" s="155">
        <f ca="1">IF(BD92,(_xll.xCrudeAPO(BS92,BT92,BY92,BZ92,S93,S94,BI92,BL92,BN92,BO92,0,Strike1,AO92,CC92,0,BL92,IF(OptControl=4,0,1),3,1)+_xll.xCrudeAPO(BS92,BT92,BY92,BZ92,S93,S94,BI92,BL92,BN92,BO92,0,Strike1,AO92,CC92,0,BL92,IF(OptControl=4,0,1),3,2))/100,0)</f>
        <v>0</v>
      </c>
      <c r="CG92" s="155">
        <f ca="1">IF(BD92,_xll.xCrudeAPO(BS92,BT92,BY92,BZ92,S93,S94,BI92-DaysForThetaCalculation/365.25,BL92-DaysForThetaCalculation/365.25,BN92,BO92,0,Strike1,AO92,CC92,0,BL92,IF(OptControl=4,0,1),0,1)-_xll.xCrudeAPO(BS92,BT92,BY92,BZ92,S93,S94,BI92,BL92,BN92,BO92,0,Strike1,AO92,CC92,0,BL92,IF(OptControl=4,0,1),0,1),0)</f>
        <v>0</v>
      </c>
      <c r="CH92" s="303">
        <f ca="1">IF(BD92,_xll.xCrudeAPO(BS92,BT92,CA92,CB92,S93,S94,BI92,BL92,BN92,BO92,0,Strike2,AO92,CC92,0,BL92,IF(OptControl=3,1,0),0,1),0)</f>
        <v>0</v>
      </c>
      <c r="CI92" s="155">
        <f ca="1">IF(BD92,_xll.xCrudeAPO(BS92,BT92,CA92,CB92,S93,S94,BI92,BL92,BN92,BO92,0,Strike2,AO92,CC92,0,BL92,IF(OptControl=3,1,0),1,1)+_xll.xCrudeAPO(BS92,BT92,CA92,CB92,S93,S94,BI92,BL92,BN92,BO92,0,Strike2,AO92,CC92,0,BL92,IF(OptControl=3,1,0),1,2)+IF(OR(VolSkewFlag=2,ABS(BR92)&lt;0.0001),0,IF(BR92&gt;0,-1,1)*CJ92*Strike2/BP92^2*BX92/10%),0)</f>
        <v>0</v>
      </c>
      <c r="CJ92" s="155">
        <f ca="1">IF(BD92,(_xll.xCrudeAPO(BS92,BT92,CA92,CB92,S93,S94,BI92,BL92,BN92,BO92,0,Strike2,AO92,CC92,0,BL92,IF(OptControl=3,1,0),3,1)+_xll.xCrudeAPO(BS92,BT92,CA92,CB92,S93,S94,BI92,BL92,BN92,BO92,0,Strike2,AO92,CC92,0,BL92,IF(OptControl=3,1,0),3,2))/100,0)</f>
        <v>0</v>
      </c>
      <c r="CK92" s="156">
        <f ca="1">IF(BD92,_xll.xCrudeAPO(BS92,BT92,CA92,CB92,S93,S94,BI92-DaysForThetaCalculation/365.25,BL92-DaysForThetaCalculation/365.25,BN92,BO92,0,Strike2,AO92,CC92,0,BL92,IF(OptControl=3,1,0),0,1)-_xll.xCrudeAPO(BS92,BT92,CA92,CB92,S93,S94,BI92,BL92,BN92,BO92,0,Strike2,AO92,CC92,0,BL92,IF(OptControl=3,1,0),0,1),0)</f>
        <v>0</v>
      </c>
      <c r="CL92" s="51"/>
      <c r="CM92" s="779" t="str">
        <f t="shared" ca="1" si="323"/>
        <v/>
      </c>
      <c r="CN92" s="783" t="str">
        <f t="shared" ca="1" si="324"/>
        <v/>
      </c>
      <c r="CO92" s="780" t="str">
        <f t="shared" ca="1" si="325"/>
        <v/>
      </c>
      <c r="CP92" s="780" t="str">
        <f t="shared" ca="1" si="326"/>
        <v/>
      </c>
      <c r="CQ92" s="780" t="str">
        <f t="shared" ca="1" si="327"/>
        <v/>
      </c>
      <c r="CR92" s="780" t="str">
        <f t="shared" ca="1" si="328"/>
        <v/>
      </c>
      <c r="CS92" s="781" t="str">
        <f t="shared" ca="1" si="329"/>
        <v/>
      </c>
      <c r="CT92" s="782" t="str">
        <f t="shared" ca="1" si="330"/>
        <v/>
      </c>
      <c r="CU92" s="782" t="str">
        <f t="shared" ca="1" si="331"/>
        <v/>
      </c>
      <c r="CV92" s="155">
        <f ca="1">IF(BD92,_xll.EURO(CN92,Strike1,AO92,AO92,CT92,CM92,IF(OptControl=4,0,1),0),0)</f>
        <v>0</v>
      </c>
      <c r="CW92" s="155">
        <f ca="1">IF(BD92,_xll.EURO(CN92,Strike1,AO92,AO92,CT92,CM92,IF(OptControl=4,0,1),1)+IF(OR(VolSkewFlag=2,ABS(CO92)&lt;0.0001),0,IF(CO92&gt;0,-1,1)*CX92*100*Strike1/CN92^2*CQ92/10%),0)</f>
        <v>0</v>
      </c>
      <c r="CX92" s="155">
        <f ca="1">IF(BD92,_xll.EURO(CN92,Strike1,AO92,AO92,CT92,CM92,IF(OptControl=4,0,1),3)/100,0)</f>
        <v>0</v>
      </c>
      <c r="CY92" s="155">
        <f ca="1">IF(BD92,_xll.EURO(CN92,Strike1,AO92,AO92,CT92,CM92,IF(OptControl=4,0,1),0)-_xll.EURO(CN92,Strike1,AO92,AO92,CT92,CM92-1,IF(OptControl=4,0,1),0),0)</f>
        <v>0</v>
      </c>
      <c r="CZ92" s="155">
        <f ca="1">IF(BD92,_xll.EURO(CN92,Strike2,AO92,AO92,CU92,CM92,IF(OptControl=3,1,0),0),0)</f>
        <v>0</v>
      </c>
      <c r="DA92" s="155">
        <f ca="1">IF(BD92,_xll.EURO(CN92,Strike2,AO92,AO92,CU92,CM92,IF(OptControl=3,1,0),1)+IF(OR(VolSkewFlag=2,ABS(CP92)&lt;0.0001),0,IF(CP92&gt;0,-1,1)*DB92*100*Strike2/CN92^2*CR92/10%),0)</f>
        <v>0</v>
      </c>
      <c r="DB92" s="155">
        <f ca="1">IF(BD92,_xll.EURO(CN92,Strike2,AO92,AO92,CU92,CM92,IF(OptControl=3,1,0),3)/100,0)</f>
        <v>0</v>
      </c>
      <c r="DC92" s="156">
        <f ca="1">IF(BD92,_xll.EURO(CN92,Strike2,AO92,AO92,CU92,CM92,IF(OptControl=3,1,0),0)-_xll.EURO(CN92,Strike2,AO92,AO92,CU92,CM92-1,IF(OptControl=3,1,0),0),0)</f>
        <v>0</v>
      </c>
      <c r="DE92" s="651">
        <f t="shared" ca="1" si="332"/>
        <v>39114</v>
      </c>
      <c r="DF92" s="465">
        <v>1E-4</v>
      </c>
      <c r="DG92" s="649">
        <v>1E-4</v>
      </c>
      <c r="DH92" s="650">
        <f t="shared" ca="1" si="306"/>
        <v>39114</v>
      </c>
      <c r="DI92" s="465">
        <v>1E-4</v>
      </c>
      <c r="DJ92" s="649">
        <v>1E-4</v>
      </c>
      <c r="DK92" s="651">
        <f t="shared" ca="1" si="307"/>
        <v>39114</v>
      </c>
      <c r="DL92" s="652">
        <f t="shared" si="308"/>
        <v>5.0100000000000006E-2</v>
      </c>
      <c r="DM92" s="651">
        <f t="shared" ca="1" si="333"/>
        <v>39114</v>
      </c>
      <c r="DN92" s="563">
        <f t="shared" si="334"/>
        <v>-0.12990000000000002</v>
      </c>
      <c r="DO92" s="803">
        <v>-0.13</v>
      </c>
      <c r="DP92" s="650">
        <f t="shared" ca="1" si="309"/>
        <v>39114</v>
      </c>
      <c r="DQ92" s="653">
        <v>1E-4</v>
      </c>
      <c r="DR92" s="590">
        <v>1E-4</v>
      </c>
      <c r="DS92" s="650">
        <f t="shared" ca="1" si="310"/>
        <v>39114</v>
      </c>
      <c r="DT92" s="653">
        <v>1E-4</v>
      </c>
      <c r="DU92" s="590">
        <v>1E-4</v>
      </c>
      <c r="DV92" s="651">
        <f t="shared" ca="1" si="311"/>
        <v>39114</v>
      </c>
      <c r="DW92" s="590">
        <v>1E-4</v>
      </c>
      <c r="DX92" s="651">
        <f t="shared" ca="1" si="335"/>
        <v>39114</v>
      </c>
      <c r="DY92" s="590">
        <f t="shared" si="336"/>
        <v>1E-4</v>
      </c>
      <c r="DZ92" s="1"/>
      <c r="EA92" s="863" t="e">
        <f ca="1">_xll.ASN(X92,X92,AO92,AS92,0,AI92,0,BI92,BL92,1,0)</f>
        <v>#NAME?</v>
      </c>
      <c r="EB92" s="653" t="e">
        <f ca="1">_xll.ASN(X92,X92,AO92,AS92,0,AI92,0,BI92,BL92,1,3)/100</f>
        <v>#NAME?</v>
      </c>
      <c r="EC92" s="653" t="e">
        <f ca="1">_xll.xCrudeAPO(L93,L94,O93,O94,S93,S94,BI92,BL92,AJ92,AK92,0,X92,AO92,1,0,+BL92,1,0,1)</f>
        <v>#NAME?</v>
      </c>
      <c r="ED92" s="869" t="e">
        <f t="shared" ca="1" si="431"/>
        <v>#NAME?</v>
      </c>
      <c r="EE92" s="863" t="e">
        <f t="shared" ca="1" si="312"/>
        <v>#NAME?</v>
      </c>
      <c r="EF92" s="590" t="e">
        <f t="shared" ca="1" si="313"/>
        <v>#NAME?</v>
      </c>
      <c r="EG92" s="862" t="str">
        <f t="shared" ca="1" si="314"/>
        <v/>
      </c>
      <c r="EH92" s="114" t="str">
        <f t="shared" ca="1" si="315"/>
        <v/>
      </c>
      <c r="EI92" s="109" t="str">
        <f t="shared" ca="1" si="316"/>
        <v/>
      </c>
      <c r="EJ92" s="115">
        <f ca="1">IF(BD92,_xll.xASN(BP92,Strike1,AO92,EH92,0,BM92,0,BI92,BL92,IF(OptControl=4,0,1),0),0)</f>
        <v>0</v>
      </c>
      <c r="EK92" s="108">
        <f ca="1">IF(BD92,_xll.xASN(BP92,Strike2,AO92,EI92,0,BM92,0,BI92,BL92,IF(OptControl=3,1,0),0),0)</f>
        <v>0</v>
      </c>
      <c r="EP92" s="53"/>
      <c r="EQ92" s="1"/>
      <c r="ER92" s="681">
        <v>44555</v>
      </c>
      <c r="ES92" s="682">
        <v>49675</v>
      </c>
      <c r="ET92" s="1"/>
      <c r="EU92" s="667" t="s">
        <v>304</v>
      </c>
      <c r="EW92" s="488">
        <v>73</v>
      </c>
      <c r="EX92" s="466">
        <f t="shared" ca="1" si="432"/>
        <v>6.0177960301163589</v>
      </c>
      <c r="EY92" s="824">
        <f t="shared" ca="1" si="337"/>
        <v>0.20429251574264204</v>
      </c>
      <c r="EZ92" s="465"/>
      <c r="FA92" s="446"/>
      <c r="FB92" s="446"/>
      <c r="FC92" s="242"/>
      <c r="FD92" s="242"/>
      <c r="FE92" s="242"/>
      <c r="FF92" s="242"/>
      <c r="FG92" s="242"/>
      <c r="FH92" s="242"/>
      <c r="FI92" s="242"/>
      <c r="FJ92" s="242"/>
      <c r="FK92" s="242"/>
      <c r="FL92" s="242"/>
      <c r="FM92" s="242"/>
      <c r="FN92" s="242"/>
      <c r="FO92" s="242"/>
      <c r="FP92" s="242"/>
      <c r="FQ92" s="242"/>
      <c r="FR92" s="242"/>
      <c r="FS92" s="242"/>
      <c r="FT92" s="242"/>
      <c r="FU92" s="242"/>
      <c r="FV92" s="242"/>
      <c r="FW92" s="242"/>
      <c r="FX92" s="242"/>
      <c r="FY92" s="242"/>
      <c r="FZ92" s="242"/>
      <c r="GA92" s="242"/>
      <c r="GB92" s="242"/>
      <c r="GC92" s="242"/>
      <c r="GD92" s="242"/>
      <c r="GE92" s="242"/>
      <c r="GF92" s="242"/>
      <c r="GG92" s="242"/>
      <c r="GH92" s="242"/>
      <c r="GI92" s="242"/>
      <c r="GJ92" s="242"/>
      <c r="GK92" s="242"/>
      <c r="GL92" s="242"/>
      <c r="GM92" s="242"/>
      <c r="GN92" s="242"/>
      <c r="GO92" s="242"/>
      <c r="GP92" s="242"/>
      <c r="GQ92" s="242"/>
      <c r="GR92" s="242"/>
      <c r="GS92" s="242"/>
      <c r="GT92" s="242"/>
      <c r="GU92" s="242"/>
      <c r="GV92" s="242"/>
      <c r="GW92" s="242"/>
      <c r="GX92" s="242"/>
      <c r="GY92" s="242"/>
      <c r="GZ92" s="242"/>
      <c r="HA92" s="242"/>
      <c r="HB92" s="242"/>
      <c r="HC92" s="242"/>
      <c r="HD92" s="242"/>
      <c r="HE92" s="242"/>
      <c r="HF92" s="242"/>
      <c r="HG92" s="242"/>
      <c r="HH92" s="242"/>
      <c r="HI92" s="242"/>
      <c r="HJ92" s="242"/>
      <c r="HK92" s="242"/>
      <c r="HL92" s="242"/>
      <c r="HM92" s="242"/>
      <c r="HN92" s="242"/>
      <c r="HO92" s="242"/>
      <c r="HP92" s="242"/>
      <c r="HQ92" s="242"/>
      <c r="HR92" s="242"/>
      <c r="HS92" s="242"/>
      <c r="HT92" s="242"/>
      <c r="HU92" s="242"/>
      <c r="HV92" s="242"/>
      <c r="HW92" s="242"/>
      <c r="HX92" s="242"/>
      <c r="HY92" s="242"/>
      <c r="HZ92" s="242"/>
      <c r="IA92" s="242"/>
      <c r="IB92" s="242"/>
      <c r="IC92" s="242"/>
      <c r="ID92" s="242"/>
      <c r="IE92" s="242"/>
      <c r="IF92" s="242"/>
      <c r="IG92" s="242"/>
      <c r="IH92" s="242"/>
      <c r="II92" s="242"/>
    </row>
    <row r="93" spans="8:243" ht="13.8" thickBot="1">
      <c r="H93" s="49" t="e">
        <f t="shared" ca="1" si="317"/>
        <v>#N/A</v>
      </c>
      <c r="I93" s="369">
        <f t="shared" si="318"/>
        <v>39234</v>
      </c>
      <c r="J93" s="367">
        <v>21.66</v>
      </c>
      <c r="K93" s="101" t="s">
        <v>268</v>
      </c>
      <c r="L93" s="382">
        <f t="shared" si="319"/>
        <v>21.66</v>
      </c>
      <c r="M93" s="163">
        <v>0.18364999999999998</v>
      </c>
      <c r="N93" s="372">
        <v>0</v>
      </c>
      <c r="O93" s="163">
        <f t="shared" si="272"/>
        <v>0.18364999999999998</v>
      </c>
      <c r="P93" s="367">
        <v>20.190122835395002</v>
      </c>
      <c r="Q93" s="101" t="s">
        <v>267</v>
      </c>
      <c r="R93" s="367">
        <f t="shared" ca="1" si="417"/>
        <v>20.190122835395044</v>
      </c>
      <c r="S93" s="814">
        <f t="shared" si="163"/>
        <v>0.36424956851370827</v>
      </c>
      <c r="T93" s="813">
        <f t="shared" si="418"/>
        <v>0.99996434287194935</v>
      </c>
      <c r="U93" s="532">
        <f t="shared" si="419"/>
        <v>0.9999999999886352</v>
      </c>
      <c r="V93" s="379">
        <v>0</v>
      </c>
      <c r="W93" s="424">
        <f t="shared" si="273"/>
        <v>21.66</v>
      </c>
      <c r="X93" s="405">
        <f t="shared" si="274"/>
        <v>21.66</v>
      </c>
      <c r="Y93" s="313">
        <f t="shared" si="275"/>
        <v>20.315999999999999</v>
      </c>
      <c r="Z93" s="313">
        <f t="shared" ca="1" si="276"/>
        <v>20.315999999999999</v>
      </c>
      <c r="AA93" s="419">
        <f t="shared" si="277"/>
        <v>1.3440000000000001</v>
      </c>
      <c r="AB93" s="423">
        <f t="shared" ca="1" si="278"/>
        <v>1.3440000000000001</v>
      </c>
      <c r="AC93" s="221">
        <v>39222</v>
      </c>
      <c r="AD93" s="221">
        <v>39218</v>
      </c>
      <c r="AE93" s="221">
        <v>39217</v>
      </c>
      <c r="AF93" s="221">
        <v>39213</v>
      </c>
      <c r="AG93" s="241" t="s">
        <v>90</v>
      </c>
      <c r="AH93" s="239" t="s">
        <v>497</v>
      </c>
      <c r="AI93" s="141">
        <v>21</v>
      </c>
      <c r="AJ93" s="41">
        <v>14</v>
      </c>
      <c r="AK93" s="41">
        <v>7</v>
      </c>
      <c r="AL93" s="285">
        <v>21</v>
      </c>
      <c r="AM93" s="41">
        <v>10</v>
      </c>
      <c r="AN93" s="142">
        <v>11</v>
      </c>
      <c r="AO93" s="364">
        <v>5.5362636481510304E-2</v>
      </c>
      <c r="AP93" s="145">
        <f t="shared" ca="1" si="320"/>
        <v>0.71187933657798286</v>
      </c>
      <c r="AQ93" s="364">
        <v>4.7818396740174803E-2</v>
      </c>
      <c r="AR93" s="145">
        <f t="shared" ca="1" si="420"/>
        <v>0.74956928356842512</v>
      </c>
      <c r="AS93" s="264">
        <f t="shared" si="279"/>
        <v>0.18285000000000001</v>
      </c>
      <c r="AT93" s="149">
        <f t="shared" si="321"/>
        <v>0.18364999999999998</v>
      </c>
      <c r="AU93" s="149">
        <f t="shared" si="280"/>
        <v>0.18273571428571428</v>
      </c>
      <c r="AV93" s="263">
        <f t="shared" ca="1" si="430"/>
        <v>0.17993546270640032</v>
      </c>
      <c r="AW93" s="150" t="str">
        <f t="shared" ca="1" si="281"/>
        <v/>
      </c>
      <c r="AX93" s="149">
        <f t="shared" ca="1" si="421"/>
        <v>2.3270602027774069E-2</v>
      </c>
      <c r="AY93" s="149">
        <f t="shared" ca="1" si="422"/>
        <v>1.0995934034545348E-2</v>
      </c>
      <c r="AZ93" s="149">
        <f t="shared" ca="1" si="423"/>
        <v>6.5526217154600729E-3</v>
      </c>
      <c r="BA93" s="149">
        <f t="shared" ca="1" si="424"/>
        <v>1.0000000000000243E-4</v>
      </c>
      <c r="BB93" s="149">
        <f t="shared" ca="1" si="425"/>
        <v>1.0000000000000243E-4</v>
      </c>
      <c r="BC93" s="149">
        <f t="shared" ca="1" si="426"/>
        <v>1.0000000000000243E-4</v>
      </c>
      <c r="BD93" s="143">
        <f t="shared" ca="1" si="282"/>
        <v>0</v>
      </c>
      <c r="BE93" s="144">
        <f t="shared" ca="1" si="283"/>
        <v>0</v>
      </c>
      <c r="BF93" s="40">
        <f t="shared" si="284"/>
        <v>2007</v>
      </c>
      <c r="BG93" s="139">
        <f t="shared" si="285"/>
        <v>6</v>
      </c>
      <c r="BH93" s="140">
        <f t="shared" ca="1" si="286"/>
        <v>2228</v>
      </c>
      <c r="BI93" s="304">
        <f t="shared" ca="1" si="287"/>
        <v>6.1437371663244349</v>
      </c>
      <c r="BJ93" s="42">
        <f t="shared" ca="1" si="288"/>
        <v>6.1966689482089894</v>
      </c>
      <c r="BK93" s="42">
        <f t="shared" ca="1" si="289"/>
        <v>6.1994067989961215</v>
      </c>
      <c r="BL93" s="42">
        <f t="shared" ca="1" si="290"/>
        <v>6.2231348391512666</v>
      </c>
      <c r="BM93" s="285">
        <f t="shared" si="322"/>
        <v>21</v>
      </c>
      <c r="BN93" s="41">
        <f t="shared" si="291"/>
        <v>14</v>
      </c>
      <c r="BO93" s="41">
        <f t="shared" si="292"/>
        <v>7</v>
      </c>
      <c r="BP93" s="297" t="str">
        <f t="shared" ca="1" si="293"/>
        <v/>
      </c>
      <c r="BQ93" s="297" t="str">
        <f t="shared" ca="1" si="294"/>
        <v/>
      </c>
      <c r="BR93" s="299" t="str">
        <f t="shared" ca="1" si="295"/>
        <v/>
      </c>
      <c r="BS93" s="153" t="str">
        <f t="shared" ca="1" si="296"/>
        <v/>
      </c>
      <c r="BT93" s="153" t="str">
        <f t="shared" ca="1" si="297"/>
        <v/>
      </c>
      <c r="BU93" s="300" t="str">
        <f t="shared" ca="1" si="298"/>
        <v/>
      </c>
      <c r="BV93" s="301" t="str">
        <f t="shared" ca="1" si="299"/>
        <v/>
      </c>
      <c r="BW93" s="300" t="str">
        <f t="shared" ca="1" si="300"/>
        <v/>
      </c>
      <c r="BX93" s="301" t="str">
        <f t="shared" ca="1" si="301"/>
        <v/>
      </c>
      <c r="BY93" s="146" t="str">
        <f t="shared" ca="1" si="302"/>
        <v/>
      </c>
      <c r="BZ93" s="146" t="str">
        <f t="shared" ca="1" si="303"/>
        <v/>
      </c>
      <c r="CA93" s="146" t="str">
        <f t="shared" ca="1" si="304"/>
        <v/>
      </c>
      <c r="CB93" s="146" t="str">
        <f t="shared" ca="1" si="305"/>
        <v/>
      </c>
      <c r="CC93" s="302">
        <v>1</v>
      </c>
      <c r="CD93" s="154">
        <f ca="1">IF(BD93,_xll.xCrudeAPO(BS93,BT93,BY93,BZ93,S94,S95,BI93,BL93,BN93,BO93,0,Strike1,AO93,CC93,0,BL93,IF(OptControl=4,0,1),0,1),0)</f>
        <v>0</v>
      </c>
      <c r="CE93" s="155">
        <f ca="1">IF(BD93,_xll.xCrudeAPO(BS93,BT93,BY93,BZ93,S94,S95,BI93,BL93,BN93,BO93,0,Strike1,AO93,CC93,0,BL93,IF(OptControl=4,0,1),1,1)+_xll.xCrudeAPO(BS93,BT93,BY93,BZ93,S94,S95,BI93,BL93,BN93,BO93,0,Strike1,AO93,CC93,0,BL93,IF(OptControl=4,0,1),1,2)+IF(OR(VolSkewFlag=2,ABS(BQ93)&lt;0.0001),0,IF(BQ93&gt;0,-1,1)*CF93*Strike1/BP93^2*BW93/10%),0)</f>
        <v>0</v>
      </c>
      <c r="CF93" s="155">
        <f ca="1">IF(BD93,(_xll.xCrudeAPO(BS93,BT93,BY93,BZ93,S94,S95,BI93,BL93,BN93,BO93,0,Strike1,AO93,CC93,0,BL93,IF(OptControl=4,0,1),3,1)+_xll.xCrudeAPO(BS93,BT93,BY93,BZ93,S94,S95,BI93,BL93,BN93,BO93,0,Strike1,AO93,CC93,0,BL93,IF(OptControl=4,0,1),3,2))/100,0)</f>
        <v>0</v>
      </c>
      <c r="CG93" s="155">
        <f ca="1">IF(BD93,_xll.xCrudeAPO(BS93,BT93,BY93,BZ93,S94,S95,BI93-DaysForThetaCalculation/365.25,BL93-DaysForThetaCalculation/365.25,BN93,BO93,0,Strike1,AO93,CC93,0,BL93,IF(OptControl=4,0,1),0,1)-_xll.xCrudeAPO(BS93,BT93,BY93,BZ93,S94,S95,BI93,BL93,BN93,BO93,0,Strike1,AO93,CC93,0,BL93,IF(OptControl=4,0,1),0,1),0)</f>
        <v>0</v>
      </c>
      <c r="CH93" s="303">
        <f ca="1">IF(BD93,_xll.xCrudeAPO(BS93,BT93,CA93,CB93,S94,S95,BI93,BL93,BN93,BO93,0,Strike2,AO93,CC93,0,BL93,IF(OptControl=3,1,0),0,1),0)</f>
        <v>0</v>
      </c>
      <c r="CI93" s="155">
        <f ca="1">IF(BD93,_xll.xCrudeAPO(BS93,BT93,CA93,CB93,S94,S95,BI93,BL93,BN93,BO93,0,Strike2,AO93,CC93,0,BL93,IF(OptControl=3,1,0),1,1)+_xll.xCrudeAPO(BS93,BT93,CA93,CB93,S94,S95,BI93,BL93,BN93,BO93,0,Strike2,AO93,CC93,0,BL93,IF(OptControl=3,1,0),1,2)+IF(OR(VolSkewFlag=2,ABS(BR93)&lt;0.0001),0,IF(BR93&gt;0,-1,1)*CJ93*Strike2/BP93^2*BX93/10%),0)</f>
        <v>0</v>
      </c>
      <c r="CJ93" s="155">
        <f ca="1">IF(BD93,(_xll.xCrudeAPO(BS93,BT93,CA93,CB93,S94,S95,BI93,BL93,BN93,BO93,0,Strike2,AO93,CC93,0,BL93,IF(OptControl=3,1,0),3,1)+_xll.xCrudeAPO(BS93,BT93,CA93,CB93,S94,S95,BI93,BL93,BN93,BO93,0,Strike2,AO93,CC93,0,BL93,IF(OptControl=3,1,0),3,2))/100,0)</f>
        <v>0</v>
      </c>
      <c r="CK93" s="156">
        <f ca="1">IF(BD93,_xll.xCrudeAPO(BS93,BT93,CA93,CB93,S94,S95,BI93-DaysForThetaCalculation/365.25,BL93-DaysForThetaCalculation/365.25,BN93,BO93,0,Strike2,AO93,CC93,0,BL93,IF(OptControl=3,1,0),0,1)-_xll.xCrudeAPO(BS93,BT93,CA93,CB93,S94,S95,BI93,BL93,BN93,BO93,0,Strike2,AO93,CC93,0,BL93,IF(OptControl=3,1,0),0,1),0)</f>
        <v>0</v>
      </c>
      <c r="CL93" s="51"/>
      <c r="CM93" s="779" t="str">
        <f t="shared" ca="1" si="323"/>
        <v/>
      </c>
      <c r="CN93" s="783" t="str">
        <f t="shared" ca="1" si="324"/>
        <v/>
      </c>
      <c r="CO93" s="780" t="str">
        <f t="shared" ca="1" si="325"/>
        <v/>
      </c>
      <c r="CP93" s="780" t="str">
        <f t="shared" ca="1" si="326"/>
        <v/>
      </c>
      <c r="CQ93" s="780" t="str">
        <f t="shared" ca="1" si="327"/>
        <v/>
      </c>
      <c r="CR93" s="780" t="str">
        <f t="shared" ca="1" si="328"/>
        <v/>
      </c>
      <c r="CS93" s="781" t="str">
        <f t="shared" ca="1" si="329"/>
        <v/>
      </c>
      <c r="CT93" s="782" t="str">
        <f t="shared" ca="1" si="330"/>
        <v/>
      </c>
      <c r="CU93" s="782" t="str">
        <f t="shared" ca="1" si="331"/>
        <v/>
      </c>
      <c r="CV93" s="155">
        <f ca="1">IF(BD93,_xll.EURO(CN93,Strike1,AO93,AO93,CT93,CM93,IF(OptControl=4,0,1),0),0)</f>
        <v>0</v>
      </c>
      <c r="CW93" s="155">
        <f ca="1">IF(BD93,_xll.EURO(CN93,Strike1,AO93,AO93,CT93,CM93,IF(OptControl=4,0,1),1)+IF(OR(VolSkewFlag=2,ABS(CO93)&lt;0.0001),0,IF(CO93&gt;0,-1,1)*CX93*100*Strike1/CN93^2*CQ93/10%),0)</f>
        <v>0</v>
      </c>
      <c r="CX93" s="155">
        <f ca="1">IF(BD93,_xll.EURO(CN93,Strike1,AO93,AO93,CT93,CM93,IF(OptControl=4,0,1),3)/100,0)</f>
        <v>0</v>
      </c>
      <c r="CY93" s="155">
        <f ca="1">IF(BD93,_xll.EURO(CN93,Strike1,AO93,AO93,CT93,CM93,IF(OptControl=4,0,1),0)-_xll.EURO(CN93,Strike1,AO93,AO93,CT93,CM93-1,IF(OptControl=4,0,1),0),0)</f>
        <v>0</v>
      </c>
      <c r="CZ93" s="155">
        <f ca="1">IF(BD93,_xll.EURO(CN93,Strike2,AO93,AO93,CU93,CM93,IF(OptControl=3,1,0),0),0)</f>
        <v>0</v>
      </c>
      <c r="DA93" s="155">
        <f ca="1">IF(BD93,_xll.EURO(CN93,Strike2,AO93,AO93,CU93,CM93,IF(OptControl=3,1,0),1)+IF(OR(VolSkewFlag=2,ABS(CP93)&lt;0.0001),0,IF(CP93&gt;0,-1,1)*DB93*100*Strike2/CN93^2*CR93/10%),0)</f>
        <v>0</v>
      </c>
      <c r="DB93" s="155">
        <f ca="1">IF(BD93,_xll.EURO(CN93,Strike2,AO93,AO93,CU93,CM93,IF(OptControl=3,1,0),3)/100,0)</f>
        <v>0</v>
      </c>
      <c r="DC93" s="156">
        <f ca="1">IF(BD93,_xll.EURO(CN93,Strike2,AO93,AO93,CU93,CM93,IF(OptControl=3,1,0),0)-_xll.EURO(CN93,Strike2,AO93,AO93,CU93,CM93-1,IF(OptControl=3,1,0),0),0)</f>
        <v>0</v>
      </c>
      <c r="DE93" s="651">
        <f t="shared" ca="1" si="332"/>
        <v>39142</v>
      </c>
      <c r="DF93" s="465">
        <v>1E-4</v>
      </c>
      <c r="DG93" s="649">
        <v>1E-4</v>
      </c>
      <c r="DH93" s="650">
        <f t="shared" ca="1" si="306"/>
        <v>39142</v>
      </c>
      <c r="DI93" s="465">
        <v>1E-4</v>
      </c>
      <c r="DJ93" s="649">
        <v>1E-4</v>
      </c>
      <c r="DK93" s="651">
        <f t="shared" ca="1" si="307"/>
        <v>39142</v>
      </c>
      <c r="DL93" s="652">
        <f t="shared" si="308"/>
        <v>5.0100000000000006E-2</v>
      </c>
      <c r="DM93" s="651">
        <f t="shared" ca="1" si="333"/>
        <v>39142</v>
      </c>
      <c r="DN93" s="563">
        <f t="shared" si="334"/>
        <v>-0.12990000000000002</v>
      </c>
      <c r="DO93" s="803">
        <v>-0.13</v>
      </c>
      <c r="DP93" s="650">
        <f t="shared" ca="1" si="309"/>
        <v>39142</v>
      </c>
      <c r="DQ93" s="653">
        <v>1E-4</v>
      </c>
      <c r="DR93" s="590">
        <v>1E-4</v>
      </c>
      <c r="DS93" s="650">
        <f t="shared" ca="1" si="310"/>
        <v>39142</v>
      </c>
      <c r="DT93" s="653">
        <v>1E-4</v>
      </c>
      <c r="DU93" s="590">
        <v>1E-4</v>
      </c>
      <c r="DV93" s="651">
        <f t="shared" ca="1" si="311"/>
        <v>39142</v>
      </c>
      <c r="DW93" s="590">
        <v>1E-4</v>
      </c>
      <c r="DX93" s="651">
        <f t="shared" ca="1" si="335"/>
        <v>39142</v>
      </c>
      <c r="DY93" s="590">
        <f t="shared" si="336"/>
        <v>1E-4</v>
      </c>
      <c r="DZ93" s="1"/>
      <c r="EA93" s="863" t="e">
        <f ca="1">_xll.ASN(X93,X93,AO93,AS93,0,AI93,0,BI93,BL93,1,0)</f>
        <v>#NAME?</v>
      </c>
      <c r="EB93" s="653" t="e">
        <f ca="1">_xll.ASN(X93,X93,AO93,AS93,0,AI93,0,BI93,BL93,1,3)/100</f>
        <v>#NAME?</v>
      </c>
      <c r="EC93" s="653" t="e">
        <f ca="1">_xll.xCrudeAPO(L94,L95,O94,O95,S94,S95,BI93,BL93,AJ93,AK93,0,X93,AO93,1,0,+BL93,1,0,1)</f>
        <v>#NAME?</v>
      </c>
      <c r="ED93" s="869" t="e">
        <f t="shared" ca="1" si="431"/>
        <v>#NAME?</v>
      </c>
      <c r="EE93" s="863" t="e">
        <f t="shared" ca="1" si="312"/>
        <v>#NAME?</v>
      </c>
      <c r="EF93" s="590" t="e">
        <f t="shared" ca="1" si="313"/>
        <v>#NAME?</v>
      </c>
      <c r="EG93" s="862" t="str">
        <f t="shared" ca="1" si="314"/>
        <v/>
      </c>
      <c r="EH93" s="114" t="str">
        <f t="shared" ca="1" si="315"/>
        <v/>
      </c>
      <c r="EI93" s="109" t="str">
        <f t="shared" ca="1" si="316"/>
        <v/>
      </c>
      <c r="EJ93" s="115">
        <f ca="1">IF(BD93,_xll.xASN(BP93,Strike1,AO93,EH93,0,BM93,0,BI93,BL93,IF(OptControl=4,0,1),0),0)</f>
        <v>0</v>
      </c>
      <c r="EK93" s="108">
        <f ca="1">IF(BD93,_xll.xASN(BP93,Strike2,AO93,EI93,0,BM93,0,BI93,BL93,IF(OptControl=3,1,0),0),0)</f>
        <v>0</v>
      </c>
      <c r="EP93" s="53"/>
      <c r="EQ93" s="1"/>
      <c r="ER93" s="681">
        <v>44562</v>
      </c>
      <c r="ES93" s="682">
        <v>50034</v>
      </c>
      <c r="ET93" s="1"/>
      <c r="EU93" s="667" t="s">
        <v>305</v>
      </c>
      <c r="EW93" s="488">
        <v>74</v>
      </c>
      <c r="EX93" s="466">
        <f t="shared" ca="1" si="432"/>
        <v>6.0999315537303218</v>
      </c>
      <c r="EY93" s="825">
        <f t="shared" ca="1" si="337"/>
        <v>0.20573435874058857</v>
      </c>
      <c r="EZ93" s="465"/>
      <c r="FA93" s="446"/>
      <c r="FB93" s="446"/>
      <c r="FC93" s="242"/>
      <c r="FD93" s="242"/>
      <c r="FE93" s="242"/>
      <c r="FF93" s="242"/>
      <c r="FG93" s="242"/>
      <c r="FH93" s="242"/>
      <c r="FI93" s="242"/>
      <c r="FJ93" s="242"/>
      <c r="FK93" s="242"/>
      <c r="FL93" s="242"/>
      <c r="FM93" s="242"/>
      <c r="FN93" s="457" t="s">
        <v>236</v>
      </c>
      <c r="FO93" s="242"/>
      <c r="FP93" s="242"/>
      <c r="FQ93" s="242"/>
      <c r="FR93" s="242"/>
      <c r="FS93" s="242"/>
      <c r="FT93" s="242"/>
      <c r="FU93" s="242"/>
      <c r="FV93" s="242"/>
      <c r="FW93" s="242"/>
      <c r="FX93" s="242"/>
      <c r="FY93" s="242"/>
      <c r="FZ93" s="242"/>
      <c r="GA93" s="242"/>
      <c r="GB93" s="242"/>
      <c r="GC93" s="242"/>
      <c r="GD93" s="242"/>
      <c r="GE93" s="242"/>
      <c r="GF93" s="242"/>
      <c r="GG93" s="242"/>
      <c r="GH93" s="242"/>
      <c r="GI93" s="242"/>
      <c r="GJ93" s="242"/>
      <c r="GK93" s="242"/>
      <c r="GL93" s="242"/>
      <c r="GM93" s="242"/>
      <c r="GN93" s="242"/>
      <c r="GO93" s="242"/>
      <c r="GP93" s="242"/>
      <c r="GQ93" s="242"/>
      <c r="GR93" s="242"/>
      <c r="GS93" s="242"/>
      <c r="GT93" s="242"/>
      <c r="GU93" s="242"/>
      <c r="GV93" s="242"/>
      <c r="GW93" s="242"/>
      <c r="GX93" s="242"/>
      <c r="GY93" s="242"/>
      <c r="GZ93" s="242"/>
      <c r="HA93" s="242"/>
      <c r="HB93" s="242"/>
      <c r="HC93" s="242"/>
      <c r="HD93" s="242"/>
      <c r="HE93" s="242"/>
      <c r="HF93" s="242"/>
      <c r="HG93" s="242"/>
      <c r="HH93" s="242"/>
      <c r="HI93" s="242"/>
      <c r="HJ93" s="242"/>
      <c r="HK93" s="242"/>
      <c r="HL93" s="242"/>
      <c r="HM93" s="242"/>
      <c r="HN93" s="242"/>
      <c r="HO93" s="242"/>
      <c r="HP93" s="242"/>
      <c r="HQ93" s="242"/>
      <c r="HR93" s="242"/>
      <c r="HS93" s="242"/>
      <c r="HT93" s="242"/>
      <c r="HU93" s="242"/>
      <c r="HV93" s="242"/>
      <c r="HW93" s="242"/>
      <c r="HX93" s="242"/>
      <c r="HY93" s="242"/>
      <c r="HZ93" s="242"/>
      <c r="IA93" s="242"/>
      <c r="IB93" s="242"/>
      <c r="IC93" s="242"/>
      <c r="ID93" s="242"/>
      <c r="IE93" s="242"/>
      <c r="IF93" s="242"/>
      <c r="IG93" s="242"/>
      <c r="IH93" s="242"/>
      <c r="II93" s="242"/>
    </row>
    <row r="94" spans="8:243" ht="13.8" thickBot="1">
      <c r="H94" s="49" t="e">
        <f t="shared" ca="1" si="317"/>
        <v>#N/A</v>
      </c>
      <c r="I94" s="369">
        <f t="shared" si="318"/>
        <v>39264</v>
      </c>
      <c r="J94" s="367">
        <v>21.66</v>
      </c>
      <c r="K94" s="101" t="s">
        <v>268</v>
      </c>
      <c r="L94" s="382">
        <f t="shared" si="319"/>
        <v>21.66</v>
      </c>
      <c r="M94" s="163">
        <v>0.18304999999999999</v>
      </c>
      <c r="N94" s="372">
        <v>0</v>
      </c>
      <c r="O94" s="163">
        <f t="shared" si="272"/>
        <v>0.18304999999999999</v>
      </c>
      <c r="P94" s="367">
        <v>20.412828588157698</v>
      </c>
      <c r="Q94" s="101" t="s">
        <v>267</v>
      </c>
      <c r="R94" s="367">
        <f t="shared" ca="1" si="417"/>
        <v>20.412828588157655</v>
      </c>
      <c r="S94" s="814">
        <f t="shared" si="163"/>
        <v>0.3640070728285712</v>
      </c>
      <c r="T94" s="813">
        <f t="shared" si="418"/>
        <v>0.99996790864282292</v>
      </c>
      <c r="U94" s="532">
        <f t="shared" si="419"/>
        <v>0.99999999999147637</v>
      </c>
      <c r="V94" s="379">
        <v>0</v>
      </c>
      <c r="W94" s="424">
        <f t="shared" si="273"/>
        <v>21.66</v>
      </c>
      <c r="X94" s="405">
        <f t="shared" si="274"/>
        <v>21.66</v>
      </c>
      <c r="Y94" s="313">
        <f t="shared" si="275"/>
        <v>20.3416</v>
      </c>
      <c r="Z94" s="313">
        <f t="shared" ca="1" si="276"/>
        <v>20.3416</v>
      </c>
      <c r="AA94" s="419">
        <f t="shared" si="277"/>
        <v>1.3184</v>
      </c>
      <c r="AB94" s="423">
        <f t="shared" ca="1" si="278"/>
        <v>1.3184</v>
      </c>
      <c r="AC94" s="221">
        <v>39253</v>
      </c>
      <c r="AD94" s="221">
        <v>39249</v>
      </c>
      <c r="AE94" s="221">
        <v>39248</v>
      </c>
      <c r="AF94" s="221">
        <v>39244</v>
      </c>
      <c r="AG94" s="241" t="s">
        <v>90</v>
      </c>
      <c r="AH94" s="239" t="s">
        <v>497</v>
      </c>
      <c r="AI94" s="141">
        <v>21</v>
      </c>
      <c r="AJ94" s="41">
        <v>14</v>
      </c>
      <c r="AK94" s="41">
        <v>7</v>
      </c>
      <c r="AL94" s="285">
        <v>22</v>
      </c>
      <c r="AM94" s="41">
        <v>10</v>
      </c>
      <c r="AN94" s="142">
        <v>12</v>
      </c>
      <c r="AO94" s="364">
        <v>5.5476369291079103E-2</v>
      </c>
      <c r="AP94" s="145">
        <f t="shared" ca="1" si="320"/>
        <v>0.70809296197695992</v>
      </c>
      <c r="AQ94" s="364">
        <v>4.7962383334601497E-2</v>
      </c>
      <c r="AR94" s="145">
        <f t="shared" ca="1" si="420"/>
        <v>0.74591995731985827</v>
      </c>
      <c r="AS94" s="264">
        <f t="shared" si="279"/>
        <v>0.18218333333333334</v>
      </c>
      <c r="AT94" s="149">
        <f t="shared" si="321"/>
        <v>0.18304999999999999</v>
      </c>
      <c r="AU94" s="149">
        <f t="shared" si="280"/>
        <v>0.18201363636363635</v>
      </c>
      <c r="AV94" s="263">
        <f t="shared" ca="1" si="430"/>
        <v>0.17924820650724943</v>
      </c>
      <c r="AW94" s="150" t="str">
        <f t="shared" ca="1" si="281"/>
        <v/>
      </c>
      <c r="AX94" s="149">
        <f t="shared" ca="1" si="421"/>
        <v>2.2943691636826562E-2</v>
      </c>
      <c r="AY94" s="149">
        <f t="shared" ca="1" si="422"/>
        <v>1.0806739439631181E-2</v>
      </c>
      <c r="AZ94" s="149">
        <f t="shared" ca="1" si="423"/>
        <v>6.4745281616719269E-3</v>
      </c>
      <c r="BA94" s="149">
        <f t="shared" ca="1" si="424"/>
        <v>1.0000000000000247E-4</v>
      </c>
      <c r="BB94" s="149">
        <f t="shared" ca="1" si="425"/>
        <v>1.0000000000000247E-4</v>
      </c>
      <c r="BC94" s="149">
        <f t="shared" ca="1" si="426"/>
        <v>1.0000000000000247E-4</v>
      </c>
      <c r="BD94" s="143">
        <f t="shared" ca="1" si="282"/>
        <v>0</v>
      </c>
      <c r="BE94" s="144">
        <f t="shared" ca="1" si="283"/>
        <v>0</v>
      </c>
      <c r="BF94" s="40">
        <f t="shared" si="284"/>
        <v>2007</v>
      </c>
      <c r="BG94" s="139">
        <f t="shared" si="285"/>
        <v>7</v>
      </c>
      <c r="BH94" s="140">
        <f t="shared" ca="1" si="286"/>
        <v>2259</v>
      </c>
      <c r="BI94" s="304">
        <f t="shared" ca="1" si="287"/>
        <v>6.2258726899383987</v>
      </c>
      <c r="BJ94" s="42">
        <f t="shared" ca="1" si="288"/>
        <v>6.280629705681041</v>
      </c>
      <c r="BK94" s="42">
        <f t="shared" ca="1" si="289"/>
        <v>6.283367556468173</v>
      </c>
      <c r="BL94" s="42">
        <f t="shared" ca="1" si="290"/>
        <v>6.3080082135523616</v>
      </c>
      <c r="BM94" s="285">
        <f t="shared" si="322"/>
        <v>21</v>
      </c>
      <c r="BN94" s="41">
        <f t="shared" si="291"/>
        <v>14</v>
      </c>
      <c r="BO94" s="41">
        <f t="shared" si="292"/>
        <v>7</v>
      </c>
      <c r="BP94" s="297" t="str">
        <f t="shared" ca="1" si="293"/>
        <v/>
      </c>
      <c r="BQ94" s="297" t="str">
        <f t="shared" ca="1" si="294"/>
        <v/>
      </c>
      <c r="BR94" s="299" t="str">
        <f t="shared" ca="1" si="295"/>
        <v/>
      </c>
      <c r="BS94" s="153" t="str">
        <f t="shared" ca="1" si="296"/>
        <v/>
      </c>
      <c r="BT94" s="153" t="str">
        <f t="shared" ca="1" si="297"/>
        <v/>
      </c>
      <c r="BU94" s="300" t="str">
        <f t="shared" ca="1" si="298"/>
        <v/>
      </c>
      <c r="BV94" s="301" t="str">
        <f t="shared" ca="1" si="299"/>
        <v/>
      </c>
      <c r="BW94" s="300" t="str">
        <f t="shared" ca="1" si="300"/>
        <v/>
      </c>
      <c r="BX94" s="301" t="str">
        <f t="shared" ca="1" si="301"/>
        <v/>
      </c>
      <c r="BY94" s="146" t="str">
        <f t="shared" ca="1" si="302"/>
        <v/>
      </c>
      <c r="BZ94" s="146" t="str">
        <f t="shared" ca="1" si="303"/>
        <v/>
      </c>
      <c r="CA94" s="146" t="str">
        <f t="shared" ca="1" si="304"/>
        <v/>
      </c>
      <c r="CB94" s="146" t="str">
        <f t="shared" ca="1" si="305"/>
        <v/>
      </c>
      <c r="CC94" s="302">
        <v>1</v>
      </c>
      <c r="CD94" s="154">
        <f ca="1">IF(BD94,_xll.xCrudeAPO(BS94,BT94,BY94,BZ94,S95,S96,BI94,BL94,BN94,BO94,0,Strike1,AO94,CC94,0,BL94,IF(OptControl=4,0,1),0,1),0)</f>
        <v>0</v>
      </c>
      <c r="CE94" s="155">
        <f ca="1">IF(BD94,_xll.xCrudeAPO(BS94,BT94,BY94,BZ94,S95,S96,BI94,BL94,BN94,BO94,0,Strike1,AO94,CC94,0,BL94,IF(OptControl=4,0,1),1,1)+_xll.xCrudeAPO(BS94,BT94,BY94,BZ94,S95,S96,BI94,BL94,BN94,BO94,0,Strike1,AO94,CC94,0,BL94,IF(OptControl=4,0,1),1,2)+IF(OR(VolSkewFlag=2,ABS(BQ94)&lt;0.0001),0,IF(BQ94&gt;0,-1,1)*CF94*Strike1/BP94^2*BW94/10%),0)</f>
        <v>0</v>
      </c>
      <c r="CF94" s="155">
        <f ca="1">IF(BD94,(_xll.xCrudeAPO(BS94,BT94,BY94,BZ94,S95,S96,BI94,BL94,BN94,BO94,0,Strike1,AO94,CC94,0,BL94,IF(OptControl=4,0,1),3,1)+_xll.xCrudeAPO(BS94,BT94,BY94,BZ94,S95,S96,BI94,BL94,BN94,BO94,0,Strike1,AO94,CC94,0,BL94,IF(OptControl=4,0,1),3,2))/100,0)</f>
        <v>0</v>
      </c>
      <c r="CG94" s="155">
        <f ca="1">IF(BD94,_xll.xCrudeAPO(BS94,BT94,BY94,BZ94,S95,S96,BI94-DaysForThetaCalculation/365.25,BL94-DaysForThetaCalculation/365.25,BN94,BO94,0,Strike1,AO94,CC94,0,BL94,IF(OptControl=4,0,1),0,1)-_xll.xCrudeAPO(BS94,BT94,BY94,BZ94,S95,S96,BI94,BL94,BN94,BO94,0,Strike1,AO94,CC94,0,BL94,IF(OptControl=4,0,1),0,1),0)</f>
        <v>0</v>
      </c>
      <c r="CH94" s="303">
        <f ca="1">IF(BD94,_xll.xCrudeAPO(BS94,BT94,CA94,CB94,S95,S96,BI94,BL94,BN94,BO94,0,Strike2,AO94,CC94,0,BL94,IF(OptControl=3,1,0),0,1),0)</f>
        <v>0</v>
      </c>
      <c r="CI94" s="155">
        <f ca="1">IF(BD94,_xll.xCrudeAPO(BS94,BT94,CA94,CB94,S95,S96,BI94,BL94,BN94,BO94,0,Strike2,AO94,CC94,0,BL94,IF(OptControl=3,1,0),1,1)+_xll.xCrudeAPO(BS94,BT94,CA94,CB94,S95,S96,BI94,BL94,BN94,BO94,0,Strike2,AO94,CC94,0,BL94,IF(OptControl=3,1,0),1,2)+IF(OR(VolSkewFlag=2,ABS(BR94)&lt;0.0001),0,IF(BR94&gt;0,-1,1)*CJ94*Strike2/BP94^2*BX94/10%),0)</f>
        <v>0</v>
      </c>
      <c r="CJ94" s="155">
        <f ca="1">IF(BD94,(_xll.xCrudeAPO(BS94,BT94,CA94,CB94,S95,S96,BI94,BL94,BN94,BO94,0,Strike2,AO94,CC94,0,BL94,IF(OptControl=3,1,0),3,1)+_xll.xCrudeAPO(BS94,BT94,CA94,CB94,S95,S96,BI94,BL94,BN94,BO94,0,Strike2,AO94,CC94,0,BL94,IF(OptControl=3,1,0),3,2))/100,0)</f>
        <v>0</v>
      </c>
      <c r="CK94" s="156">
        <f ca="1">IF(BD94,_xll.xCrudeAPO(BS94,BT94,CA94,CB94,S95,S96,BI94-DaysForThetaCalculation/365.25,BL94-DaysForThetaCalculation/365.25,BN94,BO94,0,Strike2,AO94,CC94,0,BL94,IF(OptControl=3,1,0),0,1)-_xll.xCrudeAPO(BS94,BT94,CA94,CB94,S95,S96,BI94,BL94,BN94,BO94,0,Strike2,AO94,CC94,0,BL94,IF(OptControl=3,1,0),0,1),0)</f>
        <v>0</v>
      </c>
      <c r="CL94" s="51"/>
      <c r="CM94" s="779" t="str">
        <f t="shared" ca="1" si="323"/>
        <v/>
      </c>
      <c r="CN94" s="783" t="str">
        <f t="shared" ca="1" si="324"/>
        <v/>
      </c>
      <c r="CO94" s="780" t="str">
        <f t="shared" ca="1" si="325"/>
        <v/>
      </c>
      <c r="CP94" s="780" t="str">
        <f t="shared" ca="1" si="326"/>
        <v/>
      </c>
      <c r="CQ94" s="780" t="str">
        <f t="shared" ca="1" si="327"/>
        <v/>
      </c>
      <c r="CR94" s="780" t="str">
        <f t="shared" ca="1" si="328"/>
        <v/>
      </c>
      <c r="CS94" s="781" t="str">
        <f t="shared" ca="1" si="329"/>
        <v/>
      </c>
      <c r="CT94" s="782" t="str">
        <f t="shared" ca="1" si="330"/>
        <v/>
      </c>
      <c r="CU94" s="782" t="str">
        <f t="shared" ca="1" si="331"/>
        <v/>
      </c>
      <c r="CV94" s="155">
        <f ca="1">IF(BD94,_xll.EURO(CN94,Strike1,AO94,AO94,CT94,CM94,IF(OptControl=4,0,1),0),0)</f>
        <v>0</v>
      </c>
      <c r="CW94" s="155">
        <f ca="1">IF(BD94,_xll.EURO(CN94,Strike1,AO94,AO94,CT94,CM94,IF(OptControl=4,0,1),1)+IF(OR(VolSkewFlag=2,ABS(CO94)&lt;0.0001),0,IF(CO94&gt;0,-1,1)*CX94*100*Strike1/CN94^2*CQ94/10%),0)</f>
        <v>0</v>
      </c>
      <c r="CX94" s="155">
        <f ca="1">IF(BD94,_xll.EURO(CN94,Strike1,AO94,AO94,CT94,CM94,IF(OptControl=4,0,1),3)/100,0)</f>
        <v>0</v>
      </c>
      <c r="CY94" s="155">
        <f ca="1">IF(BD94,_xll.EURO(CN94,Strike1,AO94,AO94,CT94,CM94,IF(OptControl=4,0,1),0)-_xll.EURO(CN94,Strike1,AO94,AO94,CT94,CM94-1,IF(OptControl=4,0,1),0),0)</f>
        <v>0</v>
      </c>
      <c r="CZ94" s="155">
        <f ca="1">IF(BD94,_xll.EURO(CN94,Strike2,AO94,AO94,CU94,CM94,IF(OptControl=3,1,0),0),0)</f>
        <v>0</v>
      </c>
      <c r="DA94" s="155">
        <f ca="1">IF(BD94,_xll.EURO(CN94,Strike2,AO94,AO94,CU94,CM94,IF(OptControl=3,1,0),1)+IF(OR(VolSkewFlag=2,ABS(CP94)&lt;0.0001),0,IF(CP94&gt;0,-1,1)*DB94*100*Strike2/CN94^2*CR94/10%),0)</f>
        <v>0</v>
      </c>
      <c r="DB94" s="155">
        <f ca="1">IF(BD94,_xll.EURO(CN94,Strike2,AO94,AO94,CU94,CM94,IF(OptControl=3,1,0),3)/100,0)</f>
        <v>0</v>
      </c>
      <c r="DC94" s="156">
        <f ca="1">IF(BD94,_xll.EURO(CN94,Strike2,AO94,AO94,CU94,CM94,IF(OptControl=3,1,0),0)-_xll.EURO(CN94,Strike2,AO94,AO94,CU94,CM94-1,IF(OptControl=3,1,0),0),0)</f>
        <v>0</v>
      </c>
      <c r="DE94" s="651">
        <f t="shared" ca="1" si="332"/>
        <v>39173</v>
      </c>
      <c r="DF94" s="465">
        <v>1E-4</v>
      </c>
      <c r="DG94" s="649">
        <v>1E-4</v>
      </c>
      <c r="DH94" s="650">
        <f t="shared" ca="1" si="306"/>
        <v>39173</v>
      </c>
      <c r="DI94" s="465">
        <v>1E-4</v>
      </c>
      <c r="DJ94" s="649">
        <v>1E-4</v>
      </c>
      <c r="DK94" s="651">
        <f t="shared" ca="1" si="307"/>
        <v>39173</v>
      </c>
      <c r="DL94" s="652">
        <f t="shared" si="308"/>
        <v>5.0100000000000006E-2</v>
      </c>
      <c r="DM94" s="651">
        <f t="shared" ca="1" si="333"/>
        <v>39173</v>
      </c>
      <c r="DN94" s="563">
        <f t="shared" si="334"/>
        <v>-0.12990000000000002</v>
      </c>
      <c r="DO94" s="803">
        <v>-0.13</v>
      </c>
      <c r="DP94" s="650">
        <f t="shared" ca="1" si="309"/>
        <v>39173</v>
      </c>
      <c r="DQ94" s="653">
        <v>1E-4</v>
      </c>
      <c r="DR94" s="590">
        <v>1E-4</v>
      </c>
      <c r="DS94" s="650">
        <f t="shared" ca="1" si="310"/>
        <v>39173</v>
      </c>
      <c r="DT94" s="653">
        <v>1E-4</v>
      </c>
      <c r="DU94" s="590">
        <v>1E-4</v>
      </c>
      <c r="DV94" s="651">
        <f t="shared" ca="1" si="311"/>
        <v>39173</v>
      </c>
      <c r="DW94" s="590">
        <v>1E-4</v>
      </c>
      <c r="DX94" s="651">
        <f t="shared" ca="1" si="335"/>
        <v>39173</v>
      </c>
      <c r="DY94" s="590">
        <f t="shared" si="336"/>
        <v>1E-4</v>
      </c>
      <c r="DZ94" s="1"/>
      <c r="EA94" s="864" t="e">
        <f ca="1">_xll.ASN(X94,X94,AO94,AS94,0,AI94,0,BI94,BL94,1,0)</f>
        <v>#NAME?</v>
      </c>
      <c r="EB94" s="865" t="e">
        <f ca="1">_xll.ASN(X94,X94,AO94,AS94,0,AI94,0,BI94,BL94,1,3)/100</f>
        <v>#NAME?</v>
      </c>
      <c r="EC94" s="865" t="e">
        <f ca="1">_xll.xCrudeAPO(L95,L96,O95,O96,S95,S96,BI94,BL94,AJ94,AK94,0,X94,AO94,1,0,+BL94,1,0,1)</f>
        <v>#NAME?</v>
      </c>
      <c r="ED94" s="876" t="e">
        <f t="shared" ca="1" si="431"/>
        <v>#NAME?</v>
      </c>
      <c r="EE94" s="877" t="e">
        <f t="shared" ca="1" si="312"/>
        <v>#NAME?</v>
      </c>
      <c r="EF94" s="878" t="e">
        <f t="shared" ca="1" si="313"/>
        <v>#NAME?</v>
      </c>
      <c r="EG94" s="862" t="str">
        <f t="shared" ca="1" si="314"/>
        <v/>
      </c>
      <c r="EH94" s="114" t="str">
        <f t="shared" ca="1" si="315"/>
        <v/>
      </c>
      <c r="EI94" s="109" t="str">
        <f t="shared" ca="1" si="316"/>
        <v/>
      </c>
      <c r="EJ94" s="115">
        <f ca="1">IF(BD94,_xll.xASN(BP94,Strike1,AO94,EH94,0,BM94,0,BI94,BL94,IF(OptControl=4,0,1),0),0)</f>
        <v>0</v>
      </c>
      <c r="EK94" s="108">
        <f ca="1">IF(BD94,_xll.xASN(BP94,Strike2,AO94,EI94,0,BM94,0,BI94,BL94,IF(OptControl=3,1,0),0),0)</f>
        <v>0</v>
      </c>
      <c r="EP94" s="53"/>
      <c r="EQ94" s="1"/>
      <c r="ER94" s="681">
        <v>44746</v>
      </c>
      <c r="ES94" s="682">
        <v>50041</v>
      </c>
      <c r="ET94" s="1"/>
      <c r="EU94" s="667" t="s">
        <v>306</v>
      </c>
      <c r="EW94" s="445"/>
      <c r="EX94" s="36"/>
      <c r="EY94" s="104"/>
      <c r="EZ94" s="465"/>
      <c r="FA94" s="446"/>
      <c r="FB94" s="446"/>
      <c r="FC94" s="242"/>
      <c r="FD94" s="242"/>
      <c r="FE94" s="242"/>
      <c r="FF94" s="242"/>
      <c r="FG94" s="242"/>
      <c r="FH94" s="242"/>
      <c r="FI94" s="242"/>
      <c r="FJ94" s="242"/>
      <c r="FK94" s="242"/>
      <c r="FL94" s="242"/>
      <c r="FM94" s="242"/>
      <c r="FN94" s="654"/>
      <c r="FO94" s="655">
        <v>1</v>
      </c>
      <c r="FP94" s="655">
        <v>2</v>
      </c>
      <c r="FQ94" s="655">
        <v>3</v>
      </c>
      <c r="FR94" s="655">
        <v>4</v>
      </c>
      <c r="FS94" s="655">
        <v>5</v>
      </c>
      <c r="FT94" s="655">
        <v>6</v>
      </c>
      <c r="FU94" s="655">
        <v>7</v>
      </c>
      <c r="FV94" s="655">
        <v>8</v>
      </c>
      <c r="FW94" s="655">
        <v>9</v>
      </c>
      <c r="FX94" s="655">
        <v>10</v>
      </c>
      <c r="FY94" s="655">
        <v>11</v>
      </c>
      <c r="FZ94" s="655">
        <v>12</v>
      </c>
      <c r="GA94" s="655">
        <v>13</v>
      </c>
      <c r="GB94" s="655">
        <v>14</v>
      </c>
      <c r="GC94" s="655">
        <v>15</v>
      </c>
      <c r="GD94" s="655">
        <v>16</v>
      </c>
      <c r="GE94" s="655">
        <v>17</v>
      </c>
      <c r="GF94" s="655">
        <v>18</v>
      </c>
      <c r="GG94" s="655">
        <v>19</v>
      </c>
      <c r="GH94" s="655">
        <v>20</v>
      </c>
      <c r="GI94" s="655">
        <v>21</v>
      </c>
      <c r="GJ94" s="655">
        <v>22</v>
      </c>
      <c r="GK94" s="655">
        <v>23</v>
      </c>
      <c r="GL94" s="655">
        <v>24</v>
      </c>
      <c r="GM94" s="655">
        <v>25</v>
      </c>
      <c r="GN94" s="655">
        <v>26</v>
      </c>
      <c r="GO94" s="655">
        <v>27</v>
      </c>
      <c r="GP94" s="655">
        <v>28</v>
      </c>
      <c r="GQ94" s="655">
        <v>29</v>
      </c>
      <c r="GR94" s="655">
        <v>30</v>
      </c>
      <c r="GS94" s="655">
        <v>31</v>
      </c>
      <c r="GT94" s="655">
        <v>32</v>
      </c>
      <c r="GU94" s="655">
        <v>33</v>
      </c>
      <c r="GV94" s="655">
        <v>34</v>
      </c>
      <c r="GW94" s="655">
        <v>35</v>
      </c>
      <c r="GX94" s="655">
        <v>36</v>
      </c>
      <c r="GY94" s="655">
        <v>37</v>
      </c>
      <c r="GZ94" s="655">
        <v>38</v>
      </c>
      <c r="HA94" s="655">
        <v>39</v>
      </c>
      <c r="HB94" s="655">
        <v>40</v>
      </c>
      <c r="HC94" s="655">
        <v>41</v>
      </c>
      <c r="HD94" s="655">
        <v>42</v>
      </c>
      <c r="HE94" s="655">
        <v>43</v>
      </c>
      <c r="HF94" s="655">
        <v>44</v>
      </c>
      <c r="HG94" s="655">
        <v>45</v>
      </c>
      <c r="HH94" s="655">
        <v>46</v>
      </c>
      <c r="HI94" s="655">
        <v>47</v>
      </c>
      <c r="HJ94" s="655">
        <v>48</v>
      </c>
      <c r="HK94" s="655">
        <v>49</v>
      </c>
      <c r="HL94" s="655">
        <v>50</v>
      </c>
      <c r="HM94" s="655">
        <v>51</v>
      </c>
      <c r="HN94" s="655">
        <v>52</v>
      </c>
      <c r="HO94" s="655">
        <v>53</v>
      </c>
      <c r="HP94" s="655">
        <v>54</v>
      </c>
      <c r="HQ94" s="655">
        <v>55</v>
      </c>
      <c r="HR94" s="655">
        <v>56</v>
      </c>
      <c r="HS94" s="655">
        <v>57</v>
      </c>
      <c r="HT94" s="655">
        <v>58</v>
      </c>
      <c r="HU94" s="655">
        <v>59</v>
      </c>
      <c r="HV94" s="655">
        <v>60</v>
      </c>
      <c r="HW94" s="655">
        <v>61</v>
      </c>
      <c r="HX94" s="655">
        <v>62</v>
      </c>
      <c r="HY94" s="655">
        <v>63</v>
      </c>
      <c r="HZ94" s="655">
        <v>64</v>
      </c>
      <c r="IA94" s="655">
        <v>65</v>
      </c>
      <c r="IB94" s="655">
        <v>66</v>
      </c>
      <c r="IC94" s="655">
        <v>67</v>
      </c>
      <c r="ID94" s="655">
        <v>68</v>
      </c>
      <c r="IE94" s="655">
        <v>69</v>
      </c>
      <c r="IF94" s="655">
        <v>70</v>
      </c>
      <c r="IG94" s="655">
        <v>71</v>
      </c>
      <c r="IH94" s="656">
        <v>72</v>
      </c>
      <c r="II94" s="242"/>
    </row>
    <row r="95" spans="8:243">
      <c r="H95" s="49" t="e">
        <f t="shared" ca="1" si="317"/>
        <v>#N/A</v>
      </c>
      <c r="I95" s="369">
        <f t="shared" si="318"/>
        <v>39295</v>
      </c>
      <c r="J95" s="367">
        <v>21.66</v>
      </c>
      <c r="K95" s="101" t="s">
        <v>268</v>
      </c>
      <c r="L95" s="382">
        <f t="shared" si="319"/>
        <v>21.66</v>
      </c>
      <c r="M95" s="163">
        <v>0.18245</v>
      </c>
      <c r="N95" s="372">
        <v>0</v>
      </c>
      <c r="O95" s="163">
        <f t="shared" si="272"/>
        <v>0.18245</v>
      </c>
      <c r="P95" s="367">
        <v>20.227974010765799</v>
      </c>
      <c r="Q95" s="101" t="s">
        <v>267</v>
      </c>
      <c r="R95" s="367">
        <f t="shared" ca="1" si="417"/>
        <v>20.227974010765767</v>
      </c>
      <c r="S95" s="814">
        <f t="shared" si="163"/>
        <v>0.36376700210028551</v>
      </c>
      <c r="T95" s="813">
        <f t="shared" si="418"/>
        <v>0.99997111782552472</v>
      </c>
      <c r="U95" s="532">
        <f t="shared" si="419"/>
        <v>0.99999999999360734</v>
      </c>
      <c r="V95" s="379">
        <v>0</v>
      </c>
      <c r="W95" s="424">
        <f t="shared" si="273"/>
        <v>21.66</v>
      </c>
      <c r="X95" s="405">
        <f t="shared" si="274"/>
        <v>21.66</v>
      </c>
      <c r="Y95" s="313">
        <f t="shared" si="275"/>
        <v>20.3416</v>
      </c>
      <c r="Z95" s="313">
        <f t="shared" ca="1" si="276"/>
        <v>20.3416</v>
      </c>
      <c r="AA95" s="419">
        <f t="shared" si="277"/>
        <v>1.3184</v>
      </c>
      <c r="AB95" s="423">
        <f t="shared" ca="1" si="278"/>
        <v>1.3184</v>
      </c>
      <c r="AC95" s="221">
        <v>39283</v>
      </c>
      <c r="AD95" s="221">
        <v>39279</v>
      </c>
      <c r="AE95" s="221">
        <v>39278</v>
      </c>
      <c r="AF95" s="221">
        <v>39274</v>
      </c>
      <c r="AG95" s="241" t="s">
        <v>90</v>
      </c>
      <c r="AH95" s="239" t="s">
        <v>497</v>
      </c>
      <c r="AI95" s="141">
        <v>23</v>
      </c>
      <c r="AJ95" s="41">
        <v>14</v>
      </c>
      <c r="AK95" s="41">
        <v>9</v>
      </c>
      <c r="AL95" s="285">
        <v>23</v>
      </c>
      <c r="AM95" s="41">
        <v>10</v>
      </c>
      <c r="AN95" s="142">
        <v>13</v>
      </c>
      <c r="AO95" s="364">
        <v>5.5593893198824199E-2</v>
      </c>
      <c r="AP95" s="145">
        <f t="shared" ca="1" si="320"/>
        <v>0.70429691532001526</v>
      </c>
      <c r="AQ95" s="364">
        <v>4.8111169635041598E-2</v>
      </c>
      <c r="AR95" s="145">
        <f t="shared" ca="1" si="420"/>
        <v>0.74234553298616313</v>
      </c>
      <c r="AS95" s="264">
        <f t="shared" si="279"/>
        <v>0.18133695652173912</v>
      </c>
      <c r="AT95" s="149">
        <f t="shared" si="321"/>
        <v>0.18245</v>
      </c>
      <c r="AU95" s="149">
        <f t="shared" si="280"/>
        <v>0.1811978260869565</v>
      </c>
      <c r="AV95" s="263">
        <f t="shared" ca="1" si="430"/>
        <v>0.17880925902941294</v>
      </c>
      <c r="AW95" s="150" t="str">
        <f t="shared" ca="1" si="281"/>
        <v/>
      </c>
      <c r="AX95" s="149">
        <f t="shared" ca="1" si="421"/>
        <v>2.2621373752922141E-2</v>
      </c>
      <c r="AY95" s="149">
        <f t="shared" ca="1" si="422"/>
        <v>1.0620800102035973E-2</v>
      </c>
      <c r="AZ95" s="149">
        <f t="shared" ca="1" si="423"/>
        <v>6.3973653198046094E-3</v>
      </c>
      <c r="BA95" s="149">
        <f t="shared" ca="1" si="424"/>
        <v>1.0000000000000251E-4</v>
      </c>
      <c r="BB95" s="149">
        <f t="shared" ca="1" si="425"/>
        <v>1.0000000000000251E-4</v>
      </c>
      <c r="BC95" s="149">
        <f t="shared" ca="1" si="426"/>
        <v>1.0000000000000251E-4</v>
      </c>
      <c r="BD95" s="143">
        <f t="shared" ca="1" si="282"/>
        <v>0</v>
      </c>
      <c r="BE95" s="144">
        <f t="shared" ca="1" si="283"/>
        <v>0</v>
      </c>
      <c r="BF95" s="40">
        <f t="shared" si="284"/>
        <v>2007</v>
      </c>
      <c r="BG95" s="139">
        <f t="shared" si="285"/>
        <v>8</v>
      </c>
      <c r="BH95" s="140">
        <f t="shared" ca="1" si="286"/>
        <v>2289</v>
      </c>
      <c r="BI95" s="304">
        <f t="shared" ca="1" si="287"/>
        <v>6.3107460643394937</v>
      </c>
      <c r="BJ95" s="42">
        <f t="shared" ca="1" si="288"/>
        <v>6.3607416004523403</v>
      </c>
      <c r="BK95" s="42">
        <f t="shared" ca="1" si="289"/>
        <v>6.3634794512394723</v>
      </c>
      <c r="BL95" s="42">
        <f t="shared" ca="1" si="290"/>
        <v>6.3928815879534566</v>
      </c>
      <c r="BM95" s="285">
        <f t="shared" si="322"/>
        <v>23</v>
      </c>
      <c r="BN95" s="41">
        <f t="shared" si="291"/>
        <v>14</v>
      </c>
      <c r="BO95" s="41">
        <f t="shared" si="292"/>
        <v>9</v>
      </c>
      <c r="BP95" s="297" t="str">
        <f t="shared" ca="1" si="293"/>
        <v/>
      </c>
      <c r="BQ95" s="297" t="str">
        <f t="shared" ca="1" si="294"/>
        <v/>
      </c>
      <c r="BR95" s="299" t="str">
        <f t="shared" ca="1" si="295"/>
        <v/>
      </c>
      <c r="BS95" s="153" t="str">
        <f t="shared" ca="1" si="296"/>
        <v/>
      </c>
      <c r="BT95" s="153" t="str">
        <f t="shared" ca="1" si="297"/>
        <v/>
      </c>
      <c r="BU95" s="300" t="str">
        <f t="shared" ca="1" si="298"/>
        <v/>
      </c>
      <c r="BV95" s="301" t="str">
        <f t="shared" ca="1" si="299"/>
        <v/>
      </c>
      <c r="BW95" s="300" t="str">
        <f t="shared" ca="1" si="300"/>
        <v/>
      </c>
      <c r="BX95" s="301" t="str">
        <f t="shared" ca="1" si="301"/>
        <v/>
      </c>
      <c r="BY95" s="146" t="str">
        <f t="shared" ca="1" si="302"/>
        <v/>
      </c>
      <c r="BZ95" s="146" t="str">
        <f t="shared" ca="1" si="303"/>
        <v/>
      </c>
      <c r="CA95" s="146" t="str">
        <f t="shared" ca="1" si="304"/>
        <v/>
      </c>
      <c r="CB95" s="146" t="str">
        <f t="shared" ca="1" si="305"/>
        <v/>
      </c>
      <c r="CC95" s="302">
        <v>1</v>
      </c>
      <c r="CD95" s="154">
        <f ca="1">IF(BD95,_xll.xCrudeAPO(BS95,BT95,BY95,BZ95,S96,S97,BI95,BL95,BN95,BO95,0,Strike1,AO95,CC95,0,BL95,IF(OptControl=4,0,1),0,1),0)</f>
        <v>0</v>
      </c>
      <c r="CE95" s="155">
        <f ca="1">IF(BD95,_xll.xCrudeAPO(BS95,BT95,BY95,BZ95,S96,S97,BI95,BL95,BN95,BO95,0,Strike1,AO95,CC95,0,BL95,IF(OptControl=4,0,1),1,1)+_xll.xCrudeAPO(BS95,BT95,BY95,BZ95,S96,S97,BI95,BL95,BN95,BO95,0,Strike1,AO95,CC95,0,BL95,IF(OptControl=4,0,1),1,2)+IF(OR(VolSkewFlag=2,ABS(BQ95)&lt;0.0001),0,IF(BQ95&gt;0,-1,1)*CF95*Strike1/BP95^2*BW95/10%),0)</f>
        <v>0</v>
      </c>
      <c r="CF95" s="155">
        <f ca="1">IF(BD95,(_xll.xCrudeAPO(BS95,BT95,BY95,BZ95,S96,S97,BI95,BL95,BN95,BO95,0,Strike1,AO95,CC95,0,BL95,IF(OptControl=4,0,1),3,1)+_xll.xCrudeAPO(BS95,BT95,BY95,BZ95,S96,S97,BI95,BL95,BN95,BO95,0,Strike1,AO95,CC95,0,BL95,IF(OptControl=4,0,1),3,2))/100,0)</f>
        <v>0</v>
      </c>
      <c r="CG95" s="155">
        <f ca="1">IF(BD95,_xll.xCrudeAPO(BS95,BT95,BY95,BZ95,S96,S97,BI95-DaysForThetaCalculation/365.25,BL95-DaysForThetaCalculation/365.25,BN95,BO95,0,Strike1,AO95,CC95,0,BL95,IF(OptControl=4,0,1),0,1)-_xll.xCrudeAPO(BS95,BT95,BY95,BZ95,S96,S97,BI95,BL95,BN95,BO95,0,Strike1,AO95,CC95,0,BL95,IF(OptControl=4,0,1),0,1),0)</f>
        <v>0</v>
      </c>
      <c r="CH95" s="303">
        <f ca="1">IF(BD95,_xll.xCrudeAPO(BS95,BT95,CA95,CB95,S96,S97,BI95,BL95,BN95,BO95,0,Strike2,AO95,CC95,0,BL95,IF(OptControl=3,1,0),0,1),0)</f>
        <v>0</v>
      </c>
      <c r="CI95" s="155">
        <f ca="1">IF(BD95,_xll.xCrudeAPO(BS95,BT95,CA95,CB95,S96,S97,BI95,BL95,BN95,BO95,0,Strike2,AO95,CC95,0,BL95,IF(OptControl=3,1,0),1,1)+_xll.xCrudeAPO(BS95,BT95,CA95,CB95,S96,S97,BI95,BL95,BN95,BO95,0,Strike2,AO95,CC95,0,BL95,IF(OptControl=3,1,0),1,2)+IF(OR(VolSkewFlag=2,ABS(BR95)&lt;0.0001),0,IF(BR95&gt;0,-1,1)*CJ95*Strike2/BP95^2*BX95/10%),0)</f>
        <v>0</v>
      </c>
      <c r="CJ95" s="155">
        <f ca="1">IF(BD95,(_xll.xCrudeAPO(BS95,BT95,CA95,CB95,S96,S97,BI95,BL95,BN95,BO95,0,Strike2,AO95,CC95,0,BL95,IF(OptControl=3,1,0),3,1)+_xll.xCrudeAPO(BS95,BT95,CA95,CB95,S96,S97,BI95,BL95,BN95,BO95,0,Strike2,AO95,CC95,0,BL95,IF(OptControl=3,1,0),3,2))/100,0)</f>
        <v>0</v>
      </c>
      <c r="CK95" s="156">
        <f ca="1">IF(BD95,_xll.xCrudeAPO(BS95,BT95,CA95,CB95,S96,S97,BI95-DaysForThetaCalculation/365.25,BL95-DaysForThetaCalculation/365.25,BN95,BO95,0,Strike2,AO95,CC95,0,BL95,IF(OptControl=3,1,0),0,1)-_xll.xCrudeAPO(BS95,BT95,CA95,CB95,S96,S97,BI95,BL95,BN95,BO95,0,Strike2,AO95,CC95,0,BL95,IF(OptControl=3,1,0),0,1),0)</f>
        <v>0</v>
      </c>
      <c r="CL95" s="51"/>
      <c r="CM95" s="779" t="str">
        <f t="shared" ca="1" si="323"/>
        <v/>
      </c>
      <c r="CN95" s="783" t="str">
        <f t="shared" ca="1" si="324"/>
        <v/>
      </c>
      <c r="CO95" s="780" t="str">
        <f t="shared" ca="1" si="325"/>
        <v/>
      </c>
      <c r="CP95" s="780" t="str">
        <f t="shared" ca="1" si="326"/>
        <v/>
      </c>
      <c r="CQ95" s="780" t="str">
        <f t="shared" ca="1" si="327"/>
        <v/>
      </c>
      <c r="CR95" s="780" t="str">
        <f t="shared" ca="1" si="328"/>
        <v/>
      </c>
      <c r="CS95" s="781" t="str">
        <f t="shared" ca="1" si="329"/>
        <v/>
      </c>
      <c r="CT95" s="782" t="str">
        <f t="shared" ca="1" si="330"/>
        <v/>
      </c>
      <c r="CU95" s="782" t="str">
        <f t="shared" ca="1" si="331"/>
        <v/>
      </c>
      <c r="CV95" s="155">
        <f ca="1">IF(BD95,_xll.EURO(CN95,Strike1,AO95,AO95,CT95,CM95,IF(OptControl=4,0,1),0),0)</f>
        <v>0</v>
      </c>
      <c r="CW95" s="155">
        <f ca="1">IF(BD95,_xll.EURO(CN95,Strike1,AO95,AO95,CT95,CM95,IF(OptControl=4,0,1),1)+IF(OR(VolSkewFlag=2,ABS(CO95)&lt;0.0001),0,IF(CO95&gt;0,-1,1)*CX95*100*Strike1/CN95^2*CQ95/10%),0)</f>
        <v>0</v>
      </c>
      <c r="CX95" s="155">
        <f ca="1">IF(BD95,_xll.EURO(CN95,Strike1,AO95,AO95,CT95,CM95,IF(OptControl=4,0,1),3)/100,0)</f>
        <v>0</v>
      </c>
      <c r="CY95" s="155">
        <f ca="1">IF(BD95,_xll.EURO(CN95,Strike1,AO95,AO95,CT95,CM95,IF(OptControl=4,0,1),0)-_xll.EURO(CN95,Strike1,AO95,AO95,CT95,CM95-1,IF(OptControl=4,0,1),0),0)</f>
        <v>0</v>
      </c>
      <c r="CZ95" s="155">
        <f ca="1">IF(BD95,_xll.EURO(CN95,Strike2,AO95,AO95,CU95,CM95,IF(OptControl=3,1,0),0),0)</f>
        <v>0</v>
      </c>
      <c r="DA95" s="155">
        <f ca="1">IF(BD95,_xll.EURO(CN95,Strike2,AO95,AO95,CU95,CM95,IF(OptControl=3,1,0),1)+IF(OR(VolSkewFlag=2,ABS(CP95)&lt;0.0001),0,IF(CP95&gt;0,-1,1)*DB95*100*Strike2/CN95^2*CR95/10%),0)</f>
        <v>0</v>
      </c>
      <c r="DB95" s="155">
        <f ca="1">IF(BD95,_xll.EURO(CN95,Strike2,AO95,AO95,CU95,CM95,IF(OptControl=3,1,0),3)/100,0)</f>
        <v>0</v>
      </c>
      <c r="DC95" s="156">
        <f ca="1">IF(BD95,_xll.EURO(CN95,Strike2,AO95,AO95,CU95,CM95,IF(OptControl=3,1,0),0)-_xll.EURO(CN95,Strike2,AO95,AO95,CU95,CM95-1,IF(OptControl=3,1,0),0),0)</f>
        <v>0</v>
      </c>
      <c r="DE95" s="651">
        <f t="shared" ca="1" si="332"/>
        <v>39203</v>
      </c>
      <c r="DF95" s="465">
        <v>1E-4</v>
      </c>
      <c r="DG95" s="649">
        <v>1E-4</v>
      </c>
      <c r="DH95" s="650">
        <f t="shared" ca="1" si="306"/>
        <v>39203</v>
      </c>
      <c r="DI95" s="465">
        <v>1E-4</v>
      </c>
      <c r="DJ95" s="649">
        <v>1E-4</v>
      </c>
      <c r="DK95" s="651">
        <f t="shared" ca="1" si="307"/>
        <v>39203</v>
      </c>
      <c r="DL95" s="652">
        <f t="shared" si="308"/>
        <v>5.0100000000000006E-2</v>
      </c>
      <c r="DM95" s="651">
        <f t="shared" ca="1" si="333"/>
        <v>39203</v>
      </c>
      <c r="DN95" s="563">
        <f t="shared" si="334"/>
        <v>-0.12990000000000002</v>
      </c>
      <c r="DO95" s="803">
        <v>-0.13</v>
      </c>
      <c r="DP95" s="650">
        <f t="shared" ca="1" si="309"/>
        <v>39203</v>
      </c>
      <c r="DQ95" s="653">
        <v>1E-4</v>
      </c>
      <c r="DR95" s="590">
        <v>1E-4</v>
      </c>
      <c r="DS95" s="650">
        <f t="shared" ca="1" si="310"/>
        <v>39203</v>
      </c>
      <c r="DT95" s="653">
        <v>1E-4</v>
      </c>
      <c r="DU95" s="590">
        <v>1E-4</v>
      </c>
      <c r="DV95" s="651">
        <f t="shared" ca="1" si="311"/>
        <v>39203</v>
      </c>
      <c r="DW95" s="590">
        <v>1E-4</v>
      </c>
      <c r="DX95" s="651">
        <f t="shared" ca="1" si="335"/>
        <v>39203</v>
      </c>
      <c r="DY95" s="590">
        <f t="shared" si="336"/>
        <v>1E-4</v>
      </c>
      <c r="DZ95" s="1"/>
      <c r="EA95" s="857"/>
      <c r="EB95" s="857"/>
      <c r="EC95" s="857"/>
      <c r="ED95" s="868" t="e">
        <f ca="1">ED94</f>
        <v>#NAME?</v>
      </c>
      <c r="EE95" s="863" t="e">
        <f t="shared" ca="1" si="312"/>
        <v>#NAME?</v>
      </c>
      <c r="EF95" s="590" t="e">
        <f t="shared" ca="1" si="313"/>
        <v>#NAME?</v>
      </c>
      <c r="EG95" s="862" t="str">
        <f t="shared" ca="1" si="314"/>
        <v/>
      </c>
      <c r="EH95" s="114" t="str">
        <f t="shared" ca="1" si="315"/>
        <v/>
      </c>
      <c r="EI95" s="109" t="str">
        <f t="shared" ca="1" si="316"/>
        <v/>
      </c>
      <c r="EJ95" s="115">
        <f ca="1">IF(BD95,_xll.xASN(BP95,Strike1,AO95,EH95,0,BM95,0,BI95,BL95,IF(OptControl=4,0,1),0),0)</f>
        <v>0</v>
      </c>
      <c r="EK95" s="108">
        <f ca="1">IF(BD95,_xll.xASN(BP95,Strike2,AO95,EI95,0,BM95,0,BI95,BL95,IF(OptControl=3,1,0),0),0)</f>
        <v>0</v>
      </c>
      <c r="EP95" s="53"/>
      <c r="EQ95" s="1"/>
      <c r="ER95" s="681">
        <v>44920</v>
      </c>
      <c r="ES95" s="682">
        <v>50399</v>
      </c>
      <c r="ET95" s="1"/>
      <c r="EU95" s="667" t="s">
        <v>307</v>
      </c>
      <c r="EW95" s="445"/>
      <c r="EX95" s="36"/>
      <c r="EY95" s="104"/>
      <c r="EZ95" s="465"/>
      <c r="FA95" s="446"/>
      <c r="FB95" s="446"/>
      <c r="FC95" s="242"/>
      <c r="FD95" s="242"/>
      <c r="FE95" s="242"/>
      <c r="FF95" s="242"/>
      <c r="FG95" s="242"/>
      <c r="FH95" s="242"/>
      <c r="FI95" s="242"/>
      <c r="FJ95" s="242"/>
      <c r="FK95" s="242"/>
      <c r="FL95" s="242"/>
      <c r="FM95" s="242"/>
      <c r="FN95" s="657">
        <v>1</v>
      </c>
      <c r="FO95" s="450">
        <f t="shared" ref="FO95:FO126" ca="1" si="433">IF($FN20&lt;FO$94,"",SQRT(FO20/FO$15))</f>
        <v>0.39011285015805997</v>
      </c>
      <c r="FP95" s="450" t="str">
        <f t="shared" ref="FP95:IA96" si="434">IF($FN20&lt;FP$94,"",SQRT(FP20/FP$15))</f>
        <v/>
      </c>
      <c r="FQ95" s="450" t="str">
        <f t="shared" si="434"/>
        <v/>
      </c>
      <c r="FR95" s="450" t="str">
        <f t="shared" si="434"/>
        <v/>
      </c>
      <c r="FS95" s="450" t="str">
        <f t="shared" si="434"/>
        <v/>
      </c>
      <c r="FT95" s="450" t="str">
        <f t="shared" si="434"/>
        <v/>
      </c>
      <c r="FU95" s="450" t="str">
        <f t="shared" si="434"/>
        <v/>
      </c>
      <c r="FV95" s="450" t="str">
        <f t="shared" si="434"/>
        <v/>
      </c>
      <c r="FW95" s="450" t="str">
        <f t="shared" si="434"/>
        <v/>
      </c>
      <c r="FX95" s="450" t="str">
        <f t="shared" si="434"/>
        <v/>
      </c>
      <c r="FY95" s="450" t="str">
        <f t="shared" si="434"/>
        <v/>
      </c>
      <c r="FZ95" s="450" t="str">
        <f t="shared" si="434"/>
        <v/>
      </c>
      <c r="GA95" s="450" t="str">
        <f t="shared" si="434"/>
        <v/>
      </c>
      <c r="GB95" s="450" t="str">
        <f t="shared" si="434"/>
        <v/>
      </c>
      <c r="GC95" s="450" t="str">
        <f t="shared" si="434"/>
        <v/>
      </c>
      <c r="GD95" s="450" t="str">
        <f t="shared" si="434"/>
        <v/>
      </c>
      <c r="GE95" s="450" t="str">
        <f t="shared" si="434"/>
        <v/>
      </c>
      <c r="GF95" s="450" t="str">
        <f t="shared" si="434"/>
        <v/>
      </c>
      <c r="GG95" s="450" t="str">
        <f t="shared" si="434"/>
        <v/>
      </c>
      <c r="GH95" s="450" t="str">
        <f t="shared" si="434"/>
        <v/>
      </c>
      <c r="GI95" s="450" t="str">
        <f t="shared" si="434"/>
        <v/>
      </c>
      <c r="GJ95" s="450" t="str">
        <f t="shared" si="434"/>
        <v/>
      </c>
      <c r="GK95" s="450" t="str">
        <f t="shared" si="434"/>
        <v/>
      </c>
      <c r="GL95" s="450" t="str">
        <f t="shared" si="434"/>
        <v/>
      </c>
      <c r="GM95" s="450" t="str">
        <f t="shared" si="434"/>
        <v/>
      </c>
      <c r="GN95" s="450" t="str">
        <f t="shared" si="434"/>
        <v/>
      </c>
      <c r="GO95" s="450" t="str">
        <f t="shared" si="434"/>
        <v/>
      </c>
      <c r="GP95" s="450" t="str">
        <f t="shared" si="434"/>
        <v/>
      </c>
      <c r="GQ95" s="450" t="str">
        <f t="shared" si="434"/>
        <v/>
      </c>
      <c r="GR95" s="450" t="str">
        <f t="shared" si="434"/>
        <v/>
      </c>
      <c r="GS95" s="450" t="str">
        <f t="shared" si="434"/>
        <v/>
      </c>
      <c r="GT95" s="450" t="str">
        <f t="shared" si="434"/>
        <v/>
      </c>
      <c r="GU95" s="450" t="str">
        <f t="shared" si="434"/>
        <v/>
      </c>
      <c r="GV95" s="450" t="str">
        <f t="shared" si="434"/>
        <v/>
      </c>
      <c r="GW95" s="450" t="str">
        <f t="shared" si="434"/>
        <v/>
      </c>
      <c r="GX95" s="450" t="str">
        <f t="shared" si="434"/>
        <v/>
      </c>
      <c r="GY95" s="450" t="str">
        <f t="shared" si="434"/>
        <v/>
      </c>
      <c r="GZ95" s="450" t="str">
        <f t="shared" si="434"/>
        <v/>
      </c>
      <c r="HA95" s="450" t="str">
        <f t="shared" si="434"/>
        <v/>
      </c>
      <c r="HB95" s="450" t="str">
        <f t="shared" si="434"/>
        <v/>
      </c>
      <c r="HC95" s="450" t="str">
        <f t="shared" si="434"/>
        <v/>
      </c>
      <c r="HD95" s="450" t="str">
        <f t="shared" si="434"/>
        <v/>
      </c>
      <c r="HE95" s="450" t="str">
        <f t="shared" si="434"/>
        <v/>
      </c>
      <c r="HF95" s="450" t="str">
        <f t="shared" si="434"/>
        <v/>
      </c>
      <c r="HG95" s="450" t="str">
        <f t="shared" si="434"/>
        <v/>
      </c>
      <c r="HH95" s="450" t="str">
        <f t="shared" si="434"/>
        <v/>
      </c>
      <c r="HI95" s="450" t="str">
        <f t="shared" si="434"/>
        <v/>
      </c>
      <c r="HJ95" s="450" t="str">
        <f t="shared" si="434"/>
        <v/>
      </c>
      <c r="HK95" s="450" t="str">
        <f t="shared" si="434"/>
        <v/>
      </c>
      <c r="HL95" s="450" t="str">
        <f t="shared" si="434"/>
        <v/>
      </c>
      <c r="HM95" s="450" t="str">
        <f t="shared" si="434"/>
        <v/>
      </c>
      <c r="HN95" s="450" t="str">
        <f t="shared" si="434"/>
        <v/>
      </c>
      <c r="HO95" s="450" t="str">
        <f t="shared" si="434"/>
        <v/>
      </c>
      <c r="HP95" s="450" t="str">
        <f t="shared" si="434"/>
        <v/>
      </c>
      <c r="HQ95" s="450" t="str">
        <f t="shared" si="434"/>
        <v/>
      </c>
      <c r="HR95" s="450" t="str">
        <f t="shared" si="434"/>
        <v/>
      </c>
      <c r="HS95" s="450" t="str">
        <f t="shared" si="434"/>
        <v/>
      </c>
      <c r="HT95" s="450" t="str">
        <f t="shared" si="434"/>
        <v/>
      </c>
      <c r="HU95" s="450" t="str">
        <f t="shared" si="434"/>
        <v/>
      </c>
      <c r="HV95" s="450" t="str">
        <f t="shared" si="434"/>
        <v/>
      </c>
      <c r="HW95" s="450" t="str">
        <f t="shared" si="434"/>
        <v/>
      </c>
      <c r="HX95" s="450" t="str">
        <f t="shared" si="434"/>
        <v/>
      </c>
      <c r="HY95" s="450" t="str">
        <f t="shared" si="434"/>
        <v/>
      </c>
      <c r="HZ95" s="450" t="str">
        <f t="shared" si="434"/>
        <v/>
      </c>
      <c r="IA95" s="450" t="str">
        <f t="shared" si="434"/>
        <v/>
      </c>
      <c r="IB95" s="450" t="str">
        <f t="shared" ref="IB95:IH99" si="435">IF($FN20&lt;IB$94,"",SQRT(IB20/IB$15))</f>
        <v/>
      </c>
      <c r="IC95" s="450" t="str">
        <f t="shared" si="435"/>
        <v/>
      </c>
      <c r="ID95" s="450" t="str">
        <f t="shared" si="435"/>
        <v/>
      </c>
      <c r="IE95" s="450" t="str">
        <f t="shared" si="435"/>
        <v/>
      </c>
      <c r="IF95" s="450" t="str">
        <f t="shared" si="435"/>
        <v/>
      </c>
      <c r="IG95" s="450" t="str">
        <f t="shared" si="435"/>
        <v/>
      </c>
      <c r="IH95" s="658" t="str">
        <f t="shared" si="435"/>
        <v/>
      </c>
      <c r="II95" s="242"/>
    </row>
    <row r="96" spans="8:243">
      <c r="H96" s="49" t="e">
        <f t="shared" ca="1" si="317"/>
        <v>#N/A</v>
      </c>
      <c r="I96" s="369">
        <f t="shared" si="318"/>
        <v>39326</v>
      </c>
      <c r="J96" s="367">
        <v>21.66</v>
      </c>
      <c r="K96" s="101" t="s">
        <v>268</v>
      </c>
      <c r="L96" s="382">
        <f t="shared" si="319"/>
        <v>21.66</v>
      </c>
      <c r="M96" s="163">
        <v>0.18164999999999998</v>
      </c>
      <c r="N96" s="372">
        <v>0</v>
      </c>
      <c r="O96" s="163">
        <f t="shared" si="272"/>
        <v>0.18164999999999998</v>
      </c>
      <c r="P96" s="367">
        <v>20.436288324361897</v>
      </c>
      <c r="Q96" s="101" t="s">
        <v>267</v>
      </c>
      <c r="R96" s="367">
        <f t="shared" ca="1" si="417"/>
        <v>20.436288324361861</v>
      </c>
      <c r="S96" s="814">
        <f t="shared" si="163"/>
        <v>0.36352933207928267</v>
      </c>
      <c r="T96" s="813">
        <f t="shared" si="418"/>
        <v>0.99997400608099074</v>
      </c>
      <c r="U96" s="532">
        <f t="shared" si="419"/>
        <v>0.9999999999952055</v>
      </c>
      <c r="V96" s="379">
        <v>0</v>
      </c>
      <c r="W96" s="424">
        <f t="shared" si="273"/>
        <v>21.660000000000004</v>
      </c>
      <c r="X96" s="405">
        <f t="shared" si="274"/>
        <v>21.660000000000004</v>
      </c>
      <c r="Y96" s="313">
        <f t="shared" si="275"/>
        <v>20.341600000000003</v>
      </c>
      <c r="Z96" s="313">
        <f t="shared" ca="1" si="276"/>
        <v>20.341600000000003</v>
      </c>
      <c r="AA96" s="419">
        <f t="shared" si="277"/>
        <v>1.3184</v>
      </c>
      <c r="AB96" s="423">
        <f t="shared" ca="1" si="278"/>
        <v>1.3184</v>
      </c>
      <c r="AC96" s="221">
        <v>39314</v>
      </c>
      <c r="AD96" s="221">
        <v>39310</v>
      </c>
      <c r="AE96" s="221">
        <v>39309</v>
      </c>
      <c r="AF96" s="221">
        <v>39305</v>
      </c>
      <c r="AG96" s="241" t="s">
        <v>90</v>
      </c>
      <c r="AH96" s="239" t="s">
        <v>497</v>
      </c>
      <c r="AI96" s="141">
        <v>20</v>
      </c>
      <c r="AJ96" s="41">
        <v>14</v>
      </c>
      <c r="AK96" s="41">
        <v>6</v>
      </c>
      <c r="AL96" s="285">
        <v>20</v>
      </c>
      <c r="AM96" s="41">
        <v>10</v>
      </c>
      <c r="AN96" s="142">
        <v>10</v>
      </c>
      <c r="AO96" s="364">
        <v>5.5711417111169205E-2</v>
      </c>
      <c r="AP96" s="145">
        <f t="shared" ca="1" si="320"/>
        <v>0.70061304643817579</v>
      </c>
      <c r="AQ96" s="364">
        <v>4.8259956090842306E-2</v>
      </c>
      <c r="AR96" s="145">
        <f t="shared" ca="1" si="420"/>
        <v>0.73867420546125262</v>
      </c>
      <c r="AS96" s="264">
        <f t="shared" si="279"/>
        <v>0.18060999999999999</v>
      </c>
      <c r="AT96" s="149">
        <f t="shared" si="321"/>
        <v>0.18164999999999998</v>
      </c>
      <c r="AU96" s="149">
        <f t="shared" si="280"/>
        <v>0.18045</v>
      </c>
      <c r="AV96" s="263">
        <f t="shared" ca="1" si="430"/>
        <v>0.17791525533381622</v>
      </c>
      <c r="AW96" s="150" t="str">
        <f t="shared" ca="1" si="281"/>
        <v/>
      </c>
      <c r="AX96" s="149">
        <f t="shared" ca="1" si="421"/>
        <v>2.2303583859540305E-2</v>
      </c>
      <c r="AY96" s="149">
        <f t="shared" ca="1" si="422"/>
        <v>1.0438060012230395E-2</v>
      </c>
      <c r="AZ96" s="149">
        <f t="shared" ca="1" si="423"/>
        <v>6.3211220977175079E-3</v>
      </c>
      <c r="BA96" s="149">
        <f t="shared" ca="1" si="424"/>
        <v>1.0000000000000257E-4</v>
      </c>
      <c r="BB96" s="149">
        <f t="shared" ca="1" si="425"/>
        <v>1.0000000000000257E-4</v>
      </c>
      <c r="BC96" s="149">
        <f t="shared" ca="1" si="426"/>
        <v>1.0000000000000257E-4</v>
      </c>
      <c r="BD96" s="143">
        <f t="shared" ca="1" si="282"/>
        <v>0</v>
      </c>
      <c r="BE96" s="144">
        <f t="shared" ca="1" si="283"/>
        <v>0</v>
      </c>
      <c r="BF96" s="40">
        <f t="shared" si="284"/>
        <v>2007</v>
      </c>
      <c r="BG96" s="139">
        <f t="shared" si="285"/>
        <v>9</v>
      </c>
      <c r="BH96" s="140">
        <f t="shared" ca="1" si="286"/>
        <v>2320</v>
      </c>
      <c r="BI96" s="304">
        <f t="shared" ca="1" si="287"/>
        <v>6.3956194387405887</v>
      </c>
      <c r="BJ96" s="42">
        <f t="shared" ca="1" si="288"/>
        <v>6.4511978097193703</v>
      </c>
      <c r="BK96" s="42">
        <f t="shared" ca="1" si="289"/>
        <v>6.4539356605065024</v>
      </c>
      <c r="BL96" s="42">
        <f t="shared" ca="1" si="290"/>
        <v>6.4750171115674195</v>
      </c>
      <c r="BM96" s="285">
        <f t="shared" si="322"/>
        <v>20</v>
      </c>
      <c r="BN96" s="41">
        <f t="shared" si="291"/>
        <v>14</v>
      </c>
      <c r="BO96" s="41">
        <f t="shared" si="292"/>
        <v>6</v>
      </c>
      <c r="BP96" s="297" t="str">
        <f t="shared" ca="1" si="293"/>
        <v/>
      </c>
      <c r="BQ96" s="297" t="str">
        <f t="shared" ca="1" si="294"/>
        <v/>
      </c>
      <c r="BR96" s="299" t="str">
        <f t="shared" ca="1" si="295"/>
        <v/>
      </c>
      <c r="BS96" s="153" t="str">
        <f t="shared" ca="1" si="296"/>
        <v/>
      </c>
      <c r="BT96" s="153" t="str">
        <f t="shared" ca="1" si="297"/>
        <v/>
      </c>
      <c r="BU96" s="300" t="str">
        <f t="shared" ca="1" si="298"/>
        <v/>
      </c>
      <c r="BV96" s="301" t="str">
        <f t="shared" ca="1" si="299"/>
        <v/>
      </c>
      <c r="BW96" s="300" t="str">
        <f t="shared" ca="1" si="300"/>
        <v/>
      </c>
      <c r="BX96" s="301" t="str">
        <f t="shared" ca="1" si="301"/>
        <v/>
      </c>
      <c r="BY96" s="146" t="str">
        <f t="shared" ca="1" si="302"/>
        <v/>
      </c>
      <c r="BZ96" s="146" t="str">
        <f t="shared" ca="1" si="303"/>
        <v/>
      </c>
      <c r="CA96" s="146" t="str">
        <f t="shared" ca="1" si="304"/>
        <v/>
      </c>
      <c r="CB96" s="146" t="str">
        <f t="shared" ca="1" si="305"/>
        <v/>
      </c>
      <c r="CC96" s="302">
        <v>1</v>
      </c>
      <c r="CD96" s="154">
        <f ca="1">IF(BD96,_xll.xCrudeAPO(BS96,BT96,BY96,BZ96,S97,S98,BI96,BL96,BN96,BO96,0,Strike1,AO96,CC96,0,BL96,IF(OptControl=4,0,1),0,1),0)</f>
        <v>0</v>
      </c>
      <c r="CE96" s="155">
        <f ca="1">IF(BD96,_xll.xCrudeAPO(BS96,BT96,BY96,BZ96,S97,S98,BI96,BL96,BN96,BO96,0,Strike1,AO96,CC96,0,BL96,IF(OptControl=4,0,1),1,1)+_xll.xCrudeAPO(BS96,BT96,BY96,BZ96,S97,S98,BI96,BL96,BN96,BO96,0,Strike1,AO96,CC96,0,BL96,IF(OptControl=4,0,1),1,2)+IF(OR(VolSkewFlag=2,ABS(BQ96)&lt;0.0001),0,IF(BQ96&gt;0,-1,1)*CF96*Strike1/BP96^2*BW96/10%),0)</f>
        <v>0</v>
      </c>
      <c r="CF96" s="155">
        <f ca="1">IF(BD96,(_xll.xCrudeAPO(BS96,BT96,BY96,BZ96,S97,S98,BI96,BL96,BN96,BO96,0,Strike1,AO96,CC96,0,BL96,IF(OptControl=4,0,1),3,1)+_xll.xCrudeAPO(BS96,BT96,BY96,BZ96,S97,S98,BI96,BL96,BN96,BO96,0,Strike1,AO96,CC96,0,BL96,IF(OptControl=4,0,1),3,2))/100,0)</f>
        <v>0</v>
      </c>
      <c r="CG96" s="155">
        <f ca="1">IF(BD96,_xll.xCrudeAPO(BS96,BT96,BY96,BZ96,S97,S98,BI96-DaysForThetaCalculation/365.25,BL96-DaysForThetaCalculation/365.25,BN96,BO96,0,Strike1,AO96,CC96,0,BL96,IF(OptControl=4,0,1),0,1)-_xll.xCrudeAPO(BS96,BT96,BY96,BZ96,S97,S98,BI96,BL96,BN96,BO96,0,Strike1,AO96,CC96,0,BL96,IF(OptControl=4,0,1),0,1),0)</f>
        <v>0</v>
      </c>
      <c r="CH96" s="303">
        <f ca="1">IF(BD96,_xll.xCrudeAPO(BS96,BT96,CA96,CB96,S97,S98,BI96,BL96,BN96,BO96,0,Strike2,AO96,CC96,0,BL96,IF(OptControl=3,1,0),0,1),0)</f>
        <v>0</v>
      </c>
      <c r="CI96" s="155">
        <f ca="1">IF(BD96,_xll.xCrudeAPO(BS96,BT96,CA96,CB96,S97,S98,BI96,BL96,BN96,BO96,0,Strike2,AO96,CC96,0,BL96,IF(OptControl=3,1,0),1,1)+_xll.xCrudeAPO(BS96,BT96,CA96,CB96,S97,S98,BI96,BL96,BN96,BO96,0,Strike2,AO96,CC96,0,BL96,IF(OptControl=3,1,0),1,2)+IF(OR(VolSkewFlag=2,ABS(BR96)&lt;0.0001),0,IF(BR96&gt;0,-1,1)*CJ96*Strike2/BP96^2*BX96/10%),0)</f>
        <v>0</v>
      </c>
      <c r="CJ96" s="155">
        <f ca="1">IF(BD96,(_xll.xCrudeAPO(BS96,BT96,CA96,CB96,S97,S98,BI96,BL96,BN96,BO96,0,Strike2,AO96,CC96,0,BL96,IF(OptControl=3,1,0),3,1)+_xll.xCrudeAPO(BS96,BT96,CA96,CB96,S97,S98,BI96,BL96,BN96,BO96,0,Strike2,AO96,CC96,0,BL96,IF(OptControl=3,1,0),3,2))/100,0)</f>
        <v>0</v>
      </c>
      <c r="CK96" s="156">
        <f ca="1">IF(BD96,_xll.xCrudeAPO(BS96,BT96,CA96,CB96,S97,S98,BI96-DaysForThetaCalculation/365.25,BL96-DaysForThetaCalculation/365.25,BN96,BO96,0,Strike2,AO96,CC96,0,BL96,IF(OptControl=3,1,0),0,1)-_xll.xCrudeAPO(BS96,BT96,CA96,CB96,S97,S98,BI96,BL96,BN96,BO96,0,Strike2,AO96,CC96,0,BL96,IF(OptControl=3,1,0),0,1),0)</f>
        <v>0</v>
      </c>
      <c r="CL96" s="51"/>
      <c r="CM96" s="779" t="str">
        <f t="shared" ca="1" si="323"/>
        <v/>
      </c>
      <c r="CN96" s="783" t="str">
        <f t="shared" ca="1" si="324"/>
        <v/>
      </c>
      <c r="CO96" s="780" t="str">
        <f t="shared" ca="1" si="325"/>
        <v/>
      </c>
      <c r="CP96" s="780" t="str">
        <f t="shared" ca="1" si="326"/>
        <v/>
      </c>
      <c r="CQ96" s="780" t="str">
        <f t="shared" ca="1" si="327"/>
        <v/>
      </c>
      <c r="CR96" s="780" t="str">
        <f t="shared" ca="1" si="328"/>
        <v/>
      </c>
      <c r="CS96" s="781" t="str">
        <f t="shared" ca="1" si="329"/>
        <v/>
      </c>
      <c r="CT96" s="782" t="str">
        <f t="shared" ca="1" si="330"/>
        <v/>
      </c>
      <c r="CU96" s="782" t="str">
        <f t="shared" ca="1" si="331"/>
        <v/>
      </c>
      <c r="CV96" s="155">
        <f ca="1">IF(BD96,_xll.EURO(CN96,Strike1,AO96,AO96,CT96,CM96,IF(OptControl=4,0,1),0),0)</f>
        <v>0</v>
      </c>
      <c r="CW96" s="155">
        <f ca="1">IF(BD96,_xll.EURO(CN96,Strike1,AO96,AO96,CT96,CM96,IF(OptControl=4,0,1),1)+IF(OR(VolSkewFlag=2,ABS(CO96)&lt;0.0001),0,IF(CO96&gt;0,-1,1)*CX96*100*Strike1/CN96^2*CQ96/10%),0)</f>
        <v>0</v>
      </c>
      <c r="CX96" s="155">
        <f ca="1">IF(BD96,_xll.EURO(CN96,Strike1,AO96,AO96,CT96,CM96,IF(OptControl=4,0,1),3)/100,0)</f>
        <v>0</v>
      </c>
      <c r="CY96" s="155">
        <f ca="1">IF(BD96,_xll.EURO(CN96,Strike1,AO96,AO96,CT96,CM96,IF(OptControl=4,0,1),0)-_xll.EURO(CN96,Strike1,AO96,AO96,CT96,CM96-1,IF(OptControl=4,0,1),0),0)</f>
        <v>0</v>
      </c>
      <c r="CZ96" s="155">
        <f ca="1">IF(BD96,_xll.EURO(CN96,Strike2,AO96,AO96,CU96,CM96,IF(OptControl=3,1,0),0),0)</f>
        <v>0</v>
      </c>
      <c r="DA96" s="155">
        <f ca="1">IF(BD96,_xll.EURO(CN96,Strike2,AO96,AO96,CU96,CM96,IF(OptControl=3,1,0),1)+IF(OR(VolSkewFlag=2,ABS(CP96)&lt;0.0001),0,IF(CP96&gt;0,-1,1)*DB96*100*Strike2/CN96^2*CR96/10%),0)</f>
        <v>0</v>
      </c>
      <c r="DB96" s="155">
        <f ca="1">IF(BD96,_xll.EURO(CN96,Strike2,AO96,AO96,CU96,CM96,IF(OptControl=3,1,0),3)/100,0)</f>
        <v>0</v>
      </c>
      <c r="DC96" s="156">
        <f ca="1">IF(BD96,_xll.EURO(CN96,Strike2,AO96,AO96,CU96,CM96,IF(OptControl=3,1,0),0)-_xll.EURO(CN96,Strike2,AO96,AO96,CU96,CM96-1,IF(OptControl=3,1,0),0),0)</f>
        <v>0</v>
      </c>
      <c r="DE96" s="651">
        <f t="shared" ca="1" si="332"/>
        <v>39234</v>
      </c>
      <c r="DF96" s="465">
        <v>1E-4</v>
      </c>
      <c r="DG96" s="649">
        <v>1E-4</v>
      </c>
      <c r="DH96" s="650">
        <f t="shared" ca="1" si="306"/>
        <v>39234</v>
      </c>
      <c r="DI96" s="465">
        <v>1E-4</v>
      </c>
      <c r="DJ96" s="649">
        <v>1E-4</v>
      </c>
      <c r="DK96" s="651">
        <f t="shared" ca="1" si="307"/>
        <v>39234</v>
      </c>
      <c r="DL96" s="652">
        <f t="shared" si="308"/>
        <v>5.0100000000000006E-2</v>
      </c>
      <c r="DM96" s="651">
        <f t="shared" ca="1" si="333"/>
        <v>39234</v>
      </c>
      <c r="DN96" s="563">
        <f t="shared" si="334"/>
        <v>-0.12990000000000002</v>
      </c>
      <c r="DO96" s="803">
        <v>-0.13</v>
      </c>
      <c r="DP96" s="650">
        <f t="shared" ca="1" si="309"/>
        <v>39234</v>
      </c>
      <c r="DQ96" s="653">
        <v>1E-4</v>
      </c>
      <c r="DR96" s="590">
        <v>1E-4</v>
      </c>
      <c r="DS96" s="650">
        <f t="shared" ca="1" si="310"/>
        <v>39234</v>
      </c>
      <c r="DT96" s="653">
        <v>1E-4</v>
      </c>
      <c r="DU96" s="590">
        <v>1E-4</v>
      </c>
      <c r="DV96" s="651">
        <f t="shared" ca="1" si="311"/>
        <v>39234</v>
      </c>
      <c r="DW96" s="590">
        <v>1E-4</v>
      </c>
      <c r="DX96" s="651">
        <f t="shared" ca="1" si="335"/>
        <v>39234</v>
      </c>
      <c r="DY96" s="590">
        <f t="shared" si="336"/>
        <v>1E-4</v>
      </c>
      <c r="DZ96" s="1"/>
      <c r="EA96" s="857"/>
      <c r="EB96" s="857"/>
      <c r="EC96" s="857"/>
      <c r="ED96" s="868" t="e">
        <f t="shared" ref="ED96:ED159" ca="1" si="436">ED95</f>
        <v>#NAME?</v>
      </c>
      <c r="EE96" s="863" t="e">
        <f t="shared" ca="1" si="312"/>
        <v>#NAME?</v>
      </c>
      <c r="EF96" s="590" t="e">
        <f t="shared" ca="1" si="313"/>
        <v>#NAME?</v>
      </c>
      <c r="EG96" s="862" t="str">
        <f t="shared" ca="1" si="314"/>
        <v/>
      </c>
      <c r="EH96" s="114" t="str">
        <f t="shared" ca="1" si="315"/>
        <v/>
      </c>
      <c r="EI96" s="109" t="str">
        <f t="shared" ca="1" si="316"/>
        <v/>
      </c>
      <c r="EJ96" s="115">
        <f ca="1">IF(BD96,_xll.xASN(BP96,Strike1,AO96,EH96,0,BM96,0,BI96,BL96,IF(OptControl=4,0,1),0),0)</f>
        <v>0</v>
      </c>
      <c r="EK96" s="108">
        <f ca="1">IF(BD96,_xll.xASN(BP96,Strike2,AO96,EI96,0,BM96,0,BI96,BL96,IF(OptControl=3,1,0),0),0)</f>
        <v>0</v>
      </c>
      <c r="EP96" s="53"/>
      <c r="EQ96" s="1"/>
      <c r="ER96" s="681">
        <v>44927</v>
      </c>
      <c r="ES96" s="682">
        <v>50406</v>
      </c>
      <c r="ET96" s="1"/>
      <c r="EU96" s="667" t="s">
        <v>308</v>
      </c>
      <c r="EW96" s="445"/>
      <c r="EX96" s="36"/>
      <c r="EY96" s="104"/>
      <c r="EZ96" s="465"/>
      <c r="FA96" s="446"/>
      <c r="FB96" s="446"/>
      <c r="FC96" s="242"/>
      <c r="FD96" s="242"/>
      <c r="FE96" s="242"/>
      <c r="FF96" s="242"/>
      <c r="FG96" s="242"/>
      <c r="FH96" s="242"/>
      <c r="FI96" s="242"/>
      <c r="FJ96" s="242"/>
      <c r="FK96" s="242"/>
      <c r="FL96" s="242"/>
      <c r="FM96" s="242"/>
      <c r="FN96" s="657">
        <v>2</v>
      </c>
      <c r="FO96" s="450">
        <f t="shared" ca="1" si="433"/>
        <v>0.35836861887563565</v>
      </c>
      <c r="FP96" s="450">
        <f t="shared" ref="FP96:GD96" ca="1" si="437">IF($FN21&lt;FP$94,"",SQRT(FP21/FP$15))</f>
        <v>0.39</v>
      </c>
      <c r="FQ96" s="450" t="str">
        <f t="shared" si="437"/>
        <v/>
      </c>
      <c r="FR96" s="450" t="str">
        <f t="shared" si="437"/>
        <v/>
      </c>
      <c r="FS96" s="450" t="str">
        <f t="shared" si="437"/>
        <v/>
      </c>
      <c r="FT96" s="450" t="str">
        <f t="shared" si="437"/>
        <v/>
      </c>
      <c r="FU96" s="450" t="str">
        <f t="shared" si="437"/>
        <v/>
      </c>
      <c r="FV96" s="450" t="str">
        <f t="shared" si="437"/>
        <v/>
      </c>
      <c r="FW96" s="450" t="str">
        <f t="shared" si="437"/>
        <v/>
      </c>
      <c r="FX96" s="450" t="str">
        <f t="shared" si="437"/>
        <v/>
      </c>
      <c r="FY96" s="450" t="str">
        <f t="shared" si="437"/>
        <v/>
      </c>
      <c r="FZ96" s="450" t="str">
        <f t="shared" si="437"/>
        <v/>
      </c>
      <c r="GA96" s="450" t="str">
        <f t="shared" si="437"/>
        <v/>
      </c>
      <c r="GB96" s="450" t="str">
        <f t="shared" si="437"/>
        <v/>
      </c>
      <c r="GC96" s="450" t="str">
        <f t="shared" si="437"/>
        <v/>
      </c>
      <c r="GD96" s="450" t="str">
        <f t="shared" si="437"/>
        <v/>
      </c>
      <c r="GE96" s="450" t="str">
        <f t="shared" si="434"/>
        <v/>
      </c>
      <c r="GF96" s="450" t="str">
        <f t="shared" si="434"/>
        <v/>
      </c>
      <c r="GG96" s="450" t="str">
        <f t="shared" si="434"/>
        <v/>
      </c>
      <c r="GH96" s="450" t="str">
        <f t="shared" si="434"/>
        <v/>
      </c>
      <c r="GI96" s="450" t="str">
        <f t="shared" si="434"/>
        <v/>
      </c>
      <c r="GJ96" s="450" t="str">
        <f t="shared" si="434"/>
        <v/>
      </c>
      <c r="GK96" s="450" t="str">
        <f t="shared" si="434"/>
        <v/>
      </c>
      <c r="GL96" s="450" t="str">
        <f t="shared" si="434"/>
        <v/>
      </c>
      <c r="GM96" s="450" t="str">
        <f t="shared" si="434"/>
        <v/>
      </c>
      <c r="GN96" s="450" t="str">
        <f t="shared" si="434"/>
        <v/>
      </c>
      <c r="GO96" s="450" t="str">
        <f t="shared" si="434"/>
        <v/>
      </c>
      <c r="GP96" s="450" t="str">
        <f t="shared" si="434"/>
        <v/>
      </c>
      <c r="GQ96" s="450" t="str">
        <f t="shared" si="434"/>
        <v/>
      </c>
      <c r="GR96" s="450" t="str">
        <f t="shared" si="434"/>
        <v/>
      </c>
      <c r="GS96" s="450" t="str">
        <f t="shared" si="434"/>
        <v/>
      </c>
      <c r="GT96" s="450" t="str">
        <f t="shared" si="434"/>
        <v/>
      </c>
      <c r="GU96" s="450" t="str">
        <f t="shared" si="434"/>
        <v/>
      </c>
      <c r="GV96" s="450" t="str">
        <f t="shared" si="434"/>
        <v/>
      </c>
      <c r="GW96" s="450" t="str">
        <f t="shared" si="434"/>
        <v/>
      </c>
      <c r="GX96" s="450" t="str">
        <f t="shared" si="434"/>
        <v/>
      </c>
      <c r="GY96" s="450" t="str">
        <f t="shared" si="434"/>
        <v/>
      </c>
      <c r="GZ96" s="450" t="str">
        <f t="shared" si="434"/>
        <v/>
      </c>
      <c r="HA96" s="450" t="str">
        <f t="shared" si="434"/>
        <v/>
      </c>
      <c r="HB96" s="450" t="str">
        <f t="shared" si="434"/>
        <v/>
      </c>
      <c r="HC96" s="450" t="str">
        <f t="shared" si="434"/>
        <v/>
      </c>
      <c r="HD96" s="450" t="str">
        <f t="shared" si="434"/>
        <v/>
      </c>
      <c r="HE96" s="450" t="str">
        <f t="shared" si="434"/>
        <v/>
      </c>
      <c r="HF96" s="450" t="str">
        <f t="shared" si="434"/>
        <v/>
      </c>
      <c r="HG96" s="450" t="str">
        <f t="shared" si="434"/>
        <v/>
      </c>
      <c r="HH96" s="450" t="str">
        <f t="shared" si="434"/>
        <v/>
      </c>
      <c r="HI96" s="450" t="str">
        <f t="shared" si="434"/>
        <v/>
      </c>
      <c r="HJ96" s="450" t="str">
        <f t="shared" si="434"/>
        <v/>
      </c>
      <c r="HK96" s="450" t="str">
        <f t="shared" si="434"/>
        <v/>
      </c>
      <c r="HL96" s="450" t="str">
        <f t="shared" si="434"/>
        <v/>
      </c>
      <c r="HM96" s="450" t="str">
        <f t="shared" si="434"/>
        <v/>
      </c>
      <c r="HN96" s="450" t="str">
        <f t="shared" si="434"/>
        <v/>
      </c>
      <c r="HO96" s="450" t="str">
        <f t="shared" si="434"/>
        <v/>
      </c>
      <c r="HP96" s="450" t="str">
        <f t="shared" si="434"/>
        <v/>
      </c>
      <c r="HQ96" s="450" t="str">
        <f t="shared" si="434"/>
        <v/>
      </c>
      <c r="HR96" s="450" t="str">
        <f t="shared" si="434"/>
        <v/>
      </c>
      <c r="HS96" s="450" t="str">
        <f t="shared" si="434"/>
        <v/>
      </c>
      <c r="HT96" s="450" t="str">
        <f t="shared" si="434"/>
        <v/>
      </c>
      <c r="HU96" s="450" t="str">
        <f t="shared" si="434"/>
        <v/>
      </c>
      <c r="HV96" s="450" t="str">
        <f t="shared" si="434"/>
        <v/>
      </c>
      <c r="HW96" s="450" t="str">
        <f t="shared" si="434"/>
        <v/>
      </c>
      <c r="HX96" s="450" t="str">
        <f t="shared" si="434"/>
        <v/>
      </c>
      <c r="HY96" s="450" t="str">
        <f t="shared" si="434"/>
        <v/>
      </c>
      <c r="HZ96" s="450" t="str">
        <f t="shared" si="434"/>
        <v/>
      </c>
      <c r="IA96" s="450" t="str">
        <f t="shared" si="434"/>
        <v/>
      </c>
      <c r="IB96" s="450" t="str">
        <f t="shared" si="435"/>
        <v/>
      </c>
      <c r="IC96" s="450" t="str">
        <f t="shared" si="435"/>
        <v/>
      </c>
      <c r="ID96" s="450" t="str">
        <f t="shared" si="435"/>
        <v/>
      </c>
      <c r="IE96" s="450" t="str">
        <f t="shared" si="435"/>
        <v/>
      </c>
      <c r="IF96" s="450" t="str">
        <f t="shared" si="435"/>
        <v/>
      </c>
      <c r="IG96" s="450" t="str">
        <f t="shared" si="435"/>
        <v/>
      </c>
      <c r="IH96" s="658" t="str">
        <f t="shared" si="435"/>
        <v/>
      </c>
      <c r="II96" s="242"/>
    </row>
    <row r="97" spans="8:243" ht="13.8" thickBot="1">
      <c r="H97" s="49" t="e">
        <f t="shared" ca="1" si="317"/>
        <v>#N/A</v>
      </c>
      <c r="I97" s="369">
        <f t="shared" si="318"/>
        <v>39356</v>
      </c>
      <c r="J97" s="367">
        <v>21.66</v>
      </c>
      <c r="K97" s="101" t="s">
        <v>268</v>
      </c>
      <c r="L97" s="382">
        <f t="shared" si="319"/>
        <v>21.66</v>
      </c>
      <c r="M97" s="163">
        <v>0.18084999999999998</v>
      </c>
      <c r="N97" s="372">
        <v>0</v>
      </c>
      <c r="O97" s="163">
        <f t="shared" si="272"/>
        <v>0.18084999999999998</v>
      </c>
      <c r="P97" s="367">
        <v>20.268762827414001</v>
      </c>
      <c r="Q97" s="101" t="s">
        <v>267</v>
      </c>
      <c r="R97" s="367">
        <f t="shared" ca="1" si="417"/>
        <v>20.268762827413955</v>
      </c>
      <c r="S97" s="814">
        <f t="shared" si="163"/>
        <v>0.36329403875848987</v>
      </c>
      <c r="T97" s="813">
        <f t="shared" si="418"/>
        <v>0.99997660550365775</v>
      </c>
      <c r="U97" s="532">
        <f t="shared" si="419"/>
        <v>0.9999999999964041</v>
      </c>
      <c r="V97" s="379">
        <v>0</v>
      </c>
      <c r="W97" s="424">
        <f t="shared" si="273"/>
        <v>21.659999999999997</v>
      </c>
      <c r="X97" s="405">
        <f t="shared" si="274"/>
        <v>21.659999999999997</v>
      </c>
      <c r="Y97" s="313">
        <f t="shared" si="275"/>
        <v>20.418399999999998</v>
      </c>
      <c r="Z97" s="313">
        <f t="shared" ca="1" si="276"/>
        <v>20.418399999999998</v>
      </c>
      <c r="AA97" s="419">
        <f t="shared" si="277"/>
        <v>1.2416</v>
      </c>
      <c r="AB97" s="423">
        <f t="shared" ca="1" si="278"/>
        <v>1.2416</v>
      </c>
      <c r="AC97" s="221">
        <v>39345</v>
      </c>
      <c r="AD97" s="221">
        <v>39341</v>
      </c>
      <c r="AE97" s="221">
        <v>39340</v>
      </c>
      <c r="AF97" s="221">
        <v>39336</v>
      </c>
      <c r="AG97" s="241" t="s">
        <v>90</v>
      </c>
      <c r="AH97" s="239" t="s">
        <v>497</v>
      </c>
      <c r="AI97" s="141">
        <v>23</v>
      </c>
      <c r="AJ97" s="41">
        <v>15</v>
      </c>
      <c r="AK97" s="41">
        <v>8</v>
      </c>
      <c r="AL97" s="285">
        <v>23</v>
      </c>
      <c r="AM97" s="41">
        <v>10</v>
      </c>
      <c r="AN97" s="142">
        <v>13</v>
      </c>
      <c r="AO97" s="364">
        <v>5.5825149933946203E-2</v>
      </c>
      <c r="AP97" s="145">
        <f t="shared" ca="1" si="320"/>
        <v>0.69684718473232243</v>
      </c>
      <c r="AQ97" s="364">
        <v>4.8403943131467099E-2</v>
      </c>
      <c r="AR97" s="145">
        <f t="shared" ca="1" si="420"/>
        <v>0.7350251276700337</v>
      </c>
      <c r="AS97" s="264">
        <f t="shared" si="279"/>
        <v>0.17977173913043476</v>
      </c>
      <c r="AT97" s="149">
        <f t="shared" si="321"/>
        <v>0.18084999999999998</v>
      </c>
      <c r="AU97" s="149">
        <f t="shared" si="280"/>
        <v>0.17959782608695651</v>
      </c>
      <c r="AV97" s="263">
        <f t="shared" ca="1" si="430"/>
        <v>0.17714455095050599</v>
      </c>
      <c r="AW97" s="150" t="str">
        <f t="shared" ca="1" si="281"/>
        <v/>
      </c>
      <c r="AX97" s="149">
        <f t="shared" ca="1" si="421"/>
        <v>2.1990258346502419E-2</v>
      </c>
      <c r="AY97" s="149">
        <f t="shared" ca="1" si="422"/>
        <v>1.0258464124377713E-2</v>
      </c>
      <c r="AZ97" s="149">
        <f t="shared" ca="1" si="423"/>
        <v>6.2457875354651393E-3</v>
      </c>
      <c r="BA97" s="149">
        <f t="shared" ca="1" si="424"/>
        <v>1.0000000000000262E-4</v>
      </c>
      <c r="BB97" s="149">
        <f t="shared" ca="1" si="425"/>
        <v>1.0000000000000262E-4</v>
      </c>
      <c r="BC97" s="149">
        <f t="shared" ca="1" si="426"/>
        <v>1.0000000000000262E-4</v>
      </c>
      <c r="BD97" s="143">
        <f t="shared" ca="1" si="282"/>
        <v>0</v>
      </c>
      <c r="BE97" s="144">
        <f t="shared" ca="1" si="283"/>
        <v>0</v>
      </c>
      <c r="BF97" s="40">
        <f t="shared" si="284"/>
        <v>2007</v>
      </c>
      <c r="BG97" s="139">
        <f t="shared" si="285"/>
        <v>10</v>
      </c>
      <c r="BH97" s="140">
        <f t="shared" ca="1" si="286"/>
        <v>2351</v>
      </c>
      <c r="BI97" s="304">
        <f t="shared" ca="1" si="287"/>
        <v>6.4777549623545516</v>
      </c>
      <c r="BJ97" s="42">
        <f t="shared" ca="1" si="288"/>
        <v>6.5313216081897449</v>
      </c>
      <c r="BK97" s="42">
        <f t="shared" ca="1" si="289"/>
        <v>6.534059458976877</v>
      </c>
      <c r="BL97" s="42">
        <f t="shared" ca="1" si="290"/>
        <v>6.5598904859685145</v>
      </c>
      <c r="BM97" s="285">
        <f t="shared" si="322"/>
        <v>23</v>
      </c>
      <c r="BN97" s="41">
        <f t="shared" si="291"/>
        <v>15</v>
      </c>
      <c r="BO97" s="41">
        <f t="shared" si="292"/>
        <v>8</v>
      </c>
      <c r="BP97" s="297" t="str">
        <f t="shared" ca="1" si="293"/>
        <v/>
      </c>
      <c r="BQ97" s="297" t="str">
        <f t="shared" ca="1" si="294"/>
        <v/>
      </c>
      <c r="BR97" s="299" t="str">
        <f t="shared" ca="1" si="295"/>
        <v/>
      </c>
      <c r="BS97" s="153" t="str">
        <f t="shared" ca="1" si="296"/>
        <v/>
      </c>
      <c r="BT97" s="153" t="str">
        <f t="shared" ca="1" si="297"/>
        <v/>
      </c>
      <c r="BU97" s="300" t="str">
        <f t="shared" ca="1" si="298"/>
        <v/>
      </c>
      <c r="BV97" s="301" t="str">
        <f t="shared" ca="1" si="299"/>
        <v/>
      </c>
      <c r="BW97" s="300" t="str">
        <f t="shared" ca="1" si="300"/>
        <v/>
      </c>
      <c r="BX97" s="301" t="str">
        <f t="shared" ca="1" si="301"/>
        <v/>
      </c>
      <c r="BY97" s="146" t="str">
        <f t="shared" ca="1" si="302"/>
        <v/>
      </c>
      <c r="BZ97" s="146" t="str">
        <f t="shared" ca="1" si="303"/>
        <v/>
      </c>
      <c r="CA97" s="146" t="str">
        <f t="shared" ca="1" si="304"/>
        <v/>
      </c>
      <c r="CB97" s="146" t="str">
        <f t="shared" ca="1" si="305"/>
        <v/>
      </c>
      <c r="CC97" s="302">
        <v>1</v>
      </c>
      <c r="CD97" s="154">
        <f ca="1">IF(BD97,_xll.xCrudeAPO(BS97,BT97,BY97,BZ97,S98,S99,BI97,BL97,BN97,BO97,0,Strike1,AO97,CC97,0,BL97,IF(OptControl=4,0,1),0,1),0)</f>
        <v>0</v>
      </c>
      <c r="CE97" s="155">
        <f ca="1">IF(BD97,_xll.xCrudeAPO(BS97,BT97,BY97,BZ97,S98,S99,BI97,BL97,BN97,BO97,0,Strike1,AO97,CC97,0,BL97,IF(OptControl=4,0,1),1,1)+_xll.xCrudeAPO(BS97,BT97,BY97,BZ97,S98,S99,BI97,BL97,BN97,BO97,0,Strike1,AO97,CC97,0,BL97,IF(OptControl=4,0,1),1,2)+IF(OR(VolSkewFlag=2,ABS(BQ97)&lt;0.0001),0,IF(BQ97&gt;0,-1,1)*CF97*Strike1/BP97^2*BW97/10%),0)</f>
        <v>0</v>
      </c>
      <c r="CF97" s="155">
        <f ca="1">IF(BD97,(_xll.xCrudeAPO(BS97,BT97,BY97,BZ97,S98,S99,BI97,BL97,BN97,BO97,0,Strike1,AO97,CC97,0,BL97,IF(OptControl=4,0,1),3,1)+_xll.xCrudeAPO(BS97,BT97,BY97,BZ97,S98,S99,BI97,BL97,BN97,BO97,0,Strike1,AO97,CC97,0,BL97,IF(OptControl=4,0,1),3,2))/100,0)</f>
        <v>0</v>
      </c>
      <c r="CG97" s="155">
        <f ca="1">IF(BD97,_xll.xCrudeAPO(BS97,BT97,BY97,BZ97,S98,S99,BI97-DaysForThetaCalculation/365.25,BL97-DaysForThetaCalculation/365.25,BN97,BO97,0,Strike1,AO97,CC97,0,BL97,IF(OptControl=4,0,1),0,1)-_xll.xCrudeAPO(BS97,BT97,BY97,BZ97,S98,S99,BI97,BL97,BN97,BO97,0,Strike1,AO97,CC97,0,BL97,IF(OptControl=4,0,1),0,1),0)</f>
        <v>0</v>
      </c>
      <c r="CH97" s="303">
        <f ca="1">IF(BD97,_xll.xCrudeAPO(BS97,BT97,CA97,CB97,S98,S99,BI97,BL97,BN97,BO97,0,Strike2,AO97,CC97,0,BL97,IF(OptControl=3,1,0),0,1),0)</f>
        <v>0</v>
      </c>
      <c r="CI97" s="155">
        <f ca="1">IF(BD97,_xll.xCrudeAPO(BS97,BT97,CA97,CB97,S98,S99,BI97,BL97,BN97,BO97,0,Strike2,AO97,CC97,0,BL97,IF(OptControl=3,1,0),1,1)+_xll.xCrudeAPO(BS97,BT97,CA97,CB97,S98,S99,BI97,BL97,BN97,BO97,0,Strike2,AO97,CC97,0,BL97,IF(OptControl=3,1,0),1,2)+IF(OR(VolSkewFlag=2,ABS(BR97)&lt;0.0001),0,IF(BR97&gt;0,-1,1)*CJ97*Strike2/BP97^2*BX97/10%),0)</f>
        <v>0</v>
      </c>
      <c r="CJ97" s="155">
        <f ca="1">IF(BD97,(_xll.xCrudeAPO(BS97,BT97,CA97,CB97,S98,S99,BI97,BL97,BN97,BO97,0,Strike2,AO97,CC97,0,BL97,IF(OptControl=3,1,0),3,1)+_xll.xCrudeAPO(BS97,BT97,CA97,CB97,S98,S99,BI97,BL97,BN97,BO97,0,Strike2,AO97,CC97,0,BL97,IF(OptControl=3,1,0),3,2))/100,0)</f>
        <v>0</v>
      </c>
      <c r="CK97" s="156">
        <f ca="1">IF(BD97,_xll.xCrudeAPO(BS97,BT97,CA97,CB97,S98,S99,BI97-DaysForThetaCalculation/365.25,BL97-DaysForThetaCalculation/365.25,BN97,BO97,0,Strike2,AO97,CC97,0,BL97,IF(OptControl=3,1,0),0,1)-_xll.xCrudeAPO(BS97,BT97,CA97,CB97,S98,S99,BI97,BL97,BN97,BO97,0,Strike2,AO97,CC97,0,BL97,IF(OptControl=3,1,0),0,1),0)</f>
        <v>0</v>
      </c>
      <c r="CL97" s="51"/>
      <c r="CM97" s="779" t="str">
        <f t="shared" ca="1" si="323"/>
        <v/>
      </c>
      <c r="CN97" s="783" t="str">
        <f t="shared" ca="1" si="324"/>
        <v/>
      </c>
      <c r="CO97" s="780" t="str">
        <f t="shared" ca="1" si="325"/>
        <v/>
      </c>
      <c r="CP97" s="780" t="str">
        <f t="shared" ca="1" si="326"/>
        <v/>
      </c>
      <c r="CQ97" s="780" t="str">
        <f t="shared" ca="1" si="327"/>
        <v/>
      </c>
      <c r="CR97" s="780" t="str">
        <f t="shared" ca="1" si="328"/>
        <v/>
      </c>
      <c r="CS97" s="781" t="str">
        <f t="shared" ca="1" si="329"/>
        <v/>
      </c>
      <c r="CT97" s="782" t="str">
        <f t="shared" ca="1" si="330"/>
        <v/>
      </c>
      <c r="CU97" s="782" t="str">
        <f t="shared" ca="1" si="331"/>
        <v/>
      </c>
      <c r="CV97" s="155">
        <f ca="1">IF(BD97,_xll.EURO(CN97,Strike1,AO97,AO97,CT97,CM97,IF(OptControl=4,0,1),0),0)</f>
        <v>0</v>
      </c>
      <c r="CW97" s="155">
        <f ca="1">IF(BD97,_xll.EURO(CN97,Strike1,AO97,AO97,CT97,CM97,IF(OptControl=4,0,1),1)+IF(OR(VolSkewFlag=2,ABS(CO97)&lt;0.0001),0,IF(CO97&gt;0,-1,1)*CX97*100*Strike1/CN97^2*CQ97/10%),0)</f>
        <v>0</v>
      </c>
      <c r="CX97" s="155">
        <f ca="1">IF(BD97,_xll.EURO(CN97,Strike1,AO97,AO97,CT97,CM97,IF(OptControl=4,0,1),3)/100,0)</f>
        <v>0</v>
      </c>
      <c r="CY97" s="155">
        <f ca="1">IF(BD97,_xll.EURO(CN97,Strike1,AO97,AO97,CT97,CM97,IF(OptControl=4,0,1),0)-_xll.EURO(CN97,Strike1,AO97,AO97,CT97,CM97-1,IF(OptControl=4,0,1),0),0)</f>
        <v>0</v>
      </c>
      <c r="CZ97" s="155">
        <f ca="1">IF(BD97,_xll.EURO(CN97,Strike2,AO97,AO97,CU97,CM97,IF(OptControl=3,1,0),0),0)</f>
        <v>0</v>
      </c>
      <c r="DA97" s="155">
        <f ca="1">IF(BD97,_xll.EURO(CN97,Strike2,AO97,AO97,CU97,CM97,IF(OptControl=3,1,0),1)+IF(OR(VolSkewFlag=2,ABS(CP97)&lt;0.0001),0,IF(CP97&gt;0,-1,1)*DB97*100*Strike2/CN97^2*CR97/10%),0)</f>
        <v>0</v>
      </c>
      <c r="DB97" s="155">
        <f ca="1">IF(BD97,_xll.EURO(CN97,Strike2,AO97,AO97,CU97,CM97,IF(OptControl=3,1,0),3)/100,0)</f>
        <v>0</v>
      </c>
      <c r="DC97" s="156">
        <f ca="1">IF(BD97,_xll.EURO(CN97,Strike2,AO97,AO97,CU97,CM97,IF(OptControl=3,1,0),0)-_xll.EURO(CN97,Strike2,AO97,AO97,CU97,CM97-1,IF(OptControl=3,1,0),0),0)</f>
        <v>0</v>
      </c>
      <c r="DE97" s="651">
        <f t="shared" ca="1" si="332"/>
        <v>39264</v>
      </c>
      <c r="DF97" s="465">
        <v>1E-4</v>
      </c>
      <c r="DG97" s="649">
        <v>1E-4</v>
      </c>
      <c r="DH97" s="650">
        <f t="shared" ca="1" si="306"/>
        <v>39264</v>
      </c>
      <c r="DI97" s="465">
        <v>1E-4</v>
      </c>
      <c r="DJ97" s="649">
        <v>1E-4</v>
      </c>
      <c r="DK97" s="651">
        <f t="shared" ca="1" si="307"/>
        <v>39264</v>
      </c>
      <c r="DL97" s="652">
        <f t="shared" si="308"/>
        <v>5.0100000000000006E-2</v>
      </c>
      <c r="DM97" s="651">
        <f t="shared" ca="1" si="333"/>
        <v>39264</v>
      </c>
      <c r="DN97" s="563">
        <f t="shared" si="334"/>
        <v>-0.12990000000000002</v>
      </c>
      <c r="DO97" s="803">
        <v>-0.13</v>
      </c>
      <c r="DP97" s="650">
        <f t="shared" ca="1" si="309"/>
        <v>39264</v>
      </c>
      <c r="DQ97" s="653">
        <v>1E-4</v>
      </c>
      <c r="DR97" s="590">
        <v>1E-4</v>
      </c>
      <c r="DS97" s="650">
        <f t="shared" ca="1" si="310"/>
        <v>39264</v>
      </c>
      <c r="DT97" s="653">
        <v>1E-4</v>
      </c>
      <c r="DU97" s="590">
        <v>1E-4</v>
      </c>
      <c r="DV97" s="651">
        <f t="shared" ca="1" si="311"/>
        <v>39264</v>
      </c>
      <c r="DW97" s="590">
        <v>1E-4</v>
      </c>
      <c r="DX97" s="651">
        <f t="shared" ca="1" si="335"/>
        <v>39264</v>
      </c>
      <c r="DY97" s="590">
        <f t="shared" si="336"/>
        <v>1E-4</v>
      </c>
      <c r="DZ97" s="1"/>
      <c r="EA97" s="857"/>
      <c r="EB97" s="857"/>
      <c r="EC97" s="857"/>
      <c r="ED97" s="868" t="e">
        <f t="shared" ca="1" si="436"/>
        <v>#NAME?</v>
      </c>
      <c r="EE97" s="863" t="e">
        <f t="shared" ca="1" si="312"/>
        <v>#NAME?</v>
      </c>
      <c r="EF97" s="590" t="e">
        <f t="shared" ca="1" si="313"/>
        <v>#NAME?</v>
      </c>
      <c r="EG97" s="862" t="str">
        <f t="shared" ca="1" si="314"/>
        <v/>
      </c>
      <c r="EH97" s="114" t="str">
        <f t="shared" ca="1" si="315"/>
        <v/>
      </c>
      <c r="EI97" s="109" t="str">
        <f t="shared" ca="1" si="316"/>
        <v/>
      </c>
      <c r="EJ97" s="115">
        <f ca="1">IF(BD97,_xll.xASN(BP97,Strike1,AO97,EH97,0,BM97,0,BI97,BL97,IF(OptControl=4,0,1),0),0)</f>
        <v>0</v>
      </c>
      <c r="EK97" s="108">
        <f ca="1">IF(BD97,_xll.xASN(BP97,Strike2,AO97,EI97,0,BM97,0,BI97,BL97,IF(OptControl=3,1,0),0),0)</f>
        <v>0</v>
      </c>
      <c r="EP97" s="53"/>
      <c r="EQ97" s="1"/>
      <c r="ER97" s="683">
        <v>45842</v>
      </c>
      <c r="ES97" s="684">
        <v>50764</v>
      </c>
      <c r="ET97" s="1"/>
      <c r="EU97" s="667" t="s">
        <v>309</v>
      </c>
      <c r="EW97" s="445"/>
      <c r="EX97" s="36"/>
      <c r="EY97" s="104"/>
      <c r="EZ97" s="465"/>
      <c r="FA97" s="446"/>
      <c r="FB97" s="446"/>
      <c r="FC97" s="242"/>
      <c r="FD97" s="242"/>
      <c r="FE97" s="242"/>
      <c r="FF97" s="242"/>
      <c r="FG97" s="242"/>
      <c r="FH97" s="242"/>
      <c r="FI97" s="242"/>
      <c r="FJ97" s="242"/>
      <c r="FK97" s="242"/>
      <c r="FL97" s="242"/>
      <c r="FM97" s="242"/>
      <c r="FN97" s="657">
        <v>3</v>
      </c>
      <c r="FO97" s="450">
        <f t="shared" ca="1" si="433"/>
        <v>0.332238789263953</v>
      </c>
      <c r="FP97" s="450">
        <f t="shared" ref="FP97:IA100" ca="1" si="438">IF($FN22&lt;FP$94,"",SQRT(FP22/FP$15))</f>
        <v>0.35826495155150762</v>
      </c>
      <c r="FQ97" s="450">
        <f t="shared" ca="1" si="438"/>
        <v>0.38950000000000001</v>
      </c>
      <c r="FR97" s="450" t="str">
        <f t="shared" si="438"/>
        <v/>
      </c>
      <c r="FS97" s="450" t="str">
        <f t="shared" si="438"/>
        <v/>
      </c>
      <c r="FT97" s="450" t="str">
        <f t="shared" si="438"/>
        <v/>
      </c>
      <c r="FU97" s="450" t="str">
        <f t="shared" si="438"/>
        <v/>
      </c>
      <c r="FV97" s="450" t="str">
        <f t="shared" si="438"/>
        <v/>
      </c>
      <c r="FW97" s="450" t="str">
        <f t="shared" si="438"/>
        <v/>
      </c>
      <c r="FX97" s="450" t="str">
        <f t="shared" si="438"/>
        <v/>
      </c>
      <c r="FY97" s="450" t="str">
        <f t="shared" si="438"/>
        <v/>
      </c>
      <c r="FZ97" s="450" t="str">
        <f t="shared" si="438"/>
        <v/>
      </c>
      <c r="GA97" s="450" t="str">
        <f t="shared" si="438"/>
        <v/>
      </c>
      <c r="GB97" s="450" t="str">
        <f t="shared" si="438"/>
        <v/>
      </c>
      <c r="GC97" s="450" t="str">
        <f t="shared" si="438"/>
        <v/>
      </c>
      <c r="GD97" s="450" t="str">
        <f t="shared" si="438"/>
        <v/>
      </c>
      <c r="GE97" s="450" t="str">
        <f t="shared" si="438"/>
        <v/>
      </c>
      <c r="GF97" s="450" t="str">
        <f t="shared" si="438"/>
        <v/>
      </c>
      <c r="GG97" s="450" t="str">
        <f t="shared" si="438"/>
        <v/>
      </c>
      <c r="GH97" s="450" t="str">
        <f t="shared" si="438"/>
        <v/>
      </c>
      <c r="GI97" s="450" t="str">
        <f t="shared" si="438"/>
        <v/>
      </c>
      <c r="GJ97" s="450" t="str">
        <f t="shared" si="438"/>
        <v/>
      </c>
      <c r="GK97" s="450" t="str">
        <f t="shared" si="438"/>
        <v/>
      </c>
      <c r="GL97" s="450" t="str">
        <f t="shared" si="438"/>
        <v/>
      </c>
      <c r="GM97" s="450" t="str">
        <f t="shared" si="438"/>
        <v/>
      </c>
      <c r="GN97" s="450" t="str">
        <f t="shared" si="438"/>
        <v/>
      </c>
      <c r="GO97" s="450" t="str">
        <f t="shared" si="438"/>
        <v/>
      </c>
      <c r="GP97" s="450" t="str">
        <f t="shared" si="438"/>
        <v/>
      </c>
      <c r="GQ97" s="450" t="str">
        <f t="shared" si="438"/>
        <v/>
      </c>
      <c r="GR97" s="450" t="str">
        <f t="shared" si="438"/>
        <v/>
      </c>
      <c r="GS97" s="450" t="str">
        <f t="shared" si="438"/>
        <v/>
      </c>
      <c r="GT97" s="450" t="str">
        <f t="shared" si="438"/>
        <v/>
      </c>
      <c r="GU97" s="450" t="str">
        <f t="shared" si="438"/>
        <v/>
      </c>
      <c r="GV97" s="450" t="str">
        <f t="shared" si="438"/>
        <v/>
      </c>
      <c r="GW97" s="450" t="str">
        <f t="shared" si="438"/>
        <v/>
      </c>
      <c r="GX97" s="450" t="str">
        <f t="shared" si="438"/>
        <v/>
      </c>
      <c r="GY97" s="450" t="str">
        <f t="shared" si="438"/>
        <v/>
      </c>
      <c r="GZ97" s="450" t="str">
        <f t="shared" si="438"/>
        <v/>
      </c>
      <c r="HA97" s="450" t="str">
        <f t="shared" si="438"/>
        <v/>
      </c>
      <c r="HB97" s="450" t="str">
        <f t="shared" si="438"/>
        <v/>
      </c>
      <c r="HC97" s="450" t="str">
        <f t="shared" si="438"/>
        <v/>
      </c>
      <c r="HD97" s="450" t="str">
        <f t="shared" si="438"/>
        <v/>
      </c>
      <c r="HE97" s="450" t="str">
        <f t="shared" si="438"/>
        <v/>
      </c>
      <c r="HF97" s="450" t="str">
        <f t="shared" si="438"/>
        <v/>
      </c>
      <c r="HG97" s="450" t="str">
        <f t="shared" si="438"/>
        <v/>
      </c>
      <c r="HH97" s="450" t="str">
        <f t="shared" si="438"/>
        <v/>
      </c>
      <c r="HI97" s="450" t="str">
        <f t="shared" si="438"/>
        <v/>
      </c>
      <c r="HJ97" s="450" t="str">
        <f t="shared" si="438"/>
        <v/>
      </c>
      <c r="HK97" s="450" t="str">
        <f t="shared" si="438"/>
        <v/>
      </c>
      <c r="HL97" s="450" t="str">
        <f t="shared" si="438"/>
        <v/>
      </c>
      <c r="HM97" s="450" t="str">
        <f t="shared" si="438"/>
        <v/>
      </c>
      <c r="HN97" s="450" t="str">
        <f t="shared" si="438"/>
        <v/>
      </c>
      <c r="HO97" s="450" t="str">
        <f t="shared" si="438"/>
        <v/>
      </c>
      <c r="HP97" s="450" t="str">
        <f t="shared" si="438"/>
        <v/>
      </c>
      <c r="HQ97" s="450" t="str">
        <f t="shared" si="438"/>
        <v/>
      </c>
      <c r="HR97" s="450" t="str">
        <f t="shared" si="438"/>
        <v/>
      </c>
      <c r="HS97" s="450" t="str">
        <f t="shared" si="438"/>
        <v/>
      </c>
      <c r="HT97" s="450" t="str">
        <f t="shared" si="438"/>
        <v/>
      </c>
      <c r="HU97" s="450" t="str">
        <f t="shared" si="438"/>
        <v/>
      </c>
      <c r="HV97" s="450" t="str">
        <f t="shared" si="438"/>
        <v/>
      </c>
      <c r="HW97" s="450" t="str">
        <f t="shared" si="438"/>
        <v/>
      </c>
      <c r="HX97" s="450" t="str">
        <f t="shared" si="438"/>
        <v/>
      </c>
      <c r="HY97" s="450" t="str">
        <f t="shared" si="438"/>
        <v/>
      </c>
      <c r="HZ97" s="450" t="str">
        <f t="shared" si="438"/>
        <v/>
      </c>
      <c r="IA97" s="450" t="str">
        <f t="shared" si="438"/>
        <v/>
      </c>
      <c r="IB97" s="450" t="str">
        <f t="shared" si="435"/>
        <v/>
      </c>
      <c r="IC97" s="450" t="str">
        <f t="shared" si="435"/>
        <v/>
      </c>
      <c r="ID97" s="450" t="str">
        <f t="shared" si="435"/>
        <v/>
      </c>
      <c r="IE97" s="450" t="str">
        <f t="shared" si="435"/>
        <v/>
      </c>
      <c r="IF97" s="450" t="str">
        <f t="shared" si="435"/>
        <v/>
      </c>
      <c r="IG97" s="450" t="str">
        <f t="shared" si="435"/>
        <v/>
      </c>
      <c r="IH97" s="658" t="str">
        <f t="shared" si="435"/>
        <v/>
      </c>
      <c r="II97" s="242"/>
    </row>
    <row r="98" spans="8:243">
      <c r="H98" s="49" t="e">
        <f t="shared" ca="1" si="317"/>
        <v>#N/A</v>
      </c>
      <c r="I98" s="369">
        <f t="shared" si="318"/>
        <v>39387</v>
      </c>
      <c r="J98" s="367">
        <v>21.66</v>
      </c>
      <c r="K98" s="101" t="s">
        <v>268</v>
      </c>
      <c r="L98" s="382">
        <f t="shared" si="319"/>
        <v>21.66</v>
      </c>
      <c r="M98" s="163">
        <v>0.18004999999999999</v>
      </c>
      <c r="N98" s="372">
        <v>0</v>
      </c>
      <c r="O98" s="163">
        <f t="shared" si="272"/>
        <v>0.18004999999999999</v>
      </c>
      <c r="P98" s="367">
        <v>20.414437172586098</v>
      </c>
      <c r="Q98" s="101" t="s">
        <v>267</v>
      </c>
      <c r="R98" s="367">
        <f t="shared" ca="1" si="417"/>
        <v>20.414437172586052</v>
      </c>
      <c r="S98" s="814">
        <f t="shared" si="163"/>
        <v>0.36306109837090494</v>
      </c>
      <c r="T98" s="813">
        <f t="shared" si="418"/>
        <v>0.99997894497819073</v>
      </c>
      <c r="U98" s="532">
        <f t="shared" si="419"/>
        <v>0.99999999999730305</v>
      </c>
      <c r="V98" s="379">
        <v>0</v>
      </c>
      <c r="W98" s="424">
        <f t="shared" si="273"/>
        <v>21.666060606060618</v>
      </c>
      <c r="X98" s="405">
        <f t="shared" si="274"/>
        <v>21.666060606060604</v>
      </c>
      <c r="Y98" s="313">
        <f t="shared" si="275"/>
        <v>20.42446060606062</v>
      </c>
      <c r="Z98" s="313">
        <f t="shared" ca="1" si="276"/>
        <v>20.424460606060606</v>
      </c>
      <c r="AA98" s="419">
        <f t="shared" si="277"/>
        <v>1.2416</v>
      </c>
      <c r="AB98" s="423">
        <f t="shared" ca="1" si="278"/>
        <v>1.2416</v>
      </c>
      <c r="AC98" s="221">
        <v>39375</v>
      </c>
      <c r="AD98" s="221">
        <v>39371</v>
      </c>
      <c r="AE98" s="221">
        <v>39370</v>
      </c>
      <c r="AF98" s="221">
        <v>39366</v>
      </c>
      <c r="AG98" s="241" t="s">
        <v>90</v>
      </c>
      <c r="AH98" s="239" t="s">
        <v>497</v>
      </c>
      <c r="AI98" s="141">
        <v>22</v>
      </c>
      <c r="AJ98" s="41">
        <v>14</v>
      </c>
      <c r="AK98" s="41">
        <v>8</v>
      </c>
      <c r="AL98" s="285">
        <v>22</v>
      </c>
      <c r="AM98" s="41">
        <v>10</v>
      </c>
      <c r="AN98" s="142">
        <v>12</v>
      </c>
      <c r="AO98" s="364">
        <v>5.5942673855339901E-2</v>
      </c>
      <c r="AP98" s="145">
        <f t="shared" ca="1" si="320"/>
        <v>0.69317629415900217</v>
      </c>
      <c r="AQ98" s="364">
        <v>4.8552729892945998E-2</v>
      </c>
      <c r="AR98" s="145">
        <f t="shared" ca="1" si="420"/>
        <v>0.73145038298457499</v>
      </c>
      <c r="AS98" s="264">
        <f t="shared" si="279"/>
        <v>0.1789590909090909</v>
      </c>
      <c r="AT98" s="149">
        <f t="shared" si="321"/>
        <v>0.18004999999999999</v>
      </c>
      <c r="AU98" s="149">
        <f t="shared" si="280"/>
        <v>0.17881363636363637</v>
      </c>
      <c r="AV98" s="263">
        <f t="shared" ca="1" si="430"/>
        <v>0.17649267774901603</v>
      </c>
      <c r="AW98" s="150" t="str">
        <f t="shared" ca="1" si="281"/>
        <v/>
      </c>
      <c r="AX98" s="149">
        <f t="shared" ca="1" si="421"/>
        <v>2.1681334497239229E-2</v>
      </c>
      <c r="AY98" s="149">
        <f t="shared" ca="1" si="422"/>
        <v>1.0081958339752624E-2</v>
      </c>
      <c r="AZ98" s="149">
        <f t="shared" ca="1" si="423"/>
        <v>6.1713508037216621E-3</v>
      </c>
      <c r="BA98" s="149">
        <f t="shared" ca="1" si="424"/>
        <v>1.0000000000000267E-4</v>
      </c>
      <c r="BB98" s="149">
        <f t="shared" ca="1" si="425"/>
        <v>1.0000000000000267E-4</v>
      </c>
      <c r="BC98" s="149">
        <f t="shared" ca="1" si="426"/>
        <v>1.0000000000000267E-4</v>
      </c>
      <c r="BD98" s="143">
        <f t="shared" ca="1" si="282"/>
        <v>0</v>
      </c>
      <c r="BE98" s="144">
        <f t="shared" ca="1" si="283"/>
        <v>0</v>
      </c>
      <c r="BF98" s="40">
        <f t="shared" si="284"/>
        <v>2007</v>
      </c>
      <c r="BG98" s="139">
        <f t="shared" si="285"/>
        <v>11</v>
      </c>
      <c r="BH98" s="140">
        <f t="shared" ca="1" si="286"/>
        <v>2381</v>
      </c>
      <c r="BI98" s="304">
        <f t="shared" ca="1" si="287"/>
        <v>6.5626283367556466</v>
      </c>
      <c r="BJ98" s="42">
        <f t="shared" ca="1" si="288"/>
        <v>6.6131541285545392</v>
      </c>
      <c r="BK98" s="42">
        <f t="shared" ca="1" si="289"/>
        <v>6.6158919793416713</v>
      </c>
      <c r="BL98" s="42">
        <f t="shared" ca="1" si="290"/>
        <v>6.6420260095824775</v>
      </c>
      <c r="BM98" s="285">
        <f t="shared" si="322"/>
        <v>22</v>
      </c>
      <c r="BN98" s="41">
        <f t="shared" si="291"/>
        <v>14</v>
      </c>
      <c r="BO98" s="41">
        <f t="shared" si="292"/>
        <v>8</v>
      </c>
      <c r="BP98" s="297" t="str">
        <f t="shared" ca="1" si="293"/>
        <v/>
      </c>
      <c r="BQ98" s="297" t="str">
        <f t="shared" ca="1" si="294"/>
        <v/>
      </c>
      <c r="BR98" s="299" t="str">
        <f t="shared" ca="1" si="295"/>
        <v/>
      </c>
      <c r="BS98" s="153" t="str">
        <f t="shared" ca="1" si="296"/>
        <v/>
      </c>
      <c r="BT98" s="153" t="str">
        <f t="shared" ca="1" si="297"/>
        <v/>
      </c>
      <c r="BU98" s="300" t="str">
        <f t="shared" ca="1" si="298"/>
        <v/>
      </c>
      <c r="BV98" s="301" t="str">
        <f t="shared" ca="1" si="299"/>
        <v/>
      </c>
      <c r="BW98" s="300" t="str">
        <f t="shared" ca="1" si="300"/>
        <v/>
      </c>
      <c r="BX98" s="301" t="str">
        <f t="shared" ca="1" si="301"/>
        <v/>
      </c>
      <c r="BY98" s="146" t="str">
        <f t="shared" ca="1" si="302"/>
        <v/>
      </c>
      <c r="BZ98" s="146" t="str">
        <f t="shared" ca="1" si="303"/>
        <v/>
      </c>
      <c r="CA98" s="146" t="str">
        <f t="shared" ca="1" si="304"/>
        <v/>
      </c>
      <c r="CB98" s="146" t="str">
        <f t="shared" ca="1" si="305"/>
        <v/>
      </c>
      <c r="CC98" s="302">
        <v>1</v>
      </c>
      <c r="CD98" s="154">
        <f ca="1">IF(BD98,_xll.xCrudeAPO(BS98,BT98,BY98,BZ98,S99,S100,BI98,BL98,BN98,BO98,0,Strike1,AO98,CC98,0,BL98,IF(OptControl=4,0,1),0,1),0)</f>
        <v>0</v>
      </c>
      <c r="CE98" s="155">
        <f ca="1">IF(BD98,_xll.xCrudeAPO(BS98,BT98,BY98,BZ98,S99,S100,BI98,BL98,BN98,BO98,0,Strike1,AO98,CC98,0,BL98,IF(OptControl=4,0,1),1,1)+_xll.xCrudeAPO(BS98,BT98,BY98,BZ98,S99,S100,BI98,BL98,BN98,BO98,0,Strike1,AO98,CC98,0,BL98,IF(OptControl=4,0,1),1,2)+IF(OR(VolSkewFlag=2,ABS(BQ98)&lt;0.0001),0,IF(BQ98&gt;0,-1,1)*CF98*Strike1/BP98^2*BW98/10%),0)</f>
        <v>0</v>
      </c>
      <c r="CF98" s="155">
        <f ca="1">IF(BD98,(_xll.xCrudeAPO(BS98,BT98,BY98,BZ98,S99,S100,BI98,BL98,BN98,BO98,0,Strike1,AO98,CC98,0,BL98,IF(OptControl=4,0,1),3,1)+_xll.xCrudeAPO(BS98,BT98,BY98,BZ98,S99,S100,BI98,BL98,BN98,BO98,0,Strike1,AO98,CC98,0,BL98,IF(OptControl=4,0,1),3,2))/100,0)</f>
        <v>0</v>
      </c>
      <c r="CG98" s="155">
        <f ca="1">IF(BD98,_xll.xCrudeAPO(BS98,BT98,BY98,BZ98,S99,S100,BI98-DaysForThetaCalculation/365.25,BL98-DaysForThetaCalculation/365.25,BN98,BO98,0,Strike1,AO98,CC98,0,BL98,IF(OptControl=4,0,1),0,1)-_xll.xCrudeAPO(BS98,BT98,BY98,BZ98,S99,S100,BI98,BL98,BN98,BO98,0,Strike1,AO98,CC98,0,BL98,IF(OptControl=4,0,1),0,1),0)</f>
        <v>0</v>
      </c>
      <c r="CH98" s="303">
        <f ca="1">IF(BD98,_xll.xCrudeAPO(BS98,BT98,CA98,CB98,S99,S100,BI98,BL98,BN98,BO98,0,Strike2,AO98,CC98,0,BL98,IF(OptControl=3,1,0),0,1),0)</f>
        <v>0</v>
      </c>
      <c r="CI98" s="155">
        <f ca="1">IF(BD98,_xll.xCrudeAPO(BS98,BT98,CA98,CB98,S99,S100,BI98,BL98,BN98,BO98,0,Strike2,AO98,CC98,0,BL98,IF(OptControl=3,1,0),1,1)+_xll.xCrudeAPO(BS98,BT98,CA98,CB98,S99,S100,BI98,BL98,BN98,BO98,0,Strike2,AO98,CC98,0,BL98,IF(OptControl=3,1,0),1,2)+IF(OR(VolSkewFlag=2,ABS(BR98)&lt;0.0001),0,IF(BR98&gt;0,-1,1)*CJ98*Strike2/BP98^2*BX98/10%),0)</f>
        <v>0</v>
      </c>
      <c r="CJ98" s="155">
        <f ca="1">IF(BD98,(_xll.xCrudeAPO(BS98,BT98,CA98,CB98,S99,S100,BI98,BL98,BN98,BO98,0,Strike2,AO98,CC98,0,BL98,IF(OptControl=3,1,0),3,1)+_xll.xCrudeAPO(BS98,BT98,CA98,CB98,S99,S100,BI98,BL98,BN98,BO98,0,Strike2,AO98,CC98,0,BL98,IF(OptControl=3,1,0),3,2))/100,0)</f>
        <v>0</v>
      </c>
      <c r="CK98" s="156">
        <f ca="1">IF(BD98,_xll.xCrudeAPO(BS98,BT98,CA98,CB98,S99,S100,BI98-DaysForThetaCalculation/365.25,BL98-DaysForThetaCalculation/365.25,BN98,BO98,0,Strike2,AO98,CC98,0,BL98,IF(OptControl=3,1,0),0,1)-_xll.xCrudeAPO(BS98,BT98,CA98,CB98,S99,S100,BI98,BL98,BN98,BO98,0,Strike2,AO98,CC98,0,BL98,IF(OptControl=3,1,0),0,1),0)</f>
        <v>0</v>
      </c>
      <c r="CL98" s="51"/>
      <c r="CM98" s="779" t="str">
        <f t="shared" ca="1" si="323"/>
        <v/>
      </c>
      <c r="CN98" s="783" t="str">
        <f t="shared" ca="1" si="324"/>
        <v/>
      </c>
      <c r="CO98" s="780" t="str">
        <f t="shared" ca="1" si="325"/>
        <v/>
      </c>
      <c r="CP98" s="780" t="str">
        <f t="shared" ca="1" si="326"/>
        <v/>
      </c>
      <c r="CQ98" s="780" t="str">
        <f t="shared" ca="1" si="327"/>
        <v/>
      </c>
      <c r="CR98" s="780" t="str">
        <f t="shared" ca="1" si="328"/>
        <v/>
      </c>
      <c r="CS98" s="781" t="str">
        <f t="shared" ca="1" si="329"/>
        <v/>
      </c>
      <c r="CT98" s="782" t="str">
        <f t="shared" ca="1" si="330"/>
        <v/>
      </c>
      <c r="CU98" s="782" t="str">
        <f t="shared" ca="1" si="331"/>
        <v/>
      </c>
      <c r="CV98" s="155">
        <f ca="1">IF(BD98,_xll.EURO(CN98,Strike1,AO98,AO98,CT98,CM98,IF(OptControl=4,0,1),0),0)</f>
        <v>0</v>
      </c>
      <c r="CW98" s="155">
        <f ca="1">IF(BD98,_xll.EURO(CN98,Strike1,AO98,AO98,CT98,CM98,IF(OptControl=4,0,1),1)+IF(OR(VolSkewFlag=2,ABS(CO98)&lt;0.0001),0,IF(CO98&gt;0,-1,1)*CX98*100*Strike1/CN98^2*CQ98/10%),0)</f>
        <v>0</v>
      </c>
      <c r="CX98" s="155">
        <f ca="1">IF(BD98,_xll.EURO(CN98,Strike1,AO98,AO98,CT98,CM98,IF(OptControl=4,0,1),3)/100,0)</f>
        <v>0</v>
      </c>
      <c r="CY98" s="155">
        <f ca="1">IF(BD98,_xll.EURO(CN98,Strike1,AO98,AO98,CT98,CM98,IF(OptControl=4,0,1),0)-_xll.EURO(CN98,Strike1,AO98,AO98,CT98,CM98-1,IF(OptControl=4,0,1),0),0)</f>
        <v>0</v>
      </c>
      <c r="CZ98" s="155">
        <f ca="1">IF(BD98,_xll.EURO(CN98,Strike2,AO98,AO98,CU98,CM98,IF(OptControl=3,1,0),0),0)</f>
        <v>0</v>
      </c>
      <c r="DA98" s="155">
        <f ca="1">IF(BD98,_xll.EURO(CN98,Strike2,AO98,AO98,CU98,CM98,IF(OptControl=3,1,0),1)+IF(OR(VolSkewFlag=2,ABS(CP98)&lt;0.0001),0,IF(CP98&gt;0,-1,1)*DB98*100*Strike2/CN98^2*CR98/10%),0)</f>
        <v>0</v>
      </c>
      <c r="DB98" s="155">
        <f ca="1">IF(BD98,_xll.EURO(CN98,Strike2,AO98,AO98,CU98,CM98,IF(OptControl=3,1,0),3)/100,0)</f>
        <v>0</v>
      </c>
      <c r="DC98" s="156">
        <f ca="1">IF(BD98,_xll.EURO(CN98,Strike2,AO98,AO98,CU98,CM98,IF(OptControl=3,1,0),0)-_xll.EURO(CN98,Strike2,AO98,AO98,CU98,CM98-1,IF(OptControl=3,1,0),0),0)</f>
        <v>0</v>
      </c>
      <c r="DE98" s="651">
        <f t="shared" ca="1" si="332"/>
        <v>39295</v>
      </c>
      <c r="DF98" s="465">
        <v>1E-4</v>
      </c>
      <c r="DG98" s="649">
        <v>1E-4</v>
      </c>
      <c r="DH98" s="650">
        <f t="shared" ca="1" si="306"/>
        <v>39295</v>
      </c>
      <c r="DI98" s="465">
        <v>1E-4</v>
      </c>
      <c r="DJ98" s="649">
        <v>1E-4</v>
      </c>
      <c r="DK98" s="651">
        <f t="shared" ca="1" si="307"/>
        <v>39295</v>
      </c>
      <c r="DL98" s="652">
        <f t="shared" si="308"/>
        <v>5.0100000000000006E-2</v>
      </c>
      <c r="DM98" s="651">
        <f t="shared" ca="1" si="333"/>
        <v>39295</v>
      </c>
      <c r="DN98" s="563">
        <f t="shared" si="334"/>
        <v>-0.12990000000000002</v>
      </c>
      <c r="DO98" s="803">
        <v>-0.13</v>
      </c>
      <c r="DP98" s="650">
        <f t="shared" ca="1" si="309"/>
        <v>39295</v>
      </c>
      <c r="DQ98" s="653">
        <v>1E-4</v>
      </c>
      <c r="DR98" s="590">
        <v>1E-4</v>
      </c>
      <c r="DS98" s="650">
        <f t="shared" ca="1" si="310"/>
        <v>39295</v>
      </c>
      <c r="DT98" s="653">
        <v>1E-4</v>
      </c>
      <c r="DU98" s="590">
        <v>1E-4</v>
      </c>
      <c r="DV98" s="651">
        <f t="shared" ca="1" si="311"/>
        <v>39295</v>
      </c>
      <c r="DW98" s="590">
        <v>1E-4</v>
      </c>
      <c r="DX98" s="651">
        <f t="shared" ca="1" si="335"/>
        <v>39295</v>
      </c>
      <c r="DY98" s="590">
        <f t="shared" si="336"/>
        <v>1E-4</v>
      </c>
      <c r="DZ98" s="1"/>
      <c r="EA98" s="857"/>
      <c r="EB98" s="857"/>
      <c r="EC98" s="857"/>
      <c r="ED98" s="868" t="e">
        <f t="shared" ca="1" si="436"/>
        <v>#NAME?</v>
      </c>
      <c r="EE98" s="863" t="e">
        <f t="shared" ca="1" si="312"/>
        <v>#NAME?</v>
      </c>
      <c r="EF98" s="590" t="e">
        <f t="shared" ca="1" si="313"/>
        <v>#NAME?</v>
      </c>
      <c r="EG98" s="862" t="str">
        <f t="shared" ca="1" si="314"/>
        <v/>
      </c>
      <c r="EH98" s="114" t="str">
        <f t="shared" ca="1" si="315"/>
        <v/>
      </c>
      <c r="EI98" s="109" t="str">
        <f t="shared" ca="1" si="316"/>
        <v/>
      </c>
      <c r="EJ98" s="115">
        <f ca="1">IF(BD98,_xll.xASN(BP98,Strike1,AO98,EH98,0,BM98,0,BI98,BL98,IF(OptControl=4,0,1),0),0)</f>
        <v>0</v>
      </c>
      <c r="EK98" s="108">
        <f ca="1">IF(BD98,_xll.xASN(BP98,Strike2,AO98,EI98,0,BM98,0,BI98,BL98,IF(OptControl=3,1,0),0),0)</f>
        <v>0</v>
      </c>
      <c r="EP98" s="53"/>
      <c r="EQ98" s="1"/>
      <c r="ER98" s="103"/>
      <c r="ES98" s="103"/>
      <c r="ET98" s="1"/>
      <c r="EU98" s="667" t="s">
        <v>310</v>
      </c>
      <c r="EW98" s="445"/>
      <c r="EX98" s="36"/>
      <c r="EY98" s="104"/>
      <c r="EZ98" s="465"/>
      <c r="FA98" s="446"/>
      <c r="FB98" s="446"/>
      <c r="FC98" s="242"/>
      <c r="FD98" s="242"/>
      <c r="FE98" s="242"/>
      <c r="FF98" s="242"/>
      <c r="FG98" s="242"/>
      <c r="FH98" s="242"/>
      <c r="FI98" s="242"/>
      <c r="FJ98" s="242"/>
      <c r="FK98" s="242"/>
      <c r="FL98" s="242"/>
      <c r="FM98" s="242"/>
      <c r="FN98" s="657">
        <v>4</v>
      </c>
      <c r="FO98" s="450">
        <f t="shared" ca="1" si="433"/>
        <v>0.31052168675999448</v>
      </c>
      <c r="FP98" s="450">
        <f t="shared" ca="1" si="438"/>
        <v>0.33214268066392383</v>
      </c>
      <c r="FQ98" s="450">
        <f t="shared" ca="1" si="438"/>
        <v>0.35780563751105698</v>
      </c>
      <c r="FR98" s="450">
        <f t="shared" ca="1" si="438"/>
        <v>0.38900499999999999</v>
      </c>
      <c r="FS98" s="450" t="str">
        <f t="shared" si="438"/>
        <v/>
      </c>
      <c r="FT98" s="450" t="str">
        <f t="shared" si="438"/>
        <v/>
      </c>
      <c r="FU98" s="450" t="str">
        <f t="shared" si="438"/>
        <v/>
      </c>
      <c r="FV98" s="450" t="str">
        <f t="shared" si="438"/>
        <v/>
      </c>
      <c r="FW98" s="450" t="str">
        <f t="shared" si="438"/>
        <v/>
      </c>
      <c r="FX98" s="450" t="str">
        <f t="shared" si="438"/>
        <v/>
      </c>
      <c r="FY98" s="450" t="str">
        <f t="shared" si="438"/>
        <v/>
      </c>
      <c r="FZ98" s="450" t="str">
        <f t="shared" si="438"/>
        <v/>
      </c>
      <c r="GA98" s="450" t="str">
        <f t="shared" si="438"/>
        <v/>
      </c>
      <c r="GB98" s="450" t="str">
        <f t="shared" si="438"/>
        <v/>
      </c>
      <c r="GC98" s="450" t="str">
        <f t="shared" si="438"/>
        <v/>
      </c>
      <c r="GD98" s="450" t="str">
        <f t="shared" si="438"/>
        <v/>
      </c>
      <c r="GE98" s="450" t="str">
        <f t="shared" si="438"/>
        <v/>
      </c>
      <c r="GF98" s="450" t="str">
        <f t="shared" si="438"/>
        <v/>
      </c>
      <c r="GG98" s="450" t="str">
        <f t="shared" si="438"/>
        <v/>
      </c>
      <c r="GH98" s="450" t="str">
        <f t="shared" si="438"/>
        <v/>
      </c>
      <c r="GI98" s="450" t="str">
        <f t="shared" si="438"/>
        <v/>
      </c>
      <c r="GJ98" s="450" t="str">
        <f t="shared" si="438"/>
        <v/>
      </c>
      <c r="GK98" s="450" t="str">
        <f t="shared" si="438"/>
        <v/>
      </c>
      <c r="GL98" s="450" t="str">
        <f t="shared" si="438"/>
        <v/>
      </c>
      <c r="GM98" s="450" t="str">
        <f t="shared" si="438"/>
        <v/>
      </c>
      <c r="GN98" s="450" t="str">
        <f t="shared" si="438"/>
        <v/>
      </c>
      <c r="GO98" s="450" t="str">
        <f t="shared" si="438"/>
        <v/>
      </c>
      <c r="GP98" s="450" t="str">
        <f t="shared" si="438"/>
        <v/>
      </c>
      <c r="GQ98" s="450" t="str">
        <f t="shared" si="438"/>
        <v/>
      </c>
      <c r="GR98" s="450" t="str">
        <f t="shared" si="438"/>
        <v/>
      </c>
      <c r="GS98" s="450" t="str">
        <f t="shared" si="438"/>
        <v/>
      </c>
      <c r="GT98" s="450" t="str">
        <f t="shared" si="438"/>
        <v/>
      </c>
      <c r="GU98" s="450" t="str">
        <f t="shared" si="438"/>
        <v/>
      </c>
      <c r="GV98" s="450" t="str">
        <f t="shared" si="438"/>
        <v/>
      </c>
      <c r="GW98" s="450" t="str">
        <f t="shared" si="438"/>
        <v/>
      </c>
      <c r="GX98" s="450" t="str">
        <f t="shared" si="438"/>
        <v/>
      </c>
      <c r="GY98" s="450" t="str">
        <f t="shared" si="438"/>
        <v/>
      </c>
      <c r="GZ98" s="450" t="str">
        <f t="shared" si="438"/>
        <v/>
      </c>
      <c r="HA98" s="450" t="str">
        <f t="shared" si="438"/>
        <v/>
      </c>
      <c r="HB98" s="450" t="str">
        <f t="shared" si="438"/>
        <v/>
      </c>
      <c r="HC98" s="450" t="str">
        <f t="shared" si="438"/>
        <v/>
      </c>
      <c r="HD98" s="450" t="str">
        <f t="shared" si="438"/>
        <v/>
      </c>
      <c r="HE98" s="450" t="str">
        <f t="shared" si="438"/>
        <v/>
      </c>
      <c r="HF98" s="450" t="str">
        <f t="shared" si="438"/>
        <v/>
      </c>
      <c r="HG98" s="450" t="str">
        <f t="shared" si="438"/>
        <v/>
      </c>
      <c r="HH98" s="450" t="str">
        <f t="shared" si="438"/>
        <v/>
      </c>
      <c r="HI98" s="450" t="str">
        <f t="shared" si="438"/>
        <v/>
      </c>
      <c r="HJ98" s="450" t="str">
        <f t="shared" si="438"/>
        <v/>
      </c>
      <c r="HK98" s="450" t="str">
        <f t="shared" si="438"/>
        <v/>
      </c>
      <c r="HL98" s="450" t="str">
        <f t="shared" si="438"/>
        <v/>
      </c>
      <c r="HM98" s="450" t="str">
        <f t="shared" si="438"/>
        <v/>
      </c>
      <c r="HN98" s="450" t="str">
        <f t="shared" si="438"/>
        <v/>
      </c>
      <c r="HO98" s="450" t="str">
        <f t="shared" si="438"/>
        <v/>
      </c>
      <c r="HP98" s="450" t="str">
        <f t="shared" si="438"/>
        <v/>
      </c>
      <c r="HQ98" s="450" t="str">
        <f t="shared" si="438"/>
        <v/>
      </c>
      <c r="HR98" s="450" t="str">
        <f t="shared" si="438"/>
        <v/>
      </c>
      <c r="HS98" s="450" t="str">
        <f t="shared" si="438"/>
        <v/>
      </c>
      <c r="HT98" s="450" t="str">
        <f t="shared" si="438"/>
        <v/>
      </c>
      <c r="HU98" s="450" t="str">
        <f t="shared" si="438"/>
        <v/>
      </c>
      <c r="HV98" s="450" t="str">
        <f t="shared" si="438"/>
        <v/>
      </c>
      <c r="HW98" s="450" t="str">
        <f t="shared" si="438"/>
        <v/>
      </c>
      <c r="HX98" s="450" t="str">
        <f t="shared" si="438"/>
        <v/>
      </c>
      <c r="HY98" s="450" t="str">
        <f t="shared" si="438"/>
        <v/>
      </c>
      <c r="HZ98" s="450" t="str">
        <f t="shared" si="438"/>
        <v/>
      </c>
      <c r="IA98" s="450" t="str">
        <f t="shared" si="438"/>
        <v/>
      </c>
      <c r="IB98" s="450" t="str">
        <f t="shared" si="435"/>
        <v/>
      </c>
      <c r="IC98" s="450" t="str">
        <f t="shared" si="435"/>
        <v/>
      </c>
      <c r="ID98" s="450" t="str">
        <f t="shared" si="435"/>
        <v/>
      </c>
      <c r="IE98" s="450" t="str">
        <f t="shared" si="435"/>
        <v/>
      </c>
      <c r="IF98" s="450" t="str">
        <f t="shared" si="435"/>
        <v/>
      </c>
      <c r="IG98" s="450" t="str">
        <f t="shared" si="435"/>
        <v/>
      </c>
      <c r="IH98" s="658" t="str">
        <f t="shared" si="435"/>
        <v/>
      </c>
      <c r="II98" s="242"/>
    </row>
    <row r="99" spans="8:243">
      <c r="H99" s="49" t="e">
        <f t="shared" ca="1" si="317"/>
        <v>#N/A</v>
      </c>
      <c r="I99" s="369">
        <f t="shared" si="318"/>
        <v>39417</v>
      </c>
      <c r="J99" s="367">
        <v>21.66</v>
      </c>
      <c r="K99" s="101">
        <v>0</v>
      </c>
      <c r="L99" s="382">
        <f t="shared" si="319"/>
        <v>21.66</v>
      </c>
      <c r="M99" s="163">
        <v>0.17924999999999999</v>
      </c>
      <c r="N99" s="372">
        <v>0</v>
      </c>
      <c r="O99" s="163">
        <f t="shared" si="272"/>
        <v>0.17924999999999999</v>
      </c>
      <c r="P99" s="367">
        <v>20.421448328780002</v>
      </c>
      <c r="Q99" s="101" t="s">
        <v>267</v>
      </c>
      <c r="R99" s="367">
        <f t="shared" ca="1" si="417"/>
        <v>20.42144832877996</v>
      </c>
      <c r="S99" s="814">
        <f t="shared" si="163"/>
        <v>0.36283048738719592</v>
      </c>
      <c r="T99" s="813">
        <f t="shared" si="418"/>
        <v>0.99998105050052344</v>
      </c>
      <c r="U99" s="532">
        <f t="shared" si="419"/>
        <v>0.99999999999797728</v>
      </c>
      <c r="V99" s="379">
        <v>0</v>
      </c>
      <c r="W99" s="424">
        <f t="shared" si="273"/>
        <v>21.681666666666679</v>
      </c>
      <c r="X99" s="405">
        <f t="shared" si="274"/>
        <v>21.681666666666665</v>
      </c>
      <c r="Y99" s="313">
        <f t="shared" si="275"/>
        <v>20.440066666666681</v>
      </c>
      <c r="Z99" s="313">
        <f t="shared" ca="1" si="276"/>
        <v>20.440066666666667</v>
      </c>
      <c r="AA99" s="419">
        <f t="shared" si="277"/>
        <v>1.2416</v>
      </c>
      <c r="AB99" s="423">
        <f t="shared" ca="1" si="278"/>
        <v>1.2416</v>
      </c>
      <c r="AC99" s="221">
        <v>39406</v>
      </c>
      <c r="AD99" s="221">
        <v>39402</v>
      </c>
      <c r="AE99" s="221">
        <v>39401</v>
      </c>
      <c r="AF99" s="221">
        <v>39397</v>
      </c>
      <c r="AG99" s="241" t="s">
        <v>495</v>
      </c>
      <c r="AH99" s="239" t="s">
        <v>497</v>
      </c>
      <c r="AI99" s="141">
        <v>20</v>
      </c>
      <c r="AJ99" s="41">
        <v>14</v>
      </c>
      <c r="AK99" s="41">
        <v>6</v>
      </c>
      <c r="AL99" s="285">
        <v>20</v>
      </c>
      <c r="AM99" s="41">
        <v>10</v>
      </c>
      <c r="AN99" s="142">
        <v>10</v>
      </c>
      <c r="AO99" s="364">
        <v>5.6056406686873402E-2</v>
      </c>
      <c r="AP99" s="145">
        <f t="shared" ca="1" si="320"/>
        <v>0.68942455869161234</v>
      </c>
      <c r="AQ99" s="364">
        <v>4.8696717229368004E-2</v>
      </c>
      <c r="AR99" s="145">
        <f t="shared" ca="1" si="420"/>
        <v>0.72780233933681071</v>
      </c>
      <c r="AS99" s="264">
        <f t="shared" si="279"/>
        <v>0.17812</v>
      </c>
      <c r="AT99" s="149">
        <f t="shared" si="321"/>
        <v>0.17924999999999999</v>
      </c>
      <c r="AU99" s="149">
        <f t="shared" si="280"/>
        <v>0.1779</v>
      </c>
      <c r="AV99" s="263">
        <f t="shared" ca="1" si="430"/>
        <v>0.17559868423277314</v>
      </c>
      <c r="AW99" s="150" t="str">
        <f t="shared" ca="1" si="281"/>
        <v/>
      </c>
      <c r="AX99" s="149">
        <f t="shared" ca="1" si="421"/>
        <v>2.1376750476237254E-2</v>
      </c>
      <c r="AY99" s="149">
        <f t="shared" ca="1" si="422"/>
        <v>9.9084894904453748E-3</v>
      </c>
      <c r="AZ99" s="149">
        <f t="shared" ca="1" si="423"/>
        <v>6.0978012022241609E-3</v>
      </c>
      <c r="BA99" s="149">
        <f t="shared" ca="1" si="424"/>
        <v>1.0000000000000273E-4</v>
      </c>
      <c r="BB99" s="149">
        <f t="shared" ca="1" si="425"/>
        <v>1.0000000000000273E-4</v>
      </c>
      <c r="BC99" s="149">
        <f t="shared" ca="1" si="426"/>
        <v>1.0000000000000273E-4</v>
      </c>
      <c r="BD99" s="143">
        <f t="shared" ca="1" si="282"/>
        <v>0</v>
      </c>
      <c r="BE99" s="144">
        <f t="shared" ca="1" si="283"/>
        <v>0</v>
      </c>
      <c r="BF99" s="40">
        <f t="shared" si="284"/>
        <v>2007</v>
      </c>
      <c r="BG99" s="139">
        <f t="shared" si="285"/>
        <v>12</v>
      </c>
      <c r="BH99" s="140">
        <f t="shared" ca="1" si="286"/>
        <v>2412</v>
      </c>
      <c r="BI99" s="304">
        <f t="shared" ca="1" si="287"/>
        <v>6.6447638603696095</v>
      </c>
      <c r="BJ99" s="42">
        <f t="shared" ca="1" si="288"/>
        <v>6.7022587268993838</v>
      </c>
      <c r="BK99" s="42">
        <f t="shared" ca="1" si="289"/>
        <v>6.7049965776865159</v>
      </c>
      <c r="BL99" s="42">
        <f t="shared" ca="1" si="290"/>
        <v>6.7268993839835725</v>
      </c>
      <c r="BM99" s="285">
        <f t="shared" si="322"/>
        <v>20</v>
      </c>
      <c r="BN99" s="41">
        <f t="shared" si="291"/>
        <v>14</v>
      </c>
      <c r="BO99" s="41">
        <f t="shared" si="292"/>
        <v>6</v>
      </c>
      <c r="BP99" s="297" t="str">
        <f t="shared" ca="1" si="293"/>
        <v/>
      </c>
      <c r="BQ99" s="297" t="str">
        <f t="shared" ca="1" si="294"/>
        <v/>
      </c>
      <c r="BR99" s="299" t="str">
        <f t="shared" ca="1" si="295"/>
        <v/>
      </c>
      <c r="BS99" s="153" t="str">
        <f t="shared" ca="1" si="296"/>
        <v/>
      </c>
      <c r="BT99" s="153" t="str">
        <f t="shared" ca="1" si="297"/>
        <v/>
      </c>
      <c r="BU99" s="300" t="str">
        <f t="shared" ca="1" si="298"/>
        <v/>
      </c>
      <c r="BV99" s="301" t="str">
        <f t="shared" ca="1" si="299"/>
        <v/>
      </c>
      <c r="BW99" s="300" t="str">
        <f t="shared" ca="1" si="300"/>
        <v/>
      </c>
      <c r="BX99" s="301" t="str">
        <f t="shared" ca="1" si="301"/>
        <v/>
      </c>
      <c r="BY99" s="146" t="str">
        <f t="shared" ca="1" si="302"/>
        <v/>
      </c>
      <c r="BZ99" s="146" t="str">
        <f t="shared" ca="1" si="303"/>
        <v/>
      </c>
      <c r="CA99" s="146" t="str">
        <f t="shared" ca="1" si="304"/>
        <v/>
      </c>
      <c r="CB99" s="146" t="str">
        <f t="shared" ca="1" si="305"/>
        <v/>
      </c>
      <c r="CC99" s="302">
        <v>1</v>
      </c>
      <c r="CD99" s="154">
        <f ca="1">IF(BD99,_xll.xCrudeAPO(BS99,BT99,BY99,BZ99,S100,S101,BI99,BL99,BN99,BO99,0,Strike1,AO99,CC99,0,BL99,IF(OptControl=4,0,1),0,1),0)</f>
        <v>0</v>
      </c>
      <c r="CE99" s="155">
        <f ca="1">IF(BD99,_xll.xCrudeAPO(BS99,BT99,BY99,BZ99,S100,S101,BI99,BL99,BN99,BO99,0,Strike1,AO99,CC99,0,BL99,IF(OptControl=4,0,1),1,1)+_xll.xCrudeAPO(BS99,BT99,BY99,BZ99,S100,S101,BI99,BL99,BN99,BO99,0,Strike1,AO99,CC99,0,BL99,IF(OptControl=4,0,1),1,2)+IF(OR(VolSkewFlag=2,ABS(BQ99)&lt;0.0001),0,IF(BQ99&gt;0,-1,1)*CF99*Strike1/BP99^2*BW99/10%),0)</f>
        <v>0</v>
      </c>
      <c r="CF99" s="155">
        <f ca="1">IF(BD99,(_xll.xCrudeAPO(BS99,BT99,BY99,BZ99,S100,S101,BI99,BL99,BN99,BO99,0,Strike1,AO99,CC99,0,BL99,IF(OptControl=4,0,1),3,1)+_xll.xCrudeAPO(BS99,BT99,BY99,BZ99,S100,S101,BI99,BL99,BN99,BO99,0,Strike1,AO99,CC99,0,BL99,IF(OptControl=4,0,1),3,2))/100,0)</f>
        <v>0</v>
      </c>
      <c r="CG99" s="155">
        <f ca="1">IF(BD99,_xll.xCrudeAPO(BS99,BT99,BY99,BZ99,S100,S101,BI99-DaysForThetaCalculation/365.25,BL99-DaysForThetaCalculation/365.25,BN99,BO99,0,Strike1,AO99,CC99,0,BL99,IF(OptControl=4,0,1),0,1)-_xll.xCrudeAPO(BS99,BT99,BY99,BZ99,S100,S101,BI99,BL99,BN99,BO99,0,Strike1,AO99,CC99,0,BL99,IF(OptControl=4,0,1),0,1),0)</f>
        <v>0</v>
      </c>
      <c r="CH99" s="303">
        <f ca="1">IF(BD99,_xll.xCrudeAPO(BS99,BT99,CA99,CB99,S100,S101,BI99,BL99,BN99,BO99,0,Strike2,AO99,CC99,0,BL99,IF(OptControl=3,1,0),0,1),0)</f>
        <v>0</v>
      </c>
      <c r="CI99" s="155">
        <f ca="1">IF(BD99,_xll.xCrudeAPO(BS99,BT99,CA99,CB99,S100,S101,BI99,BL99,BN99,BO99,0,Strike2,AO99,CC99,0,BL99,IF(OptControl=3,1,0),1,1)+_xll.xCrudeAPO(BS99,BT99,CA99,CB99,S100,S101,BI99,BL99,BN99,BO99,0,Strike2,AO99,CC99,0,BL99,IF(OptControl=3,1,0),1,2)+IF(OR(VolSkewFlag=2,ABS(BR99)&lt;0.0001),0,IF(BR99&gt;0,-1,1)*CJ99*Strike2/BP99^2*BX99/10%),0)</f>
        <v>0</v>
      </c>
      <c r="CJ99" s="155">
        <f ca="1">IF(BD99,(_xll.xCrudeAPO(BS99,BT99,CA99,CB99,S100,S101,BI99,BL99,BN99,BO99,0,Strike2,AO99,CC99,0,BL99,IF(OptControl=3,1,0),3,1)+_xll.xCrudeAPO(BS99,BT99,CA99,CB99,S100,S101,BI99,BL99,BN99,BO99,0,Strike2,AO99,CC99,0,BL99,IF(OptControl=3,1,0),3,2))/100,0)</f>
        <v>0</v>
      </c>
      <c r="CK99" s="156">
        <f ca="1">IF(BD99,_xll.xCrudeAPO(BS99,BT99,CA99,CB99,S100,S101,BI99-DaysForThetaCalculation/365.25,BL99-DaysForThetaCalculation/365.25,BN99,BO99,0,Strike2,AO99,CC99,0,BL99,IF(OptControl=3,1,0),0,1)-_xll.xCrudeAPO(BS99,BT99,CA99,CB99,S100,S101,BI99,BL99,BN99,BO99,0,Strike2,AO99,CC99,0,BL99,IF(OptControl=3,1,0),0,1),0)</f>
        <v>0</v>
      </c>
      <c r="CL99" s="51"/>
      <c r="CM99" s="779" t="str">
        <f t="shared" ca="1" si="323"/>
        <v/>
      </c>
      <c r="CN99" s="783" t="str">
        <f t="shared" ca="1" si="324"/>
        <v/>
      </c>
      <c r="CO99" s="780" t="str">
        <f t="shared" ca="1" si="325"/>
        <v/>
      </c>
      <c r="CP99" s="780" t="str">
        <f t="shared" ca="1" si="326"/>
        <v/>
      </c>
      <c r="CQ99" s="780" t="str">
        <f t="shared" ca="1" si="327"/>
        <v/>
      </c>
      <c r="CR99" s="780" t="str">
        <f t="shared" ca="1" si="328"/>
        <v/>
      </c>
      <c r="CS99" s="781" t="str">
        <f t="shared" ca="1" si="329"/>
        <v/>
      </c>
      <c r="CT99" s="782" t="str">
        <f t="shared" ca="1" si="330"/>
        <v/>
      </c>
      <c r="CU99" s="782" t="str">
        <f t="shared" ca="1" si="331"/>
        <v/>
      </c>
      <c r="CV99" s="155">
        <f ca="1">IF(BD99,_xll.EURO(CN99,Strike1,AO99,AO99,CT99,CM99,IF(OptControl=4,0,1),0),0)</f>
        <v>0</v>
      </c>
      <c r="CW99" s="155">
        <f ca="1">IF(BD99,_xll.EURO(CN99,Strike1,AO99,AO99,CT99,CM99,IF(OptControl=4,0,1),1)+IF(OR(VolSkewFlag=2,ABS(CO99)&lt;0.0001),0,IF(CO99&gt;0,-1,1)*CX99*100*Strike1/CN99^2*CQ99/10%),0)</f>
        <v>0</v>
      </c>
      <c r="CX99" s="155">
        <f ca="1">IF(BD99,_xll.EURO(CN99,Strike1,AO99,AO99,CT99,CM99,IF(OptControl=4,0,1),3)/100,0)</f>
        <v>0</v>
      </c>
      <c r="CY99" s="155">
        <f ca="1">IF(BD99,_xll.EURO(CN99,Strike1,AO99,AO99,CT99,CM99,IF(OptControl=4,0,1),0)-_xll.EURO(CN99,Strike1,AO99,AO99,CT99,CM99-1,IF(OptControl=4,0,1),0),0)</f>
        <v>0</v>
      </c>
      <c r="CZ99" s="155">
        <f ca="1">IF(BD99,_xll.EURO(CN99,Strike2,AO99,AO99,CU99,CM99,IF(OptControl=3,1,0),0),0)</f>
        <v>0</v>
      </c>
      <c r="DA99" s="155">
        <f ca="1">IF(BD99,_xll.EURO(CN99,Strike2,AO99,AO99,CU99,CM99,IF(OptControl=3,1,0),1)+IF(OR(VolSkewFlag=2,ABS(CP99)&lt;0.0001),0,IF(CP99&gt;0,-1,1)*DB99*100*Strike2/CN99^2*CR99/10%),0)</f>
        <v>0</v>
      </c>
      <c r="DB99" s="155">
        <f ca="1">IF(BD99,_xll.EURO(CN99,Strike2,AO99,AO99,CU99,CM99,IF(OptControl=3,1,0),3)/100,0)</f>
        <v>0</v>
      </c>
      <c r="DC99" s="156">
        <f ca="1">IF(BD99,_xll.EURO(CN99,Strike2,AO99,AO99,CU99,CM99,IF(OptControl=3,1,0),0)-_xll.EURO(CN99,Strike2,AO99,AO99,CU99,CM99-1,IF(OptControl=3,1,0),0),0)</f>
        <v>0</v>
      </c>
      <c r="DE99" s="651">
        <f t="shared" ca="1" si="332"/>
        <v>39326</v>
      </c>
      <c r="DF99" s="465">
        <v>1E-4</v>
      </c>
      <c r="DG99" s="649">
        <v>1E-4</v>
      </c>
      <c r="DH99" s="650">
        <f t="shared" ca="1" si="306"/>
        <v>39326</v>
      </c>
      <c r="DI99" s="465">
        <v>1E-4</v>
      </c>
      <c r="DJ99" s="649">
        <v>1E-4</v>
      </c>
      <c r="DK99" s="651">
        <f t="shared" ca="1" si="307"/>
        <v>39326</v>
      </c>
      <c r="DL99" s="652">
        <f t="shared" si="308"/>
        <v>5.0100000000000006E-2</v>
      </c>
      <c r="DM99" s="651">
        <f t="shared" ca="1" si="333"/>
        <v>39326</v>
      </c>
      <c r="DN99" s="563">
        <f t="shared" si="334"/>
        <v>-0.12990000000000002</v>
      </c>
      <c r="DO99" s="803">
        <v>-0.13</v>
      </c>
      <c r="DP99" s="650">
        <f t="shared" ca="1" si="309"/>
        <v>39326</v>
      </c>
      <c r="DQ99" s="653">
        <v>1E-4</v>
      </c>
      <c r="DR99" s="590">
        <v>1E-4</v>
      </c>
      <c r="DS99" s="650">
        <f t="shared" ca="1" si="310"/>
        <v>39326</v>
      </c>
      <c r="DT99" s="653">
        <v>1E-4</v>
      </c>
      <c r="DU99" s="590">
        <v>1E-4</v>
      </c>
      <c r="DV99" s="651">
        <f t="shared" ca="1" si="311"/>
        <v>39326</v>
      </c>
      <c r="DW99" s="590">
        <v>1E-4</v>
      </c>
      <c r="DX99" s="651">
        <f t="shared" ca="1" si="335"/>
        <v>39326</v>
      </c>
      <c r="DY99" s="590">
        <f t="shared" si="336"/>
        <v>1E-4</v>
      </c>
      <c r="DZ99" s="1"/>
      <c r="EA99" s="857"/>
      <c r="EB99" s="857"/>
      <c r="EC99" s="857"/>
      <c r="ED99" s="868" t="e">
        <f t="shared" ca="1" si="436"/>
        <v>#NAME?</v>
      </c>
      <c r="EE99" s="863" t="e">
        <f t="shared" ca="1" si="312"/>
        <v>#NAME?</v>
      </c>
      <c r="EF99" s="590" t="e">
        <f t="shared" ca="1" si="313"/>
        <v>#NAME?</v>
      </c>
      <c r="EG99" s="862" t="str">
        <f t="shared" ca="1" si="314"/>
        <v/>
      </c>
      <c r="EH99" s="114" t="str">
        <f t="shared" ca="1" si="315"/>
        <v/>
      </c>
      <c r="EI99" s="109" t="str">
        <f t="shared" ca="1" si="316"/>
        <v/>
      </c>
      <c r="EJ99" s="115">
        <f ca="1">IF(BD99,_xll.xASN(BP99,Strike1,AO99,EH99,0,BM99,0,BI99,BL99,IF(OptControl=4,0,1),0),0)</f>
        <v>0</v>
      </c>
      <c r="EK99" s="108">
        <f ca="1">IF(BD99,_xll.xASN(BP99,Strike2,AO99,EI99,0,BM99,0,BI99,BL99,IF(OptControl=3,1,0),0),0)</f>
        <v>0</v>
      </c>
      <c r="EP99" s="53"/>
      <c r="EQ99" s="1"/>
      <c r="ER99" s="103"/>
      <c r="ES99" s="103"/>
      <c r="ET99" s="1"/>
      <c r="EU99" s="667" t="s">
        <v>311</v>
      </c>
      <c r="EW99" s="445"/>
      <c r="EX99" s="36"/>
      <c r="EY99" s="104"/>
      <c r="EZ99" s="465"/>
      <c r="FA99" s="446"/>
      <c r="FB99" s="446"/>
      <c r="FC99" s="242"/>
      <c r="FD99" s="242"/>
      <c r="FE99" s="242"/>
      <c r="FF99" s="242"/>
      <c r="FG99" s="242"/>
      <c r="FH99" s="242"/>
      <c r="FI99" s="242"/>
      <c r="FJ99" s="242"/>
      <c r="FK99" s="242"/>
      <c r="FL99" s="242"/>
      <c r="FM99" s="242"/>
      <c r="FN99" s="657">
        <v>5</v>
      </c>
      <c r="FO99" s="450">
        <f t="shared" ca="1" si="433"/>
        <v>0.29231732715599107</v>
      </c>
      <c r="FP99" s="450">
        <f t="shared" ca="1" si="438"/>
        <v>0.31043186038945142</v>
      </c>
      <c r="FQ99" s="450">
        <f t="shared" ca="1" si="438"/>
        <v>0.33171685671435469</v>
      </c>
      <c r="FR99" s="450">
        <f t="shared" ca="1" si="438"/>
        <v>0.35735091661101082</v>
      </c>
      <c r="FS99" s="450">
        <f t="shared" ca="1" si="438"/>
        <v>0.38851494999999997</v>
      </c>
      <c r="FT99" s="450" t="str">
        <f t="shared" si="438"/>
        <v/>
      </c>
      <c r="FU99" s="450" t="str">
        <f t="shared" si="438"/>
        <v/>
      </c>
      <c r="FV99" s="450" t="str">
        <f t="shared" si="438"/>
        <v/>
      </c>
      <c r="FW99" s="450" t="str">
        <f t="shared" si="438"/>
        <v/>
      </c>
      <c r="FX99" s="450" t="str">
        <f t="shared" si="438"/>
        <v/>
      </c>
      <c r="FY99" s="450" t="str">
        <f t="shared" si="438"/>
        <v/>
      </c>
      <c r="FZ99" s="450" t="str">
        <f t="shared" si="438"/>
        <v/>
      </c>
      <c r="GA99" s="450" t="str">
        <f t="shared" si="438"/>
        <v/>
      </c>
      <c r="GB99" s="450" t="str">
        <f t="shared" si="438"/>
        <v/>
      </c>
      <c r="GC99" s="450" t="str">
        <f t="shared" si="438"/>
        <v/>
      </c>
      <c r="GD99" s="450" t="str">
        <f t="shared" si="438"/>
        <v/>
      </c>
      <c r="GE99" s="450" t="str">
        <f t="shared" si="438"/>
        <v/>
      </c>
      <c r="GF99" s="450" t="str">
        <f t="shared" si="438"/>
        <v/>
      </c>
      <c r="GG99" s="450" t="str">
        <f t="shared" si="438"/>
        <v/>
      </c>
      <c r="GH99" s="450" t="str">
        <f t="shared" si="438"/>
        <v/>
      </c>
      <c r="GI99" s="450" t="str">
        <f t="shared" si="438"/>
        <v/>
      </c>
      <c r="GJ99" s="450" t="str">
        <f t="shared" si="438"/>
        <v/>
      </c>
      <c r="GK99" s="450" t="str">
        <f t="shared" si="438"/>
        <v/>
      </c>
      <c r="GL99" s="450" t="str">
        <f t="shared" si="438"/>
        <v/>
      </c>
      <c r="GM99" s="450" t="str">
        <f t="shared" si="438"/>
        <v/>
      </c>
      <c r="GN99" s="450" t="str">
        <f t="shared" si="438"/>
        <v/>
      </c>
      <c r="GO99" s="450" t="str">
        <f t="shared" si="438"/>
        <v/>
      </c>
      <c r="GP99" s="450" t="str">
        <f t="shared" si="438"/>
        <v/>
      </c>
      <c r="GQ99" s="450" t="str">
        <f t="shared" si="438"/>
        <v/>
      </c>
      <c r="GR99" s="450" t="str">
        <f t="shared" si="438"/>
        <v/>
      </c>
      <c r="GS99" s="450" t="str">
        <f t="shared" si="438"/>
        <v/>
      </c>
      <c r="GT99" s="450" t="str">
        <f t="shared" si="438"/>
        <v/>
      </c>
      <c r="GU99" s="450" t="str">
        <f t="shared" si="438"/>
        <v/>
      </c>
      <c r="GV99" s="450" t="str">
        <f t="shared" si="438"/>
        <v/>
      </c>
      <c r="GW99" s="450" t="str">
        <f t="shared" si="438"/>
        <v/>
      </c>
      <c r="GX99" s="450" t="str">
        <f t="shared" si="438"/>
        <v/>
      </c>
      <c r="GY99" s="450" t="str">
        <f t="shared" si="438"/>
        <v/>
      </c>
      <c r="GZ99" s="450" t="str">
        <f t="shared" si="438"/>
        <v/>
      </c>
      <c r="HA99" s="450" t="str">
        <f t="shared" si="438"/>
        <v/>
      </c>
      <c r="HB99" s="450" t="str">
        <f t="shared" si="438"/>
        <v/>
      </c>
      <c r="HC99" s="450" t="str">
        <f t="shared" si="438"/>
        <v/>
      </c>
      <c r="HD99" s="450" t="str">
        <f t="shared" si="438"/>
        <v/>
      </c>
      <c r="HE99" s="450" t="str">
        <f t="shared" si="438"/>
        <v/>
      </c>
      <c r="HF99" s="450" t="str">
        <f t="shared" si="438"/>
        <v/>
      </c>
      <c r="HG99" s="450" t="str">
        <f t="shared" si="438"/>
        <v/>
      </c>
      <c r="HH99" s="450" t="str">
        <f t="shared" si="438"/>
        <v/>
      </c>
      <c r="HI99" s="450" t="str">
        <f t="shared" si="438"/>
        <v/>
      </c>
      <c r="HJ99" s="450" t="str">
        <f t="shared" si="438"/>
        <v/>
      </c>
      <c r="HK99" s="450" t="str">
        <f t="shared" si="438"/>
        <v/>
      </c>
      <c r="HL99" s="450" t="str">
        <f t="shared" si="438"/>
        <v/>
      </c>
      <c r="HM99" s="450" t="str">
        <f t="shared" si="438"/>
        <v/>
      </c>
      <c r="HN99" s="450" t="str">
        <f t="shared" si="438"/>
        <v/>
      </c>
      <c r="HO99" s="450" t="str">
        <f t="shared" si="438"/>
        <v/>
      </c>
      <c r="HP99" s="450" t="str">
        <f t="shared" si="438"/>
        <v/>
      </c>
      <c r="HQ99" s="450" t="str">
        <f t="shared" si="438"/>
        <v/>
      </c>
      <c r="HR99" s="450" t="str">
        <f t="shared" si="438"/>
        <v/>
      </c>
      <c r="HS99" s="450" t="str">
        <f t="shared" si="438"/>
        <v/>
      </c>
      <c r="HT99" s="450" t="str">
        <f t="shared" si="438"/>
        <v/>
      </c>
      <c r="HU99" s="450" t="str">
        <f t="shared" si="438"/>
        <v/>
      </c>
      <c r="HV99" s="450" t="str">
        <f t="shared" si="438"/>
        <v/>
      </c>
      <c r="HW99" s="450" t="str">
        <f t="shared" si="438"/>
        <v/>
      </c>
      <c r="HX99" s="450" t="str">
        <f t="shared" si="438"/>
        <v/>
      </c>
      <c r="HY99" s="450" t="str">
        <f t="shared" si="438"/>
        <v/>
      </c>
      <c r="HZ99" s="450" t="str">
        <f t="shared" si="438"/>
        <v/>
      </c>
      <c r="IA99" s="450" t="str">
        <f t="shared" si="438"/>
        <v/>
      </c>
      <c r="IB99" s="450" t="str">
        <f t="shared" si="435"/>
        <v/>
      </c>
      <c r="IC99" s="450" t="str">
        <f t="shared" si="435"/>
        <v/>
      </c>
      <c r="ID99" s="450" t="str">
        <f t="shared" si="435"/>
        <v/>
      </c>
      <c r="IE99" s="450" t="str">
        <f t="shared" si="435"/>
        <v/>
      </c>
      <c r="IF99" s="450" t="str">
        <f t="shared" si="435"/>
        <v/>
      </c>
      <c r="IG99" s="450" t="str">
        <f t="shared" si="435"/>
        <v/>
      </c>
      <c r="IH99" s="658" t="str">
        <f t="shared" si="435"/>
        <v/>
      </c>
      <c r="II99" s="242"/>
    </row>
    <row r="100" spans="8:243">
      <c r="H100" s="49" t="e">
        <f t="shared" ca="1" si="317"/>
        <v>#N/A</v>
      </c>
      <c r="I100" s="369">
        <f t="shared" si="318"/>
        <v>39448</v>
      </c>
      <c r="J100" s="367">
        <v>21.676666666666698</v>
      </c>
      <c r="K100" s="101" t="s">
        <v>267</v>
      </c>
      <c r="L100" s="382">
        <f t="shared" si="319"/>
        <v>21.676666666666666</v>
      </c>
      <c r="M100" s="163">
        <v>0.17845</v>
      </c>
      <c r="N100" s="372">
        <v>0</v>
      </c>
      <c r="O100" s="163">
        <f t="shared" si="272"/>
        <v>0.17845</v>
      </c>
      <c r="P100" s="367">
        <v>20.426970837127801</v>
      </c>
      <c r="Q100" s="101" t="s">
        <v>267</v>
      </c>
      <c r="R100" s="367">
        <f t="shared" ca="1" si="417"/>
        <v>20.426970837127808</v>
      </c>
      <c r="S100" s="814">
        <f t="shared" si="163"/>
        <v>0.36260218251332399</v>
      </c>
      <c r="T100" s="813">
        <f t="shared" si="418"/>
        <v>0.99998294546678179</v>
      </c>
      <c r="U100" s="532">
        <f t="shared" si="419"/>
        <v>0.99999999999848299</v>
      </c>
      <c r="V100" s="379">
        <v>0</v>
      </c>
      <c r="W100" s="424">
        <f t="shared" si="273"/>
        <v>21.700151515151493</v>
      </c>
      <c r="X100" s="405">
        <f t="shared" si="274"/>
        <v>21.700151515151514</v>
      </c>
      <c r="Y100" s="313">
        <f t="shared" si="275"/>
        <v>20.484151515151492</v>
      </c>
      <c r="Z100" s="313">
        <f t="shared" ca="1" si="276"/>
        <v>20.484151515151513</v>
      </c>
      <c r="AA100" s="419">
        <f t="shared" si="277"/>
        <v>1.216</v>
      </c>
      <c r="AB100" s="423">
        <f t="shared" ca="1" si="278"/>
        <v>1.216</v>
      </c>
      <c r="AC100" s="221">
        <v>39436</v>
      </c>
      <c r="AD100" s="221">
        <v>39432</v>
      </c>
      <c r="AE100" s="221">
        <v>39431</v>
      </c>
      <c r="AF100" s="221">
        <v>39427</v>
      </c>
      <c r="AG100" s="241" t="s">
        <v>497</v>
      </c>
      <c r="AH100" s="239" t="s">
        <v>497</v>
      </c>
      <c r="AI100" s="141">
        <v>22</v>
      </c>
      <c r="AJ100" s="41">
        <v>13</v>
      </c>
      <c r="AK100" s="41">
        <v>9</v>
      </c>
      <c r="AL100" s="285">
        <v>22</v>
      </c>
      <c r="AM100" s="41">
        <v>9</v>
      </c>
      <c r="AN100" s="142">
        <v>13</v>
      </c>
      <c r="AO100" s="364">
        <v>5.6173930617314606E-2</v>
      </c>
      <c r="AP100" s="145">
        <f t="shared" ca="1" si="320"/>
        <v>0.68566305735075628</v>
      </c>
      <c r="AQ100" s="364">
        <v>4.8845504296482802E-2</v>
      </c>
      <c r="AR100" s="145">
        <f t="shared" ca="1" si="420"/>
        <v>0.72422824730919466</v>
      </c>
      <c r="AS100" s="264">
        <f t="shared" si="279"/>
        <v>0.17710454545454543</v>
      </c>
      <c r="AT100" s="149">
        <f t="shared" si="321"/>
        <v>0.17845</v>
      </c>
      <c r="AU100" s="149">
        <f t="shared" si="280"/>
        <v>0.17699545454545451</v>
      </c>
      <c r="AV100" s="263">
        <f t="shared" ca="1" si="430"/>
        <v>0.17494327512553584</v>
      </c>
      <c r="AW100" s="150" t="str">
        <f t="shared" ca="1" si="281"/>
        <v/>
      </c>
      <c r="AX100" s="149">
        <f t="shared" ca="1" si="421"/>
        <v>2.1076445316661526E-2</v>
      </c>
      <c r="AY100" s="149">
        <f t="shared" ca="1" si="422"/>
        <v>9.7380053233462761E-3</v>
      </c>
      <c r="AZ100" s="149">
        <f t="shared" ca="1" si="423"/>
        <v>6.0251281582344883E-3</v>
      </c>
      <c r="BA100" s="149">
        <f t="shared" ca="1" si="424"/>
        <v>1.0000000000000278E-4</v>
      </c>
      <c r="BB100" s="149">
        <f t="shared" ca="1" si="425"/>
        <v>1.0000000000000278E-4</v>
      </c>
      <c r="BC100" s="149">
        <f t="shared" ca="1" si="426"/>
        <v>1.0000000000000278E-4</v>
      </c>
      <c r="BD100" s="143">
        <f t="shared" ca="1" si="282"/>
        <v>0</v>
      </c>
      <c r="BE100" s="144">
        <f t="shared" ca="1" si="283"/>
        <v>0</v>
      </c>
      <c r="BF100" s="40">
        <f t="shared" si="284"/>
        <v>2008</v>
      </c>
      <c r="BG100" s="139">
        <f t="shared" si="285"/>
        <v>1</v>
      </c>
      <c r="BH100" s="140">
        <f t="shared" ca="1" si="286"/>
        <v>2442</v>
      </c>
      <c r="BI100" s="304">
        <f t="shared" ca="1" si="287"/>
        <v>6.7296372347707054</v>
      </c>
      <c r="BJ100" s="42">
        <f t="shared" ca="1" si="288"/>
        <v>6.7781718623607743</v>
      </c>
      <c r="BK100" s="42">
        <f t="shared" ca="1" si="289"/>
        <v>6.7809097131479064</v>
      </c>
      <c r="BL100" s="42">
        <f t="shared" ca="1" si="290"/>
        <v>6.8117727583846683</v>
      </c>
      <c r="BM100" s="285">
        <f t="shared" si="322"/>
        <v>22</v>
      </c>
      <c r="BN100" s="41">
        <f t="shared" si="291"/>
        <v>13</v>
      </c>
      <c r="BO100" s="41">
        <f t="shared" si="292"/>
        <v>9</v>
      </c>
      <c r="BP100" s="297" t="str">
        <f t="shared" ca="1" si="293"/>
        <v/>
      </c>
      <c r="BQ100" s="297" t="str">
        <f t="shared" ca="1" si="294"/>
        <v/>
      </c>
      <c r="BR100" s="299" t="str">
        <f t="shared" ca="1" si="295"/>
        <v/>
      </c>
      <c r="BS100" s="153" t="str">
        <f t="shared" ca="1" si="296"/>
        <v/>
      </c>
      <c r="BT100" s="153" t="str">
        <f t="shared" ca="1" si="297"/>
        <v/>
      </c>
      <c r="BU100" s="300" t="str">
        <f t="shared" ca="1" si="298"/>
        <v/>
      </c>
      <c r="BV100" s="301" t="str">
        <f t="shared" ca="1" si="299"/>
        <v/>
      </c>
      <c r="BW100" s="300" t="str">
        <f t="shared" ca="1" si="300"/>
        <v/>
      </c>
      <c r="BX100" s="301" t="str">
        <f t="shared" ca="1" si="301"/>
        <v/>
      </c>
      <c r="BY100" s="146" t="str">
        <f t="shared" ca="1" si="302"/>
        <v/>
      </c>
      <c r="BZ100" s="146" t="str">
        <f t="shared" ca="1" si="303"/>
        <v/>
      </c>
      <c r="CA100" s="146" t="str">
        <f t="shared" ca="1" si="304"/>
        <v/>
      </c>
      <c r="CB100" s="146" t="str">
        <f t="shared" ca="1" si="305"/>
        <v/>
      </c>
      <c r="CC100" s="302">
        <v>1</v>
      </c>
      <c r="CD100" s="154">
        <f ca="1">IF(BD100,_xll.xCrudeAPO(BS100,BT100,BY100,BZ100,S101,S102,BI100,BL100,BN100,BO100,0,Strike1,AO100,CC100,0,BL100,IF(OptControl=4,0,1),0,1),0)</f>
        <v>0</v>
      </c>
      <c r="CE100" s="155">
        <f ca="1">IF(BD100,_xll.xCrudeAPO(BS100,BT100,BY100,BZ100,S101,S102,BI100,BL100,BN100,BO100,0,Strike1,AO100,CC100,0,BL100,IF(OptControl=4,0,1),1,1)+_xll.xCrudeAPO(BS100,BT100,BY100,BZ100,S101,S102,BI100,BL100,BN100,BO100,0,Strike1,AO100,CC100,0,BL100,IF(OptControl=4,0,1),1,2)+IF(OR(VolSkewFlag=2,ABS(BQ100)&lt;0.0001),0,IF(BQ100&gt;0,-1,1)*CF100*Strike1/BP100^2*BW100/10%),0)</f>
        <v>0</v>
      </c>
      <c r="CF100" s="155">
        <f ca="1">IF(BD100,(_xll.xCrudeAPO(BS100,BT100,BY100,BZ100,S101,S102,BI100,BL100,BN100,BO100,0,Strike1,AO100,CC100,0,BL100,IF(OptControl=4,0,1),3,1)+_xll.xCrudeAPO(BS100,BT100,BY100,BZ100,S101,S102,BI100,BL100,BN100,BO100,0,Strike1,AO100,CC100,0,BL100,IF(OptControl=4,0,1),3,2))/100,0)</f>
        <v>0</v>
      </c>
      <c r="CG100" s="155">
        <f ca="1">IF(BD100,_xll.xCrudeAPO(BS100,BT100,BY100,BZ100,S101,S102,BI100-DaysForThetaCalculation/365.25,BL100-DaysForThetaCalculation/365.25,BN100,BO100,0,Strike1,AO100,CC100,0,BL100,IF(OptControl=4,0,1),0,1)-_xll.xCrudeAPO(BS100,BT100,BY100,BZ100,S101,S102,BI100,BL100,BN100,BO100,0,Strike1,AO100,CC100,0,BL100,IF(OptControl=4,0,1),0,1),0)</f>
        <v>0</v>
      </c>
      <c r="CH100" s="303">
        <f ca="1">IF(BD100,_xll.xCrudeAPO(BS100,BT100,CA100,CB100,S101,S102,BI100,BL100,BN100,BO100,0,Strike2,AO100,CC100,0,BL100,IF(OptControl=3,1,0),0,1),0)</f>
        <v>0</v>
      </c>
      <c r="CI100" s="155">
        <f ca="1">IF(BD100,_xll.xCrudeAPO(BS100,BT100,CA100,CB100,S101,S102,BI100,BL100,BN100,BO100,0,Strike2,AO100,CC100,0,BL100,IF(OptControl=3,1,0),1,1)+_xll.xCrudeAPO(BS100,BT100,CA100,CB100,S101,S102,BI100,BL100,BN100,BO100,0,Strike2,AO100,CC100,0,BL100,IF(OptControl=3,1,0),1,2)+IF(OR(VolSkewFlag=2,ABS(BR100)&lt;0.0001),0,IF(BR100&gt;0,-1,1)*CJ100*Strike2/BP100^2*BX100/10%),0)</f>
        <v>0</v>
      </c>
      <c r="CJ100" s="155">
        <f ca="1">IF(BD100,(_xll.xCrudeAPO(BS100,BT100,CA100,CB100,S101,S102,BI100,BL100,BN100,BO100,0,Strike2,AO100,CC100,0,BL100,IF(OptControl=3,1,0),3,1)+_xll.xCrudeAPO(BS100,BT100,CA100,CB100,S101,S102,BI100,BL100,BN100,BO100,0,Strike2,AO100,CC100,0,BL100,IF(OptControl=3,1,0),3,2))/100,0)</f>
        <v>0</v>
      </c>
      <c r="CK100" s="156">
        <f ca="1">IF(BD100,_xll.xCrudeAPO(BS100,BT100,CA100,CB100,S101,S102,BI100-DaysForThetaCalculation/365.25,BL100-DaysForThetaCalculation/365.25,BN100,BO100,0,Strike2,AO100,CC100,0,BL100,IF(OptControl=3,1,0),0,1)-_xll.xCrudeAPO(BS100,BT100,CA100,CB100,S101,S102,BI100,BL100,BN100,BO100,0,Strike2,AO100,CC100,0,BL100,IF(OptControl=3,1,0),0,1),0)</f>
        <v>0</v>
      </c>
      <c r="CL100" s="51"/>
      <c r="CM100" s="779" t="str">
        <f t="shared" ca="1" si="323"/>
        <v/>
      </c>
      <c r="CN100" s="783" t="str">
        <f t="shared" ca="1" si="324"/>
        <v/>
      </c>
      <c r="CO100" s="780" t="str">
        <f t="shared" ca="1" si="325"/>
        <v/>
      </c>
      <c r="CP100" s="780" t="str">
        <f t="shared" ca="1" si="326"/>
        <v/>
      </c>
      <c r="CQ100" s="780" t="str">
        <f t="shared" ca="1" si="327"/>
        <v/>
      </c>
      <c r="CR100" s="780" t="str">
        <f t="shared" ca="1" si="328"/>
        <v/>
      </c>
      <c r="CS100" s="781" t="str">
        <f t="shared" ca="1" si="329"/>
        <v/>
      </c>
      <c r="CT100" s="782" t="str">
        <f t="shared" ca="1" si="330"/>
        <v/>
      </c>
      <c r="CU100" s="782" t="str">
        <f t="shared" ca="1" si="331"/>
        <v/>
      </c>
      <c r="CV100" s="155">
        <f ca="1">IF(BD100,_xll.EURO(CN100,Strike1,AO100,AO100,CT100,CM100,IF(OptControl=4,0,1),0),0)</f>
        <v>0</v>
      </c>
      <c r="CW100" s="155">
        <f ca="1">IF(BD100,_xll.EURO(CN100,Strike1,AO100,AO100,CT100,CM100,IF(OptControl=4,0,1),1)+IF(OR(VolSkewFlag=2,ABS(CO100)&lt;0.0001),0,IF(CO100&gt;0,-1,1)*CX100*100*Strike1/CN100^2*CQ100/10%),0)</f>
        <v>0</v>
      </c>
      <c r="CX100" s="155">
        <f ca="1">IF(BD100,_xll.EURO(CN100,Strike1,AO100,AO100,CT100,CM100,IF(OptControl=4,0,1),3)/100,0)</f>
        <v>0</v>
      </c>
      <c r="CY100" s="155">
        <f ca="1">IF(BD100,_xll.EURO(CN100,Strike1,AO100,AO100,CT100,CM100,IF(OptControl=4,0,1),0)-_xll.EURO(CN100,Strike1,AO100,AO100,CT100,CM100-1,IF(OptControl=4,0,1),0),0)</f>
        <v>0</v>
      </c>
      <c r="CZ100" s="155">
        <f ca="1">IF(BD100,_xll.EURO(CN100,Strike2,AO100,AO100,CU100,CM100,IF(OptControl=3,1,0),0),0)</f>
        <v>0</v>
      </c>
      <c r="DA100" s="155">
        <f ca="1">IF(BD100,_xll.EURO(CN100,Strike2,AO100,AO100,CU100,CM100,IF(OptControl=3,1,0),1)+IF(OR(VolSkewFlag=2,ABS(CP100)&lt;0.0001),0,IF(CP100&gt;0,-1,1)*DB100*100*Strike2/CN100^2*CR100/10%),0)</f>
        <v>0</v>
      </c>
      <c r="DB100" s="155">
        <f ca="1">IF(BD100,_xll.EURO(CN100,Strike2,AO100,AO100,CU100,CM100,IF(OptControl=3,1,0),3)/100,0)</f>
        <v>0</v>
      </c>
      <c r="DC100" s="156">
        <f ca="1">IF(BD100,_xll.EURO(CN100,Strike2,AO100,AO100,CU100,CM100,IF(OptControl=3,1,0),0)-_xll.EURO(CN100,Strike2,AO100,AO100,CU100,CM100-1,IF(OptControl=3,1,0),0),0)</f>
        <v>0</v>
      </c>
      <c r="DE100" s="651">
        <f t="shared" ca="1" si="332"/>
        <v>39356</v>
      </c>
      <c r="DF100" s="465">
        <v>1E-4</v>
      </c>
      <c r="DG100" s="649">
        <v>1E-4</v>
      </c>
      <c r="DH100" s="650">
        <f t="shared" ca="1" si="306"/>
        <v>39356</v>
      </c>
      <c r="DI100" s="465">
        <v>1E-4</v>
      </c>
      <c r="DJ100" s="649">
        <v>1E-4</v>
      </c>
      <c r="DK100" s="651">
        <f t="shared" ca="1" si="307"/>
        <v>39356</v>
      </c>
      <c r="DL100" s="652">
        <f t="shared" si="308"/>
        <v>5.0100000000000006E-2</v>
      </c>
      <c r="DM100" s="651">
        <f t="shared" ca="1" si="333"/>
        <v>39356</v>
      </c>
      <c r="DN100" s="563">
        <f t="shared" si="334"/>
        <v>-0.12990000000000002</v>
      </c>
      <c r="DO100" s="803">
        <v>-0.13</v>
      </c>
      <c r="DP100" s="650">
        <f t="shared" ca="1" si="309"/>
        <v>39356</v>
      </c>
      <c r="DQ100" s="653">
        <v>1E-4</v>
      </c>
      <c r="DR100" s="590">
        <v>1E-4</v>
      </c>
      <c r="DS100" s="650">
        <f t="shared" ca="1" si="310"/>
        <v>39356</v>
      </c>
      <c r="DT100" s="653">
        <v>1E-4</v>
      </c>
      <c r="DU100" s="590">
        <v>1E-4</v>
      </c>
      <c r="DV100" s="651">
        <f t="shared" ca="1" si="311"/>
        <v>39356</v>
      </c>
      <c r="DW100" s="590">
        <v>1E-4</v>
      </c>
      <c r="DX100" s="651">
        <f t="shared" ca="1" si="335"/>
        <v>39356</v>
      </c>
      <c r="DY100" s="590">
        <f t="shared" si="336"/>
        <v>1E-4</v>
      </c>
      <c r="DZ100" s="1"/>
      <c r="EA100" s="857"/>
      <c r="EB100" s="857"/>
      <c r="EC100" s="857"/>
      <c r="ED100" s="868" t="e">
        <f t="shared" ca="1" si="436"/>
        <v>#NAME?</v>
      </c>
      <c r="EE100" s="863" t="e">
        <f t="shared" ca="1" si="312"/>
        <v>#NAME?</v>
      </c>
      <c r="EF100" s="590" t="e">
        <f t="shared" ca="1" si="313"/>
        <v>#NAME?</v>
      </c>
      <c r="EG100" s="862" t="str">
        <f t="shared" ca="1" si="314"/>
        <v/>
      </c>
      <c r="EH100" s="114" t="str">
        <f t="shared" ca="1" si="315"/>
        <v/>
      </c>
      <c r="EI100" s="109" t="str">
        <f t="shared" ca="1" si="316"/>
        <v/>
      </c>
      <c r="EJ100" s="115">
        <f ca="1">IF(BD100,_xll.xASN(BP100,Strike1,AO100,EH100,0,BM100,0,BI100,BL100,IF(OptControl=4,0,1),0),0)</f>
        <v>0</v>
      </c>
      <c r="EK100" s="108">
        <f ca="1">IF(BD100,_xll.xASN(BP100,Strike2,AO100,EI100,0,BM100,0,BI100,BL100,IF(OptControl=3,1,0),0),0)</f>
        <v>0</v>
      </c>
      <c r="EP100" s="53"/>
      <c r="EQ100" s="1"/>
      <c r="ER100" s="103"/>
      <c r="ES100" s="103"/>
      <c r="ET100" s="1"/>
      <c r="EU100" s="667" t="s">
        <v>312</v>
      </c>
      <c r="EW100" s="445"/>
      <c r="EX100" s="36"/>
      <c r="EY100" s="104"/>
      <c r="EZ100" s="465"/>
      <c r="FA100" s="446"/>
      <c r="FB100" s="446"/>
      <c r="FC100" s="242"/>
      <c r="FD100" s="242"/>
      <c r="FE100" s="242"/>
      <c r="FF100" s="242"/>
      <c r="FG100" s="242"/>
      <c r="FH100" s="242"/>
      <c r="FI100" s="242"/>
      <c r="FJ100" s="242"/>
      <c r="FK100" s="242"/>
      <c r="FL100" s="242"/>
      <c r="FM100" s="242"/>
      <c r="FN100" s="657">
        <v>6</v>
      </c>
      <c r="FO100" s="450">
        <f t="shared" ca="1" si="433"/>
        <v>0.2769416364919004</v>
      </c>
      <c r="FP100" s="450">
        <f t="shared" ca="1" si="438"/>
        <v>0.29223276686386063</v>
      </c>
      <c r="FQ100" s="450">
        <f t="shared" ca="1" si="438"/>
        <v>0.31003387082484951</v>
      </c>
      <c r="FR100" s="450">
        <f t="shared" ca="1" si="438"/>
        <v>0.33129529100428123</v>
      </c>
      <c r="FS100" s="450">
        <f t="shared" ca="1" si="438"/>
        <v>0.3569007429199651</v>
      </c>
      <c r="FT100" s="450">
        <f t="shared" ca="1" si="438"/>
        <v>0.38802980049999997</v>
      </c>
      <c r="FU100" s="450" t="str">
        <f t="shared" si="438"/>
        <v/>
      </c>
      <c r="FV100" s="450" t="str">
        <f t="shared" si="438"/>
        <v/>
      </c>
      <c r="FW100" s="450" t="str">
        <f t="shared" si="438"/>
        <v/>
      </c>
      <c r="FX100" s="450" t="str">
        <f t="shared" si="438"/>
        <v/>
      </c>
      <c r="FY100" s="450" t="str">
        <f t="shared" si="438"/>
        <v/>
      </c>
      <c r="FZ100" s="450" t="str">
        <f t="shared" si="438"/>
        <v/>
      </c>
      <c r="GA100" s="450" t="str">
        <f t="shared" si="438"/>
        <v/>
      </c>
      <c r="GB100" s="450" t="str">
        <f t="shared" si="438"/>
        <v/>
      </c>
      <c r="GC100" s="450" t="str">
        <f t="shared" si="438"/>
        <v/>
      </c>
      <c r="GD100" s="450" t="str">
        <f t="shared" si="438"/>
        <v/>
      </c>
      <c r="GE100" s="450" t="str">
        <f t="shared" si="438"/>
        <v/>
      </c>
      <c r="GF100" s="450" t="str">
        <f t="shared" si="438"/>
        <v/>
      </c>
      <c r="GG100" s="450" t="str">
        <f t="shared" si="438"/>
        <v/>
      </c>
      <c r="GH100" s="450" t="str">
        <f t="shared" si="438"/>
        <v/>
      </c>
      <c r="GI100" s="450" t="str">
        <f t="shared" si="438"/>
        <v/>
      </c>
      <c r="GJ100" s="450" t="str">
        <f t="shared" si="438"/>
        <v/>
      </c>
      <c r="GK100" s="450" t="str">
        <f t="shared" si="438"/>
        <v/>
      </c>
      <c r="GL100" s="450" t="str">
        <f t="shared" si="438"/>
        <v/>
      </c>
      <c r="GM100" s="450" t="str">
        <f t="shared" si="438"/>
        <v/>
      </c>
      <c r="GN100" s="450" t="str">
        <f t="shared" si="438"/>
        <v/>
      </c>
      <c r="GO100" s="450" t="str">
        <f t="shared" si="438"/>
        <v/>
      </c>
      <c r="GP100" s="450" t="str">
        <f t="shared" si="438"/>
        <v/>
      </c>
      <c r="GQ100" s="450" t="str">
        <f t="shared" si="438"/>
        <v/>
      </c>
      <c r="GR100" s="450" t="str">
        <f t="shared" si="438"/>
        <v/>
      </c>
      <c r="GS100" s="450" t="str">
        <f t="shared" si="438"/>
        <v/>
      </c>
      <c r="GT100" s="450" t="str">
        <f t="shared" si="438"/>
        <v/>
      </c>
      <c r="GU100" s="450" t="str">
        <f t="shared" si="438"/>
        <v/>
      </c>
      <c r="GV100" s="450" t="str">
        <f t="shared" si="438"/>
        <v/>
      </c>
      <c r="GW100" s="450" t="str">
        <f t="shared" si="438"/>
        <v/>
      </c>
      <c r="GX100" s="450" t="str">
        <f t="shared" si="438"/>
        <v/>
      </c>
      <c r="GY100" s="450" t="str">
        <f t="shared" si="438"/>
        <v/>
      </c>
      <c r="GZ100" s="450" t="str">
        <f t="shared" si="438"/>
        <v/>
      </c>
      <c r="HA100" s="450" t="str">
        <f t="shared" si="438"/>
        <v/>
      </c>
      <c r="HB100" s="450" t="str">
        <f t="shared" si="438"/>
        <v/>
      </c>
      <c r="HC100" s="450" t="str">
        <f t="shared" si="438"/>
        <v/>
      </c>
      <c r="HD100" s="450" t="str">
        <f t="shared" si="438"/>
        <v/>
      </c>
      <c r="HE100" s="450" t="str">
        <f t="shared" si="438"/>
        <v/>
      </c>
      <c r="HF100" s="450" t="str">
        <f t="shared" si="438"/>
        <v/>
      </c>
      <c r="HG100" s="450" t="str">
        <f t="shared" si="438"/>
        <v/>
      </c>
      <c r="HH100" s="450" t="str">
        <f t="shared" si="438"/>
        <v/>
      </c>
      <c r="HI100" s="450" t="str">
        <f t="shared" si="438"/>
        <v/>
      </c>
      <c r="HJ100" s="450" t="str">
        <f t="shared" si="438"/>
        <v/>
      </c>
      <c r="HK100" s="450" t="str">
        <f t="shared" si="438"/>
        <v/>
      </c>
      <c r="HL100" s="450" t="str">
        <f t="shared" si="438"/>
        <v/>
      </c>
      <c r="HM100" s="450" t="str">
        <f t="shared" si="438"/>
        <v/>
      </c>
      <c r="HN100" s="450" t="str">
        <f t="shared" si="438"/>
        <v/>
      </c>
      <c r="HO100" s="450" t="str">
        <f t="shared" si="438"/>
        <v/>
      </c>
      <c r="HP100" s="450" t="str">
        <f t="shared" si="438"/>
        <v/>
      </c>
      <c r="HQ100" s="450" t="str">
        <f t="shared" si="438"/>
        <v/>
      </c>
      <c r="HR100" s="450" t="str">
        <f t="shared" si="438"/>
        <v/>
      </c>
      <c r="HS100" s="450" t="str">
        <f t="shared" si="438"/>
        <v/>
      </c>
      <c r="HT100" s="450" t="str">
        <f t="shared" si="438"/>
        <v/>
      </c>
      <c r="HU100" s="450" t="str">
        <f t="shared" si="438"/>
        <v/>
      </c>
      <c r="HV100" s="450" t="str">
        <f t="shared" si="438"/>
        <v/>
      </c>
      <c r="HW100" s="450" t="str">
        <f t="shared" si="438"/>
        <v/>
      </c>
      <c r="HX100" s="450" t="str">
        <f t="shared" si="438"/>
        <v/>
      </c>
      <c r="HY100" s="450" t="str">
        <f t="shared" si="438"/>
        <v/>
      </c>
      <c r="HZ100" s="450" t="str">
        <f t="shared" si="438"/>
        <v/>
      </c>
      <c r="IA100" s="450" t="str">
        <f t="shared" ref="IA100:IH103" si="439">IF($FN25&lt;IA$94,"",SQRT(IA25/IA$15))</f>
        <v/>
      </c>
      <c r="IB100" s="450" t="str">
        <f t="shared" si="439"/>
        <v/>
      </c>
      <c r="IC100" s="450" t="str">
        <f t="shared" si="439"/>
        <v/>
      </c>
      <c r="ID100" s="450" t="str">
        <f t="shared" si="439"/>
        <v/>
      </c>
      <c r="IE100" s="450" t="str">
        <f t="shared" si="439"/>
        <v/>
      </c>
      <c r="IF100" s="450" t="str">
        <f t="shared" si="439"/>
        <v/>
      </c>
      <c r="IG100" s="450" t="str">
        <f t="shared" si="439"/>
        <v/>
      </c>
      <c r="IH100" s="658" t="str">
        <f t="shared" si="439"/>
        <v/>
      </c>
      <c r="II100" s="242"/>
    </row>
    <row r="101" spans="8:243">
      <c r="H101" s="49" t="e">
        <f t="shared" ca="1" si="317"/>
        <v>#N/A</v>
      </c>
      <c r="I101" s="369">
        <f t="shared" si="318"/>
        <v>39479</v>
      </c>
      <c r="J101" s="367">
        <v>21.6933333333333</v>
      </c>
      <c r="K101" s="101" t="s">
        <v>267</v>
      </c>
      <c r="L101" s="382">
        <f t="shared" si="319"/>
        <v>21.693333333333332</v>
      </c>
      <c r="M101" s="163">
        <v>0.17734999999999998</v>
      </c>
      <c r="N101" s="372">
        <v>0</v>
      </c>
      <c r="O101" s="163">
        <f t="shared" si="272"/>
        <v>0.17734999999999998</v>
      </c>
      <c r="P101" s="367">
        <v>20.453162496205501</v>
      </c>
      <c r="Q101" s="101" t="s">
        <v>267</v>
      </c>
      <c r="R101" s="367">
        <f t="shared" ca="1" si="417"/>
        <v>20.453162496205525</v>
      </c>
      <c r="S101" s="814">
        <f t="shared" si="163"/>
        <v>0.36237616068819073</v>
      </c>
      <c r="T101" s="813">
        <f t="shared" si="418"/>
        <v>0.99998465093330613</v>
      </c>
      <c r="U101" s="532">
        <f t="shared" si="419"/>
        <v>0.99999999999886224</v>
      </c>
      <c r="V101" s="379">
        <v>0</v>
      </c>
      <c r="W101" s="424">
        <f t="shared" si="273"/>
        <v>21.715555555555564</v>
      </c>
      <c r="X101" s="405">
        <f t="shared" si="274"/>
        <v>21.71555555555555</v>
      </c>
      <c r="Y101" s="313">
        <f t="shared" si="275"/>
        <v>20.499555555555563</v>
      </c>
      <c r="Z101" s="313">
        <f t="shared" ca="1" si="276"/>
        <v>20.499555555555549</v>
      </c>
      <c r="AA101" s="419">
        <f t="shared" si="277"/>
        <v>1.216</v>
      </c>
      <c r="AB101" s="423">
        <f t="shared" ca="1" si="278"/>
        <v>1.216</v>
      </c>
      <c r="AC101" s="221">
        <v>39467</v>
      </c>
      <c r="AD101" s="221">
        <v>39463</v>
      </c>
      <c r="AE101" s="221">
        <v>39462</v>
      </c>
      <c r="AF101" s="221">
        <v>39458</v>
      </c>
      <c r="AG101" s="241" t="s">
        <v>497</v>
      </c>
      <c r="AH101" s="239" t="s">
        <v>497</v>
      </c>
      <c r="AI101" s="141">
        <v>21</v>
      </c>
      <c r="AJ101" s="41">
        <v>14</v>
      </c>
      <c r="AK101" s="41">
        <v>7</v>
      </c>
      <c r="AL101" s="285">
        <v>21</v>
      </c>
      <c r="AM101" s="41">
        <v>10</v>
      </c>
      <c r="AN101" s="142">
        <v>11</v>
      </c>
      <c r="AO101" s="364">
        <v>5.6291454552353799E-2</v>
      </c>
      <c r="AP101" s="145">
        <f t="shared" ca="1" si="320"/>
        <v>0.68211619324084527</v>
      </c>
      <c r="AQ101" s="364">
        <v>4.8994291518905005E-2</v>
      </c>
      <c r="AR101" s="145">
        <f t="shared" ca="1" si="420"/>
        <v>0.72055906637798983</v>
      </c>
      <c r="AS101" s="264">
        <f t="shared" si="279"/>
        <v>0.17651666666666666</v>
      </c>
      <c r="AT101" s="149">
        <f t="shared" si="321"/>
        <v>0.17734999999999998</v>
      </c>
      <c r="AU101" s="149">
        <f t="shared" si="280"/>
        <v>0.17638333333333331</v>
      </c>
      <c r="AV101" s="263">
        <f t="shared" ca="1" si="430"/>
        <v>0.17373918541236585</v>
      </c>
      <c r="AW101" s="150" t="str">
        <f t="shared" ca="1" si="281"/>
        <v/>
      </c>
      <c r="AX101" s="149">
        <f t="shared" ca="1" si="421"/>
        <v>2.0780358908152198E-2</v>
      </c>
      <c r="AY101" s="149">
        <f t="shared" ca="1" si="422"/>
        <v>9.5704544844057732E-3</v>
      </c>
      <c r="AZ101" s="149">
        <f t="shared" ca="1" si="423"/>
        <v>5.9533212250194338E-3</v>
      </c>
      <c r="BA101" s="149">
        <f t="shared" ca="1" si="424"/>
        <v>1.0000000000000284E-4</v>
      </c>
      <c r="BB101" s="149">
        <f t="shared" ca="1" si="425"/>
        <v>1.0000000000000284E-4</v>
      </c>
      <c r="BC101" s="149">
        <f t="shared" ca="1" si="426"/>
        <v>1.0000000000000284E-4</v>
      </c>
      <c r="BD101" s="143">
        <f t="shared" ca="1" si="282"/>
        <v>0</v>
      </c>
      <c r="BE101" s="144">
        <f t="shared" ca="1" si="283"/>
        <v>0</v>
      </c>
      <c r="BF101" s="40">
        <f t="shared" si="284"/>
        <v>2008</v>
      </c>
      <c r="BG101" s="139">
        <f t="shared" si="285"/>
        <v>2</v>
      </c>
      <c r="BH101" s="140">
        <f t="shared" ca="1" si="286"/>
        <v>2473</v>
      </c>
      <c r="BI101" s="304">
        <f t="shared" ref="BI101:BI164" ca="1" si="440">(I101-DateToday+1)/365.25</f>
        <v>6.8145106091718004</v>
      </c>
      <c r="BJ101" s="42">
        <f t="shared" ca="1" si="288"/>
        <v>6.8656171571982663</v>
      </c>
      <c r="BK101" s="42">
        <f t="shared" ca="1" si="289"/>
        <v>6.8683550079853983</v>
      </c>
      <c r="BL101" s="42">
        <f t="shared" ref="BL101:BL164" ca="1" si="441">(I102-DateToday)/365.25</f>
        <v>6.8911704312114992</v>
      </c>
      <c r="BM101" s="285">
        <f t="shared" ref="BM101:BM164" si="442">CHOOSE(Underlying,AI101,AL101)</f>
        <v>21</v>
      </c>
      <c r="BN101" s="41">
        <f t="shared" ref="BN101:BN164" si="443">CHOOSE(Underlying,AJ101,AM101)</f>
        <v>14</v>
      </c>
      <c r="BO101" s="41">
        <f t="shared" ref="BO101:BO164" si="444">CHOOSE(Underlying,AK101,AN101)</f>
        <v>7</v>
      </c>
      <c r="BP101" s="297" t="str">
        <f t="shared" ca="1" si="293"/>
        <v/>
      </c>
      <c r="BQ101" s="297" t="str">
        <f t="shared" ca="1" si="294"/>
        <v/>
      </c>
      <c r="BR101" s="299" t="str">
        <f t="shared" ca="1" si="295"/>
        <v/>
      </c>
      <c r="BS101" s="153" t="str">
        <f t="shared" ca="1" si="296"/>
        <v/>
      </c>
      <c r="BT101" s="153" t="str">
        <f t="shared" ca="1" si="297"/>
        <v/>
      </c>
      <c r="BU101" s="300" t="str">
        <f t="shared" ca="1" si="298"/>
        <v/>
      </c>
      <c r="BV101" s="301" t="str">
        <f t="shared" ca="1" si="299"/>
        <v/>
      </c>
      <c r="BW101" s="300" t="str">
        <f t="shared" ca="1" si="300"/>
        <v/>
      </c>
      <c r="BX101" s="301" t="str">
        <f t="shared" ca="1" si="301"/>
        <v/>
      </c>
      <c r="BY101" s="146" t="str">
        <f t="shared" ca="1" si="302"/>
        <v/>
      </c>
      <c r="BZ101" s="146" t="str">
        <f t="shared" ca="1" si="303"/>
        <v/>
      </c>
      <c r="CA101" s="146" t="str">
        <f t="shared" ca="1" si="304"/>
        <v/>
      </c>
      <c r="CB101" s="146" t="str">
        <f t="shared" ca="1" si="305"/>
        <v/>
      </c>
      <c r="CC101" s="302">
        <v>1</v>
      </c>
      <c r="CD101" s="154">
        <f ca="1">IF(BD101,_xll.xCrudeAPO(BS101,BT101,BY101,BZ101,S102,S103,BI101,BL101,BN101,BO101,0,Strike1,AO101,CC101,0,BL101,IF(OptControl=4,0,1),0,1),0)</f>
        <v>0</v>
      </c>
      <c r="CE101" s="155">
        <f ca="1">IF(BD101,_xll.xCrudeAPO(BS101,BT101,BY101,BZ101,S102,S103,BI101,BL101,BN101,BO101,0,Strike1,AO101,CC101,0,BL101,IF(OptControl=4,0,1),1,1)+_xll.xCrudeAPO(BS101,BT101,BY101,BZ101,S102,S103,BI101,BL101,BN101,BO101,0,Strike1,AO101,CC101,0,BL101,IF(OptControl=4,0,1),1,2)+IF(OR(VolSkewFlag=2,ABS(BQ101)&lt;0.0001),0,IF(BQ101&gt;0,-1,1)*CF101*Strike1/BP101^2*BW101/10%),0)</f>
        <v>0</v>
      </c>
      <c r="CF101" s="155">
        <f ca="1">IF(BD101,(_xll.xCrudeAPO(BS101,BT101,BY101,BZ101,S102,S103,BI101,BL101,BN101,BO101,0,Strike1,AO101,CC101,0,BL101,IF(OptControl=4,0,1),3,1)+_xll.xCrudeAPO(BS101,BT101,BY101,BZ101,S102,S103,BI101,BL101,BN101,BO101,0,Strike1,AO101,CC101,0,BL101,IF(OptControl=4,0,1),3,2))/100,0)</f>
        <v>0</v>
      </c>
      <c r="CG101" s="155">
        <f ca="1">IF(BD101,_xll.xCrudeAPO(BS101,BT101,BY101,BZ101,S102,S103,BI101-DaysForThetaCalculation/365.25,BL101-DaysForThetaCalculation/365.25,BN101,BO101,0,Strike1,AO101,CC101,0,BL101,IF(OptControl=4,0,1),0,1)-_xll.xCrudeAPO(BS101,BT101,BY101,BZ101,S102,S103,BI101,BL101,BN101,BO101,0,Strike1,AO101,CC101,0,BL101,IF(OptControl=4,0,1),0,1),0)</f>
        <v>0</v>
      </c>
      <c r="CH101" s="303">
        <f ca="1">IF(BD101,_xll.xCrudeAPO(BS101,BT101,CA101,CB101,S102,S103,BI101,BL101,BN101,BO101,0,Strike2,AO101,CC101,0,BL101,IF(OptControl=3,1,0),0,1),0)</f>
        <v>0</v>
      </c>
      <c r="CI101" s="155">
        <f ca="1">IF(BD101,_xll.xCrudeAPO(BS101,BT101,CA101,CB101,S102,S103,BI101,BL101,BN101,BO101,0,Strike2,AO101,CC101,0,BL101,IF(OptControl=3,1,0),1,1)+_xll.xCrudeAPO(BS101,BT101,CA101,CB101,S102,S103,BI101,BL101,BN101,BO101,0,Strike2,AO101,CC101,0,BL101,IF(OptControl=3,1,0),1,2)+IF(OR(VolSkewFlag=2,ABS(BR101)&lt;0.0001),0,IF(BR101&gt;0,-1,1)*CJ101*Strike2/BP101^2*BX101/10%),0)</f>
        <v>0</v>
      </c>
      <c r="CJ101" s="155">
        <f ca="1">IF(BD101,(_xll.xCrudeAPO(BS101,BT101,CA101,CB101,S102,S103,BI101,BL101,BN101,BO101,0,Strike2,AO101,CC101,0,BL101,IF(OptControl=3,1,0),3,1)+_xll.xCrudeAPO(BS101,BT101,CA101,CB101,S102,S103,BI101,BL101,BN101,BO101,0,Strike2,AO101,CC101,0,BL101,IF(OptControl=3,1,0),3,2))/100,0)</f>
        <v>0</v>
      </c>
      <c r="CK101" s="156">
        <f ca="1">IF(BD101,_xll.xCrudeAPO(BS101,BT101,CA101,CB101,S102,S103,BI101-DaysForThetaCalculation/365.25,BL101-DaysForThetaCalculation/365.25,BN101,BO101,0,Strike2,AO101,CC101,0,BL101,IF(OptControl=3,1,0),0,1)-_xll.xCrudeAPO(BS101,BT101,CA101,CB101,S102,S103,BI101,BL101,BN101,BO101,0,Strike2,AO101,CC101,0,BL101,IF(OptControl=3,1,0),0,1),0)</f>
        <v>0</v>
      </c>
      <c r="CL101" s="51"/>
      <c r="CM101" s="779" t="str">
        <f t="shared" ca="1" si="323"/>
        <v/>
      </c>
      <c r="CN101" s="783" t="str">
        <f t="shared" ca="1" si="324"/>
        <v/>
      </c>
      <c r="CO101" s="780" t="str">
        <f t="shared" ca="1" si="325"/>
        <v/>
      </c>
      <c r="CP101" s="780" t="str">
        <f t="shared" ca="1" si="326"/>
        <v/>
      </c>
      <c r="CQ101" s="780" t="str">
        <f t="shared" ca="1" si="327"/>
        <v/>
      </c>
      <c r="CR101" s="780" t="str">
        <f t="shared" ca="1" si="328"/>
        <v/>
      </c>
      <c r="CS101" s="781" t="str">
        <f t="shared" ca="1" si="329"/>
        <v/>
      </c>
      <c r="CT101" s="782" t="str">
        <f t="shared" ca="1" si="330"/>
        <v/>
      </c>
      <c r="CU101" s="782" t="str">
        <f t="shared" ca="1" si="331"/>
        <v/>
      </c>
      <c r="CV101" s="155">
        <f ca="1">IF(BD101,_xll.EURO(CN101,Strike1,AO101,AO101,CT101,CM101,IF(OptControl=4,0,1),0),0)</f>
        <v>0</v>
      </c>
      <c r="CW101" s="155">
        <f ca="1">IF(BD101,_xll.EURO(CN101,Strike1,AO101,AO101,CT101,CM101,IF(OptControl=4,0,1),1)+IF(OR(VolSkewFlag=2,ABS(CO101)&lt;0.0001),0,IF(CO101&gt;0,-1,1)*CX101*100*Strike1/CN101^2*CQ101/10%),0)</f>
        <v>0</v>
      </c>
      <c r="CX101" s="155">
        <f ca="1">IF(BD101,_xll.EURO(CN101,Strike1,AO101,AO101,CT101,CM101,IF(OptControl=4,0,1),3)/100,0)</f>
        <v>0</v>
      </c>
      <c r="CY101" s="155">
        <f ca="1">IF(BD101,_xll.EURO(CN101,Strike1,AO101,AO101,CT101,CM101,IF(OptControl=4,0,1),0)-_xll.EURO(CN101,Strike1,AO101,AO101,CT101,CM101-1,IF(OptControl=4,0,1),0),0)</f>
        <v>0</v>
      </c>
      <c r="CZ101" s="155">
        <f ca="1">IF(BD101,_xll.EURO(CN101,Strike2,AO101,AO101,CU101,CM101,IF(OptControl=3,1,0),0),0)</f>
        <v>0</v>
      </c>
      <c r="DA101" s="155">
        <f ca="1">IF(BD101,_xll.EURO(CN101,Strike2,AO101,AO101,CU101,CM101,IF(OptControl=3,1,0),1)+IF(OR(VolSkewFlag=2,ABS(CP101)&lt;0.0001),0,IF(CP101&gt;0,-1,1)*DB101*100*Strike2/CN101^2*CR101/10%),0)</f>
        <v>0</v>
      </c>
      <c r="DB101" s="155">
        <f ca="1">IF(BD101,_xll.EURO(CN101,Strike2,AO101,AO101,CU101,CM101,IF(OptControl=3,1,0),3)/100,0)</f>
        <v>0</v>
      </c>
      <c r="DC101" s="156">
        <f ca="1">IF(BD101,_xll.EURO(CN101,Strike2,AO101,AO101,CU101,CM101,IF(OptControl=3,1,0),0)-_xll.EURO(CN101,Strike2,AO101,AO101,CU101,CM101-1,IF(OptControl=3,1,0),0),0)</f>
        <v>0</v>
      </c>
      <c r="DE101" s="651">
        <f t="shared" ca="1" si="332"/>
        <v>39387</v>
      </c>
      <c r="DF101" s="465">
        <v>1E-4</v>
      </c>
      <c r="DG101" s="649">
        <v>1E-4</v>
      </c>
      <c r="DH101" s="650">
        <f t="shared" ca="1" si="306"/>
        <v>39387</v>
      </c>
      <c r="DI101" s="465">
        <v>1E-4</v>
      </c>
      <c r="DJ101" s="649">
        <v>1E-4</v>
      </c>
      <c r="DK101" s="651">
        <f t="shared" ca="1" si="307"/>
        <v>39387</v>
      </c>
      <c r="DL101" s="652">
        <f t="shared" si="308"/>
        <v>5.0100000000000006E-2</v>
      </c>
      <c r="DM101" s="651">
        <f t="shared" ca="1" si="333"/>
        <v>39387</v>
      </c>
      <c r="DN101" s="563">
        <f t="shared" si="334"/>
        <v>-0.12990000000000002</v>
      </c>
      <c r="DO101" s="803">
        <v>-0.13</v>
      </c>
      <c r="DP101" s="650">
        <f t="shared" ca="1" si="309"/>
        <v>39387</v>
      </c>
      <c r="DQ101" s="653">
        <v>1E-4</v>
      </c>
      <c r="DR101" s="590">
        <v>1E-4</v>
      </c>
      <c r="DS101" s="650">
        <f t="shared" ca="1" si="310"/>
        <v>39387</v>
      </c>
      <c r="DT101" s="653">
        <v>1E-4</v>
      </c>
      <c r="DU101" s="590">
        <v>1E-4</v>
      </c>
      <c r="DV101" s="651">
        <f t="shared" ca="1" si="311"/>
        <v>39387</v>
      </c>
      <c r="DW101" s="590">
        <v>1E-4</v>
      </c>
      <c r="DX101" s="651">
        <f t="shared" ca="1" si="335"/>
        <v>39387</v>
      </c>
      <c r="DY101" s="590">
        <f t="shared" si="336"/>
        <v>1E-4</v>
      </c>
      <c r="DZ101" s="1"/>
      <c r="EA101" s="857"/>
      <c r="EB101" s="857"/>
      <c r="EC101" s="857"/>
      <c r="ED101" s="868" t="e">
        <f t="shared" ca="1" si="436"/>
        <v>#NAME?</v>
      </c>
      <c r="EE101" s="863" t="e">
        <f t="shared" ca="1" si="312"/>
        <v>#NAME?</v>
      </c>
      <c r="EF101" s="590" t="e">
        <f t="shared" ca="1" si="313"/>
        <v>#NAME?</v>
      </c>
      <c r="EG101" s="862" t="str">
        <f t="shared" ca="1" si="314"/>
        <v/>
      </c>
      <c r="EH101" s="114" t="str">
        <f t="shared" ca="1" si="315"/>
        <v/>
      </c>
      <c r="EI101" s="109" t="str">
        <f t="shared" ca="1" si="316"/>
        <v/>
      </c>
      <c r="EJ101" s="115">
        <f ca="1">IF(BD101,_xll.xASN(BP101,Strike1,AO101,EH101,0,BM101,0,BI101,BL101,IF(OptControl=4,0,1),0),0)</f>
        <v>0</v>
      </c>
      <c r="EK101" s="108">
        <f ca="1">IF(BD101,_xll.xASN(BP101,Strike2,AO101,EI101,0,BM101,0,BI101,BL101,IF(OptControl=3,1,0),0),0)</f>
        <v>0</v>
      </c>
      <c r="EP101" s="53"/>
      <c r="EQ101" s="1"/>
      <c r="ER101" s="103"/>
      <c r="ES101" s="103"/>
      <c r="ET101" s="1"/>
      <c r="EU101" s="667" t="s">
        <v>313</v>
      </c>
      <c r="EW101" s="445"/>
      <c r="EX101" s="36"/>
      <c r="EY101" s="104"/>
      <c r="EZ101" s="465"/>
      <c r="FA101" s="446"/>
      <c r="FB101" s="446"/>
      <c r="FC101" s="242"/>
      <c r="FD101" s="242"/>
      <c r="FE101" s="242"/>
      <c r="FF101" s="242"/>
      <c r="FG101" s="242"/>
      <c r="FH101" s="242"/>
      <c r="FI101" s="242"/>
      <c r="FJ101" s="242"/>
      <c r="FK101" s="242"/>
      <c r="FL101" s="242"/>
      <c r="FM101" s="242"/>
      <c r="FN101" s="657">
        <v>7</v>
      </c>
      <c r="FO101" s="450">
        <f t="shared" ca="1" si="433"/>
        <v>0.26386758094839152</v>
      </c>
      <c r="FP101" s="450">
        <f t="shared" ref="FP101:IA104" ca="1" si="445">IF($FN26&lt;FP$94,"",SQRT(FP26/FP$15))</f>
        <v>0.27686152401306557</v>
      </c>
      <c r="FQ101" s="450">
        <f t="shared" ca="1" si="445"/>
        <v>0.29185810947044538</v>
      </c>
      <c r="FR101" s="450">
        <f t="shared" ca="1" si="445"/>
        <v>0.30963986115589365</v>
      </c>
      <c r="FS101" s="450">
        <f t="shared" ca="1" si="445"/>
        <v>0.33087794095130851</v>
      </c>
      <c r="FT101" s="450">
        <f t="shared" ca="1" si="445"/>
        <v>0.3564550709658299</v>
      </c>
      <c r="FU101" s="450">
        <f t="shared" ca="1" si="445"/>
        <v>0.38754950249499998</v>
      </c>
      <c r="FV101" s="450" t="str">
        <f t="shared" si="445"/>
        <v/>
      </c>
      <c r="FW101" s="450" t="str">
        <f t="shared" si="445"/>
        <v/>
      </c>
      <c r="FX101" s="450" t="str">
        <f t="shared" si="445"/>
        <v/>
      </c>
      <c r="FY101" s="450" t="str">
        <f t="shared" si="445"/>
        <v/>
      </c>
      <c r="FZ101" s="450" t="str">
        <f t="shared" si="445"/>
        <v/>
      </c>
      <c r="GA101" s="450" t="str">
        <f t="shared" si="445"/>
        <v/>
      </c>
      <c r="GB101" s="450" t="str">
        <f t="shared" si="445"/>
        <v/>
      </c>
      <c r="GC101" s="450" t="str">
        <f t="shared" si="445"/>
        <v/>
      </c>
      <c r="GD101" s="450" t="str">
        <f t="shared" si="445"/>
        <v/>
      </c>
      <c r="GE101" s="450" t="str">
        <f t="shared" si="445"/>
        <v/>
      </c>
      <c r="GF101" s="450" t="str">
        <f t="shared" si="445"/>
        <v/>
      </c>
      <c r="GG101" s="450" t="str">
        <f t="shared" si="445"/>
        <v/>
      </c>
      <c r="GH101" s="450" t="str">
        <f t="shared" si="445"/>
        <v/>
      </c>
      <c r="GI101" s="450" t="str">
        <f t="shared" si="445"/>
        <v/>
      </c>
      <c r="GJ101" s="450" t="str">
        <f t="shared" si="445"/>
        <v/>
      </c>
      <c r="GK101" s="450" t="str">
        <f t="shared" si="445"/>
        <v/>
      </c>
      <c r="GL101" s="450" t="str">
        <f t="shared" si="445"/>
        <v/>
      </c>
      <c r="GM101" s="450" t="str">
        <f t="shared" si="445"/>
        <v/>
      </c>
      <c r="GN101" s="450" t="str">
        <f t="shared" si="445"/>
        <v/>
      </c>
      <c r="GO101" s="450" t="str">
        <f t="shared" si="445"/>
        <v/>
      </c>
      <c r="GP101" s="450" t="str">
        <f t="shared" si="445"/>
        <v/>
      </c>
      <c r="GQ101" s="450" t="str">
        <f t="shared" si="445"/>
        <v/>
      </c>
      <c r="GR101" s="450" t="str">
        <f t="shared" si="445"/>
        <v/>
      </c>
      <c r="GS101" s="450" t="str">
        <f t="shared" si="445"/>
        <v/>
      </c>
      <c r="GT101" s="450" t="str">
        <f t="shared" si="445"/>
        <v/>
      </c>
      <c r="GU101" s="450" t="str">
        <f t="shared" si="445"/>
        <v/>
      </c>
      <c r="GV101" s="450" t="str">
        <f t="shared" si="445"/>
        <v/>
      </c>
      <c r="GW101" s="450" t="str">
        <f t="shared" si="445"/>
        <v/>
      </c>
      <c r="GX101" s="450" t="str">
        <f t="shared" si="445"/>
        <v/>
      </c>
      <c r="GY101" s="450" t="str">
        <f t="shared" si="445"/>
        <v/>
      </c>
      <c r="GZ101" s="450" t="str">
        <f t="shared" si="445"/>
        <v/>
      </c>
      <c r="HA101" s="450" t="str">
        <f t="shared" si="445"/>
        <v/>
      </c>
      <c r="HB101" s="450" t="str">
        <f t="shared" si="445"/>
        <v/>
      </c>
      <c r="HC101" s="450" t="str">
        <f t="shared" si="445"/>
        <v/>
      </c>
      <c r="HD101" s="450" t="str">
        <f t="shared" si="445"/>
        <v/>
      </c>
      <c r="HE101" s="450" t="str">
        <f t="shared" si="445"/>
        <v/>
      </c>
      <c r="HF101" s="450" t="str">
        <f t="shared" si="445"/>
        <v/>
      </c>
      <c r="HG101" s="450" t="str">
        <f t="shared" si="445"/>
        <v/>
      </c>
      <c r="HH101" s="450" t="str">
        <f t="shared" si="445"/>
        <v/>
      </c>
      <c r="HI101" s="450" t="str">
        <f t="shared" si="445"/>
        <v/>
      </c>
      <c r="HJ101" s="450" t="str">
        <f t="shared" si="445"/>
        <v/>
      </c>
      <c r="HK101" s="450" t="str">
        <f t="shared" si="445"/>
        <v/>
      </c>
      <c r="HL101" s="450" t="str">
        <f t="shared" si="445"/>
        <v/>
      </c>
      <c r="HM101" s="450" t="str">
        <f t="shared" si="445"/>
        <v/>
      </c>
      <c r="HN101" s="450" t="str">
        <f t="shared" si="445"/>
        <v/>
      </c>
      <c r="HO101" s="450" t="str">
        <f t="shared" si="445"/>
        <v/>
      </c>
      <c r="HP101" s="450" t="str">
        <f t="shared" si="445"/>
        <v/>
      </c>
      <c r="HQ101" s="450" t="str">
        <f t="shared" si="445"/>
        <v/>
      </c>
      <c r="HR101" s="450" t="str">
        <f t="shared" si="445"/>
        <v/>
      </c>
      <c r="HS101" s="450" t="str">
        <f t="shared" si="445"/>
        <v/>
      </c>
      <c r="HT101" s="450" t="str">
        <f t="shared" si="445"/>
        <v/>
      </c>
      <c r="HU101" s="450" t="str">
        <f t="shared" si="445"/>
        <v/>
      </c>
      <c r="HV101" s="450" t="str">
        <f t="shared" si="445"/>
        <v/>
      </c>
      <c r="HW101" s="450" t="str">
        <f t="shared" si="445"/>
        <v/>
      </c>
      <c r="HX101" s="450" t="str">
        <f t="shared" si="445"/>
        <v/>
      </c>
      <c r="HY101" s="450" t="str">
        <f t="shared" si="445"/>
        <v/>
      </c>
      <c r="HZ101" s="450" t="str">
        <f t="shared" si="445"/>
        <v/>
      </c>
      <c r="IA101" s="450" t="str">
        <f t="shared" si="445"/>
        <v/>
      </c>
      <c r="IB101" s="450" t="str">
        <f t="shared" si="439"/>
        <v/>
      </c>
      <c r="IC101" s="450" t="str">
        <f t="shared" si="439"/>
        <v/>
      </c>
      <c r="ID101" s="450" t="str">
        <f t="shared" si="439"/>
        <v/>
      </c>
      <c r="IE101" s="450" t="str">
        <f t="shared" si="439"/>
        <v/>
      </c>
      <c r="IF101" s="450" t="str">
        <f t="shared" si="439"/>
        <v/>
      </c>
      <c r="IG101" s="450" t="str">
        <f t="shared" si="439"/>
        <v/>
      </c>
      <c r="IH101" s="658" t="str">
        <f t="shared" si="439"/>
        <v/>
      </c>
      <c r="II101" s="242"/>
    </row>
    <row r="102" spans="8:243">
      <c r="H102" s="49" t="e">
        <f t="shared" ca="1" si="317"/>
        <v>#N/A</v>
      </c>
      <c r="I102" s="369">
        <f t="shared" si="318"/>
        <v>39508</v>
      </c>
      <c r="J102" s="367">
        <v>21.71</v>
      </c>
      <c r="K102" s="101" t="s">
        <v>267</v>
      </c>
      <c r="L102" s="382">
        <f t="shared" si="319"/>
        <v>21.709999999999997</v>
      </c>
      <c r="M102" s="163">
        <v>0.17674999999999999</v>
      </c>
      <c r="N102" s="372">
        <v>0</v>
      </c>
      <c r="O102" s="163">
        <f t="shared" si="272"/>
        <v>0.17674999999999999</v>
      </c>
      <c r="P102" s="367">
        <v>20.505605451344898</v>
      </c>
      <c r="Q102" s="101" t="s">
        <v>267</v>
      </c>
      <c r="R102" s="367">
        <f t="shared" ca="1" si="417"/>
        <v>20.505605451344891</v>
      </c>
      <c r="S102" s="814">
        <f t="shared" si="163"/>
        <v>0.36215239908130881</v>
      </c>
      <c r="T102" s="813">
        <f t="shared" si="418"/>
        <v>0.99998618585066268</v>
      </c>
      <c r="U102" s="532">
        <f t="shared" si="419"/>
        <v>0.99999999999914668</v>
      </c>
      <c r="V102" s="379">
        <v>0</v>
      </c>
      <c r="W102" s="424">
        <f t="shared" si="273"/>
        <v>21.732222222222234</v>
      </c>
      <c r="X102" s="405">
        <f t="shared" si="274"/>
        <v>21.732222222222216</v>
      </c>
      <c r="Y102" s="313">
        <f t="shared" si="275"/>
        <v>20.516222222222233</v>
      </c>
      <c r="Z102" s="313">
        <f t="shared" ca="1" si="276"/>
        <v>20.516222222222215</v>
      </c>
      <c r="AA102" s="419">
        <f t="shared" si="277"/>
        <v>1.216</v>
      </c>
      <c r="AB102" s="423">
        <f t="shared" ca="1" si="278"/>
        <v>1.216</v>
      </c>
      <c r="AC102" s="221">
        <v>39498</v>
      </c>
      <c r="AD102" s="221">
        <v>39494</v>
      </c>
      <c r="AE102" s="221">
        <v>39493</v>
      </c>
      <c r="AF102" s="221">
        <v>39489</v>
      </c>
      <c r="AG102" s="241" t="s">
        <v>497</v>
      </c>
      <c r="AH102" s="239" t="s">
        <v>497</v>
      </c>
      <c r="AI102" s="141">
        <v>21</v>
      </c>
      <c r="AJ102" s="41">
        <v>14</v>
      </c>
      <c r="AK102" s="41">
        <v>7</v>
      </c>
      <c r="AL102" s="285">
        <v>21</v>
      </c>
      <c r="AM102" s="41">
        <v>10</v>
      </c>
      <c r="AN102" s="142">
        <v>11</v>
      </c>
      <c r="AO102" s="364">
        <v>5.6401396302197905E-2</v>
      </c>
      <c r="AP102" s="145">
        <f t="shared" ca="1" si="320"/>
        <v>0.67840362350309791</v>
      </c>
      <c r="AQ102" s="364">
        <v>4.9071553835898098E-2</v>
      </c>
      <c r="AR102" s="145">
        <f t="shared" ca="1" si="420"/>
        <v>0.71723403407335784</v>
      </c>
      <c r="AS102" s="264">
        <f t="shared" si="279"/>
        <v>0.17581666666666665</v>
      </c>
      <c r="AT102" s="149">
        <f t="shared" si="321"/>
        <v>0.17674999999999999</v>
      </c>
      <c r="AU102" s="149">
        <f t="shared" si="280"/>
        <v>0.17568333333333333</v>
      </c>
      <c r="AV102" s="263">
        <f t="shared" ca="1" si="430"/>
        <v>0.17317073905995392</v>
      </c>
      <c r="AW102" s="150" t="str">
        <f t="shared" ca="1" si="281"/>
        <v/>
      </c>
      <c r="AX102" s="149">
        <f t="shared" ca="1" si="421"/>
        <v>2.048843198479261E-2</v>
      </c>
      <c r="AY102" s="149">
        <f t="shared" ca="1" si="422"/>
        <v>9.4057865031653351E-3</v>
      </c>
      <c r="AZ102" s="149">
        <f t="shared" ca="1" si="423"/>
        <v>5.88237008034901E-3</v>
      </c>
      <c r="BA102" s="149">
        <f t="shared" ca="1" si="424"/>
        <v>1.0000000000000289E-4</v>
      </c>
      <c r="BB102" s="149">
        <f t="shared" ca="1" si="425"/>
        <v>1.0000000000000289E-4</v>
      </c>
      <c r="BC102" s="149">
        <f t="shared" ca="1" si="426"/>
        <v>1.0000000000000289E-4</v>
      </c>
      <c r="BD102" s="143">
        <f t="shared" ca="1" si="282"/>
        <v>0</v>
      </c>
      <c r="BE102" s="144">
        <f t="shared" ca="1" si="283"/>
        <v>0</v>
      </c>
      <c r="BF102" s="40">
        <f t="shared" si="284"/>
        <v>2008</v>
      </c>
      <c r="BG102" s="139">
        <f t="shared" si="285"/>
        <v>3</v>
      </c>
      <c r="BH102" s="140">
        <f t="shared" ca="1" si="286"/>
        <v>2504</v>
      </c>
      <c r="BI102" s="304">
        <f t="shared" ca="1" si="440"/>
        <v>6.8939082819986313</v>
      </c>
      <c r="BJ102" s="42">
        <f t="shared" ca="1" si="288"/>
        <v>6.9486652977412735</v>
      </c>
      <c r="BK102" s="42">
        <f t="shared" ca="1" si="289"/>
        <v>6.9514031485284056</v>
      </c>
      <c r="BL102" s="42">
        <f t="shared" ca="1" si="441"/>
        <v>6.9760438056125942</v>
      </c>
      <c r="BM102" s="285">
        <f t="shared" si="442"/>
        <v>21</v>
      </c>
      <c r="BN102" s="41">
        <f t="shared" si="443"/>
        <v>14</v>
      </c>
      <c r="BO102" s="41">
        <f t="shared" si="444"/>
        <v>7</v>
      </c>
      <c r="BP102" s="297" t="str">
        <f t="shared" ca="1" si="293"/>
        <v/>
      </c>
      <c r="BQ102" s="297" t="str">
        <f t="shared" ca="1" si="294"/>
        <v/>
      </c>
      <c r="BR102" s="299" t="str">
        <f t="shared" ca="1" si="295"/>
        <v/>
      </c>
      <c r="BS102" s="153" t="str">
        <f t="shared" ca="1" si="296"/>
        <v/>
      </c>
      <c r="BT102" s="153" t="str">
        <f t="shared" ca="1" si="297"/>
        <v/>
      </c>
      <c r="BU102" s="300" t="str">
        <f t="shared" ca="1" si="298"/>
        <v/>
      </c>
      <c r="BV102" s="301" t="str">
        <f t="shared" ca="1" si="299"/>
        <v/>
      </c>
      <c r="BW102" s="300" t="str">
        <f t="shared" ca="1" si="300"/>
        <v/>
      </c>
      <c r="BX102" s="301" t="str">
        <f t="shared" ca="1" si="301"/>
        <v/>
      </c>
      <c r="BY102" s="146" t="str">
        <f t="shared" ca="1" si="302"/>
        <v/>
      </c>
      <c r="BZ102" s="146" t="str">
        <f t="shared" ca="1" si="303"/>
        <v/>
      </c>
      <c r="CA102" s="146" t="str">
        <f t="shared" ca="1" si="304"/>
        <v/>
      </c>
      <c r="CB102" s="146" t="str">
        <f t="shared" ca="1" si="305"/>
        <v/>
      </c>
      <c r="CC102" s="302">
        <v>1</v>
      </c>
      <c r="CD102" s="154">
        <f ca="1">IF(BD102,_xll.xCrudeAPO(BS102,BT102,BY102,BZ102,S103,S104,BI102,BL102,BN102,BO102,0,Strike1,AO102,CC102,0,BL102,IF(OptControl=4,0,1),0,1),0)</f>
        <v>0</v>
      </c>
      <c r="CE102" s="155">
        <f ca="1">IF(BD102,_xll.xCrudeAPO(BS102,BT102,BY102,BZ102,S103,S104,BI102,BL102,BN102,BO102,0,Strike1,AO102,CC102,0,BL102,IF(OptControl=4,0,1),1,1)+_xll.xCrudeAPO(BS102,BT102,BY102,BZ102,S103,S104,BI102,BL102,BN102,BO102,0,Strike1,AO102,CC102,0,BL102,IF(OptControl=4,0,1),1,2)+IF(OR(VolSkewFlag=2,ABS(BQ102)&lt;0.0001),0,IF(BQ102&gt;0,-1,1)*CF102*Strike1/BP102^2*BW102/10%),0)</f>
        <v>0</v>
      </c>
      <c r="CF102" s="155">
        <f ca="1">IF(BD102,(_xll.xCrudeAPO(BS102,BT102,BY102,BZ102,S103,S104,BI102,BL102,BN102,BO102,0,Strike1,AO102,CC102,0,BL102,IF(OptControl=4,0,1),3,1)+_xll.xCrudeAPO(BS102,BT102,BY102,BZ102,S103,S104,BI102,BL102,BN102,BO102,0,Strike1,AO102,CC102,0,BL102,IF(OptControl=4,0,1),3,2))/100,0)</f>
        <v>0</v>
      </c>
      <c r="CG102" s="155">
        <f ca="1">IF(BD102,_xll.xCrudeAPO(BS102,BT102,BY102,BZ102,S103,S104,BI102-DaysForThetaCalculation/365.25,BL102-DaysForThetaCalculation/365.25,BN102,BO102,0,Strike1,AO102,CC102,0,BL102,IF(OptControl=4,0,1),0,1)-_xll.xCrudeAPO(BS102,BT102,BY102,BZ102,S103,S104,BI102,BL102,BN102,BO102,0,Strike1,AO102,CC102,0,BL102,IF(OptControl=4,0,1),0,1),0)</f>
        <v>0</v>
      </c>
      <c r="CH102" s="303">
        <f ca="1">IF(BD102,_xll.xCrudeAPO(BS102,BT102,CA102,CB102,S103,S104,BI102,BL102,BN102,BO102,0,Strike2,AO102,CC102,0,BL102,IF(OptControl=3,1,0),0,1),0)</f>
        <v>0</v>
      </c>
      <c r="CI102" s="155">
        <f ca="1">IF(BD102,_xll.xCrudeAPO(BS102,BT102,CA102,CB102,S103,S104,BI102,BL102,BN102,BO102,0,Strike2,AO102,CC102,0,BL102,IF(OptControl=3,1,0),1,1)+_xll.xCrudeAPO(BS102,BT102,CA102,CB102,S103,S104,BI102,BL102,BN102,BO102,0,Strike2,AO102,CC102,0,BL102,IF(OptControl=3,1,0),1,2)+IF(OR(VolSkewFlag=2,ABS(BR102)&lt;0.0001),0,IF(BR102&gt;0,-1,1)*CJ102*Strike2/BP102^2*BX102/10%),0)</f>
        <v>0</v>
      </c>
      <c r="CJ102" s="155">
        <f ca="1">IF(BD102,(_xll.xCrudeAPO(BS102,BT102,CA102,CB102,S103,S104,BI102,BL102,BN102,BO102,0,Strike2,AO102,CC102,0,BL102,IF(OptControl=3,1,0),3,1)+_xll.xCrudeAPO(BS102,BT102,CA102,CB102,S103,S104,BI102,BL102,BN102,BO102,0,Strike2,AO102,CC102,0,BL102,IF(OptControl=3,1,0),3,2))/100,0)</f>
        <v>0</v>
      </c>
      <c r="CK102" s="156">
        <f ca="1">IF(BD102,_xll.xCrudeAPO(BS102,BT102,CA102,CB102,S103,S104,BI102-DaysForThetaCalculation/365.25,BL102-DaysForThetaCalculation/365.25,BN102,BO102,0,Strike2,AO102,CC102,0,BL102,IF(OptControl=3,1,0),0,1)-_xll.xCrudeAPO(BS102,BT102,CA102,CB102,S103,S104,BI102,BL102,BN102,BO102,0,Strike2,AO102,CC102,0,BL102,IF(OptControl=3,1,0),0,1),0)</f>
        <v>0</v>
      </c>
      <c r="CL102" s="51"/>
      <c r="CM102" s="779" t="str">
        <f t="shared" ca="1" si="323"/>
        <v/>
      </c>
      <c r="CN102" s="783" t="str">
        <f t="shared" ca="1" si="324"/>
        <v/>
      </c>
      <c r="CO102" s="780" t="str">
        <f t="shared" ca="1" si="325"/>
        <v/>
      </c>
      <c r="CP102" s="780" t="str">
        <f t="shared" ca="1" si="326"/>
        <v/>
      </c>
      <c r="CQ102" s="780" t="str">
        <f t="shared" ca="1" si="327"/>
        <v/>
      </c>
      <c r="CR102" s="780" t="str">
        <f t="shared" ca="1" si="328"/>
        <v/>
      </c>
      <c r="CS102" s="781" t="str">
        <f t="shared" ca="1" si="329"/>
        <v/>
      </c>
      <c r="CT102" s="782" t="str">
        <f t="shared" ca="1" si="330"/>
        <v/>
      </c>
      <c r="CU102" s="782" t="str">
        <f t="shared" ca="1" si="331"/>
        <v/>
      </c>
      <c r="CV102" s="155">
        <f ca="1">IF(BD102,_xll.EURO(CN102,Strike1,AO102,AO102,CT102,CM102,IF(OptControl=4,0,1),0),0)</f>
        <v>0</v>
      </c>
      <c r="CW102" s="155">
        <f ca="1">IF(BD102,_xll.EURO(CN102,Strike1,AO102,AO102,CT102,CM102,IF(OptControl=4,0,1),1)+IF(OR(VolSkewFlag=2,ABS(CO102)&lt;0.0001),0,IF(CO102&gt;0,-1,1)*CX102*100*Strike1/CN102^2*CQ102/10%),0)</f>
        <v>0</v>
      </c>
      <c r="CX102" s="155">
        <f ca="1">IF(BD102,_xll.EURO(CN102,Strike1,AO102,AO102,CT102,CM102,IF(OptControl=4,0,1),3)/100,0)</f>
        <v>0</v>
      </c>
      <c r="CY102" s="155">
        <f ca="1">IF(BD102,_xll.EURO(CN102,Strike1,AO102,AO102,CT102,CM102,IF(OptControl=4,0,1),0)-_xll.EURO(CN102,Strike1,AO102,AO102,CT102,CM102-1,IF(OptControl=4,0,1),0),0)</f>
        <v>0</v>
      </c>
      <c r="CZ102" s="155">
        <f ca="1">IF(BD102,_xll.EURO(CN102,Strike2,AO102,AO102,CU102,CM102,IF(OptControl=3,1,0),0),0)</f>
        <v>0</v>
      </c>
      <c r="DA102" s="155">
        <f ca="1">IF(BD102,_xll.EURO(CN102,Strike2,AO102,AO102,CU102,CM102,IF(OptControl=3,1,0),1)+IF(OR(VolSkewFlag=2,ABS(CP102)&lt;0.0001),0,IF(CP102&gt;0,-1,1)*DB102*100*Strike2/CN102^2*CR102/10%),0)</f>
        <v>0</v>
      </c>
      <c r="DB102" s="155">
        <f ca="1">IF(BD102,_xll.EURO(CN102,Strike2,AO102,AO102,CU102,CM102,IF(OptControl=3,1,0),3)/100,0)</f>
        <v>0</v>
      </c>
      <c r="DC102" s="156">
        <f ca="1">IF(BD102,_xll.EURO(CN102,Strike2,AO102,AO102,CU102,CM102,IF(OptControl=3,1,0),0)-_xll.EURO(CN102,Strike2,AO102,AO102,CU102,CM102-1,IF(OptControl=3,1,0),0),0)</f>
        <v>0</v>
      </c>
      <c r="DE102" s="651">
        <f t="shared" ca="1" si="332"/>
        <v>39417</v>
      </c>
      <c r="DF102" s="465">
        <v>1E-4</v>
      </c>
      <c r="DG102" s="649">
        <v>1E-4</v>
      </c>
      <c r="DH102" s="650">
        <f t="shared" ca="1" si="306"/>
        <v>39417</v>
      </c>
      <c r="DI102" s="465">
        <v>1E-4</v>
      </c>
      <c r="DJ102" s="649">
        <v>1E-4</v>
      </c>
      <c r="DK102" s="651">
        <f t="shared" ca="1" si="307"/>
        <v>39417</v>
      </c>
      <c r="DL102" s="652">
        <f t="shared" si="308"/>
        <v>5.0100000000000006E-2</v>
      </c>
      <c r="DM102" s="651">
        <f t="shared" ca="1" si="333"/>
        <v>39417</v>
      </c>
      <c r="DN102" s="563">
        <f t="shared" si="334"/>
        <v>-0.12990000000000002</v>
      </c>
      <c r="DO102" s="803">
        <v>-0.13</v>
      </c>
      <c r="DP102" s="650">
        <f t="shared" ca="1" si="309"/>
        <v>39417</v>
      </c>
      <c r="DQ102" s="653">
        <v>1E-4</v>
      </c>
      <c r="DR102" s="590">
        <v>1E-4</v>
      </c>
      <c r="DS102" s="650">
        <f t="shared" ca="1" si="310"/>
        <v>39417</v>
      </c>
      <c r="DT102" s="653">
        <v>1E-4</v>
      </c>
      <c r="DU102" s="590">
        <v>1E-4</v>
      </c>
      <c r="DV102" s="651">
        <f t="shared" ca="1" si="311"/>
        <v>39417</v>
      </c>
      <c r="DW102" s="590">
        <v>1E-4</v>
      </c>
      <c r="DX102" s="651">
        <f t="shared" ca="1" si="335"/>
        <v>39417</v>
      </c>
      <c r="DY102" s="590">
        <f t="shared" si="336"/>
        <v>1E-4</v>
      </c>
      <c r="DZ102" s="1"/>
      <c r="EA102" s="857"/>
      <c r="EB102" s="857"/>
      <c r="EC102" s="857"/>
      <c r="ED102" s="868" t="e">
        <f t="shared" ca="1" si="436"/>
        <v>#NAME?</v>
      </c>
      <c r="EE102" s="863" t="e">
        <f t="shared" ca="1" si="312"/>
        <v>#NAME?</v>
      </c>
      <c r="EF102" s="590" t="e">
        <f t="shared" ca="1" si="313"/>
        <v>#NAME?</v>
      </c>
      <c r="EG102" s="862" t="str">
        <f t="shared" ca="1" si="314"/>
        <v/>
      </c>
      <c r="EH102" s="114" t="str">
        <f t="shared" ca="1" si="315"/>
        <v/>
      </c>
      <c r="EI102" s="109" t="str">
        <f t="shared" ca="1" si="316"/>
        <v/>
      </c>
      <c r="EJ102" s="115">
        <f ca="1">IF(BD102,_xll.xASN(BP102,Strike1,AO102,EH102,0,BM102,0,BI102,BL102,IF(OptControl=4,0,1),0),0)</f>
        <v>0</v>
      </c>
      <c r="EK102" s="108">
        <f ca="1">IF(BD102,_xll.xASN(BP102,Strike2,AO102,EI102,0,BM102,0,BI102,BL102,IF(OptControl=3,1,0),0),0)</f>
        <v>0</v>
      </c>
      <c r="EP102" s="53"/>
      <c r="EQ102" s="1"/>
      <c r="ER102" s="103"/>
      <c r="ES102" s="103"/>
      <c r="ET102" s="1"/>
      <c r="EU102" s="667" t="s">
        <v>314</v>
      </c>
      <c r="EW102" s="445"/>
      <c r="EX102" s="36"/>
      <c r="EY102" s="104"/>
      <c r="EZ102" s="465"/>
      <c r="FA102" s="446"/>
      <c r="FB102" s="446"/>
      <c r="FC102" s="242"/>
      <c r="FD102" s="242"/>
      <c r="FE102" s="242"/>
      <c r="FF102" s="242"/>
      <c r="FG102" s="242"/>
      <c r="FH102" s="242"/>
      <c r="FI102" s="242"/>
      <c r="FJ102" s="242"/>
      <c r="FK102" s="242"/>
      <c r="FL102" s="242"/>
      <c r="FM102" s="242"/>
      <c r="FN102" s="657">
        <v>8</v>
      </c>
      <c r="FO102" s="450">
        <f t="shared" ca="1" si="433"/>
        <v>0.25268405521256643</v>
      </c>
      <c r="FP102" s="450">
        <f t="shared" ca="1" si="445"/>
        <v>0.26379125047579921</v>
      </c>
      <c r="FQ102" s="450">
        <f t="shared" ca="1" si="445"/>
        <v>0.27650657334125395</v>
      </c>
      <c r="FR102" s="450">
        <f t="shared" ca="1" si="445"/>
        <v>0.29148719865096429</v>
      </c>
      <c r="FS102" s="450">
        <f t="shared" ca="1" si="445"/>
        <v>0.30924979158362731</v>
      </c>
      <c r="FT102" s="450">
        <f t="shared" ca="1" si="445"/>
        <v>0.33046476439886552</v>
      </c>
      <c r="FU102" s="450">
        <f t="shared" ca="1" si="445"/>
        <v>0.35601385573123601</v>
      </c>
      <c r="FV102" s="450">
        <f t="shared" ca="1" si="445"/>
        <v>0.38707400747005</v>
      </c>
      <c r="FW102" s="450" t="str">
        <f t="shared" si="445"/>
        <v/>
      </c>
      <c r="FX102" s="450" t="str">
        <f t="shared" si="445"/>
        <v/>
      </c>
      <c r="FY102" s="450" t="str">
        <f t="shared" si="445"/>
        <v/>
      </c>
      <c r="FZ102" s="450" t="str">
        <f t="shared" si="445"/>
        <v/>
      </c>
      <c r="GA102" s="450" t="str">
        <f t="shared" si="445"/>
        <v/>
      </c>
      <c r="GB102" s="450" t="str">
        <f t="shared" si="445"/>
        <v/>
      </c>
      <c r="GC102" s="450" t="str">
        <f t="shared" si="445"/>
        <v/>
      </c>
      <c r="GD102" s="450" t="str">
        <f t="shared" si="445"/>
        <v/>
      </c>
      <c r="GE102" s="450" t="str">
        <f t="shared" si="445"/>
        <v/>
      </c>
      <c r="GF102" s="450" t="str">
        <f t="shared" si="445"/>
        <v/>
      </c>
      <c r="GG102" s="450" t="str">
        <f t="shared" si="445"/>
        <v/>
      </c>
      <c r="GH102" s="450" t="str">
        <f t="shared" si="445"/>
        <v/>
      </c>
      <c r="GI102" s="450" t="str">
        <f t="shared" si="445"/>
        <v/>
      </c>
      <c r="GJ102" s="450" t="str">
        <f t="shared" si="445"/>
        <v/>
      </c>
      <c r="GK102" s="450" t="str">
        <f t="shared" si="445"/>
        <v/>
      </c>
      <c r="GL102" s="450" t="str">
        <f t="shared" si="445"/>
        <v/>
      </c>
      <c r="GM102" s="450" t="str">
        <f t="shared" si="445"/>
        <v/>
      </c>
      <c r="GN102" s="450" t="str">
        <f t="shared" si="445"/>
        <v/>
      </c>
      <c r="GO102" s="450" t="str">
        <f t="shared" si="445"/>
        <v/>
      </c>
      <c r="GP102" s="450" t="str">
        <f t="shared" si="445"/>
        <v/>
      </c>
      <c r="GQ102" s="450" t="str">
        <f t="shared" si="445"/>
        <v/>
      </c>
      <c r="GR102" s="450" t="str">
        <f t="shared" si="445"/>
        <v/>
      </c>
      <c r="GS102" s="450" t="str">
        <f t="shared" si="445"/>
        <v/>
      </c>
      <c r="GT102" s="450" t="str">
        <f t="shared" si="445"/>
        <v/>
      </c>
      <c r="GU102" s="450" t="str">
        <f t="shared" si="445"/>
        <v/>
      </c>
      <c r="GV102" s="450" t="str">
        <f t="shared" si="445"/>
        <v/>
      </c>
      <c r="GW102" s="450" t="str">
        <f t="shared" si="445"/>
        <v/>
      </c>
      <c r="GX102" s="450" t="str">
        <f t="shared" si="445"/>
        <v/>
      </c>
      <c r="GY102" s="450" t="str">
        <f t="shared" si="445"/>
        <v/>
      </c>
      <c r="GZ102" s="450" t="str">
        <f t="shared" si="445"/>
        <v/>
      </c>
      <c r="HA102" s="450" t="str">
        <f t="shared" si="445"/>
        <v/>
      </c>
      <c r="HB102" s="450" t="str">
        <f t="shared" si="445"/>
        <v/>
      </c>
      <c r="HC102" s="450" t="str">
        <f t="shared" si="445"/>
        <v/>
      </c>
      <c r="HD102" s="450" t="str">
        <f t="shared" si="445"/>
        <v/>
      </c>
      <c r="HE102" s="450" t="str">
        <f t="shared" si="445"/>
        <v/>
      </c>
      <c r="HF102" s="450" t="str">
        <f t="shared" si="445"/>
        <v/>
      </c>
      <c r="HG102" s="450" t="str">
        <f t="shared" si="445"/>
        <v/>
      </c>
      <c r="HH102" s="450" t="str">
        <f t="shared" si="445"/>
        <v/>
      </c>
      <c r="HI102" s="450" t="str">
        <f t="shared" si="445"/>
        <v/>
      </c>
      <c r="HJ102" s="450" t="str">
        <f t="shared" si="445"/>
        <v/>
      </c>
      <c r="HK102" s="450" t="str">
        <f t="shared" si="445"/>
        <v/>
      </c>
      <c r="HL102" s="450" t="str">
        <f t="shared" si="445"/>
        <v/>
      </c>
      <c r="HM102" s="450" t="str">
        <f t="shared" si="445"/>
        <v/>
      </c>
      <c r="HN102" s="450" t="str">
        <f t="shared" si="445"/>
        <v/>
      </c>
      <c r="HO102" s="450" t="str">
        <f t="shared" si="445"/>
        <v/>
      </c>
      <c r="HP102" s="450" t="str">
        <f t="shared" si="445"/>
        <v/>
      </c>
      <c r="HQ102" s="450" t="str">
        <f t="shared" si="445"/>
        <v/>
      </c>
      <c r="HR102" s="450" t="str">
        <f t="shared" si="445"/>
        <v/>
      </c>
      <c r="HS102" s="450" t="str">
        <f t="shared" si="445"/>
        <v/>
      </c>
      <c r="HT102" s="450" t="str">
        <f t="shared" si="445"/>
        <v/>
      </c>
      <c r="HU102" s="450" t="str">
        <f t="shared" si="445"/>
        <v/>
      </c>
      <c r="HV102" s="450" t="str">
        <f t="shared" si="445"/>
        <v/>
      </c>
      <c r="HW102" s="450" t="str">
        <f t="shared" si="445"/>
        <v/>
      </c>
      <c r="HX102" s="450" t="str">
        <f t="shared" si="445"/>
        <v/>
      </c>
      <c r="HY102" s="450" t="str">
        <f t="shared" si="445"/>
        <v/>
      </c>
      <c r="HZ102" s="450" t="str">
        <f t="shared" si="445"/>
        <v/>
      </c>
      <c r="IA102" s="450" t="str">
        <f t="shared" si="445"/>
        <v/>
      </c>
      <c r="IB102" s="450" t="str">
        <f t="shared" si="439"/>
        <v/>
      </c>
      <c r="IC102" s="450" t="str">
        <f t="shared" si="439"/>
        <v/>
      </c>
      <c r="ID102" s="450" t="str">
        <f t="shared" si="439"/>
        <v/>
      </c>
      <c r="IE102" s="450" t="str">
        <f t="shared" si="439"/>
        <v/>
      </c>
      <c r="IF102" s="450" t="str">
        <f t="shared" si="439"/>
        <v/>
      </c>
      <c r="IG102" s="450" t="str">
        <f t="shared" si="439"/>
        <v/>
      </c>
      <c r="IH102" s="658" t="str">
        <f t="shared" si="439"/>
        <v/>
      </c>
      <c r="II102" s="242"/>
    </row>
    <row r="103" spans="8:243">
      <c r="H103" s="49" t="e">
        <f t="shared" ca="1" si="317"/>
        <v>#N/A</v>
      </c>
      <c r="I103" s="369">
        <f t="shared" si="318"/>
        <v>39539</v>
      </c>
      <c r="J103" s="367">
        <v>21.726666666666699</v>
      </c>
      <c r="K103" s="101" t="s">
        <v>267</v>
      </c>
      <c r="L103" s="382">
        <f t="shared" si="319"/>
        <v>21.726666666666663</v>
      </c>
      <c r="M103" s="163">
        <v>0.17604999999999998</v>
      </c>
      <c r="N103" s="372">
        <v>0</v>
      </c>
      <c r="O103" s="163">
        <f t="shared" si="272"/>
        <v>0.17604999999999998</v>
      </c>
      <c r="P103" s="367">
        <v>20.494055650292498</v>
      </c>
      <c r="Q103" s="101" t="s">
        <v>267</v>
      </c>
      <c r="R103" s="367">
        <f t="shared" ca="1" si="417"/>
        <v>20.494055650292509</v>
      </c>
      <c r="S103" s="814">
        <f t="shared" si="163"/>
        <v>0.36193087509049571</v>
      </c>
      <c r="T103" s="813">
        <f t="shared" si="418"/>
        <v>0.99998756727424798</v>
      </c>
      <c r="U103" s="532">
        <f t="shared" si="419"/>
        <v>0.99999999999936007</v>
      </c>
      <c r="V103" s="379">
        <v>0</v>
      </c>
      <c r="W103" s="424">
        <f t="shared" si="273"/>
        <v>21.749393939393919</v>
      </c>
      <c r="X103" s="405">
        <f t="shared" si="274"/>
        <v>21.749393939393936</v>
      </c>
      <c r="Y103" s="313">
        <f t="shared" si="275"/>
        <v>20.405393939393917</v>
      </c>
      <c r="Z103" s="313">
        <f t="shared" ca="1" si="276"/>
        <v>20.405393939393935</v>
      </c>
      <c r="AA103" s="419">
        <f t="shared" si="277"/>
        <v>1.3440000000000001</v>
      </c>
      <c r="AB103" s="423">
        <f t="shared" ca="1" si="278"/>
        <v>1.3440000000000001</v>
      </c>
      <c r="AC103" s="221">
        <v>39527</v>
      </c>
      <c r="AD103" s="221">
        <v>39523</v>
      </c>
      <c r="AE103" s="221">
        <v>39522</v>
      </c>
      <c r="AF103" s="221">
        <v>39518</v>
      </c>
      <c r="AG103" s="241" t="s">
        <v>497</v>
      </c>
      <c r="AH103" s="239" t="s">
        <v>497</v>
      </c>
      <c r="AI103" s="141">
        <v>22</v>
      </c>
      <c r="AJ103" s="41">
        <v>14</v>
      </c>
      <c r="AK103" s="41">
        <v>8</v>
      </c>
      <c r="AL103" s="285">
        <v>22</v>
      </c>
      <c r="AM103" s="41">
        <v>10</v>
      </c>
      <c r="AN103" s="142">
        <v>12</v>
      </c>
      <c r="AO103" s="364">
        <v>5.6518920246135397E-2</v>
      </c>
      <c r="AP103" s="145">
        <f t="shared" ca="1" si="320"/>
        <v>0.67476687073825548</v>
      </c>
      <c r="AQ103" s="364">
        <v>4.90923611138077E-2</v>
      </c>
      <c r="AR103" s="145">
        <f t="shared" ca="1" si="420"/>
        <v>0.71437798709686784</v>
      </c>
      <c r="AS103" s="264">
        <f t="shared" si="279"/>
        <v>0.17509545454545455</v>
      </c>
      <c r="AT103" s="149">
        <f t="shared" si="321"/>
        <v>0.17604999999999998</v>
      </c>
      <c r="AU103" s="149">
        <f t="shared" si="280"/>
        <v>0.17496818181818183</v>
      </c>
      <c r="AV103" s="263">
        <f t="shared" ca="1" si="430"/>
        <v>0.17272941675913203</v>
      </c>
      <c r="AW103" s="150" t="str">
        <f t="shared" ca="1" si="281"/>
        <v/>
      </c>
      <c r="AX103" s="149">
        <f t="shared" ca="1" si="421"/>
        <v>2.0200606113246367E-2</v>
      </c>
      <c r="AY103" s="149">
        <f t="shared" ca="1" si="422"/>
        <v>9.2439517775545002E-3</v>
      </c>
      <c r="AZ103" s="149">
        <f t="shared" ca="1" si="423"/>
        <v>5.8122645250126351E-3</v>
      </c>
      <c r="BA103" s="149">
        <f t="shared" ca="1" si="424"/>
        <v>1.0000000000000293E-4</v>
      </c>
      <c r="BB103" s="149">
        <f t="shared" ca="1" si="425"/>
        <v>1.0000000000000293E-4</v>
      </c>
      <c r="BC103" s="149">
        <f t="shared" ca="1" si="426"/>
        <v>1.0000000000000293E-4</v>
      </c>
      <c r="BD103" s="143">
        <f t="shared" ca="1" si="282"/>
        <v>0</v>
      </c>
      <c r="BE103" s="144">
        <f t="shared" ca="1" si="283"/>
        <v>0</v>
      </c>
      <c r="BF103" s="40">
        <f t="shared" si="284"/>
        <v>2008</v>
      </c>
      <c r="BG103" s="139">
        <f t="shared" si="285"/>
        <v>4</v>
      </c>
      <c r="BH103" s="140">
        <f t="shared" ca="1" si="286"/>
        <v>2533</v>
      </c>
      <c r="BI103" s="304">
        <f t="shared" ca="1" si="440"/>
        <v>6.9787816563997263</v>
      </c>
      <c r="BJ103" s="42">
        <f t="shared" ca="1" si="288"/>
        <v>7.0293074481986189</v>
      </c>
      <c r="BK103" s="42">
        <f t="shared" ca="1" si="289"/>
        <v>7.0320452989857509</v>
      </c>
      <c r="BL103" s="42">
        <f t="shared" ca="1" si="441"/>
        <v>7.0581793292265571</v>
      </c>
      <c r="BM103" s="285">
        <f t="shared" si="442"/>
        <v>22</v>
      </c>
      <c r="BN103" s="41">
        <f t="shared" si="443"/>
        <v>14</v>
      </c>
      <c r="BO103" s="41">
        <f t="shared" si="444"/>
        <v>8</v>
      </c>
      <c r="BP103" s="297" t="str">
        <f t="shared" ca="1" si="293"/>
        <v/>
      </c>
      <c r="BQ103" s="297" t="str">
        <f t="shared" ca="1" si="294"/>
        <v/>
      </c>
      <c r="BR103" s="299" t="str">
        <f t="shared" ca="1" si="295"/>
        <v/>
      </c>
      <c r="BS103" s="153" t="str">
        <f t="shared" ca="1" si="296"/>
        <v/>
      </c>
      <c r="BT103" s="153" t="str">
        <f t="shared" ca="1" si="297"/>
        <v/>
      </c>
      <c r="BU103" s="300" t="str">
        <f t="shared" ca="1" si="298"/>
        <v/>
      </c>
      <c r="BV103" s="301" t="str">
        <f t="shared" ca="1" si="299"/>
        <v/>
      </c>
      <c r="BW103" s="300" t="str">
        <f t="shared" ca="1" si="300"/>
        <v/>
      </c>
      <c r="BX103" s="301" t="str">
        <f t="shared" ca="1" si="301"/>
        <v/>
      </c>
      <c r="BY103" s="146" t="str">
        <f t="shared" ca="1" si="302"/>
        <v/>
      </c>
      <c r="BZ103" s="146" t="str">
        <f t="shared" ca="1" si="303"/>
        <v/>
      </c>
      <c r="CA103" s="146" t="str">
        <f t="shared" ca="1" si="304"/>
        <v/>
      </c>
      <c r="CB103" s="146" t="str">
        <f t="shared" ca="1" si="305"/>
        <v/>
      </c>
      <c r="CC103" s="302">
        <v>1</v>
      </c>
      <c r="CD103" s="154">
        <f ca="1">IF(BD103,_xll.xCrudeAPO(BS103,BT103,BY103,BZ103,S104,S105,BI103,BL103,BN103,BO103,0,Strike1,AO103,CC103,0,BL103,IF(OptControl=4,0,1),0,1),0)</f>
        <v>0</v>
      </c>
      <c r="CE103" s="155">
        <f ca="1">IF(BD103,_xll.xCrudeAPO(BS103,BT103,BY103,BZ103,S104,S105,BI103,BL103,BN103,BO103,0,Strike1,AO103,CC103,0,BL103,IF(OptControl=4,0,1),1,1)+_xll.xCrudeAPO(BS103,BT103,BY103,BZ103,S104,S105,BI103,BL103,BN103,BO103,0,Strike1,AO103,CC103,0,BL103,IF(OptControl=4,0,1),1,2)+IF(OR(VolSkewFlag=2,ABS(BQ103)&lt;0.0001),0,IF(BQ103&gt;0,-1,1)*CF103*Strike1/BP103^2*BW103/10%),0)</f>
        <v>0</v>
      </c>
      <c r="CF103" s="155">
        <f ca="1">IF(BD103,(_xll.xCrudeAPO(BS103,BT103,BY103,BZ103,S104,S105,BI103,BL103,BN103,BO103,0,Strike1,AO103,CC103,0,BL103,IF(OptControl=4,0,1),3,1)+_xll.xCrudeAPO(BS103,BT103,BY103,BZ103,S104,S105,BI103,BL103,BN103,BO103,0,Strike1,AO103,CC103,0,BL103,IF(OptControl=4,0,1),3,2))/100,0)</f>
        <v>0</v>
      </c>
      <c r="CG103" s="155">
        <f ca="1">IF(BD103,_xll.xCrudeAPO(BS103,BT103,BY103,BZ103,S104,S105,BI103-DaysForThetaCalculation/365.25,BL103-DaysForThetaCalculation/365.25,BN103,BO103,0,Strike1,AO103,CC103,0,BL103,IF(OptControl=4,0,1),0,1)-_xll.xCrudeAPO(BS103,BT103,BY103,BZ103,S104,S105,BI103,BL103,BN103,BO103,0,Strike1,AO103,CC103,0,BL103,IF(OptControl=4,0,1),0,1),0)</f>
        <v>0</v>
      </c>
      <c r="CH103" s="303">
        <f ca="1">IF(BD103,_xll.xCrudeAPO(BS103,BT103,CA103,CB103,S104,S105,BI103,BL103,BN103,BO103,0,Strike2,AO103,CC103,0,BL103,IF(OptControl=3,1,0),0,1),0)</f>
        <v>0</v>
      </c>
      <c r="CI103" s="155">
        <f ca="1">IF(BD103,_xll.xCrudeAPO(BS103,BT103,CA103,CB103,S104,S105,BI103,BL103,BN103,BO103,0,Strike2,AO103,CC103,0,BL103,IF(OptControl=3,1,0),1,1)+_xll.xCrudeAPO(BS103,BT103,CA103,CB103,S104,S105,BI103,BL103,BN103,BO103,0,Strike2,AO103,CC103,0,BL103,IF(OptControl=3,1,0),1,2)+IF(OR(VolSkewFlag=2,ABS(BR103)&lt;0.0001),0,IF(BR103&gt;0,-1,1)*CJ103*Strike2/BP103^2*BX103/10%),0)</f>
        <v>0</v>
      </c>
      <c r="CJ103" s="155">
        <f ca="1">IF(BD103,(_xll.xCrudeAPO(BS103,BT103,CA103,CB103,S104,S105,BI103,BL103,BN103,BO103,0,Strike2,AO103,CC103,0,BL103,IF(OptControl=3,1,0),3,1)+_xll.xCrudeAPO(BS103,BT103,CA103,CB103,S104,S105,BI103,BL103,BN103,BO103,0,Strike2,AO103,CC103,0,BL103,IF(OptControl=3,1,0),3,2))/100,0)</f>
        <v>0</v>
      </c>
      <c r="CK103" s="156">
        <f ca="1">IF(BD103,_xll.xCrudeAPO(BS103,BT103,CA103,CB103,S104,S105,BI103-DaysForThetaCalculation/365.25,BL103-DaysForThetaCalculation/365.25,BN103,BO103,0,Strike2,AO103,CC103,0,BL103,IF(OptControl=3,1,0),0,1)-_xll.xCrudeAPO(BS103,BT103,CA103,CB103,S104,S105,BI103,BL103,BN103,BO103,0,Strike2,AO103,CC103,0,BL103,IF(OptControl=3,1,0),0,1),0)</f>
        <v>0</v>
      </c>
      <c r="CL103" s="51"/>
      <c r="CM103" s="779" t="str">
        <f t="shared" ca="1" si="323"/>
        <v/>
      </c>
      <c r="CN103" s="783" t="str">
        <f t="shared" ca="1" si="324"/>
        <v/>
      </c>
      <c r="CO103" s="780" t="str">
        <f t="shared" ca="1" si="325"/>
        <v/>
      </c>
      <c r="CP103" s="780" t="str">
        <f t="shared" ca="1" si="326"/>
        <v/>
      </c>
      <c r="CQ103" s="780" t="str">
        <f t="shared" ca="1" si="327"/>
        <v/>
      </c>
      <c r="CR103" s="780" t="str">
        <f t="shared" ca="1" si="328"/>
        <v/>
      </c>
      <c r="CS103" s="781" t="str">
        <f t="shared" ca="1" si="329"/>
        <v/>
      </c>
      <c r="CT103" s="782" t="str">
        <f t="shared" ca="1" si="330"/>
        <v/>
      </c>
      <c r="CU103" s="782" t="str">
        <f t="shared" ca="1" si="331"/>
        <v/>
      </c>
      <c r="CV103" s="155">
        <f ca="1">IF(BD103,_xll.EURO(CN103,Strike1,AO103,AO103,CT103,CM103,IF(OptControl=4,0,1),0),0)</f>
        <v>0</v>
      </c>
      <c r="CW103" s="155">
        <f ca="1">IF(BD103,_xll.EURO(CN103,Strike1,AO103,AO103,CT103,CM103,IF(OptControl=4,0,1),1)+IF(OR(VolSkewFlag=2,ABS(CO103)&lt;0.0001),0,IF(CO103&gt;0,-1,1)*CX103*100*Strike1/CN103^2*CQ103/10%),0)</f>
        <v>0</v>
      </c>
      <c r="CX103" s="155">
        <f ca="1">IF(BD103,_xll.EURO(CN103,Strike1,AO103,AO103,CT103,CM103,IF(OptControl=4,0,1),3)/100,0)</f>
        <v>0</v>
      </c>
      <c r="CY103" s="155">
        <f ca="1">IF(BD103,_xll.EURO(CN103,Strike1,AO103,AO103,CT103,CM103,IF(OptControl=4,0,1),0)-_xll.EURO(CN103,Strike1,AO103,AO103,CT103,CM103-1,IF(OptControl=4,0,1),0),0)</f>
        <v>0</v>
      </c>
      <c r="CZ103" s="155">
        <f ca="1">IF(BD103,_xll.EURO(CN103,Strike2,AO103,AO103,CU103,CM103,IF(OptControl=3,1,0),0),0)</f>
        <v>0</v>
      </c>
      <c r="DA103" s="155">
        <f ca="1">IF(BD103,_xll.EURO(CN103,Strike2,AO103,AO103,CU103,CM103,IF(OptControl=3,1,0),1)+IF(OR(VolSkewFlag=2,ABS(CP103)&lt;0.0001),0,IF(CP103&gt;0,-1,1)*DB103*100*Strike2/CN103^2*CR103/10%),0)</f>
        <v>0</v>
      </c>
      <c r="DB103" s="155">
        <f ca="1">IF(BD103,_xll.EURO(CN103,Strike2,AO103,AO103,CU103,CM103,IF(OptControl=3,1,0),3)/100,0)</f>
        <v>0</v>
      </c>
      <c r="DC103" s="156">
        <f ca="1">IF(BD103,_xll.EURO(CN103,Strike2,AO103,AO103,CU103,CM103,IF(OptControl=3,1,0),0)-_xll.EURO(CN103,Strike2,AO103,AO103,CU103,CM103-1,IF(OptControl=3,1,0),0),0)</f>
        <v>0</v>
      </c>
      <c r="DE103" s="651">
        <f t="shared" ca="1" si="332"/>
        <v>39448</v>
      </c>
      <c r="DF103" s="465">
        <v>1E-4</v>
      </c>
      <c r="DG103" s="649">
        <v>1E-4</v>
      </c>
      <c r="DH103" s="650">
        <f t="shared" ca="1" si="306"/>
        <v>39448</v>
      </c>
      <c r="DI103" s="465">
        <v>1E-4</v>
      </c>
      <c r="DJ103" s="649">
        <v>1E-4</v>
      </c>
      <c r="DK103" s="651">
        <f t="shared" ca="1" si="307"/>
        <v>39448</v>
      </c>
      <c r="DL103" s="652">
        <f t="shared" si="308"/>
        <v>5.0100000000000006E-2</v>
      </c>
      <c r="DM103" s="651">
        <f t="shared" ca="1" si="333"/>
        <v>39448</v>
      </c>
      <c r="DN103" s="563">
        <f t="shared" si="334"/>
        <v>-0.12990000000000002</v>
      </c>
      <c r="DO103" s="803">
        <v>-0.13</v>
      </c>
      <c r="DP103" s="650">
        <f t="shared" ca="1" si="309"/>
        <v>39448</v>
      </c>
      <c r="DQ103" s="653">
        <v>1E-4</v>
      </c>
      <c r="DR103" s="590">
        <v>1E-4</v>
      </c>
      <c r="DS103" s="650">
        <f t="shared" ca="1" si="310"/>
        <v>39448</v>
      </c>
      <c r="DT103" s="653">
        <v>1E-4</v>
      </c>
      <c r="DU103" s="590">
        <v>1E-4</v>
      </c>
      <c r="DV103" s="651">
        <f t="shared" ca="1" si="311"/>
        <v>39448</v>
      </c>
      <c r="DW103" s="590">
        <v>1E-4</v>
      </c>
      <c r="DX103" s="651">
        <f t="shared" ca="1" si="335"/>
        <v>39448</v>
      </c>
      <c r="DY103" s="590">
        <f t="shared" si="336"/>
        <v>1E-4</v>
      </c>
      <c r="DZ103" s="1"/>
      <c r="EA103" s="857"/>
      <c r="EB103" s="857"/>
      <c r="EC103" s="857"/>
      <c r="ED103" s="868" t="e">
        <f t="shared" ca="1" si="436"/>
        <v>#NAME?</v>
      </c>
      <c r="EE103" s="863" t="e">
        <f t="shared" ca="1" si="312"/>
        <v>#NAME?</v>
      </c>
      <c r="EF103" s="590" t="e">
        <f t="shared" ca="1" si="313"/>
        <v>#NAME?</v>
      </c>
      <c r="EG103" s="862" t="str">
        <f t="shared" ca="1" si="314"/>
        <v/>
      </c>
      <c r="EH103" s="114" t="str">
        <f t="shared" ca="1" si="315"/>
        <v/>
      </c>
      <c r="EI103" s="109" t="str">
        <f t="shared" ca="1" si="316"/>
        <v/>
      </c>
      <c r="EJ103" s="115">
        <f ca="1">IF(BD103,_xll.xASN(BP103,Strike1,AO103,EH103,0,BM103,0,BI103,BL103,IF(OptControl=4,0,1),0),0)</f>
        <v>0</v>
      </c>
      <c r="EK103" s="108">
        <f ca="1">IF(BD103,_xll.xASN(BP103,Strike2,AO103,EI103,0,BM103,0,BI103,BL103,IF(OptControl=3,1,0),0),0)</f>
        <v>0</v>
      </c>
      <c r="EP103" s="53"/>
      <c r="EQ103" s="1"/>
      <c r="ER103" s="103"/>
      <c r="ES103" s="103"/>
      <c r="ET103" s="1"/>
      <c r="EU103" s="667" t="s">
        <v>315</v>
      </c>
      <c r="EW103" s="445"/>
      <c r="EX103" s="36"/>
      <c r="EY103" s="104"/>
      <c r="EZ103" s="465"/>
      <c r="FA103" s="446"/>
      <c r="FB103" s="446"/>
      <c r="FC103" s="242"/>
      <c r="FD103" s="242"/>
      <c r="FE103" s="242"/>
      <c r="FF103" s="242"/>
      <c r="FG103" s="242"/>
      <c r="FH103" s="242"/>
      <c r="FI103" s="242"/>
      <c r="FJ103" s="242"/>
      <c r="FK103" s="242"/>
      <c r="FL103" s="242"/>
      <c r="FM103" s="242"/>
      <c r="FN103" s="657">
        <v>9</v>
      </c>
      <c r="FO103" s="450">
        <f t="shared" ca="1" si="433"/>
        <v>0.243066710025165</v>
      </c>
      <c r="FP103" s="450">
        <f t="shared" ca="1" si="445"/>
        <v>0.25261095986193027</v>
      </c>
      <c r="FQ103" s="450">
        <f t="shared" ca="1" si="445"/>
        <v>0.26345305656493273</v>
      </c>
      <c r="FR103" s="450">
        <f t="shared" ca="1" si="445"/>
        <v>0.27615517217616037</v>
      </c>
      <c r="FS103" s="450">
        <f t="shared" ca="1" si="445"/>
        <v>0.29111999693967799</v>
      </c>
      <c r="FT103" s="450">
        <f t="shared" ca="1" si="445"/>
        <v>0.30886362270708373</v>
      </c>
      <c r="FU103" s="450">
        <f t="shared" ca="1" si="445"/>
        <v>0.33005571961194696</v>
      </c>
      <c r="FV103" s="450">
        <f t="shared" ca="1" si="445"/>
        <v>0.35557705264898809</v>
      </c>
      <c r="FW103" s="450">
        <f t="shared" ca="1" si="445"/>
        <v>0.3866032673953495</v>
      </c>
      <c r="FX103" s="450" t="str">
        <f t="shared" si="445"/>
        <v/>
      </c>
      <c r="FY103" s="450" t="str">
        <f t="shared" si="445"/>
        <v/>
      </c>
      <c r="FZ103" s="450" t="str">
        <f t="shared" si="445"/>
        <v/>
      </c>
      <c r="GA103" s="450" t="str">
        <f t="shared" si="445"/>
        <v/>
      </c>
      <c r="GB103" s="450" t="str">
        <f t="shared" si="445"/>
        <v/>
      </c>
      <c r="GC103" s="450" t="str">
        <f t="shared" si="445"/>
        <v/>
      </c>
      <c r="GD103" s="450" t="str">
        <f t="shared" si="445"/>
        <v/>
      </c>
      <c r="GE103" s="450" t="str">
        <f t="shared" si="445"/>
        <v/>
      </c>
      <c r="GF103" s="450" t="str">
        <f t="shared" si="445"/>
        <v/>
      </c>
      <c r="GG103" s="450" t="str">
        <f t="shared" si="445"/>
        <v/>
      </c>
      <c r="GH103" s="450" t="str">
        <f t="shared" si="445"/>
        <v/>
      </c>
      <c r="GI103" s="450" t="str">
        <f t="shared" si="445"/>
        <v/>
      </c>
      <c r="GJ103" s="450" t="str">
        <f t="shared" si="445"/>
        <v/>
      </c>
      <c r="GK103" s="450" t="str">
        <f t="shared" si="445"/>
        <v/>
      </c>
      <c r="GL103" s="450" t="str">
        <f t="shared" si="445"/>
        <v/>
      </c>
      <c r="GM103" s="450" t="str">
        <f t="shared" si="445"/>
        <v/>
      </c>
      <c r="GN103" s="450" t="str">
        <f t="shared" si="445"/>
        <v/>
      </c>
      <c r="GO103" s="450" t="str">
        <f t="shared" si="445"/>
        <v/>
      </c>
      <c r="GP103" s="450" t="str">
        <f t="shared" si="445"/>
        <v/>
      </c>
      <c r="GQ103" s="450" t="str">
        <f t="shared" si="445"/>
        <v/>
      </c>
      <c r="GR103" s="450" t="str">
        <f t="shared" si="445"/>
        <v/>
      </c>
      <c r="GS103" s="450" t="str">
        <f t="shared" si="445"/>
        <v/>
      </c>
      <c r="GT103" s="450" t="str">
        <f t="shared" si="445"/>
        <v/>
      </c>
      <c r="GU103" s="450" t="str">
        <f t="shared" si="445"/>
        <v/>
      </c>
      <c r="GV103" s="450" t="str">
        <f t="shared" si="445"/>
        <v/>
      </c>
      <c r="GW103" s="450" t="str">
        <f t="shared" si="445"/>
        <v/>
      </c>
      <c r="GX103" s="450" t="str">
        <f t="shared" si="445"/>
        <v/>
      </c>
      <c r="GY103" s="450" t="str">
        <f t="shared" si="445"/>
        <v/>
      </c>
      <c r="GZ103" s="450" t="str">
        <f t="shared" si="445"/>
        <v/>
      </c>
      <c r="HA103" s="450" t="str">
        <f t="shared" si="445"/>
        <v/>
      </c>
      <c r="HB103" s="450" t="str">
        <f t="shared" si="445"/>
        <v/>
      </c>
      <c r="HC103" s="450" t="str">
        <f t="shared" si="445"/>
        <v/>
      </c>
      <c r="HD103" s="450" t="str">
        <f t="shared" si="445"/>
        <v/>
      </c>
      <c r="HE103" s="450" t="str">
        <f t="shared" si="445"/>
        <v/>
      </c>
      <c r="HF103" s="450" t="str">
        <f t="shared" si="445"/>
        <v/>
      </c>
      <c r="HG103" s="450" t="str">
        <f t="shared" si="445"/>
        <v/>
      </c>
      <c r="HH103" s="450" t="str">
        <f t="shared" si="445"/>
        <v/>
      </c>
      <c r="HI103" s="450" t="str">
        <f t="shared" si="445"/>
        <v/>
      </c>
      <c r="HJ103" s="450" t="str">
        <f t="shared" si="445"/>
        <v/>
      </c>
      <c r="HK103" s="450" t="str">
        <f t="shared" si="445"/>
        <v/>
      </c>
      <c r="HL103" s="450" t="str">
        <f t="shared" si="445"/>
        <v/>
      </c>
      <c r="HM103" s="450" t="str">
        <f t="shared" si="445"/>
        <v/>
      </c>
      <c r="HN103" s="450" t="str">
        <f t="shared" si="445"/>
        <v/>
      </c>
      <c r="HO103" s="450" t="str">
        <f t="shared" si="445"/>
        <v/>
      </c>
      <c r="HP103" s="450" t="str">
        <f t="shared" si="445"/>
        <v/>
      </c>
      <c r="HQ103" s="450" t="str">
        <f t="shared" si="445"/>
        <v/>
      </c>
      <c r="HR103" s="450" t="str">
        <f t="shared" si="445"/>
        <v/>
      </c>
      <c r="HS103" s="450" t="str">
        <f t="shared" si="445"/>
        <v/>
      </c>
      <c r="HT103" s="450" t="str">
        <f t="shared" si="445"/>
        <v/>
      </c>
      <c r="HU103" s="450" t="str">
        <f t="shared" si="445"/>
        <v/>
      </c>
      <c r="HV103" s="450" t="str">
        <f t="shared" si="445"/>
        <v/>
      </c>
      <c r="HW103" s="450" t="str">
        <f t="shared" si="445"/>
        <v/>
      </c>
      <c r="HX103" s="450" t="str">
        <f t="shared" si="445"/>
        <v/>
      </c>
      <c r="HY103" s="450" t="str">
        <f t="shared" si="445"/>
        <v/>
      </c>
      <c r="HZ103" s="450" t="str">
        <f t="shared" si="445"/>
        <v/>
      </c>
      <c r="IA103" s="450" t="str">
        <f t="shared" si="445"/>
        <v/>
      </c>
      <c r="IB103" s="450" t="str">
        <f t="shared" si="439"/>
        <v/>
      </c>
      <c r="IC103" s="450" t="str">
        <f t="shared" si="439"/>
        <v/>
      </c>
      <c r="ID103" s="450" t="str">
        <f t="shared" si="439"/>
        <v/>
      </c>
      <c r="IE103" s="450" t="str">
        <f t="shared" si="439"/>
        <v/>
      </c>
      <c r="IF103" s="450" t="str">
        <f t="shared" si="439"/>
        <v/>
      </c>
      <c r="IG103" s="450" t="str">
        <f t="shared" si="439"/>
        <v/>
      </c>
      <c r="IH103" s="658" t="str">
        <f t="shared" si="439"/>
        <v/>
      </c>
      <c r="II103" s="242"/>
    </row>
    <row r="104" spans="8:243">
      <c r="H104" s="49" t="e">
        <f t="shared" ca="1" si="317"/>
        <v>#N/A</v>
      </c>
      <c r="I104" s="369">
        <f t="shared" si="318"/>
        <v>39569</v>
      </c>
      <c r="J104" s="367">
        <v>21.7433333333333</v>
      </c>
      <c r="K104" s="101" t="s">
        <v>267</v>
      </c>
      <c r="L104" s="382">
        <f t="shared" si="319"/>
        <v>21.743333333333329</v>
      </c>
      <c r="M104" s="163">
        <v>0.17535000000000001</v>
      </c>
      <c r="N104" s="372">
        <v>0</v>
      </c>
      <c r="O104" s="163">
        <f t="shared" si="272"/>
        <v>0.17535000000000001</v>
      </c>
      <c r="P104" s="367">
        <v>20.536373651249196</v>
      </c>
      <c r="Q104" s="101" t="s">
        <v>267</v>
      </c>
      <c r="R104" s="367">
        <f t="shared" ca="1" si="417"/>
        <v>20.536373651249217</v>
      </c>
      <c r="S104" s="814">
        <f t="shared" si="163"/>
        <v>0.36171156633959073</v>
      </c>
      <c r="T104" s="813">
        <f t="shared" si="418"/>
        <v>0.99998881055382705</v>
      </c>
      <c r="U104" s="532">
        <f t="shared" si="419"/>
        <v>0.99999999999952005</v>
      </c>
      <c r="V104" s="379">
        <v>0</v>
      </c>
      <c r="W104" s="424">
        <f t="shared" si="273"/>
        <v>21.76606060606062</v>
      </c>
      <c r="X104" s="405">
        <f t="shared" si="274"/>
        <v>21.766060606060602</v>
      </c>
      <c r="Y104" s="313">
        <f t="shared" si="275"/>
        <v>20.422060606060619</v>
      </c>
      <c r="Z104" s="313">
        <f t="shared" ca="1" si="276"/>
        <v>20.422060606060601</v>
      </c>
      <c r="AA104" s="419">
        <f t="shared" si="277"/>
        <v>1.3440000000000001</v>
      </c>
      <c r="AB104" s="423">
        <f t="shared" ca="1" si="278"/>
        <v>1.3440000000000001</v>
      </c>
      <c r="AC104" s="221">
        <v>39558</v>
      </c>
      <c r="AD104" s="221">
        <v>39554</v>
      </c>
      <c r="AE104" s="221">
        <v>39553</v>
      </c>
      <c r="AF104" s="221">
        <v>39549</v>
      </c>
      <c r="AG104" s="241" t="s">
        <v>497</v>
      </c>
      <c r="AH104" s="239" t="s">
        <v>497</v>
      </c>
      <c r="AI104" s="141">
        <v>22</v>
      </c>
      <c r="AJ104" s="41">
        <v>14</v>
      </c>
      <c r="AK104" s="41">
        <v>8</v>
      </c>
      <c r="AL104" s="285">
        <v>22</v>
      </c>
      <c r="AM104" s="41">
        <v>10</v>
      </c>
      <c r="AN104" s="142">
        <v>12</v>
      </c>
      <c r="AO104" s="364">
        <v>5.6606772292485404E-2</v>
      </c>
      <c r="AP104" s="145">
        <f t="shared" ca="1" si="320"/>
        <v>0.67117275293936107</v>
      </c>
      <c r="AQ104" s="364">
        <v>4.9112497192095102E-2</v>
      </c>
      <c r="AR104" s="145">
        <f t="shared" ca="1" si="420"/>
        <v>0.71134527611910459</v>
      </c>
      <c r="AS104" s="264">
        <f t="shared" si="279"/>
        <v>0.17435909090909091</v>
      </c>
      <c r="AT104" s="149">
        <f t="shared" si="321"/>
        <v>0.17535000000000001</v>
      </c>
      <c r="AU104" s="149">
        <f t="shared" si="280"/>
        <v>0.17421363636363638</v>
      </c>
      <c r="AV104" s="263">
        <f t="shared" ca="1" si="430"/>
        <v>0.17182172372492993</v>
      </c>
      <c r="AW104" s="150" t="str">
        <f t="shared" ca="1" si="281"/>
        <v/>
      </c>
      <c r="AX104" s="149">
        <f t="shared" ca="1" si="421"/>
        <v>1.9916823681061069E-2</v>
      </c>
      <c r="AY104" s="149">
        <f t="shared" ca="1" si="422"/>
        <v>9.0849015589495076E-3</v>
      </c>
      <c r="AZ104" s="149">
        <f t="shared" ca="1" si="423"/>
        <v>5.7429944813529969E-3</v>
      </c>
      <c r="BA104" s="149">
        <f t="shared" ca="1" si="424"/>
        <v>1.0000000000000297E-4</v>
      </c>
      <c r="BB104" s="149">
        <f t="shared" ca="1" si="425"/>
        <v>1.0000000000000297E-4</v>
      </c>
      <c r="BC104" s="149">
        <f t="shared" ca="1" si="426"/>
        <v>1.0000000000000297E-4</v>
      </c>
      <c r="BD104" s="143">
        <f t="shared" ca="1" si="282"/>
        <v>0</v>
      </c>
      <c r="BE104" s="144">
        <f t="shared" ca="1" si="283"/>
        <v>0</v>
      </c>
      <c r="BF104" s="40">
        <f t="shared" si="284"/>
        <v>2008</v>
      </c>
      <c r="BG104" s="139">
        <f t="shared" si="285"/>
        <v>5</v>
      </c>
      <c r="BH104" s="140">
        <f t="shared" ca="1" si="286"/>
        <v>2564</v>
      </c>
      <c r="BI104" s="304">
        <f t="shared" ca="1" si="440"/>
        <v>7.0609171800136892</v>
      </c>
      <c r="BJ104" s="42">
        <f t="shared" ca="1" si="288"/>
        <v>7.1131852404953015</v>
      </c>
      <c r="BK104" s="42">
        <f t="shared" ca="1" si="289"/>
        <v>7.1159230912824336</v>
      </c>
      <c r="BL104" s="42">
        <f t="shared" ca="1" si="441"/>
        <v>7.1430527036276521</v>
      </c>
      <c r="BM104" s="285">
        <f t="shared" si="442"/>
        <v>22</v>
      </c>
      <c r="BN104" s="41">
        <f t="shared" si="443"/>
        <v>14</v>
      </c>
      <c r="BO104" s="41">
        <f t="shared" si="444"/>
        <v>8</v>
      </c>
      <c r="BP104" s="297" t="str">
        <f t="shared" ca="1" si="293"/>
        <v/>
      </c>
      <c r="BQ104" s="297" t="str">
        <f t="shared" ca="1" si="294"/>
        <v/>
      </c>
      <c r="BR104" s="299" t="str">
        <f t="shared" ca="1" si="295"/>
        <v/>
      </c>
      <c r="BS104" s="153" t="str">
        <f t="shared" ca="1" si="296"/>
        <v/>
      </c>
      <c r="BT104" s="153" t="str">
        <f t="shared" ca="1" si="297"/>
        <v/>
      </c>
      <c r="BU104" s="300" t="str">
        <f t="shared" ca="1" si="298"/>
        <v/>
      </c>
      <c r="BV104" s="301" t="str">
        <f t="shared" ca="1" si="299"/>
        <v/>
      </c>
      <c r="BW104" s="300" t="str">
        <f t="shared" ca="1" si="300"/>
        <v/>
      </c>
      <c r="BX104" s="301" t="str">
        <f t="shared" ca="1" si="301"/>
        <v/>
      </c>
      <c r="BY104" s="146" t="str">
        <f t="shared" ca="1" si="302"/>
        <v/>
      </c>
      <c r="BZ104" s="146" t="str">
        <f t="shared" ca="1" si="303"/>
        <v/>
      </c>
      <c r="CA104" s="146" t="str">
        <f t="shared" ca="1" si="304"/>
        <v/>
      </c>
      <c r="CB104" s="146" t="str">
        <f t="shared" ca="1" si="305"/>
        <v/>
      </c>
      <c r="CC104" s="302">
        <v>1</v>
      </c>
      <c r="CD104" s="154">
        <f ca="1">IF(BD104,_xll.xCrudeAPO(BS104,BT104,BY104,BZ104,S105,S106,BI104,BL104,BN104,BO104,0,Strike1,AO104,CC104,0,BL104,IF(OptControl=4,0,1),0,1),0)</f>
        <v>0</v>
      </c>
      <c r="CE104" s="155">
        <f ca="1">IF(BD104,_xll.xCrudeAPO(BS104,BT104,BY104,BZ104,S105,S106,BI104,BL104,BN104,BO104,0,Strike1,AO104,CC104,0,BL104,IF(OptControl=4,0,1),1,1)+_xll.xCrudeAPO(BS104,BT104,BY104,BZ104,S105,S106,BI104,BL104,BN104,BO104,0,Strike1,AO104,CC104,0,BL104,IF(OptControl=4,0,1),1,2)+IF(OR(VolSkewFlag=2,ABS(BQ104)&lt;0.0001),0,IF(BQ104&gt;0,-1,1)*CF104*Strike1/BP104^2*BW104/10%),0)</f>
        <v>0</v>
      </c>
      <c r="CF104" s="155">
        <f ca="1">IF(BD104,(_xll.xCrudeAPO(BS104,BT104,BY104,BZ104,S105,S106,BI104,BL104,BN104,BO104,0,Strike1,AO104,CC104,0,BL104,IF(OptControl=4,0,1),3,1)+_xll.xCrudeAPO(BS104,BT104,BY104,BZ104,S105,S106,BI104,BL104,BN104,BO104,0,Strike1,AO104,CC104,0,BL104,IF(OptControl=4,0,1),3,2))/100,0)</f>
        <v>0</v>
      </c>
      <c r="CG104" s="155">
        <f ca="1">IF(BD104,_xll.xCrudeAPO(BS104,BT104,BY104,BZ104,S105,S106,BI104-DaysForThetaCalculation/365.25,BL104-DaysForThetaCalculation/365.25,BN104,BO104,0,Strike1,AO104,CC104,0,BL104,IF(OptControl=4,0,1),0,1)-_xll.xCrudeAPO(BS104,BT104,BY104,BZ104,S105,S106,BI104,BL104,BN104,BO104,0,Strike1,AO104,CC104,0,BL104,IF(OptControl=4,0,1),0,1),0)</f>
        <v>0</v>
      </c>
      <c r="CH104" s="303">
        <f ca="1">IF(BD104,_xll.xCrudeAPO(BS104,BT104,CA104,CB104,S105,S106,BI104,BL104,BN104,BO104,0,Strike2,AO104,CC104,0,BL104,IF(OptControl=3,1,0),0,1),0)</f>
        <v>0</v>
      </c>
      <c r="CI104" s="155">
        <f ca="1">IF(BD104,_xll.xCrudeAPO(BS104,BT104,CA104,CB104,S105,S106,BI104,BL104,BN104,BO104,0,Strike2,AO104,CC104,0,BL104,IF(OptControl=3,1,0),1,1)+_xll.xCrudeAPO(BS104,BT104,CA104,CB104,S105,S106,BI104,BL104,BN104,BO104,0,Strike2,AO104,CC104,0,BL104,IF(OptControl=3,1,0),1,2)+IF(OR(VolSkewFlag=2,ABS(BR104)&lt;0.0001),0,IF(BR104&gt;0,-1,1)*CJ104*Strike2/BP104^2*BX104/10%),0)</f>
        <v>0</v>
      </c>
      <c r="CJ104" s="155">
        <f ca="1">IF(BD104,(_xll.xCrudeAPO(BS104,BT104,CA104,CB104,S105,S106,BI104,BL104,BN104,BO104,0,Strike2,AO104,CC104,0,BL104,IF(OptControl=3,1,0),3,1)+_xll.xCrudeAPO(BS104,BT104,CA104,CB104,S105,S106,BI104,BL104,BN104,BO104,0,Strike2,AO104,CC104,0,BL104,IF(OptControl=3,1,0),3,2))/100,0)</f>
        <v>0</v>
      </c>
      <c r="CK104" s="156">
        <f ca="1">IF(BD104,_xll.xCrudeAPO(BS104,BT104,CA104,CB104,S105,S106,BI104-DaysForThetaCalculation/365.25,BL104-DaysForThetaCalculation/365.25,BN104,BO104,0,Strike2,AO104,CC104,0,BL104,IF(OptControl=3,1,0),0,1)-_xll.xCrudeAPO(BS104,BT104,CA104,CB104,S105,S106,BI104,BL104,BN104,BO104,0,Strike2,AO104,CC104,0,BL104,IF(OptControl=3,1,0),0,1),0)</f>
        <v>0</v>
      </c>
      <c r="CL104" s="51"/>
      <c r="CM104" s="779" t="str">
        <f t="shared" ca="1" si="323"/>
        <v/>
      </c>
      <c r="CN104" s="783" t="str">
        <f t="shared" ca="1" si="324"/>
        <v/>
      </c>
      <c r="CO104" s="780" t="str">
        <f t="shared" ca="1" si="325"/>
        <v/>
      </c>
      <c r="CP104" s="780" t="str">
        <f t="shared" ca="1" si="326"/>
        <v/>
      </c>
      <c r="CQ104" s="780" t="str">
        <f t="shared" ca="1" si="327"/>
        <v/>
      </c>
      <c r="CR104" s="780" t="str">
        <f t="shared" ca="1" si="328"/>
        <v/>
      </c>
      <c r="CS104" s="781" t="str">
        <f t="shared" ca="1" si="329"/>
        <v/>
      </c>
      <c r="CT104" s="782" t="str">
        <f t="shared" ca="1" si="330"/>
        <v/>
      </c>
      <c r="CU104" s="782" t="str">
        <f t="shared" ca="1" si="331"/>
        <v/>
      </c>
      <c r="CV104" s="155">
        <f ca="1">IF(BD104,_xll.EURO(CN104,Strike1,AO104,AO104,CT104,CM104,IF(OptControl=4,0,1),0),0)</f>
        <v>0</v>
      </c>
      <c r="CW104" s="155">
        <f ca="1">IF(BD104,_xll.EURO(CN104,Strike1,AO104,AO104,CT104,CM104,IF(OptControl=4,0,1),1)+IF(OR(VolSkewFlag=2,ABS(CO104)&lt;0.0001),0,IF(CO104&gt;0,-1,1)*CX104*100*Strike1/CN104^2*CQ104/10%),0)</f>
        <v>0</v>
      </c>
      <c r="CX104" s="155">
        <f ca="1">IF(BD104,_xll.EURO(CN104,Strike1,AO104,AO104,CT104,CM104,IF(OptControl=4,0,1),3)/100,0)</f>
        <v>0</v>
      </c>
      <c r="CY104" s="155">
        <f ca="1">IF(BD104,_xll.EURO(CN104,Strike1,AO104,AO104,CT104,CM104,IF(OptControl=4,0,1),0)-_xll.EURO(CN104,Strike1,AO104,AO104,CT104,CM104-1,IF(OptControl=4,0,1),0),0)</f>
        <v>0</v>
      </c>
      <c r="CZ104" s="155">
        <f ca="1">IF(BD104,_xll.EURO(CN104,Strike2,AO104,AO104,CU104,CM104,IF(OptControl=3,1,0),0),0)</f>
        <v>0</v>
      </c>
      <c r="DA104" s="155">
        <f ca="1">IF(BD104,_xll.EURO(CN104,Strike2,AO104,AO104,CU104,CM104,IF(OptControl=3,1,0),1)+IF(OR(VolSkewFlag=2,ABS(CP104)&lt;0.0001),0,IF(CP104&gt;0,-1,1)*DB104*100*Strike2/CN104^2*CR104/10%),0)</f>
        <v>0</v>
      </c>
      <c r="DB104" s="155">
        <f ca="1">IF(BD104,_xll.EURO(CN104,Strike2,AO104,AO104,CU104,CM104,IF(OptControl=3,1,0),3)/100,0)</f>
        <v>0</v>
      </c>
      <c r="DC104" s="156">
        <f ca="1">IF(BD104,_xll.EURO(CN104,Strike2,AO104,AO104,CU104,CM104,IF(OptControl=3,1,0),0)-_xll.EURO(CN104,Strike2,AO104,AO104,CU104,CM104-1,IF(OptControl=3,1,0),0),0)</f>
        <v>0</v>
      </c>
      <c r="DE104" s="651">
        <f t="shared" ca="1" si="332"/>
        <v>39479</v>
      </c>
      <c r="DF104" s="465">
        <v>1E-4</v>
      </c>
      <c r="DG104" s="649">
        <v>1E-4</v>
      </c>
      <c r="DH104" s="650">
        <f t="shared" ca="1" si="306"/>
        <v>39479</v>
      </c>
      <c r="DI104" s="465">
        <v>1E-4</v>
      </c>
      <c r="DJ104" s="649">
        <v>1E-4</v>
      </c>
      <c r="DK104" s="651">
        <f t="shared" ca="1" si="307"/>
        <v>39479</v>
      </c>
      <c r="DL104" s="652">
        <f t="shared" si="308"/>
        <v>5.0100000000000006E-2</v>
      </c>
      <c r="DM104" s="651">
        <f t="shared" ca="1" si="333"/>
        <v>39479</v>
      </c>
      <c r="DN104" s="563">
        <f t="shared" si="334"/>
        <v>-0.12990000000000002</v>
      </c>
      <c r="DO104" s="803">
        <v>-0.13</v>
      </c>
      <c r="DP104" s="650">
        <f t="shared" ca="1" si="309"/>
        <v>39479</v>
      </c>
      <c r="DQ104" s="653">
        <v>1E-4</v>
      </c>
      <c r="DR104" s="590">
        <v>1E-4</v>
      </c>
      <c r="DS104" s="650">
        <f t="shared" ca="1" si="310"/>
        <v>39479</v>
      </c>
      <c r="DT104" s="653">
        <v>1E-4</v>
      </c>
      <c r="DU104" s="590">
        <v>1E-4</v>
      </c>
      <c r="DV104" s="651">
        <f t="shared" ca="1" si="311"/>
        <v>39479</v>
      </c>
      <c r="DW104" s="590">
        <v>1E-4</v>
      </c>
      <c r="DX104" s="651">
        <f t="shared" ca="1" si="335"/>
        <v>39479</v>
      </c>
      <c r="DY104" s="590">
        <f t="shared" si="336"/>
        <v>1E-4</v>
      </c>
      <c r="DZ104" s="1"/>
      <c r="EA104" s="857"/>
      <c r="EB104" s="857"/>
      <c r="EC104" s="857"/>
      <c r="ED104" s="868" t="e">
        <f t="shared" ca="1" si="436"/>
        <v>#NAME?</v>
      </c>
      <c r="EE104" s="863" t="e">
        <f t="shared" ca="1" si="312"/>
        <v>#NAME?</v>
      </c>
      <c r="EF104" s="590" t="e">
        <f t="shared" ca="1" si="313"/>
        <v>#NAME?</v>
      </c>
      <c r="EG104" s="862" t="str">
        <f t="shared" ca="1" si="314"/>
        <v/>
      </c>
      <c r="EH104" s="114" t="str">
        <f t="shared" ca="1" si="315"/>
        <v/>
      </c>
      <c r="EI104" s="109" t="str">
        <f t="shared" ca="1" si="316"/>
        <v/>
      </c>
      <c r="EJ104" s="115">
        <f ca="1">IF(BD104,_xll.xASN(BP104,Strike1,AO104,EH104,0,BM104,0,BI104,BL104,IF(OptControl=4,0,1),0),0)</f>
        <v>0</v>
      </c>
      <c r="EK104" s="108">
        <f ca="1">IF(BD104,_xll.xASN(BP104,Strike2,AO104,EI104,0,BM104,0,BI104,BL104,IF(OptControl=3,1,0),0),0)</f>
        <v>0</v>
      </c>
      <c r="EP104" s="53"/>
      <c r="EQ104" s="1"/>
      <c r="ER104" s="103"/>
      <c r="ES104" s="103"/>
      <c r="ET104" s="1"/>
      <c r="EU104" s="667" t="s">
        <v>316</v>
      </c>
      <c r="EW104" s="445"/>
      <c r="EX104" s="36"/>
      <c r="EY104" s="104"/>
      <c r="EZ104" s="465"/>
      <c r="FA104" s="446"/>
      <c r="FB104" s="446"/>
      <c r="FC104" s="242"/>
      <c r="FD104" s="242"/>
      <c r="FE104" s="242"/>
      <c r="FF104" s="242"/>
      <c r="FG104" s="242"/>
      <c r="FH104" s="242"/>
      <c r="FI104" s="242"/>
      <c r="FJ104" s="242"/>
      <c r="FK104" s="242"/>
      <c r="FL104" s="242"/>
      <c r="FM104" s="242"/>
      <c r="FN104" s="657">
        <v>10</v>
      </c>
      <c r="FO104" s="450">
        <f t="shared" ca="1" si="433"/>
        <v>0.23475694487057053</v>
      </c>
      <c r="FP104" s="450">
        <f t="shared" ca="1" si="445"/>
        <v>0.24299639673854978</v>
      </c>
      <c r="FQ104" s="450">
        <f t="shared" ca="1" si="445"/>
        <v>0.25228709965697904</v>
      </c>
      <c r="FR104" s="450">
        <f t="shared" ca="1" si="445"/>
        <v>0.26311824459317495</v>
      </c>
      <c r="FS104" s="450">
        <f t="shared" ca="1" si="445"/>
        <v>0.27580728502271779</v>
      </c>
      <c r="FT104" s="450">
        <f t="shared" ca="1" si="445"/>
        <v>0.29075646724550469</v>
      </c>
      <c r="FU104" s="450">
        <f t="shared" ca="1" si="445"/>
        <v>0.30848131551930552</v>
      </c>
      <c r="FV104" s="450">
        <f t="shared" ca="1" si="445"/>
        <v>0.32965076527289761</v>
      </c>
      <c r="FW104" s="450">
        <f t="shared" ca="1" si="445"/>
        <v>0.35514461759756266</v>
      </c>
      <c r="FX104" s="450">
        <f t="shared" ca="1" si="445"/>
        <v>0.38613723472139599</v>
      </c>
      <c r="FY104" s="450" t="str">
        <f t="shared" si="445"/>
        <v/>
      </c>
      <c r="FZ104" s="450" t="str">
        <f t="shared" si="445"/>
        <v/>
      </c>
      <c r="GA104" s="450" t="str">
        <f t="shared" si="445"/>
        <v/>
      </c>
      <c r="GB104" s="450" t="str">
        <f t="shared" si="445"/>
        <v/>
      </c>
      <c r="GC104" s="450" t="str">
        <f t="shared" si="445"/>
        <v/>
      </c>
      <c r="GD104" s="450" t="str">
        <f t="shared" si="445"/>
        <v/>
      </c>
      <c r="GE104" s="450" t="str">
        <f t="shared" si="445"/>
        <v/>
      </c>
      <c r="GF104" s="450" t="str">
        <f t="shared" si="445"/>
        <v/>
      </c>
      <c r="GG104" s="450" t="str">
        <f t="shared" si="445"/>
        <v/>
      </c>
      <c r="GH104" s="450" t="str">
        <f t="shared" si="445"/>
        <v/>
      </c>
      <c r="GI104" s="450" t="str">
        <f t="shared" si="445"/>
        <v/>
      </c>
      <c r="GJ104" s="450" t="str">
        <f t="shared" si="445"/>
        <v/>
      </c>
      <c r="GK104" s="450" t="str">
        <f t="shared" si="445"/>
        <v/>
      </c>
      <c r="GL104" s="450" t="str">
        <f t="shared" si="445"/>
        <v/>
      </c>
      <c r="GM104" s="450" t="str">
        <f t="shared" si="445"/>
        <v/>
      </c>
      <c r="GN104" s="450" t="str">
        <f t="shared" si="445"/>
        <v/>
      </c>
      <c r="GO104" s="450" t="str">
        <f t="shared" si="445"/>
        <v/>
      </c>
      <c r="GP104" s="450" t="str">
        <f t="shared" si="445"/>
        <v/>
      </c>
      <c r="GQ104" s="450" t="str">
        <f t="shared" si="445"/>
        <v/>
      </c>
      <c r="GR104" s="450" t="str">
        <f t="shared" si="445"/>
        <v/>
      </c>
      <c r="GS104" s="450" t="str">
        <f t="shared" si="445"/>
        <v/>
      </c>
      <c r="GT104" s="450" t="str">
        <f t="shared" si="445"/>
        <v/>
      </c>
      <c r="GU104" s="450" t="str">
        <f t="shared" si="445"/>
        <v/>
      </c>
      <c r="GV104" s="450" t="str">
        <f t="shared" si="445"/>
        <v/>
      </c>
      <c r="GW104" s="450" t="str">
        <f t="shared" si="445"/>
        <v/>
      </c>
      <c r="GX104" s="450" t="str">
        <f t="shared" si="445"/>
        <v/>
      </c>
      <c r="GY104" s="450" t="str">
        <f t="shared" si="445"/>
        <v/>
      </c>
      <c r="GZ104" s="450" t="str">
        <f t="shared" si="445"/>
        <v/>
      </c>
      <c r="HA104" s="450" t="str">
        <f t="shared" si="445"/>
        <v/>
      </c>
      <c r="HB104" s="450" t="str">
        <f t="shared" si="445"/>
        <v/>
      </c>
      <c r="HC104" s="450" t="str">
        <f t="shared" si="445"/>
        <v/>
      </c>
      <c r="HD104" s="450" t="str">
        <f t="shared" si="445"/>
        <v/>
      </c>
      <c r="HE104" s="450" t="str">
        <f t="shared" si="445"/>
        <v/>
      </c>
      <c r="HF104" s="450" t="str">
        <f t="shared" si="445"/>
        <v/>
      </c>
      <c r="HG104" s="450" t="str">
        <f t="shared" si="445"/>
        <v/>
      </c>
      <c r="HH104" s="450" t="str">
        <f t="shared" si="445"/>
        <v/>
      </c>
      <c r="HI104" s="450" t="str">
        <f t="shared" si="445"/>
        <v/>
      </c>
      <c r="HJ104" s="450" t="str">
        <f t="shared" si="445"/>
        <v/>
      </c>
      <c r="HK104" s="450" t="str">
        <f t="shared" si="445"/>
        <v/>
      </c>
      <c r="HL104" s="450" t="str">
        <f t="shared" si="445"/>
        <v/>
      </c>
      <c r="HM104" s="450" t="str">
        <f t="shared" si="445"/>
        <v/>
      </c>
      <c r="HN104" s="450" t="str">
        <f t="shared" si="445"/>
        <v/>
      </c>
      <c r="HO104" s="450" t="str">
        <f t="shared" si="445"/>
        <v/>
      </c>
      <c r="HP104" s="450" t="str">
        <f t="shared" si="445"/>
        <v/>
      </c>
      <c r="HQ104" s="450" t="str">
        <f t="shared" si="445"/>
        <v/>
      </c>
      <c r="HR104" s="450" t="str">
        <f t="shared" si="445"/>
        <v/>
      </c>
      <c r="HS104" s="450" t="str">
        <f t="shared" si="445"/>
        <v/>
      </c>
      <c r="HT104" s="450" t="str">
        <f t="shared" si="445"/>
        <v/>
      </c>
      <c r="HU104" s="450" t="str">
        <f t="shared" si="445"/>
        <v/>
      </c>
      <c r="HV104" s="450" t="str">
        <f t="shared" si="445"/>
        <v/>
      </c>
      <c r="HW104" s="450" t="str">
        <f t="shared" si="445"/>
        <v/>
      </c>
      <c r="HX104" s="450" t="str">
        <f t="shared" si="445"/>
        <v/>
      </c>
      <c r="HY104" s="450" t="str">
        <f t="shared" si="445"/>
        <v/>
      </c>
      <c r="HZ104" s="450" t="str">
        <f t="shared" si="445"/>
        <v/>
      </c>
      <c r="IA104" s="450" t="str">
        <f t="shared" ref="IA104:IH107" si="446">IF($FN29&lt;IA$94,"",SQRT(IA29/IA$15))</f>
        <v/>
      </c>
      <c r="IB104" s="450" t="str">
        <f t="shared" si="446"/>
        <v/>
      </c>
      <c r="IC104" s="450" t="str">
        <f t="shared" si="446"/>
        <v/>
      </c>
      <c r="ID104" s="450" t="str">
        <f t="shared" si="446"/>
        <v/>
      </c>
      <c r="IE104" s="450" t="str">
        <f t="shared" si="446"/>
        <v/>
      </c>
      <c r="IF104" s="450" t="str">
        <f t="shared" si="446"/>
        <v/>
      </c>
      <c r="IG104" s="450" t="str">
        <f t="shared" si="446"/>
        <v/>
      </c>
      <c r="IH104" s="658" t="str">
        <f t="shared" si="446"/>
        <v/>
      </c>
      <c r="II104" s="242"/>
    </row>
    <row r="105" spans="8:243">
      <c r="H105" s="49" t="e">
        <f t="shared" ca="1" si="317"/>
        <v>#N/A</v>
      </c>
      <c r="I105" s="369">
        <f t="shared" si="318"/>
        <v>39600</v>
      </c>
      <c r="J105" s="367">
        <v>21.76</v>
      </c>
      <c r="K105" s="101" t="s">
        <v>267</v>
      </c>
      <c r="L105" s="382">
        <f t="shared" si="319"/>
        <v>21.759999999999994</v>
      </c>
      <c r="M105" s="163">
        <v>0.17465</v>
      </c>
      <c r="N105" s="372">
        <v>0</v>
      </c>
      <c r="O105" s="163">
        <f t="shared" si="272"/>
        <v>0.17465</v>
      </c>
      <c r="P105" s="367">
        <v>20.296244179514499</v>
      </c>
      <c r="Q105" s="101" t="s">
        <v>267</v>
      </c>
      <c r="R105" s="367">
        <f t="shared" ca="1" si="417"/>
        <v>20.296244179514535</v>
      </c>
      <c r="S105" s="814">
        <f t="shared" si="163"/>
        <v>0.36149445067619485</v>
      </c>
      <c r="T105" s="813">
        <f t="shared" si="418"/>
        <v>0.99998992950411458</v>
      </c>
      <c r="U105" s="532">
        <f t="shared" si="419"/>
        <v>0.99999999999964007</v>
      </c>
      <c r="V105" s="379">
        <v>0</v>
      </c>
      <c r="W105" s="424">
        <f t="shared" si="273"/>
        <v>21.781428571428584</v>
      </c>
      <c r="X105" s="405">
        <f t="shared" si="274"/>
        <v>21.781428571428563</v>
      </c>
      <c r="Y105" s="313">
        <f t="shared" si="275"/>
        <v>20.437428571428583</v>
      </c>
      <c r="Z105" s="313">
        <f t="shared" ca="1" si="276"/>
        <v>20.437428571428562</v>
      </c>
      <c r="AA105" s="419">
        <f t="shared" si="277"/>
        <v>1.3440000000000001</v>
      </c>
      <c r="AB105" s="423">
        <f t="shared" ca="1" si="278"/>
        <v>1.3440000000000001</v>
      </c>
      <c r="AC105" s="221">
        <v>39588</v>
      </c>
      <c r="AD105" s="221">
        <v>39584</v>
      </c>
      <c r="AE105" s="221">
        <v>39583</v>
      </c>
      <c r="AF105" s="221">
        <v>39579</v>
      </c>
      <c r="AG105" s="241" t="s">
        <v>497</v>
      </c>
      <c r="AH105" s="239" t="s">
        <v>497</v>
      </c>
      <c r="AI105" s="141">
        <v>21</v>
      </c>
      <c r="AJ105" s="41">
        <v>15</v>
      </c>
      <c r="AK105" s="41">
        <v>6</v>
      </c>
      <c r="AL105" s="285">
        <v>21</v>
      </c>
      <c r="AM105" s="41">
        <v>10</v>
      </c>
      <c r="AN105" s="142">
        <v>11</v>
      </c>
      <c r="AO105" s="364">
        <v>5.66841809924803E-2</v>
      </c>
      <c r="AP105" s="145">
        <f t="shared" ca="1" si="320"/>
        <v>0.66773929898407414</v>
      </c>
      <c r="AQ105" s="364">
        <v>4.9133304475980695E-2</v>
      </c>
      <c r="AR105" s="145">
        <f t="shared" ca="1" si="420"/>
        <v>0.70841391847663304</v>
      </c>
      <c r="AS105" s="264">
        <f t="shared" si="279"/>
        <v>0.17362142857142859</v>
      </c>
      <c r="AT105" s="149">
        <f t="shared" si="321"/>
        <v>0.17465</v>
      </c>
      <c r="AU105" s="149">
        <f t="shared" si="280"/>
        <v>0.17343095238095238</v>
      </c>
      <c r="AV105" s="263">
        <f t="shared" ca="1" si="430"/>
        <v>0.1712615570293326</v>
      </c>
      <c r="AW105" s="150" t="str">
        <f t="shared" ca="1" si="281"/>
        <v/>
      </c>
      <c r="AX105" s="149">
        <f t="shared" ca="1" si="421"/>
        <v>1.9637027885136361E-2</v>
      </c>
      <c r="AY105" s="149">
        <f t="shared" ca="1" si="422"/>
        <v>8.9285879374890083E-3</v>
      </c>
      <c r="AZ105" s="149">
        <f t="shared" ca="1" si="423"/>
        <v>5.6745499918173939E-3</v>
      </c>
      <c r="BA105" s="149">
        <f t="shared" ca="1" si="424"/>
        <v>1.0000000000000301E-4</v>
      </c>
      <c r="BB105" s="149">
        <f t="shared" ca="1" si="425"/>
        <v>1.0000000000000301E-4</v>
      </c>
      <c r="BC105" s="149">
        <f t="shared" ca="1" si="426"/>
        <v>1.0000000000000301E-4</v>
      </c>
      <c r="BD105" s="143">
        <f t="shared" ca="1" si="282"/>
        <v>0</v>
      </c>
      <c r="BE105" s="144">
        <f t="shared" ca="1" si="283"/>
        <v>0</v>
      </c>
      <c r="BF105" s="40">
        <f t="shared" si="284"/>
        <v>2008</v>
      </c>
      <c r="BG105" s="139">
        <f t="shared" si="285"/>
        <v>6</v>
      </c>
      <c r="BH105" s="140">
        <f t="shared" ca="1" si="286"/>
        <v>2594</v>
      </c>
      <c r="BI105" s="304">
        <f t="shared" ca="1" si="440"/>
        <v>7.1457905544147842</v>
      </c>
      <c r="BJ105" s="42">
        <f t="shared" ca="1" si="288"/>
        <v>7.2025031778625204</v>
      </c>
      <c r="BK105" s="42">
        <f t="shared" ca="1" si="289"/>
        <v>7.2052410286496524</v>
      </c>
      <c r="BL105" s="42">
        <f t="shared" ca="1" si="441"/>
        <v>7.225188227241615</v>
      </c>
      <c r="BM105" s="285">
        <f t="shared" si="442"/>
        <v>21</v>
      </c>
      <c r="BN105" s="41">
        <f t="shared" si="443"/>
        <v>15</v>
      </c>
      <c r="BO105" s="41">
        <f t="shared" si="444"/>
        <v>6</v>
      </c>
      <c r="BP105" s="297" t="str">
        <f t="shared" ca="1" si="293"/>
        <v/>
      </c>
      <c r="BQ105" s="297" t="str">
        <f t="shared" ca="1" si="294"/>
        <v/>
      </c>
      <c r="BR105" s="299" t="str">
        <f t="shared" ca="1" si="295"/>
        <v/>
      </c>
      <c r="BS105" s="153" t="str">
        <f t="shared" ca="1" si="296"/>
        <v/>
      </c>
      <c r="BT105" s="153" t="str">
        <f t="shared" ca="1" si="297"/>
        <v/>
      </c>
      <c r="BU105" s="300" t="str">
        <f t="shared" ca="1" si="298"/>
        <v/>
      </c>
      <c r="BV105" s="301" t="str">
        <f t="shared" ca="1" si="299"/>
        <v/>
      </c>
      <c r="BW105" s="300" t="str">
        <f t="shared" ca="1" si="300"/>
        <v/>
      </c>
      <c r="BX105" s="301" t="str">
        <f t="shared" ca="1" si="301"/>
        <v/>
      </c>
      <c r="BY105" s="146" t="str">
        <f t="shared" ca="1" si="302"/>
        <v/>
      </c>
      <c r="BZ105" s="146" t="str">
        <f t="shared" ca="1" si="303"/>
        <v/>
      </c>
      <c r="CA105" s="146" t="str">
        <f t="shared" ca="1" si="304"/>
        <v/>
      </c>
      <c r="CB105" s="146" t="str">
        <f t="shared" ca="1" si="305"/>
        <v/>
      </c>
      <c r="CC105" s="302">
        <v>1</v>
      </c>
      <c r="CD105" s="154">
        <f ca="1">IF(BD105,_xll.xCrudeAPO(BS105,BT105,BY105,BZ105,S106,S107,BI105,BL105,BN105,BO105,0,Strike1,AO105,CC105,0,BL105,IF(OptControl=4,0,1),0,1),0)</f>
        <v>0</v>
      </c>
      <c r="CE105" s="155">
        <f ca="1">IF(BD105,_xll.xCrudeAPO(BS105,BT105,BY105,BZ105,S106,S107,BI105,BL105,BN105,BO105,0,Strike1,AO105,CC105,0,BL105,IF(OptControl=4,0,1),1,1)+_xll.xCrudeAPO(BS105,BT105,BY105,BZ105,S106,S107,BI105,BL105,BN105,BO105,0,Strike1,AO105,CC105,0,BL105,IF(OptControl=4,0,1),1,2)+IF(OR(VolSkewFlag=2,ABS(BQ105)&lt;0.0001),0,IF(BQ105&gt;0,-1,1)*CF105*Strike1/BP105^2*BW105/10%),0)</f>
        <v>0</v>
      </c>
      <c r="CF105" s="155">
        <f ca="1">IF(BD105,(_xll.xCrudeAPO(BS105,BT105,BY105,BZ105,S106,S107,BI105,BL105,BN105,BO105,0,Strike1,AO105,CC105,0,BL105,IF(OptControl=4,0,1),3,1)+_xll.xCrudeAPO(BS105,BT105,BY105,BZ105,S106,S107,BI105,BL105,BN105,BO105,0,Strike1,AO105,CC105,0,BL105,IF(OptControl=4,0,1),3,2))/100,0)</f>
        <v>0</v>
      </c>
      <c r="CG105" s="155">
        <f ca="1">IF(BD105,_xll.xCrudeAPO(BS105,BT105,BY105,BZ105,S106,S107,BI105-DaysForThetaCalculation/365.25,BL105-DaysForThetaCalculation/365.25,BN105,BO105,0,Strike1,AO105,CC105,0,BL105,IF(OptControl=4,0,1),0,1)-_xll.xCrudeAPO(BS105,BT105,BY105,BZ105,S106,S107,BI105,BL105,BN105,BO105,0,Strike1,AO105,CC105,0,BL105,IF(OptControl=4,0,1),0,1),0)</f>
        <v>0</v>
      </c>
      <c r="CH105" s="303">
        <f ca="1">IF(BD105,_xll.xCrudeAPO(BS105,BT105,CA105,CB105,S106,S107,BI105,BL105,BN105,BO105,0,Strike2,AO105,CC105,0,BL105,IF(OptControl=3,1,0),0,1),0)</f>
        <v>0</v>
      </c>
      <c r="CI105" s="155">
        <f ca="1">IF(BD105,_xll.xCrudeAPO(BS105,BT105,CA105,CB105,S106,S107,BI105,BL105,BN105,BO105,0,Strike2,AO105,CC105,0,BL105,IF(OptControl=3,1,0),1,1)+_xll.xCrudeAPO(BS105,BT105,CA105,CB105,S106,S107,BI105,BL105,BN105,BO105,0,Strike2,AO105,CC105,0,BL105,IF(OptControl=3,1,0),1,2)+IF(OR(VolSkewFlag=2,ABS(BR105)&lt;0.0001),0,IF(BR105&gt;0,-1,1)*CJ105*Strike2/BP105^2*BX105/10%),0)</f>
        <v>0</v>
      </c>
      <c r="CJ105" s="155">
        <f ca="1">IF(BD105,(_xll.xCrudeAPO(BS105,BT105,CA105,CB105,S106,S107,BI105,BL105,BN105,BO105,0,Strike2,AO105,CC105,0,BL105,IF(OptControl=3,1,0),3,1)+_xll.xCrudeAPO(BS105,BT105,CA105,CB105,S106,S107,BI105,BL105,BN105,BO105,0,Strike2,AO105,CC105,0,BL105,IF(OptControl=3,1,0),3,2))/100,0)</f>
        <v>0</v>
      </c>
      <c r="CK105" s="156">
        <f ca="1">IF(BD105,_xll.xCrudeAPO(BS105,BT105,CA105,CB105,S106,S107,BI105-DaysForThetaCalculation/365.25,BL105-DaysForThetaCalculation/365.25,BN105,BO105,0,Strike2,AO105,CC105,0,BL105,IF(OptControl=3,1,0),0,1)-_xll.xCrudeAPO(BS105,BT105,CA105,CB105,S106,S107,BI105,BL105,BN105,BO105,0,Strike2,AO105,CC105,0,BL105,IF(OptControl=3,1,0),0,1),0)</f>
        <v>0</v>
      </c>
      <c r="CL105" s="51"/>
      <c r="CM105" s="779" t="str">
        <f t="shared" ca="1" si="323"/>
        <v/>
      </c>
      <c r="CN105" s="783" t="str">
        <f t="shared" ca="1" si="324"/>
        <v/>
      </c>
      <c r="CO105" s="780" t="str">
        <f t="shared" ca="1" si="325"/>
        <v/>
      </c>
      <c r="CP105" s="780" t="str">
        <f t="shared" ca="1" si="326"/>
        <v/>
      </c>
      <c r="CQ105" s="780" t="str">
        <f t="shared" ca="1" si="327"/>
        <v/>
      </c>
      <c r="CR105" s="780" t="str">
        <f t="shared" ca="1" si="328"/>
        <v/>
      </c>
      <c r="CS105" s="781" t="str">
        <f t="shared" ca="1" si="329"/>
        <v/>
      </c>
      <c r="CT105" s="782" t="str">
        <f t="shared" ca="1" si="330"/>
        <v/>
      </c>
      <c r="CU105" s="782" t="str">
        <f t="shared" ca="1" si="331"/>
        <v/>
      </c>
      <c r="CV105" s="155">
        <f ca="1">IF(BD105,_xll.EURO(CN105,Strike1,AO105,AO105,CT105,CM105,IF(OptControl=4,0,1),0),0)</f>
        <v>0</v>
      </c>
      <c r="CW105" s="155">
        <f ca="1">IF(BD105,_xll.EURO(CN105,Strike1,AO105,AO105,CT105,CM105,IF(OptControl=4,0,1),1)+IF(OR(VolSkewFlag=2,ABS(CO105)&lt;0.0001),0,IF(CO105&gt;0,-1,1)*CX105*100*Strike1/CN105^2*CQ105/10%),0)</f>
        <v>0</v>
      </c>
      <c r="CX105" s="155">
        <f ca="1">IF(BD105,_xll.EURO(CN105,Strike1,AO105,AO105,CT105,CM105,IF(OptControl=4,0,1),3)/100,0)</f>
        <v>0</v>
      </c>
      <c r="CY105" s="155">
        <f ca="1">IF(BD105,_xll.EURO(CN105,Strike1,AO105,AO105,CT105,CM105,IF(OptControl=4,0,1),0)-_xll.EURO(CN105,Strike1,AO105,AO105,CT105,CM105-1,IF(OptControl=4,0,1),0),0)</f>
        <v>0</v>
      </c>
      <c r="CZ105" s="155">
        <f ca="1">IF(BD105,_xll.EURO(CN105,Strike2,AO105,AO105,CU105,CM105,IF(OptControl=3,1,0),0),0)</f>
        <v>0</v>
      </c>
      <c r="DA105" s="155">
        <f ca="1">IF(BD105,_xll.EURO(CN105,Strike2,AO105,AO105,CU105,CM105,IF(OptControl=3,1,0),1)+IF(OR(VolSkewFlag=2,ABS(CP105)&lt;0.0001),0,IF(CP105&gt;0,-1,1)*DB105*100*Strike2/CN105^2*CR105/10%),0)</f>
        <v>0</v>
      </c>
      <c r="DB105" s="155">
        <f ca="1">IF(BD105,_xll.EURO(CN105,Strike2,AO105,AO105,CU105,CM105,IF(OptControl=3,1,0),3)/100,0)</f>
        <v>0</v>
      </c>
      <c r="DC105" s="156">
        <f ca="1">IF(BD105,_xll.EURO(CN105,Strike2,AO105,AO105,CU105,CM105,IF(OptControl=3,1,0),0)-_xll.EURO(CN105,Strike2,AO105,AO105,CU105,CM105-1,IF(OptControl=3,1,0),0),0)</f>
        <v>0</v>
      </c>
      <c r="DE105" s="651">
        <f t="shared" ca="1" si="332"/>
        <v>39508</v>
      </c>
      <c r="DF105" s="465">
        <v>1E-4</v>
      </c>
      <c r="DG105" s="649">
        <v>1E-4</v>
      </c>
      <c r="DH105" s="650">
        <f t="shared" ca="1" si="306"/>
        <v>39508</v>
      </c>
      <c r="DI105" s="465">
        <v>1E-4</v>
      </c>
      <c r="DJ105" s="649">
        <v>1E-4</v>
      </c>
      <c r="DK105" s="651">
        <f t="shared" ca="1" si="307"/>
        <v>39508</v>
      </c>
      <c r="DL105" s="652">
        <f t="shared" si="308"/>
        <v>5.0100000000000006E-2</v>
      </c>
      <c r="DM105" s="651">
        <f t="shared" ca="1" si="333"/>
        <v>39508</v>
      </c>
      <c r="DN105" s="563">
        <f t="shared" si="334"/>
        <v>-0.12990000000000002</v>
      </c>
      <c r="DO105" s="803">
        <v>-0.13</v>
      </c>
      <c r="DP105" s="650">
        <f t="shared" ca="1" si="309"/>
        <v>39508</v>
      </c>
      <c r="DQ105" s="653">
        <v>1E-4</v>
      </c>
      <c r="DR105" s="590">
        <v>1E-4</v>
      </c>
      <c r="DS105" s="650">
        <f t="shared" ca="1" si="310"/>
        <v>39508</v>
      </c>
      <c r="DT105" s="653">
        <v>1E-4</v>
      </c>
      <c r="DU105" s="590">
        <v>1E-4</v>
      </c>
      <c r="DV105" s="651">
        <f t="shared" ca="1" si="311"/>
        <v>39508</v>
      </c>
      <c r="DW105" s="590">
        <v>1E-4</v>
      </c>
      <c r="DX105" s="651">
        <f t="shared" ca="1" si="335"/>
        <v>39508</v>
      </c>
      <c r="DY105" s="590">
        <f t="shared" si="336"/>
        <v>1E-4</v>
      </c>
      <c r="DZ105" s="1"/>
      <c r="EA105" s="857"/>
      <c r="EB105" s="857"/>
      <c r="EC105" s="857"/>
      <c r="ED105" s="868" t="e">
        <f t="shared" ca="1" si="436"/>
        <v>#NAME?</v>
      </c>
      <c r="EE105" s="863" t="e">
        <f t="shared" ca="1" si="312"/>
        <v>#NAME?</v>
      </c>
      <c r="EF105" s="590" t="e">
        <f t="shared" ca="1" si="313"/>
        <v>#NAME?</v>
      </c>
      <c r="EG105" s="862" t="str">
        <f t="shared" ca="1" si="314"/>
        <v/>
      </c>
      <c r="EH105" s="114" t="str">
        <f t="shared" ca="1" si="315"/>
        <v/>
      </c>
      <c r="EI105" s="109" t="str">
        <f t="shared" ca="1" si="316"/>
        <v/>
      </c>
      <c r="EJ105" s="115">
        <f ca="1">IF(BD105,_xll.xASN(BP105,Strike1,AO105,EH105,0,BM105,0,BI105,BL105,IF(OptControl=4,0,1),0),0)</f>
        <v>0</v>
      </c>
      <c r="EK105" s="108">
        <f ca="1">IF(BD105,_xll.xASN(BP105,Strike2,AO105,EI105,0,BM105,0,BI105,BL105,IF(OptControl=3,1,0),0),0)</f>
        <v>0</v>
      </c>
      <c r="EP105" s="53"/>
      <c r="EQ105" s="1"/>
      <c r="ER105" s="103"/>
      <c r="ES105" s="103"/>
      <c r="ET105" s="1"/>
      <c r="EU105" s="667" t="s">
        <v>317</v>
      </c>
      <c r="EW105" s="445"/>
      <c r="EX105" s="36"/>
      <c r="EY105" s="104"/>
      <c r="EZ105" s="465"/>
      <c r="FA105" s="446"/>
      <c r="FB105" s="446"/>
      <c r="FC105" s="242"/>
      <c r="FD105" s="242"/>
      <c r="FE105" s="242"/>
      <c r="FF105" s="242"/>
      <c r="FG105" s="242"/>
      <c r="FH105" s="242"/>
      <c r="FI105" s="242"/>
      <c r="FJ105" s="242"/>
      <c r="FK105" s="242"/>
      <c r="FL105" s="242"/>
      <c r="FM105" s="242"/>
      <c r="FN105" s="657">
        <v>11</v>
      </c>
      <c r="FO105" s="450">
        <f t="shared" ca="1" si="433"/>
        <v>0.22754657340394882</v>
      </c>
      <c r="FP105" s="450">
        <f t="shared" ref="FP105:IA108" ca="1" si="447">IF($FN30&lt;FP$94,"",SQRT(FP30/FP$15))</f>
        <v>0.23468903539687955</v>
      </c>
      <c r="FQ105" s="450">
        <f t="shared" ca="1" si="447"/>
        <v>0.24268486289657726</v>
      </c>
      <c r="FR105" s="450">
        <f t="shared" ca="1" si="447"/>
        <v>0.25196647805407735</v>
      </c>
      <c r="FS105" s="450">
        <f t="shared" ca="1" si="447"/>
        <v>0.26278678074113476</v>
      </c>
      <c r="FT105" s="450">
        <f t="shared" ca="1" si="447"/>
        <v>0.27546287674080966</v>
      </c>
      <c r="FU105" s="450">
        <f t="shared" ca="1" si="447"/>
        <v>0.29039657284827297</v>
      </c>
      <c r="FV105" s="450">
        <f t="shared" ca="1" si="447"/>
        <v>0.30810283140340516</v>
      </c>
      <c r="FW105" s="450">
        <f t="shared" ca="1" si="447"/>
        <v>0.32924986047723875</v>
      </c>
      <c r="FX105" s="450">
        <f t="shared" ca="1" si="447"/>
        <v>0.35471650689665141</v>
      </c>
      <c r="FY105" s="450">
        <f t="shared" ca="1" si="447"/>
        <v>0.38567586237418205</v>
      </c>
      <c r="FZ105" s="450" t="str">
        <f t="shared" si="447"/>
        <v/>
      </c>
      <c r="GA105" s="450" t="str">
        <f t="shared" si="447"/>
        <v/>
      </c>
      <c r="GB105" s="450" t="str">
        <f t="shared" si="447"/>
        <v/>
      </c>
      <c r="GC105" s="450" t="str">
        <f t="shared" si="447"/>
        <v/>
      </c>
      <c r="GD105" s="450" t="str">
        <f t="shared" si="447"/>
        <v/>
      </c>
      <c r="GE105" s="450" t="str">
        <f t="shared" si="447"/>
        <v/>
      </c>
      <c r="GF105" s="450" t="str">
        <f t="shared" si="447"/>
        <v/>
      </c>
      <c r="GG105" s="450" t="str">
        <f t="shared" si="447"/>
        <v/>
      </c>
      <c r="GH105" s="450" t="str">
        <f t="shared" si="447"/>
        <v/>
      </c>
      <c r="GI105" s="450" t="str">
        <f t="shared" si="447"/>
        <v/>
      </c>
      <c r="GJ105" s="450" t="str">
        <f t="shared" si="447"/>
        <v/>
      </c>
      <c r="GK105" s="450" t="str">
        <f t="shared" si="447"/>
        <v/>
      </c>
      <c r="GL105" s="450" t="str">
        <f t="shared" si="447"/>
        <v/>
      </c>
      <c r="GM105" s="450" t="str">
        <f t="shared" si="447"/>
        <v/>
      </c>
      <c r="GN105" s="450" t="str">
        <f t="shared" si="447"/>
        <v/>
      </c>
      <c r="GO105" s="450" t="str">
        <f t="shared" si="447"/>
        <v/>
      </c>
      <c r="GP105" s="450" t="str">
        <f t="shared" si="447"/>
        <v/>
      </c>
      <c r="GQ105" s="450" t="str">
        <f t="shared" si="447"/>
        <v/>
      </c>
      <c r="GR105" s="450" t="str">
        <f t="shared" si="447"/>
        <v/>
      </c>
      <c r="GS105" s="450" t="str">
        <f t="shared" si="447"/>
        <v/>
      </c>
      <c r="GT105" s="450" t="str">
        <f t="shared" si="447"/>
        <v/>
      </c>
      <c r="GU105" s="450" t="str">
        <f t="shared" si="447"/>
        <v/>
      </c>
      <c r="GV105" s="450" t="str">
        <f t="shared" si="447"/>
        <v/>
      </c>
      <c r="GW105" s="450" t="str">
        <f t="shared" si="447"/>
        <v/>
      </c>
      <c r="GX105" s="450" t="str">
        <f t="shared" si="447"/>
        <v/>
      </c>
      <c r="GY105" s="450" t="str">
        <f t="shared" si="447"/>
        <v/>
      </c>
      <c r="GZ105" s="450" t="str">
        <f t="shared" si="447"/>
        <v/>
      </c>
      <c r="HA105" s="450" t="str">
        <f t="shared" si="447"/>
        <v/>
      </c>
      <c r="HB105" s="450" t="str">
        <f t="shared" si="447"/>
        <v/>
      </c>
      <c r="HC105" s="450" t="str">
        <f t="shared" si="447"/>
        <v/>
      </c>
      <c r="HD105" s="450" t="str">
        <f t="shared" si="447"/>
        <v/>
      </c>
      <c r="HE105" s="450" t="str">
        <f t="shared" si="447"/>
        <v/>
      </c>
      <c r="HF105" s="450" t="str">
        <f t="shared" si="447"/>
        <v/>
      </c>
      <c r="HG105" s="450" t="str">
        <f t="shared" si="447"/>
        <v/>
      </c>
      <c r="HH105" s="450" t="str">
        <f t="shared" si="447"/>
        <v/>
      </c>
      <c r="HI105" s="450" t="str">
        <f t="shared" si="447"/>
        <v/>
      </c>
      <c r="HJ105" s="450" t="str">
        <f t="shared" si="447"/>
        <v/>
      </c>
      <c r="HK105" s="450" t="str">
        <f t="shared" si="447"/>
        <v/>
      </c>
      <c r="HL105" s="450" t="str">
        <f t="shared" si="447"/>
        <v/>
      </c>
      <c r="HM105" s="450" t="str">
        <f t="shared" si="447"/>
        <v/>
      </c>
      <c r="HN105" s="450" t="str">
        <f t="shared" si="447"/>
        <v/>
      </c>
      <c r="HO105" s="450" t="str">
        <f t="shared" si="447"/>
        <v/>
      </c>
      <c r="HP105" s="450" t="str">
        <f t="shared" si="447"/>
        <v/>
      </c>
      <c r="HQ105" s="450" t="str">
        <f t="shared" si="447"/>
        <v/>
      </c>
      <c r="HR105" s="450" t="str">
        <f t="shared" si="447"/>
        <v/>
      </c>
      <c r="HS105" s="450" t="str">
        <f t="shared" si="447"/>
        <v/>
      </c>
      <c r="HT105" s="450" t="str">
        <f t="shared" si="447"/>
        <v/>
      </c>
      <c r="HU105" s="450" t="str">
        <f t="shared" si="447"/>
        <v/>
      </c>
      <c r="HV105" s="450" t="str">
        <f t="shared" si="447"/>
        <v/>
      </c>
      <c r="HW105" s="450" t="str">
        <f t="shared" si="447"/>
        <v/>
      </c>
      <c r="HX105" s="450" t="str">
        <f t="shared" si="447"/>
        <v/>
      </c>
      <c r="HY105" s="450" t="str">
        <f t="shared" si="447"/>
        <v/>
      </c>
      <c r="HZ105" s="450" t="str">
        <f t="shared" si="447"/>
        <v/>
      </c>
      <c r="IA105" s="450" t="str">
        <f t="shared" si="447"/>
        <v/>
      </c>
      <c r="IB105" s="450" t="str">
        <f t="shared" si="446"/>
        <v/>
      </c>
      <c r="IC105" s="450" t="str">
        <f t="shared" si="446"/>
        <v/>
      </c>
      <c r="ID105" s="450" t="str">
        <f t="shared" si="446"/>
        <v/>
      </c>
      <c r="IE105" s="450" t="str">
        <f t="shared" si="446"/>
        <v/>
      </c>
      <c r="IF105" s="450" t="str">
        <f t="shared" si="446"/>
        <v/>
      </c>
      <c r="IG105" s="450" t="str">
        <f t="shared" si="446"/>
        <v/>
      </c>
      <c r="IH105" s="658" t="str">
        <f t="shared" si="446"/>
        <v/>
      </c>
      <c r="II105" s="242"/>
    </row>
    <row r="106" spans="8:243">
      <c r="H106" s="49" t="e">
        <f t="shared" ca="1" si="317"/>
        <v>#N/A</v>
      </c>
      <c r="I106" s="369">
        <f t="shared" si="318"/>
        <v>39630</v>
      </c>
      <c r="J106" s="367">
        <v>21.776666666666699</v>
      </c>
      <c r="K106" s="101" t="s">
        <v>267</v>
      </c>
      <c r="L106" s="382">
        <f t="shared" si="319"/>
        <v>21.77666666666666</v>
      </c>
      <c r="M106" s="163">
        <v>0.17385</v>
      </c>
      <c r="N106" s="372">
        <v>0</v>
      </c>
      <c r="O106" s="163">
        <f t="shared" si="272"/>
        <v>0.17385</v>
      </c>
      <c r="P106" s="367">
        <v>20.526907628182297</v>
      </c>
      <c r="Q106" s="101" t="s">
        <v>267</v>
      </c>
      <c r="R106" s="367">
        <f t="shared" ca="1" si="417"/>
        <v>20.526907628182322</v>
      </c>
      <c r="S106" s="814">
        <f t="shared" si="163"/>
        <v>0.36127950616943288</v>
      </c>
      <c r="T106" s="813">
        <f t="shared" si="418"/>
        <v>0.99999093655829374</v>
      </c>
      <c r="U106" s="532">
        <f t="shared" si="419"/>
        <v>0.99999999999972999</v>
      </c>
      <c r="V106" s="379">
        <v>0</v>
      </c>
      <c r="W106" s="424">
        <f t="shared" si="273"/>
        <v>21.800151515151494</v>
      </c>
      <c r="X106" s="405">
        <f t="shared" si="274"/>
        <v>21.800151515151505</v>
      </c>
      <c r="Y106" s="313">
        <f t="shared" si="275"/>
        <v>20.481751515151494</v>
      </c>
      <c r="Z106" s="313">
        <f t="shared" ca="1" si="276"/>
        <v>20.481751515151505</v>
      </c>
      <c r="AA106" s="419">
        <f t="shared" si="277"/>
        <v>1.3184</v>
      </c>
      <c r="AB106" s="423">
        <f t="shared" ca="1" si="278"/>
        <v>1.3184</v>
      </c>
      <c r="AC106" s="221">
        <v>39619</v>
      </c>
      <c r="AD106" s="221">
        <v>39615</v>
      </c>
      <c r="AE106" s="221">
        <v>39614</v>
      </c>
      <c r="AF106" s="221">
        <v>39610</v>
      </c>
      <c r="AG106" s="241" t="s">
        <v>497</v>
      </c>
      <c r="AH106" s="239" t="s">
        <v>497</v>
      </c>
      <c r="AI106" s="141">
        <v>22</v>
      </c>
      <c r="AJ106" s="41">
        <v>13</v>
      </c>
      <c r="AK106" s="41">
        <v>9</v>
      </c>
      <c r="AL106" s="285">
        <v>23</v>
      </c>
      <c r="AM106" s="41">
        <v>10</v>
      </c>
      <c r="AN106" s="142">
        <v>13</v>
      </c>
      <c r="AO106" s="364">
        <v>5.6759092639535595E-2</v>
      </c>
      <c r="AP106" s="145">
        <f t="shared" ca="1" si="320"/>
        <v>0.66422520584861156</v>
      </c>
      <c r="AQ106" s="364">
        <v>4.9153440560051997E-2</v>
      </c>
      <c r="AR106" s="145">
        <f t="shared" ca="1" si="420"/>
        <v>0.70540182051499178</v>
      </c>
      <c r="AS106" s="264">
        <f t="shared" si="279"/>
        <v>0.17282499999999998</v>
      </c>
      <c r="AT106" s="149">
        <f t="shared" si="321"/>
        <v>0.17385</v>
      </c>
      <c r="AU106" s="149">
        <f t="shared" si="280"/>
        <v>0.17273913043478259</v>
      </c>
      <c r="AV106" s="263">
        <f t="shared" ca="1" si="430"/>
        <v>0.17036778748394507</v>
      </c>
      <c r="AW106" s="150" t="str">
        <f t="shared" ca="1" si="281"/>
        <v/>
      </c>
      <c r="AX106" s="149">
        <f t="shared" ca="1" si="421"/>
        <v>1.9361162720353986E-2</v>
      </c>
      <c r="AY106" s="149">
        <f t="shared" ca="1" si="422"/>
        <v>8.774963827642427E-3</v>
      </c>
      <c r="AZ106" s="149">
        <f t="shared" ca="1" si="423"/>
        <v>5.606921217526338E-3</v>
      </c>
      <c r="BA106" s="149">
        <f t="shared" ca="1" si="424"/>
        <v>1.0000000000000305E-4</v>
      </c>
      <c r="BB106" s="149">
        <f t="shared" ca="1" si="425"/>
        <v>1.0000000000000305E-4</v>
      </c>
      <c r="BC106" s="149">
        <f t="shared" ca="1" si="426"/>
        <v>1.0000000000000305E-4</v>
      </c>
      <c r="BD106" s="143">
        <f t="shared" ca="1" si="282"/>
        <v>0</v>
      </c>
      <c r="BE106" s="144">
        <f t="shared" ca="1" si="283"/>
        <v>0</v>
      </c>
      <c r="BF106" s="40">
        <f t="shared" si="284"/>
        <v>2008</v>
      </c>
      <c r="BG106" s="139">
        <f t="shared" si="285"/>
        <v>7</v>
      </c>
      <c r="BH106" s="140">
        <f t="shared" ca="1" si="286"/>
        <v>2625</v>
      </c>
      <c r="BI106" s="304">
        <f t="shared" ca="1" si="440"/>
        <v>7.2279260780287471</v>
      </c>
      <c r="BJ106" s="42">
        <f t="shared" ca="1" si="288"/>
        <v>7.2764607056188169</v>
      </c>
      <c r="BK106" s="42">
        <f t="shared" ca="1" si="289"/>
        <v>7.2791985564059489</v>
      </c>
      <c r="BL106" s="42">
        <f t="shared" ca="1" si="441"/>
        <v>7.3100616016427109</v>
      </c>
      <c r="BM106" s="285">
        <f t="shared" si="442"/>
        <v>22</v>
      </c>
      <c r="BN106" s="41">
        <f t="shared" si="443"/>
        <v>13</v>
      </c>
      <c r="BO106" s="41">
        <f t="shared" si="444"/>
        <v>9</v>
      </c>
      <c r="BP106" s="297" t="str">
        <f t="shared" ca="1" si="293"/>
        <v/>
      </c>
      <c r="BQ106" s="297" t="str">
        <f t="shared" ca="1" si="294"/>
        <v/>
      </c>
      <c r="BR106" s="299" t="str">
        <f t="shared" ca="1" si="295"/>
        <v/>
      </c>
      <c r="BS106" s="153" t="str">
        <f t="shared" ca="1" si="296"/>
        <v/>
      </c>
      <c r="BT106" s="153" t="str">
        <f t="shared" ca="1" si="297"/>
        <v/>
      </c>
      <c r="BU106" s="300" t="str">
        <f t="shared" ca="1" si="298"/>
        <v/>
      </c>
      <c r="BV106" s="301" t="str">
        <f t="shared" ca="1" si="299"/>
        <v/>
      </c>
      <c r="BW106" s="300" t="str">
        <f t="shared" ca="1" si="300"/>
        <v/>
      </c>
      <c r="BX106" s="301" t="str">
        <f t="shared" ca="1" si="301"/>
        <v/>
      </c>
      <c r="BY106" s="146" t="str">
        <f t="shared" ca="1" si="302"/>
        <v/>
      </c>
      <c r="BZ106" s="146" t="str">
        <f t="shared" ca="1" si="303"/>
        <v/>
      </c>
      <c r="CA106" s="146" t="str">
        <f t="shared" ca="1" si="304"/>
        <v/>
      </c>
      <c r="CB106" s="146" t="str">
        <f t="shared" ca="1" si="305"/>
        <v/>
      </c>
      <c r="CC106" s="302">
        <v>1</v>
      </c>
      <c r="CD106" s="154">
        <f ca="1">IF(BD106,_xll.xCrudeAPO(BS106,BT106,BY106,BZ106,S107,S108,BI106,BL106,BN106,BO106,0,Strike1,AO106,CC106,0,BL106,IF(OptControl=4,0,1),0,1),0)</f>
        <v>0</v>
      </c>
      <c r="CE106" s="155">
        <f ca="1">IF(BD106,_xll.xCrudeAPO(BS106,BT106,BY106,BZ106,S107,S108,BI106,BL106,BN106,BO106,0,Strike1,AO106,CC106,0,BL106,IF(OptControl=4,0,1),1,1)+_xll.xCrudeAPO(BS106,BT106,BY106,BZ106,S107,S108,BI106,BL106,BN106,BO106,0,Strike1,AO106,CC106,0,BL106,IF(OptControl=4,0,1),1,2)+IF(OR(VolSkewFlag=2,ABS(BQ106)&lt;0.0001),0,IF(BQ106&gt;0,-1,1)*CF106*Strike1/BP106^2*BW106/10%),0)</f>
        <v>0</v>
      </c>
      <c r="CF106" s="155">
        <f ca="1">IF(BD106,(_xll.xCrudeAPO(BS106,BT106,BY106,BZ106,S107,S108,BI106,BL106,BN106,BO106,0,Strike1,AO106,CC106,0,BL106,IF(OptControl=4,0,1),3,1)+_xll.xCrudeAPO(BS106,BT106,BY106,BZ106,S107,S108,BI106,BL106,BN106,BO106,0,Strike1,AO106,CC106,0,BL106,IF(OptControl=4,0,1),3,2))/100,0)</f>
        <v>0</v>
      </c>
      <c r="CG106" s="155">
        <f ca="1">IF(BD106,_xll.xCrudeAPO(BS106,BT106,BY106,BZ106,S107,S108,BI106-DaysForThetaCalculation/365.25,BL106-DaysForThetaCalculation/365.25,BN106,BO106,0,Strike1,AO106,CC106,0,BL106,IF(OptControl=4,0,1),0,1)-_xll.xCrudeAPO(BS106,BT106,BY106,BZ106,S107,S108,BI106,BL106,BN106,BO106,0,Strike1,AO106,CC106,0,BL106,IF(OptControl=4,0,1),0,1),0)</f>
        <v>0</v>
      </c>
      <c r="CH106" s="303">
        <f ca="1">IF(BD106,_xll.xCrudeAPO(BS106,BT106,CA106,CB106,S107,S108,BI106,BL106,BN106,BO106,0,Strike2,AO106,CC106,0,BL106,IF(OptControl=3,1,0),0,1),0)</f>
        <v>0</v>
      </c>
      <c r="CI106" s="155">
        <f ca="1">IF(BD106,_xll.xCrudeAPO(BS106,BT106,CA106,CB106,S107,S108,BI106,BL106,BN106,BO106,0,Strike2,AO106,CC106,0,BL106,IF(OptControl=3,1,0),1,1)+_xll.xCrudeAPO(BS106,BT106,CA106,CB106,S107,S108,BI106,BL106,BN106,BO106,0,Strike2,AO106,CC106,0,BL106,IF(OptControl=3,1,0),1,2)+IF(OR(VolSkewFlag=2,ABS(BR106)&lt;0.0001),0,IF(BR106&gt;0,-1,1)*CJ106*Strike2/BP106^2*BX106/10%),0)</f>
        <v>0</v>
      </c>
      <c r="CJ106" s="155">
        <f ca="1">IF(BD106,(_xll.xCrudeAPO(BS106,BT106,CA106,CB106,S107,S108,BI106,BL106,BN106,BO106,0,Strike2,AO106,CC106,0,BL106,IF(OptControl=3,1,0),3,1)+_xll.xCrudeAPO(BS106,BT106,CA106,CB106,S107,S108,BI106,BL106,BN106,BO106,0,Strike2,AO106,CC106,0,BL106,IF(OptControl=3,1,0),3,2))/100,0)</f>
        <v>0</v>
      </c>
      <c r="CK106" s="156">
        <f ca="1">IF(BD106,_xll.xCrudeAPO(BS106,BT106,CA106,CB106,S107,S108,BI106-DaysForThetaCalculation/365.25,BL106-DaysForThetaCalculation/365.25,BN106,BO106,0,Strike2,AO106,CC106,0,BL106,IF(OptControl=3,1,0),0,1)-_xll.xCrudeAPO(BS106,BT106,CA106,CB106,S107,S108,BI106,BL106,BN106,BO106,0,Strike2,AO106,CC106,0,BL106,IF(OptControl=3,1,0),0,1),0)</f>
        <v>0</v>
      </c>
      <c r="CL106" s="51"/>
      <c r="CM106" s="779" t="str">
        <f t="shared" ca="1" si="323"/>
        <v/>
      </c>
      <c r="CN106" s="783" t="str">
        <f t="shared" ca="1" si="324"/>
        <v/>
      </c>
      <c r="CO106" s="780" t="str">
        <f t="shared" ca="1" si="325"/>
        <v/>
      </c>
      <c r="CP106" s="780" t="str">
        <f t="shared" ca="1" si="326"/>
        <v/>
      </c>
      <c r="CQ106" s="780" t="str">
        <f t="shared" ca="1" si="327"/>
        <v/>
      </c>
      <c r="CR106" s="780" t="str">
        <f t="shared" ca="1" si="328"/>
        <v/>
      </c>
      <c r="CS106" s="781" t="str">
        <f t="shared" ca="1" si="329"/>
        <v/>
      </c>
      <c r="CT106" s="782" t="str">
        <f t="shared" ca="1" si="330"/>
        <v/>
      </c>
      <c r="CU106" s="782" t="str">
        <f t="shared" ca="1" si="331"/>
        <v/>
      </c>
      <c r="CV106" s="155">
        <f ca="1">IF(BD106,_xll.EURO(CN106,Strike1,AO106,AO106,CT106,CM106,IF(OptControl=4,0,1),0),0)</f>
        <v>0</v>
      </c>
      <c r="CW106" s="155">
        <f ca="1">IF(BD106,_xll.EURO(CN106,Strike1,AO106,AO106,CT106,CM106,IF(OptControl=4,0,1),1)+IF(OR(VolSkewFlag=2,ABS(CO106)&lt;0.0001),0,IF(CO106&gt;0,-1,1)*CX106*100*Strike1/CN106^2*CQ106/10%),0)</f>
        <v>0</v>
      </c>
      <c r="CX106" s="155">
        <f ca="1">IF(BD106,_xll.EURO(CN106,Strike1,AO106,AO106,CT106,CM106,IF(OptControl=4,0,1),3)/100,0)</f>
        <v>0</v>
      </c>
      <c r="CY106" s="155">
        <f ca="1">IF(BD106,_xll.EURO(CN106,Strike1,AO106,AO106,CT106,CM106,IF(OptControl=4,0,1),0)-_xll.EURO(CN106,Strike1,AO106,AO106,CT106,CM106-1,IF(OptControl=4,0,1),0),0)</f>
        <v>0</v>
      </c>
      <c r="CZ106" s="155">
        <f ca="1">IF(BD106,_xll.EURO(CN106,Strike2,AO106,AO106,CU106,CM106,IF(OptControl=3,1,0),0),0)</f>
        <v>0</v>
      </c>
      <c r="DA106" s="155">
        <f ca="1">IF(BD106,_xll.EURO(CN106,Strike2,AO106,AO106,CU106,CM106,IF(OptControl=3,1,0),1)+IF(OR(VolSkewFlag=2,ABS(CP106)&lt;0.0001),0,IF(CP106&gt;0,-1,1)*DB106*100*Strike2/CN106^2*CR106/10%),0)</f>
        <v>0</v>
      </c>
      <c r="DB106" s="155">
        <f ca="1">IF(BD106,_xll.EURO(CN106,Strike2,AO106,AO106,CU106,CM106,IF(OptControl=3,1,0),3)/100,0)</f>
        <v>0</v>
      </c>
      <c r="DC106" s="156">
        <f ca="1">IF(BD106,_xll.EURO(CN106,Strike2,AO106,AO106,CU106,CM106,IF(OptControl=3,1,0),0)-_xll.EURO(CN106,Strike2,AO106,AO106,CU106,CM106-1,IF(OptControl=3,1,0),0),0)</f>
        <v>0</v>
      </c>
      <c r="DE106" s="651">
        <f t="shared" ca="1" si="332"/>
        <v>39539</v>
      </c>
      <c r="DF106" s="465">
        <v>1E-4</v>
      </c>
      <c r="DG106" s="649">
        <v>1E-4</v>
      </c>
      <c r="DH106" s="650">
        <f t="shared" ca="1" si="306"/>
        <v>39539</v>
      </c>
      <c r="DI106" s="465">
        <v>1E-4</v>
      </c>
      <c r="DJ106" s="649">
        <v>1E-4</v>
      </c>
      <c r="DK106" s="651">
        <f t="shared" ca="1" si="307"/>
        <v>39539</v>
      </c>
      <c r="DL106" s="652">
        <f t="shared" si="308"/>
        <v>5.0100000000000006E-2</v>
      </c>
      <c r="DM106" s="651">
        <f t="shared" ca="1" si="333"/>
        <v>39539</v>
      </c>
      <c r="DN106" s="563">
        <f t="shared" si="334"/>
        <v>-0.12990000000000002</v>
      </c>
      <c r="DO106" s="803">
        <v>-0.13</v>
      </c>
      <c r="DP106" s="650">
        <f t="shared" ca="1" si="309"/>
        <v>39539</v>
      </c>
      <c r="DQ106" s="653">
        <v>1E-4</v>
      </c>
      <c r="DR106" s="590">
        <v>1E-4</v>
      </c>
      <c r="DS106" s="650">
        <f t="shared" ca="1" si="310"/>
        <v>39539</v>
      </c>
      <c r="DT106" s="653">
        <v>1E-4</v>
      </c>
      <c r="DU106" s="590">
        <v>1E-4</v>
      </c>
      <c r="DV106" s="651">
        <f t="shared" ca="1" si="311"/>
        <v>39539</v>
      </c>
      <c r="DW106" s="590">
        <v>1E-4</v>
      </c>
      <c r="DX106" s="651">
        <f t="shared" ca="1" si="335"/>
        <v>39539</v>
      </c>
      <c r="DY106" s="590">
        <f t="shared" si="336"/>
        <v>1E-4</v>
      </c>
      <c r="DZ106" s="1"/>
      <c r="EA106" s="857"/>
      <c r="EB106" s="857"/>
      <c r="EC106" s="857"/>
      <c r="ED106" s="868" t="e">
        <f t="shared" ca="1" si="436"/>
        <v>#NAME?</v>
      </c>
      <c r="EE106" s="863" t="e">
        <f t="shared" ca="1" si="312"/>
        <v>#NAME?</v>
      </c>
      <c r="EF106" s="590" t="e">
        <f t="shared" ca="1" si="313"/>
        <v>#NAME?</v>
      </c>
      <c r="EG106" s="862" t="str">
        <f t="shared" ca="1" si="314"/>
        <v/>
      </c>
      <c r="EH106" s="114" t="str">
        <f t="shared" ca="1" si="315"/>
        <v/>
      </c>
      <c r="EI106" s="109" t="str">
        <f t="shared" ca="1" si="316"/>
        <v/>
      </c>
      <c r="EJ106" s="115">
        <f ca="1">IF(BD106,_xll.xASN(BP106,Strike1,AO106,EH106,0,BM106,0,BI106,BL106,IF(OptControl=4,0,1),0),0)</f>
        <v>0</v>
      </c>
      <c r="EK106" s="108">
        <f ca="1">IF(BD106,_xll.xASN(BP106,Strike2,AO106,EI106,0,BM106,0,BI106,BL106,IF(OptControl=3,1,0),0),0)</f>
        <v>0</v>
      </c>
      <c r="EP106" s="53"/>
      <c r="EQ106" s="1"/>
      <c r="ER106" s="103"/>
      <c r="ES106" s="103"/>
      <c r="ET106" s="1"/>
      <c r="EU106" s="667" t="s">
        <v>318</v>
      </c>
      <c r="EW106" s="445"/>
      <c r="EX106" s="36"/>
      <c r="EY106" s="104"/>
      <c r="EZ106" s="465"/>
      <c r="FA106" s="446"/>
      <c r="FB106" s="446"/>
      <c r="FC106" s="242"/>
      <c r="FD106" s="242"/>
      <c r="FE106" s="242"/>
      <c r="FF106" s="242"/>
      <c r="FG106" s="242"/>
      <c r="FH106" s="242"/>
      <c r="FI106" s="242"/>
      <c r="FJ106" s="242"/>
      <c r="FK106" s="242"/>
      <c r="FL106" s="242"/>
      <c r="FM106" s="242"/>
      <c r="FN106" s="657">
        <v>12</v>
      </c>
      <c r="FO106" s="450">
        <f t="shared" ca="1" si="433"/>
        <v>0.2212664878212264</v>
      </c>
      <c r="FP106" s="450">
        <f t="shared" ca="1" si="447"/>
        <v>0.22748074971533092</v>
      </c>
      <c r="FQ106" s="450">
        <f t="shared" ca="1" si="447"/>
        <v>0.2343881520181656</v>
      </c>
      <c r="FR106" s="450">
        <f t="shared" ca="1" si="447"/>
        <v>0.24237644439302444</v>
      </c>
      <c r="FS106" s="450">
        <f t="shared" ca="1" si="447"/>
        <v>0.25164906266720466</v>
      </c>
      <c r="FT106" s="450">
        <f t="shared" ca="1" si="447"/>
        <v>0.26245863152761506</v>
      </c>
      <c r="FU106" s="450">
        <f t="shared" ca="1" si="447"/>
        <v>0.27512191254172058</v>
      </c>
      <c r="FV106" s="450">
        <f t="shared" ca="1" si="447"/>
        <v>0.2900402773950137</v>
      </c>
      <c r="FW106" s="450">
        <f t="shared" ca="1" si="447"/>
        <v>0.30772813212866373</v>
      </c>
      <c r="FX106" s="450">
        <f t="shared" ca="1" si="447"/>
        <v>0.32885296472953646</v>
      </c>
      <c r="FY106" s="450">
        <f t="shared" ca="1" si="447"/>
        <v>0.35429267730274933</v>
      </c>
      <c r="FZ106" s="450">
        <f t="shared" ca="1" si="447"/>
        <v>0.38521910375044022</v>
      </c>
      <c r="GA106" s="450" t="str">
        <f t="shared" si="447"/>
        <v/>
      </c>
      <c r="GB106" s="450" t="str">
        <f t="shared" si="447"/>
        <v/>
      </c>
      <c r="GC106" s="450" t="str">
        <f t="shared" si="447"/>
        <v/>
      </c>
      <c r="GD106" s="450" t="str">
        <f t="shared" si="447"/>
        <v/>
      </c>
      <c r="GE106" s="450" t="str">
        <f t="shared" si="447"/>
        <v/>
      </c>
      <c r="GF106" s="450" t="str">
        <f t="shared" si="447"/>
        <v/>
      </c>
      <c r="GG106" s="450" t="str">
        <f t="shared" si="447"/>
        <v/>
      </c>
      <c r="GH106" s="450" t="str">
        <f t="shared" si="447"/>
        <v/>
      </c>
      <c r="GI106" s="450" t="str">
        <f t="shared" si="447"/>
        <v/>
      </c>
      <c r="GJ106" s="450" t="str">
        <f t="shared" si="447"/>
        <v/>
      </c>
      <c r="GK106" s="450" t="str">
        <f t="shared" si="447"/>
        <v/>
      </c>
      <c r="GL106" s="450" t="str">
        <f t="shared" si="447"/>
        <v/>
      </c>
      <c r="GM106" s="450" t="str">
        <f t="shared" si="447"/>
        <v/>
      </c>
      <c r="GN106" s="450" t="str">
        <f t="shared" si="447"/>
        <v/>
      </c>
      <c r="GO106" s="450" t="str">
        <f t="shared" si="447"/>
        <v/>
      </c>
      <c r="GP106" s="450" t="str">
        <f t="shared" si="447"/>
        <v/>
      </c>
      <c r="GQ106" s="450" t="str">
        <f t="shared" si="447"/>
        <v/>
      </c>
      <c r="GR106" s="450" t="str">
        <f t="shared" si="447"/>
        <v/>
      </c>
      <c r="GS106" s="450" t="str">
        <f t="shared" si="447"/>
        <v/>
      </c>
      <c r="GT106" s="450" t="str">
        <f t="shared" si="447"/>
        <v/>
      </c>
      <c r="GU106" s="450" t="str">
        <f t="shared" si="447"/>
        <v/>
      </c>
      <c r="GV106" s="450" t="str">
        <f t="shared" si="447"/>
        <v/>
      </c>
      <c r="GW106" s="450" t="str">
        <f t="shared" si="447"/>
        <v/>
      </c>
      <c r="GX106" s="450" t="str">
        <f t="shared" si="447"/>
        <v/>
      </c>
      <c r="GY106" s="450" t="str">
        <f t="shared" si="447"/>
        <v/>
      </c>
      <c r="GZ106" s="450" t="str">
        <f t="shared" si="447"/>
        <v/>
      </c>
      <c r="HA106" s="450" t="str">
        <f t="shared" si="447"/>
        <v/>
      </c>
      <c r="HB106" s="450" t="str">
        <f t="shared" si="447"/>
        <v/>
      </c>
      <c r="HC106" s="450" t="str">
        <f t="shared" si="447"/>
        <v/>
      </c>
      <c r="HD106" s="450" t="str">
        <f t="shared" si="447"/>
        <v/>
      </c>
      <c r="HE106" s="450" t="str">
        <f t="shared" si="447"/>
        <v/>
      </c>
      <c r="HF106" s="450" t="str">
        <f t="shared" si="447"/>
        <v/>
      </c>
      <c r="HG106" s="450" t="str">
        <f t="shared" si="447"/>
        <v/>
      </c>
      <c r="HH106" s="450" t="str">
        <f t="shared" si="447"/>
        <v/>
      </c>
      <c r="HI106" s="450" t="str">
        <f t="shared" si="447"/>
        <v/>
      </c>
      <c r="HJ106" s="450" t="str">
        <f t="shared" si="447"/>
        <v/>
      </c>
      <c r="HK106" s="450" t="str">
        <f t="shared" si="447"/>
        <v/>
      </c>
      <c r="HL106" s="450" t="str">
        <f t="shared" si="447"/>
        <v/>
      </c>
      <c r="HM106" s="450" t="str">
        <f t="shared" si="447"/>
        <v/>
      </c>
      <c r="HN106" s="450" t="str">
        <f t="shared" si="447"/>
        <v/>
      </c>
      <c r="HO106" s="450" t="str">
        <f t="shared" si="447"/>
        <v/>
      </c>
      <c r="HP106" s="450" t="str">
        <f t="shared" si="447"/>
        <v/>
      </c>
      <c r="HQ106" s="450" t="str">
        <f t="shared" si="447"/>
        <v/>
      </c>
      <c r="HR106" s="450" t="str">
        <f t="shared" si="447"/>
        <v/>
      </c>
      <c r="HS106" s="450" t="str">
        <f t="shared" si="447"/>
        <v/>
      </c>
      <c r="HT106" s="450" t="str">
        <f t="shared" si="447"/>
        <v/>
      </c>
      <c r="HU106" s="450" t="str">
        <f t="shared" si="447"/>
        <v/>
      </c>
      <c r="HV106" s="450" t="str">
        <f t="shared" si="447"/>
        <v/>
      </c>
      <c r="HW106" s="450" t="str">
        <f t="shared" si="447"/>
        <v/>
      </c>
      <c r="HX106" s="450" t="str">
        <f t="shared" si="447"/>
        <v/>
      </c>
      <c r="HY106" s="450" t="str">
        <f t="shared" si="447"/>
        <v/>
      </c>
      <c r="HZ106" s="450" t="str">
        <f t="shared" si="447"/>
        <v/>
      </c>
      <c r="IA106" s="450" t="str">
        <f t="shared" si="447"/>
        <v/>
      </c>
      <c r="IB106" s="450" t="str">
        <f t="shared" si="446"/>
        <v/>
      </c>
      <c r="IC106" s="450" t="str">
        <f t="shared" si="446"/>
        <v/>
      </c>
      <c r="ID106" s="450" t="str">
        <f t="shared" si="446"/>
        <v/>
      </c>
      <c r="IE106" s="450" t="str">
        <f t="shared" si="446"/>
        <v/>
      </c>
      <c r="IF106" s="450" t="str">
        <f t="shared" si="446"/>
        <v/>
      </c>
      <c r="IG106" s="450" t="str">
        <f t="shared" si="446"/>
        <v/>
      </c>
      <c r="IH106" s="658" t="str">
        <f t="shared" si="446"/>
        <v/>
      </c>
      <c r="II106" s="242"/>
    </row>
    <row r="107" spans="8:243">
      <c r="H107" s="49" t="e">
        <f t="shared" ca="1" si="317"/>
        <v>#N/A</v>
      </c>
      <c r="I107" s="369">
        <f t="shared" si="318"/>
        <v>39661</v>
      </c>
      <c r="J107" s="367">
        <v>21.793333333333301</v>
      </c>
      <c r="K107" s="101" t="s">
        <v>267</v>
      </c>
      <c r="L107" s="382">
        <f t="shared" si="319"/>
        <v>21.793333333333326</v>
      </c>
      <c r="M107" s="163">
        <v>0.17304999999999998</v>
      </c>
      <c r="N107" s="372">
        <v>0</v>
      </c>
      <c r="O107" s="163">
        <f t="shared" si="272"/>
        <v>0.17304999999999998</v>
      </c>
      <c r="P107" s="367">
        <v>20.356083974379697</v>
      </c>
      <c r="Q107" s="101" t="s">
        <v>267</v>
      </c>
      <c r="R107" s="367">
        <f t="shared" ca="1" si="417"/>
        <v>20.35608397437969</v>
      </c>
      <c r="S107" s="814">
        <f t="shared" si="163"/>
        <v>0.36106671110773858</v>
      </c>
      <c r="T107" s="813">
        <f t="shared" si="418"/>
        <v>0.99999184290618126</v>
      </c>
      <c r="U107" s="532">
        <f t="shared" si="419"/>
        <v>0.9999999999997975</v>
      </c>
      <c r="V107" s="379">
        <v>0</v>
      </c>
      <c r="W107" s="424">
        <f t="shared" si="273"/>
        <v>21.815555555555566</v>
      </c>
      <c r="X107" s="405">
        <f t="shared" si="274"/>
        <v>21.815555555555544</v>
      </c>
      <c r="Y107" s="313">
        <f t="shared" si="275"/>
        <v>20.497155555555565</v>
      </c>
      <c r="Z107" s="313">
        <f t="shared" ca="1" si="276"/>
        <v>20.497155555555544</v>
      </c>
      <c r="AA107" s="419">
        <f t="shared" si="277"/>
        <v>1.3184</v>
      </c>
      <c r="AB107" s="423">
        <f t="shared" ca="1" si="278"/>
        <v>1.3184</v>
      </c>
      <c r="AC107" s="221">
        <v>39649</v>
      </c>
      <c r="AD107" s="221">
        <v>39645</v>
      </c>
      <c r="AE107" s="221">
        <v>39644</v>
      </c>
      <c r="AF107" s="221">
        <v>39640</v>
      </c>
      <c r="AG107" s="241" t="s">
        <v>497</v>
      </c>
      <c r="AH107" s="239" t="s">
        <v>497</v>
      </c>
      <c r="AI107" s="141">
        <v>21</v>
      </c>
      <c r="AJ107" s="41">
        <v>14</v>
      </c>
      <c r="AK107" s="41">
        <v>7</v>
      </c>
      <c r="AL107" s="285">
        <v>21</v>
      </c>
      <c r="AM107" s="41">
        <v>10</v>
      </c>
      <c r="AN107" s="142">
        <v>11</v>
      </c>
      <c r="AO107" s="364">
        <v>5.6836501343454401E-2</v>
      </c>
      <c r="AP107" s="145">
        <f t="shared" ca="1" si="320"/>
        <v>0.66070958575384886</v>
      </c>
      <c r="AQ107" s="364">
        <v>4.9174247849912901E-2</v>
      </c>
      <c r="AR107" s="145">
        <f t="shared" ca="1" si="420"/>
        <v>0.70249026867824482</v>
      </c>
      <c r="AS107" s="264">
        <f t="shared" si="279"/>
        <v>0.17231666666666665</v>
      </c>
      <c r="AT107" s="149">
        <f t="shared" si="321"/>
        <v>0.17304999999999998</v>
      </c>
      <c r="AU107" s="149">
        <f t="shared" si="280"/>
        <v>0.17221190476190473</v>
      </c>
      <c r="AV107" s="263">
        <f t="shared" ca="1" si="430"/>
        <v>0.16970153973137125</v>
      </c>
      <c r="AW107" s="150" t="str">
        <f t="shared" ca="1" si="281"/>
        <v/>
      </c>
      <c r="AX107" s="149">
        <f t="shared" ca="1" si="421"/>
        <v>1.9089172968367558E-2</v>
      </c>
      <c r="AY107" s="149">
        <f t="shared" ca="1" si="422"/>
        <v>8.6239829540266343E-3</v>
      </c>
      <c r="AZ107" s="149">
        <f t="shared" ca="1" si="423"/>
        <v>5.5400984368592183E-3</v>
      </c>
      <c r="BA107" s="149">
        <f t="shared" ca="1" si="424"/>
        <v>1.0000000000000309E-4</v>
      </c>
      <c r="BB107" s="149">
        <f t="shared" ca="1" si="425"/>
        <v>1.0000000000000309E-4</v>
      </c>
      <c r="BC107" s="149">
        <f t="shared" ca="1" si="426"/>
        <v>1.0000000000000309E-4</v>
      </c>
      <c r="BD107" s="143">
        <f t="shared" ca="1" si="282"/>
        <v>0</v>
      </c>
      <c r="BE107" s="144">
        <f t="shared" ca="1" si="283"/>
        <v>0</v>
      </c>
      <c r="BF107" s="40">
        <f t="shared" si="284"/>
        <v>2008</v>
      </c>
      <c r="BG107" s="139">
        <f t="shared" si="285"/>
        <v>8</v>
      </c>
      <c r="BH107" s="140">
        <f t="shared" ca="1" si="286"/>
        <v>2655</v>
      </c>
      <c r="BI107" s="304">
        <f t="shared" ca="1" si="440"/>
        <v>7.312799452429843</v>
      </c>
      <c r="BJ107" s="42">
        <f t="shared" ca="1" si="288"/>
        <v>7.3675564681724852</v>
      </c>
      <c r="BK107" s="42">
        <f t="shared" ca="1" si="289"/>
        <v>7.3702943189596173</v>
      </c>
      <c r="BL107" s="42">
        <f t="shared" ca="1" si="441"/>
        <v>7.3949349760438059</v>
      </c>
      <c r="BM107" s="285">
        <f t="shared" si="442"/>
        <v>21</v>
      </c>
      <c r="BN107" s="41">
        <f t="shared" si="443"/>
        <v>14</v>
      </c>
      <c r="BO107" s="41">
        <f t="shared" si="444"/>
        <v>7</v>
      </c>
      <c r="BP107" s="297" t="str">
        <f t="shared" ca="1" si="293"/>
        <v/>
      </c>
      <c r="BQ107" s="297" t="str">
        <f t="shared" ca="1" si="294"/>
        <v/>
      </c>
      <c r="BR107" s="299" t="str">
        <f t="shared" ca="1" si="295"/>
        <v/>
      </c>
      <c r="BS107" s="153" t="str">
        <f t="shared" ca="1" si="296"/>
        <v/>
      </c>
      <c r="BT107" s="153" t="str">
        <f t="shared" ca="1" si="297"/>
        <v/>
      </c>
      <c r="BU107" s="300" t="str">
        <f t="shared" ca="1" si="298"/>
        <v/>
      </c>
      <c r="BV107" s="301" t="str">
        <f t="shared" ca="1" si="299"/>
        <v/>
      </c>
      <c r="BW107" s="300" t="str">
        <f t="shared" ca="1" si="300"/>
        <v/>
      </c>
      <c r="BX107" s="301" t="str">
        <f t="shared" ca="1" si="301"/>
        <v/>
      </c>
      <c r="BY107" s="146" t="str">
        <f t="shared" ca="1" si="302"/>
        <v/>
      </c>
      <c r="BZ107" s="146" t="str">
        <f t="shared" ca="1" si="303"/>
        <v/>
      </c>
      <c r="CA107" s="146" t="str">
        <f t="shared" ca="1" si="304"/>
        <v/>
      </c>
      <c r="CB107" s="146" t="str">
        <f t="shared" ca="1" si="305"/>
        <v/>
      </c>
      <c r="CC107" s="302">
        <v>1</v>
      </c>
      <c r="CD107" s="154">
        <f ca="1">IF(BD107,_xll.xCrudeAPO(BS107,BT107,BY107,BZ107,S108,S109,BI107,BL107,BN107,BO107,0,Strike1,AO107,CC107,0,BL107,IF(OptControl=4,0,1),0,1),0)</f>
        <v>0</v>
      </c>
      <c r="CE107" s="155">
        <f ca="1">IF(BD107,_xll.xCrudeAPO(BS107,BT107,BY107,BZ107,S108,S109,BI107,BL107,BN107,BO107,0,Strike1,AO107,CC107,0,BL107,IF(OptControl=4,0,1),1,1)+_xll.xCrudeAPO(BS107,BT107,BY107,BZ107,S108,S109,BI107,BL107,BN107,BO107,0,Strike1,AO107,CC107,0,BL107,IF(OptControl=4,0,1),1,2)+IF(OR(VolSkewFlag=2,ABS(BQ107)&lt;0.0001),0,IF(BQ107&gt;0,-1,1)*CF107*Strike1/BP107^2*BW107/10%),0)</f>
        <v>0</v>
      </c>
      <c r="CF107" s="155">
        <f ca="1">IF(BD107,(_xll.xCrudeAPO(BS107,BT107,BY107,BZ107,S108,S109,BI107,BL107,BN107,BO107,0,Strike1,AO107,CC107,0,BL107,IF(OptControl=4,0,1),3,1)+_xll.xCrudeAPO(BS107,BT107,BY107,BZ107,S108,S109,BI107,BL107,BN107,BO107,0,Strike1,AO107,CC107,0,BL107,IF(OptControl=4,0,1),3,2))/100,0)</f>
        <v>0</v>
      </c>
      <c r="CG107" s="155">
        <f ca="1">IF(BD107,_xll.xCrudeAPO(BS107,BT107,BY107,BZ107,S108,S109,BI107-DaysForThetaCalculation/365.25,BL107-DaysForThetaCalculation/365.25,BN107,BO107,0,Strike1,AO107,CC107,0,BL107,IF(OptControl=4,0,1),0,1)-_xll.xCrudeAPO(BS107,BT107,BY107,BZ107,S108,S109,BI107,BL107,BN107,BO107,0,Strike1,AO107,CC107,0,BL107,IF(OptControl=4,0,1),0,1),0)</f>
        <v>0</v>
      </c>
      <c r="CH107" s="303">
        <f ca="1">IF(BD107,_xll.xCrudeAPO(BS107,BT107,CA107,CB107,S108,S109,BI107,BL107,BN107,BO107,0,Strike2,AO107,CC107,0,BL107,IF(OptControl=3,1,0),0,1),0)</f>
        <v>0</v>
      </c>
      <c r="CI107" s="155">
        <f ca="1">IF(BD107,_xll.xCrudeAPO(BS107,BT107,CA107,CB107,S108,S109,BI107,BL107,BN107,BO107,0,Strike2,AO107,CC107,0,BL107,IF(OptControl=3,1,0),1,1)+_xll.xCrudeAPO(BS107,BT107,CA107,CB107,S108,S109,BI107,BL107,BN107,BO107,0,Strike2,AO107,CC107,0,BL107,IF(OptControl=3,1,0),1,2)+IF(OR(VolSkewFlag=2,ABS(BR107)&lt;0.0001),0,IF(BR107&gt;0,-1,1)*CJ107*Strike2/BP107^2*BX107/10%),0)</f>
        <v>0</v>
      </c>
      <c r="CJ107" s="155">
        <f ca="1">IF(BD107,(_xll.xCrudeAPO(BS107,BT107,CA107,CB107,S108,S109,BI107,BL107,BN107,BO107,0,Strike2,AO107,CC107,0,BL107,IF(OptControl=3,1,0),3,1)+_xll.xCrudeAPO(BS107,BT107,CA107,CB107,S108,S109,BI107,BL107,BN107,BO107,0,Strike2,AO107,CC107,0,BL107,IF(OptControl=3,1,0),3,2))/100,0)</f>
        <v>0</v>
      </c>
      <c r="CK107" s="156">
        <f ca="1">IF(BD107,_xll.xCrudeAPO(BS107,BT107,CA107,CB107,S108,S109,BI107-DaysForThetaCalculation/365.25,BL107-DaysForThetaCalculation/365.25,BN107,BO107,0,Strike2,AO107,CC107,0,BL107,IF(OptControl=3,1,0),0,1)-_xll.xCrudeAPO(BS107,BT107,CA107,CB107,S108,S109,BI107,BL107,BN107,BO107,0,Strike2,AO107,CC107,0,BL107,IF(OptControl=3,1,0),0,1),0)</f>
        <v>0</v>
      </c>
      <c r="CL107" s="51"/>
      <c r="CM107" s="779" t="str">
        <f t="shared" ca="1" si="323"/>
        <v/>
      </c>
      <c r="CN107" s="783" t="str">
        <f t="shared" ca="1" si="324"/>
        <v/>
      </c>
      <c r="CO107" s="780" t="str">
        <f t="shared" ca="1" si="325"/>
        <v/>
      </c>
      <c r="CP107" s="780" t="str">
        <f t="shared" ca="1" si="326"/>
        <v/>
      </c>
      <c r="CQ107" s="780" t="str">
        <f t="shared" ca="1" si="327"/>
        <v/>
      </c>
      <c r="CR107" s="780" t="str">
        <f t="shared" ca="1" si="328"/>
        <v/>
      </c>
      <c r="CS107" s="781" t="str">
        <f t="shared" ca="1" si="329"/>
        <v/>
      </c>
      <c r="CT107" s="782" t="str">
        <f t="shared" ca="1" si="330"/>
        <v/>
      </c>
      <c r="CU107" s="782" t="str">
        <f t="shared" ca="1" si="331"/>
        <v/>
      </c>
      <c r="CV107" s="155">
        <f ca="1">IF(BD107,_xll.EURO(CN107,Strike1,AO107,AO107,CT107,CM107,IF(OptControl=4,0,1),0),0)</f>
        <v>0</v>
      </c>
      <c r="CW107" s="155">
        <f ca="1">IF(BD107,_xll.EURO(CN107,Strike1,AO107,AO107,CT107,CM107,IF(OptControl=4,0,1),1)+IF(OR(VolSkewFlag=2,ABS(CO107)&lt;0.0001),0,IF(CO107&gt;0,-1,1)*CX107*100*Strike1/CN107^2*CQ107/10%),0)</f>
        <v>0</v>
      </c>
      <c r="CX107" s="155">
        <f ca="1">IF(BD107,_xll.EURO(CN107,Strike1,AO107,AO107,CT107,CM107,IF(OptControl=4,0,1),3)/100,0)</f>
        <v>0</v>
      </c>
      <c r="CY107" s="155">
        <f ca="1">IF(BD107,_xll.EURO(CN107,Strike1,AO107,AO107,CT107,CM107,IF(OptControl=4,0,1),0)-_xll.EURO(CN107,Strike1,AO107,AO107,CT107,CM107-1,IF(OptControl=4,0,1),0),0)</f>
        <v>0</v>
      </c>
      <c r="CZ107" s="155">
        <f ca="1">IF(BD107,_xll.EURO(CN107,Strike2,AO107,AO107,CU107,CM107,IF(OptControl=3,1,0),0),0)</f>
        <v>0</v>
      </c>
      <c r="DA107" s="155">
        <f ca="1">IF(BD107,_xll.EURO(CN107,Strike2,AO107,AO107,CU107,CM107,IF(OptControl=3,1,0),1)+IF(OR(VolSkewFlag=2,ABS(CP107)&lt;0.0001),0,IF(CP107&gt;0,-1,1)*DB107*100*Strike2/CN107^2*CR107/10%),0)</f>
        <v>0</v>
      </c>
      <c r="DB107" s="155">
        <f ca="1">IF(BD107,_xll.EURO(CN107,Strike2,AO107,AO107,CU107,CM107,IF(OptControl=3,1,0),3)/100,0)</f>
        <v>0</v>
      </c>
      <c r="DC107" s="156">
        <f ca="1">IF(BD107,_xll.EURO(CN107,Strike2,AO107,AO107,CU107,CM107,IF(OptControl=3,1,0),0)-_xll.EURO(CN107,Strike2,AO107,AO107,CU107,CM107-1,IF(OptControl=3,1,0),0),0)</f>
        <v>0</v>
      </c>
      <c r="DE107" s="651">
        <f t="shared" ca="1" si="332"/>
        <v>39569</v>
      </c>
      <c r="DF107" s="465">
        <v>1E-4</v>
      </c>
      <c r="DG107" s="649">
        <v>1E-4</v>
      </c>
      <c r="DH107" s="650">
        <f t="shared" ca="1" si="306"/>
        <v>39569</v>
      </c>
      <c r="DI107" s="465">
        <v>1E-4</v>
      </c>
      <c r="DJ107" s="649">
        <v>1E-4</v>
      </c>
      <c r="DK107" s="651">
        <f t="shared" ca="1" si="307"/>
        <v>39569</v>
      </c>
      <c r="DL107" s="652">
        <f t="shared" si="308"/>
        <v>5.0100000000000006E-2</v>
      </c>
      <c r="DM107" s="651">
        <f t="shared" ca="1" si="333"/>
        <v>39569</v>
      </c>
      <c r="DN107" s="563">
        <f t="shared" si="334"/>
        <v>-0.12990000000000002</v>
      </c>
      <c r="DO107" s="803">
        <v>-0.13</v>
      </c>
      <c r="DP107" s="650">
        <f t="shared" ca="1" si="309"/>
        <v>39569</v>
      </c>
      <c r="DQ107" s="653">
        <v>1E-4</v>
      </c>
      <c r="DR107" s="590">
        <v>1E-4</v>
      </c>
      <c r="DS107" s="650">
        <f t="shared" ca="1" si="310"/>
        <v>39569</v>
      </c>
      <c r="DT107" s="653">
        <v>1E-4</v>
      </c>
      <c r="DU107" s="590">
        <v>1E-4</v>
      </c>
      <c r="DV107" s="651">
        <f t="shared" ca="1" si="311"/>
        <v>39569</v>
      </c>
      <c r="DW107" s="590">
        <v>1E-4</v>
      </c>
      <c r="DX107" s="651">
        <f t="shared" ca="1" si="335"/>
        <v>39569</v>
      </c>
      <c r="DY107" s="590">
        <f t="shared" si="336"/>
        <v>1E-4</v>
      </c>
      <c r="DZ107" s="1"/>
      <c r="EA107" s="857"/>
      <c r="EB107" s="857"/>
      <c r="EC107" s="857"/>
      <c r="ED107" s="868" t="e">
        <f t="shared" ca="1" si="436"/>
        <v>#NAME?</v>
      </c>
      <c r="EE107" s="863" t="e">
        <f t="shared" ca="1" si="312"/>
        <v>#NAME?</v>
      </c>
      <c r="EF107" s="590" t="e">
        <f t="shared" ca="1" si="313"/>
        <v>#NAME?</v>
      </c>
      <c r="EG107" s="862" t="str">
        <f t="shared" ca="1" si="314"/>
        <v/>
      </c>
      <c r="EH107" s="114" t="str">
        <f t="shared" ca="1" si="315"/>
        <v/>
      </c>
      <c r="EI107" s="109" t="str">
        <f t="shared" ca="1" si="316"/>
        <v/>
      </c>
      <c r="EJ107" s="115">
        <f ca="1">IF(BD107,_xll.xASN(BP107,Strike1,AO107,EH107,0,BM107,0,BI107,BL107,IF(OptControl=4,0,1),0),0)</f>
        <v>0</v>
      </c>
      <c r="EK107" s="108">
        <f ca="1">IF(BD107,_xll.xASN(BP107,Strike2,AO107,EI107,0,BM107,0,BI107,BL107,IF(OptControl=3,1,0),0),0)</f>
        <v>0</v>
      </c>
      <c r="EP107" s="53"/>
      <c r="EQ107" s="1"/>
      <c r="ER107" s="103"/>
      <c r="ES107" s="103"/>
      <c r="ET107" s="1"/>
      <c r="EU107" s="667" t="s">
        <v>319</v>
      </c>
      <c r="EW107" s="445"/>
      <c r="EX107" s="36"/>
      <c r="EY107" s="104"/>
      <c r="EZ107" s="465"/>
      <c r="FA107" s="446"/>
      <c r="FB107" s="446"/>
      <c r="FC107" s="242"/>
      <c r="FD107" s="242"/>
      <c r="FE107" s="242"/>
      <c r="FF107" s="242"/>
      <c r="FG107" s="242"/>
      <c r="FH107" s="242"/>
      <c r="FI107" s="242"/>
      <c r="FJ107" s="242"/>
      <c r="FK107" s="242"/>
      <c r="FL107" s="242"/>
      <c r="FM107" s="242"/>
      <c r="FN107" s="657">
        <v>13</v>
      </c>
      <c r="FO107" s="450">
        <f t="shared" ca="1" si="433"/>
        <v>0.21577818056205611</v>
      </c>
      <c r="FP107" s="450">
        <f t="shared" ca="1" si="447"/>
        <v>0.22120248080860455</v>
      </c>
      <c r="FQ107" s="450">
        <f t="shared" ca="1" si="447"/>
        <v>0.22718910772851639</v>
      </c>
      <c r="FR107" s="450">
        <f t="shared" ca="1" si="447"/>
        <v>0.23409027747323874</v>
      </c>
      <c r="FS107" s="450">
        <f t="shared" ca="1" si="447"/>
        <v>0.24207111007450718</v>
      </c>
      <c r="FT107" s="450">
        <f t="shared" ca="1" si="447"/>
        <v>0.25133482143420077</v>
      </c>
      <c r="FU107" s="450">
        <f t="shared" ca="1" si="447"/>
        <v>0.26213376380623044</v>
      </c>
      <c r="FV107" s="450">
        <f t="shared" ca="1" si="447"/>
        <v>0.27478435798462242</v>
      </c>
      <c r="FW107" s="450">
        <f t="shared" ca="1" si="447"/>
        <v>0.28968754489628695</v>
      </c>
      <c r="FX107" s="450">
        <f t="shared" ca="1" si="447"/>
        <v>0.30735717984666977</v>
      </c>
      <c r="FY107" s="450">
        <f t="shared" ca="1" si="447"/>
        <v>0.32846003793931122</v>
      </c>
      <c r="FZ107" s="450">
        <f t="shared" ca="1" si="447"/>
        <v>0.35387308600478629</v>
      </c>
      <c r="GA107" s="450">
        <f t="shared" ca="1" si="447"/>
        <v>0.38476691271293584</v>
      </c>
      <c r="GB107" s="450" t="str">
        <f t="shared" si="447"/>
        <v/>
      </c>
      <c r="GC107" s="450" t="str">
        <f t="shared" si="447"/>
        <v/>
      </c>
      <c r="GD107" s="450" t="str">
        <f t="shared" si="447"/>
        <v/>
      </c>
      <c r="GE107" s="450" t="str">
        <f t="shared" si="447"/>
        <v/>
      </c>
      <c r="GF107" s="450" t="str">
        <f t="shared" si="447"/>
        <v/>
      </c>
      <c r="GG107" s="450" t="str">
        <f t="shared" si="447"/>
        <v/>
      </c>
      <c r="GH107" s="450" t="str">
        <f t="shared" si="447"/>
        <v/>
      </c>
      <c r="GI107" s="450" t="str">
        <f t="shared" si="447"/>
        <v/>
      </c>
      <c r="GJ107" s="450" t="str">
        <f t="shared" si="447"/>
        <v/>
      </c>
      <c r="GK107" s="450" t="str">
        <f t="shared" si="447"/>
        <v/>
      </c>
      <c r="GL107" s="450" t="str">
        <f t="shared" si="447"/>
        <v/>
      </c>
      <c r="GM107" s="450" t="str">
        <f t="shared" si="447"/>
        <v/>
      </c>
      <c r="GN107" s="450" t="str">
        <f t="shared" si="447"/>
        <v/>
      </c>
      <c r="GO107" s="450" t="str">
        <f t="shared" si="447"/>
        <v/>
      </c>
      <c r="GP107" s="450" t="str">
        <f t="shared" si="447"/>
        <v/>
      </c>
      <c r="GQ107" s="450" t="str">
        <f t="shared" si="447"/>
        <v/>
      </c>
      <c r="GR107" s="450" t="str">
        <f t="shared" si="447"/>
        <v/>
      </c>
      <c r="GS107" s="450" t="str">
        <f t="shared" si="447"/>
        <v/>
      </c>
      <c r="GT107" s="450" t="str">
        <f t="shared" si="447"/>
        <v/>
      </c>
      <c r="GU107" s="450" t="str">
        <f t="shared" si="447"/>
        <v/>
      </c>
      <c r="GV107" s="450" t="str">
        <f t="shared" si="447"/>
        <v/>
      </c>
      <c r="GW107" s="450" t="str">
        <f t="shared" si="447"/>
        <v/>
      </c>
      <c r="GX107" s="450" t="str">
        <f t="shared" si="447"/>
        <v/>
      </c>
      <c r="GY107" s="450" t="str">
        <f t="shared" si="447"/>
        <v/>
      </c>
      <c r="GZ107" s="450" t="str">
        <f t="shared" si="447"/>
        <v/>
      </c>
      <c r="HA107" s="450" t="str">
        <f t="shared" si="447"/>
        <v/>
      </c>
      <c r="HB107" s="450" t="str">
        <f t="shared" si="447"/>
        <v/>
      </c>
      <c r="HC107" s="450" t="str">
        <f t="shared" si="447"/>
        <v/>
      </c>
      <c r="HD107" s="450" t="str">
        <f t="shared" si="447"/>
        <v/>
      </c>
      <c r="HE107" s="450" t="str">
        <f t="shared" si="447"/>
        <v/>
      </c>
      <c r="HF107" s="450" t="str">
        <f t="shared" si="447"/>
        <v/>
      </c>
      <c r="HG107" s="450" t="str">
        <f t="shared" si="447"/>
        <v/>
      </c>
      <c r="HH107" s="450" t="str">
        <f t="shared" si="447"/>
        <v/>
      </c>
      <c r="HI107" s="450" t="str">
        <f t="shared" si="447"/>
        <v/>
      </c>
      <c r="HJ107" s="450" t="str">
        <f t="shared" si="447"/>
        <v/>
      </c>
      <c r="HK107" s="450" t="str">
        <f t="shared" si="447"/>
        <v/>
      </c>
      <c r="HL107" s="450" t="str">
        <f t="shared" si="447"/>
        <v/>
      </c>
      <c r="HM107" s="450" t="str">
        <f t="shared" si="447"/>
        <v/>
      </c>
      <c r="HN107" s="450" t="str">
        <f t="shared" si="447"/>
        <v/>
      </c>
      <c r="HO107" s="450" t="str">
        <f t="shared" si="447"/>
        <v/>
      </c>
      <c r="HP107" s="450" t="str">
        <f t="shared" si="447"/>
        <v/>
      </c>
      <c r="HQ107" s="450" t="str">
        <f t="shared" si="447"/>
        <v/>
      </c>
      <c r="HR107" s="450" t="str">
        <f t="shared" si="447"/>
        <v/>
      </c>
      <c r="HS107" s="450" t="str">
        <f t="shared" si="447"/>
        <v/>
      </c>
      <c r="HT107" s="450" t="str">
        <f t="shared" si="447"/>
        <v/>
      </c>
      <c r="HU107" s="450" t="str">
        <f t="shared" si="447"/>
        <v/>
      </c>
      <c r="HV107" s="450" t="str">
        <f t="shared" si="447"/>
        <v/>
      </c>
      <c r="HW107" s="450" t="str">
        <f t="shared" si="447"/>
        <v/>
      </c>
      <c r="HX107" s="450" t="str">
        <f t="shared" si="447"/>
        <v/>
      </c>
      <c r="HY107" s="450" t="str">
        <f t="shared" si="447"/>
        <v/>
      </c>
      <c r="HZ107" s="450" t="str">
        <f t="shared" si="447"/>
        <v/>
      </c>
      <c r="IA107" s="450" t="str">
        <f t="shared" si="447"/>
        <v/>
      </c>
      <c r="IB107" s="450" t="str">
        <f t="shared" si="446"/>
        <v/>
      </c>
      <c r="IC107" s="450" t="str">
        <f t="shared" si="446"/>
        <v/>
      </c>
      <c r="ID107" s="450" t="str">
        <f t="shared" si="446"/>
        <v/>
      </c>
      <c r="IE107" s="450" t="str">
        <f t="shared" si="446"/>
        <v/>
      </c>
      <c r="IF107" s="450" t="str">
        <f t="shared" si="446"/>
        <v/>
      </c>
      <c r="IG107" s="450" t="str">
        <f t="shared" si="446"/>
        <v/>
      </c>
      <c r="IH107" s="658" t="str">
        <f t="shared" si="446"/>
        <v/>
      </c>
      <c r="II107" s="242"/>
    </row>
    <row r="108" spans="8:243">
      <c r="H108" s="49" t="e">
        <f t="shared" ca="1" si="317"/>
        <v>#N/A</v>
      </c>
      <c r="I108" s="369">
        <f t="shared" si="318"/>
        <v>39692</v>
      </c>
      <c r="J108" s="367">
        <v>21.81</v>
      </c>
      <c r="K108" s="101" t="s">
        <v>267</v>
      </c>
      <c r="L108" s="382">
        <f t="shared" si="319"/>
        <v>21.809999999999992</v>
      </c>
      <c r="M108" s="163">
        <v>0.17249999999999999</v>
      </c>
      <c r="N108" s="372">
        <v>0</v>
      </c>
      <c r="O108" s="163">
        <f t="shared" si="272"/>
        <v>0.17249999999999999</v>
      </c>
      <c r="P108" s="367">
        <v>20.578418854206699</v>
      </c>
      <c r="Q108" s="101" t="s">
        <v>267</v>
      </c>
      <c r="R108" s="367">
        <f t="shared" ca="1" si="417"/>
        <v>20.578418854206749</v>
      </c>
      <c r="S108" s="814">
        <f t="shared" si="163"/>
        <v>0.36085604399666121</v>
      </c>
      <c r="T108" s="813">
        <f t="shared" si="418"/>
        <v>0.99999265861857256</v>
      </c>
      <c r="U108" s="532">
        <f t="shared" si="419"/>
        <v>0.99999999999984812</v>
      </c>
      <c r="V108" s="379">
        <v>0</v>
      </c>
      <c r="W108" s="424">
        <f t="shared" si="273"/>
        <v>21.831969696969708</v>
      </c>
      <c r="X108" s="405">
        <f t="shared" si="274"/>
        <v>21.831969696969686</v>
      </c>
      <c r="Y108" s="313">
        <f t="shared" si="275"/>
        <v>20.513569696969707</v>
      </c>
      <c r="Z108" s="313">
        <f t="shared" ca="1" si="276"/>
        <v>20.513569696969686</v>
      </c>
      <c r="AA108" s="419">
        <f t="shared" si="277"/>
        <v>1.3184</v>
      </c>
      <c r="AB108" s="423">
        <f t="shared" ca="1" si="278"/>
        <v>1.3184</v>
      </c>
      <c r="AC108" s="221">
        <v>39680</v>
      </c>
      <c r="AD108" s="221">
        <v>39676</v>
      </c>
      <c r="AE108" s="221">
        <v>39675</v>
      </c>
      <c r="AF108" s="221">
        <v>39671</v>
      </c>
      <c r="AG108" s="241" t="s">
        <v>497</v>
      </c>
      <c r="AH108" s="239" t="s">
        <v>497</v>
      </c>
      <c r="AI108" s="141">
        <v>22</v>
      </c>
      <c r="AJ108" s="41">
        <v>15</v>
      </c>
      <c r="AK108" s="41">
        <v>7</v>
      </c>
      <c r="AL108" s="285">
        <v>22</v>
      </c>
      <c r="AM108" s="41">
        <v>10</v>
      </c>
      <c r="AN108" s="142">
        <v>12</v>
      </c>
      <c r="AO108" s="364">
        <v>5.6913910049367598E-2</v>
      </c>
      <c r="AP108" s="145">
        <f t="shared" ca="1" si="320"/>
        <v>0.65730517439724212</v>
      </c>
      <c r="AQ108" s="364">
        <v>4.9195055142811306E-2</v>
      </c>
      <c r="AR108" s="145">
        <f t="shared" ca="1" si="420"/>
        <v>0.69949532122751412</v>
      </c>
      <c r="AS108" s="264">
        <f t="shared" si="279"/>
        <v>0.17177499999999998</v>
      </c>
      <c r="AT108" s="149">
        <f t="shared" si="321"/>
        <v>0.17249999999999999</v>
      </c>
      <c r="AU108" s="149">
        <f t="shared" si="280"/>
        <v>0.17165</v>
      </c>
      <c r="AV108" s="263">
        <f t="shared" ca="1" si="430"/>
        <v>0.16906584803581443</v>
      </c>
      <c r="AW108" s="150" t="str">
        <f t="shared" ca="1" si="281"/>
        <v/>
      </c>
      <c r="AX108" s="149">
        <f t="shared" ca="1" si="421"/>
        <v>1.882100418654982E-2</v>
      </c>
      <c r="AY108" s="149">
        <f t="shared" ca="1" si="422"/>
        <v>8.4755998374666571E-3</v>
      </c>
      <c r="AZ108" s="149">
        <f t="shared" ca="1" si="423"/>
        <v>5.4740720440568207E-3</v>
      </c>
      <c r="BA108" s="149">
        <f t="shared" ca="1" si="424"/>
        <v>1.0000000000000314E-4</v>
      </c>
      <c r="BB108" s="149">
        <f t="shared" ca="1" si="425"/>
        <v>1.0000000000000314E-4</v>
      </c>
      <c r="BC108" s="149">
        <f t="shared" ca="1" si="426"/>
        <v>1.0000000000000314E-4</v>
      </c>
      <c r="BD108" s="143">
        <f t="shared" ca="1" si="282"/>
        <v>0</v>
      </c>
      <c r="BE108" s="144">
        <f t="shared" ca="1" si="283"/>
        <v>0</v>
      </c>
      <c r="BF108" s="40">
        <f t="shared" si="284"/>
        <v>2008</v>
      </c>
      <c r="BG108" s="139">
        <f t="shared" si="285"/>
        <v>9</v>
      </c>
      <c r="BH108" s="140">
        <f t="shared" ca="1" si="286"/>
        <v>2686</v>
      </c>
      <c r="BI108" s="304">
        <f t="shared" ca="1" si="440"/>
        <v>7.397672826830938</v>
      </c>
      <c r="BJ108" s="42">
        <f t="shared" ca="1" si="288"/>
        <v>7.451807603758323</v>
      </c>
      <c r="BK108" s="42">
        <f t="shared" ca="1" si="289"/>
        <v>7.454545454545455</v>
      </c>
      <c r="BL108" s="42">
        <f t="shared" ca="1" si="441"/>
        <v>7.4770704996577688</v>
      </c>
      <c r="BM108" s="285">
        <f t="shared" si="442"/>
        <v>22</v>
      </c>
      <c r="BN108" s="41">
        <f t="shared" si="443"/>
        <v>15</v>
      </c>
      <c r="BO108" s="41">
        <f t="shared" si="444"/>
        <v>7</v>
      </c>
      <c r="BP108" s="297" t="str">
        <f t="shared" ca="1" si="293"/>
        <v/>
      </c>
      <c r="BQ108" s="297" t="str">
        <f t="shared" ca="1" si="294"/>
        <v/>
      </c>
      <c r="BR108" s="299" t="str">
        <f t="shared" ca="1" si="295"/>
        <v/>
      </c>
      <c r="BS108" s="153" t="str">
        <f t="shared" ca="1" si="296"/>
        <v/>
      </c>
      <c r="BT108" s="153" t="str">
        <f t="shared" ca="1" si="297"/>
        <v/>
      </c>
      <c r="BU108" s="300" t="str">
        <f t="shared" ca="1" si="298"/>
        <v/>
      </c>
      <c r="BV108" s="301" t="str">
        <f t="shared" ca="1" si="299"/>
        <v/>
      </c>
      <c r="BW108" s="300" t="str">
        <f t="shared" ca="1" si="300"/>
        <v/>
      </c>
      <c r="BX108" s="301" t="str">
        <f t="shared" ca="1" si="301"/>
        <v/>
      </c>
      <c r="BY108" s="146" t="str">
        <f t="shared" ca="1" si="302"/>
        <v/>
      </c>
      <c r="BZ108" s="146" t="str">
        <f t="shared" ca="1" si="303"/>
        <v/>
      </c>
      <c r="CA108" s="146" t="str">
        <f t="shared" ca="1" si="304"/>
        <v/>
      </c>
      <c r="CB108" s="146" t="str">
        <f t="shared" ca="1" si="305"/>
        <v/>
      </c>
      <c r="CC108" s="302">
        <v>1</v>
      </c>
      <c r="CD108" s="154">
        <f ca="1">IF(BD108,_xll.xCrudeAPO(BS108,BT108,BY108,BZ108,S109,S110,BI108,BL108,BN108,BO108,0,Strike1,AO108,CC108,0,BL108,IF(OptControl=4,0,1),0,1),0)</f>
        <v>0</v>
      </c>
      <c r="CE108" s="155">
        <f ca="1">IF(BD108,_xll.xCrudeAPO(BS108,BT108,BY108,BZ108,S109,S110,BI108,BL108,BN108,BO108,0,Strike1,AO108,CC108,0,BL108,IF(OptControl=4,0,1),1,1)+_xll.xCrudeAPO(BS108,BT108,BY108,BZ108,S109,S110,BI108,BL108,BN108,BO108,0,Strike1,AO108,CC108,0,BL108,IF(OptControl=4,0,1),1,2)+IF(OR(VolSkewFlag=2,ABS(BQ108)&lt;0.0001),0,IF(BQ108&gt;0,-1,1)*CF108*Strike1/BP108^2*BW108/10%),0)</f>
        <v>0</v>
      </c>
      <c r="CF108" s="155">
        <f ca="1">IF(BD108,(_xll.xCrudeAPO(BS108,BT108,BY108,BZ108,S109,S110,BI108,BL108,BN108,BO108,0,Strike1,AO108,CC108,0,BL108,IF(OptControl=4,0,1),3,1)+_xll.xCrudeAPO(BS108,BT108,BY108,BZ108,S109,S110,BI108,BL108,BN108,BO108,0,Strike1,AO108,CC108,0,BL108,IF(OptControl=4,0,1),3,2))/100,0)</f>
        <v>0</v>
      </c>
      <c r="CG108" s="155">
        <f ca="1">IF(BD108,_xll.xCrudeAPO(BS108,BT108,BY108,BZ108,S109,S110,BI108-DaysForThetaCalculation/365.25,BL108-DaysForThetaCalculation/365.25,BN108,BO108,0,Strike1,AO108,CC108,0,BL108,IF(OptControl=4,0,1),0,1)-_xll.xCrudeAPO(BS108,BT108,BY108,BZ108,S109,S110,BI108,BL108,BN108,BO108,0,Strike1,AO108,CC108,0,BL108,IF(OptControl=4,0,1),0,1),0)</f>
        <v>0</v>
      </c>
      <c r="CH108" s="303">
        <f ca="1">IF(BD108,_xll.xCrudeAPO(BS108,BT108,CA108,CB108,S109,S110,BI108,BL108,BN108,BO108,0,Strike2,AO108,CC108,0,BL108,IF(OptControl=3,1,0),0,1),0)</f>
        <v>0</v>
      </c>
      <c r="CI108" s="155">
        <f ca="1">IF(BD108,_xll.xCrudeAPO(BS108,BT108,CA108,CB108,S109,S110,BI108,BL108,BN108,BO108,0,Strike2,AO108,CC108,0,BL108,IF(OptControl=3,1,0),1,1)+_xll.xCrudeAPO(BS108,BT108,CA108,CB108,S109,S110,BI108,BL108,BN108,BO108,0,Strike2,AO108,CC108,0,BL108,IF(OptControl=3,1,0),1,2)+IF(OR(VolSkewFlag=2,ABS(BR108)&lt;0.0001),0,IF(BR108&gt;0,-1,1)*CJ108*Strike2/BP108^2*BX108/10%),0)</f>
        <v>0</v>
      </c>
      <c r="CJ108" s="155">
        <f ca="1">IF(BD108,(_xll.xCrudeAPO(BS108,BT108,CA108,CB108,S109,S110,BI108,BL108,BN108,BO108,0,Strike2,AO108,CC108,0,BL108,IF(OptControl=3,1,0),3,1)+_xll.xCrudeAPO(BS108,BT108,CA108,CB108,S109,S110,BI108,BL108,BN108,BO108,0,Strike2,AO108,CC108,0,BL108,IF(OptControl=3,1,0),3,2))/100,0)</f>
        <v>0</v>
      </c>
      <c r="CK108" s="156">
        <f ca="1">IF(BD108,_xll.xCrudeAPO(BS108,BT108,CA108,CB108,S109,S110,BI108-DaysForThetaCalculation/365.25,BL108-DaysForThetaCalculation/365.25,BN108,BO108,0,Strike2,AO108,CC108,0,BL108,IF(OptControl=3,1,0),0,1)-_xll.xCrudeAPO(BS108,BT108,CA108,CB108,S109,S110,BI108,BL108,BN108,BO108,0,Strike2,AO108,CC108,0,BL108,IF(OptControl=3,1,0),0,1),0)</f>
        <v>0</v>
      </c>
      <c r="CL108" s="51"/>
      <c r="CM108" s="779" t="str">
        <f t="shared" ca="1" si="323"/>
        <v/>
      </c>
      <c r="CN108" s="783" t="str">
        <f t="shared" ca="1" si="324"/>
        <v/>
      </c>
      <c r="CO108" s="780" t="str">
        <f t="shared" ca="1" si="325"/>
        <v/>
      </c>
      <c r="CP108" s="780" t="str">
        <f t="shared" ca="1" si="326"/>
        <v/>
      </c>
      <c r="CQ108" s="780" t="str">
        <f t="shared" ca="1" si="327"/>
        <v/>
      </c>
      <c r="CR108" s="780" t="str">
        <f t="shared" ca="1" si="328"/>
        <v/>
      </c>
      <c r="CS108" s="781" t="str">
        <f t="shared" ca="1" si="329"/>
        <v/>
      </c>
      <c r="CT108" s="782" t="str">
        <f t="shared" ca="1" si="330"/>
        <v/>
      </c>
      <c r="CU108" s="782" t="str">
        <f t="shared" ca="1" si="331"/>
        <v/>
      </c>
      <c r="CV108" s="155">
        <f ca="1">IF(BD108,_xll.EURO(CN108,Strike1,AO108,AO108,CT108,CM108,IF(OptControl=4,0,1),0),0)</f>
        <v>0</v>
      </c>
      <c r="CW108" s="155">
        <f ca="1">IF(BD108,_xll.EURO(CN108,Strike1,AO108,AO108,CT108,CM108,IF(OptControl=4,0,1),1)+IF(OR(VolSkewFlag=2,ABS(CO108)&lt;0.0001),0,IF(CO108&gt;0,-1,1)*CX108*100*Strike1/CN108^2*CQ108/10%),0)</f>
        <v>0</v>
      </c>
      <c r="CX108" s="155">
        <f ca="1">IF(BD108,_xll.EURO(CN108,Strike1,AO108,AO108,CT108,CM108,IF(OptControl=4,0,1),3)/100,0)</f>
        <v>0</v>
      </c>
      <c r="CY108" s="155">
        <f ca="1">IF(BD108,_xll.EURO(CN108,Strike1,AO108,AO108,CT108,CM108,IF(OptControl=4,0,1),0)-_xll.EURO(CN108,Strike1,AO108,AO108,CT108,CM108-1,IF(OptControl=4,0,1),0),0)</f>
        <v>0</v>
      </c>
      <c r="CZ108" s="155">
        <f ca="1">IF(BD108,_xll.EURO(CN108,Strike2,AO108,AO108,CU108,CM108,IF(OptControl=3,1,0),0),0)</f>
        <v>0</v>
      </c>
      <c r="DA108" s="155">
        <f ca="1">IF(BD108,_xll.EURO(CN108,Strike2,AO108,AO108,CU108,CM108,IF(OptControl=3,1,0),1)+IF(OR(VolSkewFlag=2,ABS(CP108)&lt;0.0001),0,IF(CP108&gt;0,-1,1)*DB108*100*Strike2/CN108^2*CR108/10%),0)</f>
        <v>0</v>
      </c>
      <c r="DB108" s="155">
        <f ca="1">IF(BD108,_xll.EURO(CN108,Strike2,AO108,AO108,CU108,CM108,IF(OptControl=3,1,0),3)/100,0)</f>
        <v>0</v>
      </c>
      <c r="DC108" s="156">
        <f ca="1">IF(BD108,_xll.EURO(CN108,Strike2,AO108,AO108,CU108,CM108,IF(OptControl=3,1,0),0)-_xll.EURO(CN108,Strike2,AO108,AO108,CU108,CM108-1,IF(OptControl=3,1,0),0),0)</f>
        <v>0</v>
      </c>
      <c r="DE108" s="651">
        <f t="shared" ca="1" si="332"/>
        <v>39600</v>
      </c>
      <c r="DF108" s="465">
        <v>1E-4</v>
      </c>
      <c r="DG108" s="649">
        <v>1E-4</v>
      </c>
      <c r="DH108" s="650">
        <f t="shared" ca="1" si="306"/>
        <v>39600</v>
      </c>
      <c r="DI108" s="465">
        <v>1E-4</v>
      </c>
      <c r="DJ108" s="649">
        <v>1E-4</v>
      </c>
      <c r="DK108" s="651">
        <f t="shared" ca="1" si="307"/>
        <v>39600</v>
      </c>
      <c r="DL108" s="652">
        <f t="shared" si="308"/>
        <v>5.0100000000000006E-2</v>
      </c>
      <c r="DM108" s="651">
        <f t="shared" ca="1" si="333"/>
        <v>39600</v>
      </c>
      <c r="DN108" s="563">
        <f t="shared" si="334"/>
        <v>-0.12990000000000002</v>
      </c>
      <c r="DO108" s="803">
        <v>-0.13</v>
      </c>
      <c r="DP108" s="650">
        <f t="shared" ca="1" si="309"/>
        <v>39600</v>
      </c>
      <c r="DQ108" s="653">
        <v>1E-4</v>
      </c>
      <c r="DR108" s="590">
        <v>1E-4</v>
      </c>
      <c r="DS108" s="650">
        <f t="shared" ca="1" si="310"/>
        <v>39600</v>
      </c>
      <c r="DT108" s="653">
        <v>1E-4</v>
      </c>
      <c r="DU108" s="590">
        <v>1E-4</v>
      </c>
      <c r="DV108" s="651">
        <f t="shared" ca="1" si="311"/>
        <v>39600</v>
      </c>
      <c r="DW108" s="590">
        <v>1E-4</v>
      </c>
      <c r="DX108" s="651">
        <f t="shared" ca="1" si="335"/>
        <v>39600</v>
      </c>
      <c r="DY108" s="590">
        <f t="shared" si="336"/>
        <v>1E-4</v>
      </c>
      <c r="DZ108" s="1"/>
      <c r="EA108" s="857"/>
      <c r="EB108" s="857"/>
      <c r="EC108" s="857"/>
      <c r="ED108" s="868" t="e">
        <f t="shared" ca="1" si="436"/>
        <v>#NAME?</v>
      </c>
      <c r="EE108" s="863" t="e">
        <f t="shared" ca="1" si="312"/>
        <v>#NAME?</v>
      </c>
      <c r="EF108" s="590" t="e">
        <f t="shared" ca="1" si="313"/>
        <v>#NAME?</v>
      </c>
      <c r="EG108" s="862" t="str">
        <f t="shared" ca="1" si="314"/>
        <v/>
      </c>
      <c r="EH108" s="114" t="str">
        <f t="shared" ca="1" si="315"/>
        <v/>
      </c>
      <c r="EI108" s="109" t="str">
        <f t="shared" ca="1" si="316"/>
        <v/>
      </c>
      <c r="EJ108" s="115">
        <f ca="1">IF(BD108,_xll.xASN(BP108,Strike1,AO108,EH108,0,BM108,0,BI108,BL108,IF(OptControl=4,0,1),0),0)</f>
        <v>0</v>
      </c>
      <c r="EK108" s="108">
        <f ca="1">IF(BD108,_xll.xASN(BP108,Strike2,AO108,EI108,0,BM108,0,BI108,BL108,IF(OptControl=3,1,0),0),0)</f>
        <v>0</v>
      </c>
      <c r="EP108" s="53"/>
      <c r="EQ108" s="1"/>
      <c r="ER108" s="103"/>
      <c r="ES108" s="103"/>
      <c r="ET108" s="1"/>
      <c r="EU108" s="667" t="s">
        <v>320</v>
      </c>
      <c r="EW108" s="445"/>
      <c r="EX108" s="36"/>
      <c r="EY108" s="104"/>
      <c r="EZ108" s="465"/>
      <c r="FA108" s="446"/>
      <c r="FB108" s="446"/>
      <c r="FC108" s="242"/>
      <c r="FD108" s="242"/>
      <c r="FE108" s="242"/>
      <c r="FF108" s="242"/>
      <c r="FG108" s="242"/>
      <c r="FH108" s="242"/>
      <c r="FI108" s="242"/>
      <c r="FJ108" s="242"/>
      <c r="FK108" s="242"/>
      <c r="FL108" s="242"/>
      <c r="FM108" s="242"/>
      <c r="FN108" s="657">
        <v>14</v>
      </c>
      <c r="FO108" s="450">
        <f t="shared" ca="1" si="433"/>
        <v>0.21096733342487639</v>
      </c>
      <c r="FP108" s="450">
        <f t="shared" ca="1" si="447"/>
        <v>0.21571576118322133</v>
      </c>
      <c r="FQ108" s="450">
        <f t="shared" ca="1" si="447"/>
        <v>0.22091888788449093</v>
      </c>
      <c r="FR108" s="450">
        <f t="shared" ca="1" si="447"/>
        <v>0.22690038216156996</v>
      </c>
      <c r="FS108" s="450">
        <f t="shared" ca="1" si="447"/>
        <v>0.23379538167376118</v>
      </c>
      <c r="FT108" s="450">
        <f t="shared" ca="1" si="447"/>
        <v>0.24176882909917513</v>
      </c>
      <c r="FU108" s="450">
        <f t="shared" ca="1" si="447"/>
        <v>0.25102372261352685</v>
      </c>
      <c r="FV108" s="450">
        <f t="shared" ca="1" si="447"/>
        <v>0.26181214476205972</v>
      </c>
      <c r="FW108" s="450">
        <f t="shared" ca="1" si="447"/>
        <v>0.27445017897309526</v>
      </c>
      <c r="FX108" s="450">
        <f t="shared" ca="1" si="447"/>
        <v>0.28933833972254747</v>
      </c>
      <c r="FY108" s="450">
        <f t="shared" ca="1" si="447"/>
        <v>0.30698993708749572</v>
      </c>
      <c r="FZ108" s="450">
        <f t="shared" ca="1" si="447"/>
        <v>0.32807104041698826</v>
      </c>
      <c r="GA108" s="450">
        <f t="shared" ca="1" si="447"/>
        <v>0.35345769061980287</v>
      </c>
      <c r="GB108" s="450">
        <f t="shared" ca="1" si="447"/>
        <v>0.38431924358580649</v>
      </c>
      <c r="GC108" s="450" t="str">
        <f t="shared" si="447"/>
        <v/>
      </c>
      <c r="GD108" s="450" t="str">
        <f t="shared" si="447"/>
        <v/>
      </c>
      <c r="GE108" s="450" t="str">
        <f t="shared" si="447"/>
        <v/>
      </c>
      <c r="GF108" s="450" t="str">
        <f t="shared" si="447"/>
        <v/>
      </c>
      <c r="GG108" s="450" t="str">
        <f t="shared" si="447"/>
        <v/>
      </c>
      <c r="GH108" s="450" t="str">
        <f t="shared" si="447"/>
        <v/>
      </c>
      <c r="GI108" s="450" t="str">
        <f t="shared" si="447"/>
        <v/>
      </c>
      <c r="GJ108" s="450" t="str">
        <f t="shared" si="447"/>
        <v/>
      </c>
      <c r="GK108" s="450" t="str">
        <f t="shared" si="447"/>
        <v/>
      </c>
      <c r="GL108" s="450" t="str">
        <f t="shared" si="447"/>
        <v/>
      </c>
      <c r="GM108" s="450" t="str">
        <f t="shared" si="447"/>
        <v/>
      </c>
      <c r="GN108" s="450" t="str">
        <f t="shared" si="447"/>
        <v/>
      </c>
      <c r="GO108" s="450" t="str">
        <f t="shared" si="447"/>
        <v/>
      </c>
      <c r="GP108" s="450" t="str">
        <f t="shared" si="447"/>
        <v/>
      </c>
      <c r="GQ108" s="450" t="str">
        <f t="shared" si="447"/>
        <v/>
      </c>
      <c r="GR108" s="450" t="str">
        <f t="shared" si="447"/>
        <v/>
      </c>
      <c r="GS108" s="450" t="str">
        <f t="shared" si="447"/>
        <v/>
      </c>
      <c r="GT108" s="450" t="str">
        <f t="shared" si="447"/>
        <v/>
      </c>
      <c r="GU108" s="450" t="str">
        <f t="shared" si="447"/>
        <v/>
      </c>
      <c r="GV108" s="450" t="str">
        <f t="shared" si="447"/>
        <v/>
      </c>
      <c r="GW108" s="450" t="str">
        <f t="shared" si="447"/>
        <v/>
      </c>
      <c r="GX108" s="450" t="str">
        <f t="shared" si="447"/>
        <v/>
      </c>
      <c r="GY108" s="450" t="str">
        <f t="shared" si="447"/>
        <v/>
      </c>
      <c r="GZ108" s="450" t="str">
        <f t="shared" si="447"/>
        <v/>
      </c>
      <c r="HA108" s="450" t="str">
        <f t="shared" si="447"/>
        <v/>
      </c>
      <c r="HB108" s="450" t="str">
        <f t="shared" si="447"/>
        <v/>
      </c>
      <c r="HC108" s="450" t="str">
        <f t="shared" si="447"/>
        <v/>
      </c>
      <c r="HD108" s="450" t="str">
        <f t="shared" si="447"/>
        <v/>
      </c>
      <c r="HE108" s="450" t="str">
        <f t="shared" si="447"/>
        <v/>
      </c>
      <c r="HF108" s="450" t="str">
        <f t="shared" si="447"/>
        <v/>
      </c>
      <c r="HG108" s="450" t="str">
        <f t="shared" si="447"/>
        <v/>
      </c>
      <c r="HH108" s="450" t="str">
        <f t="shared" si="447"/>
        <v/>
      </c>
      <c r="HI108" s="450" t="str">
        <f t="shared" si="447"/>
        <v/>
      </c>
      <c r="HJ108" s="450" t="str">
        <f t="shared" si="447"/>
        <v/>
      </c>
      <c r="HK108" s="450" t="str">
        <f t="shared" si="447"/>
        <v/>
      </c>
      <c r="HL108" s="450" t="str">
        <f t="shared" si="447"/>
        <v/>
      </c>
      <c r="HM108" s="450" t="str">
        <f t="shared" si="447"/>
        <v/>
      </c>
      <c r="HN108" s="450" t="str">
        <f t="shared" si="447"/>
        <v/>
      </c>
      <c r="HO108" s="450" t="str">
        <f t="shared" si="447"/>
        <v/>
      </c>
      <c r="HP108" s="450" t="str">
        <f t="shared" si="447"/>
        <v/>
      </c>
      <c r="HQ108" s="450" t="str">
        <f t="shared" si="447"/>
        <v/>
      </c>
      <c r="HR108" s="450" t="str">
        <f t="shared" si="447"/>
        <v/>
      </c>
      <c r="HS108" s="450" t="str">
        <f t="shared" si="447"/>
        <v/>
      </c>
      <c r="HT108" s="450" t="str">
        <f t="shared" si="447"/>
        <v/>
      </c>
      <c r="HU108" s="450" t="str">
        <f t="shared" si="447"/>
        <v/>
      </c>
      <c r="HV108" s="450" t="str">
        <f t="shared" si="447"/>
        <v/>
      </c>
      <c r="HW108" s="450" t="str">
        <f t="shared" si="447"/>
        <v/>
      </c>
      <c r="HX108" s="450" t="str">
        <f t="shared" si="447"/>
        <v/>
      </c>
      <c r="HY108" s="450" t="str">
        <f t="shared" si="447"/>
        <v/>
      </c>
      <c r="HZ108" s="450" t="str">
        <f t="shared" si="447"/>
        <v/>
      </c>
      <c r="IA108" s="450" t="str">
        <f t="shared" ref="IA108:IH111" si="448">IF($FN33&lt;IA$94,"",SQRT(IA33/IA$15))</f>
        <v/>
      </c>
      <c r="IB108" s="450" t="str">
        <f t="shared" si="448"/>
        <v/>
      </c>
      <c r="IC108" s="450" t="str">
        <f t="shared" si="448"/>
        <v/>
      </c>
      <c r="ID108" s="450" t="str">
        <f t="shared" si="448"/>
        <v/>
      </c>
      <c r="IE108" s="450" t="str">
        <f t="shared" si="448"/>
        <v/>
      </c>
      <c r="IF108" s="450" t="str">
        <f t="shared" si="448"/>
        <v/>
      </c>
      <c r="IG108" s="450" t="str">
        <f t="shared" si="448"/>
        <v/>
      </c>
      <c r="IH108" s="658" t="str">
        <f t="shared" si="448"/>
        <v/>
      </c>
      <c r="II108" s="242"/>
    </row>
    <row r="109" spans="8:243">
      <c r="H109" s="49" t="e">
        <f t="shared" ca="1" si="317"/>
        <v>#N/A</v>
      </c>
      <c r="I109" s="369">
        <f t="shared" si="318"/>
        <v>39722</v>
      </c>
      <c r="J109" s="367">
        <v>21.8266666666667</v>
      </c>
      <c r="K109" s="101" t="s">
        <v>267</v>
      </c>
      <c r="L109" s="382">
        <f t="shared" si="319"/>
        <v>21.826666666666657</v>
      </c>
      <c r="M109" s="163">
        <v>0.17194999999999999</v>
      </c>
      <c r="N109" s="372">
        <v>0</v>
      </c>
      <c r="O109" s="163">
        <f t="shared" si="272"/>
        <v>0.17194999999999999</v>
      </c>
      <c r="P109" s="367">
        <v>20.423279829509003</v>
      </c>
      <c r="Q109" s="101" t="s">
        <v>267</v>
      </c>
      <c r="R109" s="367">
        <f t="shared" ca="1" si="417"/>
        <v>20.423279829508996</v>
      </c>
      <c r="S109" s="814">
        <f t="shared" si="163"/>
        <v>0.36064748355669463</v>
      </c>
      <c r="T109" s="813">
        <f t="shared" si="418"/>
        <v>0.99999339275915211</v>
      </c>
      <c r="U109" s="532">
        <f t="shared" si="419"/>
        <v>0.99999999999988609</v>
      </c>
      <c r="V109" s="379">
        <v>0</v>
      </c>
      <c r="W109" s="424">
        <f t="shared" si="273"/>
        <v>21.849855072463747</v>
      </c>
      <c r="X109" s="405">
        <f t="shared" si="274"/>
        <v>21.849855072463757</v>
      </c>
      <c r="Y109" s="313">
        <f t="shared" si="275"/>
        <v>20.608255072463749</v>
      </c>
      <c r="Z109" s="313">
        <f t="shared" ca="1" si="276"/>
        <v>20.608255072463756</v>
      </c>
      <c r="AA109" s="419">
        <f t="shared" si="277"/>
        <v>1.2416</v>
      </c>
      <c r="AB109" s="423">
        <f t="shared" ca="1" si="278"/>
        <v>1.2416</v>
      </c>
      <c r="AC109" s="221">
        <v>39711</v>
      </c>
      <c r="AD109" s="221">
        <v>39707</v>
      </c>
      <c r="AE109" s="221">
        <v>39706</v>
      </c>
      <c r="AF109" s="221">
        <v>39702</v>
      </c>
      <c r="AG109" s="241" t="s">
        <v>497</v>
      </c>
      <c r="AH109" s="239" t="s">
        <v>497</v>
      </c>
      <c r="AI109" s="141">
        <v>23</v>
      </c>
      <c r="AJ109" s="41">
        <v>14</v>
      </c>
      <c r="AK109" s="41">
        <v>9</v>
      </c>
      <c r="AL109" s="285">
        <v>23</v>
      </c>
      <c r="AM109" s="41">
        <v>10</v>
      </c>
      <c r="AN109" s="142">
        <v>13</v>
      </c>
      <c r="AO109" s="364">
        <v>5.6988821702149001E-2</v>
      </c>
      <c r="AP109" s="145">
        <f t="shared" ca="1" si="320"/>
        <v>0.65382163962074835</v>
      </c>
      <c r="AQ109" s="364">
        <v>4.9215191235604E-2</v>
      </c>
      <c r="AR109" s="145">
        <f t="shared" ca="1" si="420"/>
        <v>0.69651413636442272</v>
      </c>
      <c r="AS109" s="264">
        <f t="shared" si="279"/>
        <v>0.17118478260869563</v>
      </c>
      <c r="AT109" s="149">
        <f t="shared" si="321"/>
        <v>0.17194999999999999</v>
      </c>
      <c r="AU109" s="149">
        <f t="shared" si="280"/>
        <v>0.1710891304347826</v>
      </c>
      <c r="AV109" s="263">
        <f t="shared" ca="1" si="430"/>
        <v>0.16854347080196933</v>
      </c>
      <c r="AW109" s="150" t="str">
        <f t="shared" ca="1" si="281"/>
        <v/>
      </c>
      <c r="AX109" s="149">
        <f t="shared" ca="1" si="421"/>
        <v>1.8556602697095179E-2</v>
      </c>
      <c r="AY109" s="149">
        <f t="shared" ca="1" si="422"/>
        <v>8.3297697812962281E-3</v>
      </c>
      <c r="AZ109" s="149">
        <f t="shared" ca="1" si="423"/>
        <v>5.4088325478405001E-3</v>
      </c>
      <c r="BA109" s="149">
        <f t="shared" ca="1" si="424"/>
        <v>1.0000000000000318E-4</v>
      </c>
      <c r="BB109" s="149">
        <f t="shared" ca="1" si="425"/>
        <v>1.0000000000000318E-4</v>
      </c>
      <c r="BC109" s="149">
        <f t="shared" ca="1" si="426"/>
        <v>1.0000000000000318E-4</v>
      </c>
      <c r="BD109" s="143">
        <f t="shared" ca="1" si="282"/>
        <v>0</v>
      </c>
      <c r="BE109" s="144">
        <f t="shared" ca="1" si="283"/>
        <v>0</v>
      </c>
      <c r="BF109" s="40">
        <f t="shared" si="284"/>
        <v>2008</v>
      </c>
      <c r="BG109" s="139">
        <f t="shared" si="285"/>
        <v>10</v>
      </c>
      <c r="BH109" s="140">
        <f t="shared" ca="1" si="286"/>
        <v>2717</v>
      </c>
      <c r="BI109" s="304">
        <f t="shared" ca="1" si="440"/>
        <v>7.4798083504449009</v>
      </c>
      <c r="BJ109" s="42">
        <f t="shared" ca="1" si="288"/>
        <v>7.5298038865577475</v>
      </c>
      <c r="BK109" s="42">
        <f t="shared" ca="1" si="289"/>
        <v>7.5325417373448795</v>
      </c>
      <c r="BL109" s="42">
        <f t="shared" ca="1" si="441"/>
        <v>7.5619438740588638</v>
      </c>
      <c r="BM109" s="285">
        <f t="shared" si="442"/>
        <v>23</v>
      </c>
      <c r="BN109" s="41">
        <f t="shared" si="443"/>
        <v>14</v>
      </c>
      <c r="BO109" s="41">
        <f t="shared" si="444"/>
        <v>9</v>
      </c>
      <c r="BP109" s="297" t="str">
        <f t="shared" ca="1" si="293"/>
        <v/>
      </c>
      <c r="BQ109" s="297" t="str">
        <f t="shared" ca="1" si="294"/>
        <v/>
      </c>
      <c r="BR109" s="299" t="str">
        <f t="shared" ca="1" si="295"/>
        <v/>
      </c>
      <c r="BS109" s="153" t="str">
        <f t="shared" ca="1" si="296"/>
        <v/>
      </c>
      <c r="BT109" s="153" t="str">
        <f t="shared" ca="1" si="297"/>
        <v/>
      </c>
      <c r="BU109" s="300" t="str">
        <f t="shared" ca="1" si="298"/>
        <v/>
      </c>
      <c r="BV109" s="301" t="str">
        <f t="shared" ca="1" si="299"/>
        <v/>
      </c>
      <c r="BW109" s="300" t="str">
        <f t="shared" ca="1" si="300"/>
        <v/>
      </c>
      <c r="BX109" s="301" t="str">
        <f t="shared" ca="1" si="301"/>
        <v/>
      </c>
      <c r="BY109" s="146" t="str">
        <f t="shared" ca="1" si="302"/>
        <v/>
      </c>
      <c r="BZ109" s="146" t="str">
        <f t="shared" ca="1" si="303"/>
        <v/>
      </c>
      <c r="CA109" s="146" t="str">
        <f t="shared" ca="1" si="304"/>
        <v/>
      </c>
      <c r="CB109" s="146" t="str">
        <f t="shared" ca="1" si="305"/>
        <v/>
      </c>
      <c r="CC109" s="302">
        <v>1</v>
      </c>
      <c r="CD109" s="154">
        <f ca="1">IF(BD109,_xll.xCrudeAPO(BS109,BT109,BY109,BZ109,S110,S111,BI109,BL109,BN109,BO109,0,Strike1,AO109,CC109,0,BL109,IF(OptControl=4,0,1),0,1),0)</f>
        <v>0</v>
      </c>
      <c r="CE109" s="155">
        <f ca="1">IF(BD109,_xll.xCrudeAPO(BS109,BT109,BY109,BZ109,S110,S111,BI109,BL109,BN109,BO109,0,Strike1,AO109,CC109,0,BL109,IF(OptControl=4,0,1),1,1)+_xll.xCrudeAPO(BS109,BT109,BY109,BZ109,S110,S111,BI109,BL109,BN109,BO109,0,Strike1,AO109,CC109,0,BL109,IF(OptControl=4,0,1),1,2)+IF(OR(VolSkewFlag=2,ABS(BQ109)&lt;0.0001),0,IF(BQ109&gt;0,-1,1)*CF109*Strike1/BP109^2*BW109/10%),0)</f>
        <v>0</v>
      </c>
      <c r="CF109" s="155">
        <f ca="1">IF(BD109,(_xll.xCrudeAPO(BS109,BT109,BY109,BZ109,S110,S111,BI109,BL109,BN109,BO109,0,Strike1,AO109,CC109,0,BL109,IF(OptControl=4,0,1),3,1)+_xll.xCrudeAPO(BS109,BT109,BY109,BZ109,S110,S111,BI109,BL109,BN109,BO109,0,Strike1,AO109,CC109,0,BL109,IF(OptControl=4,0,1),3,2))/100,0)</f>
        <v>0</v>
      </c>
      <c r="CG109" s="155">
        <f ca="1">IF(BD109,_xll.xCrudeAPO(BS109,BT109,BY109,BZ109,S110,S111,BI109-DaysForThetaCalculation/365.25,BL109-DaysForThetaCalculation/365.25,BN109,BO109,0,Strike1,AO109,CC109,0,BL109,IF(OptControl=4,0,1),0,1)-_xll.xCrudeAPO(BS109,BT109,BY109,BZ109,S110,S111,BI109,BL109,BN109,BO109,0,Strike1,AO109,CC109,0,BL109,IF(OptControl=4,0,1),0,1),0)</f>
        <v>0</v>
      </c>
      <c r="CH109" s="303">
        <f ca="1">IF(BD109,_xll.xCrudeAPO(BS109,BT109,CA109,CB109,S110,S111,BI109,BL109,BN109,BO109,0,Strike2,AO109,CC109,0,BL109,IF(OptControl=3,1,0),0,1),0)</f>
        <v>0</v>
      </c>
      <c r="CI109" s="155">
        <f ca="1">IF(BD109,_xll.xCrudeAPO(BS109,BT109,CA109,CB109,S110,S111,BI109,BL109,BN109,BO109,0,Strike2,AO109,CC109,0,BL109,IF(OptControl=3,1,0),1,1)+_xll.xCrudeAPO(BS109,BT109,CA109,CB109,S110,S111,BI109,BL109,BN109,BO109,0,Strike2,AO109,CC109,0,BL109,IF(OptControl=3,1,0),1,2)+IF(OR(VolSkewFlag=2,ABS(BR109)&lt;0.0001),0,IF(BR109&gt;0,-1,1)*CJ109*Strike2/BP109^2*BX109/10%),0)</f>
        <v>0</v>
      </c>
      <c r="CJ109" s="155">
        <f ca="1">IF(BD109,(_xll.xCrudeAPO(BS109,BT109,CA109,CB109,S110,S111,BI109,BL109,BN109,BO109,0,Strike2,AO109,CC109,0,BL109,IF(OptControl=3,1,0),3,1)+_xll.xCrudeAPO(BS109,BT109,CA109,CB109,S110,S111,BI109,BL109,BN109,BO109,0,Strike2,AO109,CC109,0,BL109,IF(OptControl=3,1,0),3,2))/100,0)</f>
        <v>0</v>
      </c>
      <c r="CK109" s="156">
        <f ca="1">IF(BD109,_xll.xCrudeAPO(BS109,BT109,CA109,CB109,S110,S111,BI109-DaysForThetaCalculation/365.25,BL109-DaysForThetaCalculation/365.25,BN109,BO109,0,Strike2,AO109,CC109,0,BL109,IF(OptControl=3,1,0),0,1)-_xll.xCrudeAPO(BS109,BT109,CA109,CB109,S110,S111,BI109,BL109,BN109,BO109,0,Strike2,AO109,CC109,0,BL109,IF(OptControl=3,1,0),0,1),0)</f>
        <v>0</v>
      </c>
      <c r="CL109" s="51"/>
      <c r="CM109" s="779" t="str">
        <f t="shared" ca="1" si="323"/>
        <v/>
      </c>
      <c r="CN109" s="783" t="str">
        <f t="shared" ca="1" si="324"/>
        <v/>
      </c>
      <c r="CO109" s="780" t="str">
        <f t="shared" ca="1" si="325"/>
        <v/>
      </c>
      <c r="CP109" s="780" t="str">
        <f t="shared" ca="1" si="326"/>
        <v/>
      </c>
      <c r="CQ109" s="780" t="str">
        <f t="shared" ca="1" si="327"/>
        <v/>
      </c>
      <c r="CR109" s="780" t="str">
        <f t="shared" ca="1" si="328"/>
        <v/>
      </c>
      <c r="CS109" s="781" t="str">
        <f t="shared" ca="1" si="329"/>
        <v/>
      </c>
      <c r="CT109" s="782" t="str">
        <f t="shared" ca="1" si="330"/>
        <v/>
      </c>
      <c r="CU109" s="782" t="str">
        <f t="shared" ca="1" si="331"/>
        <v/>
      </c>
      <c r="CV109" s="155">
        <f ca="1">IF(BD109,_xll.EURO(CN109,Strike1,AO109,AO109,CT109,CM109,IF(OptControl=4,0,1),0),0)</f>
        <v>0</v>
      </c>
      <c r="CW109" s="155">
        <f ca="1">IF(BD109,_xll.EURO(CN109,Strike1,AO109,AO109,CT109,CM109,IF(OptControl=4,0,1),1)+IF(OR(VolSkewFlag=2,ABS(CO109)&lt;0.0001),0,IF(CO109&gt;0,-1,1)*CX109*100*Strike1/CN109^2*CQ109/10%),0)</f>
        <v>0</v>
      </c>
      <c r="CX109" s="155">
        <f ca="1">IF(BD109,_xll.EURO(CN109,Strike1,AO109,AO109,CT109,CM109,IF(OptControl=4,0,1),3)/100,0)</f>
        <v>0</v>
      </c>
      <c r="CY109" s="155">
        <f ca="1">IF(BD109,_xll.EURO(CN109,Strike1,AO109,AO109,CT109,CM109,IF(OptControl=4,0,1),0)-_xll.EURO(CN109,Strike1,AO109,AO109,CT109,CM109-1,IF(OptControl=4,0,1),0),0)</f>
        <v>0</v>
      </c>
      <c r="CZ109" s="155">
        <f ca="1">IF(BD109,_xll.EURO(CN109,Strike2,AO109,AO109,CU109,CM109,IF(OptControl=3,1,0),0),0)</f>
        <v>0</v>
      </c>
      <c r="DA109" s="155">
        <f ca="1">IF(BD109,_xll.EURO(CN109,Strike2,AO109,AO109,CU109,CM109,IF(OptControl=3,1,0),1)+IF(OR(VolSkewFlag=2,ABS(CP109)&lt;0.0001),0,IF(CP109&gt;0,-1,1)*DB109*100*Strike2/CN109^2*CR109/10%),0)</f>
        <v>0</v>
      </c>
      <c r="DB109" s="155">
        <f ca="1">IF(BD109,_xll.EURO(CN109,Strike2,AO109,AO109,CU109,CM109,IF(OptControl=3,1,0),3)/100,0)</f>
        <v>0</v>
      </c>
      <c r="DC109" s="156">
        <f ca="1">IF(BD109,_xll.EURO(CN109,Strike2,AO109,AO109,CU109,CM109,IF(OptControl=3,1,0),0)-_xll.EURO(CN109,Strike2,AO109,AO109,CU109,CM109-1,IF(OptControl=3,1,0),0),0)</f>
        <v>0</v>
      </c>
      <c r="DE109" s="651">
        <f t="shared" ca="1" si="332"/>
        <v>39630</v>
      </c>
      <c r="DF109" s="465">
        <v>1E-4</v>
      </c>
      <c r="DG109" s="649">
        <v>1E-4</v>
      </c>
      <c r="DH109" s="650">
        <f t="shared" ca="1" si="306"/>
        <v>39630</v>
      </c>
      <c r="DI109" s="465">
        <v>1E-4</v>
      </c>
      <c r="DJ109" s="649">
        <v>1E-4</v>
      </c>
      <c r="DK109" s="651">
        <f t="shared" ca="1" si="307"/>
        <v>39630</v>
      </c>
      <c r="DL109" s="652">
        <f t="shared" si="308"/>
        <v>5.0100000000000006E-2</v>
      </c>
      <c r="DM109" s="651">
        <f t="shared" ca="1" si="333"/>
        <v>39630</v>
      </c>
      <c r="DN109" s="563">
        <f t="shared" si="334"/>
        <v>-0.12990000000000002</v>
      </c>
      <c r="DO109" s="803">
        <v>-0.13</v>
      </c>
      <c r="DP109" s="650">
        <f t="shared" ca="1" si="309"/>
        <v>39630</v>
      </c>
      <c r="DQ109" s="653">
        <v>1E-4</v>
      </c>
      <c r="DR109" s="590">
        <v>1E-4</v>
      </c>
      <c r="DS109" s="650">
        <f t="shared" ca="1" si="310"/>
        <v>39630</v>
      </c>
      <c r="DT109" s="653">
        <v>1E-4</v>
      </c>
      <c r="DU109" s="590">
        <v>1E-4</v>
      </c>
      <c r="DV109" s="651">
        <f t="shared" ca="1" si="311"/>
        <v>39630</v>
      </c>
      <c r="DW109" s="590">
        <v>1E-4</v>
      </c>
      <c r="DX109" s="651">
        <f t="shared" ca="1" si="335"/>
        <v>39630</v>
      </c>
      <c r="DY109" s="590">
        <f t="shared" si="336"/>
        <v>1E-4</v>
      </c>
      <c r="DZ109" s="1"/>
      <c r="EA109" s="857"/>
      <c r="EB109" s="857"/>
      <c r="EC109" s="857"/>
      <c r="ED109" s="868" t="e">
        <f t="shared" ca="1" si="436"/>
        <v>#NAME?</v>
      </c>
      <c r="EE109" s="863" t="e">
        <f t="shared" ca="1" si="312"/>
        <v>#NAME?</v>
      </c>
      <c r="EF109" s="590" t="e">
        <f t="shared" ca="1" si="313"/>
        <v>#NAME?</v>
      </c>
      <c r="EG109" s="862" t="str">
        <f t="shared" ca="1" si="314"/>
        <v/>
      </c>
      <c r="EH109" s="114" t="str">
        <f t="shared" ca="1" si="315"/>
        <v/>
      </c>
      <c r="EI109" s="109" t="str">
        <f t="shared" ca="1" si="316"/>
        <v/>
      </c>
      <c r="EJ109" s="115">
        <f ca="1">IF(BD109,_xll.xASN(BP109,Strike1,AO109,EH109,0,BM109,0,BI109,BL109,IF(OptControl=4,0,1),0),0)</f>
        <v>0</v>
      </c>
      <c r="EK109" s="108">
        <f ca="1">IF(BD109,_xll.xASN(BP109,Strike2,AO109,EI109,0,BM109,0,BI109,BL109,IF(OptControl=3,1,0),0),0)</f>
        <v>0</v>
      </c>
      <c r="EP109" s="53"/>
      <c r="EQ109" s="1"/>
      <c r="ER109" s="103"/>
      <c r="ES109" s="103"/>
      <c r="ET109" s="1"/>
      <c r="EU109" s="667" t="s">
        <v>321</v>
      </c>
      <c r="EW109" s="445"/>
      <c r="EX109" s="36"/>
      <c r="EY109" s="104"/>
      <c r="EZ109" s="465"/>
      <c r="FA109" s="446"/>
      <c r="FB109" s="446"/>
      <c r="FC109" s="242"/>
      <c r="FD109" s="242"/>
      <c r="FE109" s="242"/>
      <c r="FF109" s="242"/>
      <c r="FG109" s="242"/>
      <c r="FH109" s="242"/>
      <c r="FI109" s="242"/>
      <c r="FJ109" s="242"/>
      <c r="FK109" s="242"/>
      <c r="FL109" s="242"/>
      <c r="FM109" s="242"/>
      <c r="FN109" s="657">
        <v>15</v>
      </c>
      <c r="FO109" s="450">
        <f t="shared" ca="1" si="433"/>
        <v>0.2067389201492788</v>
      </c>
      <c r="FP109" s="450">
        <f t="shared" ref="FP109:IA112" ca="1" si="449">IF($FN34&lt;FP$94,"",SQRT(FP34/FP$15))</f>
        <v>0.21090630570709459</v>
      </c>
      <c r="FQ109" s="450">
        <f t="shared" ca="1" si="449"/>
        <v>0.21543920251503768</v>
      </c>
      <c r="FR109" s="450">
        <f t="shared" ca="1" si="449"/>
        <v>0.22063813088961848</v>
      </c>
      <c r="FS109" s="450">
        <f t="shared" ca="1" si="449"/>
        <v>0.22661454385029303</v>
      </c>
      <c r="FT109" s="450">
        <f t="shared" ca="1" si="449"/>
        <v>0.23350343483227845</v>
      </c>
      <c r="FU109" s="450">
        <f t="shared" ca="1" si="449"/>
        <v>0.24146957093359636</v>
      </c>
      <c r="FV109" s="450">
        <f t="shared" ca="1" si="449"/>
        <v>0.25071573478105968</v>
      </c>
      <c r="FW109" s="450">
        <f t="shared" ca="1" si="449"/>
        <v>0.26149374190833075</v>
      </c>
      <c r="FX109" s="450">
        <f t="shared" ca="1" si="449"/>
        <v>0.27411934175168329</v>
      </c>
      <c r="FY109" s="450">
        <f t="shared" ca="1" si="449"/>
        <v>0.28899262660054542</v>
      </c>
      <c r="FZ109" s="450">
        <f t="shared" ca="1" si="449"/>
        <v>0.30662636675591343</v>
      </c>
      <c r="GA109" s="450">
        <f t="shared" ca="1" si="449"/>
        <v>0.32768593286988845</v>
      </c>
      <c r="GB109" s="450">
        <f t="shared" ca="1" si="449"/>
        <v>0.35304644918866929</v>
      </c>
      <c r="GC109" s="450">
        <f t="shared" ca="1" si="449"/>
        <v>0.38387605114994844</v>
      </c>
      <c r="GD109" s="450" t="str">
        <f t="shared" si="449"/>
        <v/>
      </c>
      <c r="GE109" s="450" t="str">
        <f t="shared" si="449"/>
        <v/>
      </c>
      <c r="GF109" s="450" t="str">
        <f t="shared" si="449"/>
        <v/>
      </c>
      <c r="GG109" s="450" t="str">
        <f t="shared" si="449"/>
        <v/>
      </c>
      <c r="GH109" s="450" t="str">
        <f t="shared" si="449"/>
        <v/>
      </c>
      <c r="GI109" s="450" t="str">
        <f t="shared" si="449"/>
        <v/>
      </c>
      <c r="GJ109" s="450" t="str">
        <f t="shared" si="449"/>
        <v/>
      </c>
      <c r="GK109" s="450" t="str">
        <f t="shared" si="449"/>
        <v/>
      </c>
      <c r="GL109" s="450" t="str">
        <f t="shared" si="449"/>
        <v/>
      </c>
      <c r="GM109" s="450" t="str">
        <f t="shared" si="449"/>
        <v/>
      </c>
      <c r="GN109" s="450" t="str">
        <f t="shared" si="449"/>
        <v/>
      </c>
      <c r="GO109" s="450" t="str">
        <f t="shared" si="449"/>
        <v/>
      </c>
      <c r="GP109" s="450" t="str">
        <f t="shared" si="449"/>
        <v/>
      </c>
      <c r="GQ109" s="450" t="str">
        <f t="shared" si="449"/>
        <v/>
      </c>
      <c r="GR109" s="450" t="str">
        <f t="shared" si="449"/>
        <v/>
      </c>
      <c r="GS109" s="450" t="str">
        <f t="shared" si="449"/>
        <v/>
      </c>
      <c r="GT109" s="450" t="str">
        <f t="shared" si="449"/>
        <v/>
      </c>
      <c r="GU109" s="450" t="str">
        <f t="shared" si="449"/>
        <v/>
      </c>
      <c r="GV109" s="450" t="str">
        <f t="shared" si="449"/>
        <v/>
      </c>
      <c r="GW109" s="450" t="str">
        <f t="shared" si="449"/>
        <v/>
      </c>
      <c r="GX109" s="450" t="str">
        <f t="shared" si="449"/>
        <v/>
      </c>
      <c r="GY109" s="450" t="str">
        <f t="shared" si="449"/>
        <v/>
      </c>
      <c r="GZ109" s="450" t="str">
        <f t="shared" si="449"/>
        <v/>
      </c>
      <c r="HA109" s="450" t="str">
        <f t="shared" si="449"/>
        <v/>
      </c>
      <c r="HB109" s="450" t="str">
        <f t="shared" si="449"/>
        <v/>
      </c>
      <c r="HC109" s="450" t="str">
        <f t="shared" si="449"/>
        <v/>
      </c>
      <c r="HD109" s="450" t="str">
        <f t="shared" si="449"/>
        <v/>
      </c>
      <c r="HE109" s="450" t="str">
        <f t="shared" si="449"/>
        <v/>
      </c>
      <c r="HF109" s="450" t="str">
        <f t="shared" si="449"/>
        <v/>
      </c>
      <c r="HG109" s="450" t="str">
        <f t="shared" si="449"/>
        <v/>
      </c>
      <c r="HH109" s="450" t="str">
        <f t="shared" si="449"/>
        <v/>
      </c>
      <c r="HI109" s="450" t="str">
        <f t="shared" si="449"/>
        <v/>
      </c>
      <c r="HJ109" s="450" t="str">
        <f t="shared" si="449"/>
        <v/>
      </c>
      <c r="HK109" s="450" t="str">
        <f t="shared" si="449"/>
        <v/>
      </c>
      <c r="HL109" s="450" t="str">
        <f t="shared" si="449"/>
        <v/>
      </c>
      <c r="HM109" s="450" t="str">
        <f t="shared" si="449"/>
        <v/>
      </c>
      <c r="HN109" s="450" t="str">
        <f t="shared" si="449"/>
        <v/>
      </c>
      <c r="HO109" s="450" t="str">
        <f t="shared" si="449"/>
        <v/>
      </c>
      <c r="HP109" s="450" t="str">
        <f t="shared" si="449"/>
        <v/>
      </c>
      <c r="HQ109" s="450" t="str">
        <f t="shared" si="449"/>
        <v/>
      </c>
      <c r="HR109" s="450" t="str">
        <f t="shared" si="449"/>
        <v/>
      </c>
      <c r="HS109" s="450" t="str">
        <f t="shared" si="449"/>
        <v/>
      </c>
      <c r="HT109" s="450" t="str">
        <f t="shared" si="449"/>
        <v/>
      </c>
      <c r="HU109" s="450" t="str">
        <f t="shared" si="449"/>
        <v/>
      </c>
      <c r="HV109" s="450" t="str">
        <f t="shared" si="449"/>
        <v/>
      </c>
      <c r="HW109" s="450" t="str">
        <f t="shared" si="449"/>
        <v/>
      </c>
      <c r="HX109" s="450" t="str">
        <f t="shared" si="449"/>
        <v/>
      </c>
      <c r="HY109" s="450" t="str">
        <f t="shared" si="449"/>
        <v/>
      </c>
      <c r="HZ109" s="450" t="str">
        <f t="shared" si="449"/>
        <v/>
      </c>
      <c r="IA109" s="450" t="str">
        <f t="shared" si="449"/>
        <v/>
      </c>
      <c r="IB109" s="450" t="str">
        <f t="shared" si="448"/>
        <v/>
      </c>
      <c r="IC109" s="450" t="str">
        <f t="shared" si="448"/>
        <v/>
      </c>
      <c r="ID109" s="450" t="str">
        <f t="shared" si="448"/>
        <v/>
      </c>
      <c r="IE109" s="450" t="str">
        <f t="shared" si="448"/>
        <v/>
      </c>
      <c r="IF109" s="450" t="str">
        <f t="shared" si="448"/>
        <v/>
      </c>
      <c r="IG109" s="450" t="str">
        <f t="shared" si="448"/>
        <v/>
      </c>
      <c r="IH109" s="658" t="str">
        <f t="shared" si="448"/>
        <v/>
      </c>
      <c r="II109" s="242"/>
    </row>
    <row r="110" spans="8:243">
      <c r="H110" s="49" t="e">
        <f t="shared" ca="1" si="317"/>
        <v>#N/A</v>
      </c>
      <c r="I110" s="369">
        <f t="shared" si="318"/>
        <v>39753</v>
      </c>
      <c r="J110" s="367">
        <v>21.843333333333298</v>
      </c>
      <c r="K110" s="101" t="s">
        <v>267</v>
      </c>
      <c r="L110" s="382">
        <f t="shared" si="319"/>
        <v>21.843333333333323</v>
      </c>
      <c r="M110" s="163">
        <v>0.1714</v>
      </c>
      <c r="N110" s="372">
        <v>0</v>
      </c>
      <c r="O110" s="163">
        <f t="shared" si="272"/>
        <v>0.1714</v>
      </c>
      <c r="P110" s="367">
        <v>20.588811253186901</v>
      </c>
      <c r="Q110" s="101" t="s">
        <v>267</v>
      </c>
      <c r="R110" s="367">
        <f t="shared" ca="1" si="417"/>
        <v>20.588811253186925</v>
      </c>
      <c r="S110" s="814">
        <f t="shared" si="163"/>
        <v>0.36044100872112766</v>
      </c>
      <c r="T110" s="813">
        <f t="shared" si="418"/>
        <v>0.99999405348520998</v>
      </c>
      <c r="U110" s="532">
        <f t="shared" si="419"/>
        <v>0.99999999999991451</v>
      </c>
      <c r="V110" s="379">
        <v>0</v>
      </c>
      <c r="W110" s="424">
        <f t="shared" si="273"/>
        <v>21.865000000000009</v>
      </c>
      <c r="X110" s="405">
        <f t="shared" si="274"/>
        <v>21.864999999999988</v>
      </c>
      <c r="Y110" s="313">
        <f t="shared" si="275"/>
        <v>20.623400000000011</v>
      </c>
      <c r="Z110" s="313">
        <f t="shared" ca="1" si="276"/>
        <v>20.62339999999999</v>
      </c>
      <c r="AA110" s="419">
        <f t="shared" si="277"/>
        <v>1.2416</v>
      </c>
      <c r="AB110" s="423">
        <f t="shared" ca="1" si="278"/>
        <v>1.2416</v>
      </c>
      <c r="AC110" s="221">
        <v>39741</v>
      </c>
      <c r="AD110" s="221">
        <v>39737</v>
      </c>
      <c r="AE110" s="221">
        <v>39736</v>
      </c>
      <c r="AF110" s="221">
        <v>39732</v>
      </c>
      <c r="AG110" s="241" t="s">
        <v>497</v>
      </c>
      <c r="AH110" s="239" t="s">
        <v>497</v>
      </c>
      <c r="AI110" s="141">
        <v>20</v>
      </c>
      <c r="AJ110" s="41">
        <v>14</v>
      </c>
      <c r="AK110" s="41">
        <v>6</v>
      </c>
      <c r="AL110" s="285">
        <v>20</v>
      </c>
      <c r="AM110" s="41">
        <v>10</v>
      </c>
      <c r="AN110" s="142">
        <v>10</v>
      </c>
      <c r="AO110" s="364">
        <v>5.7066230411985802E-2</v>
      </c>
      <c r="AP110" s="145">
        <f t="shared" ca="1" si="320"/>
        <v>0.6504366583058192</v>
      </c>
      <c r="AQ110" s="364">
        <v>4.9235998534478104E-2</v>
      </c>
      <c r="AR110" s="145">
        <f t="shared" ca="1" si="420"/>
        <v>0.69363228991933024</v>
      </c>
      <c r="AS110" s="264">
        <f t="shared" si="279"/>
        <v>0.170655</v>
      </c>
      <c r="AT110" s="149">
        <f t="shared" si="321"/>
        <v>0.1714</v>
      </c>
      <c r="AU110" s="149">
        <f t="shared" si="280"/>
        <v>0.17052499999999998</v>
      </c>
      <c r="AV110" s="263">
        <f t="shared" ca="1" si="430"/>
        <v>0.16813042908412754</v>
      </c>
      <c r="AW110" s="150" t="str">
        <f t="shared" ca="1" si="281"/>
        <v/>
      </c>
      <c r="AX110" s="149">
        <f t="shared" ca="1" si="421"/>
        <v>1.8295915576275329E-2</v>
      </c>
      <c r="AY110" s="149">
        <f t="shared" ca="1" si="422"/>
        <v>8.1864488578940377E-3</v>
      </c>
      <c r="AZ110" s="149">
        <f t="shared" ca="1" si="423"/>
        <v>5.3443705700478147E-3</v>
      </c>
      <c r="BA110" s="149">
        <f t="shared" ca="1" si="424"/>
        <v>1.0000000000000322E-4</v>
      </c>
      <c r="BB110" s="149">
        <f t="shared" ca="1" si="425"/>
        <v>1.0000000000000322E-4</v>
      </c>
      <c r="BC110" s="149">
        <f t="shared" ca="1" si="426"/>
        <v>1.0000000000000322E-4</v>
      </c>
      <c r="BD110" s="143">
        <f t="shared" ca="1" si="282"/>
        <v>0</v>
      </c>
      <c r="BE110" s="144">
        <f t="shared" ca="1" si="283"/>
        <v>0</v>
      </c>
      <c r="BF110" s="40">
        <f t="shared" si="284"/>
        <v>2008</v>
      </c>
      <c r="BG110" s="139">
        <f t="shared" si="285"/>
        <v>11</v>
      </c>
      <c r="BH110" s="140">
        <f t="shared" ca="1" si="286"/>
        <v>2747</v>
      </c>
      <c r="BI110" s="304">
        <f t="shared" ca="1" si="440"/>
        <v>7.5646817248459959</v>
      </c>
      <c r="BJ110" s="42">
        <f t="shared" ca="1" si="288"/>
        <v>7.6202600958247775</v>
      </c>
      <c r="BK110" s="42">
        <f t="shared" ca="1" si="289"/>
        <v>7.6229979466119095</v>
      </c>
      <c r="BL110" s="42">
        <f t="shared" ca="1" si="441"/>
        <v>7.6440793976728267</v>
      </c>
      <c r="BM110" s="285">
        <f t="shared" si="442"/>
        <v>20</v>
      </c>
      <c r="BN110" s="41">
        <f t="shared" si="443"/>
        <v>14</v>
      </c>
      <c r="BO110" s="41">
        <f t="shared" si="444"/>
        <v>6</v>
      </c>
      <c r="BP110" s="297" t="str">
        <f t="shared" ca="1" si="293"/>
        <v/>
      </c>
      <c r="BQ110" s="297" t="str">
        <f t="shared" ca="1" si="294"/>
        <v/>
      </c>
      <c r="BR110" s="299" t="str">
        <f t="shared" ca="1" si="295"/>
        <v/>
      </c>
      <c r="BS110" s="153" t="str">
        <f t="shared" ca="1" si="296"/>
        <v/>
      </c>
      <c r="BT110" s="153" t="str">
        <f t="shared" ca="1" si="297"/>
        <v/>
      </c>
      <c r="BU110" s="300" t="str">
        <f t="shared" ca="1" si="298"/>
        <v/>
      </c>
      <c r="BV110" s="301" t="str">
        <f t="shared" ca="1" si="299"/>
        <v/>
      </c>
      <c r="BW110" s="300" t="str">
        <f t="shared" ca="1" si="300"/>
        <v/>
      </c>
      <c r="BX110" s="301" t="str">
        <f t="shared" ca="1" si="301"/>
        <v/>
      </c>
      <c r="BY110" s="146" t="str">
        <f t="shared" ca="1" si="302"/>
        <v/>
      </c>
      <c r="BZ110" s="146" t="str">
        <f t="shared" ca="1" si="303"/>
        <v/>
      </c>
      <c r="CA110" s="146" t="str">
        <f t="shared" ca="1" si="304"/>
        <v/>
      </c>
      <c r="CB110" s="146" t="str">
        <f t="shared" ca="1" si="305"/>
        <v/>
      </c>
      <c r="CC110" s="302">
        <v>1</v>
      </c>
      <c r="CD110" s="154">
        <f ca="1">IF(BD110,_xll.xCrudeAPO(BS110,BT110,BY110,BZ110,S111,S112,BI110,BL110,BN110,BO110,0,Strike1,AO110,CC110,0,BL110,IF(OptControl=4,0,1),0,1),0)</f>
        <v>0</v>
      </c>
      <c r="CE110" s="155">
        <f ca="1">IF(BD110,_xll.xCrudeAPO(BS110,BT110,BY110,BZ110,S111,S112,BI110,BL110,BN110,BO110,0,Strike1,AO110,CC110,0,BL110,IF(OptControl=4,0,1),1,1)+_xll.xCrudeAPO(BS110,BT110,BY110,BZ110,S111,S112,BI110,BL110,BN110,BO110,0,Strike1,AO110,CC110,0,BL110,IF(OptControl=4,0,1),1,2)+IF(OR(VolSkewFlag=2,ABS(BQ110)&lt;0.0001),0,IF(BQ110&gt;0,-1,1)*CF110*Strike1/BP110^2*BW110/10%),0)</f>
        <v>0</v>
      </c>
      <c r="CF110" s="155">
        <f ca="1">IF(BD110,(_xll.xCrudeAPO(BS110,BT110,BY110,BZ110,S111,S112,BI110,BL110,BN110,BO110,0,Strike1,AO110,CC110,0,BL110,IF(OptControl=4,0,1),3,1)+_xll.xCrudeAPO(BS110,BT110,BY110,BZ110,S111,S112,BI110,BL110,BN110,BO110,0,Strike1,AO110,CC110,0,BL110,IF(OptControl=4,0,1),3,2))/100,0)</f>
        <v>0</v>
      </c>
      <c r="CG110" s="155">
        <f ca="1">IF(BD110,_xll.xCrudeAPO(BS110,BT110,BY110,BZ110,S111,S112,BI110-DaysForThetaCalculation/365.25,BL110-DaysForThetaCalculation/365.25,BN110,BO110,0,Strike1,AO110,CC110,0,BL110,IF(OptControl=4,0,1),0,1)-_xll.xCrudeAPO(BS110,BT110,BY110,BZ110,S111,S112,BI110,BL110,BN110,BO110,0,Strike1,AO110,CC110,0,BL110,IF(OptControl=4,0,1),0,1),0)</f>
        <v>0</v>
      </c>
      <c r="CH110" s="303">
        <f ca="1">IF(BD110,_xll.xCrudeAPO(BS110,BT110,CA110,CB110,S111,S112,BI110,BL110,BN110,BO110,0,Strike2,AO110,CC110,0,BL110,IF(OptControl=3,1,0),0,1),0)</f>
        <v>0</v>
      </c>
      <c r="CI110" s="155">
        <f ca="1">IF(BD110,_xll.xCrudeAPO(BS110,BT110,CA110,CB110,S111,S112,BI110,BL110,BN110,BO110,0,Strike2,AO110,CC110,0,BL110,IF(OptControl=3,1,0),1,1)+_xll.xCrudeAPO(BS110,BT110,CA110,CB110,S111,S112,BI110,BL110,BN110,BO110,0,Strike2,AO110,CC110,0,BL110,IF(OptControl=3,1,0),1,2)+IF(OR(VolSkewFlag=2,ABS(BR110)&lt;0.0001),0,IF(BR110&gt;0,-1,1)*CJ110*Strike2/BP110^2*BX110/10%),0)</f>
        <v>0</v>
      </c>
      <c r="CJ110" s="155">
        <f ca="1">IF(BD110,(_xll.xCrudeAPO(BS110,BT110,CA110,CB110,S111,S112,BI110,BL110,BN110,BO110,0,Strike2,AO110,CC110,0,BL110,IF(OptControl=3,1,0),3,1)+_xll.xCrudeAPO(BS110,BT110,CA110,CB110,S111,S112,BI110,BL110,BN110,BO110,0,Strike2,AO110,CC110,0,BL110,IF(OptControl=3,1,0),3,2))/100,0)</f>
        <v>0</v>
      </c>
      <c r="CK110" s="156">
        <f ca="1">IF(BD110,_xll.xCrudeAPO(BS110,BT110,CA110,CB110,S111,S112,BI110-DaysForThetaCalculation/365.25,BL110-DaysForThetaCalculation/365.25,BN110,BO110,0,Strike2,AO110,CC110,0,BL110,IF(OptControl=3,1,0),0,1)-_xll.xCrudeAPO(BS110,BT110,CA110,CB110,S111,S112,BI110,BL110,BN110,BO110,0,Strike2,AO110,CC110,0,BL110,IF(OptControl=3,1,0),0,1),0)</f>
        <v>0</v>
      </c>
      <c r="CL110" s="51"/>
      <c r="CM110" s="779" t="str">
        <f t="shared" ca="1" si="323"/>
        <v/>
      </c>
      <c r="CN110" s="783" t="str">
        <f t="shared" ca="1" si="324"/>
        <v/>
      </c>
      <c r="CO110" s="780" t="str">
        <f t="shared" ca="1" si="325"/>
        <v/>
      </c>
      <c r="CP110" s="780" t="str">
        <f t="shared" ca="1" si="326"/>
        <v/>
      </c>
      <c r="CQ110" s="780" t="str">
        <f t="shared" ca="1" si="327"/>
        <v/>
      </c>
      <c r="CR110" s="780" t="str">
        <f t="shared" ca="1" si="328"/>
        <v/>
      </c>
      <c r="CS110" s="781" t="str">
        <f t="shared" ca="1" si="329"/>
        <v/>
      </c>
      <c r="CT110" s="782" t="str">
        <f t="shared" ca="1" si="330"/>
        <v/>
      </c>
      <c r="CU110" s="782" t="str">
        <f t="shared" ca="1" si="331"/>
        <v/>
      </c>
      <c r="CV110" s="155">
        <f ca="1">IF(BD110,_xll.EURO(CN110,Strike1,AO110,AO110,CT110,CM110,IF(OptControl=4,0,1),0),0)</f>
        <v>0</v>
      </c>
      <c r="CW110" s="155">
        <f ca="1">IF(BD110,_xll.EURO(CN110,Strike1,AO110,AO110,CT110,CM110,IF(OptControl=4,0,1),1)+IF(OR(VolSkewFlag=2,ABS(CO110)&lt;0.0001),0,IF(CO110&gt;0,-1,1)*CX110*100*Strike1/CN110^2*CQ110/10%),0)</f>
        <v>0</v>
      </c>
      <c r="CX110" s="155">
        <f ca="1">IF(BD110,_xll.EURO(CN110,Strike1,AO110,AO110,CT110,CM110,IF(OptControl=4,0,1),3)/100,0)</f>
        <v>0</v>
      </c>
      <c r="CY110" s="155">
        <f ca="1">IF(BD110,_xll.EURO(CN110,Strike1,AO110,AO110,CT110,CM110,IF(OptControl=4,0,1),0)-_xll.EURO(CN110,Strike1,AO110,AO110,CT110,CM110-1,IF(OptControl=4,0,1),0),0)</f>
        <v>0</v>
      </c>
      <c r="CZ110" s="155">
        <f ca="1">IF(BD110,_xll.EURO(CN110,Strike2,AO110,AO110,CU110,CM110,IF(OptControl=3,1,0),0),0)</f>
        <v>0</v>
      </c>
      <c r="DA110" s="155">
        <f ca="1">IF(BD110,_xll.EURO(CN110,Strike2,AO110,AO110,CU110,CM110,IF(OptControl=3,1,0),1)+IF(OR(VolSkewFlag=2,ABS(CP110)&lt;0.0001),0,IF(CP110&gt;0,-1,1)*DB110*100*Strike2/CN110^2*CR110/10%),0)</f>
        <v>0</v>
      </c>
      <c r="DB110" s="155">
        <f ca="1">IF(BD110,_xll.EURO(CN110,Strike2,AO110,AO110,CU110,CM110,IF(OptControl=3,1,0),3)/100,0)</f>
        <v>0</v>
      </c>
      <c r="DC110" s="156">
        <f ca="1">IF(BD110,_xll.EURO(CN110,Strike2,AO110,AO110,CU110,CM110,IF(OptControl=3,1,0),0)-_xll.EURO(CN110,Strike2,AO110,AO110,CU110,CM110-1,IF(OptControl=3,1,0),0),0)</f>
        <v>0</v>
      </c>
      <c r="DE110" s="651">
        <f t="shared" ca="1" si="332"/>
        <v>39661</v>
      </c>
      <c r="DF110" s="465">
        <v>1E-4</v>
      </c>
      <c r="DG110" s="649">
        <v>1E-4</v>
      </c>
      <c r="DH110" s="650">
        <f t="shared" ca="1" si="306"/>
        <v>39661</v>
      </c>
      <c r="DI110" s="465">
        <v>1E-4</v>
      </c>
      <c r="DJ110" s="649">
        <v>1E-4</v>
      </c>
      <c r="DK110" s="651">
        <f t="shared" ca="1" si="307"/>
        <v>39661</v>
      </c>
      <c r="DL110" s="652">
        <f t="shared" si="308"/>
        <v>5.0100000000000006E-2</v>
      </c>
      <c r="DM110" s="651">
        <f t="shared" ca="1" si="333"/>
        <v>39661</v>
      </c>
      <c r="DN110" s="563">
        <f t="shared" si="334"/>
        <v>-0.12990000000000002</v>
      </c>
      <c r="DO110" s="803">
        <v>-0.13</v>
      </c>
      <c r="DP110" s="650">
        <f t="shared" ca="1" si="309"/>
        <v>39661</v>
      </c>
      <c r="DQ110" s="653">
        <v>1E-4</v>
      </c>
      <c r="DR110" s="590">
        <v>1E-4</v>
      </c>
      <c r="DS110" s="650">
        <f t="shared" ca="1" si="310"/>
        <v>39661</v>
      </c>
      <c r="DT110" s="653">
        <v>1E-4</v>
      </c>
      <c r="DU110" s="590">
        <v>1E-4</v>
      </c>
      <c r="DV110" s="651">
        <f t="shared" ca="1" si="311"/>
        <v>39661</v>
      </c>
      <c r="DW110" s="590">
        <v>1E-4</v>
      </c>
      <c r="DX110" s="651">
        <f t="shared" ca="1" si="335"/>
        <v>39661</v>
      </c>
      <c r="DY110" s="590">
        <f t="shared" si="336"/>
        <v>1E-4</v>
      </c>
      <c r="DZ110" s="1"/>
      <c r="EA110" s="857"/>
      <c r="EB110" s="857"/>
      <c r="EC110" s="857"/>
      <c r="ED110" s="868" t="e">
        <f t="shared" ca="1" si="436"/>
        <v>#NAME?</v>
      </c>
      <c r="EE110" s="863" t="e">
        <f t="shared" ca="1" si="312"/>
        <v>#NAME?</v>
      </c>
      <c r="EF110" s="590" t="e">
        <f t="shared" ca="1" si="313"/>
        <v>#NAME?</v>
      </c>
      <c r="EG110" s="862" t="str">
        <f t="shared" ca="1" si="314"/>
        <v/>
      </c>
      <c r="EH110" s="114" t="str">
        <f t="shared" ca="1" si="315"/>
        <v/>
      </c>
      <c r="EI110" s="109" t="str">
        <f t="shared" ca="1" si="316"/>
        <v/>
      </c>
      <c r="EJ110" s="115">
        <f ca="1">IF(BD110,_xll.xASN(BP110,Strike1,AO110,EH110,0,BM110,0,BI110,BL110,IF(OptControl=4,0,1),0),0)</f>
        <v>0</v>
      </c>
      <c r="EK110" s="108">
        <f ca="1">IF(BD110,_xll.xASN(BP110,Strike2,AO110,EI110,0,BM110,0,BI110,BL110,IF(OptControl=3,1,0),0),0)</f>
        <v>0</v>
      </c>
      <c r="EP110" s="53"/>
      <c r="EQ110" s="1"/>
      <c r="ER110" s="103"/>
      <c r="ES110" s="103"/>
      <c r="ET110" s="1"/>
      <c r="EU110" s="667" t="s">
        <v>322</v>
      </c>
      <c r="EW110" s="445"/>
      <c r="EX110" s="36"/>
      <c r="EY110" s="104"/>
      <c r="EZ110" s="465"/>
      <c r="FA110" s="446"/>
      <c r="FB110" s="446"/>
      <c r="FC110" s="242"/>
      <c r="FD110" s="242"/>
      <c r="FE110" s="242"/>
      <c r="FF110" s="242"/>
      <c r="FG110" s="242"/>
      <c r="FH110" s="242"/>
      <c r="FI110" s="242"/>
      <c r="FJ110" s="242"/>
      <c r="FK110" s="242"/>
      <c r="FL110" s="242"/>
      <c r="FM110" s="242"/>
      <c r="FN110" s="657">
        <v>16</v>
      </c>
      <c r="FO110" s="450">
        <f t="shared" ca="1" si="433"/>
        <v>0.20301342911925946</v>
      </c>
      <c r="FP110" s="450">
        <f t="shared" ca="1" si="449"/>
        <v>0.20667911560860155</v>
      </c>
      <c r="FQ110" s="450">
        <f t="shared" ca="1" si="449"/>
        <v>0.21063591300747009</v>
      </c>
      <c r="FR110" s="450">
        <f t="shared" ca="1" si="449"/>
        <v>0.21516540943353588</v>
      </c>
      <c r="FS110" s="450">
        <f t="shared" ca="1" si="449"/>
        <v>0.22036018146469469</v>
      </c>
      <c r="FT110" s="450">
        <f t="shared" ca="1" si="449"/>
        <v>0.22633156392212891</v>
      </c>
      <c r="FU110" s="450">
        <f t="shared" ca="1" si="449"/>
        <v>0.23321440745921046</v>
      </c>
      <c r="FV110" s="450">
        <f t="shared" ca="1" si="449"/>
        <v>0.24117330534967341</v>
      </c>
      <c r="FW110" s="450">
        <f t="shared" ca="1" si="449"/>
        <v>0.25041082682691723</v>
      </c>
      <c r="FX110" s="450">
        <f t="shared" ca="1" si="449"/>
        <v>0.26117852308313899</v>
      </c>
      <c r="FY110" s="450">
        <f t="shared" ca="1" si="449"/>
        <v>0.2737918129024855</v>
      </c>
      <c r="FZ110" s="450">
        <f t="shared" ca="1" si="449"/>
        <v>0.2886503706097634</v>
      </c>
      <c r="GA110" s="450">
        <f t="shared" ca="1" si="449"/>
        <v>0.30626643212764698</v>
      </c>
      <c r="GB110" s="450">
        <f t="shared" ca="1" si="449"/>
        <v>0.32730467639825972</v>
      </c>
      <c r="GC110" s="450">
        <f t="shared" ca="1" si="449"/>
        <v>0.35263932017184701</v>
      </c>
      <c r="GD110" s="450">
        <f t="shared" ca="1" si="449"/>
        <v>0.38343729063844895</v>
      </c>
      <c r="GE110" s="450" t="str">
        <f t="shared" si="449"/>
        <v/>
      </c>
      <c r="GF110" s="450" t="str">
        <f t="shared" si="449"/>
        <v/>
      </c>
      <c r="GG110" s="450" t="str">
        <f t="shared" si="449"/>
        <v/>
      </c>
      <c r="GH110" s="450" t="str">
        <f t="shared" si="449"/>
        <v/>
      </c>
      <c r="GI110" s="450" t="str">
        <f t="shared" si="449"/>
        <v/>
      </c>
      <c r="GJ110" s="450" t="str">
        <f t="shared" si="449"/>
        <v/>
      </c>
      <c r="GK110" s="450" t="str">
        <f t="shared" si="449"/>
        <v/>
      </c>
      <c r="GL110" s="450" t="str">
        <f t="shared" si="449"/>
        <v/>
      </c>
      <c r="GM110" s="450" t="str">
        <f t="shared" si="449"/>
        <v/>
      </c>
      <c r="GN110" s="450" t="str">
        <f t="shared" si="449"/>
        <v/>
      </c>
      <c r="GO110" s="450" t="str">
        <f t="shared" si="449"/>
        <v/>
      </c>
      <c r="GP110" s="450" t="str">
        <f t="shared" si="449"/>
        <v/>
      </c>
      <c r="GQ110" s="450" t="str">
        <f t="shared" si="449"/>
        <v/>
      </c>
      <c r="GR110" s="450" t="str">
        <f t="shared" si="449"/>
        <v/>
      </c>
      <c r="GS110" s="450" t="str">
        <f t="shared" si="449"/>
        <v/>
      </c>
      <c r="GT110" s="450" t="str">
        <f t="shared" si="449"/>
        <v/>
      </c>
      <c r="GU110" s="450" t="str">
        <f t="shared" si="449"/>
        <v/>
      </c>
      <c r="GV110" s="450" t="str">
        <f t="shared" si="449"/>
        <v/>
      </c>
      <c r="GW110" s="450" t="str">
        <f t="shared" si="449"/>
        <v/>
      </c>
      <c r="GX110" s="450" t="str">
        <f t="shared" si="449"/>
        <v/>
      </c>
      <c r="GY110" s="450" t="str">
        <f t="shared" si="449"/>
        <v/>
      </c>
      <c r="GZ110" s="450" t="str">
        <f t="shared" si="449"/>
        <v/>
      </c>
      <c r="HA110" s="450" t="str">
        <f t="shared" si="449"/>
        <v/>
      </c>
      <c r="HB110" s="450" t="str">
        <f t="shared" si="449"/>
        <v/>
      </c>
      <c r="HC110" s="450" t="str">
        <f t="shared" si="449"/>
        <v/>
      </c>
      <c r="HD110" s="450" t="str">
        <f t="shared" si="449"/>
        <v/>
      </c>
      <c r="HE110" s="450" t="str">
        <f t="shared" si="449"/>
        <v/>
      </c>
      <c r="HF110" s="450" t="str">
        <f t="shared" si="449"/>
        <v/>
      </c>
      <c r="HG110" s="450" t="str">
        <f t="shared" si="449"/>
        <v/>
      </c>
      <c r="HH110" s="450" t="str">
        <f t="shared" si="449"/>
        <v/>
      </c>
      <c r="HI110" s="450" t="str">
        <f t="shared" si="449"/>
        <v/>
      </c>
      <c r="HJ110" s="450" t="str">
        <f t="shared" si="449"/>
        <v/>
      </c>
      <c r="HK110" s="450" t="str">
        <f t="shared" si="449"/>
        <v/>
      </c>
      <c r="HL110" s="450" t="str">
        <f t="shared" si="449"/>
        <v/>
      </c>
      <c r="HM110" s="450" t="str">
        <f t="shared" si="449"/>
        <v/>
      </c>
      <c r="HN110" s="450" t="str">
        <f t="shared" si="449"/>
        <v/>
      </c>
      <c r="HO110" s="450" t="str">
        <f t="shared" si="449"/>
        <v/>
      </c>
      <c r="HP110" s="450" t="str">
        <f t="shared" si="449"/>
        <v/>
      </c>
      <c r="HQ110" s="450" t="str">
        <f t="shared" si="449"/>
        <v/>
      </c>
      <c r="HR110" s="450" t="str">
        <f t="shared" si="449"/>
        <v/>
      </c>
      <c r="HS110" s="450" t="str">
        <f t="shared" si="449"/>
        <v/>
      </c>
      <c r="HT110" s="450" t="str">
        <f t="shared" si="449"/>
        <v/>
      </c>
      <c r="HU110" s="450" t="str">
        <f t="shared" si="449"/>
        <v/>
      </c>
      <c r="HV110" s="450" t="str">
        <f t="shared" si="449"/>
        <v/>
      </c>
      <c r="HW110" s="450" t="str">
        <f t="shared" si="449"/>
        <v/>
      </c>
      <c r="HX110" s="450" t="str">
        <f t="shared" si="449"/>
        <v/>
      </c>
      <c r="HY110" s="450" t="str">
        <f t="shared" si="449"/>
        <v/>
      </c>
      <c r="HZ110" s="450" t="str">
        <f t="shared" si="449"/>
        <v/>
      </c>
      <c r="IA110" s="450" t="str">
        <f t="shared" si="449"/>
        <v/>
      </c>
      <c r="IB110" s="450" t="str">
        <f t="shared" si="448"/>
        <v/>
      </c>
      <c r="IC110" s="450" t="str">
        <f t="shared" si="448"/>
        <v/>
      </c>
      <c r="ID110" s="450" t="str">
        <f t="shared" si="448"/>
        <v/>
      </c>
      <c r="IE110" s="450" t="str">
        <f t="shared" si="448"/>
        <v/>
      </c>
      <c r="IF110" s="450" t="str">
        <f t="shared" si="448"/>
        <v/>
      </c>
      <c r="IG110" s="450" t="str">
        <f t="shared" si="448"/>
        <v/>
      </c>
      <c r="IH110" s="658" t="str">
        <f t="shared" si="448"/>
        <v/>
      </c>
      <c r="II110" s="242"/>
    </row>
    <row r="111" spans="8:243">
      <c r="H111" s="49" t="e">
        <f t="shared" ca="1" si="317"/>
        <v>#N/A</v>
      </c>
      <c r="I111" s="369">
        <f t="shared" si="318"/>
        <v>39783</v>
      </c>
      <c r="J111" s="367">
        <v>21.86</v>
      </c>
      <c r="K111" s="101" t="s">
        <v>267</v>
      </c>
      <c r="L111" s="382">
        <f t="shared" si="319"/>
        <v>21.859999999999989</v>
      </c>
      <c r="M111" s="163">
        <v>0.17085</v>
      </c>
      <c r="N111" s="372">
        <v>0</v>
      </c>
      <c r="O111" s="163">
        <f t="shared" si="272"/>
        <v>0.17085</v>
      </c>
      <c r="P111" s="367">
        <v>20.623211856522897</v>
      </c>
      <c r="Q111" s="101" t="s">
        <v>267</v>
      </c>
      <c r="R111" s="367">
        <f t="shared" ca="1" si="417"/>
        <v>20.623211856522857</v>
      </c>
      <c r="S111" s="814">
        <f t="shared" si="163"/>
        <v>0.36023659863391638</v>
      </c>
      <c r="T111" s="813">
        <f t="shared" si="418"/>
        <v>0.99999464813828665</v>
      </c>
      <c r="U111" s="532">
        <f t="shared" si="419"/>
        <v>0.99999999999993583</v>
      </c>
      <c r="V111" s="379">
        <v>0</v>
      </c>
      <c r="W111" s="424">
        <f t="shared" si="273"/>
        <v>21.881969696969708</v>
      </c>
      <c r="X111" s="405">
        <f t="shared" si="274"/>
        <v>21.881969696969687</v>
      </c>
      <c r="Y111" s="313">
        <f t="shared" si="275"/>
        <v>20.640369696969707</v>
      </c>
      <c r="Z111" s="313">
        <f t="shared" ca="1" si="276"/>
        <v>20.640369696969685</v>
      </c>
      <c r="AA111" s="419">
        <f t="shared" si="277"/>
        <v>1.2416</v>
      </c>
      <c r="AB111" s="423">
        <f t="shared" ca="1" si="278"/>
        <v>1.2416</v>
      </c>
      <c r="AC111" s="221">
        <v>39772</v>
      </c>
      <c r="AD111" s="221">
        <v>39768</v>
      </c>
      <c r="AE111" s="221">
        <v>39767</v>
      </c>
      <c r="AF111" s="221">
        <v>39763</v>
      </c>
      <c r="AG111" s="241" t="s">
        <v>497</v>
      </c>
      <c r="AH111" s="239" t="s">
        <v>497</v>
      </c>
      <c r="AI111" s="141">
        <v>22</v>
      </c>
      <c r="AJ111" s="41">
        <v>15</v>
      </c>
      <c r="AK111" s="41">
        <v>7</v>
      </c>
      <c r="AL111" s="285">
        <v>22</v>
      </c>
      <c r="AM111" s="41">
        <v>10</v>
      </c>
      <c r="AN111" s="142">
        <v>12</v>
      </c>
      <c r="AO111" s="364">
        <v>5.7141142068564098E-2</v>
      </c>
      <c r="AP111" s="145">
        <f t="shared" ca="1" si="320"/>
        <v>0.64697354907998861</v>
      </c>
      <c r="AQ111" s="364">
        <v>4.9256134633053304E-2</v>
      </c>
      <c r="AR111" s="145">
        <f t="shared" ca="1" si="420"/>
        <v>0.69067148543909518</v>
      </c>
      <c r="AS111" s="264">
        <f t="shared" si="279"/>
        <v>0.16999318181818182</v>
      </c>
      <c r="AT111" s="149">
        <f t="shared" si="321"/>
        <v>0.17085</v>
      </c>
      <c r="AU111" s="149">
        <f t="shared" si="280"/>
        <v>0.16984545454545455</v>
      </c>
      <c r="AV111" s="263">
        <f t="shared" ca="1" si="430"/>
        <v>0.16749527047329635</v>
      </c>
      <c r="AW111" s="150" t="str">
        <f t="shared" ca="1" si="281"/>
        <v/>
      </c>
      <c r="AX111" s="149">
        <f t="shared" ca="1" si="421"/>
        <v>1.8038890643845812E-2</v>
      </c>
      <c r="AY111" s="149">
        <f t="shared" ca="1" si="422"/>
        <v>8.045593895451654E-3</v>
      </c>
      <c r="AZ111" s="149">
        <f t="shared" ca="1" si="423"/>
        <v>5.2806768442844147E-3</v>
      </c>
      <c r="BA111" s="149">
        <f t="shared" ca="1" si="424"/>
        <v>1.0000000000000326E-4</v>
      </c>
      <c r="BB111" s="149">
        <f t="shared" ca="1" si="425"/>
        <v>1.0000000000000326E-4</v>
      </c>
      <c r="BC111" s="149">
        <f t="shared" ca="1" si="426"/>
        <v>1.0000000000000326E-4</v>
      </c>
      <c r="BD111" s="143">
        <f t="shared" ca="1" si="282"/>
        <v>0</v>
      </c>
      <c r="BE111" s="144">
        <f t="shared" ca="1" si="283"/>
        <v>0</v>
      </c>
      <c r="BF111" s="40">
        <f t="shared" si="284"/>
        <v>2008</v>
      </c>
      <c r="BG111" s="139">
        <f t="shared" si="285"/>
        <v>12</v>
      </c>
      <c r="BH111" s="140">
        <f t="shared" ca="1" si="286"/>
        <v>2778</v>
      </c>
      <c r="BI111" s="304">
        <f t="shared" ca="1" si="440"/>
        <v>7.6468172484599588</v>
      </c>
      <c r="BJ111" s="42">
        <f t="shared" ca="1" si="288"/>
        <v>7.7028187418331155</v>
      </c>
      <c r="BK111" s="42">
        <f t="shared" ca="1" si="289"/>
        <v>7.7055565926202476</v>
      </c>
      <c r="BL111" s="42">
        <f t="shared" ca="1" si="441"/>
        <v>7.7289527720739217</v>
      </c>
      <c r="BM111" s="285">
        <f t="shared" si="442"/>
        <v>22</v>
      </c>
      <c r="BN111" s="41">
        <f t="shared" si="443"/>
        <v>15</v>
      </c>
      <c r="BO111" s="41">
        <f t="shared" si="444"/>
        <v>7</v>
      </c>
      <c r="BP111" s="297" t="str">
        <f t="shared" ca="1" si="293"/>
        <v/>
      </c>
      <c r="BQ111" s="297" t="str">
        <f t="shared" ca="1" si="294"/>
        <v/>
      </c>
      <c r="BR111" s="299" t="str">
        <f t="shared" ca="1" si="295"/>
        <v/>
      </c>
      <c r="BS111" s="153" t="str">
        <f t="shared" ca="1" si="296"/>
        <v/>
      </c>
      <c r="BT111" s="153" t="str">
        <f t="shared" ca="1" si="297"/>
        <v/>
      </c>
      <c r="BU111" s="300" t="str">
        <f t="shared" ca="1" si="298"/>
        <v/>
      </c>
      <c r="BV111" s="301" t="str">
        <f t="shared" ca="1" si="299"/>
        <v/>
      </c>
      <c r="BW111" s="300" t="str">
        <f t="shared" ca="1" si="300"/>
        <v/>
      </c>
      <c r="BX111" s="301" t="str">
        <f t="shared" ca="1" si="301"/>
        <v/>
      </c>
      <c r="BY111" s="146" t="str">
        <f t="shared" ca="1" si="302"/>
        <v/>
      </c>
      <c r="BZ111" s="146" t="str">
        <f t="shared" ca="1" si="303"/>
        <v/>
      </c>
      <c r="CA111" s="146" t="str">
        <f t="shared" ca="1" si="304"/>
        <v/>
      </c>
      <c r="CB111" s="146" t="str">
        <f t="shared" ca="1" si="305"/>
        <v/>
      </c>
      <c r="CC111" s="302">
        <v>1</v>
      </c>
      <c r="CD111" s="154">
        <f ca="1">IF(BD111,_xll.xCrudeAPO(BS111,BT111,BY111,BZ111,S112,S113,BI111,BL111,BN111,BO111,0,Strike1,AO111,CC111,0,BL111,IF(OptControl=4,0,1),0,1),0)</f>
        <v>0</v>
      </c>
      <c r="CE111" s="155">
        <f ca="1">IF(BD111,_xll.xCrudeAPO(BS111,BT111,BY111,BZ111,S112,S113,BI111,BL111,BN111,BO111,0,Strike1,AO111,CC111,0,BL111,IF(OptControl=4,0,1),1,1)+_xll.xCrudeAPO(BS111,BT111,BY111,BZ111,S112,S113,BI111,BL111,BN111,BO111,0,Strike1,AO111,CC111,0,BL111,IF(OptControl=4,0,1),1,2)+IF(OR(VolSkewFlag=2,ABS(BQ111)&lt;0.0001),0,IF(BQ111&gt;0,-1,1)*CF111*Strike1/BP111^2*BW111/10%),0)</f>
        <v>0</v>
      </c>
      <c r="CF111" s="155">
        <f ca="1">IF(BD111,(_xll.xCrudeAPO(BS111,BT111,BY111,BZ111,S112,S113,BI111,BL111,BN111,BO111,0,Strike1,AO111,CC111,0,BL111,IF(OptControl=4,0,1),3,1)+_xll.xCrudeAPO(BS111,BT111,BY111,BZ111,S112,S113,BI111,BL111,BN111,BO111,0,Strike1,AO111,CC111,0,BL111,IF(OptControl=4,0,1),3,2))/100,0)</f>
        <v>0</v>
      </c>
      <c r="CG111" s="155">
        <f ca="1">IF(BD111,_xll.xCrudeAPO(BS111,BT111,BY111,BZ111,S112,S113,BI111-DaysForThetaCalculation/365.25,BL111-DaysForThetaCalculation/365.25,BN111,BO111,0,Strike1,AO111,CC111,0,BL111,IF(OptControl=4,0,1),0,1)-_xll.xCrudeAPO(BS111,BT111,BY111,BZ111,S112,S113,BI111,BL111,BN111,BO111,0,Strike1,AO111,CC111,0,BL111,IF(OptControl=4,0,1),0,1),0)</f>
        <v>0</v>
      </c>
      <c r="CH111" s="303">
        <f ca="1">IF(BD111,_xll.xCrudeAPO(BS111,BT111,CA111,CB111,S112,S113,BI111,BL111,BN111,BO111,0,Strike2,AO111,CC111,0,BL111,IF(OptControl=3,1,0),0,1),0)</f>
        <v>0</v>
      </c>
      <c r="CI111" s="155">
        <f ca="1">IF(BD111,_xll.xCrudeAPO(BS111,BT111,CA111,CB111,S112,S113,BI111,BL111,BN111,BO111,0,Strike2,AO111,CC111,0,BL111,IF(OptControl=3,1,0),1,1)+_xll.xCrudeAPO(BS111,BT111,CA111,CB111,S112,S113,BI111,BL111,BN111,BO111,0,Strike2,AO111,CC111,0,BL111,IF(OptControl=3,1,0),1,2)+IF(OR(VolSkewFlag=2,ABS(BR111)&lt;0.0001),0,IF(BR111&gt;0,-1,1)*CJ111*Strike2/BP111^2*BX111/10%),0)</f>
        <v>0</v>
      </c>
      <c r="CJ111" s="155">
        <f ca="1">IF(BD111,(_xll.xCrudeAPO(BS111,BT111,CA111,CB111,S112,S113,BI111,BL111,BN111,BO111,0,Strike2,AO111,CC111,0,BL111,IF(OptControl=3,1,0),3,1)+_xll.xCrudeAPO(BS111,BT111,CA111,CB111,S112,S113,BI111,BL111,BN111,BO111,0,Strike2,AO111,CC111,0,BL111,IF(OptControl=3,1,0),3,2))/100,0)</f>
        <v>0</v>
      </c>
      <c r="CK111" s="156">
        <f ca="1">IF(BD111,_xll.xCrudeAPO(BS111,BT111,CA111,CB111,S112,S113,BI111-DaysForThetaCalculation/365.25,BL111-DaysForThetaCalculation/365.25,BN111,BO111,0,Strike2,AO111,CC111,0,BL111,IF(OptControl=3,1,0),0,1)-_xll.xCrudeAPO(BS111,BT111,CA111,CB111,S112,S113,BI111,BL111,BN111,BO111,0,Strike2,AO111,CC111,0,BL111,IF(OptControl=3,1,0),0,1),0)</f>
        <v>0</v>
      </c>
      <c r="CL111" s="51"/>
      <c r="CM111" s="779" t="str">
        <f t="shared" ca="1" si="323"/>
        <v/>
      </c>
      <c r="CN111" s="783" t="str">
        <f t="shared" ca="1" si="324"/>
        <v/>
      </c>
      <c r="CO111" s="780" t="str">
        <f t="shared" ca="1" si="325"/>
        <v/>
      </c>
      <c r="CP111" s="780" t="str">
        <f t="shared" ca="1" si="326"/>
        <v/>
      </c>
      <c r="CQ111" s="780" t="str">
        <f t="shared" ca="1" si="327"/>
        <v/>
      </c>
      <c r="CR111" s="780" t="str">
        <f t="shared" ca="1" si="328"/>
        <v/>
      </c>
      <c r="CS111" s="781" t="str">
        <f t="shared" ca="1" si="329"/>
        <v/>
      </c>
      <c r="CT111" s="782" t="str">
        <f t="shared" ca="1" si="330"/>
        <v/>
      </c>
      <c r="CU111" s="782" t="str">
        <f t="shared" ca="1" si="331"/>
        <v/>
      </c>
      <c r="CV111" s="155">
        <f ca="1">IF(BD111,_xll.EURO(CN111,Strike1,AO111,AO111,CT111,CM111,IF(OptControl=4,0,1),0),0)</f>
        <v>0</v>
      </c>
      <c r="CW111" s="155">
        <f ca="1">IF(BD111,_xll.EURO(CN111,Strike1,AO111,AO111,CT111,CM111,IF(OptControl=4,0,1),1)+IF(OR(VolSkewFlag=2,ABS(CO111)&lt;0.0001),0,IF(CO111&gt;0,-1,1)*CX111*100*Strike1/CN111^2*CQ111/10%),0)</f>
        <v>0</v>
      </c>
      <c r="CX111" s="155">
        <f ca="1">IF(BD111,_xll.EURO(CN111,Strike1,AO111,AO111,CT111,CM111,IF(OptControl=4,0,1),3)/100,0)</f>
        <v>0</v>
      </c>
      <c r="CY111" s="155">
        <f ca="1">IF(BD111,_xll.EURO(CN111,Strike1,AO111,AO111,CT111,CM111,IF(OptControl=4,0,1),0)-_xll.EURO(CN111,Strike1,AO111,AO111,CT111,CM111-1,IF(OptControl=4,0,1),0),0)</f>
        <v>0</v>
      </c>
      <c r="CZ111" s="155">
        <f ca="1">IF(BD111,_xll.EURO(CN111,Strike2,AO111,AO111,CU111,CM111,IF(OptControl=3,1,0),0),0)</f>
        <v>0</v>
      </c>
      <c r="DA111" s="155">
        <f ca="1">IF(BD111,_xll.EURO(CN111,Strike2,AO111,AO111,CU111,CM111,IF(OptControl=3,1,0),1)+IF(OR(VolSkewFlag=2,ABS(CP111)&lt;0.0001),0,IF(CP111&gt;0,-1,1)*DB111*100*Strike2/CN111^2*CR111/10%),0)</f>
        <v>0</v>
      </c>
      <c r="DB111" s="155">
        <f ca="1">IF(BD111,_xll.EURO(CN111,Strike2,AO111,AO111,CU111,CM111,IF(OptControl=3,1,0),3)/100,0)</f>
        <v>0</v>
      </c>
      <c r="DC111" s="156">
        <f ca="1">IF(BD111,_xll.EURO(CN111,Strike2,AO111,AO111,CU111,CM111,IF(OptControl=3,1,0),0)-_xll.EURO(CN111,Strike2,AO111,AO111,CU111,CM111-1,IF(OptControl=3,1,0),0),0)</f>
        <v>0</v>
      </c>
      <c r="DE111" s="651">
        <f t="shared" ca="1" si="332"/>
        <v>39692</v>
      </c>
      <c r="DF111" s="465">
        <v>1E-4</v>
      </c>
      <c r="DG111" s="649">
        <v>1E-4</v>
      </c>
      <c r="DH111" s="650">
        <f t="shared" ca="1" si="306"/>
        <v>39692</v>
      </c>
      <c r="DI111" s="465">
        <v>1E-4</v>
      </c>
      <c r="DJ111" s="649">
        <v>1E-4</v>
      </c>
      <c r="DK111" s="651">
        <f t="shared" ca="1" si="307"/>
        <v>39692</v>
      </c>
      <c r="DL111" s="652">
        <f t="shared" si="308"/>
        <v>5.0100000000000006E-2</v>
      </c>
      <c r="DM111" s="651">
        <f t="shared" ca="1" si="333"/>
        <v>39692</v>
      </c>
      <c r="DN111" s="563">
        <f t="shared" si="334"/>
        <v>-0.12990000000000002</v>
      </c>
      <c r="DO111" s="803">
        <v>-0.13</v>
      </c>
      <c r="DP111" s="650">
        <f t="shared" ca="1" si="309"/>
        <v>39692</v>
      </c>
      <c r="DQ111" s="653">
        <v>1E-4</v>
      </c>
      <c r="DR111" s="590">
        <v>1E-4</v>
      </c>
      <c r="DS111" s="650">
        <f t="shared" ca="1" si="310"/>
        <v>39692</v>
      </c>
      <c r="DT111" s="653">
        <v>1E-4</v>
      </c>
      <c r="DU111" s="590">
        <v>1E-4</v>
      </c>
      <c r="DV111" s="651">
        <f t="shared" ca="1" si="311"/>
        <v>39692</v>
      </c>
      <c r="DW111" s="590">
        <v>1E-4</v>
      </c>
      <c r="DX111" s="651">
        <f t="shared" ca="1" si="335"/>
        <v>39692</v>
      </c>
      <c r="DY111" s="590">
        <f t="shared" si="336"/>
        <v>1E-4</v>
      </c>
      <c r="DZ111" s="1"/>
      <c r="EA111" s="857"/>
      <c r="EB111" s="857"/>
      <c r="EC111" s="857"/>
      <c r="ED111" s="868" t="e">
        <f t="shared" ca="1" si="436"/>
        <v>#NAME?</v>
      </c>
      <c r="EE111" s="863" t="e">
        <f t="shared" ca="1" si="312"/>
        <v>#NAME?</v>
      </c>
      <c r="EF111" s="590" t="e">
        <f t="shared" ca="1" si="313"/>
        <v>#NAME?</v>
      </c>
      <c r="EG111" s="862" t="str">
        <f t="shared" ca="1" si="314"/>
        <v/>
      </c>
      <c r="EH111" s="114" t="str">
        <f t="shared" ca="1" si="315"/>
        <v/>
      </c>
      <c r="EI111" s="109" t="str">
        <f t="shared" ca="1" si="316"/>
        <v/>
      </c>
      <c r="EJ111" s="115">
        <f ca="1">IF(BD111,_xll.xASN(BP111,Strike1,AO111,EH111,0,BM111,0,BI111,BL111,IF(OptControl=4,0,1),0),0)</f>
        <v>0</v>
      </c>
      <c r="EK111" s="108">
        <f ca="1">IF(BD111,_xll.xASN(BP111,Strike2,AO111,EI111,0,BM111,0,BI111,BL111,IF(OptControl=3,1,0),0),0)</f>
        <v>0</v>
      </c>
      <c r="EP111" s="53"/>
      <c r="EQ111" s="1"/>
      <c r="ER111" s="103"/>
      <c r="ES111" s="103"/>
      <c r="ET111" s="1"/>
      <c r="EU111" s="667" t="s">
        <v>323</v>
      </c>
      <c r="EW111" s="445"/>
      <c r="EX111" s="36"/>
      <c r="EY111" s="104"/>
      <c r="EZ111" s="465"/>
      <c r="FA111" s="446"/>
      <c r="FB111" s="446"/>
      <c r="FC111" s="242"/>
      <c r="FD111" s="242"/>
      <c r="FE111" s="242"/>
      <c r="FF111" s="242"/>
      <c r="FG111" s="242"/>
      <c r="FH111" s="242"/>
      <c r="FI111" s="242"/>
      <c r="FJ111" s="242"/>
      <c r="FK111" s="242"/>
      <c r="FL111" s="242"/>
      <c r="FM111" s="242"/>
      <c r="FN111" s="657">
        <v>17</v>
      </c>
      <c r="FO111" s="450">
        <f t="shared" ca="1" si="433"/>
        <v>0.19972392359826011</v>
      </c>
      <c r="FP111" s="450">
        <f t="shared" ca="1" si="449"/>
        <v>0.20295470227251466</v>
      </c>
      <c r="FQ111" s="450">
        <f t="shared" ca="1" si="449"/>
        <v>0.20641414238346228</v>
      </c>
      <c r="FR111" s="450">
        <f t="shared" ca="1" si="449"/>
        <v>0.21036822423484186</v>
      </c>
      <c r="FS111" s="450">
        <f t="shared" ca="1" si="449"/>
        <v>0.21489435428284911</v>
      </c>
      <c r="FT111" s="450">
        <f t="shared" ca="1" si="449"/>
        <v>0.22008501153402024</v>
      </c>
      <c r="FU111" s="450">
        <f t="shared" ca="1" si="449"/>
        <v>0.22605141379324634</v>
      </c>
      <c r="FV111" s="450">
        <f t="shared" ca="1" si="449"/>
        <v>0.23292827035987324</v>
      </c>
      <c r="FW111" s="450">
        <f t="shared" ca="1" si="449"/>
        <v>0.24088000242158966</v>
      </c>
      <c r="FX111" s="450">
        <f t="shared" ca="1" si="449"/>
        <v>0.25010896795231613</v>
      </c>
      <c r="FY111" s="450">
        <f t="shared" ca="1" si="449"/>
        <v>0.26086645644619921</v>
      </c>
      <c r="FZ111" s="450">
        <f t="shared" ca="1" si="449"/>
        <v>0.27346755934177974</v>
      </c>
      <c r="GA111" s="450">
        <f t="shared" ca="1" si="449"/>
        <v>0.28831153717888913</v>
      </c>
      <c r="GB111" s="450">
        <f t="shared" ca="1" si="449"/>
        <v>0.30591009684566317</v>
      </c>
      <c r="GC111" s="450">
        <f t="shared" ca="1" si="449"/>
        <v>0.3269272324913472</v>
      </c>
      <c r="GD111" s="450">
        <f t="shared" ca="1" si="449"/>
        <v>0.35223626244519296</v>
      </c>
      <c r="GE111" s="450">
        <f t="shared" ca="1" si="449"/>
        <v>0.38300291773206446</v>
      </c>
      <c r="GF111" s="450" t="str">
        <f t="shared" si="449"/>
        <v/>
      </c>
      <c r="GG111" s="450" t="str">
        <f t="shared" si="449"/>
        <v/>
      </c>
      <c r="GH111" s="450" t="str">
        <f t="shared" si="449"/>
        <v/>
      </c>
      <c r="GI111" s="450" t="str">
        <f t="shared" si="449"/>
        <v/>
      </c>
      <c r="GJ111" s="450" t="str">
        <f t="shared" si="449"/>
        <v/>
      </c>
      <c r="GK111" s="450" t="str">
        <f t="shared" si="449"/>
        <v/>
      </c>
      <c r="GL111" s="450" t="str">
        <f t="shared" si="449"/>
        <v/>
      </c>
      <c r="GM111" s="450" t="str">
        <f t="shared" si="449"/>
        <v/>
      </c>
      <c r="GN111" s="450" t="str">
        <f t="shared" si="449"/>
        <v/>
      </c>
      <c r="GO111" s="450" t="str">
        <f t="shared" si="449"/>
        <v/>
      </c>
      <c r="GP111" s="450" t="str">
        <f t="shared" si="449"/>
        <v/>
      </c>
      <c r="GQ111" s="450" t="str">
        <f t="shared" si="449"/>
        <v/>
      </c>
      <c r="GR111" s="450" t="str">
        <f t="shared" si="449"/>
        <v/>
      </c>
      <c r="GS111" s="450" t="str">
        <f t="shared" si="449"/>
        <v/>
      </c>
      <c r="GT111" s="450" t="str">
        <f t="shared" si="449"/>
        <v/>
      </c>
      <c r="GU111" s="450" t="str">
        <f t="shared" si="449"/>
        <v/>
      </c>
      <c r="GV111" s="450" t="str">
        <f t="shared" si="449"/>
        <v/>
      </c>
      <c r="GW111" s="450" t="str">
        <f t="shared" si="449"/>
        <v/>
      </c>
      <c r="GX111" s="450" t="str">
        <f t="shared" si="449"/>
        <v/>
      </c>
      <c r="GY111" s="450" t="str">
        <f t="shared" si="449"/>
        <v/>
      </c>
      <c r="GZ111" s="450" t="str">
        <f t="shared" si="449"/>
        <v/>
      </c>
      <c r="HA111" s="450" t="str">
        <f t="shared" si="449"/>
        <v/>
      </c>
      <c r="HB111" s="450" t="str">
        <f t="shared" si="449"/>
        <v/>
      </c>
      <c r="HC111" s="450" t="str">
        <f t="shared" si="449"/>
        <v/>
      </c>
      <c r="HD111" s="450" t="str">
        <f t="shared" si="449"/>
        <v/>
      </c>
      <c r="HE111" s="450" t="str">
        <f t="shared" si="449"/>
        <v/>
      </c>
      <c r="HF111" s="450" t="str">
        <f t="shared" si="449"/>
        <v/>
      </c>
      <c r="HG111" s="450" t="str">
        <f t="shared" si="449"/>
        <v/>
      </c>
      <c r="HH111" s="450" t="str">
        <f t="shared" si="449"/>
        <v/>
      </c>
      <c r="HI111" s="450" t="str">
        <f t="shared" si="449"/>
        <v/>
      </c>
      <c r="HJ111" s="450" t="str">
        <f t="shared" si="449"/>
        <v/>
      </c>
      <c r="HK111" s="450" t="str">
        <f t="shared" si="449"/>
        <v/>
      </c>
      <c r="HL111" s="450" t="str">
        <f t="shared" si="449"/>
        <v/>
      </c>
      <c r="HM111" s="450" t="str">
        <f t="shared" si="449"/>
        <v/>
      </c>
      <c r="HN111" s="450" t="str">
        <f t="shared" si="449"/>
        <v/>
      </c>
      <c r="HO111" s="450" t="str">
        <f t="shared" si="449"/>
        <v/>
      </c>
      <c r="HP111" s="450" t="str">
        <f t="shared" si="449"/>
        <v/>
      </c>
      <c r="HQ111" s="450" t="str">
        <f t="shared" si="449"/>
        <v/>
      </c>
      <c r="HR111" s="450" t="str">
        <f t="shared" si="449"/>
        <v/>
      </c>
      <c r="HS111" s="450" t="str">
        <f t="shared" si="449"/>
        <v/>
      </c>
      <c r="HT111" s="450" t="str">
        <f t="shared" si="449"/>
        <v/>
      </c>
      <c r="HU111" s="450" t="str">
        <f t="shared" si="449"/>
        <v/>
      </c>
      <c r="HV111" s="450" t="str">
        <f t="shared" si="449"/>
        <v/>
      </c>
      <c r="HW111" s="450" t="str">
        <f t="shared" si="449"/>
        <v/>
      </c>
      <c r="HX111" s="450" t="str">
        <f t="shared" si="449"/>
        <v/>
      </c>
      <c r="HY111" s="450" t="str">
        <f t="shared" si="449"/>
        <v/>
      </c>
      <c r="HZ111" s="450" t="str">
        <f t="shared" si="449"/>
        <v/>
      </c>
      <c r="IA111" s="450" t="str">
        <f t="shared" si="449"/>
        <v/>
      </c>
      <c r="IB111" s="450" t="str">
        <f t="shared" si="448"/>
        <v/>
      </c>
      <c r="IC111" s="450" t="str">
        <f t="shared" si="448"/>
        <v/>
      </c>
      <c r="ID111" s="450" t="str">
        <f t="shared" si="448"/>
        <v/>
      </c>
      <c r="IE111" s="450" t="str">
        <f t="shared" si="448"/>
        <v/>
      </c>
      <c r="IF111" s="450" t="str">
        <f t="shared" si="448"/>
        <v/>
      </c>
      <c r="IG111" s="450" t="str">
        <f t="shared" si="448"/>
        <v/>
      </c>
      <c r="IH111" s="658" t="str">
        <f t="shared" si="448"/>
        <v/>
      </c>
      <c r="II111" s="242"/>
    </row>
    <row r="112" spans="8:243">
      <c r="H112" s="49" t="e">
        <f t="shared" ca="1" si="317"/>
        <v>#N/A</v>
      </c>
      <c r="I112" s="369">
        <f t="shared" si="318"/>
        <v>39814</v>
      </c>
      <c r="J112" s="367">
        <v>21.876666666666701</v>
      </c>
      <c r="K112" s="101" t="s">
        <v>267</v>
      </c>
      <c r="L112" s="382">
        <f t="shared" si="319"/>
        <v>21.876666666666654</v>
      </c>
      <c r="M112" s="163">
        <v>0.17020000000000002</v>
      </c>
      <c r="N112" s="372">
        <v>0</v>
      </c>
      <c r="O112" s="163">
        <f t="shared" si="272"/>
        <v>0.17020000000000002</v>
      </c>
      <c r="P112" s="367">
        <v>20.623588143477097</v>
      </c>
      <c r="Q112" s="101" t="s">
        <v>267</v>
      </c>
      <c r="R112" s="367">
        <f t="shared" ca="1" si="417"/>
        <v>20.623588143477122</v>
      </c>
      <c r="S112" s="814">
        <f t="shared" si="163"/>
        <v>0.36003423264757722</v>
      </c>
      <c r="T112" s="813">
        <f t="shared" si="418"/>
        <v>0.99999518332575166</v>
      </c>
      <c r="U112" s="532">
        <f t="shared" si="419"/>
        <v>0.99999999999995182</v>
      </c>
      <c r="V112" s="379">
        <v>0</v>
      </c>
      <c r="W112" s="424">
        <f t="shared" si="273"/>
        <v>21.899682539682516</v>
      </c>
      <c r="X112" s="405">
        <f t="shared" si="274"/>
        <v>21.899682539682527</v>
      </c>
      <c r="Y112" s="313">
        <f t="shared" si="275"/>
        <v>20.683682539682515</v>
      </c>
      <c r="Z112" s="313">
        <f t="shared" ca="1" si="276"/>
        <v>20.683682539682525</v>
      </c>
      <c r="AA112" s="419">
        <f t="shared" si="277"/>
        <v>1.216</v>
      </c>
      <c r="AB112" s="423">
        <f t="shared" ca="1" si="278"/>
        <v>1.216</v>
      </c>
      <c r="AC112" s="221">
        <v>39802</v>
      </c>
      <c r="AD112" s="221">
        <v>39798</v>
      </c>
      <c r="AE112" s="221">
        <v>39797</v>
      </c>
      <c r="AF112" s="221">
        <v>39793</v>
      </c>
      <c r="AG112" s="241" t="s">
        <v>497</v>
      </c>
      <c r="AH112" s="239" t="s">
        <v>497</v>
      </c>
      <c r="AI112" s="141">
        <v>21</v>
      </c>
      <c r="AJ112" s="41">
        <v>13</v>
      </c>
      <c r="AK112" s="41">
        <v>8</v>
      </c>
      <c r="AL112" s="285">
        <v>21</v>
      </c>
      <c r="AM112" s="41">
        <v>9</v>
      </c>
      <c r="AN112" s="142">
        <v>12</v>
      </c>
      <c r="AO112" s="364">
        <v>5.7218550782323997E-2</v>
      </c>
      <c r="AP112" s="145">
        <f t="shared" ca="1" si="320"/>
        <v>0.6435087290866045</v>
      </c>
      <c r="AQ112" s="364">
        <v>4.9276941937902698E-2</v>
      </c>
      <c r="AR112" s="145">
        <f t="shared" ca="1" si="420"/>
        <v>0.68780922503281883</v>
      </c>
      <c r="AS112" s="264">
        <f t="shared" si="279"/>
        <v>0.16930238095238095</v>
      </c>
      <c r="AT112" s="149">
        <f t="shared" si="321"/>
        <v>0.17020000000000002</v>
      </c>
      <c r="AU112" s="149">
        <f t="shared" si="280"/>
        <v>0.1691785714285714</v>
      </c>
      <c r="AV112" s="263">
        <f t="shared" ca="1" si="430"/>
        <v>0.16697615274831695</v>
      </c>
      <c r="AW112" s="150" t="str">
        <f t="shared" ca="1" si="281"/>
        <v/>
      </c>
      <c r="AX112" s="149">
        <f t="shared" ca="1" si="421"/>
        <v>1.7785476452601395E-2</v>
      </c>
      <c r="AY112" s="149">
        <f t="shared" ca="1" si="422"/>
        <v>7.9071624649691037E-3</v>
      </c>
      <c r="AZ112" s="149">
        <f t="shared" ca="1" si="423"/>
        <v>5.2177422145920022E-3</v>
      </c>
      <c r="BA112" s="149">
        <f t="shared" ca="1" si="424"/>
        <v>1.000000000000033E-4</v>
      </c>
      <c r="BB112" s="149">
        <f t="shared" ca="1" si="425"/>
        <v>1.000000000000033E-4</v>
      </c>
      <c r="BC112" s="149">
        <f t="shared" ca="1" si="426"/>
        <v>1.000000000000033E-4</v>
      </c>
      <c r="BD112" s="143">
        <f t="shared" ca="1" si="282"/>
        <v>0</v>
      </c>
      <c r="BE112" s="144">
        <f t="shared" ca="1" si="283"/>
        <v>0</v>
      </c>
      <c r="BF112" s="40">
        <f t="shared" si="284"/>
        <v>2009</v>
      </c>
      <c r="BG112" s="139">
        <f t="shared" si="285"/>
        <v>1</v>
      </c>
      <c r="BH112" s="140">
        <f t="shared" ca="1" si="286"/>
        <v>2808</v>
      </c>
      <c r="BI112" s="304">
        <f t="shared" ca="1" si="440"/>
        <v>7.7316906228610538</v>
      </c>
      <c r="BJ112" s="42">
        <f t="shared" ca="1" si="288"/>
        <v>7.7825364231935072</v>
      </c>
      <c r="BK112" s="42">
        <f t="shared" ca="1" si="289"/>
        <v>7.7852742739806393</v>
      </c>
      <c r="BL112" s="42">
        <f t="shared" ca="1" si="441"/>
        <v>7.8138261464750167</v>
      </c>
      <c r="BM112" s="285">
        <f t="shared" si="442"/>
        <v>21</v>
      </c>
      <c r="BN112" s="41">
        <f t="shared" si="443"/>
        <v>13</v>
      </c>
      <c r="BO112" s="41">
        <f t="shared" si="444"/>
        <v>8</v>
      </c>
      <c r="BP112" s="297" t="str">
        <f t="shared" ca="1" si="293"/>
        <v/>
      </c>
      <c r="BQ112" s="297" t="str">
        <f t="shared" ca="1" si="294"/>
        <v/>
      </c>
      <c r="BR112" s="299" t="str">
        <f t="shared" ca="1" si="295"/>
        <v/>
      </c>
      <c r="BS112" s="153" t="str">
        <f t="shared" ca="1" si="296"/>
        <v/>
      </c>
      <c r="BT112" s="153" t="str">
        <f t="shared" ca="1" si="297"/>
        <v/>
      </c>
      <c r="BU112" s="300" t="str">
        <f t="shared" ca="1" si="298"/>
        <v/>
      </c>
      <c r="BV112" s="301" t="str">
        <f t="shared" ca="1" si="299"/>
        <v/>
      </c>
      <c r="BW112" s="300" t="str">
        <f t="shared" ca="1" si="300"/>
        <v/>
      </c>
      <c r="BX112" s="301" t="str">
        <f t="shared" ca="1" si="301"/>
        <v/>
      </c>
      <c r="BY112" s="146" t="str">
        <f t="shared" ca="1" si="302"/>
        <v/>
      </c>
      <c r="BZ112" s="146" t="str">
        <f t="shared" ca="1" si="303"/>
        <v/>
      </c>
      <c r="CA112" s="146" t="str">
        <f t="shared" ca="1" si="304"/>
        <v/>
      </c>
      <c r="CB112" s="146" t="str">
        <f t="shared" ca="1" si="305"/>
        <v/>
      </c>
      <c r="CC112" s="302">
        <v>1</v>
      </c>
      <c r="CD112" s="154">
        <f ca="1">IF(BD112,_xll.xCrudeAPO(BS112,BT112,BY112,BZ112,S113,S114,BI112,BL112,BN112,BO112,0,Strike1,AO112,CC112,0,BL112,IF(OptControl=4,0,1),0,1),0)</f>
        <v>0</v>
      </c>
      <c r="CE112" s="155">
        <f ca="1">IF(BD112,_xll.xCrudeAPO(BS112,BT112,BY112,BZ112,S113,S114,BI112,BL112,BN112,BO112,0,Strike1,AO112,CC112,0,BL112,IF(OptControl=4,0,1),1,1)+_xll.xCrudeAPO(BS112,BT112,BY112,BZ112,S113,S114,BI112,BL112,BN112,BO112,0,Strike1,AO112,CC112,0,BL112,IF(OptControl=4,0,1),1,2)+IF(OR(VolSkewFlag=2,ABS(BQ112)&lt;0.0001),0,IF(BQ112&gt;0,-1,1)*CF112*Strike1/BP112^2*BW112/10%),0)</f>
        <v>0</v>
      </c>
      <c r="CF112" s="155">
        <f ca="1">IF(BD112,(_xll.xCrudeAPO(BS112,BT112,BY112,BZ112,S113,S114,BI112,BL112,BN112,BO112,0,Strike1,AO112,CC112,0,BL112,IF(OptControl=4,0,1),3,1)+_xll.xCrudeAPO(BS112,BT112,BY112,BZ112,S113,S114,BI112,BL112,BN112,BO112,0,Strike1,AO112,CC112,0,BL112,IF(OptControl=4,0,1),3,2))/100,0)</f>
        <v>0</v>
      </c>
      <c r="CG112" s="155">
        <f ca="1">IF(BD112,_xll.xCrudeAPO(BS112,BT112,BY112,BZ112,S113,S114,BI112-DaysForThetaCalculation/365.25,BL112-DaysForThetaCalculation/365.25,BN112,BO112,0,Strike1,AO112,CC112,0,BL112,IF(OptControl=4,0,1),0,1)-_xll.xCrudeAPO(BS112,BT112,BY112,BZ112,S113,S114,BI112,BL112,BN112,BO112,0,Strike1,AO112,CC112,0,BL112,IF(OptControl=4,0,1),0,1),0)</f>
        <v>0</v>
      </c>
      <c r="CH112" s="303">
        <f ca="1">IF(BD112,_xll.xCrudeAPO(BS112,BT112,CA112,CB112,S113,S114,BI112,BL112,BN112,BO112,0,Strike2,AO112,CC112,0,BL112,IF(OptControl=3,1,0),0,1),0)</f>
        <v>0</v>
      </c>
      <c r="CI112" s="155">
        <f ca="1">IF(BD112,_xll.xCrudeAPO(BS112,BT112,CA112,CB112,S113,S114,BI112,BL112,BN112,BO112,0,Strike2,AO112,CC112,0,BL112,IF(OptControl=3,1,0),1,1)+_xll.xCrudeAPO(BS112,BT112,CA112,CB112,S113,S114,BI112,BL112,BN112,BO112,0,Strike2,AO112,CC112,0,BL112,IF(OptControl=3,1,0),1,2)+IF(OR(VolSkewFlag=2,ABS(BR112)&lt;0.0001),0,IF(BR112&gt;0,-1,1)*CJ112*Strike2/BP112^2*BX112/10%),0)</f>
        <v>0</v>
      </c>
      <c r="CJ112" s="155">
        <f ca="1">IF(BD112,(_xll.xCrudeAPO(BS112,BT112,CA112,CB112,S113,S114,BI112,BL112,BN112,BO112,0,Strike2,AO112,CC112,0,BL112,IF(OptControl=3,1,0),3,1)+_xll.xCrudeAPO(BS112,BT112,CA112,CB112,S113,S114,BI112,BL112,BN112,BO112,0,Strike2,AO112,CC112,0,BL112,IF(OptControl=3,1,0),3,2))/100,0)</f>
        <v>0</v>
      </c>
      <c r="CK112" s="156">
        <f ca="1">IF(BD112,_xll.xCrudeAPO(BS112,BT112,CA112,CB112,S113,S114,BI112-DaysForThetaCalculation/365.25,BL112-DaysForThetaCalculation/365.25,BN112,BO112,0,Strike2,AO112,CC112,0,BL112,IF(OptControl=3,1,0),0,1)-_xll.xCrudeAPO(BS112,BT112,CA112,CB112,S113,S114,BI112,BL112,BN112,BO112,0,Strike2,AO112,CC112,0,BL112,IF(OptControl=3,1,0),0,1),0)</f>
        <v>0</v>
      </c>
      <c r="CL112" s="51"/>
      <c r="CM112" s="779" t="str">
        <f t="shared" ca="1" si="323"/>
        <v/>
      </c>
      <c r="CN112" s="783" t="str">
        <f t="shared" ca="1" si="324"/>
        <v/>
      </c>
      <c r="CO112" s="780" t="str">
        <f t="shared" ca="1" si="325"/>
        <v/>
      </c>
      <c r="CP112" s="780" t="str">
        <f t="shared" ca="1" si="326"/>
        <v/>
      </c>
      <c r="CQ112" s="780" t="str">
        <f t="shared" ca="1" si="327"/>
        <v/>
      </c>
      <c r="CR112" s="780" t="str">
        <f t="shared" ca="1" si="328"/>
        <v/>
      </c>
      <c r="CS112" s="781" t="str">
        <f t="shared" ca="1" si="329"/>
        <v/>
      </c>
      <c r="CT112" s="782" t="str">
        <f t="shared" ca="1" si="330"/>
        <v/>
      </c>
      <c r="CU112" s="782" t="str">
        <f t="shared" ca="1" si="331"/>
        <v/>
      </c>
      <c r="CV112" s="155">
        <f ca="1">IF(BD112,_xll.EURO(CN112,Strike1,AO112,AO112,CT112,CM112,IF(OptControl=4,0,1),0),0)</f>
        <v>0</v>
      </c>
      <c r="CW112" s="155">
        <f ca="1">IF(BD112,_xll.EURO(CN112,Strike1,AO112,AO112,CT112,CM112,IF(OptControl=4,0,1),1)+IF(OR(VolSkewFlag=2,ABS(CO112)&lt;0.0001),0,IF(CO112&gt;0,-1,1)*CX112*100*Strike1/CN112^2*CQ112/10%),0)</f>
        <v>0</v>
      </c>
      <c r="CX112" s="155">
        <f ca="1">IF(BD112,_xll.EURO(CN112,Strike1,AO112,AO112,CT112,CM112,IF(OptControl=4,0,1),3)/100,0)</f>
        <v>0</v>
      </c>
      <c r="CY112" s="155">
        <f ca="1">IF(BD112,_xll.EURO(CN112,Strike1,AO112,AO112,CT112,CM112,IF(OptControl=4,0,1),0)-_xll.EURO(CN112,Strike1,AO112,AO112,CT112,CM112-1,IF(OptControl=4,0,1),0),0)</f>
        <v>0</v>
      </c>
      <c r="CZ112" s="155">
        <f ca="1">IF(BD112,_xll.EURO(CN112,Strike2,AO112,AO112,CU112,CM112,IF(OptControl=3,1,0),0),0)</f>
        <v>0</v>
      </c>
      <c r="DA112" s="155">
        <f ca="1">IF(BD112,_xll.EURO(CN112,Strike2,AO112,AO112,CU112,CM112,IF(OptControl=3,1,0),1)+IF(OR(VolSkewFlag=2,ABS(CP112)&lt;0.0001),0,IF(CP112&gt;0,-1,1)*DB112*100*Strike2/CN112^2*CR112/10%),0)</f>
        <v>0</v>
      </c>
      <c r="DB112" s="155">
        <f ca="1">IF(BD112,_xll.EURO(CN112,Strike2,AO112,AO112,CU112,CM112,IF(OptControl=3,1,0),3)/100,0)</f>
        <v>0</v>
      </c>
      <c r="DC112" s="156">
        <f ca="1">IF(BD112,_xll.EURO(CN112,Strike2,AO112,AO112,CU112,CM112,IF(OptControl=3,1,0),0)-_xll.EURO(CN112,Strike2,AO112,AO112,CU112,CM112-1,IF(OptControl=3,1,0),0),0)</f>
        <v>0</v>
      </c>
      <c r="DE112" s="651">
        <f t="shared" ca="1" si="332"/>
        <v>39722</v>
      </c>
      <c r="DF112" s="465">
        <v>1E-4</v>
      </c>
      <c r="DG112" s="649">
        <v>1E-4</v>
      </c>
      <c r="DH112" s="650">
        <f t="shared" ca="1" si="306"/>
        <v>39722</v>
      </c>
      <c r="DI112" s="465">
        <v>1E-4</v>
      </c>
      <c r="DJ112" s="649">
        <v>1E-4</v>
      </c>
      <c r="DK112" s="651">
        <f t="shared" ca="1" si="307"/>
        <v>39722</v>
      </c>
      <c r="DL112" s="652">
        <f t="shared" si="308"/>
        <v>5.0100000000000006E-2</v>
      </c>
      <c r="DM112" s="651">
        <f t="shared" ca="1" si="333"/>
        <v>39722</v>
      </c>
      <c r="DN112" s="563">
        <f t="shared" si="334"/>
        <v>-0.12990000000000002</v>
      </c>
      <c r="DO112" s="803">
        <v>-0.13</v>
      </c>
      <c r="DP112" s="650">
        <f t="shared" ca="1" si="309"/>
        <v>39722</v>
      </c>
      <c r="DQ112" s="653">
        <v>1E-4</v>
      </c>
      <c r="DR112" s="590">
        <v>1E-4</v>
      </c>
      <c r="DS112" s="650">
        <f t="shared" ca="1" si="310"/>
        <v>39722</v>
      </c>
      <c r="DT112" s="653">
        <v>1E-4</v>
      </c>
      <c r="DU112" s="590">
        <v>1E-4</v>
      </c>
      <c r="DV112" s="651">
        <f t="shared" ca="1" si="311"/>
        <v>39722</v>
      </c>
      <c r="DW112" s="590">
        <v>1E-4</v>
      </c>
      <c r="DX112" s="651">
        <f t="shared" ca="1" si="335"/>
        <v>39722</v>
      </c>
      <c r="DY112" s="590">
        <f t="shared" si="336"/>
        <v>1E-4</v>
      </c>
      <c r="DZ112" s="1"/>
      <c r="EA112" s="857"/>
      <c r="EB112" s="857"/>
      <c r="EC112" s="857"/>
      <c r="ED112" s="868" t="e">
        <f t="shared" ca="1" si="436"/>
        <v>#NAME?</v>
      </c>
      <c r="EE112" s="863" t="e">
        <f t="shared" ca="1" si="312"/>
        <v>#NAME?</v>
      </c>
      <c r="EF112" s="590" t="e">
        <f t="shared" ca="1" si="313"/>
        <v>#NAME?</v>
      </c>
      <c r="EG112" s="862" t="str">
        <f t="shared" ca="1" si="314"/>
        <v/>
      </c>
      <c r="EH112" s="114" t="str">
        <f t="shared" ca="1" si="315"/>
        <v/>
      </c>
      <c r="EI112" s="109" t="str">
        <f t="shared" ca="1" si="316"/>
        <v/>
      </c>
      <c r="EJ112" s="115">
        <f ca="1">IF(BD112,_xll.xASN(BP112,Strike1,AO112,EH112,0,BM112,0,BI112,BL112,IF(OptControl=4,0,1),0),0)</f>
        <v>0</v>
      </c>
      <c r="EK112" s="108">
        <f ca="1">IF(BD112,_xll.xASN(BP112,Strike2,AO112,EI112,0,BM112,0,BI112,BL112,IF(OptControl=3,1,0),0),0)</f>
        <v>0</v>
      </c>
      <c r="EP112" s="53"/>
      <c r="EQ112" s="1"/>
      <c r="ER112" s="103"/>
      <c r="ES112" s="103"/>
      <c r="ET112" s="1"/>
      <c r="EU112" s="667" t="s">
        <v>324</v>
      </c>
      <c r="EW112" s="445"/>
      <c r="EX112" s="36"/>
      <c r="EY112" s="104"/>
      <c r="EZ112" s="465"/>
      <c r="FA112" s="446"/>
      <c r="FB112" s="446"/>
      <c r="FC112" s="242"/>
      <c r="FD112" s="242"/>
      <c r="FE112" s="242"/>
      <c r="FF112" s="242"/>
      <c r="FG112" s="242"/>
      <c r="FH112" s="242"/>
      <c r="FI112" s="242"/>
      <c r="FJ112" s="242"/>
      <c r="FK112" s="242"/>
      <c r="FL112" s="242"/>
      <c r="FM112" s="242"/>
      <c r="FN112" s="657">
        <v>18</v>
      </c>
      <c r="FO112" s="450">
        <f t="shared" ca="1" si="433"/>
        <v>0.19681373424515788</v>
      </c>
      <c r="FP112" s="450">
        <f t="shared" ca="1" si="449"/>
        <v>0.19966614832544533</v>
      </c>
      <c r="FQ112" s="450">
        <f t="shared" ca="1" si="449"/>
        <v>0.20269450393626781</v>
      </c>
      <c r="FR112" s="450">
        <f t="shared" ca="1" si="449"/>
        <v>0.20615181889057443</v>
      </c>
      <c r="FS112" s="450">
        <f t="shared" ca="1" si="449"/>
        <v>0.21010321234993989</v>
      </c>
      <c r="FT112" s="450">
        <f t="shared" ca="1" si="449"/>
        <v>0.21462600968366924</v>
      </c>
      <c r="FU112" s="450">
        <f t="shared" ca="1" si="449"/>
        <v>0.21981259330265243</v>
      </c>
      <c r="FV112" s="450">
        <f t="shared" ca="1" si="449"/>
        <v>0.22577406516565271</v>
      </c>
      <c r="FW112" s="450">
        <f t="shared" ca="1" si="449"/>
        <v>0.23264499463152938</v>
      </c>
      <c r="FX112" s="450">
        <f t="shared" ca="1" si="449"/>
        <v>0.24058963252278676</v>
      </c>
      <c r="FY112" s="450">
        <f t="shared" ca="1" si="449"/>
        <v>0.24981012766646107</v>
      </c>
      <c r="FZ112" s="450">
        <f t="shared" ca="1" si="449"/>
        <v>0.26055751047562886</v>
      </c>
      <c r="GA112" s="450">
        <f t="shared" ca="1" si="449"/>
        <v>0.27314654831668095</v>
      </c>
      <c r="GB112" s="450">
        <f t="shared" ca="1" si="449"/>
        <v>0.28797609208232366</v>
      </c>
      <c r="GC112" s="450">
        <f t="shared" ca="1" si="449"/>
        <v>0.30555732491649923</v>
      </c>
      <c r="GD112" s="450">
        <f t="shared" ca="1" si="449"/>
        <v>0.32655356302350386</v>
      </c>
      <c r="GE112" s="450">
        <f t="shared" ca="1" si="449"/>
        <v>0.35183723529580546</v>
      </c>
      <c r="GF112" s="450">
        <f t="shared" ca="1" si="449"/>
        <v>0.38257288855474381</v>
      </c>
      <c r="GG112" s="450" t="str">
        <f t="shared" si="449"/>
        <v/>
      </c>
      <c r="GH112" s="450" t="str">
        <f t="shared" si="449"/>
        <v/>
      </c>
      <c r="GI112" s="450" t="str">
        <f t="shared" si="449"/>
        <v/>
      </c>
      <c r="GJ112" s="450" t="str">
        <f t="shared" si="449"/>
        <v/>
      </c>
      <c r="GK112" s="450" t="str">
        <f t="shared" si="449"/>
        <v/>
      </c>
      <c r="GL112" s="450" t="str">
        <f t="shared" si="449"/>
        <v/>
      </c>
      <c r="GM112" s="450" t="str">
        <f t="shared" si="449"/>
        <v/>
      </c>
      <c r="GN112" s="450" t="str">
        <f t="shared" si="449"/>
        <v/>
      </c>
      <c r="GO112" s="450" t="str">
        <f t="shared" si="449"/>
        <v/>
      </c>
      <c r="GP112" s="450" t="str">
        <f t="shared" si="449"/>
        <v/>
      </c>
      <c r="GQ112" s="450" t="str">
        <f t="shared" si="449"/>
        <v/>
      </c>
      <c r="GR112" s="450" t="str">
        <f t="shared" si="449"/>
        <v/>
      </c>
      <c r="GS112" s="450" t="str">
        <f t="shared" si="449"/>
        <v/>
      </c>
      <c r="GT112" s="450" t="str">
        <f t="shared" si="449"/>
        <v/>
      </c>
      <c r="GU112" s="450" t="str">
        <f t="shared" si="449"/>
        <v/>
      </c>
      <c r="GV112" s="450" t="str">
        <f t="shared" si="449"/>
        <v/>
      </c>
      <c r="GW112" s="450" t="str">
        <f t="shared" si="449"/>
        <v/>
      </c>
      <c r="GX112" s="450" t="str">
        <f t="shared" si="449"/>
        <v/>
      </c>
      <c r="GY112" s="450" t="str">
        <f t="shared" si="449"/>
        <v/>
      </c>
      <c r="GZ112" s="450" t="str">
        <f t="shared" si="449"/>
        <v/>
      </c>
      <c r="HA112" s="450" t="str">
        <f t="shared" si="449"/>
        <v/>
      </c>
      <c r="HB112" s="450" t="str">
        <f t="shared" si="449"/>
        <v/>
      </c>
      <c r="HC112" s="450" t="str">
        <f t="shared" si="449"/>
        <v/>
      </c>
      <c r="HD112" s="450" t="str">
        <f t="shared" si="449"/>
        <v/>
      </c>
      <c r="HE112" s="450" t="str">
        <f t="shared" si="449"/>
        <v/>
      </c>
      <c r="HF112" s="450" t="str">
        <f t="shared" si="449"/>
        <v/>
      </c>
      <c r="HG112" s="450" t="str">
        <f t="shared" si="449"/>
        <v/>
      </c>
      <c r="HH112" s="450" t="str">
        <f t="shared" si="449"/>
        <v/>
      </c>
      <c r="HI112" s="450" t="str">
        <f t="shared" si="449"/>
        <v/>
      </c>
      <c r="HJ112" s="450" t="str">
        <f t="shared" si="449"/>
        <v/>
      </c>
      <c r="HK112" s="450" t="str">
        <f t="shared" si="449"/>
        <v/>
      </c>
      <c r="HL112" s="450" t="str">
        <f t="shared" si="449"/>
        <v/>
      </c>
      <c r="HM112" s="450" t="str">
        <f t="shared" si="449"/>
        <v/>
      </c>
      <c r="HN112" s="450" t="str">
        <f t="shared" si="449"/>
        <v/>
      </c>
      <c r="HO112" s="450" t="str">
        <f t="shared" si="449"/>
        <v/>
      </c>
      <c r="HP112" s="450" t="str">
        <f t="shared" si="449"/>
        <v/>
      </c>
      <c r="HQ112" s="450" t="str">
        <f t="shared" si="449"/>
        <v/>
      </c>
      <c r="HR112" s="450" t="str">
        <f t="shared" si="449"/>
        <v/>
      </c>
      <c r="HS112" s="450" t="str">
        <f t="shared" si="449"/>
        <v/>
      </c>
      <c r="HT112" s="450" t="str">
        <f t="shared" si="449"/>
        <v/>
      </c>
      <c r="HU112" s="450" t="str">
        <f t="shared" si="449"/>
        <v/>
      </c>
      <c r="HV112" s="450" t="str">
        <f t="shared" si="449"/>
        <v/>
      </c>
      <c r="HW112" s="450" t="str">
        <f t="shared" si="449"/>
        <v/>
      </c>
      <c r="HX112" s="450" t="str">
        <f t="shared" si="449"/>
        <v/>
      </c>
      <c r="HY112" s="450" t="str">
        <f t="shared" si="449"/>
        <v/>
      </c>
      <c r="HZ112" s="450" t="str">
        <f t="shared" si="449"/>
        <v/>
      </c>
      <c r="IA112" s="450" t="str">
        <f t="shared" ref="IA112:IH115" si="450">IF($FN37&lt;IA$94,"",SQRT(IA37/IA$15))</f>
        <v/>
      </c>
      <c r="IB112" s="450" t="str">
        <f t="shared" si="450"/>
        <v/>
      </c>
      <c r="IC112" s="450" t="str">
        <f t="shared" si="450"/>
        <v/>
      </c>
      <c r="ID112" s="450" t="str">
        <f t="shared" si="450"/>
        <v/>
      </c>
      <c r="IE112" s="450" t="str">
        <f t="shared" si="450"/>
        <v/>
      </c>
      <c r="IF112" s="450" t="str">
        <f t="shared" si="450"/>
        <v/>
      </c>
      <c r="IG112" s="450" t="str">
        <f t="shared" si="450"/>
        <v/>
      </c>
      <c r="IH112" s="658" t="str">
        <f t="shared" si="450"/>
        <v/>
      </c>
      <c r="II112" s="242"/>
    </row>
    <row r="113" spans="8:243">
      <c r="H113" s="49" t="e">
        <f t="shared" ca="1" si="317"/>
        <v>#N/A</v>
      </c>
      <c r="I113" s="369">
        <f t="shared" si="318"/>
        <v>39845</v>
      </c>
      <c r="J113" s="367">
        <v>21.893333333333299</v>
      </c>
      <c r="K113" s="101" t="s">
        <v>267</v>
      </c>
      <c r="L113" s="382">
        <f t="shared" si="319"/>
        <v>21.89333333333332</v>
      </c>
      <c r="M113" s="163">
        <v>0.16954999999999998</v>
      </c>
      <c r="N113" s="372">
        <v>0</v>
      </c>
      <c r="O113" s="163">
        <f t="shared" si="272"/>
        <v>0.16954999999999998</v>
      </c>
      <c r="P113" s="367">
        <v>20.654354324880199</v>
      </c>
      <c r="Q113" s="101" t="s">
        <v>267</v>
      </c>
      <c r="R113" s="367">
        <f t="shared" ca="1" si="417"/>
        <v>20.654354324880156</v>
      </c>
      <c r="S113" s="814">
        <f t="shared" si="163"/>
        <v>0.35983389032110147</v>
      </c>
      <c r="T113" s="813">
        <f t="shared" si="418"/>
        <v>0.9999956649942241</v>
      </c>
      <c r="U113" s="532">
        <f t="shared" si="419"/>
        <v>0.99999999999996381</v>
      </c>
      <c r="V113" s="379">
        <v>0</v>
      </c>
      <c r="W113" s="424">
        <f t="shared" si="273"/>
        <v>21.914166666666674</v>
      </c>
      <c r="X113" s="405">
        <f t="shared" si="274"/>
        <v>21.914166666666652</v>
      </c>
      <c r="Y113" s="313">
        <f t="shared" si="275"/>
        <v>20.698166666666673</v>
      </c>
      <c r="Z113" s="313">
        <f t="shared" ca="1" si="276"/>
        <v>20.698166666666651</v>
      </c>
      <c r="AA113" s="419">
        <f t="shared" si="277"/>
        <v>1.216</v>
      </c>
      <c r="AB113" s="423">
        <f t="shared" ca="1" si="278"/>
        <v>1.216</v>
      </c>
      <c r="AC113" s="221">
        <v>39833</v>
      </c>
      <c r="AD113" s="221">
        <v>39829</v>
      </c>
      <c r="AE113" s="221">
        <v>39828</v>
      </c>
      <c r="AF113" s="221">
        <v>39824</v>
      </c>
      <c r="AG113" s="241" t="s">
        <v>497</v>
      </c>
      <c r="AH113" s="239" t="s">
        <v>497</v>
      </c>
      <c r="AI113" s="141">
        <v>20</v>
      </c>
      <c r="AJ113" s="41">
        <v>15</v>
      </c>
      <c r="AK113" s="41">
        <v>5</v>
      </c>
      <c r="AL113" s="285">
        <v>20</v>
      </c>
      <c r="AM113" s="41">
        <v>10</v>
      </c>
      <c r="AN113" s="142">
        <v>10</v>
      </c>
      <c r="AO113" s="364">
        <v>5.72959594980769E-2</v>
      </c>
      <c r="AP113" s="145">
        <f t="shared" ca="1" si="320"/>
        <v>0.64035134920266301</v>
      </c>
      <c r="AQ113" s="364">
        <v>4.9297749245788197E-2</v>
      </c>
      <c r="AR113" s="145">
        <f t="shared" ca="1" si="420"/>
        <v>0.68486522105441849</v>
      </c>
      <c r="AS113" s="264">
        <f t="shared" si="279"/>
        <v>0.16873750000000001</v>
      </c>
      <c r="AT113" s="149">
        <f t="shared" si="321"/>
        <v>0.16954999999999998</v>
      </c>
      <c r="AU113" s="149">
        <f t="shared" si="280"/>
        <v>0.168575</v>
      </c>
      <c r="AV113" s="263">
        <f t="shared" ca="1" si="430"/>
        <v>0.1662381399173041</v>
      </c>
      <c r="AW113" s="150" t="str">
        <f t="shared" ca="1" si="281"/>
        <v/>
      </c>
      <c r="AX113" s="149">
        <f t="shared" ca="1" si="421"/>
        <v>1.7535622278078183E-2</v>
      </c>
      <c r="AY113" s="149">
        <f t="shared" ca="1" si="422"/>
        <v>7.7711128674742063E-3</v>
      </c>
      <c r="AZ113" s="149">
        <f t="shared" ca="1" si="423"/>
        <v>5.1555576341321624E-3</v>
      </c>
      <c r="BA113" s="149">
        <f t="shared" ca="1" si="424"/>
        <v>1.0000000000000335E-4</v>
      </c>
      <c r="BB113" s="149">
        <f t="shared" ca="1" si="425"/>
        <v>1.0000000000000335E-4</v>
      </c>
      <c r="BC113" s="149">
        <f t="shared" ca="1" si="426"/>
        <v>1.0000000000000335E-4</v>
      </c>
      <c r="BD113" s="143">
        <f t="shared" ca="1" si="282"/>
        <v>0</v>
      </c>
      <c r="BE113" s="144">
        <f t="shared" ca="1" si="283"/>
        <v>0</v>
      </c>
      <c r="BF113" s="40">
        <f t="shared" si="284"/>
        <v>2009</v>
      </c>
      <c r="BG113" s="139">
        <f t="shared" si="285"/>
        <v>2</v>
      </c>
      <c r="BH113" s="140">
        <f t="shared" ca="1" si="286"/>
        <v>2839</v>
      </c>
      <c r="BI113" s="304">
        <f t="shared" ca="1" si="440"/>
        <v>7.8165639972621488</v>
      </c>
      <c r="BJ113" s="42">
        <f t="shared" ca="1" si="288"/>
        <v>7.8720054757015738</v>
      </c>
      <c r="BK113" s="42">
        <f t="shared" ca="1" si="289"/>
        <v>7.8747433264887059</v>
      </c>
      <c r="BL113" s="42">
        <f t="shared" ca="1" si="441"/>
        <v>7.8904859685147155</v>
      </c>
      <c r="BM113" s="285">
        <f t="shared" si="442"/>
        <v>20</v>
      </c>
      <c r="BN113" s="41">
        <f t="shared" si="443"/>
        <v>15</v>
      </c>
      <c r="BO113" s="41">
        <f t="shared" si="444"/>
        <v>5</v>
      </c>
      <c r="BP113" s="297" t="str">
        <f t="shared" ca="1" si="293"/>
        <v/>
      </c>
      <c r="BQ113" s="297" t="str">
        <f t="shared" ca="1" si="294"/>
        <v/>
      </c>
      <c r="BR113" s="299" t="str">
        <f t="shared" ca="1" si="295"/>
        <v/>
      </c>
      <c r="BS113" s="153" t="str">
        <f t="shared" ca="1" si="296"/>
        <v/>
      </c>
      <c r="BT113" s="153" t="str">
        <f t="shared" ca="1" si="297"/>
        <v/>
      </c>
      <c r="BU113" s="300" t="str">
        <f t="shared" ca="1" si="298"/>
        <v/>
      </c>
      <c r="BV113" s="301" t="str">
        <f t="shared" ca="1" si="299"/>
        <v/>
      </c>
      <c r="BW113" s="300" t="str">
        <f t="shared" ca="1" si="300"/>
        <v/>
      </c>
      <c r="BX113" s="301" t="str">
        <f t="shared" ca="1" si="301"/>
        <v/>
      </c>
      <c r="BY113" s="146" t="str">
        <f t="shared" ca="1" si="302"/>
        <v/>
      </c>
      <c r="BZ113" s="146" t="str">
        <f t="shared" ca="1" si="303"/>
        <v/>
      </c>
      <c r="CA113" s="146" t="str">
        <f t="shared" ca="1" si="304"/>
        <v/>
      </c>
      <c r="CB113" s="146" t="str">
        <f t="shared" ca="1" si="305"/>
        <v/>
      </c>
      <c r="CC113" s="302">
        <v>1</v>
      </c>
      <c r="CD113" s="154">
        <f ca="1">IF(BD113,_xll.xCrudeAPO(BS113,BT113,BY113,BZ113,S114,S115,BI113,BL113,BN113,BO113,0,Strike1,AO113,CC113,0,BL113,IF(OptControl=4,0,1),0,1),0)</f>
        <v>0</v>
      </c>
      <c r="CE113" s="155">
        <f ca="1">IF(BD113,_xll.xCrudeAPO(BS113,BT113,BY113,BZ113,S114,S115,BI113,BL113,BN113,BO113,0,Strike1,AO113,CC113,0,BL113,IF(OptControl=4,0,1),1,1)+_xll.xCrudeAPO(BS113,BT113,BY113,BZ113,S114,S115,BI113,BL113,BN113,BO113,0,Strike1,AO113,CC113,0,BL113,IF(OptControl=4,0,1),1,2)+IF(OR(VolSkewFlag=2,ABS(BQ113)&lt;0.0001),0,IF(BQ113&gt;0,-1,1)*CF113*Strike1/BP113^2*BW113/10%),0)</f>
        <v>0</v>
      </c>
      <c r="CF113" s="155">
        <f ca="1">IF(BD113,(_xll.xCrudeAPO(BS113,BT113,BY113,BZ113,S114,S115,BI113,BL113,BN113,BO113,0,Strike1,AO113,CC113,0,BL113,IF(OptControl=4,0,1),3,1)+_xll.xCrudeAPO(BS113,BT113,BY113,BZ113,S114,S115,BI113,BL113,BN113,BO113,0,Strike1,AO113,CC113,0,BL113,IF(OptControl=4,0,1),3,2))/100,0)</f>
        <v>0</v>
      </c>
      <c r="CG113" s="155">
        <f ca="1">IF(BD113,_xll.xCrudeAPO(BS113,BT113,BY113,BZ113,S114,S115,BI113-DaysForThetaCalculation/365.25,BL113-DaysForThetaCalculation/365.25,BN113,BO113,0,Strike1,AO113,CC113,0,BL113,IF(OptControl=4,0,1),0,1)-_xll.xCrudeAPO(BS113,BT113,BY113,BZ113,S114,S115,BI113,BL113,BN113,BO113,0,Strike1,AO113,CC113,0,BL113,IF(OptControl=4,0,1),0,1),0)</f>
        <v>0</v>
      </c>
      <c r="CH113" s="303">
        <f ca="1">IF(BD113,_xll.xCrudeAPO(BS113,BT113,CA113,CB113,S114,S115,BI113,BL113,BN113,BO113,0,Strike2,AO113,CC113,0,BL113,IF(OptControl=3,1,0),0,1),0)</f>
        <v>0</v>
      </c>
      <c r="CI113" s="155">
        <f ca="1">IF(BD113,_xll.xCrudeAPO(BS113,BT113,CA113,CB113,S114,S115,BI113,BL113,BN113,BO113,0,Strike2,AO113,CC113,0,BL113,IF(OptControl=3,1,0),1,1)+_xll.xCrudeAPO(BS113,BT113,CA113,CB113,S114,S115,BI113,BL113,BN113,BO113,0,Strike2,AO113,CC113,0,BL113,IF(OptControl=3,1,0),1,2)+IF(OR(VolSkewFlag=2,ABS(BR113)&lt;0.0001),0,IF(BR113&gt;0,-1,1)*CJ113*Strike2/BP113^2*BX113/10%),0)</f>
        <v>0</v>
      </c>
      <c r="CJ113" s="155">
        <f ca="1">IF(BD113,(_xll.xCrudeAPO(BS113,BT113,CA113,CB113,S114,S115,BI113,BL113,BN113,BO113,0,Strike2,AO113,CC113,0,BL113,IF(OptControl=3,1,0),3,1)+_xll.xCrudeAPO(BS113,BT113,CA113,CB113,S114,S115,BI113,BL113,BN113,BO113,0,Strike2,AO113,CC113,0,BL113,IF(OptControl=3,1,0),3,2))/100,0)</f>
        <v>0</v>
      </c>
      <c r="CK113" s="156">
        <f ca="1">IF(BD113,_xll.xCrudeAPO(BS113,BT113,CA113,CB113,S114,S115,BI113-DaysForThetaCalculation/365.25,BL113-DaysForThetaCalculation/365.25,BN113,BO113,0,Strike2,AO113,CC113,0,BL113,IF(OptControl=3,1,0),0,1)-_xll.xCrudeAPO(BS113,BT113,CA113,CB113,S114,S115,BI113,BL113,BN113,BO113,0,Strike2,AO113,CC113,0,BL113,IF(OptControl=3,1,0),0,1),0)</f>
        <v>0</v>
      </c>
      <c r="CL113" s="51"/>
      <c r="CM113" s="779" t="str">
        <f t="shared" ca="1" si="323"/>
        <v/>
      </c>
      <c r="CN113" s="783" t="str">
        <f t="shared" ca="1" si="324"/>
        <v/>
      </c>
      <c r="CO113" s="780" t="str">
        <f t="shared" ca="1" si="325"/>
        <v/>
      </c>
      <c r="CP113" s="780" t="str">
        <f t="shared" ca="1" si="326"/>
        <v/>
      </c>
      <c r="CQ113" s="780" t="str">
        <f t="shared" ca="1" si="327"/>
        <v/>
      </c>
      <c r="CR113" s="780" t="str">
        <f t="shared" ca="1" si="328"/>
        <v/>
      </c>
      <c r="CS113" s="781" t="str">
        <f t="shared" ca="1" si="329"/>
        <v/>
      </c>
      <c r="CT113" s="782" t="str">
        <f t="shared" ca="1" si="330"/>
        <v/>
      </c>
      <c r="CU113" s="782" t="str">
        <f t="shared" ca="1" si="331"/>
        <v/>
      </c>
      <c r="CV113" s="155">
        <f ca="1">IF(BD113,_xll.EURO(CN113,Strike1,AO113,AO113,CT113,CM113,IF(OptControl=4,0,1),0),0)</f>
        <v>0</v>
      </c>
      <c r="CW113" s="155">
        <f ca="1">IF(BD113,_xll.EURO(CN113,Strike1,AO113,AO113,CT113,CM113,IF(OptControl=4,0,1),1)+IF(OR(VolSkewFlag=2,ABS(CO113)&lt;0.0001),0,IF(CO113&gt;0,-1,1)*CX113*100*Strike1/CN113^2*CQ113/10%),0)</f>
        <v>0</v>
      </c>
      <c r="CX113" s="155">
        <f ca="1">IF(BD113,_xll.EURO(CN113,Strike1,AO113,AO113,CT113,CM113,IF(OptControl=4,0,1),3)/100,0)</f>
        <v>0</v>
      </c>
      <c r="CY113" s="155">
        <f ca="1">IF(BD113,_xll.EURO(CN113,Strike1,AO113,AO113,CT113,CM113,IF(OptControl=4,0,1),0)-_xll.EURO(CN113,Strike1,AO113,AO113,CT113,CM113-1,IF(OptControl=4,0,1),0),0)</f>
        <v>0</v>
      </c>
      <c r="CZ113" s="155">
        <f ca="1">IF(BD113,_xll.EURO(CN113,Strike2,AO113,AO113,CU113,CM113,IF(OptControl=3,1,0),0),0)</f>
        <v>0</v>
      </c>
      <c r="DA113" s="155">
        <f ca="1">IF(BD113,_xll.EURO(CN113,Strike2,AO113,AO113,CU113,CM113,IF(OptControl=3,1,0),1)+IF(OR(VolSkewFlag=2,ABS(CP113)&lt;0.0001),0,IF(CP113&gt;0,-1,1)*DB113*100*Strike2/CN113^2*CR113/10%),0)</f>
        <v>0</v>
      </c>
      <c r="DB113" s="155">
        <f ca="1">IF(BD113,_xll.EURO(CN113,Strike2,AO113,AO113,CU113,CM113,IF(OptControl=3,1,0),3)/100,0)</f>
        <v>0</v>
      </c>
      <c r="DC113" s="156">
        <f ca="1">IF(BD113,_xll.EURO(CN113,Strike2,AO113,AO113,CU113,CM113,IF(OptControl=3,1,0),0)-_xll.EURO(CN113,Strike2,AO113,AO113,CU113,CM113-1,IF(OptControl=3,1,0),0),0)</f>
        <v>0</v>
      </c>
      <c r="DE113" s="651">
        <f t="shared" ca="1" si="332"/>
        <v>39753</v>
      </c>
      <c r="DF113" s="465">
        <v>1E-4</v>
      </c>
      <c r="DG113" s="649">
        <v>1E-4</v>
      </c>
      <c r="DH113" s="650">
        <f t="shared" ca="1" si="306"/>
        <v>39753</v>
      </c>
      <c r="DI113" s="465">
        <v>1E-4</v>
      </c>
      <c r="DJ113" s="649">
        <v>1E-4</v>
      </c>
      <c r="DK113" s="651">
        <f t="shared" ca="1" si="307"/>
        <v>39753</v>
      </c>
      <c r="DL113" s="652">
        <f t="shared" si="308"/>
        <v>5.0100000000000006E-2</v>
      </c>
      <c r="DM113" s="651">
        <f t="shared" ca="1" si="333"/>
        <v>39753</v>
      </c>
      <c r="DN113" s="563">
        <f t="shared" si="334"/>
        <v>-0.12990000000000002</v>
      </c>
      <c r="DO113" s="803">
        <v>-0.13</v>
      </c>
      <c r="DP113" s="650">
        <f t="shared" ca="1" si="309"/>
        <v>39753</v>
      </c>
      <c r="DQ113" s="653">
        <v>1E-4</v>
      </c>
      <c r="DR113" s="590">
        <v>1E-4</v>
      </c>
      <c r="DS113" s="650">
        <f t="shared" ca="1" si="310"/>
        <v>39753</v>
      </c>
      <c r="DT113" s="653">
        <v>1E-4</v>
      </c>
      <c r="DU113" s="590">
        <v>1E-4</v>
      </c>
      <c r="DV113" s="651">
        <f t="shared" ca="1" si="311"/>
        <v>39753</v>
      </c>
      <c r="DW113" s="590">
        <v>1E-4</v>
      </c>
      <c r="DX113" s="651">
        <f t="shared" ca="1" si="335"/>
        <v>39753</v>
      </c>
      <c r="DY113" s="590">
        <f t="shared" si="336"/>
        <v>1E-4</v>
      </c>
      <c r="DZ113" s="1"/>
      <c r="EA113" s="857"/>
      <c r="EB113" s="857"/>
      <c r="EC113" s="857"/>
      <c r="ED113" s="868" t="e">
        <f t="shared" ca="1" si="436"/>
        <v>#NAME?</v>
      </c>
      <c r="EE113" s="863" t="e">
        <f t="shared" ca="1" si="312"/>
        <v>#NAME?</v>
      </c>
      <c r="EF113" s="590" t="e">
        <f t="shared" ca="1" si="313"/>
        <v>#NAME?</v>
      </c>
      <c r="EG113" s="862" t="str">
        <f t="shared" ca="1" si="314"/>
        <v/>
      </c>
      <c r="EH113" s="114" t="str">
        <f t="shared" ca="1" si="315"/>
        <v/>
      </c>
      <c r="EI113" s="109" t="str">
        <f t="shared" ca="1" si="316"/>
        <v/>
      </c>
      <c r="EJ113" s="115">
        <f ca="1">IF(BD113,_xll.xASN(BP113,Strike1,AO113,EH113,0,BM113,0,BI113,BL113,IF(OptControl=4,0,1),0),0)</f>
        <v>0</v>
      </c>
      <c r="EK113" s="108">
        <f ca="1">IF(BD113,_xll.xASN(BP113,Strike2,AO113,EI113,0,BM113,0,BI113,BL113,IF(OptControl=3,1,0),0),0)</f>
        <v>0</v>
      </c>
      <c r="EP113" s="53"/>
      <c r="EQ113" s="1"/>
      <c r="ER113" s="103"/>
      <c r="ES113" s="103"/>
      <c r="ET113" s="1"/>
      <c r="EU113" s="667" t="s">
        <v>325</v>
      </c>
      <c r="EW113" s="445"/>
      <c r="EX113" s="36"/>
      <c r="EY113" s="104"/>
      <c r="EZ113" s="465"/>
      <c r="FA113" s="446"/>
      <c r="FB113" s="446"/>
      <c r="FC113" s="242"/>
      <c r="FD113" s="242"/>
      <c r="FE113" s="242"/>
      <c r="FF113" s="242"/>
      <c r="FG113" s="242"/>
      <c r="FH113" s="242"/>
      <c r="FI113" s="242"/>
      <c r="FJ113" s="242"/>
      <c r="FK113" s="242"/>
      <c r="FL113" s="242"/>
      <c r="FM113" s="242"/>
      <c r="FN113" s="657">
        <v>19</v>
      </c>
      <c r="FO113" s="450">
        <f t="shared" ca="1" si="433"/>
        <v>0.19423463329547655</v>
      </c>
      <c r="FP113" s="450">
        <f t="shared" ref="FP113:IA116" ca="1" si="451">IF($FN38&lt;FP$94,"",SQRT(FP38/FP$15))</f>
        <v>0.19675680081933264</v>
      </c>
      <c r="FQ113" s="450">
        <f t="shared" ca="1" si="451"/>
        <v>0.19941016608400242</v>
      </c>
      <c r="FR113" s="450">
        <f t="shared" ca="1" si="451"/>
        <v>0.20243690758338345</v>
      </c>
      <c r="FS113" s="450">
        <f t="shared" ca="1" si="451"/>
        <v>0.20589211863261547</v>
      </c>
      <c r="FT113" s="450">
        <f t="shared" ca="1" si="451"/>
        <v>0.20984085058388699</v>
      </c>
      <c r="FU113" s="450">
        <f t="shared" ca="1" si="451"/>
        <v>0.21436034853048111</v>
      </c>
      <c r="FV113" s="450">
        <f t="shared" ca="1" si="451"/>
        <v>0.21954289925359838</v>
      </c>
      <c r="FW113" s="450">
        <f t="shared" ca="1" si="451"/>
        <v>0.22549949002433495</v>
      </c>
      <c r="FX113" s="450">
        <f t="shared" ca="1" si="451"/>
        <v>0.2323645516604689</v>
      </c>
      <c r="FY113" s="450">
        <f t="shared" ca="1" si="451"/>
        <v>0.24030216632297188</v>
      </c>
      <c r="FZ113" s="450">
        <f t="shared" ca="1" si="451"/>
        <v>0.24951427578346466</v>
      </c>
      <c r="GA113" s="450">
        <f t="shared" ca="1" si="451"/>
        <v>0.26025165396476413</v>
      </c>
      <c r="GB113" s="450">
        <f t="shared" ca="1" si="451"/>
        <v>0.27282874740183322</v>
      </c>
      <c r="GC113" s="450">
        <f t="shared" ca="1" si="451"/>
        <v>0.28764400143672386</v>
      </c>
      <c r="GD113" s="450">
        <f t="shared" ca="1" si="451"/>
        <v>0.30520808070662686</v>
      </c>
      <c r="GE113" s="450">
        <f t="shared" ca="1" si="451"/>
        <v>0.32618363025033886</v>
      </c>
      <c r="GF113" s="450">
        <f t="shared" ca="1" si="451"/>
        <v>0.35144219841791186</v>
      </c>
      <c r="GG113" s="450">
        <f t="shared" ca="1" si="451"/>
        <v>0.38214715966919638</v>
      </c>
      <c r="GH113" s="450" t="str">
        <f t="shared" si="451"/>
        <v/>
      </c>
      <c r="GI113" s="450" t="str">
        <f t="shared" si="451"/>
        <v/>
      </c>
      <c r="GJ113" s="450" t="str">
        <f t="shared" si="451"/>
        <v/>
      </c>
      <c r="GK113" s="450" t="str">
        <f t="shared" si="451"/>
        <v/>
      </c>
      <c r="GL113" s="450" t="str">
        <f t="shared" si="451"/>
        <v/>
      </c>
      <c r="GM113" s="450" t="str">
        <f t="shared" si="451"/>
        <v/>
      </c>
      <c r="GN113" s="450" t="str">
        <f t="shared" si="451"/>
        <v/>
      </c>
      <c r="GO113" s="450" t="str">
        <f t="shared" si="451"/>
        <v/>
      </c>
      <c r="GP113" s="450" t="str">
        <f t="shared" si="451"/>
        <v/>
      </c>
      <c r="GQ113" s="450" t="str">
        <f t="shared" si="451"/>
        <v/>
      </c>
      <c r="GR113" s="450" t="str">
        <f t="shared" si="451"/>
        <v/>
      </c>
      <c r="GS113" s="450" t="str">
        <f t="shared" si="451"/>
        <v/>
      </c>
      <c r="GT113" s="450" t="str">
        <f t="shared" si="451"/>
        <v/>
      </c>
      <c r="GU113" s="450" t="str">
        <f t="shared" si="451"/>
        <v/>
      </c>
      <c r="GV113" s="450" t="str">
        <f t="shared" si="451"/>
        <v/>
      </c>
      <c r="GW113" s="450" t="str">
        <f t="shared" si="451"/>
        <v/>
      </c>
      <c r="GX113" s="450" t="str">
        <f t="shared" si="451"/>
        <v/>
      </c>
      <c r="GY113" s="450" t="str">
        <f t="shared" si="451"/>
        <v/>
      </c>
      <c r="GZ113" s="450" t="str">
        <f t="shared" si="451"/>
        <v/>
      </c>
      <c r="HA113" s="450" t="str">
        <f t="shared" si="451"/>
        <v/>
      </c>
      <c r="HB113" s="450" t="str">
        <f t="shared" si="451"/>
        <v/>
      </c>
      <c r="HC113" s="450" t="str">
        <f t="shared" si="451"/>
        <v/>
      </c>
      <c r="HD113" s="450" t="str">
        <f t="shared" si="451"/>
        <v/>
      </c>
      <c r="HE113" s="450" t="str">
        <f t="shared" si="451"/>
        <v/>
      </c>
      <c r="HF113" s="450" t="str">
        <f t="shared" si="451"/>
        <v/>
      </c>
      <c r="HG113" s="450" t="str">
        <f t="shared" si="451"/>
        <v/>
      </c>
      <c r="HH113" s="450" t="str">
        <f t="shared" si="451"/>
        <v/>
      </c>
      <c r="HI113" s="450" t="str">
        <f t="shared" si="451"/>
        <v/>
      </c>
      <c r="HJ113" s="450" t="str">
        <f t="shared" si="451"/>
        <v/>
      </c>
      <c r="HK113" s="450" t="str">
        <f t="shared" si="451"/>
        <v/>
      </c>
      <c r="HL113" s="450" t="str">
        <f t="shared" si="451"/>
        <v/>
      </c>
      <c r="HM113" s="450" t="str">
        <f t="shared" si="451"/>
        <v/>
      </c>
      <c r="HN113" s="450" t="str">
        <f t="shared" si="451"/>
        <v/>
      </c>
      <c r="HO113" s="450" t="str">
        <f t="shared" si="451"/>
        <v/>
      </c>
      <c r="HP113" s="450" t="str">
        <f t="shared" si="451"/>
        <v/>
      </c>
      <c r="HQ113" s="450" t="str">
        <f t="shared" si="451"/>
        <v/>
      </c>
      <c r="HR113" s="450" t="str">
        <f t="shared" si="451"/>
        <v/>
      </c>
      <c r="HS113" s="450" t="str">
        <f t="shared" si="451"/>
        <v/>
      </c>
      <c r="HT113" s="450" t="str">
        <f t="shared" si="451"/>
        <v/>
      </c>
      <c r="HU113" s="450" t="str">
        <f t="shared" si="451"/>
        <v/>
      </c>
      <c r="HV113" s="450" t="str">
        <f t="shared" si="451"/>
        <v/>
      </c>
      <c r="HW113" s="450" t="str">
        <f t="shared" si="451"/>
        <v/>
      </c>
      <c r="HX113" s="450" t="str">
        <f t="shared" si="451"/>
        <v/>
      </c>
      <c r="HY113" s="450" t="str">
        <f t="shared" si="451"/>
        <v/>
      </c>
      <c r="HZ113" s="450" t="str">
        <f t="shared" si="451"/>
        <v/>
      </c>
      <c r="IA113" s="450" t="str">
        <f t="shared" si="451"/>
        <v/>
      </c>
      <c r="IB113" s="450" t="str">
        <f t="shared" si="450"/>
        <v/>
      </c>
      <c r="IC113" s="450" t="str">
        <f t="shared" si="450"/>
        <v/>
      </c>
      <c r="ID113" s="450" t="str">
        <f t="shared" si="450"/>
        <v/>
      </c>
      <c r="IE113" s="450" t="str">
        <f t="shared" si="450"/>
        <v/>
      </c>
      <c r="IF113" s="450" t="str">
        <f t="shared" si="450"/>
        <v/>
      </c>
      <c r="IG113" s="450" t="str">
        <f t="shared" si="450"/>
        <v/>
      </c>
      <c r="IH113" s="658" t="str">
        <f t="shared" si="450"/>
        <v/>
      </c>
      <c r="II113" s="242"/>
    </row>
    <row r="114" spans="8:243">
      <c r="H114" s="49" t="e">
        <f t="shared" ca="1" si="317"/>
        <v>#N/A</v>
      </c>
      <c r="I114" s="369">
        <f t="shared" si="318"/>
        <v>39873</v>
      </c>
      <c r="J114" s="367">
        <v>21.91</v>
      </c>
      <c r="K114" s="101" t="s">
        <v>267</v>
      </c>
      <c r="L114" s="382">
        <f t="shared" si="319"/>
        <v>21.909999999999986</v>
      </c>
      <c r="M114" s="163">
        <v>0.16889999999999999</v>
      </c>
      <c r="N114" s="372">
        <v>0</v>
      </c>
      <c r="O114" s="163">
        <f t="shared" si="272"/>
        <v>0.16889999999999999</v>
      </c>
      <c r="P114" s="367">
        <v>20.705678700784301</v>
      </c>
      <c r="Q114" s="101" t="s">
        <v>267</v>
      </c>
      <c r="R114" s="367">
        <f t="shared" ca="1" si="417"/>
        <v>20.705678700784301</v>
      </c>
      <c r="S114" s="814">
        <f t="shared" si="163"/>
        <v>0.35963555141789044</v>
      </c>
      <c r="T114" s="813">
        <f t="shared" si="418"/>
        <v>0.99999609849565008</v>
      </c>
      <c r="U114" s="532">
        <f t="shared" si="419"/>
        <v>0.99999999999997291</v>
      </c>
      <c r="V114" s="379">
        <v>0</v>
      </c>
      <c r="W114" s="424">
        <f t="shared" si="273"/>
        <v>21.931969696969706</v>
      </c>
      <c r="X114" s="405">
        <f t="shared" si="274"/>
        <v>21.931969696969681</v>
      </c>
      <c r="Y114" s="313">
        <f t="shared" si="275"/>
        <v>20.715969696969704</v>
      </c>
      <c r="Z114" s="313">
        <f t="shared" ca="1" si="276"/>
        <v>20.71596969696968</v>
      </c>
      <c r="AA114" s="419">
        <f t="shared" si="277"/>
        <v>1.216</v>
      </c>
      <c r="AB114" s="423">
        <f t="shared" ca="1" si="278"/>
        <v>1.216</v>
      </c>
      <c r="AC114" s="221">
        <v>39864</v>
      </c>
      <c r="AD114" s="221">
        <v>39860</v>
      </c>
      <c r="AE114" s="221">
        <v>39859</v>
      </c>
      <c r="AF114" s="221">
        <v>39855</v>
      </c>
      <c r="AG114" s="241" t="s">
        <v>497</v>
      </c>
      <c r="AH114" s="239" t="s">
        <v>497</v>
      </c>
      <c r="AI114" s="141">
        <v>22</v>
      </c>
      <c r="AJ114" s="41">
        <v>15</v>
      </c>
      <c r="AK114" s="41">
        <v>7</v>
      </c>
      <c r="AL114" s="285">
        <v>22</v>
      </c>
      <c r="AM114" s="41">
        <v>10</v>
      </c>
      <c r="AN114" s="142">
        <v>12</v>
      </c>
      <c r="AO114" s="364">
        <v>5.7365877049503099E-2</v>
      </c>
      <c r="AP114" s="145">
        <f t="shared" ca="1" si="320"/>
        <v>0.63694313560226379</v>
      </c>
      <c r="AQ114" s="364">
        <v>4.9316542945843998E-2</v>
      </c>
      <c r="AR114" s="145">
        <f t="shared" ca="1" si="420"/>
        <v>0.68194199872427852</v>
      </c>
      <c r="AS114" s="264">
        <f t="shared" si="279"/>
        <v>0.16810681818181816</v>
      </c>
      <c r="AT114" s="149">
        <f t="shared" si="321"/>
        <v>0.16889999999999999</v>
      </c>
      <c r="AU114" s="149">
        <f t="shared" si="280"/>
        <v>0.16800454545454546</v>
      </c>
      <c r="AV114" s="263">
        <f t="shared" ca="1" si="430"/>
        <v>0.1656092566269706</v>
      </c>
      <c r="AW114" s="150" t="str">
        <f t="shared" ca="1" si="281"/>
        <v/>
      </c>
      <c r="AX114" s="149">
        <f t="shared" ca="1" si="421"/>
        <v>1.7289278108400388E-2</v>
      </c>
      <c r="AY114" s="149">
        <f t="shared" ca="1" si="422"/>
        <v>7.6374041214618132E-3</v>
      </c>
      <c r="AZ114" s="149">
        <f t="shared" ca="1" si="423"/>
        <v>5.0941141638858843E-3</v>
      </c>
      <c r="BA114" s="149">
        <f t="shared" ca="1" si="424"/>
        <v>1.0000000000000341E-4</v>
      </c>
      <c r="BB114" s="149">
        <f t="shared" ca="1" si="425"/>
        <v>1.0000000000000341E-4</v>
      </c>
      <c r="BC114" s="149">
        <f t="shared" ca="1" si="426"/>
        <v>1.0000000000000341E-4</v>
      </c>
      <c r="BD114" s="143">
        <f t="shared" ca="1" si="282"/>
        <v>0</v>
      </c>
      <c r="BE114" s="144">
        <f t="shared" ca="1" si="283"/>
        <v>0</v>
      </c>
      <c r="BF114" s="40">
        <f t="shared" si="284"/>
        <v>2009</v>
      </c>
      <c r="BG114" s="139">
        <f t="shared" si="285"/>
        <v>3</v>
      </c>
      <c r="BH114" s="140">
        <f t="shared" ca="1" si="286"/>
        <v>2870</v>
      </c>
      <c r="BI114" s="304">
        <f t="shared" ca="1" si="440"/>
        <v>7.8932238193018485</v>
      </c>
      <c r="BJ114" s="42">
        <f t="shared" ca="1" si="288"/>
        <v>7.9492253126750052</v>
      </c>
      <c r="BK114" s="42">
        <f t="shared" ca="1" si="289"/>
        <v>7.9519631634621373</v>
      </c>
      <c r="BL114" s="42">
        <f t="shared" ca="1" si="441"/>
        <v>7.9753593429158114</v>
      </c>
      <c r="BM114" s="285">
        <f t="shared" si="442"/>
        <v>22</v>
      </c>
      <c r="BN114" s="41">
        <f t="shared" si="443"/>
        <v>15</v>
      </c>
      <c r="BO114" s="41">
        <f t="shared" si="444"/>
        <v>7</v>
      </c>
      <c r="BP114" s="297" t="str">
        <f t="shared" ca="1" si="293"/>
        <v/>
      </c>
      <c r="BQ114" s="297" t="str">
        <f t="shared" ca="1" si="294"/>
        <v/>
      </c>
      <c r="BR114" s="299" t="str">
        <f t="shared" ca="1" si="295"/>
        <v/>
      </c>
      <c r="BS114" s="153" t="str">
        <f t="shared" ca="1" si="296"/>
        <v/>
      </c>
      <c r="BT114" s="153" t="str">
        <f t="shared" ca="1" si="297"/>
        <v/>
      </c>
      <c r="BU114" s="300" t="str">
        <f t="shared" ca="1" si="298"/>
        <v/>
      </c>
      <c r="BV114" s="301" t="str">
        <f t="shared" ca="1" si="299"/>
        <v/>
      </c>
      <c r="BW114" s="300" t="str">
        <f t="shared" ca="1" si="300"/>
        <v/>
      </c>
      <c r="BX114" s="301" t="str">
        <f t="shared" ca="1" si="301"/>
        <v/>
      </c>
      <c r="BY114" s="146" t="str">
        <f t="shared" ca="1" si="302"/>
        <v/>
      </c>
      <c r="BZ114" s="146" t="str">
        <f t="shared" ca="1" si="303"/>
        <v/>
      </c>
      <c r="CA114" s="146" t="str">
        <f t="shared" ca="1" si="304"/>
        <v/>
      </c>
      <c r="CB114" s="146" t="str">
        <f t="shared" ca="1" si="305"/>
        <v/>
      </c>
      <c r="CC114" s="302">
        <v>1</v>
      </c>
      <c r="CD114" s="154">
        <f ca="1">IF(BD114,_xll.xCrudeAPO(BS114,BT114,BY114,BZ114,S115,S116,BI114,BL114,BN114,BO114,0,Strike1,AO114,CC114,0,BL114,IF(OptControl=4,0,1),0,1),0)</f>
        <v>0</v>
      </c>
      <c r="CE114" s="155">
        <f ca="1">IF(BD114,_xll.xCrudeAPO(BS114,BT114,BY114,BZ114,S115,S116,BI114,BL114,BN114,BO114,0,Strike1,AO114,CC114,0,BL114,IF(OptControl=4,0,1),1,1)+_xll.xCrudeAPO(BS114,BT114,BY114,BZ114,S115,S116,BI114,BL114,BN114,BO114,0,Strike1,AO114,CC114,0,BL114,IF(OptControl=4,0,1),1,2)+IF(OR(VolSkewFlag=2,ABS(BQ114)&lt;0.0001),0,IF(BQ114&gt;0,-1,1)*CF114*Strike1/BP114^2*BW114/10%),0)</f>
        <v>0</v>
      </c>
      <c r="CF114" s="155">
        <f ca="1">IF(BD114,(_xll.xCrudeAPO(BS114,BT114,BY114,BZ114,S115,S116,BI114,BL114,BN114,BO114,0,Strike1,AO114,CC114,0,BL114,IF(OptControl=4,0,1),3,1)+_xll.xCrudeAPO(BS114,BT114,BY114,BZ114,S115,S116,BI114,BL114,BN114,BO114,0,Strike1,AO114,CC114,0,BL114,IF(OptControl=4,0,1),3,2))/100,0)</f>
        <v>0</v>
      </c>
      <c r="CG114" s="155">
        <f ca="1">IF(BD114,_xll.xCrudeAPO(BS114,BT114,BY114,BZ114,S115,S116,BI114-DaysForThetaCalculation/365.25,BL114-DaysForThetaCalculation/365.25,BN114,BO114,0,Strike1,AO114,CC114,0,BL114,IF(OptControl=4,0,1),0,1)-_xll.xCrudeAPO(BS114,BT114,BY114,BZ114,S115,S116,BI114,BL114,BN114,BO114,0,Strike1,AO114,CC114,0,BL114,IF(OptControl=4,0,1),0,1),0)</f>
        <v>0</v>
      </c>
      <c r="CH114" s="303">
        <f ca="1">IF(BD114,_xll.xCrudeAPO(BS114,BT114,CA114,CB114,S115,S116,BI114,BL114,BN114,BO114,0,Strike2,AO114,CC114,0,BL114,IF(OptControl=3,1,0),0,1),0)</f>
        <v>0</v>
      </c>
      <c r="CI114" s="155">
        <f ca="1">IF(BD114,_xll.xCrudeAPO(BS114,BT114,CA114,CB114,S115,S116,BI114,BL114,BN114,BO114,0,Strike2,AO114,CC114,0,BL114,IF(OptControl=3,1,0),1,1)+_xll.xCrudeAPO(BS114,BT114,CA114,CB114,S115,S116,BI114,BL114,BN114,BO114,0,Strike2,AO114,CC114,0,BL114,IF(OptControl=3,1,0),1,2)+IF(OR(VolSkewFlag=2,ABS(BR114)&lt;0.0001),0,IF(BR114&gt;0,-1,1)*CJ114*Strike2/BP114^2*BX114/10%),0)</f>
        <v>0</v>
      </c>
      <c r="CJ114" s="155">
        <f ca="1">IF(BD114,(_xll.xCrudeAPO(BS114,BT114,CA114,CB114,S115,S116,BI114,BL114,BN114,BO114,0,Strike2,AO114,CC114,0,BL114,IF(OptControl=3,1,0),3,1)+_xll.xCrudeAPO(BS114,BT114,CA114,CB114,S115,S116,BI114,BL114,BN114,BO114,0,Strike2,AO114,CC114,0,BL114,IF(OptControl=3,1,0),3,2))/100,0)</f>
        <v>0</v>
      </c>
      <c r="CK114" s="156">
        <f ca="1">IF(BD114,_xll.xCrudeAPO(BS114,BT114,CA114,CB114,S115,S116,BI114-DaysForThetaCalculation/365.25,BL114-DaysForThetaCalculation/365.25,BN114,BO114,0,Strike2,AO114,CC114,0,BL114,IF(OptControl=3,1,0),0,1)-_xll.xCrudeAPO(BS114,BT114,CA114,CB114,S115,S116,BI114,BL114,BN114,BO114,0,Strike2,AO114,CC114,0,BL114,IF(OptControl=3,1,0),0,1),0)</f>
        <v>0</v>
      </c>
      <c r="CL114" s="51"/>
      <c r="CM114" s="779" t="str">
        <f t="shared" ca="1" si="323"/>
        <v/>
      </c>
      <c r="CN114" s="783" t="str">
        <f t="shared" ca="1" si="324"/>
        <v/>
      </c>
      <c r="CO114" s="780" t="str">
        <f t="shared" ca="1" si="325"/>
        <v/>
      </c>
      <c r="CP114" s="780" t="str">
        <f t="shared" ca="1" si="326"/>
        <v/>
      </c>
      <c r="CQ114" s="780" t="str">
        <f t="shared" ca="1" si="327"/>
        <v/>
      </c>
      <c r="CR114" s="780" t="str">
        <f t="shared" ca="1" si="328"/>
        <v/>
      </c>
      <c r="CS114" s="781" t="str">
        <f t="shared" ca="1" si="329"/>
        <v/>
      </c>
      <c r="CT114" s="782" t="str">
        <f t="shared" ca="1" si="330"/>
        <v/>
      </c>
      <c r="CU114" s="782" t="str">
        <f t="shared" ca="1" si="331"/>
        <v/>
      </c>
      <c r="CV114" s="155">
        <f ca="1">IF(BD114,_xll.EURO(CN114,Strike1,AO114,AO114,CT114,CM114,IF(OptControl=4,0,1),0),0)</f>
        <v>0</v>
      </c>
      <c r="CW114" s="155">
        <f ca="1">IF(BD114,_xll.EURO(CN114,Strike1,AO114,AO114,CT114,CM114,IF(OptControl=4,0,1),1)+IF(OR(VolSkewFlag=2,ABS(CO114)&lt;0.0001),0,IF(CO114&gt;0,-1,1)*CX114*100*Strike1/CN114^2*CQ114/10%),0)</f>
        <v>0</v>
      </c>
      <c r="CX114" s="155">
        <f ca="1">IF(BD114,_xll.EURO(CN114,Strike1,AO114,AO114,CT114,CM114,IF(OptControl=4,0,1),3)/100,0)</f>
        <v>0</v>
      </c>
      <c r="CY114" s="155">
        <f ca="1">IF(BD114,_xll.EURO(CN114,Strike1,AO114,AO114,CT114,CM114,IF(OptControl=4,0,1),0)-_xll.EURO(CN114,Strike1,AO114,AO114,CT114,CM114-1,IF(OptControl=4,0,1),0),0)</f>
        <v>0</v>
      </c>
      <c r="CZ114" s="155">
        <f ca="1">IF(BD114,_xll.EURO(CN114,Strike2,AO114,AO114,CU114,CM114,IF(OptControl=3,1,0),0),0)</f>
        <v>0</v>
      </c>
      <c r="DA114" s="155">
        <f ca="1">IF(BD114,_xll.EURO(CN114,Strike2,AO114,AO114,CU114,CM114,IF(OptControl=3,1,0),1)+IF(OR(VolSkewFlag=2,ABS(CP114)&lt;0.0001),0,IF(CP114&gt;0,-1,1)*DB114*100*Strike2/CN114^2*CR114/10%),0)</f>
        <v>0</v>
      </c>
      <c r="DB114" s="155">
        <f ca="1">IF(BD114,_xll.EURO(CN114,Strike2,AO114,AO114,CU114,CM114,IF(OptControl=3,1,0),3)/100,0)</f>
        <v>0</v>
      </c>
      <c r="DC114" s="156">
        <f ca="1">IF(BD114,_xll.EURO(CN114,Strike2,AO114,AO114,CU114,CM114,IF(OptControl=3,1,0),0)-_xll.EURO(CN114,Strike2,AO114,AO114,CU114,CM114-1,IF(OptControl=3,1,0),0),0)</f>
        <v>0</v>
      </c>
      <c r="DE114" s="651">
        <f t="shared" ca="1" si="332"/>
        <v>39783</v>
      </c>
      <c r="DF114" s="465">
        <v>1E-4</v>
      </c>
      <c r="DG114" s="649">
        <v>1E-4</v>
      </c>
      <c r="DH114" s="650">
        <f t="shared" ca="1" si="306"/>
        <v>39783</v>
      </c>
      <c r="DI114" s="465">
        <v>1E-4</v>
      </c>
      <c r="DJ114" s="649">
        <v>1E-4</v>
      </c>
      <c r="DK114" s="651">
        <f t="shared" ca="1" si="307"/>
        <v>39783</v>
      </c>
      <c r="DL114" s="652">
        <f t="shared" si="308"/>
        <v>5.0100000000000006E-2</v>
      </c>
      <c r="DM114" s="651">
        <f t="shared" ca="1" si="333"/>
        <v>39783</v>
      </c>
      <c r="DN114" s="563">
        <f t="shared" si="334"/>
        <v>-0.12990000000000002</v>
      </c>
      <c r="DO114" s="803">
        <v>-0.13</v>
      </c>
      <c r="DP114" s="650">
        <f t="shared" ca="1" si="309"/>
        <v>39783</v>
      </c>
      <c r="DQ114" s="653">
        <v>1E-4</v>
      </c>
      <c r="DR114" s="590">
        <v>1E-4</v>
      </c>
      <c r="DS114" s="650">
        <f t="shared" ca="1" si="310"/>
        <v>39783</v>
      </c>
      <c r="DT114" s="653">
        <v>1E-4</v>
      </c>
      <c r="DU114" s="590">
        <v>1E-4</v>
      </c>
      <c r="DV114" s="651">
        <f t="shared" ca="1" si="311"/>
        <v>39783</v>
      </c>
      <c r="DW114" s="590">
        <v>1E-4</v>
      </c>
      <c r="DX114" s="651">
        <f t="shared" ca="1" si="335"/>
        <v>39783</v>
      </c>
      <c r="DY114" s="590">
        <f t="shared" si="336"/>
        <v>1E-4</v>
      </c>
      <c r="DZ114" s="1"/>
      <c r="EA114" s="857"/>
      <c r="EB114" s="857"/>
      <c r="EC114" s="857"/>
      <c r="ED114" s="868" t="e">
        <f t="shared" ca="1" si="436"/>
        <v>#NAME?</v>
      </c>
      <c r="EE114" s="863" t="e">
        <f t="shared" ca="1" si="312"/>
        <v>#NAME?</v>
      </c>
      <c r="EF114" s="590" t="e">
        <f t="shared" ca="1" si="313"/>
        <v>#NAME?</v>
      </c>
      <c r="EG114" s="862" t="str">
        <f t="shared" ca="1" si="314"/>
        <v/>
      </c>
      <c r="EH114" s="114" t="str">
        <f t="shared" ca="1" si="315"/>
        <v/>
      </c>
      <c r="EI114" s="109" t="str">
        <f t="shared" ca="1" si="316"/>
        <v/>
      </c>
      <c r="EJ114" s="115">
        <f ca="1">IF(BD114,_xll.xASN(BP114,Strike1,AO114,EH114,0,BM114,0,BI114,BL114,IF(OptControl=4,0,1),0),0)</f>
        <v>0</v>
      </c>
      <c r="EK114" s="108">
        <f ca="1">IF(BD114,_xll.xASN(BP114,Strike2,AO114,EI114,0,BM114,0,BI114,BL114,IF(OptControl=3,1,0),0),0)</f>
        <v>0</v>
      </c>
      <c r="EP114" s="53"/>
      <c r="EQ114" s="1"/>
      <c r="ER114" s="103"/>
      <c r="ES114" s="103"/>
      <c r="ET114" s="1"/>
      <c r="EU114" s="667" t="s">
        <v>326</v>
      </c>
      <c r="EW114" s="445"/>
      <c r="EX114" s="36"/>
      <c r="EY114" s="104"/>
      <c r="EZ114" s="465"/>
      <c r="FA114" s="446"/>
      <c r="FB114" s="446"/>
      <c r="FC114" s="242"/>
      <c r="FD114" s="242"/>
      <c r="FE114" s="242"/>
      <c r="FF114" s="242"/>
      <c r="FG114" s="242"/>
      <c r="FH114" s="242"/>
      <c r="FI114" s="242"/>
      <c r="FJ114" s="242"/>
      <c r="FK114" s="242"/>
      <c r="FL114" s="242"/>
      <c r="FM114" s="242"/>
      <c r="FN114" s="657">
        <v>20</v>
      </c>
      <c r="FO114" s="450">
        <f t="shared" ca="1" si="433"/>
        <v>0.19194537881311791</v>
      </c>
      <c r="FP114" s="450">
        <f t="shared" ca="1" si="451"/>
        <v>0.19417844594081946</v>
      </c>
      <c r="FQ114" s="450">
        <f t="shared" ca="1" si="451"/>
        <v>0.19650454851058988</v>
      </c>
      <c r="FR114" s="450">
        <f t="shared" ca="1" si="451"/>
        <v>0.19915674366497396</v>
      </c>
      <c r="FS114" s="450">
        <f t="shared" ca="1" si="451"/>
        <v>0.20218188719402796</v>
      </c>
      <c r="FT114" s="450">
        <f t="shared" ca="1" si="451"/>
        <v>0.20563501537723611</v>
      </c>
      <c r="FU114" s="450">
        <f t="shared" ca="1" si="451"/>
        <v>0.20958111243549452</v>
      </c>
      <c r="FV114" s="450">
        <f t="shared" ca="1" si="451"/>
        <v>0.21409734398882491</v>
      </c>
      <c r="FW114" s="450">
        <f t="shared" ca="1" si="451"/>
        <v>0.21927590214503487</v>
      </c>
      <c r="FX114" s="450">
        <f t="shared" ca="1" si="451"/>
        <v>0.22522766063443037</v>
      </c>
      <c r="FY114" s="450">
        <f t="shared" ca="1" si="451"/>
        <v>0.23208691311911905</v>
      </c>
      <c r="FZ114" s="450">
        <f t="shared" ca="1" si="451"/>
        <v>0.24001757478515526</v>
      </c>
      <c r="GA114" s="450">
        <f t="shared" ca="1" si="451"/>
        <v>0.24922138241929809</v>
      </c>
      <c r="GB114" s="450">
        <f t="shared" ca="1" si="451"/>
        <v>0.25994885601900808</v>
      </c>
      <c r="GC114" s="450">
        <f t="shared" ca="1" si="451"/>
        <v>0.27251412449613394</v>
      </c>
      <c r="GD114" s="450">
        <f t="shared" ca="1" si="451"/>
        <v>0.28731523169758</v>
      </c>
      <c r="GE114" s="450">
        <f t="shared" ca="1" si="451"/>
        <v>0.30486232893885318</v>
      </c>
      <c r="GF114" s="450">
        <f t="shared" ca="1" si="451"/>
        <v>0.32581739680490562</v>
      </c>
      <c r="GG114" s="450">
        <f t="shared" ca="1" si="451"/>
        <v>0.35105111190879718</v>
      </c>
      <c r="GH114" s="450">
        <f t="shared" ca="1" si="451"/>
        <v>0.3817256880725044</v>
      </c>
      <c r="GI114" s="450" t="str">
        <f t="shared" si="451"/>
        <v/>
      </c>
      <c r="GJ114" s="450" t="str">
        <f t="shared" si="451"/>
        <v/>
      </c>
      <c r="GK114" s="450" t="str">
        <f t="shared" si="451"/>
        <v/>
      </c>
      <c r="GL114" s="450" t="str">
        <f t="shared" si="451"/>
        <v/>
      </c>
      <c r="GM114" s="450" t="str">
        <f t="shared" si="451"/>
        <v/>
      </c>
      <c r="GN114" s="450" t="str">
        <f t="shared" si="451"/>
        <v/>
      </c>
      <c r="GO114" s="450" t="str">
        <f t="shared" si="451"/>
        <v/>
      </c>
      <c r="GP114" s="450" t="str">
        <f t="shared" si="451"/>
        <v/>
      </c>
      <c r="GQ114" s="450" t="str">
        <f t="shared" si="451"/>
        <v/>
      </c>
      <c r="GR114" s="450" t="str">
        <f t="shared" si="451"/>
        <v/>
      </c>
      <c r="GS114" s="450" t="str">
        <f t="shared" si="451"/>
        <v/>
      </c>
      <c r="GT114" s="450" t="str">
        <f t="shared" si="451"/>
        <v/>
      </c>
      <c r="GU114" s="450" t="str">
        <f t="shared" si="451"/>
        <v/>
      </c>
      <c r="GV114" s="450" t="str">
        <f t="shared" si="451"/>
        <v/>
      </c>
      <c r="GW114" s="450" t="str">
        <f t="shared" si="451"/>
        <v/>
      </c>
      <c r="GX114" s="450" t="str">
        <f t="shared" si="451"/>
        <v/>
      </c>
      <c r="GY114" s="450" t="str">
        <f t="shared" si="451"/>
        <v/>
      </c>
      <c r="GZ114" s="450" t="str">
        <f t="shared" si="451"/>
        <v/>
      </c>
      <c r="HA114" s="450" t="str">
        <f t="shared" si="451"/>
        <v/>
      </c>
      <c r="HB114" s="450" t="str">
        <f t="shared" si="451"/>
        <v/>
      </c>
      <c r="HC114" s="450" t="str">
        <f t="shared" si="451"/>
        <v/>
      </c>
      <c r="HD114" s="450" t="str">
        <f t="shared" si="451"/>
        <v/>
      </c>
      <c r="HE114" s="450" t="str">
        <f t="shared" si="451"/>
        <v/>
      </c>
      <c r="HF114" s="450" t="str">
        <f t="shared" si="451"/>
        <v/>
      </c>
      <c r="HG114" s="450" t="str">
        <f t="shared" si="451"/>
        <v/>
      </c>
      <c r="HH114" s="450" t="str">
        <f t="shared" si="451"/>
        <v/>
      </c>
      <c r="HI114" s="450" t="str">
        <f t="shared" si="451"/>
        <v/>
      </c>
      <c r="HJ114" s="450" t="str">
        <f t="shared" si="451"/>
        <v/>
      </c>
      <c r="HK114" s="450" t="str">
        <f t="shared" si="451"/>
        <v/>
      </c>
      <c r="HL114" s="450" t="str">
        <f t="shared" si="451"/>
        <v/>
      </c>
      <c r="HM114" s="450" t="str">
        <f t="shared" si="451"/>
        <v/>
      </c>
      <c r="HN114" s="450" t="str">
        <f t="shared" si="451"/>
        <v/>
      </c>
      <c r="HO114" s="450" t="str">
        <f t="shared" si="451"/>
        <v/>
      </c>
      <c r="HP114" s="450" t="str">
        <f t="shared" si="451"/>
        <v/>
      </c>
      <c r="HQ114" s="450" t="str">
        <f t="shared" si="451"/>
        <v/>
      </c>
      <c r="HR114" s="450" t="str">
        <f t="shared" si="451"/>
        <v/>
      </c>
      <c r="HS114" s="450" t="str">
        <f t="shared" si="451"/>
        <v/>
      </c>
      <c r="HT114" s="450" t="str">
        <f t="shared" si="451"/>
        <v/>
      </c>
      <c r="HU114" s="450" t="str">
        <f t="shared" si="451"/>
        <v/>
      </c>
      <c r="HV114" s="450" t="str">
        <f t="shared" si="451"/>
        <v/>
      </c>
      <c r="HW114" s="450" t="str">
        <f t="shared" si="451"/>
        <v/>
      </c>
      <c r="HX114" s="450" t="str">
        <f t="shared" si="451"/>
        <v/>
      </c>
      <c r="HY114" s="450" t="str">
        <f t="shared" si="451"/>
        <v/>
      </c>
      <c r="HZ114" s="450" t="str">
        <f t="shared" si="451"/>
        <v/>
      </c>
      <c r="IA114" s="450" t="str">
        <f t="shared" si="451"/>
        <v/>
      </c>
      <c r="IB114" s="450" t="str">
        <f t="shared" si="450"/>
        <v/>
      </c>
      <c r="IC114" s="450" t="str">
        <f t="shared" si="450"/>
        <v/>
      </c>
      <c r="ID114" s="450" t="str">
        <f t="shared" si="450"/>
        <v/>
      </c>
      <c r="IE114" s="450" t="str">
        <f t="shared" si="450"/>
        <v/>
      </c>
      <c r="IF114" s="450" t="str">
        <f t="shared" si="450"/>
        <v/>
      </c>
      <c r="IG114" s="450" t="str">
        <f t="shared" si="450"/>
        <v/>
      </c>
      <c r="IH114" s="658" t="str">
        <f t="shared" si="450"/>
        <v/>
      </c>
      <c r="II114" s="242"/>
    </row>
    <row r="115" spans="8:243">
      <c r="H115" s="49" t="e">
        <f t="shared" ca="1" si="317"/>
        <v>#N/A</v>
      </c>
      <c r="I115" s="369">
        <f t="shared" si="318"/>
        <v>39904</v>
      </c>
      <c r="J115" s="367">
        <v>21.926666666666698</v>
      </c>
      <c r="K115" s="101" t="s">
        <v>267</v>
      </c>
      <c r="L115" s="382">
        <f t="shared" si="319"/>
        <v>21.926666666666652</v>
      </c>
      <c r="M115" s="163">
        <v>0.16824999999999998</v>
      </c>
      <c r="N115" s="372">
        <v>0</v>
      </c>
      <c r="O115" s="163">
        <f t="shared" si="272"/>
        <v>0.16824999999999998</v>
      </c>
      <c r="P115" s="367">
        <v>20.690654632548998</v>
      </c>
      <c r="Q115" s="101" t="s">
        <v>267</v>
      </c>
      <c r="R115" s="367">
        <f t="shared" ca="1" si="417"/>
        <v>20.690654632549002</v>
      </c>
      <c r="S115" s="814">
        <f t="shared" si="163"/>
        <v>0.35943919590371154</v>
      </c>
      <c r="T115" s="813">
        <f t="shared" si="418"/>
        <v>0.99999648864677204</v>
      </c>
      <c r="U115" s="532">
        <f t="shared" si="419"/>
        <v>0.99999999999997968</v>
      </c>
      <c r="V115" s="379">
        <v>0</v>
      </c>
      <c r="W115" s="424">
        <f t="shared" ref="W115:W146" si="452">(J116*AJ115+J117*AK115)/AI115</f>
        <v>21.949393939393918</v>
      </c>
      <c r="X115" s="405">
        <f t="shared" ref="X115:X146" si="453">(L116*AJ115+L117*AK115)/AI115</f>
        <v>21.949393939393925</v>
      </c>
      <c r="Y115" s="313">
        <f t="shared" ref="Y115:Y146" si="454">IF(Q117="extra",W115-AA115,(P116*AM115+P117*AN115)/AL115)</f>
        <v>20.605393939393917</v>
      </c>
      <c r="Z115" s="313">
        <f t="shared" ref="Z115:Z146" ca="1" si="455">IF(Q117="extra",X115-AB115,(R116*AM115+R117*AN115)/AL115)</f>
        <v>20.605393939393924</v>
      </c>
      <c r="AA115" s="419">
        <f t="shared" si="277"/>
        <v>1.3440000000000001</v>
      </c>
      <c r="AB115" s="423">
        <f t="shared" ca="1" si="278"/>
        <v>1.3440000000000001</v>
      </c>
      <c r="AC115" s="221">
        <v>39892</v>
      </c>
      <c r="AD115" s="221">
        <v>39888</v>
      </c>
      <c r="AE115" s="221">
        <v>39887</v>
      </c>
      <c r="AF115" s="221">
        <v>39883</v>
      </c>
      <c r="AG115" s="241" t="s">
        <v>497</v>
      </c>
      <c r="AH115" s="239" t="s">
        <v>497</v>
      </c>
      <c r="AI115" s="141">
        <v>22</v>
      </c>
      <c r="AJ115" s="41">
        <v>14</v>
      </c>
      <c r="AK115" s="41">
        <v>8</v>
      </c>
      <c r="AL115" s="285">
        <v>22</v>
      </c>
      <c r="AM115" s="41">
        <v>10</v>
      </c>
      <c r="AN115" s="142">
        <v>12</v>
      </c>
      <c r="AO115" s="364">
        <v>5.7443285769050299E-2</v>
      </c>
      <c r="AP115" s="145">
        <f t="shared" ca="1" si="320"/>
        <v>0.63360681557005372</v>
      </c>
      <c r="AQ115" s="364">
        <v>4.9337350259509402E-2</v>
      </c>
      <c r="AR115" s="145">
        <f t="shared" ca="1" si="420"/>
        <v>0.67929041945555946</v>
      </c>
      <c r="AS115" s="264">
        <f t="shared" ref="AS115:AS146" si="456">(O116*AJ115+O117*AK115)/AI115</f>
        <v>0.16763636363636364</v>
      </c>
      <c r="AT115" s="149">
        <f t="shared" si="321"/>
        <v>0.16824999999999998</v>
      </c>
      <c r="AU115" s="149">
        <f t="shared" si="280"/>
        <v>0.16755454545454546</v>
      </c>
      <c r="AV115" s="263">
        <f t="shared" ca="1" si="430"/>
        <v>0.16529907656768</v>
      </c>
      <c r="AW115" s="150" t="str">
        <f t="shared" ref="AW115:AW146" ca="1" si="457">IF($I115-DateToday+15&gt;=$T$8,"",IF($I115-DateToday+15&lt;$T$5,1,MATCH($I115-DateToday+15,$T$5:$T$8)))</f>
        <v/>
      </c>
      <c r="AX115" s="149">
        <f t="shared" ca="1" si="421"/>
        <v>1.704639463426974E-2</v>
      </c>
      <c r="AY115" s="149">
        <f t="shared" ca="1" si="422"/>
        <v>7.5059959505491634E-3</v>
      </c>
      <c r="AZ115" s="149">
        <f t="shared" ca="1" si="423"/>
        <v>5.0334029713685786E-3</v>
      </c>
      <c r="BA115" s="149">
        <f t="shared" ca="1" si="424"/>
        <v>1.0000000000000346E-4</v>
      </c>
      <c r="BB115" s="149">
        <f t="shared" ca="1" si="425"/>
        <v>1.0000000000000346E-4</v>
      </c>
      <c r="BC115" s="149">
        <f t="shared" ca="1" si="426"/>
        <v>1.0000000000000346E-4</v>
      </c>
      <c r="BD115" s="143">
        <f t="shared" ref="BD115:BD146" ca="1" si="458">IF(OR(DateStart&gt;=I116,DateEnd&lt;I115),0,IF(VolumeOverrideFlag,V115,Volume))</f>
        <v>0</v>
      </c>
      <c r="BE115" s="144">
        <f t="shared" ref="BE115:BE146" ca="1" si="459">IF(OR(DateStart2&gt;=I116,DateEnd2&lt;I115),0,IF(VolumeOverrideFlag,V115,VolumeSwaption))</f>
        <v>0</v>
      </c>
      <c r="BF115" s="40">
        <f t="shared" ref="BF115:BF146" si="460">YEAR(I115)</f>
        <v>2009</v>
      </c>
      <c r="BG115" s="139">
        <f t="shared" ref="BG115:BG146" si="461">MONTH(I115)</f>
        <v>4</v>
      </c>
      <c r="BH115" s="140">
        <f t="shared" ref="BH115:BH146" ca="1" si="462">AD115-DateToday+1</f>
        <v>2898</v>
      </c>
      <c r="BI115" s="304">
        <f t="shared" ca="1" si="440"/>
        <v>7.9780971937029435</v>
      </c>
      <c r="BJ115" s="42">
        <f t="shared" ca="1" si="288"/>
        <v>8.0286229855018352</v>
      </c>
      <c r="BK115" s="42">
        <f t="shared" ca="1" si="289"/>
        <v>8.0313608362889681</v>
      </c>
      <c r="BL115" s="42">
        <f t="shared" ca="1" si="441"/>
        <v>8.0574948665297743</v>
      </c>
      <c r="BM115" s="285">
        <f t="shared" si="442"/>
        <v>22</v>
      </c>
      <c r="BN115" s="41">
        <f t="shared" si="443"/>
        <v>14</v>
      </c>
      <c r="BO115" s="41">
        <f t="shared" si="444"/>
        <v>8</v>
      </c>
      <c r="BP115" s="297" t="str">
        <f t="shared" ca="1" si="293"/>
        <v/>
      </c>
      <c r="BQ115" s="297" t="str">
        <f t="shared" ca="1" si="294"/>
        <v/>
      </c>
      <c r="BR115" s="299" t="str">
        <f t="shared" ca="1" si="295"/>
        <v/>
      </c>
      <c r="BS115" s="153" t="str">
        <f t="shared" ca="1" si="296"/>
        <v/>
      </c>
      <c r="BT115" s="153" t="str">
        <f t="shared" ca="1" si="297"/>
        <v/>
      </c>
      <c r="BU115" s="300" t="str">
        <f t="shared" ca="1" si="298"/>
        <v/>
      </c>
      <c r="BV115" s="301" t="str">
        <f t="shared" ca="1" si="299"/>
        <v/>
      </c>
      <c r="BW115" s="300" t="str">
        <f t="shared" ca="1" si="300"/>
        <v/>
      </c>
      <c r="BX115" s="301" t="str">
        <f t="shared" ca="1" si="301"/>
        <v/>
      </c>
      <c r="BY115" s="146" t="str">
        <f t="shared" ca="1" si="302"/>
        <v/>
      </c>
      <c r="BZ115" s="146" t="str">
        <f t="shared" ca="1" si="303"/>
        <v/>
      </c>
      <c r="CA115" s="146" t="str">
        <f t="shared" ca="1" si="304"/>
        <v/>
      </c>
      <c r="CB115" s="146" t="str">
        <f t="shared" ca="1" si="305"/>
        <v/>
      </c>
      <c r="CC115" s="302">
        <v>1</v>
      </c>
      <c r="CD115" s="154">
        <f ca="1">IF(BD115,_xll.xCrudeAPO(BS115,BT115,BY115,BZ115,S116,S117,BI115,BL115,BN115,BO115,0,Strike1,AO115,CC115,0,BL115,IF(OptControl=4,0,1),0,1),0)</f>
        <v>0</v>
      </c>
      <c r="CE115" s="155">
        <f ca="1">IF(BD115,_xll.xCrudeAPO(BS115,BT115,BY115,BZ115,S116,S117,BI115,BL115,BN115,BO115,0,Strike1,AO115,CC115,0,BL115,IF(OptControl=4,0,1),1,1)+_xll.xCrudeAPO(BS115,BT115,BY115,BZ115,S116,S117,BI115,BL115,BN115,BO115,0,Strike1,AO115,CC115,0,BL115,IF(OptControl=4,0,1),1,2)+IF(OR(VolSkewFlag=2,ABS(BQ115)&lt;0.0001),0,IF(BQ115&gt;0,-1,1)*CF115*Strike1/BP115^2*BW115/10%),0)</f>
        <v>0</v>
      </c>
      <c r="CF115" s="155">
        <f ca="1">IF(BD115,(_xll.xCrudeAPO(BS115,BT115,BY115,BZ115,S116,S117,BI115,BL115,BN115,BO115,0,Strike1,AO115,CC115,0,BL115,IF(OptControl=4,0,1),3,1)+_xll.xCrudeAPO(BS115,BT115,BY115,BZ115,S116,S117,BI115,BL115,BN115,BO115,0,Strike1,AO115,CC115,0,BL115,IF(OptControl=4,0,1),3,2))/100,0)</f>
        <v>0</v>
      </c>
      <c r="CG115" s="155">
        <f ca="1">IF(BD115,_xll.xCrudeAPO(BS115,BT115,BY115,BZ115,S116,S117,BI115-DaysForThetaCalculation/365.25,BL115-DaysForThetaCalculation/365.25,BN115,BO115,0,Strike1,AO115,CC115,0,BL115,IF(OptControl=4,0,1),0,1)-_xll.xCrudeAPO(BS115,BT115,BY115,BZ115,S116,S117,BI115,BL115,BN115,BO115,0,Strike1,AO115,CC115,0,BL115,IF(OptControl=4,0,1),0,1),0)</f>
        <v>0</v>
      </c>
      <c r="CH115" s="303">
        <f ca="1">IF(BD115,_xll.xCrudeAPO(BS115,BT115,CA115,CB115,S116,S117,BI115,BL115,BN115,BO115,0,Strike2,AO115,CC115,0,BL115,IF(OptControl=3,1,0),0,1),0)</f>
        <v>0</v>
      </c>
      <c r="CI115" s="155">
        <f ca="1">IF(BD115,_xll.xCrudeAPO(BS115,BT115,CA115,CB115,S116,S117,BI115,BL115,BN115,BO115,0,Strike2,AO115,CC115,0,BL115,IF(OptControl=3,1,0),1,1)+_xll.xCrudeAPO(BS115,BT115,CA115,CB115,S116,S117,BI115,BL115,BN115,BO115,0,Strike2,AO115,CC115,0,BL115,IF(OptControl=3,1,0),1,2)+IF(OR(VolSkewFlag=2,ABS(BR115)&lt;0.0001),0,IF(BR115&gt;0,-1,1)*CJ115*Strike2/BP115^2*BX115/10%),0)</f>
        <v>0</v>
      </c>
      <c r="CJ115" s="155">
        <f ca="1">IF(BD115,(_xll.xCrudeAPO(BS115,BT115,CA115,CB115,S116,S117,BI115,BL115,BN115,BO115,0,Strike2,AO115,CC115,0,BL115,IF(OptControl=3,1,0),3,1)+_xll.xCrudeAPO(BS115,BT115,CA115,CB115,S116,S117,BI115,BL115,BN115,BO115,0,Strike2,AO115,CC115,0,BL115,IF(OptControl=3,1,0),3,2))/100,0)</f>
        <v>0</v>
      </c>
      <c r="CK115" s="156">
        <f ca="1">IF(BD115,_xll.xCrudeAPO(BS115,BT115,CA115,CB115,S116,S117,BI115-DaysForThetaCalculation/365.25,BL115-DaysForThetaCalculation/365.25,BN115,BO115,0,Strike2,AO115,CC115,0,BL115,IF(OptControl=3,1,0),0,1)-_xll.xCrudeAPO(BS115,BT115,CA115,CB115,S116,S117,BI115,BL115,BN115,BO115,0,Strike2,AO115,CC115,0,BL115,IF(OptControl=3,1,0),0,1),0)</f>
        <v>0</v>
      </c>
      <c r="CL115" s="51"/>
      <c r="CM115" s="779" t="str">
        <f t="shared" ca="1" si="323"/>
        <v/>
      </c>
      <c r="CN115" s="783" t="str">
        <f t="shared" ca="1" si="324"/>
        <v/>
      </c>
      <c r="CO115" s="780" t="str">
        <f t="shared" ca="1" si="325"/>
        <v/>
      </c>
      <c r="CP115" s="780" t="str">
        <f t="shared" ca="1" si="326"/>
        <v/>
      </c>
      <c r="CQ115" s="780" t="str">
        <f t="shared" ca="1" si="327"/>
        <v/>
      </c>
      <c r="CR115" s="780" t="str">
        <f t="shared" ca="1" si="328"/>
        <v/>
      </c>
      <c r="CS115" s="781" t="str">
        <f t="shared" ca="1" si="329"/>
        <v/>
      </c>
      <c r="CT115" s="782" t="str">
        <f t="shared" ca="1" si="330"/>
        <v/>
      </c>
      <c r="CU115" s="782" t="str">
        <f t="shared" ca="1" si="331"/>
        <v/>
      </c>
      <c r="CV115" s="155">
        <f ca="1">IF(BD115,_xll.EURO(CN115,Strike1,AO115,AO115,CT115,CM115,IF(OptControl=4,0,1),0),0)</f>
        <v>0</v>
      </c>
      <c r="CW115" s="155">
        <f ca="1">IF(BD115,_xll.EURO(CN115,Strike1,AO115,AO115,CT115,CM115,IF(OptControl=4,0,1),1)+IF(OR(VolSkewFlag=2,ABS(CO115)&lt;0.0001),0,IF(CO115&gt;0,-1,1)*CX115*100*Strike1/CN115^2*CQ115/10%),0)</f>
        <v>0</v>
      </c>
      <c r="CX115" s="155">
        <f ca="1">IF(BD115,_xll.EURO(CN115,Strike1,AO115,AO115,CT115,CM115,IF(OptControl=4,0,1),3)/100,0)</f>
        <v>0</v>
      </c>
      <c r="CY115" s="155">
        <f ca="1">IF(BD115,_xll.EURO(CN115,Strike1,AO115,AO115,CT115,CM115,IF(OptControl=4,0,1),0)-_xll.EURO(CN115,Strike1,AO115,AO115,CT115,CM115-1,IF(OptControl=4,0,1),0),0)</f>
        <v>0</v>
      </c>
      <c r="CZ115" s="155">
        <f ca="1">IF(BD115,_xll.EURO(CN115,Strike2,AO115,AO115,CU115,CM115,IF(OptControl=3,1,0),0),0)</f>
        <v>0</v>
      </c>
      <c r="DA115" s="155">
        <f ca="1">IF(BD115,_xll.EURO(CN115,Strike2,AO115,AO115,CU115,CM115,IF(OptControl=3,1,0),1)+IF(OR(VolSkewFlag=2,ABS(CP115)&lt;0.0001),0,IF(CP115&gt;0,-1,1)*DB115*100*Strike2/CN115^2*CR115/10%),0)</f>
        <v>0</v>
      </c>
      <c r="DB115" s="155">
        <f ca="1">IF(BD115,_xll.EURO(CN115,Strike2,AO115,AO115,CU115,CM115,IF(OptControl=3,1,0),3)/100,0)</f>
        <v>0</v>
      </c>
      <c r="DC115" s="156">
        <f ca="1">IF(BD115,_xll.EURO(CN115,Strike2,AO115,AO115,CU115,CM115,IF(OptControl=3,1,0),0)-_xll.EURO(CN115,Strike2,AO115,AO115,CU115,CM115-1,IF(OptControl=3,1,0),0),0)</f>
        <v>0</v>
      </c>
      <c r="DE115" s="651">
        <f t="shared" ca="1" si="332"/>
        <v>39814</v>
      </c>
      <c r="DF115" s="465">
        <v>1E-4</v>
      </c>
      <c r="DG115" s="649">
        <v>1E-4</v>
      </c>
      <c r="DH115" s="650">
        <f t="shared" ref="DH115:DH146" ca="1" si="463">DE115</f>
        <v>39814</v>
      </c>
      <c r="DI115" s="465">
        <v>1E-4</v>
      </c>
      <c r="DJ115" s="649">
        <v>1E-4</v>
      </c>
      <c r="DK115" s="651">
        <f t="shared" ref="DK115:DK146" ca="1" si="464">DE115</f>
        <v>39814</v>
      </c>
      <c r="DL115" s="652">
        <f t="shared" ref="DL115:DL146" si="465">DI115+BrentPhyBrentSpread</f>
        <v>5.0100000000000006E-2</v>
      </c>
      <c r="DM115" s="651">
        <f t="shared" ca="1" si="333"/>
        <v>39814</v>
      </c>
      <c r="DN115" s="563">
        <f t="shared" si="334"/>
        <v>-0.12990000000000002</v>
      </c>
      <c r="DO115" s="803">
        <v>-0.13</v>
      </c>
      <c r="DP115" s="650">
        <f t="shared" ref="DP115:DP146" ca="1" si="466">DE115</f>
        <v>39814</v>
      </c>
      <c r="DQ115" s="653">
        <v>1E-4</v>
      </c>
      <c r="DR115" s="590">
        <v>1E-4</v>
      </c>
      <c r="DS115" s="650">
        <f t="shared" ref="DS115:DS146" ca="1" si="467">DE115</f>
        <v>39814</v>
      </c>
      <c r="DT115" s="653">
        <v>1E-4</v>
      </c>
      <c r="DU115" s="590">
        <v>1E-4</v>
      </c>
      <c r="DV115" s="651">
        <f t="shared" ref="DV115:DV146" ca="1" si="468">DE115</f>
        <v>39814</v>
      </c>
      <c r="DW115" s="590">
        <v>1E-4</v>
      </c>
      <c r="DX115" s="651">
        <f t="shared" ca="1" si="335"/>
        <v>39814</v>
      </c>
      <c r="DY115" s="590">
        <f t="shared" si="336"/>
        <v>1E-4</v>
      </c>
      <c r="DZ115" s="1"/>
      <c r="EA115" s="857"/>
      <c r="EB115" s="857"/>
      <c r="EC115" s="857"/>
      <c r="ED115" s="868" t="e">
        <f t="shared" ca="1" si="436"/>
        <v>#NAME?</v>
      </c>
      <c r="EE115" s="863" t="e">
        <f t="shared" ca="1" si="312"/>
        <v>#NAME?</v>
      </c>
      <c r="EF115" s="590" t="e">
        <f t="shared" ca="1" si="313"/>
        <v>#NAME?</v>
      </c>
      <c r="EG115" s="862" t="str">
        <f t="shared" ref="EG115:EG146" ca="1" si="469">IF(BD115,IF(Underlying=1,AS115,AU115),"")</f>
        <v/>
      </c>
      <c r="EH115" s="114" t="str">
        <f t="shared" ca="1" si="315"/>
        <v/>
      </c>
      <c r="EI115" s="109" t="str">
        <f t="shared" ca="1" si="316"/>
        <v/>
      </c>
      <c r="EJ115" s="115">
        <f ca="1">IF(BD115,_xll.xASN(BP115,Strike1,AO115,EH115,0,BM115,0,BI115,BL115,IF(OptControl=4,0,1),0),0)</f>
        <v>0</v>
      </c>
      <c r="EK115" s="108">
        <f ca="1">IF(BD115,_xll.xASN(BP115,Strike2,AO115,EI115,0,BM115,0,BI115,BL115,IF(OptControl=3,1,0),0),0)</f>
        <v>0</v>
      </c>
      <c r="EP115" s="53"/>
      <c r="EQ115" s="1"/>
      <c r="ER115" s="103"/>
      <c r="ES115" s="103"/>
      <c r="ET115" s="1"/>
      <c r="EU115" s="667" t="s">
        <v>327</v>
      </c>
      <c r="EW115" s="445"/>
      <c r="EX115" s="36"/>
      <c r="EY115" s="104"/>
      <c r="EZ115" s="465"/>
      <c r="FA115" s="446"/>
      <c r="FB115" s="446"/>
      <c r="FC115" s="242"/>
      <c r="FD115" s="242"/>
      <c r="FE115" s="242"/>
      <c r="FF115" s="242"/>
      <c r="FG115" s="242"/>
      <c r="FH115" s="242"/>
      <c r="FI115" s="242"/>
      <c r="FJ115" s="242"/>
      <c r="FK115" s="242"/>
      <c r="FL115" s="242"/>
      <c r="FM115" s="242"/>
      <c r="FN115" s="657">
        <v>21</v>
      </c>
      <c r="FO115" s="450">
        <f t="shared" ca="1" si="433"/>
        <v>0.18991054557541098</v>
      </c>
      <c r="FP115" s="450">
        <f t="shared" ca="1" si="451"/>
        <v>0.19188985368409647</v>
      </c>
      <c r="FQ115" s="450">
        <f t="shared" ca="1" si="451"/>
        <v>0.19392949921525426</v>
      </c>
      <c r="FR115" s="450">
        <f t="shared" ca="1" si="451"/>
        <v>0.19625481872493458</v>
      </c>
      <c r="FS115" s="450">
        <f t="shared" ca="1" si="451"/>
        <v>0.19890585547013581</v>
      </c>
      <c r="FT115" s="450">
        <f t="shared" ca="1" si="451"/>
        <v>0.20192941700856604</v>
      </c>
      <c r="FU115" s="450">
        <f t="shared" ca="1" si="451"/>
        <v>0.20538048315441051</v>
      </c>
      <c r="FV115" s="450">
        <f t="shared" ca="1" si="451"/>
        <v>0.20932397166858607</v>
      </c>
      <c r="FW115" s="450">
        <f t="shared" ca="1" si="451"/>
        <v>0.21383696949258529</v>
      </c>
      <c r="FX115" s="450">
        <f t="shared" ca="1" si="451"/>
        <v>0.21901157500755697</v>
      </c>
      <c r="FY115" s="450">
        <f t="shared" ca="1" si="451"/>
        <v>0.22495854953842487</v>
      </c>
      <c r="FZ115" s="450">
        <f t="shared" ca="1" si="451"/>
        <v>0.2318120509631828</v>
      </c>
      <c r="GA115" s="450">
        <f t="shared" ca="1" si="451"/>
        <v>0.23973582916271666</v>
      </c>
      <c r="GB115" s="450">
        <f t="shared" ca="1" si="451"/>
        <v>0.24893141798877322</v>
      </c>
      <c r="GC115" s="450">
        <f t="shared" ca="1" si="451"/>
        <v>0.25964908605270959</v>
      </c>
      <c r="GD115" s="450">
        <f t="shared" ca="1" si="451"/>
        <v>0.27220264781949161</v>
      </c>
      <c r="GE115" s="450">
        <f t="shared" ca="1" si="451"/>
        <v>0.28698974965582758</v>
      </c>
      <c r="GF115" s="450">
        <f t="shared" ca="1" si="451"/>
        <v>0.30452003468875732</v>
      </c>
      <c r="GG115" s="450">
        <f t="shared" ca="1" si="451"/>
        <v>0.3254548256939267</v>
      </c>
      <c r="GH115" s="450">
        <f t="shared" ca="1" si="451"/>
        <v>0.3506639362647736</v>
      </c>
      <c r="GI115" s="450">
        <f t="shared" ca="1" si="451"/>
        <v>0.38130843119177937</v>
      </c>
      <c r="GJ115" s="450" t="str">
        <f t="shared" si="451"/>
        <v/>
      </c>
      <c r="GK115" s="450" t="str">
        <f t="shared" si="451"/>
        <v/>
      </c>
      <c r="GL115" s="450" t="str">
        <f t="shared" si="451"/>
        <v/>
      </c>
      <c r="GM115" s="450" t="str">
        <f t="shared" si="451"/>
        <v/>
      </c>
      <c r="GN115" s="450" t="str">
        <f t="shared" si="451"/>
        <v/>
      </c>
      <c r="GO115" s="450" t="str">
        <f t="shared" si="451"/>
        <v/>
      </c>
      <c r="GP115" s="450" t="str">
        <f t="shared" si="451"/>
        <v/>
      </c>
      <c r="GQ115" s="450" t="str">
        <f t="shared" si="451"/>
        <v/>
      </c>
      <c r="GR115" s="450" t="str">
        <f t="shared" si="451"/>
        <v/>
      </c>
      <c r="GS115" s="450" t="str">
        <f t="shared" si="451"/>
        <v/>
      </c>
      <c r="GT115" s="450" t="str">
        <f t="shared" si="451"/>
        <v/>
      </c>
      <c r="GU115" s="450" t="str">
        <f t="shared" si="451"/>
        <v/>
      </c>
      <c r="GV115" s="450" t="str">
        <f t="shared" si="451"/>
        <v/>
      </c>
      <c r="GW115" s="450" t="str">
        <f t="shared" si="451"/>
        <v/>
      </c>
      <c r="GX115" s="450" t="str">
        <f t="shared" si="451"/>
        <v/>
      </c>
      <c r="GY115" s="450" t="str">
        <f t="shared" si="451"/>
        <v/>
      </c>
      <c r="GZ115" s="450" t="str">
        <f t="shared" si="451"/>
        <v/>
      </c>
      <c r="HA115" s="450" t="str">
        <f t="shared" si="451"/>
        <v/>
      </c>
      <c r="HB115" s="450" t="str">
        <f t="shared" si="451"/>
        <v/>
      </c>
      <c r="HC115" s="450" t="str">
        <f t="shared" si="451"/>
        <v/>
      </c>
      <c r="HD115" s="450" t="str">
        <f t="shared" si="451"/>
        <v/>
      </c>
      <c r="HE115" s="450" t="str">
        <f t="shared" si="451"/>
        <v/>
      </c>
      <c r="HF115" s="450" t="str">
        <f t="shared" si="451"/>
        <v/>
      </c>
      <c r="HG115" s="450" t="str">
        <f t="shared" si="451"/>
        <v/>
      </c>
      <c r="HH115" s="450" t="str">
        <f t="shared" si="451"/>
        <v/>
      </c>
      <c r="HI115" s="450" t="str">
        <f t="shared" si="451"/>
        <v/>
      </c>
      <c r="HJ115" s="450" t="str">
        <f t="shared" si="451"/>
        <v/>
      </c>
      <c r="HK115" s="450" t="str">
        <f t="shared" si="451"/>
        <v/>
      </c>
      <c r="HL115" s="450" t="str">
        <f t="shared" si="451"/>
        <v/>
      </c>
      <c r="HM115" s="450" t="str">
        <f t="shared" si="451"/>
        <v/>
      </c>
      <c r="HN115" s="450" t="str">
        <f t="shared" si="451"/>
        <v/>
      </c>
      <c r="HO115" s="450" t="str">
        <f t="shared" si="451"/>
        <v/>
      </c>
      <c r="HP115" s="450" t="str">
        <f t="shared" si="451"/>
        <v/>
      </c>
      <c r="HQ115" s="450" t="str">
        <f t="shared" si="451"/>
        <v/>
      </c>
      <c r="HR115" s="450" t="str">
        <f t="shared" si="451"/>
        <v/>
      </c>
      <c r="HS115" s="450" t="str">
        <f t="shared" si="451"/>
        <v/>
      </c>
      <c r="HT115" s="450" t="str">
        <f t="shared" si="451"/>
        <v/>
      </c>
      <c r="HU115" s="450" t="str">
        <f t="shared" si="451"/>
        <v/>
      </c>
      <c r="HV115" s="450" t="str">
        <f t="shared" si="451"/>
        <v/>
      </c>
      <c r="HW115" s="450" t="str">
        <f t="shared" si="451"/>
        <v/>
      </c>
      <c r="HX115" s="450" t="str">
        <f t="shared" si="451"/>
        <v/>
      </c>
      <c r="HY115" s="450" t="str">
        <f t="shared" si="451"/>
        <v/>
      </c>
      <c r="HZ115" s="450" t="str">
        <f t="shared" si="451"/>
        <v/>
      </c>
      <c r="IA115" s="450" t="str">
        <f t="shared" si="451"/>
        <v/>
      </c>
      <c r="IB115" s="450" t="str">
        <f t="shared" si="450"/>
        <v/>
      </c>
      <c r="IC115" s="450" t="str">
        <f t="shared" si="450"/>
        <v/>
      </c>
      <c r="ID115" s="450" t="str">
        <f t="shared" si="450"/>
        <v/>
      </c>
      <c r="IE115" s="450" t="str">
        <f t="shared" si="450"/>
        <v/>
      </c>
      <c r="IF115" s="450" t="str">
        <f t="shared" si="450"/>
        <v/>
      </c>
      <c r="IG115" s="450" t="str">
        <f t="shared" si="450"/>
        <v/>
      </c>
      <c r="IH115" s="658" t="str">
        <f t="shared" si="450"/>
        <v/>
      </c>
      <c r="II115" s="242"/>
    </row>
    <row r="116" spans="8:243">
      <c r="H116" s="49" t="e">
        <f t="shared" ca="1" si="317"/>
        <v>#N/A</v>
      </c>
      <c r="I116" s="369">
        <f t="shared" si="318"/>
        <v>39934</v>
      </c>
      <c r="J116" s="367">
        <v>21.9433333333333</v>
      </c>
      <c r="K116" s="101" t="s">
        <v>267</v>
      </c>
      <c r="L116" s="382">
        <f t="shared" si="319"/>
        <v>21.943333333333317</v>
      </c>
      <c r="M116" s="163">
        <v>0.1678</v>
      </c>
      <c r="N116" s="372">
        <v>0</v>
      </c>
      <c r="O116" s="163">
        <f t="shared" si="272"/>
        <v>0.1678</v>
      </c>
      <c r="P116" s="367">
        <v>20.737065583986897</v>
      </c>
      <c r="Q116" s="101" t="s">
        <v>267</v>
      </c>
      <c r="R116" s="367">
        <f t="shared" ca="1" si="417"/>
        <v>20.737065583986908</v>
      </c>
      <c r="S116" s="814">
        <f t="shared" si="163"/>
        <v>0.3592448039446744</v>
      </c>
      <c r="T116" s="813">
        <f t="shared" si="418"/>
        <v>0.99999683978265119</v>
      </c>
      <c r="U116" s="532">
        <f t="shared" si="419"/>
        <v>0.99999999999998479</v>
      </c>
      <c r="V116" s="379">
        <v>0</v>
      </c>
      <c r="W116" s="424">
        <f t="shared" si="452"/>
        <v>21.965555555555532</v>
      </c>
      <c r="X116" s="405">
        <f t="shared" si="453"/>
        <v>21.96555555555554</v>
      </c>
      <c r="Y116" s="313">
        <f t="shared" si="454"/>
        <v>20.621555555555531</v>
      </c>
      <c r="Z116" s="313">
        <f t="shared" ca="1" si="455"/>
        <v>20.621555555555538</v>
      </c>
      <c r="AA116" s="419">
        <f t="shared" si="277"/>
        <v>1.3440000000000001</v>
      </c>
      <c r="AB116" s="423">
        <f t="shared" ca="1" si="278"/>
        <v>1.3440000000000001</v>
      </c>
      <c r="AC116" s="221">
        <v>39923</v>
      </c>
      <c r="AD116" s="221">
        <v>39919</v>
      </c>
      <c r="AE116" s="221">
        <v>39918</v>
      </c>
      <c r="AF116" s="221">
        <v>39914</v>
      </c>
      <c r="AG116" s="241" t="s">
        <v>497</v>
      </c>
      <c r="AH116" s="239" t="s">
        <v>497</v>
      </c>
      <c r="AI116" s="141">
        <v>21</v>
      </c>
      <c r="AJ116" s="41">
        <v>14</v>
      </c>
      <c r="AK116" s="41">
        <v>7</v>
      </c>
      <c r="AL116" s="285">
        <v>21</v>
      </c>
      <c r="AM116" s="41">
        <v>10</v>
      </c>
      <c r="AN116" s="142">
        <v>11</v>
      </c>
      <c r="AO116" s="364">
        <v>5.7518197435026501E-2</v>
      </c>
      <c r="AP116" s="145">
        <f t="shared" ca="1" si="320"/>
        <v>0.63019479913979404</v>
      </c>
      <c r="AQ116" s="364">
        <v>4.9357486372399305E-2</v>
      </c>
      <c r="AR116" s="145">
        <f t="shared" ca="1" si="420"/>
        <v>0.67637966548733752</v>
      </c>
      <c r="AS116" s="264">
        <f t="shared" si="456"/>
        <v>0.16720000000000002</v>
      </c>
      <c r="AT116" s="149">
        <f t="shared" si="321"/>
        <v>0.1678</v>
      </c>
      <c r="AU116" s="149">
        <f t="shared" si="280"/>
        <v>0.16711428571428572</v>
      </c>
      <c r="AV116" s="263">
        <f t="shared" ca="1" si="430"/>
        <v>0.16455245225499879</v>
      </c>
      <c r="AW116" s="150" t="str">
        <f t="shared" ca="1" si="457"/>
        <v/>
      </c>
      <c r="AX116" s="149">
        <f t="shared" ca="1" si="421"/>
        <v>1.6806923239095536E-2</v>
      </c>
      <c r="AY116" s="149">
        <f t="shared" ca="1" si="422"/>
        <v>7.376848771343641E-3</v>
      </c>
      <c r="AZ116" s="149">
        <f t="shared" ca="1" si="423"/>
        <v>4.9734153293604089E-3</v>
      </c>
      <c r="BA116" s="149">
        <f t="shared" ca="1" si="424"/>
        <v>1.0000000000000351E-4</v>
      </c>
      <c r="BB116" s="149">
        <f t="shared" ca="1" si="425"/>
        <v>1.0000000000000351E-4</v>
      </c>
      <c r="BC116" s="149">
        <f t="shared" ca="1" si="426"/>
        <v>1.0000000000000351E-4</v>
      </c>
      <c r="BD116" s="143">
        <f t="shared" ca="1" si="458"/>
        <v>0</v>
      </c>
      <c r="BE116" s="144">
        <f t="shared" ca="1" si="459"/>
        <v>0</v>
      </c>
      <c r="BF116" s="40">
        <f t="shared" si="460"/>
        <v>2009</v>
      </c>
      <c r="BG116" s="139">
        <f t="shared" si="461"/>
        <v>5</v>
      </c>
      <c r="BH116" s="140">
        <f t="shared" ca="1" si="462"/>
        <v>2929</v>
      </c>
      <c r="BI116" s="304">
        <f t="shared" ca="1" si="440"/>
        <v>8.0602327173169055</v>
      </c>
      <c r="BJ116" s="42">
        <f t="shared" ca="1" si="288"/>
        <v>8.1149897330595486</v>
      </c>
      <c r="BK116" s="42">
        <f t="shared" ca="1" si="289"/>
        <v>8.1177275838466816</v>
      </c>
      <c r="BL116" s="42">
        <f t="shared" ca="1" si="441"/>
        <v>8.1423682409308693</v>
      </c>
      <c r="BM116" s="285">
        <f t="shared" si="442"/>
        <v>21</v>
      </c>
      <c r="BN116" s="41">
        <f t="shared" si="443"/>
        <v>14</v>
      </c>
      <c r="BO116" s="41">
        <f t="shared" si="444"/>
        <v>7</v>
      </c>
      <c r="BP116" s="297" t="str">
        <f t="shared" ca="1" si="293"/>
        <v/>
      </c>
      <c r="BQ116" s="297" t="str">
        <f t="shared" ca="1" si="294"/>
        <v/>
      </c>
      <c r="BR116" s="299" t="str">
        <f t="shared" ca="1" si="295"/>
        <v/>
      </c>
      <c r="BS116" s="153" t="str">
        <f t="shared" ca="1" si="296"/>
        <v/>
      </c>
      <c r="BT116" s="153" t="str">
        <f t="shared" ca="1" si="297"/>
        <v/>
      </c>
      <c r="BU116" s="300" t="str">
        <f t="shared" ca="1" si="298"/>
        <v/>
      </c>
      <c r="BV116" s="301" t="str">
        <f t="shared" ca="1" si="299"/>
        <v/>
      </c>
      <c r="BW116" s="300" t="str">
        <f t="shared" ca="1" si="300"/>
        <v/>
      </c>
      <c r="BX116" s="301" t="str">
        <f t="shared" ca="1" si="301"/>
        <v/>
      </c>
      <c r="BY116" s="146" t="str">
        <f t="shared" ca="1" si="302"/>
        <v/>
      </c>
      <c r="BZ116" s="146" t="str">
        <f t="shared" ca="1" si="303"/>
        <v/>
      </c>
      <c r="CA116" s="146" t="str">
        <f t="shared" ca="1" si="304"/>
        <v/>
      </c>
      <c r="CB116" s="146" t="str">
        <f t="shared" ca="1" si="305"/>
        <v/>
      </c>
      <c r="CC116" s="302">
        <v>1</v>
      </c>
      <c r="CD116" s="154">
        <f ca="1">IF(BD116,_xll.xCrudeAPO(BS116,BT116,BY116,BZ116,S117,S118,BI116,BL116,BN116,BO116,0,Strike1,AO116,CC116,0,BL116,IF(OptControl=4,0,1),0,1),0)</f>
        <v>0</v>
      </c>
      <c r="CE116" s="155">
        <f ca="1">IF(BD116,_xll.xCrudeAPO(BS116,BT116,BY116,BZ116,S117,S118,BI116,BL116,BN116,BO116,0,Strike1,AO116,CC116,0,BL116,IF(OptControl=4,0,1),1,1)+_xll.xCrudeAPO(BS116,BT116,BY116,BZ116,S117,S118,BI116,BL116,BN116,BO116,0,Strike1,AO116,CC116,0,BL116,IF(OptControl=4,0,1),1,2)+IF(OR(VolSkewFlag=2,ABS(BQ116)&lt;0.0001),0,IF(BQ116&gt;0,-1,1)*CF116*Strike1/BP116^2*BW116/10%),0)</f>
        <v>0</v>
      </c>
      <c r="CF116" s="155">
        <f ca="1">IF(BD116,(_xll.xCrudeAPO(BS116,BT116,BY116,BZ116,S117,S118,BI116,BL116,BN116,BO116,0,Strike1,AO116,CC116,0,BL116,IF(OptControl=4,0,1),3,1)+_xll.xCrudeAPO(BS116,BT116,BY116,BZ116,S117,S118,BI116,BL116,BN116,BO116,0,Strike1,AO116,CC116,0,BL116,IF(OptControl=4,0,1),3,2))/100,0)</f>
        <v>0</v>
      </c>
      <c r="CG116" s="155">
        <f ca="1">IF(BD116,_xll.xCrudeAPO(BS116,BT116,BY116,BZ116,S117,S118,BI116-DaysForThetaCalculation/365.25,BL116-DaysForThetaCalculation/365.25,BN116,BO116,0,Strike1,AO116,CC116,0,BL116,IF(OptControl=4,0,1),0,1)-_xll.xCrudeAPO(BS116,BT116,BY116,BZ116,S117,S118,BI116,BL116,BN116,BO116,0,Strike1,AO116,CC116,0,BL116,IF(OptControl=4,0,1),0,1),0)</f>
        <v>0</v>
      </c>
      <c r="CH116" s="303">
        <f ca="1">IF(BD116,_xll.xCrudeAPO(BS116,BT116,CA116,CB116,S117,S118,BI116,BL116,BN116,BO116,0,Strike2,AO116,CC116,0,BL116,IF(OptControl=3,1,0),0,1),0)</f>
        <v>0</v>
      </c>
      <c r="CI116" s="155">
        <f ca="1">IF(BD116,_xll.xCrudeAPO(BS116,BT116,CA116,CB116,S117,S118,BI116,BL116,BN116,BO116,0,Strike2,AO116,CC116,0,BL116,IF(OptControl=3,1,0),1,1)+_xll.xCrudeAPO(BS116,BT116,CA116,CB116,S117,S118,BI116,BL116,BN116,BO116,0,Strike2,AO116,CC116,0,BL116,IF(OptControl=3,1,0),1,2)+IF(OR(VolSkewFlag=2,ABS(BR116)&lt;0.0001),0,IF(BR116&gt;0,-1,1)*CJ116*Strike2/BP116^2*BX116/10%),0)</f>
        <v>0</v>
      </c>
      <c r="CJ116" s="155">
        <f ca="1">IF(BD116,(_xll.xCrudeAPO(BS116,BT116,CA116,CB116,S117,S118,BI116,BL116,BN116,BO116,0,Strike2,AO116,CC116,0,BL116,IF(OptControl=3,1,0),3,1)+_xll.xCrudeAPO(BS116,BT116,CA116,CB116,S117,S118,BI116,BL116,BN116,BO116,0,Strike2,AO116,CC116,0,BL116,IF(OptControl=3,1,0),3,2))/100,0)</f>
        <v>0</v>
      </c>
      <c r="CK116" s="156">
        <f ca="1">IF(BD116,_xll.xCrudeAPO(BS116,BT116,CA116,CB116,S117,S118,BI116-DaysForThetaCalculation/365.25,BL116-DaysForThetaCalculation/365.25,BN116,BO116,0,Strike2,AO116,CC116,0,BL116,IF(OptControl=3,1,0),0,1)-_xll.xCrudeAPO(BS116,BT116,CA116,CB116,S117,S118,BI116,BL116,BN116,BO116,0,Strike2,AO116,CC116,0,BL116,IF(OptControl=3,1,0),0,1),0)</f>
        <v>0</v>
      </c>
      <c r="CL116" s="51"/>
      <c r="CM116" s="779" t="str">
        <f t="shared" ca="1" si="323"/>
        <v/>
      </c>
      <c r="CN116" s="783" t="str">
        <f t="shared" ca="1" si="324"/>
        <v/>
      </c>
      <c r="CO116" s="780" t="str">
        <f t="shared" ca="1" si="325"/>
        <v/>
      </c>
      <c r="CP116" s="780" t="str">
        <f t="shared" ca="1" si="326"/>
        <v/>
      </c>
      <c r="CQ116" s="780" t="str">
        <f t="shared" ca="1" si="327"/>
        <v/>
      </c>
      <c r="CR116" s="780" t="str">
        <f t="shared" ca="1" si="328"/>
        <v/>
      </c>
      <c r="CS116" s="781" t="str">
        <f t="shared" ca="1" si="329"/>
        <v/>
      </c>
      <c r="CT116" s="782" t="str">
        <f t="shared" ca="1" si="330"/>
        <v/>
      </c>
      <c r="CU116" s="782" t="str">
        <f t="shared" ca="1" si="331"/>
        <v/>
      </c>
      <c r="CV116" s="155">
        <f ca="1">IF(BD116,_xll.EURO(CN116,Strike1,AO116,AO116,CT116,CM116,IF(OptControl=4,0,1),0),0)</f>
        <v>0</v>
      </c>
      <c r="CW116" s="155">
        <f ca="1">IF(BD116,_xll.EURO(CN116,Strike1,AO116,AO116,CT116,CM116,IF(OptControl=4,0,1),1)+IF(OR(VolSkewFlag=2,ABS(CO116)&lt;0.0001),0,IF(CO116&gt;0,-1,1)*CX116*100*Strike1/CN116^2*CQ116/10%),0)</f>
        <v>0</v>
      </c>
      <c r="CX116" s="155">
        <f ca="1">IF(BD116,_xll.EURO(CN116,Strike1,AO116,AO116,CT116,CM116,IF(OptControl=4,0,1),3)/100,0)</f>
        <v>0</v>
      </c>
      <c r="CY116" s="155">
        <f ca="1">IF(BD116,_xll.EURO(CN116,Strike1,AO116,AO116,CT116,CM116,IF(OptControl=4,0,1),0)-_xll.EURO(CN116,Strike1,AO116,AO116,CT116,CM116-1,IF(OptControl=4,0,1),0),0)</f>
        <v>0</v>
      </c>
      <c r="CZ116" s="155">
        <f ca="1">IF(BD116,_xll.EURO(CN116,Strike2,AO116,AO116,CU116,CM116,IF(OptControl=3,1,0),0),0)</f>
        <v>0</v>
      </c>
      <c r="DA116" s="155">
        <f ca="1">IF(BD116,_xll.EURO(CN116,Strike2,AO116,AO116,CU116,CM116,IF(OptControl=3,1,0),1)+IF(OR(VolSkewFlag=2,ABS(CP116)&lt;0.0001),0,IF(CP116&gt;0,-1,1)*DB116*100*Strike2/CN116^2*CR116/10%),0)</f>
        <v>0</v>
      </c>
      <c r="DB116" s="155">
        <f ca="1">IF(BD116,_xll.EURO(CN116,Strike2,AO116,AO116,CU116,CM116,IF(OptControl=3,1,0),3)/100,0)</f>
        <v>0</v>
      </c>
      <c r="DC116" s="156">
        <f ca="1">IF(BD116,_xll.EURO(CN116,Strike2,AO116,AO116,CU116,CM116,IF(OptControl=3,1,0),0)-_xll.EURO(CN116,Strike2,AO116,AO116,CU116,CM116-1,IF(OptControl=3,1,0),0),0)</f>
        <v>0</v>
      </c>
      <c r="DE116" s="651">
        <f t="shared" ca="1" si="332"/>
        <v>39845</v>
      </c>
      <c r="DF116" s="465">
        <v>1E-4</v>
      </c>
      <c r="DG116" s="649">
        <v>1E-4</v>
      </c>
      <c r="DH116" s="650">
        <f t="shared" ca="1" si="463"/>
        <v>39845</v>
      </c>
      <c r="DI116" s="465">
        <v>1E-4</v>
      </c>
      <c r="DJ116" s="649">
        <v>1E-4</v>
      </c>
      <c r="DK116" s="651">
        <f t="shared" ca="1" si="464"/>
        <v>39845</v>
      </c>
      <c r="DL116" s="652">
        <f t="shared" si="465"/>
        <v>5.0100000000000006E-2</v>
      </c>
      <c r="DM116" s="651">
        <f t="shared" ca="1" si="333"/>
        <v>39845</v>
      </c>
      <c r="DN116" s="563">
        <f t="shared" si="334"/>
        <v>-0.12990000000000002</v>
      </c>
      <c r="DO116" s="803">
        <v>-0.13</v>
      </c>
      <c r="DP116" s="650">
        <f t="shared" ca="1" si="466"/>
        <v>39845</v>
      </c>
      <c r="DQ116" s="653">
        <v>1E-4</v>
      </c>
      <c r="DR116" s="590">
        <v>1E-4</v>
      </c>
      <c r="DS116" s="650">
        <f t="shared" ca="1" si="467"/>
        <v>39845</v>
      </c>
      <c r="DT116" s="653">
        <v>1E-4</v>
      </c>
      <c r="DU116" s="590">
        <v>1E-4</v>
      </c>
      <c r="DV116" s="651">
        <f t="shared" ca="1" si="468"/>
        <v>39845</v>
      </c>
      <c r="DW116" s="590">
        <v>1E-4</v>
      </c>
      <c r="DX116" s="651">
        <f t="shared" ca="1" si="335"/>
        <v>39845</v>
      </c>
      <c r="DY116" s="590">
        <f t="shared" si="336"/>
        <v>1E-4</v>
      </c>
      <c r="DZ116" s="1"/>
      <c r="EA116" s="857"/>
      <c r="EB116" s="857"/>
      <c r="EC116" s="857"/>
      <c r="ED116" s="868" t="e">
        <f t="shared" ca="1" si="436"/>
        <v>#NAME?</v>
      </c>
      <c r="EE116" s="863" t="e">
        <f t="shared" ca="1" si="312"/>
        <v>#NAME?</v>
      </c>
      <c r="EF116" s="590" t="e">
        <f t="shared" ca="1" si="313"/>
        <v>#NAME?</v>
      </c>
      <c r="EG116" s="862" t="str">
        <f t="shared" ca="1" si="469"/>
        <v/>
      </c>
      <c r="EH116" s="114" t="str">
        <f t="shared" ca="1" si="315"/>
        <v/>
      </c>
      <c r="EI116" s="109" t="str">
        <f t="shared" ca="1" si="316"/>
        <v/>
      </c>
      <c r="EJ116" s="115">
        <f ca="1">IF(BD116,_xll.xASN(BP116,Strike1,AO116,EH116,0,BM116,0,BI116,BL116,IF(OptControl=4,0,1),0),0)</f>
        <v>0</v>
      </c>
      <c r="EK116" s="108">
        <f ca="1">IF(BD116,_xll.xASN(BP116,Strike2,AO116,EI116,0,BM116,0,BI116,BL116,IF(OptControl=3,1,0),0),0)</f>
        <v>0</v>
      </c>
      <c r="EP116" s="53"/>
      <c r="EQ116" s="1"/>
      <c r="ER116" s="103"/>
      <c r="ES116" s="103"/>
      <c r="ET116" s="1"/>
      <c r="EU116" s="667" t="s">
        <v>328</v>
      </c>
      <c r="EW116" s="445"/>
      <c r="EX116" s="36"/>
      <c r="EY116" s="104"/>
      <c r="EZ116" s="465"/>
      <c r="FA116" s="446"/>
      <c r="FB116" s="446"/>
      <c r="FC116" s="242"/>
      <c r="FD116" s="242"/>
      <c r="FE116" s="242"/>
      <c r="FF116" s="242"/>
      <c r="FG116" s="242"/>
      <c r="FH116" s="242"/>
      <c r="FI116" s="242"/>
      <c r="FJ116" s="242"/>
      <c r="FK116" s="242"/>
      <c r="FL116" s="242"/>
      <c r="FM116" s="242"/>
      <c r="FN116" s="657">
        <v>22</v>
      </c>
      <c r="FO116" s="450">
        <f t="shared" ca="1" si="433"/>
        <v>0.18809957967058993</v>
      </c>
      <c r="FP116" s="450">
        <f t="shared" ca="1" si="451"/>
        <v>0.18985560907414792</v>
      </c>
      <c r="FQ116" s="450">
        <f t="shared" ca="1" si="451"/>
        <v>0.19164384105116811</v>
      </c>
      <c r="FR116" s="450">
        <f t="shared" ca="1" si="451"/>
        <v>0.19368304195694477</v>
      </c>
      <c r="FS116" s="450">
        <f t="shared" ca="1" si="451"/>
        <v>0.19600758623713582</v>
      </c>
      <c r="FT116" s="450">
        <f t="shared" ca="1" si="451"/>
        <v>0.19865747615724605</v>
      </c>
      <c r="FU116" s="450">
        <f t="shared" ca="1" si="451"/>
        <v>0.20167947152495866</v>
      </c>
      <c r="FV116" s="450">
        <f t="shared" ca="1" si="451"/>
        <v>0.20512849625381319</v>
      </c>
      <c r="FW116" s="450">
        <f t="shared" ca="1" si="451"/>
        <v>0.2090694023093467</v>
      </c>
      <c r="FX116" s="450">
        <f t="shared" ca="1" si="451"/>
        <v>0.21357919874130801</v>
      </c>
      <c r="FY116" s="450">
        <f t="shared" ca="1" si="451"/>
        <v>0.21874989114145382</v>
      </c>
      <c r="FZ116" s="450">
        <f t="shared" ca="1" si="451"/>
        <v>0.22469212955337947</v>
      </c>
      <c r="GA116" s="450">
        <f t="shared" ca="1" si="451"/>
        <v>0.23153993742880583</v>
      </c>
      <c r="GB116" s="450">
        <f t="shared" ca="1" si="451"/>
        <v>0.23945690099650249</v>
      </c>
      <c r="GC116" s="450">
        <f t="shared" ca="1" si="451"/>
        <v>0.24864435320255363</v>
      </c>
      <c r="GD116" s="450">
        <f t="shared" ca="1" si="451"/>
        <v>0.25935231378607404</v>
      </c>
      <c r="GE116" s="450">
        <f t="shared" ca="1" si="451"/>
        <v>0.27189428590961567</v>
      </c>
      <c r="GF116" s="450">
        <f t="shared" ca="1" si="451"/>
        <v>0.28666752243449267</v>
      </c>
      <c r="GG116" s="450">
        <f t="shared" ca="1" si="451"/>
        <v>0.30418116338116241</v>
      </c>
      <c r="GH116" s="450">
        <f t="shared" ca="1" si="451"/>
        <v>0.3250958802940575</v>
      </c>
      <c r="GI116" s="450">
        <f t="shared" ca="1" si="451"/>
        <v>0.35028063237719032</v>
      </c>
      <c r="GJ116" s="450">
        <f t="shared" ca="1" si="451"/>
        <v>0.3808953468798616</v>
      </c>
      <c r="GK116" s="450" t="str">
        <f t="shared" si="451"/>
        <v/>
      </c>
      <c r="GL116" s="450" t="str">
        <f t="shared" si="451"/>
        <v/>
      </c>
      <c r="GM116" s="450" t="str">
        <f t="shared" si="451"/>
        <v/>
      </c>
      <c r="GN116" s="450" t="str">
        <f t="shared" si="451"/>
        <v/>
      </c>
      <c r="GO116" s="450" t="str">
        <f t="shared" si="451"/>
        <v/>
      </c>
      <c r="GP116" s="450" t="str">
        <f t="shared" si="451"/>
        <v/>
      </c>
      <c r="GQ116" s="450" t="str">
        <f t="shared" si="451"/>
        <v/>
      </c>
      <c r="GR116" s="450" t="str">
        <f t="shared" si="451"/>
        <v/>
      </c>
      <c r="GS116" s="450" t="str">
        <f t="shared" si="451"/>
        <v/>
      </c>
      <c r="GT116" s="450" t="str">
        <f t="shared" si="451"/>
        <v/>
      </c>
      <c r="GU116" s="450" t="str">
        <f t="shared" si="451"/>
        <v/>
      </c>
      <c r="GV116" s="450" t="str">
        <f t="shared" si="451"/>
        <v/>
      </c>
      <c r="GW116" s="450" t="str">
        <f t="shared" si="451"/>
        <v/>
      </c>
      <c r="GX116" s="450" t="str">
        <f t="shared" si="451"/>
        <v/>
      </c>
      <c r="GY116" s="450" t="str">
        <f t="shared" si="451"/>
        <v/>
      </c>
      <c r="GZ116" s="450" t="str">
        <f t="shared" si="451"/>
        <v/>
      </c>
      <c r="HA116" s="450" t="str">
        <f t="shared" si="451"/>
        <v/>
      </c>
      <c r="HB116" s="450" t="str">
        <f t="shared" si="451"/>
        <v/>
      </c>
      <c r="HC116" s="450" t="str">
        <f t="shared" si="451"/>
        <v/>
      </c>
      <c r="HD116" s="450" t="str">
        <f t="shared" si="451"/>
        <v/>
      </c>
      <c r="HE116" s="450" t="str">
        <f t="shared" si="451"/>
        <v/>
      </c>
      <c r="HF116" s="450" t="str">
        <f t="shared" si="451"/>
        <v/>
      </c>
      <c r="HG116" s="450" t="str">
        <f t="shared" si="451"/>
        <v/>
      </c>
      <c r="HH116" s="450" t="str">
        <f t="shared" si="451"/>
        <v/>
      </c>
      <c r="HI116" s="450" t="str">
        <f t="shared" si="451"/>
        <v/>
      </c>
      <c r="HJ116" s="450" t="str">
        <f t="shared" si="451"/>
        <v/>
      </c>
      <c r="HK116" s="450" t="str">
        <f t="shared" si="451"/>
        <v/>
      </c>
      <c r="HL116" s="450" t="str">
        <f t="shared" si="451"/>
        <v/>
      </c>
      <c r="HM116" s="450" t="str">
        <f t="shared" si="451"/>
        <v/>
      </c>
      <c r="HN116" s="450" t="str">
        <f t="shared" si="451"/>
        <v/>
      </c>
      <c r="HO116" s="450" t="str">
        <f t="shared" si="451"/>
        <v/>
      </c>
      <c r="HP116" s="450" t="str">
        <f t="shared" si="451"/>
        <v/>
      </c>
      <c r="HQ116" s="450" t="str">
        <f t="shared" si="451"/>
        <v/>
      </c>
      <c r="HR116" s="450" t="str">
        <f t="shared" si="451"/>
        <v/>
      </c>
      <c r="HS116" s="450" t="str">
        <f t="shared" si="451"/>
        <v/>
      </c>
      <c r="HT116" s="450" t="str">
        <f t="shared" si="451"/>
        <v/>
      </c>
      <c r="HU116" s="450" t="str">
        <f t="shared" si="451"/>
        <v/>
      </c>
      <c r="HV116" s="450" t="str">
        <f t="shared" si="451"/>
        <v/>
      </c>
      <c r="HW116" s="450" t="str">
        <f t="shared" si="451"/>
        <v/>
      </c>
      <c r="HX116" s="450" t="str">
        <f t="shared" si="451"/>
        <v/>
      </c>
      <c r="HY116" s="450" t="str">
        <f t="shared" si="451"/>
        <v/>
      </c>
      <c r="HZ116" s="450" t="str">
        <f t="shared" si="451"/>
        <v/>
      </c>
      <c r="IA116" s="450" t="str">
        <f t="shared" ref="IA116:IH119" si="470">IF($FN41&lt;IA$94,"",SQRT(IA41/IA$15))</f>
        <v/>
      </c>
      <c r="IB116" s="450" t="str">
        <f t="shared" si="470"/>
        <v/>
      </c>
      <c r="IC116" s="450" t="str">
        <f t="shared" si="470"/>
        <v/>
      </c>
      <c r="ID116" s="450" t="str">
        <f t="shared" si="470"/>
        <v/>
      </c>
      <c r="IE116" s="450" t="str">
        <f t="shared" si="470"/>
        <v/>
      </c>
      <c r="IF116" s="450" t="str">
        <f t="shared" si="470"/>
        <v/>
      </c>
      <c r="IG116" s="450" t="str">
        <f t="shared" si="470"/>
        <v/>
      </c>
      <c r="IH116" s="658" t="str">
        <f t="shared" si="470"/>
        <v/>
      </c>
      <c r="II116" s="242"/>
    </row>
    <row r="117" spans="8:243">
      <c r="H117" s="49" t="e">
        <f t="shared" ca="1" si="317"/>
        <v>#N/A</v>
      </c>
      <c r="I117" s="369">
        <f t="shared" si="318"/>
        <v>39965</v>
      </c>
      <c r="J117" s="367">
        <v>21.96</v>
      </c>
      <c r="K117" s="101" t="s">
        <v>267</v>
      </c>
      <c r="L117" s="382">
        <f t="shared" si="319"/>
        <v>21.959999999999983</v>
      </c>
      <c r="M117" s="163">
        <v>0.16735</v>
      </c>
      <c r="N117" s="372">
        <v>0</v>
      </c>
      <c r="O117" s="163">
        <f t="shared" si="272"/>
        <v>0.16735</v>
      </c>
      <c r="P117" s="367">
        <v>20.495667568899798</v>
      </c>
      <c r="Q117" s="101" t="s">
        <v>267</v>
      </c>
      <c r="R117" s="367">
        <f t="shared" ca="1" si="417"/>
        <v>20.495667568899773</v>
      </c>
      <c r="S117" s="814">
        <f t="shared" si="163"/>
        <v>0.35905235590522766</v>
      </c>
      <c r="T117" s="813">
        <f t="shared" si="418"/>
        <v>0.99999715580483661</v>
      </c>
      <c r="U117" s="532">
        <f t="shared" si="419"/>
        <v>0.99999999999998856</v>
      </c>
      <c r="V117" s="379">
        <v>0</v>
      </c>
      <c r="W117" s="424">
        <f t="shared" si="452"/>
        <v>21.981969696969642</v>
      </c>
      <c r="X117" s="405">
        <f t="shared" si="453"/>
        <v>21.981969696969681</v>
      </c>
      <c r="Y117" s="313">
        <f t="shared" si="454"/>
        <v>20.637969696969641</v>
      </c>
      <c r="Z117" s="313">
        <f t="shared" ca="1" si="455"/>
        <v>20.63796969696968</v>
      </c>
      <c r="AA117" s="419">
        <f t="shared" si="277"/>
        <v>1.3440000000000001</v>
      </c>
      <c r="AB117" s="423">
        <f t="shared" ca="1" si="278"/>
        <v>1.3440000000000001</v>
      </c>
      <c r="AC117" s="221">
        <v>39953</v>
      </c>
      <c r="AD117" s="221">
        <v>39949</v>
      </c>
      <c r="AE117" s="221">
        <v>39948</v>
      </c>
      <c r="AF117" s="221">
        <v>39944</v>
      </c>
      <c r="AG117" s="241" t="s">
        <v>497</v>
      </c>
      <c r="AH117" s="239" t="s">
        <v>497</v>
      </c>
      <c r="AI117" s="141">
        <v>22</v>
      </c>
      <c r="AJ117" s="41">
        <v>15</v>
      </c>
      <c r="AK117" s="41">
        <v>7</v>
      </c>
      <c r="AL117" s="285">
        <v>22</v>
      </c>
      <c r="AM117" s="41">
        <v>10</v>
      </c>
      <c r="AN117" s="142">
        <v>12</v>
      </c>
      <c r="AO117" s="364">
        <v>5.7595606158496404E-2</v>
      </c>
      <c r="AP117" s="145">
        <f t="shared" ca="1" si="320"/>
        <v>0.62687835354514188</v>
      </c>
      <c r="AQ117" s="364">
        <v>4.9378293692039901E-2</v>
      </c>
      <c r="AR117" s="145">
        <f t="shared" ca="1" si="420"/>
        <v>0.67356551113314966</v>
      </c>
      <c r="AS117" s="264">
        <f t="shared" si="456"/>
        <v>0.1667568181818182</v>
      </c>
      <c r="AT117" s="149">
        <f t="shared" si="321"/>
        <v>0.16735</v>
      </c>
      <c r="AU117" s="149">
        <f t="shared" si="280"/>
        <v>0.16665454545454547</v>
      </c>
      <c r="AV117" s="263">
        <f t="shared" ca="1" si="430"/>
        <v>0.16423286886759014</v>
      </c>
      <c r="AW117" s="150" t="str">
        <f t="shared" ca="1" si="457"/>
        <v/>
      </c>
      <c r="AX117" s="149">
        <f t="shared" ca="1" si="421"/>
        <v>1.6570815989263327E-2</v>
      </c>
      <c r="AY117" s="149">
        <f t="shared" ca="1" si="422"/>
        <v>7.2499236815192778E-3</v>
      </c>
      <c r="AZ117" s="149">
        <f t="shared" ca="1" si="423"/>
        <v>4.9141426146517555E-3</v>
      </c>
      <c r="BA117" s="149">
        <f t="shared" ca="1" si="424"/>
        <v>1.0000000000000357E-4</v>
      </c>
      <c r="BB117" s="149">
        <f t="shared" ca="1" si="425"/>
        <v>1.0000000000000357E-4</v>
      </c>
      <c r="BC117" s="149">
        <f t="shared" ca="1" si="426"/>
        <v>1.0000000000000357E-4</v>
      </c>
      <c r="BD117" s="143">
        <f t="shared" ca="1" si="458"/>
        <v>0</v>
      </c>
      <c r="BE117" s="144">
        <f t="shared" ca="1" si="459"/>
        <v>0</v>
      </c>
      <c r="BF117" s="40">
        <f t="shared" si="460"/>
        <v>2009</v>
      </c>
      <c r="BG117" s="139">
        <f t="shared" si="461"/>
        <v>6</v>
      </c>
      <c r="BH117" s="140">
        <f t="shared" ca="1" si="462"/>
        <v>2959</v>
      </c>
      <c r="BI117" s="304">
        <f t="shared" ca="1" si="440"/>
        <v>8.1451060917180005</v>
      </c>
      <c r="BJ117" s="42">
        <f t="shared" ca="1" si="288"/>
        <v>8.1992408686453864</v>
      </c>
      <c r="BK117" s="42">
        <f t="shared" ca="1" si="289"/>
        <v>8.2019787194325193</v>
      </c>
      <c r="BL117" s="42">
        <f t="shared" ca="1" si="441"/>
        <v>8.2245037645448331</v>
      </c>
      <c r="BM117" s="285">
        <f t="shared" si="442"/>
        <v>22</v>
      </c>
      <c r="BN117" s="41">
        <f t="shared" si="443"/>
        <v>15</v>
      </c>
      <c r="BO117" s="41">
        <f t="shared" si="444"/>
        <v>7</v>
      </c>
      <c r="BP117" s="297" t="str">
        <f t="shared" ca="1" si="293"/>
        <v/>
      </c>
      <c r="BQ117" s="297" t="str">
        <f t="shared" ca="1" si="294"/>
        <v/>
      </c>
      <c r="BR117" s="299" t="str">
        <f t="shared" ca="1" si="295"/>
        <v/>
      </c>
      <c r="BS117" s="153" t="str">
        <f t="shared" ca="1" si="296"/>
        <v/>
      </c>
      <c r="BT117" s="153" t="str">
        <f t="shared" ca="1" si="297"/>
        <v/>
      </c>
      <c r="BU117" s="300" t="str">
        <f t="shared" ca="1" si="298"/>
        <v/>
      </c>
      <c r="BV117" s="301" t="str">
        <f t="shared" ca="1" si="299"/>
        <v/>
      </c>
      <c r="BW117" s="300" t="str">
        <f t="shared" ca="1" si="300"/>
        <v/>
      </c>
      <c r="BX117" s="301" t="str">
        <f t="shared" ca="1" si="301"/>
        <v/>
      </c>
      <c r="BY117" s="146" t="str">
        <f t="shared" ca="1" si="302"/>
        <v/>
      </c>
      <c r="BZ117" s="146" t="str">
        <f t="shared" ca="1" si="303"/>
        <v/>
      </c>
      <c r="CA117" s="146" t="str">
        <f t="shared" ca="1" si="304"/>
        <v/>
      </c>
      <c r="CB117" s="146" t="str">
        <f t="shared" ca="1" si="305"/>
        <v/>
      </c>
      <c r="CC117" s="302">
        <v>1</v>
      </c>
      <c r="CD117" s="154">
        <f ca="1">IF(BD117,_xll.xCrudeAPO(BS117,BT117,BY117,BZ117,S118,S119,BI117,BL117,BN117,BO117,0,Strike1,AO117,CC117,0,BL117,IF(OptControl=4,0,1),0,1),0)</f>
        <v>0</v>
      </c>
      <c r="CE117" s="155">
        <f ca="1">IF(BD117,_xll.xCrudeAPO(BS117,BT117,BY117,BZ117,S118,S119,BI117,BL117,BN117,BO117,0,Strike1,AO117,CC117,0,BL117,IF(OptControl=4,0,1),1,1)+_xll.xCrudeAPO(BS117,BT117,BY117,BZ117,S118,S119,BI117,BL117,BN117,BO117,0,Strike1,AO117,CC117,0,BL117,IF(OptControl=4,0,1),1,2)+IF(OR(VolSkewFlag=2,ABS(BQ117)&lt;0.0001),0,IF(BQ117&gt;0,-1,1)*CF117*Strike1/BP117^2*BW117/10%),0)</f>
        <v>0</v>
      </c>
      <c r="CF117" s="155">
        <f ca="1">IF(BD117,(_xll.xCrudeAPO(BS117,BT117,BY117,BZ117,S118,S119,BI117,BL117,BN117,BO117,0,Strike1,AO117,CC117,0,BL117,IF(OptControl=4,0,1),3,1)+_xll.xCrudeAPO(BS117,BT117,BY117,BZ117,S118,S119,BI117,BL117,BN117,BO117,0,Strike1,AO117,CC117,0,BL117,IF(OptControl=4,0,1),3,2))/100,0)</f>
        <v>0</v>
      </c>
      <c r="CG117" s="155">
        <f ca="1">IF(BD117,_xll.xCrudeAPO(BS117,BT117,BY117,BZ117,S118,S119,BI117-DaysForThetaCalculation/365.25,BL117-DaysForThetaCalculation/365.25,BN117,BO117,0,Strike1,AO117,CC117,0,BL117,IF(OptControl=4,0,1),0,1)-_xll.xCrudeAPO(BS117,BT117,BY117,BZ117,S118,S119,BI117,BL117,BN117,BO117,0,Strike1,AO117,CC117,0,BL117,IF(OptControl=4,0,1),0,1),0)</f>
        <v>0</v>
      </c>
      <c r="CH117" s="303">
        <f ca="1">IF(BD117,_xll.xCrudeAPO(BS117,BT117,CA117,CB117,S118,S119,BI117,BL117,BN117,BO117,0,Strike2,AO117,CC117,0,BL117,IF(OptControl=3,1,0),0,1),0)</f>
        <v>0</v>
      </c>
      <c r="CI117" s="155">
        <f ca="1">IF(BD117,_xll.xCrudeAPO(BS117,BT117,CA117,CB117,S118,S119,BI117,BL117,BN117,BO117,0,Strike2,AO117,CC117,0,BL117,IF(OptControl=3,1,0),1,1)+_xll.xCrudeAPO(BS117,BT117,CA117,CB117,S118,S119,BI117,BL117,BN117,BO117,0,Strike2,AO117,CC117,0,BL117,IF(OptControl=3,1,0),1,2)+IF(OR(VolSkewFlag=2,ABS(BR117)&lt;0.0001),0,IF(BR117&gt;0,-1,1)*CJ117*Strike2/BP117^2*BX117/10%),0)</f>
        <v>0</v>
      </c>
      <c r="CJ117" s="155">
        <f ca="1">IF(BD117,(_xll.xCrudeAPO(BS117,BT117,CA117,CB117,S118,S119,BI117,BL117,BN117,BO117,0,Strike2,AO117,CC117,0,BL117,IF(OptControl=3,1,0),3,1)+_xll.xCrudeAPO(BS117,BT117,CA117,CB117,S118,S119,BI117,BL117,BN117,BO117,0,Strike2,AO117,CC117,0,BL117,IF(OptControl=3,1,0),3,2))/100,0)</f>
        <v>0</v>
      </c>
      <c r="CK117" s="156">
        <f ca="1">IF(BD117,_xll.xCrudeAPO(BS117,BT117,CA117,CB117,S118,S119,BI117-DaysForThetaCalculation/365.25,BL117-DaysForThetaCalculation/365.25,BN117,BO117,0,Strike2,AO117,CC117,0,BL117,IF(OptControl=3,1,0),0,1)-_xll.xCrudeAPO(BS117,BT117,CA117,CB117,S118,S119,BI117,BL117,BN117,BO117,0,Strike2,AO117,CC117,0,BL117,IF(OptControl=3,1,0),0,1),0)</f>
        <v>0</v>
      </c>
      <c r="CL117" s="51"/>
      <c r="CM117" s="779" t="str">
        <f t="shared" ca="1" si="323"/>
        <v/>
      </c>
      <c r="CN117" s="783" t="str">
        <f t="shared" ca="1" si="324"/>
        <v/>
      </c>
      <c r="CO117" s="780" t="str">
        <f t="shared" ca="1" si="325"/>
        <v/>
      </c>
      <c r="CP117" s="780" t="str">
        <f t="shared" ca="1" si="326"/>
        <v/>
      </c>
      <c r="CQ117" s="780" t="str">
        <f t="shared" ca="1" si="327"/>
        <v/>
      </c>
      <c r="CR117" s="780" t="str">
        <f t="shared" ca="1" si="328"/>
        <v/>
      </c>
      <c r="CS117" s="781" t="str">
        <f t="shared" ca="1" si="329"/>
        <v/>
      </c>
      <c r="CT117" s="782" t="str">
        <f t="shared" ca="1" si="330"/>
        <v/>
      </c>
      <c r="CU117" s="782" t="str">
        <f t="shared" ca="1" si="331"/>
        <v/>
      </c>
      <c r="CV117" s="155">
        <f ca="1">IF(BD117,_xll.EURO(CN117,Strike1,AO117,AO117,CT117,CM117,IF(OptControl=4,0,1),0),0)</f>
        <v>0</v>
      </c>
      <c r="CW117" s="155">
        <f ca="1">IF(BD117,_xll.EURO(CN117,Strike1,AO117,AO117,CT117,CM117,IF(OptControl=4,0,1),1)+IF(OR(VolSkewFlag=2,ABS(CO117)&lt;0.0001),0,IF(CO117&gt;0,-1,1)*CX117*100*Strike1/CN117^2*CQ117/10%),0)</f>
        <v>0</v>
      </c>
      <c r="CX117" s="155">
        <f ca="1">IF(BD117,_xll.EURO(CN117,Strike1,AO117,AO117,CT117,CM117,IF(OptControl=4,0,1),3)/100,0)</f>
        <v>0</v>
      </c>
      <c r="CY117" s="155">
        <f ca="1">IF(BD117,_xll.EURO(CN117,Strike1,AO117,AO117,CT117,CM117,IF(OptControl=4,0,1),0)-_xll.EURO(CN117,Strike1,AO117,AO117,CT117,CM117-1,IF(OptControl=4,0,1),0),0)</f>
        <v>0</v>
      </c>
      <c r="CZ117" s="155">
        <f ca="1">IF(BD117,_xll.EURO(CN117,Strike2,AO117,AO117,CU117,CM117,IF(OptControl=3,1,0),0),0)</f>
        <v>0</v>
      </c>
      <c r="DA117" s="155">
        <f ca="1">IF(BD117,_xll.EURO(CN117,Strike2,AO117,AO117,CU117,CM117,IF(OptControl=3,1,0),1)+IF(OR(VolSkewFlag=2,ABS(CP117)&lt;0.0001),0,IF(CP117&gt;0,-1,1)*DB117*100*Strike2/CN117^2*CR117/10%),0)</f>
        <v>0</v>
      </c>
      <c r="DB117" s="155">
        <f ca="1">IF(BD117,_xll.EURO(CN117,Strike2,AO117,AO117,CU117,CM117,IF(OptControl=3,1,0),3)/100,0)</f>
        <v>0</v>
      </c>
      <c r="DC117" s="156">
        <f ca="1">IF(BD117,_xll.EURO(CN117,Strike2,AO117,AO117,CU117,CM117,IF(OptControl=3,1,0),0)-_xll.EURO(CN117,Strike2,AO117,AO117,CU117,CM117-1,IF(OptControl=3,1,0),0),0)</f>
        <v>0</v>
      </c>
      <c r="DE117" s="651">
        <f t="shared" ca="1" si="332"/>
        <v>39873</v>
      </c>
      <c r="DF117" s="465">
        <v>1E-4</v>
      </c>
      <c r="DG117" s="649">
        <v>1E-4</v>
      </c>
      <c r="DH117" s="650">
        <f t="shared" ca="1" si="463"/>
        <v>39873</v>
      </c>
      <c r="DI117" s="465">
        <v>1E-4</v>
      </c>
      <c r="DJ117" s="649">
        <v>1E-4</v>
      </c>
      <c r="DK117" s="651">
        <f t="shared" ca="1" si="464"/>
        <v>39873</v>
      </c>
      <c r="DL117" s="652">
        <f t="shared" si="465"/>
        <v>5.0100000000000006E-2</v>
      </c>
      <c r="DM117" s="651">
        <f t="shared" ca="1" si="333"/>
        <v>39873</v>
      </c>
      <c r="DN117" s="563">
        <f t="shared" si="334"/>
        <v>-0.12990000000000002</v>
      </c>
      <c r="DO117" s="803">
        <v>-0.13</v>
      </c>
      <c r="DP117" s="650">
        <f t="shared" ca="1" si="466"/>
        <v>39873</v>
      </c>
      <c r="DQ117" s="653">
        <v>1E-4</v>
      </c>
      <c r="DR117" s="590">
        <v>1E-4</v>
      </c>
      <c r="DS117" s="650">
        <f t="shared" ca="1" si="467"/>
        <v>39873</v>
      </c>
      <c r="DT117" s="653">
        <v>1E-4</v>
      </c>
      <c r="DU117" s="590">
        <v>1E-4</v>
      </c>
      <c r="DV117" s="651">
        <f t="shared" ca="1" si="468"/>
        <v>39873</v>
      </c>
      <c r="DW117" s="590">
        <v>1E-4</v>
      </c>
      <c r="DX117" s="651">
        <f t="shared" ca="1" si="335"/>
        <v>39873</v>
      </c>
      <c r="DY117" s="590">
        <f t="shared" si="336"/>
        <v>1E-4</v>
      </c>
      <c r="DZ117" s="1"/>
      <c r="EA117" s="857"/>
      <c r="EB117" s="857"/>
      <c r="EC117" s="857"/>
      <c r="ED117" s="868" t="e">
        <f t="shared" ca="1" si="436"/>
        <v>#NAME?</v>
      </c>
      <c r="EE117" s="863" t="e">
        <f t="shared" ca="1" si="312"/>
        <v>#NAME?</v>
      </c>
      <c r="EF117" s="590" t="e">
        <f t="shared" ca="1" si="313"/>
        <v>#NAME?</v>
      </c>
      <c r="EG117" s="862" t="str">
        <f t="shared" ca="1" si="469"/>
        <v/>
      </c>
      <c r="EH117" s="114" t="str">
        <f t="shared" ca="1" si="315"/>
        <v/>
      </c>
      <c r="EI117" s="109" t="str">
        <f t="shared" ca="1" si="316"/>
        <v/>
      </c>
      <c r="EJ117" s="115">
        <f ca="1">IF(BD117,_xll.xASN(BP117,Strike1,AO117,EH117,0,BM117,0,BI117,BL117,IF(OptControl=4,0,1),0),0)</f>
        <v>0</v>
      </c>
      <c r="EK117" s="108">
        <f ca="1">IF(BD117,_xll.xASN(BP117,Strike2,AO117,EI117,0,BM117,0,BI117,BL117,IF(OptControl=3,1,0),0),0)</f>
        <v>0</v>
      </c>
      <c r="EP117" s="53"/>
      <c r="EQ117" s="1"/>
      <c r="ER117" s="103"/>
      <c r="ES117" s="103"/>
      <c r="ET117" s="1"/>
      <c r="EU117" s="667" t="s">
        <v>329</v>
      </c>
      <c r="EW117" s="445"/>
      <c r="EX117" s="36"/>
      <c r="EY117" s="104"/>
      <c r="EZ117" s="465"/>
      <c r="FA117" s="446"/>
      <c r="FB117" s="446"/>
      <c r="FC117" s="242"/>
      <c r="FD117" s="242"/>
      <c r="FE117" s="242"/>
      <c r="FF117" s="242"/>
      <c r="FG117" s="242"/>
      <c r="FH117" s="242"/>
      <c r="FI117" s="242"/>
      <c r="FJ117" s="242"/>
      <c r="FK117" s="242"/>
      <c r="FL117" s="242"/>
      <c r="FM117" s="242"/>
      <c r="FN117" s="657">
        <v>23</v>
      </c>
      <c r="FO117" s="450">
        <f t="shared" ca="1" si="433"/>
        <v>0.18648602897288413</v>
      </c>
      <c r="FP117" s="450">
        <f t="shared" ref="FP117:IA120" ca="1" si="471">IF($FN42&lt;FP$94,"",SQRT(FP42/FP$15))</f>
        <v>0.18804516703771137</v>
      </c>
      <c r="FQ117" s="450">
        <f t="shared" ca="1" si="471"/>
        <v>0.18961220444712973</v>
      </c>
      <c r="FR117" s="450">
        <f t="shared" ca="1" si="471"/>
        <v>0.19140028854456906</v>
      </c>
      <c r="FS117" s="450">
        <f t="shared" ca="1" si="471"/>
        <v>0.19343904927121836</v>
      </c>
      <c r="FT117" s="450">
        <f t="shared" ca="1" si="471"/>
        <v>0.19576282607421511</v>
      </c>
      <c r="FU117" s="450">
        <f t="shared" ca="1" si="471"/>
        <v>0.19841158063748512</v>
      </c>
      <c r="FV117" s="450">
        <f t="shared" ca="1" si="471"/>
        <v>0.20143202549618741</v>
      </c>
      <c r="FW117" s="450">
        <f t="shared" ca="1" si="471"/>
        <v>0.20487902922222187</v>
      </c>
      <c r="FX117" s="450">
        <f t="shared" ca="1" si="471"/>
        <v>0.2088173786436997</v>
      </c>
      <c r="FY117" s="450">
        <f t="shared" ca="1" si="471"/>
        <v>0.21332400569754351</v>
      </c>
      <c r="FZ117" s="450">
        <f t="shared" ca="1" si="471"/>
        <v>0.21849082411401183</v>
      </c>
      <c r="GA117" s="450">
        <f t="shared" ca="1" si="471"/>
        <v>0.22442837376818445</v>
      </c>
      <c r="GB117" s="450">
        <f t="shared" ca="1" si="471"/>
        <v>0.23127054502977257</v>
      </c>
      <c r="GC117" s="450">
        <f t="shared" ca="1" si="471"/>
        <v>0.23918076211195052</v>
      </c>
      <c r="GD117" s="450">
        <f t="shared" ca="1" si="471"/>
        <v>0.24836015906419623</v>
      </c>
      <c r="GE117" s="450">
        <f t="shared" ca="1" si="471"/>
        <v>0.25905850924210488</v>
      </c>
      <c r="GF117" s="450">
        <f t="shared" ca="1" si="471"/>
        <v>0.27158900761883858</v>
      </c>
      <c r="GG117" s="450">
        <f t="shared" ca="1" si="471"/>
        <v>0.28634851748537121</v>
      </c>
      <c r="GH117" s="450">
        <f t="shared" ca="1" si="471"/>
        <v>0.30384568078664342</v>
      </c>
      <c r="GI117" s="450">
        <f t="shared" ca="1" si="471"/>
        <v>0.32474052434818707</v>
      </c>
      <c r="GJ117" s="450">
        <f t="shared" ca="1" si="471"/>
        <v>0.34990116152848283</v>
      </c>
      <c r="GK117" s="450">
        <f t="shared" ca="1" si="471"/>
        <v>0.380486393411063</v>
      </c>
      <c r="GL117" s="450" t="str">
        <f t="shared" si="471"/>
        <v/>
      </c>
      <c r="GM117" s="450" t="str">
        <f t="shared" si="471"/>
        <v/>
      </c>
      <c r="GN117" s="450" t="str">
        <f t="shared" si="471"/>
        <v/>
      </c>
      <c r="GO117" s="450" t="str">
        <f t="shared" si="471"/>
        <v/>
      </c>
      <c r="GP117" s="450" t="str">
        <f t="shared" si="471"/>
        <v/>
      </c>
      <c r="GQ117" s="450" t="str">
        <f t="shared" si="471"/>
        <v/>
      </c>
      <c r="GR117" s="450" t="str">
        <f t="shared" si="471"/>
        <v/>
      </c>
      <c r="GS117" s="450" t="str">
        <f t="shared" si="471"/>
        <v/>
      </c>
      <c r="GT117" s="450" t="str">
        <f t="shared" si="471"/>
        <v/>
      </c>
      <c r="GU117" s="450" t="str">
        <f t="shared" si="471"/>
        <v/>
      </c>
      <c r="GV117" s="450" t="str">
        <f t="shared" si="471"/>
        <v/>
      </c>
      <c r="GW117" s="450" t="str">
        <f t="shared" si="471"/>
        <v/>
      </c>
      <c r="GX117" s="450" t="str">
        <f t="shared" si="471"/>
        <v/>
      </c>
      <c r="GY117" s="450" t="str">
        <f t="shared" si="471"/>
        <v/>
      </c>
      <c r="GZ117" s="450" t="str">
        <f t="shared" si="471"/>
        <v/>
      </c>
      <c r="HA117" s="450" t="str">
        <f t="shared" si="471"/>
        <v/>
      </c>
      <c r="HB117" s="450" t="str">
        <f t="shared" si="471"/>
        <v/>
      </c>
      <c r="HC117" s="450" t="str">
        <f t="shared" si="471"/>
        <v/>
      </c>
      <c r="HD117" s="450" t="str">
        <f t="shared" si="471"/>
        <v/>
      </c>
      <c r="HE117" s="450" t="str">
        <f t="shared" si="471"/>
        <v/>
      </c>
      <c r="HF117" s="450" t="str">
        <f t="shared" si="471"/>
        <v/>
      </c>
      <c r="HG117" s="450" t="str">
        <f t="shared" si="471"/>
        <v/>
      </c>
      <c r="HH117" s="450" t="str">
        <f t="shared" si="471"/>
        <v/>
      </c>
      <c r="HI117" s="450" t="str">
        <f t="shared" si="471"/>
        <v/>
      </c>
      <c r="HJ117" s="450" t="str">
        <f t="shared" si="471"/>
        <v/>
      </c>
      <c r="HK117" s="450" t="str">
        <f t="shared" si="471"/>
        <v/>
      </c>
      <c r="HL117" s="450" t="str">
        <f t="shared" si="471"/>
        <v/>
      </c>
      <c r="HM117" s="450" t="str">
        <f t="shared" si="471"/>
        <v/>
      </c>
      <c r="HN117" s="450" t="str">
        <f t="shared" si="471"/>
        <v/>
      </c>
      <c r="HO117" s="450" t="str">
        <f t="shared" si="471"/>
        <v/>
      </c>
      <c r="HP117" s="450" t="str">
        <f t="shared" si="471"/>
        <v/>
      </c>
      <c r="HQ117" s="450" t="str">
        <f t="shared" si="471"/>
        <v/>
      </c>
      <c r="HR117" s="450" t="str">
        <f t="shared" si="471"/>
        <v/>
      </c>
      <c r="HS117" s="450" t="str">
        <f t="shared" si="471"/>
        <v/>
      </c>
      <c r="HT117" s="450" t="str">
        <f t="shared" si="471"/>
        <v/>
      </c>
      <c r="HU117" s="450" t="str">
        <f t="shared" si="471"/>
        <v/>
      </c>
      <c r="HV117" s="450" t="str">
        <f t="shared" si="471"/>
        <v/>
      </c>
      <c r="HW117" s="450" t="str">
        <f t="shared" si="471"/>
        <v/>
      </c>
      <c r="HX117" s="450" t="str">
        <f t="shared" si="471"/>
        <v/>
      </c>
      <c r="HY117" s="450" t="str">
        <f t="shared" si="471"/>
        <v/>
      </c>
      <c r="HZ117" s="450" t="str">
        <f t="shared" si="471"/>
        <v/>
      </c>
      <c r="IA117" s="450" t="str">
        <f t="shared" si="471"/>
        <v/>
      </c>
      <c r="IB117" s="450" t="str">
        <f t="shared" si="470"/>
        <v/>
      </c>
      <c r="IC117" s="450" t="str">
        <f t="shared" si="470"/>
        <v/>
      </c>
      <c r="ID117" s="450" t="str">
        <f t="shared" si="470"/>
        <v/>
      </c>
      <c r="IE117" s="450" t="str">
        <f t="shared" si="470"/>
        <v/>
      </c>
      <c r="IF117" s="450" t="str">
        <f t="shared" si="470"/>
        <v/>
      </c>
      <c r="IG117" s="450" t="str">
        <f t="shared" si="470"/>
        <v/>
      </c>
      <c r="IH117" s="658" t="str">
        <f t="shared" si="470"/>
        <v/>
      </c>
      <c r="II117" s="242"/>
    </row>
    <row r="118" spans="8:243">
      <c r="H118" s="49" t="e">
        <f t="shared" ca="1" si="317"/>
        <v>#N/A</v>
      </c>
      <c r="I118" s="369">
        <f t="shared" si="318"/>
        <v>39995</v>
      </c>
      <c r="J118" s="367">
        <v>21.976666666666599</v>
      </c>
      <c r="K118" s="101" t="s">
        <v>267</v>
      </c>
      <c r="L118" s="382">
        <f t="shared" si="319"/>
        <v>21.976666666666649</v>
      </c>
      <c r="M118" s="163">
        <v>0.16690000000000002</v>
      </c>
      <c r="N118" s="372">
        <v>0</v>
      </c>
      <c r="O118" s="163">
        <f t="shared" si="272"/>
        <v>0.16690000000000002</v>
      </c>
      <c r="P118" s="367">
        <v>20.735999179788099</v>
      </c>
      <c r="Q118" s="101" t="s">
        <v>267</v>
      </c>
      <c r="R118" s="367">
        <f t="shared" ca="1" si="417"/>
        <v>20.735999179788053</v>
      </c>
      <c r="S118" s="814">
        <f t="shared" si="163"/>
        <v>0.35886183234617536</v>
      </c>
      <c r="T118" s="813">
        <f t="shared" si="418"/>
        <v>0.99999744022471782</v>
      </c>
      <c r="U118" s="532">
        <f t="shared" si="419"/>
        <v>0.99999999999999145</v>
      </c>
      <c r="V118" s="379">
        <v>0</v>
      </c>
      <c r="W118" s="424">
        <f t="shared" si="452"/>
        <v>21.999855072463749</v>
      </c>
      <c r="X118" s="405">
        <f t="shared" si="453"/>
        <v>21.999855072463749</v>
      </c>
      <c r="Y118" s="313">
        <f t="shared" si="454"/>
        <v>20.681455072463748</v>
      </c>
      <c r="Z118" s="313">
        <f t="shared" ca="1" si="455"/>
        <v>20.681455072463748</v>
      </c>
      <c r="AA118" s="419">
        <f t="shared" si="277"/>
        <v>1.3184</v>
      </c>
      <c r="AB118" s="423">
        <f t="shared" ca="1" si="278"/>
        <v>1.3184</v>
      </c>
      <c r="AC118" s="221">
        <v>39984</v>
      </c>
      <c r="AD118" s="221">
        <v>39980</v>
      </c>
      <c r="AE118" s="221">
        <v>39979</v>
      </c>
      <c r="AF118" s="221">
        <v>39975</v>
      </c>
      <c r="AG118" s="241" t="s">
        <v>497</v>
      </c>
      <c r="AH118" s="239" t="s">
        <v>497</v>
      </c>
      <c r="AI118" s="141">
        <v>23</v>
      </c>
      <c r="AJ118" s="41">
        <v>14</v>
      </c>
      <c r="AK118" s="41">
        <v>9</v>
      </c>
      <c r="AL118" s="285">
        <v>23</v>
      </c>
      <c r="AM118" s="41">
        <v>10</v>
      </c>
      <c r="AN118" s="142">
        <v>13</v>
      </c>
      <c r="AO118" s="364">
        <v>5.7670517828268202E-2</v>
      </c>
      <c r="AP118" s="145">
        <f t="shared" ca="1" si="320"/>
        <v>0.62348718051991991</v>
      </c>
      <c r="AQ118" s="364">
        <v>4.9398429810712401E-2</v>
      </c>
      <c r="AR118" s="145">
        <f t="shared" ca="1" si="420"/>
        <v>0.67067481488250558</v>
      </c>
      <c r="AS118" s="264">
        <f t="shared" si="456"/>
        <v>0.16627391304347827</v>
      </c>
      <c r="AT118" s="149">
        <f t="shared" si="321"/>
        <v>0.16690000000000002</v>
      </c>
      <c r="AU118" s="149">
        <f t="shared" si="280"/>
        <v>0.16619565217391302</v>
      </c>
      <c r="AV118" s="263">
        <f t="shared" ca="1" si="430"/>
        <v>0.16370172684292314</v>
      </c>
      <c r="AW118" s="150" t="str">
        <f t="shared" ca="1" si="457"/>
        <v/>
      </c>
      <c r="AX118" s="149">
        <f t="shared" ca="1" si="421"/>
        <v>1.6338025624540325E-2</v>
      </c>
      <c r="AY118" s="149">
        <f t="shared" ca="1" si="422"/>
        <v>7.1251824480984107E-3</v>
      </c>
      <c r="AZ118" s="149">
        <f t="shared" ca="1" si="423"/>
        <v>4.8555763068036332E-3</v>
      </c>
      <c r="BA118" s="149">
        <f t="shared" ca="1" si="424"/>
        <v>1.0000000000000362E-4</v>
      </c>
      <c r="BB118" s="149">
        <f t="shared" ca="1" si="425"/>
        <v>1.0000000000000362E-4</v>
      </c>
      <c r="BC118" s="149">
        <f t="shared" ca="1" si="426"/>
        <v>1.0000000000000362E-4</v>
      </c>
      <c r="BD118" s="143">
        <f t="shared" ca="1" si="458"/>
        <v>0</v>
      </c>
      <c r="BE118" s="144">
        <f t="shared" ca="1" si="459"/>
        <v>0</v>
      </c>
      <c r="BF118" s="40">
        <f t="shared" si="460"/>
        <v>2009</v>
      </c>
      <c r="BG118" s="139">
        <f t="shared" si="461"/>
        <v>7</v>
      </c>
      <c r="BH118" s="140">
        <f t="shared" ca="1" si="462"/>
        <v>2990</v>
      </c>
      <c r="BI118" s="304">
        <f t="shared" ca="1" si="440"/>
        <v>8.2272416153319643</v>
      </c>
      <c r="BJ118" s="42">
        <f t="shared" ca="1" si="288"/>
        <v>8.2772371514448118</v>
      </c>
      <c r="BK118" s="42">
        <f t="shared" ca="1" si="289"/>
        <v>8.2799750022319447</v>
      </c>
      <c r="BL118" s="42">
        <f t="shared" ca="1" si="441"/>
        <v>8.3093771389459281</v>
      </c>
      <c r="BM118" s="285">
        <f t="shared" si="442"/>
        <v>23</v>
      </c>
      <c r="BN118" s="41">
        <f t="shared" si="443"/>
        <v>14</v>
      </c>
      <c r="BO118" s="41">
        <f t="shared" si="444"/>
        <v>9</v>
      </c>
      <c r="BP118" s="297" t="str">
        <f t="shared" ca="1" si="293"/>
        <v/>
      </c>
      <c r="BQ118" s="297" t="str">
        <f t="shared" ca="1" si="294"/>
        <v/>
      </c>
      <c r="BR118" s="299" t="str">
        <f t="shared" ca="1" si="295"/>
        <v/>
      </c>
      <c r="BS118" s="153" t="str">
        <f t="shared" ca="1" si="296"/>
        <v/>
      </c>
      <c r="BT118" s="153" t="str">
        <f t="shared" ca="1" si="297"/>
        <v/>
      </c>
      <c r="BU118" s="300" t="str">
        <f t="shared" ca="1" si="298"/>
        <v/>
      </c>
      <c r="BV118" s="301" t="str">
        <f t="shared" ca="1" si="299"/>
        <v/>
      </c>
      <c r="BW118" s="300" t="str">
        <f t="shared" ca="1" si="300"/>
        <v/>
      </c>
      <c r="BX118" s="301" t="str">
        <f t="shared" ca="1" si="301"/>
        <v/>
      </c>
      <c r="BY118" s="146" t="str">
        <f t="shared" ca="1" si="302"/>
        <v/>
      </c>
      <c r="BZ118" s="146" t="str">
        <f t="shared" ca="1" si="303"/>
        <v/>
      </c>
      <c r="CA118" s="146" t="str">
        <f t="shared" ca="1" si="304"/>
        <v/>
      </c>
      <c r="CB118" s="146" t="str">
        <f t="shared" ca="1" si="305"/>
        <v/>
      </c>
      <c r="CC118" s="302">
        <v>1</v>
      </c>
      <c r="CD118" s="154">
        <f ca="1">IF(BD118,_xll.xCrudeAPO(BS118,BT118,BY118,BZ118,S119,S120,BI118,BL118,BN118,BO118,0,Strike1,AO118,CC118,0,BL118,IF(OptControl=4,0,1),0,1),0)</f>
        <v>0</v>
      </c>
      <c r="CE118" s="155">
        <f ca="1">IF(BD118,_xll.xCrudeAPO(BS118,BT118,BY118,BZ118,S119,S120,BI118,BL118,BN118,BO118,0,Strike1,AO118,CC118,0,BL118,IF(OptControl=4,0,1),1,1)+_xll.xCrudeAPO(BS118,BT118,BY118,BZ118,S119,S120,BI118,BL118,BN118,BO118,0,Strike1,AO118,CC118,0,BL118,IF(OptControl=4,0,1),1,2)+IF(OR(VolSkewFlag=2,ABS(BQ118)&lt;0.0001),0,IF(BQ118&gt;0,-1,1)*CF118*Strike1/BP118^2*BW118/10%),0)</f>
        <v>0</v>
      </c>
      <c r="CF118" s="155">
        <f ca="1">IF(BD118,(_xll.xCrudeAPO(BS118,BT118,BY118,BZ118,S119,S120,BI118,BL118,BN118,BO118,0,Strike1,AO118,CC118,0,BL118,IF(OptControl=4,0,1),3,1)+_xll.xCrudeAPO(BS118,BT118,BY118,BZ118,S119,S120,BI118,BL118,BN118,BO118,0,Strike1,AO118,CC118,0,BL118,IF(OptControl=4,0,1),3,2))/100,0)</f>
        <v>0</v>
      </c>
      <c r="CG118" s="155">
        <f ca="1">IF(BD118,_xll.xCrudeAPO(BS118,BT118,BY118,BZ118,S119,S120,BI118-DaysForThetaCalculation/365.25,BL118-DaysForThetaCalculation/365.25,BN118,BO118,0,Strike1,AO118,CC118,0,BL118,IF(OptControl=4,0,1),0,1)-_xll.xCrudeAPO(BS118,BT118,BY118,BZ118,S119,S120,BI118,BL118,BN118,BO118,0,Strike1,AO118,CC118,0,BL118,IF(OptControl=4,0,1),0,1),0)</f>
        <v>0</v>
      </c>
      <c r="CH118" s="303">
        <f ca="1">IF(BD118,_xll.xCrudeAPO(BS118,BT118,CA118,CB118,S119,S120,BI118,BL118,BN118,BO118,0,Strike2,AO118,CC118,0,BL118,IF(OptControl=3,1,0),0,1),0)</f>
        <v>0</v>
      </c>
      <c r="CI118" s="155">
        <f ca="1">IF(BD118,_xll.xCrudeAPO(BS118,BT118,CA118,CB118,S119,S120,BI118,BL118,BN118,BO118,0,Strike2,AO118,CC118,0,BL118,IF(OptControl=3,1,0),1,1)+_xll.xCrudeAPO(BS118,BT118,CA118,CB118,S119,S120,BI118,BL118,BN118,BO118,0,Strike2,AO118,CC118,0,BL118,IF(OptControl=3,1,0),1,2)+IF(OR(VolSkewFlag=2,ABS(BR118)&lt;0.0001),0,IF(BR118&gt;0,-1,1)*CJ118*Strike2/BP118^2*BX118/10%),0)</f>
        <v>0</v>
      </c>
      <c r="CJ118" s="155">
        <f ca="1">IF(BD118,(_xll.xCrudeAPO(BS118,BT118,CA118,CB118,S119,S120,BI118,BL118,BN118,BO118,0,Strike2,AO118,CC118,0,BL118,IF(OptControl=3,1,0),3,1)+_xll.xCrudeAPO(BS118,BT118,CA118,CB118,S119,S120,BI118,BL118,BN118,BO118,0,Strike2,AO118,CC118,0,BL118,IF(OptControl=3,1,0),3,2))/100,0)</f>
        <v>0</v>
      </c>
      <c r="CK118" s="156">
        <f ca="1">IF(BD118,_xll.xCrudeAPO(BS118,BT118,CA118,CB118,S119,S120,BI118-DaysForThetaCalculation/365.25,BL118-DaysForThetaCalculation/365.25,BN118,BO118,0,Strike2,AO118,CC118,0,BL118,IF(OptControl=3,1,0),0,1)-_xll.xCrudeAPO(BS118,BT118,CA118,CB118,S119,S120,BI118,BL118,BN118,BO118,0,Strike2,AO118,CC118,0,BL118,IF(OptControl=3,1,0),0,1),0)</f>
        <v>0</v>
      </c>
      <c r="CL118" s="51"/>
      <c r="CM118" s="779" t="str">
        <f t="shared" ca="1" si="323"/>
        <v/>
      </c>
      <c r="CN118" s="783" t="str">
        <f t="shared" ca="1" si="324"/>
        <v/>
      </c>
      <c r="CO118" s="780" t="str">
        <f t="shared" ca="1" si="325"/>
        <v/>
      </c>
      <c r="CP118" s="780" t="str">
        <f t="shared" ca="1" si="326"/>
        <v/>
      </c>
      <c r="CQ118" s="780" t="str">
        <f t="shared" ca="1" si="327"/>
        <v/>
      </c>
      <c r="CR118" s="780" t="str">
        <f t="shared" ca="1" si="328"/>
        <v/>
      </c>
      <c r="CS118" s="781" t="str">
        <f t="shared" ca="1" si="329"/>
        <v/>
      </c>
      <c r="CT118" s="782" t="str">
        <f t="shared" ca="1" si="330"/>
        <v/>
      </c>
      <c r="CU118" s="782" t="str">
        <f t="shared" ca="1" si="331"/>
        <v/>
      </c>
      <c r="CV118" s="155">
        <f ca="1">IF(BD118,_xll.EURO(CN118,Strike1,AO118,AO118,CT118,CM118,IF(OptControl=4,0,1),0),0)</f>
        <v>0</v>
      </c>
      <c r="CW118" s="155">
        <f ca="1">IF(BD118,_xll.EURO(CN118,Strike1,AO118,AO118,CT118,CM118,IF(OptControl=4,0,1),1)+IF(OR(VolSkewFlag=2,ABS(CO118)&lt;0.0001),0,IF(CO118&gt;0,-1,1)*CX118*100*Strike1/CN118^2*CQ118/10%),0)</f>
        <v>0</v>
      </c>
      <c r="CX118" s="155">
        <f ca="1">IF(BD118,_xll.EURO(CN118,Strike1,AO118,AO118,CT118,CM118,IF(OptControl=4,0,1),3)/100,0)</f>
        <v>0</v>
      </c>
      <c r="CY118" s="155">
        <f ca="1">IF(BD118,_xll.EURO(CN118,Strike1,AO118,AO118,CT118,CM118,IF(OptControl=4,0,1),0)-_xll.EURO(CN118,Strike1,AO118,AO118,CT118,CM118-1,IF(OptControl=4,0,1),0),0)</f>
        <v>0</v>
      </c>
      <c r="CZ118" s="155">
        <f ca="1">IF(BD118,_xll.EURO(CN118,Strike2,AO118,AO118,CU118,CM118,IF(OptControl=3,1,0),0),0)</f>
        <v>0</v>
      </c>
      <c r="DA118" s="155">
        <f ca="1">IF(BD118,_xll.EURO(CN118,Strike2,AO118,AO118,CU118,CM118,IF(OptControl=3,1,0),1)+IF(OR(VolSkewFlag=2,ABS(CP118)&lt;0.0001),0,IF(CP118&gt;0,-1,1)*DB118*100*Strike2/CN118^2*CR118/10%),0)</f>
        <v>0</v>
      </c>
      <c r="DB118" s="155">
        <f ca="1">IF(BD118,_xll.EURO(CN118,Strike2,AO118,AO118,CU118,CM118,IF(OptControl=3,1,0),3)/100,0)</f>
        <v>0</v>
      </c>
      <c r="DC118" s="156">
        <f ca="1">IF(BD118,_xll.EURO(CN118,Strike2,AO118,AO118,CU118,CM118,IF(OptControl=3,1,0),0)-_xll.EURO(CN118,Strike2,AO118,AO118,CU118,CM118-1,IF(OptControl=3,1,0),0),0)</f>
        <v>0</v>
      </c>
      <c r="DE118" s="651">
        <f t="shared" ca="1" si="332"/>
        <v>39904</v>
      </c>
      <c r="DF118" s="465">
        <v>1E-4</v>
      </c>
      <c r="DG118" s="649">
        <v>1E-4</v>
      </c>
      <c r="DH118" s="650">
        <f t="shared" ca="1" si="463"/>
        <v>39904</v>
      </c>
      <c r="DI118" s="465">
        <v>1E-4</v>
      </c>
      <c r="DJ118" s="649">
        <v>1E-4</v>
      </c>
      <c r="DK118" s="651">
        <f t="shared" ca="1" si="464"/>
        <v>39904</v>
      </c>
      <c r="DL118" s="652">
        <f t="shared" si="465"/>
        <v>5.0100000000000006E-2</v>
      </c>
      <c r="DM118" s="651">
        <f t="shared" ca="1" si="333"/>
        <v>39904</v>
      </c>
      <c r="DN118" s="563">
        <f t="shared" si="334"/>
        <v>-0.12990000000000002</v>
      </c>
      <c r="DO118" s="803">
        <v>-0.13</v>
      </c>
      <c r="DP118" s="650">
        <f t="shared" ca="1" si="466"/>
        <v>39904</v>
      </c>
      <c r="DQ118" s="653">
        <v>1E-4</v>
      </c>
      <c r="DR118" s="590">
        <v>1E-4</v>
      </c>
      <c r="DS118" s="650">
        <f t="shared" ca="1" si="467"/>
        <v>39904</v>
      </c>
      <c r="DT118" s="653">
        <v>1E-4</v>
      </c>
      <c r="DU118" s="590">
        <v>1E-4</v>
      </c>
      <c r="DV118" s="651">
        <f t="shared" ca="1" si="468"/>
        <v>39904</v>
      </c>
      <c r="DW118" s="590">
        <v>1E-4</v>
      </c>
      <c r="DX118" s="651">
        <f t="shared" ca="1" si="335"/>
        <v>39904</v>
      </c>
      <c r="DY118" s="590">
        <f t="shared" si="336"/>
        <v>1E-4</v>
      </c>
      <c r="DZ118" s="1"/>
      <c r="EA118" s="857"/>
      <c r="EB118" s="857"/>
      <c r="EC118" s="857"/>
      <c r="ED118" s="868" t="e">
        <f t="shared" ca="1" si="436"/>
        <v>#NAME?</v>
      </c>
      <c r="EE118" s="863" t="e">
        <f t="shared" ca="1" si="312"/>
        <v>#NAME?</v>
      </c>
      <c r="EF118" s="590" t="e">
        <f t="shared" ca="1" si="313"/>
        <v>#NAME?</v>
      </c>
      <c r="EG118" s="862" t="str">
        <f t="shared" ca="1" si="469"/>
        <v/>
      </c>
      <c r="EH118" s="114" t="str">
        <f t="shared" ca="1" si="315"/>
        <v/>
      </c>
      <c r="EI118" s="109" t="str">
        <f t="shared" ca="1" si="316"/>
        <v/>
      </c>
      <c r="EJ118" s="115">
        <f ca="1">IF(BD118,_xll.xASN(BP118,Strike1,AO118,EH118,0,BM118,0,BI118,BL118,IF(OptControl=4,0,1),0),0)</f>
        <v>0</v>
      </c>
      <c r="EK118" s="108">
        <f ca="1">IF(BD118,_xll.xASN(BP118,Strike2,AO118,EI118,0,BM118,0,BI118,BL118,IF(OptControl=3,1,0),0),0)</f>
        <v>0</v>
      </c>
      <c r="EP118" s="53"/>
      <c r="EQ118" s="1"/>
      <c r="ER118" s="103"/>
      <c r="ES118" s="103"/>
      <c r="ET118" s="1"/>
      <c r="EU118" s="667" t="s">
        <v>330</v>
      </c>
      <c r="EW118" s="445"/>
      <c r="EX118" s="36"/>
      <c r="EY118" s="104"/>
      <c r="EZ118" s="465"/>
      <c r="FA118" s="446"/>
      <c r="FB118" s="446"/>
      <c r="FC118" s="242"/>
      <c r="FD118" s="242"/>
      <c r="FE118" s="242"/>
      <c r="FF118" s="242"/>
      <c r="FG118" s="242"/>
      <c r="FH118" s="242"/>
      <c r="FI118" s="242"/>
      <c r="FJ118" s="242"/>
      <c r="FK118" s="242"/>
      <c r="FL118" s="242"/>
      <c r="FM118" s="242"/>
      <c r="FN118" s="657">
        <v>24</v>
      </c>
      <c r="FO118" s="450">
        <f t="shared" ca="1" si="433"/>
        <v>0.18504691284973102</v>
      </c>
      <c r="FP118" s="450">
        <f t="shared" ca="1" si="471"/>
        <v>0.18643208310097284</v>
      </c>
      <c r="FQ118" s="450">
        <f t="shared" ca="1" si="471"/>
        <v>0.18780408349022712</v>
      </c>
      <c r="FR118" s="450">
        <f t="shared" ca="1" si="471"/>
        <v>0.18937123386638177</v>
      </c>
      <c r="FS118" s="450">
        <f t="shared" ca="1" si="471"/>
        <v>0.191159171563036</v>
      </c>
      <c r="FT118" s="450">
        <f t="shared" ca="1" si="471"/>
        <v>0.19319749651234927</v>
      </c>
      <c r="FU118" s="450">
        <f t="shared" ca="1" si="471"/>
        <v>0.19552051351292349</v>
      </c>
      <c r="FV118" s="450">
        <f t="shared" ca="1" si="471"/>
        <v>0.19816814407292183</v>
      </c>
      <c r="FW118" s="450">
        <f t="shared" ca="1" si="471"/>
        <v>0.20118705392770389</v>
      </c>
      <c r="FX118" s="450">
        <f t="shared" ca="1" si="471"/>
        <v>0.20463205686094643</v>
      </c>
      <c r="FY118" s="450">
        <f t="shared" ca="1" si="471"/>
        <v>0.20856787521470913</v>
      </c>
      <c r="FZ118" s="450">
        <f t="shared" ca="1" si="471"/>
        <v>0.21307136458421674</v>
      </c>
      <c r="GA118" s="450">
        <f t="shared" ca="1" si="471"/>
        <v>0.21823434775684414</v>
      </c>
      <c r="GB118" s="450">
        <f t="shared" ca="1" si="471"/>
        <v>0.22416725554084135</v>
      </c>
      <c r="GC118" s="450">
        <f t="shared" ca="1" si="471"/>
        <v>0.23100384655472975</v>
      </c>
      <c r="GD118" s="450">
        <f t="shared" ca="1" si="471"/>
        <v>0.238907384616244</v>
      </c>
      <c r="GE118" s="450">
        <f t="shared" ca="1" si="471"/>
        <v>0.24807880686722231</v>
      </c>
      <c r="GF118" s="450">
        <f t="shared" ca="1" si="471"/>
        <v>0.25876764274357539</v>
      </c>
      <c r="GG118" s="450">
        <f t="shared" ca="1" si="471"/>
        <v>0.27128678211096924</v>
      </c>
      <c r="GH118" s="450">
        <f t="shared" ca="1" si="471"/>
        <v>0.28603270258574087</v>
      </c>
      <c r="GI118" s="450">
        <f t="shared" ca="1" si="471"/>
        <v>0.3035135530180697</v>
      </c>
      <c r="GJ118" s="450">
        <f t="shared" ca="1" si="471"/>
        <v>0.32438872196177526</v>
      </c>
      <c r="GK118" s="450">
        <f t="shared" ca="1" si="471"/>
        <v>0.34952548538826245</v>
      </c>
      <c r="GL118" s="450">
        <f t="shared" ca="1" si="471"/>
        <v>0.3800815294769524</v>
      </c>
      <c r="GM118" s="450" t="str">
        <f t="shared" si="471"/>
        <v/>
      </c>
      <c r="GN118" s="450" t="str">
        <f t="shared" si="471"/>
        <v/>
      </c>
      <c r="GO118" s="450" t="str">
        <f t="shared" si="471"/>
        <v/>
      </c>
      <c r="GP118" s="450" t="str">
        <f t="shared" si="471"/>
        <v/>
      </c>
      <c r="GQ118" s="450" t="str">
        <f t="shared" si="471"/>
        <v/>
      </c>
      <c r="GR118" s="450" t="str">
        <f t="shared" si="471"/>
        <v/>
      </c>
      <c r="GS118" s="450" t="str">
        <f t="shared" si="471"/>
        <v/>
      </c>
      <c r="GT118" s="450" t="str">
        <f t="shared" si="471"/>
        <v/>
      </c>
      <c r="GU118" s="450" t="str">
        <f t="shared" si="471"/>
        <v/>
      </c>
      <c r="GV118" s="450" t="str">
        <f t="shared" si="471"/>
        <v/>
      </c>
      <c r="GW118" s="450" t="str">
        <f t="shared" si="471"/>
        <v/>
      </c>
      <c r="GX118" s="450" t="str">
        <f t="shared" si="471"/>
        <v/>
      </c>
      <c r="GY118" s="450" t="str">
        <f t="shared" si="471"/>
        <v/>
      </c>
      <c r="GZ118" s="450" t="str">
        <f t="shared" si="471"/>
        <v/>
      </c>
      <c r="HA118" s="450" t="str">
        <f t="shared" si="471"/>
        <v/>
      </c>
      <c r="HB118" s="450" t="str">
        <f t="shared" si="471"/>
        <v/>
      </c>
      <c r="HC118" s="450" t="str">
        <f t="shared" si="471"/>
        <v/>
      </c>
      <c r="HD118" s="450" t="str">
        <f t="shared" si="471"/>
        <v/>
      </c>
      <c r="HE118" s="450" t="str">
        <f t="shared" si="471"/>
        <v/>
      </c>
      <c r="HF118" s="450" t="str">
        <f t="shared" si="471"/>
        <v/>
      </c>
      <c r="HG118" s="450" t="str">
        <f t="shared" si="471"/>
        <v/>
      </c>
      <c r="HH118" s="450" t="str">
        <f t="shared" si="471"/>
        <v/>
      </c>
      <c r="HI118" s="450" t="str">
        <f t="shared" si="471"/>
        <v/>
      </c>
      <c r="HJ118" s="450" t="str">
        <f t="shared" si="471"/>
        <v/>
      </c>
      <c r="HK118" s="450" t="str">
        <f t="shared" si="471"/>
        <v/>
      </c>
      <c r="HL118" s="450" t="str">
        <f t="shared" si="471"/>
        <v/>
      </c>
      <c r="HM118" s="450" t="str">
        <f t="shared" si="471"/>
        <v/>
      </c>
      <c r="HN118" s="450" t="str">
        <f t="shared" si="471"/>
        <v/>
      </c>
      <c r="HO118" s="450" t="str">
        <f t="shared" si="471"/>
        <v/>
      </c>
      <c r="HP118" s="450" t="str">
        <f t="shared" si="471"/>
        <v/>
      </c>
      <c r="HQ118" s="450" t="str">
        <f t="shared" si="471"/>
        <v/>
      </c>
      <c r="HR118" s="450" t="str">
        <f t="shared" si="471"/>
        <v/>
      </c>
      <c r="HS118" s="450" t="str">
        <f t="shared" si="471"/>
        <v/>
      </c>
      <c r="HT118" s="450" t="str">
        <f t="shared" si="471"/>
        <v/>
      </c>
      <c r="HU118" s="450" t="str">
        <f t="shared" si="471"/>
        <v/>
      </c>
      <c r="HV118" s="450" t="str">
        <f t="shared" si="471"/>
        <v/>
      </c>
      <c r="HW118" s="450" t="str">
        <f t="shared" si="471"/>
        <v/>
      </c>
      <c r="HX118" s="450" t="str">
        <f t="shared" si="471"/>
        <v/>
      </c>
      <c r="HY118" s="450" t="str">
        <f t="shared" si="471"/>
        <v/>
      </c>
      <c r="HZ118" s="450" t="str">
        <f t="shared" si="471"/>
        <v/>
      </c>
      <c r="IA118" s="450" t="str">
        <f t="shared" si="471"/>
        <v/>
      </c>
      <c r="IB118" s="450" t="str">
        <f t="shared" si="470"/>
        <v/>
      </c>
      <c r="IC118" s="450" t="str">
        <f t="shared" si="470"/>
        <v/>
      </c>
      <c r="ID118" s="450" t="str">
        <f t="shared" si="470"/>
        <v/>
      </c>
      <c r="IE118" s="450" t="str">
        <f t="shared" si="470"/>
        <v/>
      </c>
      <c r="IF118" s="450" t="str">
        <f t="shared" si="470"/>
        <v/>
      </c>
      <c r="IG118" s="450" t="str">
        <f t="shared" si="470"/>
        <v/>
      </c>
      <c r="IH118" s="658" t="str">
        <f t="shared" si="470"/>
        <v/>
      </c>
      <c r="II118" s="242"/>
    </row>
    <row r="119" spans="8:243">
      <c r="H119" s="49" t="e">
        <f t="shared" ca="1" si="317"/>
        <v>#N/A</v>
      </c>
      <c r="I119" s="369">
        <f t="shared" si="318"/>
        <v>40026</v>
      </c>
      <c r="J119" s="367">
        <v>21.9933333333333</v>
      </c>
      <c r="K119" s="101" t="s">
        <v>267</v>
      </c>
      <c r="L119" s="382">
        <f t="shared" si="319"/>
        <v>21.993333333333315</v>
      </c>
      <c r="M119" s="163">
        <v>0.16644999999999999</v>
      </c>
      <c r="N119" s="372">
        <v>0</v>
      </c>
      <c r="O119" s="163">
        <f t="shared" si="272"/>
        <v>0.16644999999999999</v>
      </c>
      <c r="P119" s="367">
        <v>20.5562784612877</v>
      </c>
      <c r="Q119" s="101" t="s">
        <v>267</v>
      </c>
      <c r="R119" s="367">
        <f t="shared" ca="1" si="417"/>
        <v>20.556278461287704</v>
      </c>
      <c r="S119" s="814">
        <f t="shared" si="163"/>
        <v>0.35867321402271363</v>
      </c>
      <c r="T119" s="813">
        <f t="shared" si="418"/>
        <v>0.99999769620254153</v>
      </c>
      <c r="U119" s="532">
        <f t="shared" si="419"/>
        <v>0.99999999999999356</v>
      </c>
      <c r="V119" s="379">
        <v>0</v>
      </c>
      <c r="W119" s="424">
        <f t="shared" si="452"/>
        <v>22.015555555555537</v>
      </c>
      <c r="X119" s="405">
        <f t="shared" si="453"/>
        <v>22.015555555555537</v>
      </c>
      <c r="Y119" s="313">
        <f t="shared" si="454"/>
        <v>20.697155555555536</v>
      </c>
      <c r="Z119" s="313">
        <f t="shared" ca="1" si="455"/>
        <v>20.697155555555536</v>
      </c>
      <c r="AA119" s="419">
        <f t="shared" si="277"/>
        <v>1.3184</v>
      </c>
      <c r="AB119" s="423">
        <f t="shared" ca="1" si="278"/>
        <v>1.3184</v>
      </c>
      <c r="AC119" s="221">
        <v>40014</v>
      </c>
      <c r="AD119" s="221">
        <v>40010</v>
      </c>
      <c r="AE119" s="221">
        <v>40009</v>
      </c>
      <c r="AF119" s="221">
        <v>40005</v>
      </c>
      <c r="AG119" s="241" t="s">
        <v>497</v>
      </c>
      <c r="AH119" s="239" t="s">
        <v>497</v>
      </c>
      <c r="AI119" s="141">
        <v>21</v>
      </c>
      <c r="AJ119" s="41">
        <v>14</v>
      </c>
      <c r="AK119" s="41">
        <v>7</v>
      </c>
      <c r="AL119" s="285">
        <v>21</v>
      </c>
      <c r="AM119" s="41">
        <v>10</v>
      </c>
      <c r="AN119" s="142">
        <v>11</v>
      </c>
      <c r="AO119" s="364">
        <v>5.7747926555660203E-2</v>
      </c>
      <c r="AP119" s="145">
        <f t="shared" ca="1" si="320"/>
        <v>0.62009406865853334</v>
      </c>
      <c r="AQ119" s="364">
        <v>4.9419237136328203E-2</v>
      </c>
      <c r="AR119" s="145">
        <f t="shared" ca="1" si="420"/>
        <v>0.66787994151590346</v>
      </c>
      <c r="AS119" s="264">
        <f t="shared" si="456"/>
        <v>0.16585</v>
      </c>
      <c r="AT119" s="149">
        <f t="shared" si="321"/>
        <v>0.16644999999999999</v>
      </c>
      <c r="AU119" s="149">
        <f t="shared" si="280"/>
        <v>0.16576428571428573</v>
      </c>
      <c r="AV119" s="263">
        <f t="shared" ca="1" si="430"/>
        <v>0.16337936782694218</v>
      </c>
      <c r="AW119" s="150" t="str">
        <f t="shared" ca="1" si="457"/>
        <v/>
      </c>
      <c r="AX119" s="149">
        <f t="shared" ca="1" si="421"/>
        <v>1.6108505548615593E-2</v>
      </c>
      <c r="AY119" s="149">
        <f t="shared" ca="1" si="422"/>
        <v>7.0025874959349626E-3</v>
      </c>
      <c r="AZ119" s="149">
        <f t="shared" ca="1" si="423"/>
        <v>4.7977079869228794E-3</v>
      </c>
      <c r="BA119" s="149">
        <f t="shared" ca="1" si="424"/>
        <v>1.0000000000000368E-4</v>
      </c>
      <c r="BB119" s="149">
        <f t="shared" ca="1" si="425"/>
        <v>1.0000000000000368E-4</v>
      </c>
      <c r="BC119" s="149">
        <f t="shared" ca="1" si="426"/>
        <v>1.0000000000000368E-4</v>
      </c>
      <c r="BD119" s="143">
        <f t="shared" ca="1" si="458"/>
        <v>0</v>
      </c>
      <c r="BE119" s="144">
        <f t="shared" ca="1" si="459"/>
        <v>0</v>
      </c>
      <c r="BF119" s="40">
        <f t="shared" si="460"/>
        <v>2009</v>
      </c>
      <c r="BG119" s="139">
        <f t="shared" si="461"/>
        <v>8</v>
      </c>
      <c r="BH119" s="140">
        <f t="shared" ca="1" si="462"/>
        <v>3020</v>
      </c>
      <c r="BI119" s="304">
        <f t="shared" ca="1" si="440"/>
        <v>8.3121149897330593</v>
      </c>
      <c r="BJ119" s="42">
        <f t="shared" ca="1" si="288"/>
        <v>8.3668720054757024</v>
      </c>
      <c r="BK119" s="42">
        <f t="shared" ca="1" si="289"/>
        <v>8.3696098562628354</v>
      </c>
      <c r="BL119" s="42">
        <f t="shared" ca="1" si="441"/>
        <v>8.3942505133470231</v>
      </c>
      <c r="BM119" s="285">
        <f t="shared" si="442"/>
        <v>21</v>
      </c>
      <c r="BN119" s="41">
        <f t="shared" si="443"/>
        <v>14</v>
      </c>
      <c r="BO119" s="41">
        <f t="shared" si="444"/>
        <v>7</v>
      </c>
      <c r="BP119" s="297" t="str">
        <f t="shared" ca="1" si="293"/>
        <v/>
      </c>
      <c r="BQ119" s="297" t="str">
        <f t="shared" ca="1" si="294"/>
        <v/>
      </c>
      <c r="BR119" s="299" t="str">
        <f t="shared" ca="1" si="295"/>
        <v/>
      </c>
      <c r="BS119" s="153" t="str">
        <f t="shared" ca="1" si="296"/>
        <v/>
      </c>
      <c r="BT119" s="153" t="str">
        <f t="shared" ca="1" si="297"/>
        <v/>
      </c>
      <c r="BU119" s="300" t="str">
        <f t="shared" ca="1" si="298"/>
        <v/>
      </c>
      <c r="BV119" s="301" t="str">
        <f t="shared" ca="1" si="299"/>
        <v/>
      </c>
      <c r="BW119" s="300" t="str">
        <f t="shared" ca="1" si="300"/>
        <v/>
      </c>
      <c r="BX119" s="301" t="str">
        <f t="shared" ca="1" si="301"/>
        <v/>
      </c>
      <c r="BY119" s="146" t="str">
        <f t="shared" ca="1" si="302"/>
        <v/>
      </c>
      <c r="BZ119" s="146" t="str">
        <f t="shared" ca="1" si="303"/>
        <v/>
      </c>
      <c r="CA119" s="146" t="str">
        <f t="shared" ca="1" si="304"/>
        <v/>
      </c>
      <c r="CB119" s="146" t="str">
        <f t="shared" ca="1" si="305"/>
        <v/>
      </c>
      <c r="CC119" s="302">
        <v>1</v>
      </c>
      <c r="CD119" s="154">
        <f ca="1">IF(BD119,_xll.xCrudeAPO(BS119,BT119,BY119,BZ119,S120,S121,BI119,BL119,BN119,BO119,0,Strike1,AO119,CC119,0,BL119,IF(OptControl=4,0,1),0,1),0)</f>
        <v>0</v>
      </c>
      <c r="CE119" s="155">
        <f ca="1">IF(BD119,_xll.xCrudeAPO(BS119,BT119,BY119,BZ119,S120,S121,BI119,BL119,BN119,BO119,0,Strike1,AO119,CC119,0,BL119,IF(OptControl=4,0,1),1,1)+_xll.xCrudeAPO(BS119,BT119,BY119,BZ119,S120,S121,BI119,BL119,BN119,BO119,0,Strike1,AO119,CC119,0,BL119,IF(OptControl=4,0,1),1,2)+IF(OR(VolSkewFlag=2,ABS(BQ119)&lt;0.0001),0,IF(BQ119&gt;0,-1,1)*CF119*Strike1/BP119^2*BW119/10%),0)</f>
        <v>0</v>
      </c>
      <c r="CF119" s="155">
        <f ca="1">IF(BD119,(_xll.xCrudeAPO(BS119,BT119,BY119,BZ119,S120,S121,BI119,BL119,BN119,BO119,0,Strike1,AO119,CC119,0,BL119,IF(OptControl=4,0,1),3,1)+_xll.xCrudeAPO(BS119,BT119,BY119,BZ119,S120,S121,BI119,BL119,BN119,BO119,0,Strike1,AO119,CC119,0,BL119,IF(OptControl=4,0,1),3,2))/100,0)</f>
        <v>0</v>
      </c>
      <c r="CG119" s="155">
        <f ca="1">IF(BD119,_xll.xCrudeAPO(BS119,BT119,BY119,BZ119,S120,S121,BI119-DaysForThetaCalculation/365.25,BL119-DaysForThetaCalculation/365.25,BN119,BO119,0,Strike1,AO119,CC119,0,BL119,IF(OptControl=4,0,1),0,1)-_xll.xCrudeAPO(BS119,BT119,BY119,BZ119,S120,S121,BI119,BL119,BN119,BO119,0,Strike1,AO119,CC119,0,BL119,IF(OptControl=4,0,1),0,1),0)</f>
        <v>0</v>
      </c>
      <c r="CH119" s="303">
        <f ca="1">IF(BD119,_xll.xCrudeAPO(BS119,BT119,CA119,CB119,S120,S121,BI119,BL119,BN119,BO119,0,Strike2,AO119,CC119,0,BL119,IF(OptControl=3,1,0),0,1),0)</f>
        <v>0</v>
      </c>
      <c r="CI119" s="155">
        <f ca="1">IF(BD119,_xll.xCrudeAPO(BS119,BT119,CA119,CB119,S120,S121,BI119,BL119,BN119,BO119,0,Strike2,AO119,CC119,0,BL119,IF(OptControl=3,1,0),1,1)+_xll.xCrudeAPO(BS119,BT119,CA119,CB119,S120,S121,BI119,BL119,BN119,BO119,0,Strike2,AO119,CC119,0,BL119,IF(OptControl=3,1,0),1,2)+IF(OR(VolSkewFlag=2,ABS(BR119)&lt;0.0001),0,IF(BR119&gt;0,-1,1)*CJ119*Strike2/BP119^2*BX119/10%),0)</f>
        <v>0</v>
      </c>
      <c r="CJ119" s="155">
        <f ca="1">IF(BD119,(_xll.xCrudeAPO(BS119,BT119,CA119,CB119,S120,S121,BI119,BL119,BN119,BO119,0,Strike2,AO119,CC119,0,BL119,IF(OptControl=3,1,0),3,1)+_xll.xCrudeAPO(BS119,BT119,CA119,CB119,S120,S121,BI119,BL119,BN119,BO119,0,Strike2,AO119,CC119,0,BL119,IF(OptControl=3,1,0),3,2))/100,0)</f>
        <v>0</v>
      </c>
      <c r="CK119" s="156">
        <f ca="1">IF(BD119,_xll.xCrudeAPO(BS119,BT119,CA119,CB119,S120,S121,BI119-DaysForThetaCalculation/365.25,BL119-DaysForThetaCalculation/365.25,BN119,BO119,0,Strike2,AO119,CC119,0,BL119,IF(OptControl=3,1,0),0,1)-_xll.xCrudeAPO(BS119,BT119,CA119,CB119,S120,S121,BI119,BL119,BN119,BO119,0,Strike2,AO119,CC119,0,BL119,IF(OptControl=3,1,0),0,1),0)</f>
        <v>0</v>
      </c>
      <c r="CL119" s="51"/>
      <c r="CM119" s="779" t="str">
        <f t="shared" ca="1" si="323"/>
        <v/>
      </c>
      <c r="CN119" s="783" t="str">
        <f t="shared" ca="1" si="324"/>
        <v/>
      </c>
      <c r="CO119" s="780" t="str">
        <f t="shared" ca="1" si="325"/>
        <v/>
      </c>
      <c r="CP119" s="780" t="str">
        <f t="shared" ca="1" si="326"/>
        <v/>
      </c>
      <c r="CQ119" s="780" t="str">
        <f t="shared" ca="1" si="327"/>
        <v/>
      </c>
      <c r="CR119" s="780" t="str">
        <f t="shared" ca="1" si="328"/>
        <v/>
      </c>
      <c r="CS119" s="781" t="str">
        <f t="shared" ca="1" si="329"/>
        <v/>
      </c>
      <c r="CT119" s="782" t="str">
        <f t="shared" ca="1" si="330"/>
        <v/>
      </c>
      <c r="CU119" s="782" t="str">
        <f t="shared" ca="1" si="331"/>
        <v/>
      </c>
      <c r="CV119" s="155">
        <f ca="1">IF(BD119,_xll.EURO(CN119,Strike1,AO119,AO119,CT119,CM119,IF(OptControl=4,0,1),0),0)</f>
        <v>0</v>
      </c>
      <c r="CW119" s="155">
        <f ca="1">IF(BD119,_xll.EURO(CN119,Strike1,AO119,AO119,CT119,CM119,IF(OptControl=4,0,1),1)+IF(OR(VolSkewFlag=2,ABS(CO119)&lt;0.0001),0,IF(CO119&gt;0,-1,1)*CX119*100*Strike1/CN119^2*CQ119/10%),0)</f>
        <v>0</v>
      </c>
      <c r="CX119" s="155">
        <f ca="1">IF(BD119,_xll.EURO(CN119,Strike1,AO119,AO119,CT119,CM119,IF(OptControl=4,0,1),3)/100,0)</f>
        <v>0</v>
      </c>
      <c r="CY119" s="155">
        <f ca="1">IF(BD119,_xll.EURO(CN119,Strike1,AO119,AO119,CT119,CM119,IF(OptControl=4,0,1),0)-_xll.EURO(CN119,Strike1,AO119,AO119,CT119,CM119-1,IF(OptControl=4,0,1),0),0)</f>
        <v>0</v>
      </c>
      <c r="CZ119" s="155">
        <f ca="1">IF(BD119,_xll.EURO(CN119,Strike2,AO119,AO119,CU119,CM119,IF(OptControl=3,1,0),0),0)</f>
        <v>0</v>
      </c>
      <c r="DA119" s="155">
        <f ca="1">IF(BD119,_xll.EURO(CN119,Strike2,AO119,AO119,CU119,CM119,IF(OptControl=3,1,0),1)+IF(OR(VolSkewFlag=2,ABS(CP119)&lt;0.0001),0,IF(CP119&gt;0,-1,1)*DB119*100*Strike2/CN119^2*CR119/10%),0)</f>
        <v>0</v>
      </c>
      <c r="DB119" s="155">
        <f ca="1">IF(BD119,_xll.EURO(CN119,Strike2,AO119,AO119,CU119,CM119,IF(OptControl=3,1,0),3)/100,0)</f>
        <v>0</v>
      </c>
      <c r="DC119" s="156">
        <f ca="1">IF(BD119,_xll.EURO(CN119,Strike2,AO119,AO119,CU119,CM119,IF(OptControl=3,1,0),0)-_xll.EURO(CN119,Strike2,AO119,AO119,CU119,CM119-1,IF(OptControl=3,1,0),0),0)</f>
        <v>0</v>
      </c>
      <c r="DE119" s="651">
        <f t="shared" ca="1" si="332"/>
        <v>39934</v>
      </c>
      <c r="DF119" s="465">
        <v>1E-4</v>
      </c>
      <c r="DG119" s="649">
        <v>1E-4</v>
      </c>
      <c r="DH119" s="650">
        <f t="shared" ca="1" si="463"/>
        <v>39934</v>
      </c>
      <c r="DI119" s="465">
        <v>1E-4</v>
      </c>
      <c r="DJ119" s="649">
        <v>1E-4</v>
      </c>
      <c r="DK119" s="651">
        <f t="shared" ca="1" si="464"/>
        <v>39934</v>
      </c>
      <c r="DL119" s="652">
        <f t="shared" si="465"/>
        <v>5.0100000000000006E-2</v>
      </c>
      <c r="DM119" s="651">
        <f t="shared" ca="1" si="333"/>
        <v>39934</v>
      </c>
      <c r="DN119" s="563">
        <f t="shared" si="334"/>
        <v>-0.12990000000000002</v>
      </c>
      <c r="DO119" s="803">
        <v>-0.13</v>
      </c>
      <c r="DP119" s="650">
        <f t="shared" ca="1" si="466"/>
        <v>39934</v>
      </c>
      <c r="DQ119" s="653">
        <v>1E-4</v>
      </c>
      <c r="DR119" s="590">
        <v>1E-4</v>
      </c>
      <c r="DS119" s="650">
        <f t="shared" ca="1" si="467"/>
        <v>39934</v>
      </c>
      <c r="DT119" s="653">
        <v>1E-4</v>
      </c>
      <c r="DU119" s="590">
        <v>1E-4</v>
      </c>
      <c r="DV119" s="651">
        <f t="shared" ca="1" si="468"/>
        <v>39934</v>
      </c>
      <c r="DW119" s="590">
        <v>1E-4</v>
      </c>
      <c r="DX119" s="651">
        <f t="shared" ca="1" si="335"/>
        <v>39934</v>
      </c>
      <c r="DY119" s="590">
        <f t="shared" si="336"/>
        <v>1E-4</v>
      </c>
      <c r="DZ119" s="1"/>
      <c r="EA119" s="857"/>
      <c r="EB119" s="857"/>
      <c r="EC119" s="857"/>
      <c r="ED119" s="868" t="e">
        <f t="shared" ca="1" si="436"/>
        <v>#NAME?</v>
      </c>
      <c r="EE119" s="863" t="e">
        <f t="shared" ca="1" si="312"/>
        <v>#NAME?</v>
      </c>
      <c r="EF119" s="590" t="e">
        <f t="shared" ca="1" si="313"/>
        <v>#NAME?</v>
      </c>
      <c r="EG119" s="862" t="str">
        <f t="shared" ca="1" si="469"/>
        <v/>
      </c>
      <c r="EH119" s="114" t="str">
        <f t="shared" ca="1" si="315"/>
        <v/>
      </c>
      <c r="EI119" s="109" t="str">
        <f t="shared" ca="1" si="316"/>
        <v/>
      </c>
      <c r="EJ119" s="115">
        <f ca="1">IF(BD119,_xll.xASN(BP119,Strike1,AO119,EH119,0,BM119,0,BI119,BL119,IF(OptControl=4,0,1),0),0)</f>
        <v>0</v>
      </c>
      <c r="EK119" s="108">
        <f ca="1">IF(BD119,_xll.xASN(BP119,Strike2,AO119,EI119,0,BM119,0,BI119,BL119,IF(OptControl=3,1,0),0),0)</f>
        <v>0</v>
      </c>
      <c r="EP119" s="53"/>
      <c r="EQ119" s="1"/>
      <c r="ER119" s="103"/>
      <c r="ES119" s="103"/>
      <c r="ET119" s="1"/>
      <c r="EU119" s="667" t="s">
        <v>331</v>
      </c>
      <c r="EW119" s="445"/>
      <c r="EX119" s="36"/>
      <c r="EY119" s="104"/>
      <c r="EZ119" s="465"/>
      <c r="FA119" s="446"/>
      <c r="FB119" s="446"/>
      <c r="FC119" s="242"/>
      <c r="FD119" s="242"/>
      <c r="FE119" s="242"/>
      <c r="FF119" s="242"/>
      <c r="FG119" s="242"/>
      <c r="FH119" s="242"/>
      <c r="FI119" s="242"/>
      <c r="FJ119" s="242"/>
      <c r="FK119" s="242"/>
      <c r="FL119" s="242"/>
      <c r="FM119" s="242"/>
      <c r="FN119" s="657">
        <v>25</v>
      </c>
      <c r="FO119" s="450">
        <f t="shared" ca="1" si="433"/>
        <v>0.18376220282279432</v>
      </c>
      <c r="FP119" s="450">
        <f t="shared" ca="1" si="471"/>
        <v>0.18499338327910769</v>
      </c>
      <c r="FQ119" s="450">
        <f t="shared" ca="1" si="471"/>
        <v>0.18619306760981771</v>
      </c>
      <c r="FR119" s="450">
        <f t="shared" ca="1" si="471"/>
        <v>0.18756541077821773</v>
      </c>
      <c r="FS119" s="450">
        <f t="shared" ca="1" si="471"/>
        <v>0.18913267299144132</v>
      </c>
      <c r="FT119" s="450">
        <f t="shared" ca="1" si="471"/>
        <v>0.1909204657513183</v>
      </c>
      <c r="FU119" s="450">
        <f t="shared" ca="1" si="471"/>
        <v>0.19295835928106875</v>
      </c>
      <c r="FV119" s="450">
        <f t="shared" ca="1" si="471"/>
        <v>0.19528062407724484</v>
      </c>
      <c r="FW119" s="450">
        <f t="shared" ca="1" si="471"/>
        <v>0.19792714187400423</v>
      </c>
      <c r="FX119" s="450">
        <f t="shared" ca="1" si="471"/>
        <v>0.20094453207490517</v>
      </c>
      <c r="FY119" s="450">
        <f t="shared" ca="1" si="471"/>
        <v>0.20438755422328372</v>
      </c>
      <c r="FZ119" s="450">
        <f t="shared" ca="1" si="471"/>
        <v>0.20832086682000858</v>
      </c>
      <c r="GA119" s="450">
        <f t="shared" ca="1" si="471"/>
        <v>0.21282124988202317</v>
      </c>
      <c r="GB119" s="450">
        <f t="shared" ca="1" si="471"/>
        <v>0.21798043616324814</v>
      </c>
      <c r="GC119" s="450">
        <f t="shared" ca="1" si="471"/>
        <v>0.2239087484957718</v>
      </c>
      <c r="GD119" s="450">
        <f t="shared" ca="1" si="471"/>
        <v>0.2307398150644373</v>
      </c>
      <c r="GE119" s="450">
        <f t="shared" ca="1" si="471"/>
        <v>0.23863674089549453</v>
      </c>
      <c r="GF119" s="450">
        <f t="shared" ca="1" si="471"/>
        <v>0.2478002681922182</v>
      </c>
      <c r="GG119" s="450">
        <f t="shared" ca="1" si="471"/>
        <v>0.2584796849100312</v>
      </c>
      <c r="GH119" s="450">
        <f t="shared" ca="1" si="471"/>
        <v>0.27098757885817853</v>
      </c>
      <c r="GI119" s="450">
        <f t="shared" ca="1" si="471"/>
        <v>0.28572004583510691</v>
      </c>
      <c r="GJ119" s="450">
        <f t="shared" ca="1" si="471"/>
        <v>0.30318474652718164</v>
      </c>
      <c r="GK119" s="450">
        <f t="shared" ca="1" si="471"/>
        <v>0.32404043759922768</v>
      </c>
      <c r="GL119" s="450">
        <f t="shared" ca="1" si="471"/>
        <v>0.3491535660094443</v>
      </c>
      <c r="GM119" s="450">
        <f t="shared" ca="1" si="471"/>
        <v>0.37968071418218285</v>
      </c>
      <c r="GN119" s="450" t="str">
        <f t="shared" si="471"/>
        <v/>
      </c>
      <c r="GO119" s="450" t="str">
        <f t="shared" si="471"/>
        <v/>
      </c>
      <c r="GP119" s="450" t="str">
        <f t="shared" si="471"/>
        <v/>
      </c>
      <c r="GQ119" s="450" t="str">
        <f t="shared" si="471"/>
        <v/>
      </c>
      <c r="GR119" s="450" t="str">
        <f t="shared" si="471"/>
        <v/>
      </c>
      <c r="GS119" s="450" t="str">
        <f t="shared" si="471"/>
        <v/>
      </c>
      <c r="GT119" s="450" t="str">
        <f t="shared" si="471"/>
        <v/>
      </c>
      <c r="GU119" s="450" t="str">
        <f t="shared" si="471"/>
        <v/>
      </c>
      <c r="GV119" s="450" t="str">
        <f t="shared" si="471"/>
        <v/>
      </c>
      <c r="GW119" s="450" t="str">
        <f t="shared" si="471"/>
        <v/>
      </c>
      <c r="GX119" s="450" t="str">
        <f t="shared" si="471"/>
        <v/>
      </c>
      <c r="GY119" s="450" t="str">
        <f t="shared" si="471"/>
        <v/>
      </c>
      <c r="GZ119" s="450" t="str">
        <f t="shared" si="471"/>
        <v/>
      </c>
      <c r="HA119" s="450" t="str">
        <f t="shared" si="471"/>
        <v/>
      </c>
      <c r="HB119" s="450" t="str">
        <f t="shared" si="471"/>
        <v/>
      </c>
      <c r="HC119" s="450" t="str">
        <f t="shared" si="471"/>
        <v/>
      </c>
      <c r="HD119" s="450" t="str">
        <f t="shared" si="471"/>
        <v/>
      </c>
      <c r="HE119" s="450" t="str">
        <f t="shared" si="471"/>
        <v/>
      </c>
      <c r="HF119" s="450" t="str">
        <f t="shared" si="471"/>
        <v/>
      </c>
      <c r="HG119" s="450" t="str">
        <f t="shared" si="471"/>
        <v/>
      </c>
      <c r="HH119" s="450" t="str">
        <f t="shared" si="471"/>
        <v/>
      </c>
      <c r="HI119" s="450" t="str">
        <f t="shared" si="471"/>
        <v/>
      </c>
      <c r="HJ119" s="450" t="str">
        <f t="shared" si="471"/>
        <v/>
      </c>
      <c r="HK119" s="450" t="str">
        <f t="shared" si="471"/>
        <v/>
      </c>
      <c r="HL119" s="450" t="str">
        <f t="shared" si="471"/>
        <v/>
      </c>
      <c r="HM119" s="450" t="str">
        <f t="shared" si="471"/>
        <v/>
      </c>
      <c r="HN119" s="450" t="str">
        <f t="shared" si="471"/>
        <v/>
      </c>
      <c r="HO119" s="450" t="str">
        <f t="shared" si="471"/>
        <v/>
      </c>
      <c r="HP119" s="450" t="str">
        <f t="shared" si="471"/>
        <v/>
      </c>
      <c r="HQ119" s="450" t="str">
        <f t="shared" si="471"/>
        <v/>
      </c>
      <c r="HR119" s="450" t="str">
        <f t="shared" si="471"/>
        <v/>
      </c>
      <c r="HS119" s="450" t="str">
        <f t="shared" si="471"/>
        <v/>
      </c>
      <c r="HT119" s="450" t="str">
        <f t="shared" si="471"/>
        <v/>
      </c>
      <c r="HU119" s="450" t="str">
        <f t="shared" si="471"/>
        <v/>
      </c>
      <c r="HV119" s="450" t="str">
        <f t="shared" si="471"/>
        <v/>
      </c>
      <c r="HW119" s="450" t="str">
        <f t="shared" si="471"/>
        <v/>
      </c>
      <c r="HX119" s="450" t="str">
        <f t="shared" si="471"/>
        <v/>
      </c>
      <c r="HY119" s="450" t="str">
        <f t="shared" si="471"/>
        <v/>
      </c>
      <c r="HZ119" s="450" t="str">
        <f t="shared" si="471"/>
        <v/>
      </c>
      <c r="IA119" s="450" t="str">
        <f t="shared" si="471"/>
        <v/>
      </c>
      <c r="IB119" s="450" t="str">
        <f t="shared" si="470"/>
        <v/>
      </c>
      <c r="IC119" s="450" t="str">
        <f t="shared" si="470"/>
        <v/>
      </c>
      <c r="ID119" s="450" t="str">
        <f t="shared" si="470"/>
        <v/>
      </c>
      <c r="IE119" s="450" t="str">
        <f t="shared" si="470"/>
        <v/>
      </c>
      <c r="IF119" s="450" t="str">
        <f t="shared" si="470"/>
        <v/>
      </c>
      <c r="IG119" s="450" t="str">
        <f t="shared" si="470"/>
        <v/>
      </c>
      <c r="IH119" s="658" t="str">
        <f t="shared" si="470"/>
        <v/>
      </c>
      <c r="II119" s="242"/>
    </row>
    <row r="120" spans="8:243">
      <c r="H120" s="49" t="e">
        <f t="shared" ca="1" si="317"/>
        <v>#N/A</v>
      </c>
      <c r="I120" s="369">
        <f t="shared" si="318"/>
        <v>40057</v>
      </c>
      <c r="J120" s="367">
        <v>22.01</v>
      </c>
      <c r="K120" s="101" t="s">
        <v>267</v>
      </c>
      <c r="L120" s="382">
        <f t="shared" si="319"/>
        <v>22.00999999999998</v>
      </c>
      <c r="M120" s="163">
        <v>0.16600000000000001</v>
      </c>
      <c r="N120" s="372">
        <v>0</v>
      </c>
      <c r="O120" s="163">
        <f t="shared" si="272"/>
        <v>0.16600000000000001</v>
      </c>
      <c r="P120" s="367">
        <v>20.777744773368397</v>
      </c>
      <c r="Q120" s="101" t="s">
        <v>267</v>
      </c>
      <c r="R120" s="367">
        <f t="shared" ca="1" si="417"/>
        <v>20.777744773368401</v>
      </c>
      <c r="S120" s="814">
        <f t="shared" si="163"/>
        <v>0.3584864818824865</v>
      </c>
      <c r="T120" s="813">
        <f t="shared" si="418"/>
        <v>0.99999792658252673</v>
      </c>
      <c r="U120" s="532">
        <f t="shared" si="419"/>
        <v>0.99999999999999512</v>
      </c>
      <c r="V120" s="379">
        <v>0</v>
      </c>
      <c r="W120" s="424">
        <f t="shared" si="452"/>
        <v>22.032727272727218</v>
      </c>
      <c r="X120" s="405">
        <f t="shared" si="453"/>
        <v>22.032727272727254</v>
      </c>
      <c r="Y120" s="313">
        <f t="shared" si="454"/>
        <v>20.714327272727218</v>
      </c>
      <c r="Z120" s="313">
        <f t="shared" ca="1" si="455"/>
        <v>20.714327272727253</v>
      </c>
      <c r="AA120" s="419">
        <f t="shared" si="277"/>
        <v>1.3184</v>
      </c>
      <c r="AB120" s="423">
        <f t="shared" ca="1" si="278"/>
        <v>1.3184</v>
      </c>
      <c r="AC120" s="221">
        <v>40045</v>
      </c>
      <c r="AD120" s="221">
        <v>40041</v>
      </c>
      <c r="AE120" s="221">
        <v>40040</v>
      </c>
      <c r="AF120" s="221">
        <v>40036</v>
      </c>
      <c r="AG120" s="241" t="s">
        <v>497</v>
      </c>
      <c r="AH120" s="239" t="s">
        <v>497</v>
      </c>
      <c r="AI120" s="141">
        <v>22</v>
      </c>
      <c r="AJ120" s="41">
        <v>14</v>
      </c>
      <c r="AK120" s="41">
        <v>8</v>
      </c>
      <c r="AL120" s="285">
        <v>22</v>
      </c>
      <c r="AM120" s="41">
        <v>10</v>
      </c>
      <c r="AN120" s="142">
        <v>12</v>
      </c>
      <c r="AO120" s="364">
        <v>5.7825335285045701E-2</v>
      </c>
      <c r="AP120" s="145">
        <f t="shared" ca="1" si="320"/>
        <v>0.61680781980931243</v>
      </c>
      <c r="AQ120" s="364">
        <v>4.94400444649803E-2</v>
      </c>
      <c r="AR120" s="145">
        <f t="shared" ca="1" si="420"/>
        <v>0.66500557155098106</v>
      </c>
      <c r="AS120" s="264">
        <f t="shared" si="456"/>
        <v>0.16538636363636361</v>
      </c>
      <c r="AT120" s="149">
        <f t="shared" si="321"/>
        <v>0.16600000000000001</v>
      </c>
      <c r="AU120" s="149">
        <f t="shared" si="280"/>
        <v>0.16530454545454545</v>
      </c>
      <c r="AV120" s="263">
        <f t="shared" ca="1" si="430"/>
        <v>0.16284867504552747</v>
      </c>
      <c r="AW120" s="150" t="str">
        <f t="shared" ca="1" si="457"/>
        <v/>
      </c>
      <c r="AX120" s="149">
        <f t="shared" ca="1" si="421"/>
        <v>1.5882209819773129E-2</v>
      </c>
      <c r="AY120" s="149">
        <f t="shared" ca="1" si="422"/>
        <v>6.8821018963958775E-3</v>
      </c>
      <c r="AZ120" s="149">
        <f t="shared" ca="1" si="423"/>
        <v>4.7405293364519395E-3</v>
      </c>
      <c r="BA120" s="149">
        <f t="shared" ca="1" si="424"/>
        <v>1.0000000000000372E-4</v>
      </c>
      <c r="BB120" s="149">
        <f t="shared" ca="1" si="425"/>
        <v>1.0000000000000372E-4</v>
      </c>
      <c r="BC120" s="149">
        <f t="shared" ca="1" si="426"/>
        <v>1.0000000000000372E-4</v>
      </c>
      <c r="BD120" s="143">
        <f t="shared" ca="1" si="458"/>
        <v>0</v>
      </c>
      <c r="BE120" s="144">
        <f t="shared" ca="1" si="459"/>
        <v>0</v>
      </c>
      <c r="BF120" s="40">
        <f t="shared" si="460"/>
        <v>2009</v>
      </c>
      <c r="BG120" s="139">
        <f t="shared" si="461"/>
        <v>9</v>
      </c>
      <c r="BH120" s="140">
        <f t="shared" ca="1" si="462"/>
        <v>3051</v>
      </c>
      <c r="BI120" s="304">
        <f t="shared" ca="1" si="440"/>
        <v>8.3969883641341543</v>
      </c>
      <c r="BJ120" s="42">
        <f t="shared" ca="1" si="288"/>
        <v>8.447514155933046</v>
      </c>
      <c r="BK120" s="42">
        <f t="shared" ca="1" si="289"/>
        <v>8.450252006720179</v>
      </c>
      <c r="BL120" s="42">
        <f t="shared" ca="1" si="441"/>
        <v>8.4763860369609851</v>
      </c>
      <c r="BM120" s="285">
        <f t="shared" si="442"/>
        <v>22</v>
      </c>
      <c r="BN120" s="41">
        <f t="shared" si="443"/>
        <v>14</v>
      </c>
      <c r="BO120" s="41">
        <f t="shared" si="444"/>
        <v>8</v>
      </c>
      <c r="BP120" s="297" t="str">
        <f t="shared" ca="1" si="293"/>
        <v/>
      </c>
      <c r="BQ120" s="297" t="str">
        <f t="shared" ca="1" si="294"/>
        <v/>
      </c>
      <c r="BR120" s="299" t="str">
        <f t="shared" ca="1" si="295"/>
        <v/>
      </c>
      <c r="BS120" s="153" t="str">
        <f t="shared" ca="1" si="296"/>
        <v/>
      </c>
      <c r="BT120" s="153" t="str">
        <f t="shared" ca="1" si="297"/>
        <v/>
      </c>
      <c r="BU120" s="300" t="str">
        <f t="shared" ca="1" si="298"/>
        <v/>
      </c>
      <c r="BV120" s="301" t="str">
        <f t="shared" ca="1" si="299"/>
        <v/>
      </c>
      <c r="BW120" s="300" t="str">
        <f t="shared" ca="1" si="300"/>
        <v/>
      </c>
      <c r="BX120" s="301" t="str">
        <f t="shared" ca="1" si="301"/>
        <v/>
      </c>
      <c r="BY120" s="146" t="str">
        <f t="shared" ca="1" si="302"/>
        <v/>
      </c>
      <c r="BZ120" s="146" t="str">
        <f t="shared" ca="1" si="303"/>
        <v/>
      </c>
      <c r="CA120" s="146" t="str">
        <f t="shared" ca="1" si="304"/>
        <v/>
      </c>
      <c r="CB120" s="146" t="str">
        <f t="shared" ca="1" si="305"/>
        <v/>
      </c>
      <c r="CC120" s="302">
        <v>1</v>
      </c>
      <c r="CD120" s="154">
        <f ca="1">IF(BD120,_xll.xCrudeAPO(BS120,BT120,BY120,BZ120,S121,S122,BI120,BL120,BN120,BO120,0,Strike1,AO120,CC120,0,BL120,IF(OptControl=4,0,1),0,1),0)</f>
        <v>0</v>
      </c>
      <c r="CE120" s="155">
        <f ca="1">IF(BD120,_xll.xCrudeAPO(BS120,BT120,BY120,BZ120,S121,S122,BI120,BL120,BN120,BO120,0,Strike1,AO120,CC120,0,BL120,IF(OptControl=4,0,1),1,1)+_xll.xCrudeAPO(BS120,BT120,BY120,BZ120,S121,S122,BI120,BL120,BN120,BO120,0,Strike1,AO120,CC120,0,BL120,IF(OptControl=4,0,1),1,2)+IF(OR(VolSkewFlag=2,ABS(BQ120)&lt;0.0001),0,IF(BQ120&gt;0,-1,1)*CF120*Strike1/BP120^2*BW120/10%),0)</f>
        <v>0</v>
      </c>
      <c r="CF120" s="155">
        <f ca="1">IF(BD120,(_xll.xCrudeAPO(BS120,BT120,BY120,BZ120,S121,S122,BI120,BL120,BN120,BO120,0,Strike1,AO120,CC120,0,BL120,IF(OptControl=4,0,1),3,1)+_xll.xCrudeAPO(BS120,BT120,BY120,BZ120,S121,S122,BI120,BL120,BN120,BO120,0,Strike1,AO120,CC120,0,BL120,IF(OptControl=4,0,1),3,2))/100,0)</f>
        <v>0</v>
      </c>
      <c r="CG120" s="155">
        <f ca="1">IF(BD120,_xll.xCrudeAPO(BS120,BT120,BY120,BZ120,S121,S122,BI120-DaysForThetaCalculation/365.25,BL120-DaysForThetaCalculation/365.25,BN120,BO120,0,Strike1,AO120,CC120,0,BL120,IF(OptControl=4,0,1),0,1)-_xll.xCrudeAPO(BS120,BT120,BY120,BZ120,S121,S122,BI120,BL120,BN120,BO120,0,Strike1,AO120,CC120,0,BL120,IF(OptControl=4,0,1),0,1),0)</f>
        <v>0</v>
      </c>
      <c r="CH120" s="303">
        <f ca="1">IF(BD120,_xll.xCrudeAPO(BS120,BT120,CA120,CB120,S121,S122,BI120,BL120,BN120,BO120,0,Strike2,AO120,CC120,0,BL120,IF(OptControl=3,1,0),0,1),0)</f>
        <v>0</v>
      </c>
      <c r="CI120" s="155">
        <f ca="1">IF(BD120,_xll.xCrudeAPO(BS120,BT120,CA120,CB120,S121,S122,BI120,BL120,BN120,BO120,0,Strike2,AO120,CC120,0,BL120,IF(OptControl=3,1,0),1,1)+_xll.xCrudeAPO(BS120,BT120,CA120,CB120,S121,S122,BI120,BL120,BN120,BO120,0,Strike2,AO120,CC120,0,BL120,IF(OptControl=3,1,0),1,2)+IF(OR(VolSkewFlag=2,ABS(BR120)&lt;0.0001),0,IF(BR120&gt;0,-1,1)*CJ120*Strike2/BP120^2*BX120/10%),0)</f>
        <v>0</v>
      </c>
      <c r="CJ120" s="155">
        <f ca="1">IF(BD120,(_xll.xCrudeAPO(BS120,BT120,CA120,CB120,S121,S122,BI120,BL120,BN120,BO120,0,Strike2,AO120,CC120,0,BL120,IF(OptControl=3,1,0),3,1)+_xll.xCrudeAPO(BS120,BT120,CA120,CB120,S121,S122,BI120,BL120,BN120,BO120,0,Strike2,AO120,CC120,0,BL120,IF(OptControl=3,1,0),3,2))/100,0)</f>
        <v>0</v>
      </c>
      <c r="CK120" s="156">
        <f ca="1">IF(BD120,_xll.xCrudeAPO(BS120,BT120,CA120,CB120,S121,S122,BI120-DaysForThetaCalculation/365.25,BL120-DaysForThetaCalculation/365.25,BN120,BO120,0,Strike2,AO120,CC120,0,BL120,IF(OptControl=3,1,0),0,1)-_xll.xCrudeAPO(BS120,BT120,CA120,CB120,S121,S122,BI120,BL120,BN120,BO120,0,Strike2,AO120,CC120,0,BL120,IF(OptControl=3,1,0),0,1),0)</f>
        <v>0</v>
      </c>
      <c r="CL120" s="51"/>
      <c r="CM120" s="779" t="str">
        <f t="shared" ca="1" si="323"/>
        <v/>
      </c>
      <c r="CN120" s="783" t="str">
        <f t="shared" ca="1" si="324"/>
        <v/>
      </c>
      <c r="CO120" s="780" t="str">
        <f t="shared" ca="1" si="325"/>
        <v/>
      </c>
      <c r="CP120" s="780" t="str">
        <f t="shared" ca="1" si="326"/>
        <v/>
      </c>
      <c r="CQ120" s="780" t="str">
        <f t="shared" ca="1" si="327"/>
        <v/>
      </c>
      <c r="CR120" s="780" t="str">
        <f t="shared" ca="1" si="328"/>
        <v/>
      </c>
      <c r="CS120" s="781" t="str">
        <f t="shared" ca="1" si="329"/>
        <v/>
      </c>
      <c r="CT120" s="782" t="str">
        <f t="shared" ca="1" si="330"/>
        <v/>
      </c>
      <c r="CU120" s="782" t="str">
        <f t="shared" ca="1" si="331"/>
        <v/>
      </c>
      <c r="CV120" s="155">
        <f ca="1">IF(BD120,_xll.EURO(CN120,Strike1,AO120,AO120,CT120,CM120,IF(OptControl=4,0,1),0),0)</f>
        <v>0</v>
      </c>
      <c r="CW120" s="155">
        <f ca="1">IF(BD120,_xll.EURO(CN120,Strike1,AO120,AO120,CT120,CM120,IF(OptControl=4,0,1),1)+IF(OR(VolSkewFlag=2,ABS(CO120)&lt;0.0001),0,IF(CO120&gt;0,-1,1)*CX120*100*Strike1/CN120^2*CQ120/10%),0)</f>
        <v>0</v>
      </c>
      <c r="CX120" s="155">
        <f ca="1">IF(BD120,_xll.EURO(CN120,Strike1,AO120,AO120,CT120,CM120,IF(OptControl=4,0,1),3)/100,0)</f>
        <v>0</v>
      </c>
      <c r="CY120" s="155">
        <f ca="1">IF(BD120,_xll.EURO(CN120,Strike1,AO120,AO120,CT120,CM120,IF(OptControl=4,0,1),0)-_xll.EURO(CN120,Strike1,AO120,AO120,CT120,CM120-1,IF(OptControl=4,0,1),0),0)</f>
        <v>0</v>
      </c>
      <c r="CZ120" s="155">
        <f ca="1">IF(BD120,_xll.EURO(CN120,Strike2,AO120,AO120,CU120,CM120,IF(OptControl=3,1,0),0),0)</f>
        <v>0</v>
      </c>
      <c r="DA120" s="155">
        <f ca="1">IF(BD120,_xll.EURO(CN120,Strike2,AO120,AO120,CU120,CM120,IF(OptControl=3,1,0),1)+IF(OR(VolSkewFlag=2,ABS(CP120)&lt;0.0001),0,IF(CP120&gt;0,-1,1)*DB120*100*Strike2/CN120^2*CR120/10%),0)</f>
        <v>0</v>
      </c>
      <c r="DB120" s="155">
        <f ca="1">IF(BD120,_xll.EURO(CN120,Strike2,AO120,AO120,CU120,CM120,IF(OptControl=3,1,0),3)/100,0)</f>
        <v>0</v>
      </c>
      <c r="DC120" s="156">
        <f ca="1">IF(BD120,_xll.EURO(CN120,Strike2,AO120,AO120,CU120,CM120,IF(OptControl=3,1,0),0)-_xll.EURO(CN120,Strike2,AO120,AO120,CU120,CM120-1,IF(OptControl=3,1,0),0),0)</f>
        <v>0</v>
      </c>
      <c r="DE120" s="651">
        <f t="shared" ca="1" si="332"/>
        <v>39965</v>
      </c>
      <c r="DF120" s="465">
        <v>1E-4</v>
      </c>
      <c r="DG120" s="649">
        <v>1E-4</v>
      </c>
      <c r="DH120" s="650">
        <f t="shared" ca="1" si="463"/>
        <v>39965</v>
      </c>
      <c r="DI120" s="465">
        <v>1E-4</v>
      </c>
      <c r="DJ120" s="649">
        <v>1E-4</v>
      </c>
      <c r="DK120" s="651">
        <f t="shared" ca="1" si="464"/>
        <v>39965</v>
      </c>
      <c r="DL120" s="652">
        <f t="shared" si="465"/>
        <v>5.0100000000000006E-2</v>
      </c>
      <c r="DM120" s="651">
        <f t="shared" ca="1" si="333"/>
        <v>39965</v>
      </c>
      <c r="DN120" s="563">
        <f t="shared" si="334"/>
        <v>-0.12990000000000002</v>
      </c>
      <c r="DO120" s="803">
        <v>-0.13</v>
      </c>
      <c r="DP120" s="650">
        <f t="shared" ca="1" si="466"/>
        <v>39965</v>
      </c>
      <c r="DQ120" s="653">
        <v>1E-4</v>
      </c>
      <c r="DR120" s="590">
        <v>1E-4</v>
      </c>
      <c r="DS120" s="650">
        <f t="shared" ca="1" si="467"/>
        <v>39965</v>
      </c>
      <c r="DT120" s="653">
        <v>1E-4</v>
      </c>
      <c r="DU120" s="590">
        <v>1E-4</v>
      </c>
      <c r="DV120" s="651">
        <f t="shared" ca="1" si="468"/>
        <v>39965</v>
      </c>
      <c r="DW120" s="590">
        <v>1E-4</v>
      </c>
      <c r="DX120" s="651">
        <f t="shared" ca="1" si="335"/>
        <v>39965</v>
      </c>
      <c r="DY120" s="590">
        <f t="shared" si="336"/>
        <v>1E-4</v>
      </c>
      <c r="DZ120" s="1"/>
      <c r="EA120" s="857"/>
      <c r="EB120" s="857"/>
      <c r="EC120" s="857"/>
      <c r="ED120" s="868" t="e">
        <f t="shared" ca="1" si="436"/>
        <v>#NAME?</v>
      </c>
      <c r="EE120" s="863" t="e">
        <f t="shared" ca="1" si="312"/>
        <v>#NAME?</v>
      </c>
      <c r="EF120" s="590" t="e">
        <f t="shared" ca="1" si="313"/>
        <v>#NAME?</v>
      </c>
      <c r="EG120" s="862" t="str">
        <f t="shared" ca="1" si="469"/>
        <v/>
      </c>
      <c r="EH120" s="114" t="str">
        <f t="shared" ca="1" si="315"/>
        <v/>
      </c>
      <c r="EI120" s="109" t="str">
        <f t="shared" ca="1" si="316"/>
        <v/>
      </c>
      <c r="EJ120" s="115">
        <f ca="1">IF(BD120,_xll.xASN(BP120,Strike1,AO120,EH120,0,BM120,0,BI120,BL120,IF(OptControl=4,0,1),0),0)</f>
        <v>0</v>
      </c>
      <c r="EK120" s="108">
        <f ca="1">IF(BD120,_xll.xASN(BP120,Strike2,AO120,EI120,0,BM120,0,BI120,BL120,IF(OptControl=3,1,0),0),0)</f>
        <v>0</v>
      </c>
      <c r="EP120" s="53"/>
      <c r="EQ120" s="1"/>
      <c r="ER120" s="103"/>
      <c r="ES120" s="103"/>
      <c r="ET120" s="1"/>
      <c r="EU120" s="667" t="s">
        <v>332</v>
      </c>
      <c r="EW120" s="445"/>
      <c r="EX120" s="36"/>
      <c r="EY120" s="104"/>
      <c r="EZ120" s="465"/>
      <c r="FA120" s="446"/>
      <c r="FB120" s="446"/>
      <c r="FC120" s="242"/>
      <c r="FD120" s="242"/>
      <c r="FE120" s="242"/>
      <c r="FF120" s="242"/>
      <c r="FG120" s="242"/>
      <c r="FH120" s="242"/>
      <c r="FI120" s="242"/>
      <c r="FJ120" s="242"/>
      <c r="FK120" s="242"/>
      <c r="FL120" s="242"/>
      <c r="FM120" s="242"/>
      <c r="FN120" s="657">
        <v>26</v>
      </c>
      <c r="FO120" s="450">
        <f t="shared" ca="1" si="433"/>
        <v>0.18261439220985365</v>
      </c>
      <c r="FP120" s="450">
        <f t="shared" ca="1" si="471"/>
        <v>0.1837090448875312</v>
      </c>
      <c r="FQ120" s="450">
        <f t="shared" ca="1" si="471"/>
        <v>0.18475621227490366</v>
      </c>
      <c r="FR120" s="450">
        <f t="shared" ca="1" si="471"/>
        <v>0.18595644227357416</v>
      </c>
      <c r="FS120" s="450">
        <f t="shared" ca="1" si="471"/>
        <v>0.18732912479332842</v>
      </c>
      <c r="FT120" s="450">
        <f t="shared" ca="1" si="471"/>
        <v>0.18889649772525027</v>
      </c>
      <c r="FU120" s="450">
        <f t="shared" ca="1" si="471"/>
        <v>0.19068414699771769</v>
      </c>
      <c r="FV120" s="450">
        <f t="shared" ca="1" si="471"/>
        <v>0.19272161342210109</v>
      </c>
      <c r="FW120" s="450">
        <f t="shared" ca="1" si="471"/>
        <v>0.19504313353592301</v>
      </c>
      <c r="FX120" s="450">
        <f t="shared" ca="1" si="471"/>
        <v>0.19768854969707575</v>
      </c>
      <c r="FY120" s="450">
        <f t="shared" ca="1" si="471"/>
        <v>0.20070443544063446</v>
      </c>
      <c r="FZ120" s="450">
        <f t="shared" ca="1" si="471"/>
        <v>0.20414549661199774</v>
      </c>
      <c r="GA120" s="450">
        <f t="shared" ca="1" si="471"/>
        <v>0.20807632850925498</v>
      </c>
      <c r="GB120" s="450">
        <f t="shared" ca="1" si="471"/>
        <v>0.2125736363268515</v>
      </c>
      <c r="GC120" s="450">
        <f t="shared" ca="1" si="471"/>
        <v>0.21772906368558817</v>
      </c>
      <c r="GD120" s="450">
        <f t="shared" ca="1" si="471"/>
        <v>0.22365282652115287</v>
      </c>
      <c r="GE120" s="450">
        <f t="shared" ca="1" si="471"/>
        <v>0.23047842388904774</v>
      </c>
      <c r="GF120" s="450">
        <f t="shared" ca="1" si="471"/>
        <v>0.23836880361195256</v>
      </c>
      <c r="GG120" s="450">
        <f t="shared" ca="1" si="471"/>
        <v>0.24752451490396415</v>
      </c>
      <c r="GH120" s="450">
        <f t="shared" ca="1" si="471"/>
        <v>0.25819460665482247</v>
      </c>
      <c r="GI120" s="450">
        <f t="shared" ca="1" si="471"/>
        <v>0.27069136763791585</v>
      </c>
      <c r="GJ120" s="450">
        <f t="shared" ca="1" si="471"/>
        <v>0.28541051565197917</v>
      </c>
      <c r="GK120" s="450">
        <f t="shared" ca="1" si="471"/>
        <v>0.30285922810120253</v>
      </c>
      <c r="GL120" s="450">
        <f t="shared" ca="1" si="471"/>
        <v>0.32369563608030555</v>
      </c>
      <c r="GM120" s="450">
        <f t="shared" ca="1" si="471"/>
        <v>0.34878536582441422</v>
      </c>
      <c r="GN120" s="450">
        <f t="shared" ca="1" si="471"/>
        <v>0.37928390704036102</v>
      </c>
      <c r="GO120" s="450" t="str">
        <f t="shared" si="471"/>
        <v/>
      </c>
      <c r="GP120" s="450" t="str">
        <f t="shared" si="471"/>
        <v/>
      </c>
      <c r="GQ120" s="450" t="str">
        <f t="shared" si="471"/>
        <v/>
      </c>
      <c r="GR120" s="450" t="str">
        <f t="shared" si="471"/>
        <v/>
      </c>
      <c r="GS120" s="450" t="str">
        <f t="shared" si="471"/>
        <v/>
      </c>
      <c r="GT120" s="450" t="str">
        <f t="shared" si="471"/>
        <v/>
      </c>
      <c r="GU120" s="450" t="str">
        <f t="shared" si="471"/>
        <v/>
      </c>
      <c r="GV120" s="450" t="str">
        <f t="shared" si="471"/>
        <v/>
      </c>
      <c r="GW120" s="450" t="str">
        <f t="shared" si="471"/>
        <v/>
      </c>
      <c r="GX120" s="450" t="str">
        <f t="shared" si="471"/>
        <v/>
      </c>
      <c r="GY120" s="450" t="str">
        <f t="shared" si="471"/>
        <v/>
      </c>
      <c r="GZ120" s="450" t="str">
        <f t="shared" si="471"/>
        <v/>
      </c>
      <c r="HA120" s="450" t="str">
        <f t="shared" si="471"/>
        <v/>
      </c>
      <c r="HB120" s="450" t="str">
        <f t="shared" si="471"/>
        <v/>
      </c>
      <c r="HC120" s="450" t="str">
        <f t="shared" si="471"/>
        <v/>
      </c>
      <c r="HD120" s="450" t="str">
        <f t="shared" si="471"/>
        <v/>
      </c>
      <c r="HE120" s="450" t="str">
        <f t="shared" si="471"/>
        <v/>
      </c>
      <c r="HF120" s="450" t="str">
        <f t="shared" si="471"/>
        <v/>
      </c>
      <c r="HG120" s="450" t="str">
        <f t="shared" si="471"/>
        <v/>
      </c>
      <c r="HH120" s="450" t="str">
        <f t="shared" si="471"/>
        <v/>
      </c>
      <c r="HI120" s="450" t="str">
        <f t="shared" si="471"/>
        <v/>
      </c>
      <c r="HJ120" s="450" t="str">
        <f t="shared" si="471"/>
        <v/>
      </c>
      <c r="HK120" s="450" t="str">
        <f t="shared" si="471"/>
        <v/>
      </c>
      <c r="HL120" s="450" t="str">
        <f t="shared" si="471"/>
        <v/>
      </c>
      <c r="HM120" s="450" t="str">
        <f t="shared" si="471"/>
        <v/>
      </c>
      <c r="HN120" s="450" t="str">
        <f t="shared" si="471"/>
        <v/>
      </c>
      <c r="HO120" s="450" t="str">
        <f t="shared" si="471"/>
        <v/>
      </c>
      <c r="HP120" s="450" t="str">
        <f t="shared" si="471"/>
        <v/>
      </c>
      <c r="HQ120" s="450" t="str">
        <f t="shared" si="471"/>
        <v/>
      </c>
      <c r="HR120" s="450" t="str">
        <f t="shared" si="471"/>
        <v/>
      </c>
      <c r="HS120" s="450" t="str">
        <f t="shared" si="471"/>
        <v/>
      </c>
      <c r="HT120" s="450" t="str">
        <f t="shared" si="471"/>
        <v/>
      </c>
      <c r="HU120" s="450" t="str">
        <f t="shared" si="471"/>
        <v/>
      </c>
      <c r="HV120" s="450" t="str">
        <f t="shared" si="471"/>
        <v/>
      </c>
      <c r="HW120" s="450" t="str">
        <f t="shared" si="471"/>
        <v/>
      </c>
      <c r="HX120" s="450" t="str">
        <f t="shared" si="471"/>
        <v/>
      </c>
      <c r="HY120" s="450" t="str">
        <f t="shared" si="471"/>
        <v/>
      </c>
      <c r="HZ120" s="450" t="str">
        <f t="shared" si="471"/>
        <v/>
      </c>
      <c r="IA120" s="450" t="str">
        <f t="shared" ref="IA120:IH123" si="472">IF($FN45&lt;IA$94,"",SQRT(IA45/IA$15))</f>
        <v/>
      </c>
      <c r="IB120" s="450" t="str">
        <f t="shared" si="472"/>
        <v/>
      </c>
      <c r="IC120" s="450" t="str">
        <f t="shared" si="472"/>
        <v/>
      </c>
      <c r="ID120" s="450" t="str">
        <f t="shared" si="472"/>
        <v/>
      </c>
      <c r="IE120" s="450" t="str">
        <f t="shared" si="472"/>
        <v/>
      </c>
      <c r="IF120" s="450" t="str">
        <f t="shared" si="472"/>
        <v/>
      </c>
      <c r="IG120" s="450" t="str">
        <f t="shared" si="472"/>
        <v/>
      </c>
      <c r="IH120" s="658" t="str">
        <f t="shared" si="472"/>
        <v/>
      </c>
      <c r="II120" s="242"/>
    </row>
    <row r="121" spans="8:243">
      <c r="H121" s="49" t="e">
        <f t="shared" ca="1" si="317"/>
        <v>#N/A</v>
      </c>
      <c r="I121" s="369">
        <f t="shared" si="318"/>
        <v>40087</v>
      </c>
      <c r="J121" s="367">
        <v>22.0266666666666</v>
      </c>
      <c r="K121" s="101" t="s">
        <v>267</v>
      </c>
      <c r="L121" s="382">
        <f t="shared" si="319"/>
        <v>22.026666666666646</v>
      </c>
      <c r="M121" s="163">
        <v>0.16555</v>
      </c>
      <c r="N121" s="372">
        <v>0</v>
      </c>
      <c r="O121" s="163">
        <f t="shared" si="272"/>
        <v>0.16555</v>
      </c>
      <c r="P121" s="367">
        <v>20.623892630271097</v>
      </c>
      <c r="Q121" s="101" t="s">
        <v>267</v>
      </c>
      <c r="R121" s="367">
        <f t="shared" ca="1" si="417"/>
        <v>20.623892630271115</v>
      </c>
      <c r="S121" s="814">
        <f t="shared" si="163"/>
        <v>0.35830161706366165</v>
      </c>
      <c r="T121" s="813">
        <f t="shared" si="418"/>
        <v>0.99999813392446779</v>
      </c>
      <c r="U121" s="532">
        <f t="shared" si="419"/>
        <v>0.99999999999999634</v>
      </c>
      <c r="V121" s="379">
        <v>0</v>
      </c>
      <c r="W121" s="424">
        <f t="shared" si="452"/>
        <v>22.049393939393919</v>
      </c>
      <c r="X121" s="405">
        <f t="shared" si="453"/>
        <v>22.049393939393916</v>
      </c>
      <c r="Y121" s="313">
        <f t="shared" si="454"/>
        <v>20.807793939393918</v>
      </c>
      <c r="Z121" s="313">
        <f t="shared" ca="1" si="455"/>
        <v>20.807793939393918</v>
      </c>
      <c r="AA121" s="419">
        <f t="shared" si="277"/>
        <v>1.2416</v>
      </c>
      <c r="AB121" s="423">
        <f t="shared" ca="1" si="278"/>
        <v>1.2416</v>
      </c>
      <c r="AC121" s="221">
        <v>40076</v>
      </c>
      <c r="AD121" s="221">
        <v>40072</v>
      </c>
      <c r="AE121" s="221">
        <v>40071</v>
      </c>
      <c r="AF121" s="221">
        <v>40067</v>
      </c>
      <c r="AG121" s="241" t="s">
        <v>497</v>
      </c>
      <c r="AH121" s="239" t="s">
        <v>497</v>
      </c>
      <c r="AI121" s="141">
        <v>22</v>
      </c>
      <c r="AJ121" s="41">
        <v>14</v>
      </c>
      <c r="AK121" s="41">
        <v>8</v>
      </c>
      <c r="AL121" s="285">
        <v>22</v>
      </c>
      <c r="AM121" s="41">
        <v>10</v>
      </c>
      <c r="AN121" s="142">
        <v>12</v>
      </c>
      <c r="AO121" s="364">
        <v>5.7900246960541898E-2</v>
      </c>
      <c r="AP121" s="145">
        <f t="shared" ca="1" si="320"/>
        <v>0.61344829038553128</v>
      </c>
      <c r="AQ121" s="364">
        <v>4.94601805923729E-2</v>
      </c>
      <c r="AR121" s="145">
        <f t="shared" ca="1" si="420"/>
        <v>0.66214495059563505</v>
      </c>
      <c r="AS121" s="264">
        <f t="shared" si="456"/>
        <v>0.16497272727272724</v>
      </c>
      <c r="AT121" s="149">
        <f t="shared" si="321"/>
        <v>0.16555</v>
      </c>
      <c r="AU121" s="149">
        <f t="shared" si="280"/>
        <v>0.16490909090909092</v>
      </c>
      <c r="AV121" s="263">
        <f t="shared" ca="1" si="430"/>
        <v>0.16242183788717321</v>
      </c>
      <c r="AW121" s="150" t="str">
        <f t="shared" ca="1" si="457"/>
        <v/>
      </c>
      <c r="AX121" s="149">
        <f t="shared" ca="1" si="421"/>
        <v>1.5659093141695977E-2</v>
      </c>
      <c r="AY121" s="149">
        <f t="shared" ca="1" si="422"/>
        <v>6.7636893562373025E-3</v>
      </c>
      <c r="AZ121" s="149">
        <f t="shared" ca="1" si="423"/>
        <v>4.6840321359730768E-3</v>
      </c>
      <c r="BA121" s="149">
        <f t="shared" ca="1" si="424"/>
        <v>1.0000000000000376E-4</v>
      </c>
      <c r="BB121" s="149">
        <f t="shared" ca="1" si="425"/>
        <v>1.0000000000000376E-4</v>
      </c>
      <c r="BC121" s="149">
        <f t="shared" ca="1" si="426"/>
        <v>1.0000000000000376E-4</v>
      </c>
      <c r="BD121" s="143">
        <f t="shared" ca="1" si="458"/>
        <v>0</v>
      </c>
      <c r="BE121" s="144">
        <f t="shared" ca="1" si="459"/>
        <v>0</v>
      </c>
      <c r="BF121" s="40">
        <f t="shared" si="460"/>
        <v>2009</v>
      </c>
      <c r="BG121" s="139">
        <f t="shared" si="461"/>
        <v>10</v>
      </c>
      <c r="BH121" s="140">
        <f t="shared" ca="1" si="462"/>
        <v>3082</v>
      </c>
      <c r="BI121" s="304">
        <f t="shared" ca="1" si="440"/>
        <v>8.4791238877481181</v>
      </c>
      <c r="BJ121" s="42">
        <f t="shared" ca="1" si="288"/>
        <v>8.5313919482297305</v>
      </c>
      <c r="BK121" s="42">
        <f t="shared" ca="1" si="289"/>
        <v>8.5341297990168634</v>
      </c>
      <c r="BL121" s="42">
        <f t="shared" ca="1" si="441"/>
        <v>8.5612594113620801</v>
      </c>
      <c r="BM121" s="285">
        <f t="shared" si="442"/>
        <v>22</v>
      </c>
      <c r="BN121" s="41">
        <f t="shared" si="443"/>
        <v>14</v>
      </c>
      <c r="BO121" s="41">
        <f t="shared" si="444"/>
        <v>8</v>
      </c>
      <c r="BP121" s="297" t="str">
        <f t="shared" ca="1" si="293"/>
        <v/>
      </c>
      <c r="BQ121" s="297" t="str">
        <f t="shared" ca="1" si="294"/>
        <v/>
      </c>
      <c r="BR121" s="299" t="str">
        <f t="shared" ca="1" si="295"/>
        <v/>
      </c>
      <c r="BS121" s="153" t="str">
        <f t="shared" ca="1" si="296"/>
        <v/>
      </c>
      <c r="BT121" s="153" t="str">
        <f t="shared" ca="1" si="297"/>
        <v/>
      </c>
      <c r="BU121" s="300" t="str">
        <f t="shared" ca="1" si="298"/>
        <v/>
      </c>
      <c r="BV121" s="301" t="str">
        <f t="shared" ca="1" si="299"/>
        <v/>
      </c>
      <c r="BW121" s="300" t="str">
        <f t="shared" ca="1" si="300"/>
        <v/>
      </c>
      <c r="BX121" s="301" t="str">
        <f t="shared" ca="1" si="301"/>
        <v/>
      </c>
      <c r="BY121" s="146" t="str">
        <f t="shared" ca="1" si="302"/>
        <v/>
      </c>
      <c r="BZ121" s="146" t="str">
        <f t="shared" ca="1" si="303"/>
        <v/>
      </c>
      <c r="CA121" s="146" t="str">
        <f t="shared" ca="1" si="304"/>
        <v/>
      </c>
      <c r="CB121" s="146" t="str">
        <f t="shared" ca="1" si="305"/>
        <v/>
      </c>
      <c r="CC121" s="302">
        <v>1</v>
      </c>
      <c r="CD121" s="154">
        <f ca="1">IF(BD121,_xll.xCrudeAPO(BS121,BT121,BY121,BZ121,S122,S123,BI121,BL121,BN121,BO121,0,Strike1,AO121,CC121,0,BL121,IF(OptControl=4,0,1),0,1),0)</f>
        <v>0</v>
      </c>
      <c r="CE121" s="155">
        <f ca="1">IF(BD121,_xll.xCrudeAPO(BS121,BT121,BY121,BZ121,S122,S123,BI121,BL121,BN121,BO121,0,Strike1,AO121,CC121,0,BL121,IF(OptControl=4,0,1),1,1)+_xll.xCrudeAPO(BS121,BT121,BY121,BZ121,S122,S123,BI121,BL121,BN121,BO121,0,Strike1,AO121,CC121,0,BL121,IF(OptControl=4,0,1),1,2)+IF(OR(VolSkewFlag=2,ABS(BQ121)&lt;0.0001),0,IF(BQ121&gt;0,-1,1)*CF121*Strike1/BP121^2*BW121/10%),0)</f>
        <v>0</v>
      </c>
      <c r="CF121" s="155">
        <f ca="1">IF(BD121,(_xll.xCrudeAPO(BS121,BT121,BY121,BZ121,S122,S123,BI121,BL121,BN121,BO121,0,Strike1,AO121,CC121,0,BL121,IF(OptControl=4,0,1),3,1)+_xll.xCrudeAPO(BS121,BT121,BY121,BZ121,S122,S123,BI121,BL121,BN121,BO121,0,Strike1,AO121,CC121,0,BL121,IF(OptControl=4,0,1),3,2))/100,0)</f>
        <v>0</v>
      </c>
      <c r="CG121" s="155">
        <f ca="1">IF(BD121,_xll.xCrudeAPO(BS121,BT121,BY121,BZ121,S122,S123,BI121-DaysForThetaCalculation/365.25,BL121-DaysForThetaCalculation/365.25,BN121,BO121,0,Strike1,AO121,CC121,0,BL121,IF(OptControl=4,0,1),0,1)-_xll.xCrudeAPO(BS121,BT121,BY121,BZ121,S122,S123,BI121,BL121,BN121,BO121,0,Strike1,AO121,CC121,0,BL121,IF(OptControl=4,0,1),0,1),0)</f>
        <v>0</v>
      </c>
      <c r="CH121" s="303">
        <f ca="1">IF(BD121,_xll.xCrudeAPO(BS121,BT121,CA121,CB121,S122,S123,BI121,BL121,BN121,BO121,0,Strike2,AO121,CC121,0,BL121,IF(OptControl=3,1,0),0,1),0)</f>
        <v>0</v>
      </c>
      <c r="CI121" s="155">
        <f ca="1">IF(BD121,_xll.xCrudeAPO(BS121,BT121,CA121,CB121,S122,S123,BI121,BL121,BN121,BO121,0,Strike2,AO121,CC121,0,BL121,IF(OptControl=3,1,0),1,1)+_xll.xCrudeAPO(BS121,BT121,CA121,CB121,S122,S123,BI121,BL121,BN121,BO121,0,Strike2,AO121,CC121,0,BL121,IF(OptControl=3,1,0),1,2)+IF(OR(VolSkewFlag=2,ABS(BR121)&lt;0.0001),0,IF(BR121&gt;0,-1,1)*CJ121*Strike2/BP121^2*BX121/10%),0)</f>
        <v>0</v>
      </c>
      <c r="CJ121" s="155">
        <f ca="1">IF(BD121,(_xll.xCrudeAPO(BS121,BT121,CA121,CB121,S122,S123,BI121,BL121,BN121,BO121,0,Strike2,AO121,CC121,0,BL121,IF(OptControl=3,1,0),3,1)+_xll.xCrudeAPO(BS121,BT121,CA121,CB121,S122,S123,BI121,BL121,BN121,BO121,0,Strike2,AO121,CC121,0,BL121,IF(OptControl=3,1,0),3,2))/100,0)</f>
        <v>0</v>
      </c>
      <c r="CK121" s="156">
        <f ca="1">IF(BD121,_xll.xCrudeAPO(BS121,BT121,CA121,CB121,S122,S123,BI121-DaysForThetaCalculation/365.25,BL121-DaysForThetaCalculation/365.25,BN121,BO121,0,Strike2,AO121,CC121,0,BL121,IF(OptControl=3,1,0),0,1)-_xll.xCrudeAPO(BS121,BT121,CA121,CB121,S122,S123,BI121,BL121,BN121,BO121,0,Strike2,AO121,CC121,0,BL121,IF(OptControl=3,1,0),0,1),0)</f>
        <v>0</v>
      </c>
      <c r="CL121" s="51"/>
      <c r="CM121" s="779" t="str">
        <f t="shared" ca="1" si="323"/>
        <v/>
      </c>
      <c r="CN121" s="783" t="str">
        <f t="shared" ca="1" si="324"/>
        <v/>
      </c>
      <c r="CO121" s="780" t="str">
        <f t="shared" ca="1" si="325"/>
        <v/>
      </c>
      <c r="CP121" s="780" t="str">
        <f t="shared" ca="1" si="326"/>
        <v/>
      </c>
      <c r="CQ121" s="780" t="str">
        <f t="shared" ca="1" si="327"/>
        <v/>
      </c>
      <c r="CR121" s="780" t="str">
        <f t="shared" ca="1" si="328"/>
        <v/>
      </c>
      <c r="CS121" s="781" t="str">
        <f t="shared" ca="1" si="329"/>
        <v/>
      </c>
      <c r="CT121" s="782" t="str">
        <f t="shared" ca="1" si="330"/>
        <v/>
      </c>
      <c r="CU121" s="782" t="str">
        <f t="shared" ca="1" si="331"/>
        <v/>
      </c>
      <c r="CV121" s="155">
        <f ca="1">IF(BD121,_xll.EURO(CN121,Strike1,AO121,AO121,CT121,CM121,IF(OptControl=4,0,1),0),0)</f>
        <v>0</v>
      </c>
      <c r="CW121" s="155">
        <f ca="1">IF(BD121,_xll.EURO(CN121,Strike1,AO121,AO121,CT121,CM121,IF(OptControl=4,0,1),1)+IF(OR(VolSkewFlag=2,ABS(CO121)&lt;0.0001),0,IF(CO121&gt;0,-1,1)*CX121*100*Strike1/CN121^2*CQ121/10%),0)</f>
        <v>0</v>
      </c>
      <c r="CX121" s="155">
        <f ca="1">IF(BD121,_xll.EURO(CN121,Strike1,AO121,AO121,CT121,CM121,IF(OptControl=4,0,1),3)/100,0)</f>
        <v>0</v>
      </c>
      <c r="CY121" s="155">
        <f ca="1">IF(BD121,_xll.EURO(CN121,Strike1,AO121,AO121,CT121,CM121,IF(OptControl=4,0,1),0)-_xll.EURO(CN121,Strike1,AO121,AO121,CT121,CM121-1,IF(OptControl=4,0,1),0),0)</f>
        <v>0</v>
      </c>
      <c r="CZ121" s="155">
        <f ca="1">IF(BD121,_xll.EURO(CN121,Strike2,AO121,AO121,CU121,CM121,IF(OptControl=3,1,0),0),0)</f>
        <v>0</v>
      </c>
      <c r="DA121" s="155">
        <f ca="1">IF(BD121,_xll.EURO(CN121,Strike2,AO121,AO121,CU121,CM121,IF(OptControl=3,1,0),1)+IF(OR(VolSkewFlag=2,ABS(CP121)&lt;0.0001),0,IF(CP121&gt;0,-1,1)*DB121*100*Strike2/CN121^2*CR121/10%),0)</f>
        <v>0</v>
      </c>
      <c r="DB121" s="155">
        <f ca="1">IF(BD121,_xll.EURO(CN121,Strike2,AO121,AO121,CU121,CM121,IF(OptControl=3,1,0),3)/100,0)</f>
        <v>0</v>
      </c>
      <c r="DC121" s="156">
        <f ca="1">IF(BD121,_xll.EURO(CN121,Strike2,AO121,AO121,CU121,CM121,IF(OptControl=3,1,0),0)-_xll.EURO(CN121,Strike2,AO121,AO121,CU121,CM121-1,IF(OptControl=3,1,0),0),0)</f>
        <v>0</v>
      </c>
      <c r="DE121" s="651">
        <f t="shared" ca="1" si="332"/>
        <v>39995</v>
      </c>
      <c r="DF121" s="465">
        <v>1E-4</v>
      </c>
      <c r="DG121" s="649">
        <v>1E-4</v>
      </c>
      <c r="DH121" s="650">
        <f t="shared" ca="1" si="463"/>
        <v>39995</v>
      </c>
      <c r="DI121" s="465">
        <v>1E-4</v>
      </c>
      <c r="DJ121" s="649">
        <v>1E-4</v>
      </c>
      <c r="DK121" s="651">
        <f t="shared" ca="1" si="464"/>
        <v>39995</v>
      </c>
      <c r="DL121" s="652">
        <f t="shared" si="465"/>
        <v>5.0100000000000006E-2</v>
      </c>
      <c r="DM121" s="651">
        <f t="shared" ca="1" si="333"/>
        <v>39995</v>
      </c>
      <c r="DN121" s="563">
        <f t="shared" si="334"/>
        <v>-0.12990000000000002</v>
      </c>
      <c r="DO121" s="803">
        <v>-0.13</v>
      </c>
      <c r="DP121" s="650">
        <f t="shared" ca="1" si="466"/>
        <v>39995</v>
      </c>
      <c r="DQ121" s="653">
        <v>1E-4</v>
      </c>
      <c r="DR121" s="590">
        <v>1E-4</v>
      </c>
      <c r="DS121" s="650">
        <f t="shared" ca="1" si="467"/>
        <v>39995</v>
      </c>
      <c r="DT121" s="653">
        <v>1E-4</v>
      </c>
      <c r="DU121" s="590">
        <v>1E-4</v>
      </c>
      <c r="DV121" s="651">
        <f t="shared" ca="1" si="468"/>
        <v>39995</v>
      </c>
      <c r="DW121" s="590">
        <v>1E-4</v>
      </c>
      <c r="DX121" s="651">
        <f t="shared" ca="1" si="335"/>
        <v>39995</v>
      </c>
      <c r="DY121" s="590">
        <f t="shared" si="336"/>
        <v>1E-4</v>
      </c>
      <c r="DZ121" s="1"/>
      <c r="EA121" s="857"/>
      <c r="EB121" s="857"/>
      <c r="EC121" s="857"/>
      <c r="ED121" s="868" t="e">
        <f t="shared" ca="1" si="436"/>
        <v>#NAME?</v>
      </c>
      <c r="EE121" s="863" t="e">
        <f t="shared" ca="1" si="312"/>
        <v>#NAME?</v>
      </c>
      <c r="EF121" s="590" t="e">
        <f t="shared" ca="1" si="313"/>
        <v>#NAME?</v>
      </c>
      <c r="EG121" s="862" t="str">
        <f t="shared" ca="1" si="469"/>
        <v/>
      </c>
      <c r="EH121" s="114" t="str">
        <f t="shared" ca="1" si="315"/>
        <v/>
      </c>
      <c r="EI121" s="109" t="str">
        <f t="shared" ca="1" si="316"/>
        <v/>
      </c>
      <c r="EJ121" s="115">
        <f ca="1">IF(BD121,_xll.xASN(BP121,Strike1,AO121,EH121,0,BM121,0,BI121,BL121,IF(OptControl=4,0,1),0),0)</f>
        <v>0</v>
      </c>
      <c r="EK121" s="108">
        <f ca="1">IF(BD121,_xll.xASN(BP121,Strike2,AO121,EI121,0,BM121,0,BI121,BL121,IF(OptControl=3,1,0),0),0)</f>
        <v>0</v>
      </c>
      <c r="EP121" s="53"/>
      <c r="EQ121" s="1"/>
      <c r="ER121" s="103"/>
      <c r="ES121" s="103"/>
      <c r="ET121" s="1"/>
      <c r="EU121" s="667" t="s">
        <v>333</v>
      </c>
      <c r="EW121" s="445"/>
      <c r="EX121" s="36"/>
      <c r="EY121" s="104"/>
      <c r="EZ121" s="465"/>
      <c r="FA121" s="446"/>
      <c r="FB121" s="446"/>
      <c r="FC121" s="242"/>
      <c r="FD121" s="242"/>
      <c r="FE121" s="242"/>
      <c r="FF121" s="242"/>
      <c r="FG121" s="242"/>
      <c r="FH121" s="242"/>
      <c r="FI121" s="242"/>
      <c r="FJ121" s="242"/>
      <c r="FK121" s="242"/>
      <c r="FL121" s="242"/>
      <c r="FM121" s="242"/>
      <c r="FN121" s="657">
        <v>27</v>
      </c>
      <c r="FO121" s="450">
        <f t="shared" ca="1" si="433"/>
        <v>0.18158813756123274</v>
      </c>
      <c r="FP121" s="450">
        <f t="shared" ref="FP121:IA124" ca="1" si="473">IF($FN46&lt;FP$94,"",SQRT(FP46/FP$15))</f>
        <v>0.18256156630828035</v>
      </c>
      <c r="FQ121" s="450">
        <f t="shared" ca="1" si="473"/>
        <v>0.18347352047100871</v>
      </c>
      <c r="FR121" s="450">
        <f t="shared" ca="1" si="473"/>
        <v>0.18452141298074171</v>
      </c>
      <c r="FS121" s="450">
        <f t="shared" ca="1" si="473"/>
        <v>0.18572218319069309</v>
      </c>
      <c r="FT121" s="450">
        <f t="shared" ca="1" si="473"/>
        <v>0.18709520166828802</v>
      </c>
      <c r="FU121" s="450">
        <f t="shared" ca="1" si="473"/>
        <v>0.18866268421172105</v>
      </c>
      <c r="FV121" s="450">
        <f t="shared" ca="1" si="473"/>
        <v>0.19045019143165315</v>
      </c>
      <c r="FW121" s="450">
        <f t="shared" ca="1" si="473"/>
        <v>0.19248723502172316</v>
      </c>
      <c r="FX121" s="450">
        <f t="shared" ca="1" si="473"/>
        <v>0.1948080179000144</v>
      </c>
      <c r="FY121" s="450">
        <f t="shared" ca="1" si="473"/>
        <v>0.19745234344191656</v>
      </c>
      <c r="FZ121" s="450">
        <f t="shared" ca="1" si="473"/>
        <v>0.20046673977270651</v>
      </c>
      <c r="GA121" s="450">
        <f t="shared" ca="1" si="473"/>
        <v>0.20390585957682453</v>
      </c>
      <c r="GB121" s="450">
        <f t="shared" ca="1" si="473"/>
        <v>0.20783423558160888</v>
      </c>
      <c r="GC121" s="450">
        <f t="shared" ca="1" si="473"/>
        <v>0.21232849890723166</v>
      </c>
      <c r="GD121" s="450">
        <f t="shared" ca="1" si="473"/>
        <v>0.21748020493270473</v>
      </c>
      <c r="GE121" s="450">
        <f t="shared" ca="1" si="473"/>
        <v>0.22339946376628006</v>
      </c>
      <c r="GF121" s="450">
        <f t="shared" ca="1" si="473"/>
        <v>0.23021964662541208</v>
      </c>
      <c r="GG121" s="450">
        <f t="shared" ca="1" si="473"/>
        <v>0.23810354570124603</v>
      </c>
      <c r="GH121" s="450">
        <f t="shared" ca="1" si="473"/>
        <v>0.24725151914859259</v>
      </c>
      <c r="GI121" s="450">
        <f t="shared" ca="1" si="473"/>
        <v>0.25791237918216592</v>
      </c>
      <c r="GJ121" s="450">
        <f t="shared" ca="1" si="473"/>
        <v>0.27039811852985568</v>
      </c>
      <c r="GK121" s="450">
        <f t="shared" ca="1" si="473"/>
        <v>0.28510408077068283</v>
      </c>
      <c r="GL121" s="450">
        <f t="shared" ca="1" si="473"/>
        <v>0.30253696485948317</v>
      </c>
      <c r="GM121" s="450">
        <f t="shared" ca="1" si="473"/>
        <v>0.32335428257657256</v>
      </c>
      <c r="GN121" s="450">
        <f t="shared" ca="1" si="473"/>
        <v>0.34842084764123454</v>
      </c>
      <c r="GO121" s="450">
        <f t="shared" ca="1" si="473"/>
        <v>0.37889106796995742</v>
      </c>
      <c r="GP121" s="450" t="str">
        <f t="shared" si="473"/>
        <v/>
      </c>
      <c r="GQ121" s="450" t="str">
        <f t="shared" si="473"/>
        <v/>
      </c>
      <c r="GR121" s="450" t="str">
        <f t="shared" si="473"/>
        <v/>
      </c>
      <c r="GS121" s="450" t="str">
        <f t="shared" si="473"/>
        <v/>
      </c>
      <c r="GT121" s="450" t="str">
        <f t="shared" si="473"/>
        <v/>
      </c>
      <c r="GU121" s="450" t="str">
        <f t="shared" si="473"/>
        <v/>
      </c>
      <c r="GV121" s="450" t="str">
        <f t="shared" si="473"/>
        <v/>
      </c>
      <c r="GW121" s="450" t="str">
        <f t="shared" si="473"/>
        <v/>
      </c>
      <c r="GX121" s="450" t="str">
        <f t="shared" si="473"/>
        <v/>
      </c>
      <c r="GY121" s="450" t="str">
        <f t="shared" si="473"/>
        <v/>
      </c>
      <c r="GZ121" s="450" t="str">
        <f t="shared" si="473"/>
        <v/>
      </c>
      <c r="HA121" s="450" t="str">
        <f t="shared" si="473"/>
        <v/>
      </c>
      <c r="HB121" s="450" t="str">
        <f t="shared" si="473"/>
        <v/>
      </c>
      <c r="HC121" s="450" t="str">
        <f t="shared" si="473"/>
        <v/>
      </c>
      <c r="HD121" s="450" t="str">
        <f t="shared" si="473"/>
        <v/>
      </c>
      <c r="HE121" s="450" t="str">
        <f t="shared" si="473"/>
        <v/>
      </c>
      <c r="HF121" s="450" t="str">
        <f t="shared" si="473"/>
        <v/>
      </c>
      <c r="HG121" s="450" t="str">
        <f t="shared" si="473"/>
        <v/>
      </c>
      <c r="HH121" s="450" t="str">
        <f t="shared" si="473"/>
        <v/>
      </c>
      <c r="HI121" s="450" t="str">
        <f t="shared" si="473"/>
        <v/>
      </c>
      <c r="HJ121" s="450" t="str">
        <f t="shared" si="473"/>
        <v/>
      </c>
      <c r="HK121" s="450" t="str">
        <f t="shared" si="473"/>
        <v/>
      </c>
      <c r="HL121" s="450" t="str">
        <f t="shared" si="473"/>
        <v/>
      </c>
      <c r="HM121" s="450" t="str">
        <f t="shared" si="473"/>
        <v/>
      </c>
      <c r="HN121" s="450" t="str">
        <f t="shared" si="473"/>
        <v/>
      </c>
      <c r="HO121" s="450" t="str">
        <f t="shared" si="473"/>
        <v/>
      </c>
      <c r="HP121" s="450" t="str">
        <f t="shared" si="473"/>
        <v/>
      </c>
      <c r="HQ121" s="450" t="str">
        <f t="shared" si="473"/>
        <v/>
      </c>
      <c r="HR121" s="450" t="str">
        <f t="shared" si="473"/>
        <v/>
      </c>
      <c r="HS121" s="450" t="str">
        <f t="shared" si="473"/>
        <v/>
      </c>
      <c r="HT121" s="450" t="str">
        <f t="shared" si="473"/>
        <v/>
      </c>
      <c r="HU121" s="450" t="str">
        <f t="shared" si="473"/>
        <v/>
      </c>
      <c r="HV121" s="450" t="str">
        <f t="shared" si="473"/>
        <v/>
      </c>
      <c r="HW121" s="450" t="str">
        <f t="shared" si="473"/>
        <v/>
      </c>
      <c r="HX121" s="450" t="str">
        <f t="shared" si="473"/>
        <v/>
      </c>
      <c r="HY121" s="450" t="str">
        <f t="shared" si="473"/>
        <v/>
      </c>
      <c r="HZ121" s="450" t="str">
        <f t="shared" si="473"/>
        <v/>
      </c>
      <c r="IA121" s="450" t="str">
        <f t="shared" si="473"/>
        <v/>
      </c>
      <c r="IB121" s="450" t="str">
        <f t="shared" si="472"/>
        <v/>
      </c>
      <c r="IC121" s="450" t="str">
        <f t="shared" si="472"/>
        <v/>
      </c>
      <c r="ID121" s="450" t="str">
        <f t="shared" si="472"/>
        <v/>
      </c>
      <c r="IE121" s="450" t="str">
        <f t="shared" si="472"/>
        <v/>
      </c>
      <c r="IF121" s="450" t="str">
        <f t="shared" si="472"/>
        <v/>
      </c>
      <c r="IG121" s="450" t="str">
        <f t="shared" si="472"/>
        <v/>
      </c>
      <c r="IH121" s="658" t="str">
        <f t="shared" si="472"/>
        <v/>
      </c>
      <c r="II121" s="242"/>
    </row>
    <row r="122" spans="8:243">
      <c r="H122" s="49" t="e">
        <f t="shared" ca="1" si="317"/>
        <v>#N/A</v>
      </c>
      <c r="I122" s="369">
        <f t="shared" si="318"/>
        <v>40118</v>
      </c>
      <c r="J122" s="367">
        <v>22.043333333333301</v>
      </c>
      <c r="K122" s="101" t="s">
        <v>267</v>
      </c>
      <c r="L122" s="382">
        <f t="shared" si="319"/>
        <v>22.043333333333312</v>
      </c>
      <c r="M122" s="163">
        <v>0.1651</v>
      </c>
      <c r="N122" s="372">
        <v>0</v>
      </c>
      <c r="O122" s="163">
        <f t="shared" si="272"/>
        <v>0.1651</v>
      </c>
      <c r="P122" s="367">
        <v>20.789689474774001</v>
      </c>
      <c r="Q122" s="101" t="s">
        <v>267</v>
      </c>
      <c r="R122" s="367">
        <f t="shared" ca="1" si="417"/>
        <v>20.789689474774036</v>
      </c>
      <c r="S122" s="814">
        <f t="shared" ref="S122:S194" si="474">S$19+(S121-S$19)*S$18</f>
        <v>0.35811860089302505</v>
      </c>
      <c r="T122" s="813">
        <f t="shared" si="418"/>
        <v>0.99999832053217796</v>
      </c>
      <c r="U122" s="532">
        <f t="shared" si="419"/>
        <v>0.99999999999999722</v>
      </c>
      <c r="V122" s="379">
        <v>0</v>
      </c>
      <c r="W122" s="424">
        <f t="shared" si="452"/>
        <v>22.064761904761884</v>
      </c>
      <c r="X122" s="405">
        <f t="shared" si="453"/>
        <v>22.06476190476188</v>
      </c>
      <c r="Y122" s="313">
        <f t="shared" si="454"/>
        <v>20.823161904761882</v>
      </c>
      <c r="Z122" s="313">
        <f t="shared" ca="1" si="455"/>
        <v>20.823161904761882</v>
      </c>
      <c r="AA122" s="419">
        <f t="shared" si="277"/>
        <v>1.2416</v>
      </c>
      <c r="AB122" s="423">
        <f t="shared" ca="1" si="278"/>
        <v>1.2416</v>
      </c>
      <c r="AC122" s="221">
        <v>40106</v>
      </c>
      <c r="AD122" s="221">
        <v>40102</v>
      </c>
      <c r="AE122" s="221">
        <v>40101</v>
      </c>
      <c r="AF122" s="221">
        <v>40097</v>
      </c>
      <c r="AG122" s="241" t="s">
        <v>497</v>
      </c>
      <c r="AH122" s="239" t="s">
        <v>497</v>
      </c>
      <c r="AI122" s="141">
        <v>21</v>
      </c>
      <c r="AJ122" s="41">
        <v>15</v>
      </c>
      <c r="AK122" s="41">
        <v>6</v>
      </c>
      <c r="AL122" s="285">
        <v>21</v>
      </c>
      <c r="AM122" s="41">
        <v>10</v>
      </c>
      <c r="AN122" s="142">
        <v>11</v>
      </c>
      <c r="AO122" s="364">
        <v>5.7977655693849196E-2</v>
      </c>
      <c r="AP122" s="145">
        <f t="shared" ca="1" si="320"/>
        <v>0.61018220433903947</v>
      </c>
      <c r="AQ122" s="364">
        <v>4.9480987927000203E-2</v>
      </c>
      <c r="AR122" s="145">
        <f t="shared" ca="1" si="420"/>
        <v>0.65937899055484883</v>
      </c>
      <c r="AS122" s="264">
        <f t="shared" si="456"/>
        <v>0.16464999999999999</v>
      </c>
      <c r="AT122" s="149">
        <f t="shared" si="321"/>
        <v>0.1651</v>
      </c>
      <c r="AU122" s="149">
        <f t="shared" si="280"/>
        <v>0.16456666666666667</v>
      </c>
      <c r="AV122" s="263">
        <f t="shared" ca="1" si="430"/>
        <v>0.16209555984868379</v>
      </c>
      <c r="AW122" s="150" t="str">
        <f t="shared" ca="1" si="457"/>
        <v/>
      </c>
      <c r="AX122" s="149">
        <f t="shared" ca="1" si="421"/>
        <v>1.5439110854399522E-2</v>
      </c>
      <c r="AY122" s="149">
        <f t="shared" ca="1" si="422"/>
        <v>6.6473142066721669E-3</v>
      </c>
      <c r="AZ122" s="149">
        <f t="shared" ca="1" si="423"/>
        <v>4.6282082640268334E-3</v>
      </c>
      <c r="BA122" s="149">
        <f t="shared" ca="1" si="424"/>
        <v>1.000000000000038E-4</v>
      </c>
      <c r="BB122" s="149">
        <f t="shared" ca="1" si="425"/>
        <v>1.000000000000038E-4</v>
      </c>
      <c r="BC122" s="149">
        <f t="shared" ca="1" si="426"/>
        <v>1.000000000000038E-4</v>
      </c>
      <c r="BD122" s="143">
        <f t="shared" ca="1" si="458"/>
        <v>0</v>
      </c>
      <c r="BE122" s="144">
        <f t="shared" ca="1" si="459"/>
        <v>0</v>
      </c>
      <c r="BF122" s="40">
        <f t="shared" si="460"/>
        <v>2009</v>
      </c>
      <c r="BG122" s="139">
        <f t="shared" si="461"/>
        <v>11</v>
      </c>
      <c r="BH122" s="140">
        <f t="shared" ca="1" si="462"/>
        <v>3112</v>
      </c>
      <c r="BI122" s="304">
        <f t="shared" ca="1" si="440"/>
        <v>8.5639972621492131</v>
      </c>
      <c r="BJ122" s="42">
        <f t="shared" ca="1" si="288"/>
        <v>8.6207098855969502</v>
      </c>
      <c r="BK122" s="42">
        <f t="shared" ca="1" si="289"/>
        <v>8.6234477363840831</v>
      </c>
      <c r="BL122" s="42">
        <f t="shared" ca="1" si="441"/>
        <v>8.6433949349760439</v>
      </c>
      <c r="BM122" s="285">
        <f t="shared" si="442"/>
        <v>21</v>
      </c>
      <c r="BN122" s="41">
        <f t="shared" si="443"/>
        <v>15</v>
      </c>
      <c r="BO122" s="41">
        <f t="shared" si="444"/>
        <v>6</v>
      </c>
      <c r="BP122" s="297" t="str">
        <f t="shared" ca="1" si="293"/>
        <v/>
      </c>
      <c r="BQ122" s="297" t="str">
        <f t="shared" ca="1" si="294"/>
        <v/>
      </c>
      <c r="BR122" s="299" t="str">
        <f t="shared" ca="1" si="295"/>
        <v/>
      </c>
      <c r="BS122" s="153" t="str">
        <f t="shared" ca="1" si="296"/>
        <v/>
      </c>
      <c r="BT122" s="153" t="str">
        <f t="shared" ca="1" si="297"/>
        <v/>
      </c>
      <c r="BU122" s="300" t="str">
        <f t="shared" ca="1" si="298"/>
        <v/>
      </c>
      <c r="BV122" s="301" t="str">
        <f t="shared" ca="1" si="299"/>
        <v/>
      </c>
      <c r="BW122" s="300" t="str">
        <f t="shared" ca="1" si="300"/>
        <v/>
      </c>
      <c r="BX122" s="301" t="str">
        <f t="shared" ca="1" si="301"/>
        <v/>
      </c>
      <c r="BY122" s="146" t="str">
        <f t="shared" ca="1" si="302"/>
        <v/>
      </c>
      <c r="BZ122" s="146" t="str">
        <f t="shared" ca="1" si="303"/>
        <v/>
      </c>
      <c r="CA122" s="146" t="str">
        <f t="shared" ca="1" si="304"/>
        <v/>
      </c>
      <c r="CB122" s="146" t="str">
        <f t="shared" ca="1" si="305"/>
        <v/>
      </c>
      <c r="CC122" s="302">
        <v>1</v>
      </c>
      <c r="CD122" s="154">
        <f ca="1">IF(BD122,_xll.xCrudeAPO(BS122,BT122,BY122,BZ122,S123,S124,BI122,BL122,BN122,BO122,0,Strike1,AO122,CC122,0,BL122,IF(OptControl=4,0,1),0,1),0)</f>
        <v>0</v>
      </c>
      <c r="CE122" s="155">
        <f ca="1">IF(BD122,_xll.xCrudeAPO(BS122,BT122,BY122,BZ122,S123,S124,BI122,BL122,BN122,BO122,0,Strike1,AO122,CC122,0,BL122,IF(OptControl=4,0,1),1,1)+_xll.xCrudeAPO(BS122,BT122,BY122,BZ122,S123,S124,BI122,BL122,BN122,BO122,0,Strike1,AO122,CC122,0,BL122,IF(OptControl=4,0,1),1,2)+IF(OR(VolSkewFlag=2,ABS(BQ122)&lt;0.0001),0,IF(BQ122&gt;0,-1,1)*CF122*Strike1/BP122^2*BW122/10%),0)</f>
        <v>0</v>
      </c>
      <c r="CF122" s="155">
        <f ca="1">IF(BD122,(_xll.xCrudeAPO(BS122,BT122,BY122,BZ122,S123,S124,BI122,BL122,BN122,BO122,0,Strike1,AO122,CC122,0,BL122,IF(OptControl=4,0,1),3,1)+_xll.xCrudeAPO(BS122,BT122,BY122,BZ122,S123,S124,BI122,BL122,BN122,BO122,0,Strike1,AO122,CC122,0,BL122,IF(OptControl=4,0,1),3,2))/100,0)</f>
        <v>0</v>
      </c>
      <c r="CG122" s="155">
        <f ca="1">IF(BD122,_xll.xCrudeAPO(BS122,BT122,BY122,BZ122,S123,S124,BI122-DaysForThetaCalculation/365.25,BL122-DaysForThetaCalculation/365.25,BN122,BO122,0,Strike1,AO122,CC122,0,BL122,IF(OptControl=4,0,1),0,1)-_xll.xCrudeAPO(BS122,BT122,BY122,BZ122,S123,S124,BI122,BL122,BN122,BO122,0,Strike1,AO122,CC122,0,BL122,IF(OptControl=4,0,1),0,1),0)</f>
        <v>0</v>
      </c>
      <c r="CH122" s="303">
        <f ca="1">IF(BD122,_xll.xCrudeAPO(BS122,BT122,CA122,CB122,S123,S124,BI122,BL122,BN122,BO122,0,Strike2,AO122,CC122,0,BL122,IF(OptControl=3,1,0),0,1),0)</f>
        <v>0</v>
      </c>
      <c r="CI122" s="155">
        <f ca="1">IF(BD122,_xll.xCrudeAPO(BS122,BT122,CA122,CB122,S123,S124,BI122,BL122,BN122,BO122,0,Strike2,AO122,CC122,0,BL122,IF(OptControl=3,1,0),1,1)+_xll.xCrudeAPO(BS122,BT122,CA122,CB122,S123,S124,BI122,BL122,BN122,BO122,0,Strike2,AO122,CC122,0,BL122,IF(OptControl=3,1,0),1,2)+IF(OR(VolSkewFlag=2,ABS(BR122)&lt;0.0001),0,IF(BR122&gt;0,-1,1)*CJ122*Strike2/BP122^2*BX122/10%),0)</f>
        <v>0</v>
      </c>
      <c r="CJ122" s="155">
        <f ca="1">IF(BD122,(_xll.xCrudeAPO(BS122,BT122,CA122,CB122,S123,S124,BI122,BL122,BN122,BO122,0,Strike2,AO122,CC122,0,BL122,IF(OptControl=3,1,0),3,1)+_xll.xCrudeAPO(BS122,BT122,CA122,CB122,S123,S124,BI122,BL122,BN122,BO122,0,Strike2,AO122,CC122,0,BL122,IF(OptControl=3,1,0),3,2))/100,0)</f>
        <v>0</v>
      </c>
      <c r="CK122" s="156">
        <f ca="1">IF(BD122,_xll.xCrudeAPO(BS122,BT122,CA122,CB122,S123,S124,BI122-DaysForThetaCalculation/365.25,BL122-DaysForThetaCalculation/365.25,BN122,BO122,0,Strike2,AO122,CC122,0,BL122,IF(OptControl=3,1,0),0,1)-_xll.xCrudeAPO(BS122,BT122,CA122,CB122,S123,S124,BI122,BL122,BN122,BO122,0,Strike2,AO122,CC122,0,BL122,IF(OptControl=3,1,0),0,1),0)</f>
        <v>0</v>
      </c>
      <c r="CL122" s="51"/>
      <c r="CM122" s="779" t="str">
        <f t="shared" ca="1" si="323"/>
        <v/>
      </c>
      <c r="CN122" s="783" t="str">
        <f t="shared" ca="1" si="324"/>
        <v/>
      </c>
      <c r="CO122" s="780" t="str">
        <f t="shared" ca="1" si="325"/>
        <v/>
      </c>
      <c r="CP122" s="780" t="str">
        <f t="shared" ca="1" si="326"/>
        <v/>
      </c>
      <c r="CQ122" s="780" t="str">
        <f t="shared" ca="1" si="327"/>
        <v/>
      </c>
      <c r="CR122" s="780" t="str">
        <f t="shared" ca="1" si="328"/>
        <v/>
      </c>
      <c r="CS122" s="781" t="str">
        <f t="shared" ca="1" si="329"/>
        <v/>
      </c>
      <c r="CT122" s="782" t="str">
        <f t="shared" ca="1" si="330"/>
        <v/>
      </c>
      <c r="CU122" s="782" t="str">
        <f t="shared" ca="1" si="331"/>
        <v/>
      </c>
      <c r="CV122" s="155">
        <f ca="1">IF(BD122,_xll.EURO(CN122,Strike1,AO122,AO122,CT122,CM122,IF(OptControl=4,0,1),0),0)</f>
        <v>0</v>
      </c>
      <c r="CW122" s="155">
        <f ca="1">IF(BD122,_xll.EURO(CN122,Strike1,AO122,AO122,CT122,CM122,IF(OptControl=4,0,1),1)+IF(OR(VolSkewFlag=2,ABS(CO122)&lt;0.0001),0,IF(CO122&gt;0,-1,1)*CX122*100*Strike1/CN122^2*CQ122/10%),0)</f>
        <v>0</v>
      </c>
      <c r="CX122" s="155">
        <f ca="1">IF(BD122,_xll.EURO(CN122,Strike1,AO122,AO122,CT122,CM122,IF(OptControl=4,0,1),3)/100,0)</f>
        <v>0</v>
      </c>
      <c r="CY122" s="155">
        <f ca="1">IF(BD122,_xll.EURO(CN122,Strike1,AO122,AO122,CT122,CM122,IF(OptControl=4,0,1),0)-_xll.EURO(CN122,Strike1,AO122,AO122,CT122,CM122-1,IF(OptControl=4,0,1),0),0)</f>
        <v>0</v>
      </c>
      <c r="CZ122" s="155">
        <f ca="1">IF(BD122,_xll.EURO(CN122,Strike2,AO122,AO122,CU122,CM122,IF(OptControl=3,1,0),0),0)</f>
        <v>0</v>
      </c>
      <c r="DA122" s="155">
        <f ca="1">IF(BD122,_xll.EURO(CN122,Strike2,AO122,AO122,CU122,CM122,IF(OptControl=3,1,0),1)+IF(OR(VolSkewFlag=2,ABS(CP122)&lt;0.0001),0,IF(CP122&gt;0,-1,1)*DB122*100*Strike2/CN122^2*CR122/10%),0)</f>
        <v>0</v>
      </c>
      <c r="DB122" s="155">
        <f ca="1">IF(BD122,_xll.EURO(CN122,Strike2,AO122,AO122,CU122,CM122,IF(OptControl=3,1,0),3)/100,0)</f>
        <v>0</v>
      </c>
      <c r="DC122" s="156">
        <f ca="1">IF(BD122,_xll.EURO(CN122,Strike2,AO122,AO122,CU122,CM122,IF(OptControl=3,1,0),0)-_xll.EURO(CN122,Strike2,AO122,AO122,CU122,CM122-1,IF(OptControl=3,1,0),0),0)</f>
        <v>0</v>
      </c>
      <c r="DE122" s="651">
        <f t="shared" ca="1" si="332"/>
        <v>40026</v>
      </c>
      <c r="DF122" s="465">
        <v>1E-4</v>
      </c>
      <c r="DG122" s="649">
        <v>1E-4</v>
      </c>
      <c r="DH122" s="650">
        <f t="shared" ca="1" si="463"/>
        <v>40026</v>
      </c>
      <c r="DI122" s="465">
        <v>1E-4</v>
      </c>
      <c r="DJ122" s="649">
        <v>1E-4</v>
      </c>
      <c r="DK122" s="651">
        <f t="shared" ca="1" si="464"/>
        <v>40026</v>
      </c>
      <c r="DL122" s="652">
        <f t="shared" si="465"/>
        <v>5.0100000000000006E-2</v>
      </c>
      <c r="DM122" s="651">
        <f t="shared" ca="1" si="333"/>
        <v>40026</v>
      </c>
      <c r="DN122" s="563">
        <f t="shared" si="334"/>
        <v>-0.12990000000000002</v>
      </c>
      <c r="DO122" s="803">
        <v>-0.13</v>
      </c>
      <c r="DP122" s="650">
        <f t="shared" ca="1" si="466"/>
        <v>40026</v>
      </c>
      <c r="DQ122" s="653">
        <v>1E-4</v>
      </c>
      <c r="DR122" s="590">
        <v>1E-4</v>
      </c>
      <c r="DS122" s="650">
        <f t="shared" ca="1" si="467"/>
        <v>40026</v>
      </c>
      <c r="DT122" s="653">
        <v>1E-4</v>
      </c>
      <c r="DU122" s="590">
        <v>1E-4</v>
      </c>
      <c r="DV122" s="651">
        <f t="shared" ca="1" si="468"/>
        <v>40026</v>
      </c>
      <c r="DW122" s="590">
        <v>1E-4</v>
      </c>
      <c r="DX122" s="651">
        <f t="shared" ca="1" si="335"/>
        <v>40026</v>
      </c>
      <c r="DY122" s="590">
        <f t="shared" si="336"/>
        <v>1E-4</v>
      </c>
      <c r="DZ122" s="1"/>
      <c r="EA122" s="857"/>
      <c r="EB122" s="857"/>
      <c r="EC122" s="857"/>
      <c r="ED122" s="868" t="e">
        <f t="shared" ca="1" si="436"/>
        <v>#NAME?</v>
      </c>
      <c r="EE122" s="863" t="e">
        <f t="shared" ca="1" si="312"/>
        <v>#NAME?</v>
      </c>
      <c r="EF122" s="590" t="e">
        <f t="shared" ca="1" si="313"/>
        <v>#NAME?</v>
      </c>
      <c r="EG122" s="862" t="str">
        <f t="shared" ca="1" si="469"/>
        <v/>
      </c>
      <c r="EH122" s="114" t="str">
        <f t="shared" ca="1" si="315"/>
        <v/>
      </c>
      <c r="EI122" s="109" t="str">
        <f t="shared" ca="1" si="316"/>
        <v/>
      </c>
      <c r="EJ122" s="115">
        <f ca="1">IF(BD122,_xll.xASN(BP122,Strike1,AO122,EH122,0,BM122,0,BI122,BL122,IF(OptControl=4,0,1),0),0)</f>
        <v>0</v>
      </c>
      <c r="EK122" s="108">
        <f ca="1">IF(BD122,_xll.xASN(BP122,Strike2,AO122,EI122,0,BM122,0,BI122,BL122,IF(OptControl=3,1,0),0),0)</f>
        <v>0</v>
      </c>
      <c r="EP122" s="53"/>
      <c r="EQ122" s="1"/>
      <c r="ER122" s="103"/>
      <c r="ES122" s="103"/>
      <c r="ET122" s="1"/>
      <c r="EU122" s="667" t="s">
        <v>334</v>
      </c>
      <c r="EW122" s="445"/>
      <c r="EX122" s="36"/>
      <c r="EY122" s="104"/>
      <c r="EZ122" s="465"/>
      <c r="FA122" s="446"/>
      <c r="FB122" s="446"/>
      <c r="FC122" s="242"/>
      <c r="FD122" s="242"/>
      <c r="FE122" s="242"/>
      <c r="FF122" s="242"/>
      <c r="FG122" s="242"/>
      <c r="FH122" s="242"/>
      <c r="FI122" s="242"/>
      <c r="FJ122" s="242"/>
      <c r="FK122" s="242"/>
      <c r="FL122" s="242"/>
      <c r="FM122" s="242"/>
      <c r="FN122" s="657">
        <v>28</v>
      </c>
      <c r="FO122" s="450">
        <f t="shared" ca="1" si="433"/>
        <v>0.18066995836345129</v>
      </c>
      <c r="FP122" s="450">
        <f t="shared" ca="1" si="473"/>
        <v>0.18153560853016568</v>
      </c>
      <c r="FQ122" s="450">
        <f t="shared" ca="1" si="473"/>
        <v>0.18232751301814151</v>
      </c>
      <c r="FR122" s="450">
        <f t="shared" ca="1" si="473"/>
        <v>0.18324035129865143</v>
      </c>
      <c r="FS122" s="450">
        <f t="shared" ca="1" si="473"/>
        <v>0.18428896167952141</v>
      </c>
      <c r="FT122" s="450">
        <f t="shared" ca="1" si="473"/>
        <v>0.1854902666986408</v>
      </c>
      <c r="FU122" s="450">
        <f t="shared" ca="1" si="473"/>
        <v>0.18686361777449798</v>
      </c>
      <c r="FV122" s="450">
        <f t="shared" ca="1" si="473"/>
        <v>0.18843120883332717</v>
      </c>
      <c r="FW122" s="450">
        <f t="shared" ca="1" si="473"/>
        <v>0.19021857542124929</v>
      </c>
      <c r="FX122" s="450">
        <f t="shared" ca="1" si="473"/>
        <v>0.19225520040534899</v>
      </c>
      <c r="FY122" s="450">
        <f t="shared" ca="1" si="473"/>
        <v>0.19457525342046481</v>
      </c>
      <c r="FZ122" s="450">
        <f t="shared" ca="1" si="473"/>
        <v>0.19721849924930904</v>
      </c>
      <c r="GA122" s="450">
        <f t="shared" ca="1" si="473"/>
        <v>0.20023142106145778</v>
      </c>
      <c r="GB122" s="450">
        <f t="shared" ca="1" si="473"/>
        <v>0.20366861891200308</v>
      </c>
      <c r="GC122" s="450">
        <f t="shared" ca="1" si="473"/>
        <v>0.2075945635832393</v>
      </c>
      <c r="GD122" s="450">
        <f t="shared" ca="1" si="473"/>
        <v>0.21208581286180794</v>
      </c>
      <c r="GE122" s="450">
        <f t="shared" ca="1" si="473"/>
        <v>0.21723383476735006</v>
      </c>
      <c r="GF122" s="450">
        <f t="shared" ca="1" si="473"/>
        <v>0.22314863463895604</v>
      </c>
      <c r="GG122" s="450">
        <f t="shared" ca="1" si="473"/>
        <v>0.2299634571344128</v>
      </c>
      <c r="GH122" s="450">
        <f t="shared" ca="1" si="473"/>
        <v>0.23784094036964656</v>
      </c>
      <c r="GI122" s="450">
        <f t="shared" ca="1" si="473"/>
        <v>0.24698125335077481</v>
      </c>
      <c r="GJ122" s="450">
        <f t="shared" ca="1" si="473"/>
        <v>0.25763297398423579</v>
      </c>
      <c r="GK122" s="450">
        <f t="shared" ca="1" si="473"/>
        <v>0.2701078019128762</v>
      </c>
      <c r="GL122" s="450">
        <f t="shared" ca="1" si="473"/>
        <v>0.28480071023819942</v>
      </c>
      <c r="GM122" s="450">
        <f t="shared" ca="1" si="473"/>
        <v>0.30221792425018096</v>
      </c>
      <c r="GN122" s="450">
        <f t="shared" ca="1" si="473"/>
        <v>0.32301634260787698</v>
      </c>
      <c r="GO122" s="450">
        <f t="shared" ca="1" si="473"/>
        <v>0.34805997463988658</v>
      </c>
      <c r="GP122" s="450">
        <f t="shared" ca="1" si="473"/>
        <v>0.37850215729025782</v>
      </c>
      <c r="GQ122" s="450" t="str">
        <f t="shared" si="473"/>
        <v/>
      </c>
      <c r="GR122" s="450" t="str">
        <f t="shared" si="473"/>
        <v/>
      </c>
      <c r="GS122" s="450" t="str">
        <f t="shared" si="473"/>
        <v/>
      </c>
      <c r="GT122" s="450" t="str">
        <f t="shared" si="473"/>
        <v/>
      </c>
      <c r="GU122" s="450" t="str">
        <f t="shared" si="473"/>
        <v/>
      </c>
      <c r="GV122" s="450" t="str">
        <f t="shared" si="473"/>
        <v/>
      </c>
      <c r="GW122" s="450" t="str">
        <f t="shared" si="473"/>
        <v/>
      </c>
      <c r="GX122" s="450" t="str">
        <f t="shared" si="473"/>
        <v/>
      </c>
      <c r="GY122" s="450" t="str">
        <f t="shared" si="473"/>
        <v/>
      </c>
      <c r="GZ122" s="450" t="str">
        <f t="shared" si="473"/>
        <v/>
      </c>
      <c r="HA122" s="450" t="str">
        <f t="shared" si="473"/>
        <v/>
      </c>
      <c r="HB122" s="450" t="str">
        <f t="shared" si="473"/>
        <v/>
      </c>
      <c r="HC122" s="450" t="str">
        <f t="shared" si="473"/>
        <v/>
      </c>
      <c r="HD122" s="450" t="str">
        <f t="shared" si="473"/>
        <v/>
      </c>
      <c r="HE122" s="450" t="str">
        <f t="shared" si="473"/>
        <v/>
      </c>
      <c r="HF122" s="450" t="str">
        <f t="shared" si="473"/>
        <v/>
      </c>
      <c r="HG122" s="450" t="str">
        <f t="shared" si="473"/>
        <v/>
      </c>
      <c r="HH122" s="450" t="str">
        <f t="shared" si="473"/>
        <v/>
      </c>
      <c r="HI122" s="450" t="str">
        <f t="shared" si="473"/>
        <v/>
      </c>
      <c r="HJ122" s="450" t="str">
        <f t="shared" si="473"/>
        <v/>
      </c>
      <c r="HK122" s="450" t="str">
        <f t="shared" si="473"/>
        <v/>
      </c>
      <c r="HL122" s="450" t="str">
        <f t="shared" si="473"/>
        <v/>
      </c>
      <c r="HM122" s="450" t="str">
        <f t="shared" si="473"/>
        <v/>
      </c>
      <c r="HN122" s="450" t="str">
        <f t="shared" si="473"/>
        <v/>
      </c>
      <c r="HO122" s="450" t="str">
        <f t="shared" si="473"/>
        <v/>
      </c>
      <c r="HP122" s="450" t="str">
        <f t="shared" si="473"/>
        <v/>
      </c>
      <c r="HQ122" s="450" t="str">
        <f t="shared" si="473"/>
        <v/>
      </c>
      <c r="HR122" s="450" t="str">
        <f t="shared" si="473"/>
        <v/>
      </c>
      <c r="HS122" s="450" t="str">
        <f t="shared" si="473"/>
        <v/>
      </c>
      <c r="HT122" s="450" t="str">
        <f t="shared" si="473"/>
        <v/>
      </c>
      <c r="HU122" s="450" t="str">
        <f t="shared" si="473"/>
        <v/>
      </c>
      <c r="HV122" s="450" t="str">
        <f t="shared" si="473"/>
        <v/>
      </c>
      <c r="HW122" s="450" t="str">
        <f t="shared" si="473"/>
        <v/>
      </c>
      <c r="HX122" s="450" t="str">
        <f t="shared" si="473"/>
        <v/>
      </c>
      <c r="HY122" s="450" t="str">
        <f t="shared" si="473"/>
        <v/>
      </c>
      <c r="HZ122" s="450" t="str">
        <f t="shared" si="473"/>
        <v/>
      </c>
      <c r="IA122" s="450" t="str">
        <f t="shared" si="473"/>
        <v/>
      </c>
      <c r="IB122" s="450" t="str">
        <f t="shared" si="472"/>
        <v/>
      </c>
      <c r="IC122" s="450" t="str">
        <f t="shared" si="472"/>
        <v/>
      </c>
      <c r="ID122" s="450" t="str">
        <f t="shared" si="472"/>
        <v/>
      </c>
      <c r="IE122" s="450" t="str">
        <f t="shared" si="472"/>
        <v/>
      </c>
      <c r="IF122" s="450" t="str">
        <f t="shared" si="472"/>
        <v/>
      </c>
      <c r="IG122" s="450" t="str">
        <f t="shared" si="472"/>
        <v/>
      </c>
      <c r="IH122" s="658" t="str">
        <f t="shared" si="472"/>
        <v/>
      </c>
      <c r="II122" s="242"/>
    </row>
    <row r="123" spans="8:243">
      <c r="H123" s="49" t="e">
        <f t="shared" ca="1" si="317"/>
        <v>#N/A</v>
      </c>
      <c r="I123" s="369">
        <f t="shared" si="318"/>
        <v>40148</v>
      </c>
      <c r="J123" s="367">
        <v>22.06</v>
      </c>
      <c r="K123" s="101" t="s">
        <v>267</v>
      </c>
      <c r="L123" s="382">
        <f t="shared" si="319"/>
        <v>22.059999999999977</v>
      </c>
      <c r="M123" s="163">
        <v>0.16474999999999998</v>
      </c>
      <c r="N123" s="372">
        <v>0</v>
      </c>
      <c r="O123" s="163">
        <f t="shared" si="272"/>
        <v>0.16474999999999998</v>
      </c>
      <c r="P123" s="367">
        <v>20.822880993243796</v>
      </c>
      <c r="Q123" s="101" t="s">
        <v>267</v>
      </c>
      <c r="R123" s="367">
        <f t="shared" ca="1" si="417"/>
        <v>20.822880993243817</v>
      </c>
      <c r="S123" s="814">
        <f t="shared" si="474"/>
        <v>0.35793741488409481</v>
      </c>
      <c r="T123" s="813">
        <f t="shared" si="418"/>
        <v>0.99999848847908734</v>
      </c>
      <c r="U123" s="532">
        <f t="shared" si="419"/>
        <v>0.99999999999999789</v>
      </c>
      <c r="V123" s="379">
        <v>0</v>
      </c>
      <c r="W123" s="424">
        <f t="shared" si="452"/>
        <v>22.082727272727219</v>
      </c>
      <c r="X123" s="405">
        <f t="shared" si="453"/>
        <v>22.082727272727251</v>
      </c>
      <c r="Y123" s="313">
        <f t="shared" si="454"/>
        <v>20.841127272727221</v>
      </c>
      <c r="Z123" s="313">
        <f t="shared" ca="1" si="455"/>
        <v>20.841127272727249</v>
      </c>
      <c r="AA123" s="419">
        <f t="shared" si="277"/>
        <v>1.2416</v>
      </c>
      <c r="AB123" s="423">
        <f t="shared" ca="1" si="278"/>
        <v>1.2416</v>
      </c>
      <c r="AC123" s="221">
        <v>40137</v>
      </c>
      <c r="AD123" s="221">
        <v>40133</v>
      </c>
      <c r="AE123" s="221">
        <v>40132</v>
      </c>
      <c r="AF123" s="221">
        <v>40128</v>
      </c>
      <c r="AG123" s="241" t="s">
        <v>497</v>
      </c>
      <c r="AH123" s="239" t="s">
        <v>497</v>
      </c>
      <c r="AI123" s="141">
        <v>22</v>
      </c>
      <c r="AJ123" s="41">
        <v>14</v>
      </c>
      <c r="AK123" s="41">
        <v>8</v>
      </c>
      <c r="AL123" s="285">
        <v>22</v>
      </c>
      <c r="AM123" s="41">
        <v>10</v>
      </c>
      <c r="AN123" s="142">
        <v>12</v>
      </c>
      <c r="AO123" s="364">
        <v>5.8052567373139997E-2</v>
      </c>
      <c r="AP123" s="145">
        <f t="shared" ca="1" si="320"/>
        <v>0.60684378738198907</v>
      </c>
      <c r="AQ123" s="364">
        <v>4.9501124060175705E-2</v>
      </c>
      <c r="AR123" s="145">
        <f t="shared" ca="1" si="420"/>
        <v>0.65653819432628746</v>
      </c>
      <c r="AS123" s="264">
        <f t="shared" si="456"/>
        <v>0.16427272727272726</v>
      </c>
      <c r="AT123" s="149">
        <f t="shared" si="321"/>
        <v>0.16474999999999998</v>
      </c>
      <c r="AU123" s="149">
        <f t="shared" si="280"/>
        <v>0.16420909090909092</v>
      </c>
      <c r="AV123" s="263">
        <f t="shared" ca="1" si="430"/>
        <v>0.16166845671207725</v>
      </c>
      <c r="AW123" s="150" t="str">
        <f t="shared" ca="1" si="457"/>
        <v/>
      </c>
      <c r="AX123" s="149">
        <f t="shared" ca="1" si="421"/>
        <v>1.5222218925292158E-2</v>
      </c>
      <c r="AY123" s="149">
        <f t="shared" ca="1" si="422"/>
        <v>6.5329413926258585E-3</v>
      </c>
      <c r="AZ123" s="149">
        <f t="shared" ca="1" si="423"/>
        <v>4.5730496959445702E-3</v>
      </c>
      <c r="BA123" s="149">
        <f t="shared" ca="1" si="424"/>
        <v>1.0000000000000384E-4</v>
      </c>
      <c r="BB123" s="149">
        <f t="shared" ca="1" si="425"/>
        <v>1.0000000000000384E-4</v>
      </c>
      <c r="BC123" s="149">
        <f t="shared" ca="1" si="426"/>
        <v>1.0000000000000384E-4</v>
      </c>
      <c r="BD123" s="143">
        <f t="shared" ca="1" si="458"/>
        <v>0</v>
      </c>
      <c r="BE123" s="144">
        <f t="shared" ca="1" si="459"/>
        <v>0</v>
      </c>
      <c r="BF123" s="40">
        <f t="shared" si="460"/>
        <v>2009</v>
      </c>
      <c r="BG123" s="139">
        <f t="shared" si="461"/>
        <v>12</v>
      </c>
      <c r="BH123" s="140">
        <f t="shared" ca="1" si="462"/>
        <v>3143</v>
      </c>
      <c r="BI123" s="304">
        <f t="shared" ca="1" si="440"/>
        <v>8.6461327857631751</v>
      </c>
      <c r="BJ123" s="42">
        <f t="shared" ca="1" si="288"/>
        <v>8.6984008462447893</v>
      </c>
      <c r="BK123" s="42">
        <f t="shared" ca="1" si="289"/>
        <v>8.7011386970319222</v>
      </c>
      <c r="BL123" s="42">
        <f t="shared" ca="1" si="441"/>
        <v>8.7282683093771389</v>
      </c>
      <c r="BM123" s="285">
        <f t="shared" si="442"/>
        <v>22</v>
      </c>
      <c r="BN123" s="41">
        <f t="shared" si="443"/>
        <v>14</v>
      </c>
      <c r="BO123" s="41">
        <f t="shared" si="444"/>
        <v>8</v>
      </c>
      <c r="BP123" s="297" t="str">
        <f t="shared" ca="1" si="293"/>
        <v/>
      </c>
      <c r="BQ123" s="297" t="str">
        <f t="shared" ca="1" si="294"/>
        <v/>
      </c>
      <c r="BR123" s="299" t="str">
        <f t="shared" ca="1" si="295"/>
        <v/>
      </c>
      <c r="BS123" s="153" t="str">
        <f t="shared" ca="1" si="296"/>
        <v/>
      </c>
      <c r="BT123" s="153" t="str">
        <f t="shared" ca="1" si="297"/>
        <v/>
      </c>
      <c r="BU123" s="300" t="str">
        <f t="shared" ca="1" si="298"/>
        <v/>
      </c>
      <c r="BV123" s="301" t="str">
        <f t="shared" ca="1" si="299"/>
        <v/>
      </c>
      <c r="BW123" s="300" t="str">
        <f t="shared" ca="1" si="300"/>
        <v/>
      </c>
      <c r="BX123" s="301" t="str">
        <f t="shared" ca="1" si="301"/>
        <v/>
      </c>
      <c r="BY123" s="146" t="str">
        <f t="shared" ca="1" si="302"/>
        <v/>
      </c>
      <c r="BZ123" s="146" t="str">
        <f t="shared" ca="1" si="303"/>
        <v/>
      </c>
      <c r="CA123" s="146" t="str">
        <f t="shared" ca="1" si="304"/>
        <v/>
      </c>
      <c r="CB123" s="146" t="str">
        <f t="shared" ca="1" si="305"/>
        <v/>
      </c>
      <c r="CC123" s="302">
        <v>1</v>
      </c>
      <c r="CD123" s="154">
        <f ca="1">IF(BD123,_xll.xCrudeAPO(BS123,BT123,BY123,BZ123,S124,S125,BI123,BL123,BN123,BO123,0,Strike1,AO123,CC123,0,BL123,IF(OptControl=4,0,1),0,1),0)</f>
        <v>0</v>
      </c>
      <c r="CE123" s="155">
        <f ca="1">IF(BD123,_xll.xCrudeAPO(BS123,BT123,BY123,BZ123,S124,S125,BI123,BL123,BN123,BO123,0,Strike1,AO123,CC123,0,BL123,IF(OptControl=4,0,1),1,1)+_xll.xCrudeAPO(BS123,BT123,BY123,BZ123,S124,S125,BI123,BL123,BN123,BO123,0,Strike1,AO123,CC123,0,BL123,IF(OptControl=4,0,1),1,2)+IF(OR(VolSkewFlag=2,ABS(BQ123)&lt;0.0001),0,IF(BQ123&gt;0,-1,1)*CF123*Strike1/BP123^2*BW123/10%),0)</f>
        <v>0</v>
      </c>
      <c r="CF123" s="155">
        <f ca="1">IF(BD123,(_xll.xCrudeAPO(BS123,BT123,BY123,BZ123,S124,S125,BI123,BL123,BN123,BO123,0,Strike1,AO123,CC123,0,BL123,IF(OptControl=4,0,1),3,1)+_xll.xCrudeAPO(BS123,BT123,BY123,BZ123,S124,S125,BI123,BL123,BN123,BO123,0,Strike1,AO123,CC123,0,BL123,IF(OptControl=4,0,1),3,2))/100,0)</f>
        <v>0</v>
      </c>
      <c r="CG123" s="155">
        <f ca="1">IF(BD123,_xll.xCrudeAPO(BS123,BT123,BY123,BZ123,S124,S125,BI123-DaysForThetaCalculation/365.25,BL123-DaysForThetaCalculation/365.25,BN123,BO123,0,Strike1,AO123,CC123,0,BL123,IF(OptControl=4,0,1),0,1)-_xll.xCrudeAPO(BS123,BT123,BY123,BZ123,S124,S125,BI123,BL123,BN123,BO123,0,Strike1,AO123,CC123,0,BL123,IF(OptControl=4,0,1),0,1),0)</f>
        <v>0</v>
      </c>
      <c r="CH123" s="303">
        <f ca="1">IF(BD123,_xll.xCrudeAPO(BS123,BT123,CA123,CB123,S124,S125,BI123,BL123,BN123,BO123,0,Strike2,AO123,CC123,0,BL123,IF(OptControl=3,1,0),0,1),0)</f>
        <v>0</v>
      </c>
      <c r="CI123" s="155">
        <f ca="1">IF(BD123,_xll.xCrudeAPO(BS123,BT123,CA123,CB123,S124,S125,BI123,BL123,BN123,BO123,0,Strike2,AO123,CC123,0,BL123,IF(OptControl=3,1,0),1,1)+_xll.xCrudeAPO(BS123,BT123,CA123,CB123,S124,S125,BI123,BL123,BN123,BO123,0,Strike2,AO123,CC123,0,BL123,IF(OptControl=3,1,0),1,2)+IF(OR(VolSkewFlag=2,ABS(BR123)&lt;0.0001),0,IF(BR123&gt;0,-1,1)*CJ123*Strike2/BP123^2*BX123/10%),0)</f>
        <v>0</v>
      </c>
      <c r="CJ123" s="155">
        <f ca="1">IF(BD123,(_xll.xCrudeAPO(BS123,BT123,CA123,CB123,S124,S125,BI123,BL123,BN123,BO123,0,Strike2,AO123,CC123,0,BL123,IF(OptControl=3,1,0),3,1)+_xll.xCrudeAPO(BS123,BT123,CA123,CB123,S124,S125,BI123,BL123,BN123,BO123,0,Strike2,AO123,CC123,0,BL123,IF(OptControl=3,1,0),3,2))/100,0)</f>
        <v>0</v>
      </c>
      <c r="CK123" s="156">
        <f ca="1">IF(BD123,_xll.xCrudeAPO(BS123,BT123,CA123,CB123,S124,S125,BI123-DaysForThetaCalculation/365.25,BL123-DaysForThetaCalculation/365.25,BN123,BO123,0,Strike2,AO123,CC123,0,BL123,IF(OptControl=3,1,0),0,1)-_xll.xCrudeAPO(BS123,BT123,CA123,CB123,S124,S125,BI123,BL123,BN123,BO123,0,Strike2,AO123,CC123,0,BL123,IF(OptControl=3,1,0),0,1),0)</f>
        <v>0</v>
      </c>
      <c r="CL123" s="51"/>
      <c r="CM123" s="779" t="str">
        <f t="shared" ca="1" si="323"/>
        <v/>
      </c>
      <c r="CN123" s="783" t="str">
        <f t="shared" ca="1" si="324"/>
        <v/>
      </c>
      <c r="CO123" s="780" t="str">
        <f t="shared" ca="1" si="325"/>
        <v/>
      </c>
      <c r="CP123" s="780" t="str">
        <f t="shared" ca="1" si="326"/>
        <v/>
      </c>
      <c r="CQ123" s="780" t="str">
        <f t="shared" ca="1" si="327"/>
        <v/>
      </c>
      <c r="CR123" s="780" t="str">
        <f t="shared" ca="1" si="328"/>
        <v/>
      </c>
      <c r="CS123" s="781" t="str">
        <f t="shared" ca="1" si="329"/>
        <v/>
      </c>
      <c r="CT123" s="782" t="str">
        <f t="shared" ca="1" si="330"/>
        <v/>
      </c>
      <c r="CU123" s="782" t="str">
        <f t="shared" ca="1" si="331"/>
        <v/>
      </c>
      <c r="CV123" s="155">
        <f ca="1">IF(BD123,_xll.EURO(CN123,Strike1,AO123,AO123,CT123,CM123,IF(OptControl=4,0,1),0),0)</f>
        <v>0</v>
      </c>
      <c r="CW123" s="155">
        <f ca="1">IF(BD123,_xll.EURO(CN123,Strike1,AO123,AO123,CT123,CM123,IF(OptControl=4,0,1),1)+IF(OR(VolSkewFlag=2,ABS(CO123)&lt;0.0001),0,IF(CO123&gt;0,-1,1)*CX123*100*Strike1/CN123^2*CQ123/10%),0)</f>
        <v>0</v>
      </c>
      <c r="CX123" s="155">
        <f ca="1">IF(BD123,_xll.EURO(CN123,Strike1,AO123,AO123,CT123,CM123,IF(OptControl=4,0,1),3)/100,0)</f>
        <v>0</v>
      </c>
      <c r="CY123" s="155">
        <f ca="1">IF(BD123,_xll.EURO(CN123,Strike1,AO123,AO123,CT123,CM123,IF(OptControl=4,0,1),0)-_xll.EURO(CN123,Strike1,AO123,AO123,CT123,CM123-1,IF(OptControl=4,0,1),0),0)</f>
        <v>0</v>
      </c>
      <c r="CZ123" s="155">
        <f ca="1">IF(BD123,_xll.EURO(CN123,Strike2,AO123,AO123,CU123,CM123,IF(OptControl=3,1,0),0),0)</f>
        <v>0</v>
      </c>
      <c r="DA123" s="155">
        <f ca="1">IF(BD123,_xll.EURO(CN123,Strike2,AO123,AO123,CU123,CM123,IF(OptControl=3,1,0),1)+IF(OR(VolSkewFlag=2,ABS(CP123)&lt;0.0001),0,IF(CP123&gt;0,-1,1)*DB123*100*Strike2/CN123^2*CR123/10%),0)</f>
        <v>0</v>
      </c>
      <c r="DB123" s="155">
        <f ca="1">IF(BD123,_xll.EURO(CN123,Strike2,AO123,AO123,CU123,CM123,IF(OptControl=3,1,0),3)/100,0)</f>
        <v>0</v>
      </c>
      <c r="DC123" s="156">
        <f ca="1">IF(BD123,_xll.EURO(CN123,Strike2,AO123,AO123,CU123,CM123,IF(OptControl=3,1,0),0)-_xll.EURO(CN123,Strike2,AO123,AO123,CU123,CM123-1,IF(OptControl=3,1,0),0),0)</f>
        <v>0</v>
      </c>
      <c r="DE123" s="651">
        <f t="shared" ca="1" si="332"/>
        <v>40057</v>
      </c>
      <c r="DF123" s="465">
        <v>1E-4</v>
      </c>
      <c r="DG123" s="649">
        <v>1E-4</v>
      </c>
      <c r="DH123" s="650">
        <f t="shared" ca="1" si="463"/>
        <v>40057</v>
      </c>
      <c r="DI123" s="465">
        <v>1E-4</v>
      </c>
      <c r="DJ123" s="649">
        <v>1E-4</v>
      </c>
      <c r="DK123" s="651">
        <f t="shared" ca="1" si="464"/>
        <v>40057</v>
      </c>
      <c r="DL123" s="652">
        <f t="shared" si="465"/>
        <v>5.0100000000000006E-2</v>
      </c>
      <c r="DM123" s="651">
        <f t="shared" ca="1" si="333"/>
        <v>40057</v>
      </c>
      <c r="DN123" s="563">
        <f t="shared" si="334"/>
        <v>-0.12990000000000002</v>
      </c>
      <c r="DO123" s="803">
        <v>-0.13</v>
      </c>
      <c r="DP123" s="650">
        <f t="shared" ca="1" si="466"/>
        <v>40057</v>
      </c>
      <c r="DQ123" s="653">
        <v>1E-4</v>
      </c>
      <c r="DR123" s="590">
        <v>1E-4</v>
      </c>
      <c r="DS123" s="650">
        <f t="shared" ca="1" si="467"/>
        <v>40057</v>
      </c>
      <c r="DT123" s="653">
        <v>1E-4</v>
      </c>
      <c r="DU123" s="590">
        <v>1E-4</v>
      </c>
      <c r="DV123" s="651">
        <f t="shared" ca="1" si="468"/>
        <v>40057</v>
      </c>
      <c r="DW123" s="590">
        <v>1E-4</v>
      </c>
      <c r="DX123" s="651">
        <f t="shared" ca="1" si="335"/>
        <v>40057</v>
      </c>
      <c r="DY123" s="590">
        <f t="shared" si="336"/>
        <v>1E-4</v>
      </c>
      <c r="DZ123" s="1"/>
      <c r="EA123" s="857"/>
      <c r="EB123" s="857"/>
      <c r="EC123" s="857"/>
      <c r="ED123" s="868" t="e">
        <f t="shared" ca="1" si="436"/>
        <v>#NAME?</v>
      </c>
      <c r="EE123" s="863" t="e">
        <f t="shared" ca="1" si="312"/>
        <v>#NAME?</v>
      </c>
      <c r="EF123" s="590" t="e">
        <f t="shared" ca="1" si="313"/>
        <v>#NAME?</v>
      </c>
      <c r="EG123" s="862" t="str">
        <f t="shared" ca="1" si="469"/>
        <v/>
      </c>
      <c r="EH123" s="114" t="str">
        <f t="shared" ca="1" si="315"/>
        <v/>
      </c>
      <c r="EI123" s="109" t="str">
        <f t="shared" ca="1" si="316"/>
        <v/>
      </c>
      <c r="EJ123" s="115">
        <f ca="1">IF(BD123,_xll.xASN(BP123,Strike1,AO123,EH123,0,BM123,0,BI123,BL123,IF(OptControl=4,0,1),0),0)</f>
        <v>0</v>
      </c>
      <c r="EK123" s="108">
        <f ca="1">IF(BD123,_xll.xASN(BP123,Strike2,AO123,EI123,0,BM123,0,BI123,BL123,IF(OptControl=3,1,0),0),0)</f>
        <v>0</v>
      </c>
      <c r="EP123" s="53"/>
      <c r="EQ123" s="1"/>
      <c r="ER123" s="103"/>
      <c r="ES123" s="103"/>
      <c r="ET123" s="1"/>
      <c r="EU123" s="667" t="s">
        <v>335</v>
      </c>
      <c r="EW123" s="445"/>
      <c r="EX123" s="36"/>
      <c r="EY123" s="104"/>
      <c r="EZ123" s="465"/>
      <c r="FA123" s="446"/>
      <c r="FB123" s="446"/>
      <c r="FC123" s="242"/>
      <c r="FD123" s="242"/>
      <c r="FE123" s="242"/>
      <c r="FF123" s="242"/>
      <c r="FG123" s="242"/>
      <c r="FH123" s="242"/>
      <c r="FI123" s="242"/>
      <c r="FJ123" s="242"/>
      <c r="FK123" s="242"/>
      <c r="FL123" s="242"/>
      <c r="FM123" s="242"/>
      <c r="FN123" s="657">
        <v>29</v>
      </c>
      <c r="FO123" s="450">
        <f t="shared" ca="1" si="433"/>
        <v>0.17984798429840407</v>
      </c>
      <c r="FP123" s="450">
        <f t="shared" ca="1" si="473"/>
        <v>0.18061769493929147</v>
      </c>
      <c r="FQ123" s="450">
        <f t="shared" ca="1" si="473"/>
        <v>0.18130287057051162</v>
      </c>
      <c r="FR123" s="450">
        <f t="shared" ca="1" si="473"/>
        <v>0.18209580026090408</v>
      </c>
      <c r="FS123" s="450">
        <f t="shared" ca="1" si="473"/>
        <v>0.1830095138180178</v>
      </c>
      <c r="FT123" s="450">
        <f t="shared" ca="1" si="473"/>
        <v>0.18405883489131331</v>
      </c>
      <c r="FU123" s="450">
        <f t="shared" ca="1" si="473"/>
        <v>0.18526066937150898</v>
      </c>
      <c r="FV123" s="450">
        <f t="shared" ca="1" si="473"/>
        <v>0.18663434971964585</v>
      </c>
      <c r="FW123" s="450">
        <f t="shared" ca="1" si="473"/>
        <v>0.18820204820871728</v>
      </c>
      <c r="FX123" s="450">
        <f t="shared" ca="1" si="473"/>
        <v>0.18998927557094947</v>
      </c>
      <c r="FY123" s="450">
        <f t="shared" ca="1" si="473"/>
        <v>0.19202548613513851</v>
      </c>
      <c r="FZ123" s="450">
        <f t="shared" ca="1" si="473"/>
        <v>0.19434481658571082</v>
      </c>
      <c r="GA123" s="450">
        <f t="shared" ca="1" si="473"/>
        <v>0.1969869934986275</v>
      </c>
      <c r="GB123" s="450">
        <f t="shared" ca="1" si="473"/>
        <v>0.19999845553732154</v>
      </c>
      <c r="GC123" s="450">
        <f t="shared" ca="1" si="473"/>
        <v>0.20343375065382988</v>
      </c>
      <c r="GD123" s="450">
        <f t="shared" ca="1" si="473"/>
        <v>0.20735728830485337</v>
      </c>
      <c r="GE123" s="450">
        <f t="shared" ca="1" si="473"/>
        <v>0.21184555367683838</v>
      </c>
      <c r="GF123" s="450">
        <f t="shared" ca="1" si="473"/>
        <v>0.21698992830364899</v>
      </c>
      <c r="GG123" s="450">
        <f t="shared" ca="1" si="473"/>
        <v>0.22290031380290526</v>
      </c>
      <c r="GH123" s="450">
        <f t="shared" ca="1" si="473"/>
        <v>0.22970982953832353</v>
      </c>
      <c r="GI123" s="450">
        <f t="shared" ca="1" si="473"/>
        <v>0.23758096109136312</v>
      </c>
      <c r="GJ123" s="450">
        <f t="shared" ca="1" si="473"/>
        <v>0.24671369021093514</v>
      </c>
      <c r="GK123" s="450">
        <f t="shared" ca="1" si="473"/>
        <v>0.25735636283828506</v>
      </c>
      <c r="GL123" s="450">
        <f t="shared" ca="1" si="473"/>
        <v>0.26982038846206652</v>
      </c>
      <c r="GM123" s="450">
        <f t="shared" ca="1" si="473"/>
        <v>0.28450037341104079</v>
      </c>
      <c r="GN123" s="450">
        <f t="shared" ca="1" si="473"/>
        <v>0.30190207404697184</v>
      </c>
      <c r="GO123" s="450">
        <f t="shared" ca="1" si="473"/>
        <v>0.32268178203886827</v>
      </c>
      <c r="GP123" s="450">
        <f t="shared" ca="1" si="473"/>
        <v>0.3477027103685521</v>
      </c>
      <c r="GQ123" s="450">
        <f t="shared" ca="1" si="473"/>
        <v>0.37811713571735522</v>
      </c>
      <c r="GR123" s="450" t="str">
        <f t="shared" si="473"/>
        <v/>
      </c>
      <c r="GS123" s="450" t="str">
        <f t="shared" si="473"/>
        <v/>
      </c>
      <c r="GT123" s="450" t="str">
        <f t="shared" si="473"/>
        <v/>
      </c>
      <c r="GU123" s="450" t="str">
        <f t="shared" si="473"/>
        <v/>
      </c>
      <c r="GV123" s="450" t="str">
        <f t="shared" si="473"/>
        <v/>
      </c>
      <c r="GW123" s="450" t="str">
        <f t="shared" si="473"/>
        <v/>
      </c>
      <c r="GX123" s="450" t="str">
        <f t="shared" si="473"/>
        <v/>
      </c>
      <c r="GY123" s="450" t="str">
        <f t="shared" si="473"/>
        <v/>
      </c>
      <c r="GZ123" s="450" t="str">
        <f t="shared" si="473"/>
        <v/>
      </c>
      <c r="HA123" s="450" t="str">
        <f t="shared" si="473"/>
        <v/>
      </c>
      <c r="HB123" s="450" t="str">
        <f t="shared" si="473"/>
        <v/>
      </c>
      <c r="HC123" s="450" t="str">
        <f t="shared" si="473"/>
        <v/>
      </c>
      <c r="HD123" s="450" t="str">
        <f t="shared" si="473"/>
        <v/>
      </c>
      <c r="HE123" s="450" t="str">
        <f t="shared" si="473"/>
        <v/>
      </c>
      <c r="HF123" s="450" t="str">
        <f t="shared" si="473"/>
        <v/>
      </c>
      <c r="HG123" s="450" t="str">
        <f t="shared" si="473"/>
        <v/>
      </c>
      <c r="HH123" s="450" t="str">
        <f t="shared" si="473"/>
        <v/>
      </c>
      <c r="HI123" s="450" t="str">
        <f t="shared" si="473"/>
        <v/>
      </c>
      <c r="HJ123" s="450" t="str">
        <f t="shared" si="473"/>
        <v/>
      </c>
      <c r="HK123" s="450" t="str">
        <f t="shared" si="473"/>
        <v/>
      </c>
      <c r="HL123" s="450" t="str">
        <f t="shared" si="473"/>
        <v/>
      </c>
      <c r="HM123" s="450" t="str">
        <f t="shared" si="473"/>
        <v/>
      </c>
      <c r="HN123" s="450" t="str">
        <f t="shared" si="473"/>
        <v/>
      </c>
      <c r="HO123" s="450" t="str">
        <f t="shared" si="473"/>
        <v/>
      </c>
      <c r="HP123" s="450" t="str">
        <f t="shared" si="473"/>
        <v/>
      </c>
      <c r="HQ123" s="450" t="str">
        <f t="shared" si="473"/>
        <v/>
      </c>
      <c r="HR123" s="450" t="str">
        <f t="shared" si="473"/>
        <v/>
      </c>
      <c r="HS123" s="450" t="str">
        <f t="shared" si="473"/>
        <v/>
      </c>
      <c r="HT123" s="450" t="str">
        <f t="shared" si="473"/>
        <v/>
      </c>
      <c r="HU123" s="450" t="str">
        <f t="shared" si="473"/>
        <v/>
      </c>
      <c r="HV123" s="450" t="str">
        <f t="shared" si="473"/>
        <v/>
      </c>
      <c r="HW123" s="450" t="str">
        <f t="shared" si="473"/>
        <v/>
      </c>
      <c r="HX123" s="450" t="str">
        <f t="shared" si="473"/>
        <v/>
      </c>
      <c r="HY123" s="450" t="str">
        <f t="shared" si="473"/>
        <v/>
      </c>
      <c r="HZ123" s="450" t="str">
        <f t="shared" si="473"/>
        <v/>
      </c>
      <c r="IA123" s="450" t="str">
        <f t="shared" si="473"/>
        <v/>
      </c>
      <c r="IB123" s="450" t="str">
        <f t="shared" si="472"/>
        <v/>
      </c>
      <c r="IC123" s="450" t="str">
        <f t="shared" si="472"/>
        <v/>
      </c>
      <c r="ID123" s="450" t="str">
        <f t="shared" si="472"/>
        <v/>
      </c>
      <c r="IE123" s="450" t="str">
        <f t="shared" si="472"/>
        <v/>
      </c>
      <c r="IF123" s="450" t="str">
        <f t="shared" si="472"/>
        <v/>
      </c>
      <c r="IG123" s="450" t="str">
        <f t="shared" si="472"/>
        <v/>
      </c>
      <c r="IH123" s="658" t="str">
        <f t="shared" si="472"/>
        <v/>
      </c>
      <c r="II123" s="242"/>
    </row>
    <row r="124" spans="8:243">
      <c r="H124" s="49" t="e">
        <f t="shared" ca="1" si="317"/>
        <v>#N/A</v>
      </c>
      <c r="I124" s="369">
        <f t="shared" si="318"/>
        <v>40179</v>
      </c>
      <c r="J124" s="367">
        <v>22.0766666666666</v>
      </c>
      <c r="K124" s="101" t="s">
        <v>267</v>
      </c>
      <c r="L124" s="382">
        <f t="shared" si="319"/>
        <v>22.076666666666643</v>
      </c>
      <c r="M124" s="163">
        <v>0.16440000000000002</v>
      </c>
      <c r="N124" s="372">
        <v>0</v>
      </c>
      <c r="O124" s="163">
        <f t="shared" si="272"/>
        <v>0.16440000000000002</v>
      </c>
      <c r="P124" s="367">
        <v>20.823417278869201</v>
      </c>
      <c r="Q124" s="101" t="s">
        <v>267</v>
      </c>
      <c r="R124" s="367">
        <f t="shared" ca="1" si="417"/>
        <v>20.823417278869211</v>
      </c>
      <c r="S124" s="814">
        <f t="shared" si="474"/>
        <v>0.35775804073525386</v>
      </c>
      <c r="T124" s="813">
        <f t="shared" si="418"/>
        <v>0.99999863963128166</v>
      </c>
      <c r="U124" s="532">
        <f t="shared" si="419"/>
        <v>0.99999999999999845</v>
      </c>
      <c r="V124" s="379">
        <v>0</v>
      </c>
      <c r="W124" s="424">
        <f t="shared" si="452"/>
        <v>22.09916666666664</v>
      </c>
      <c r="X124" s="405">
        <f t="shared" si="453"/>
        <v>22.09916666666664</v>
      </c>
      <c r="Y124" s="313">
        <f t="shared" si="454"/>
        <v>20.883166666666639</v>
      </c>
      <c r="Z124" s="313">
        <f t="shared" ca="1" si="455"/>
        <v>20.883166666666639</v>
      </c>
      <c r="AA124" s="419">
        <f t="shared" si="277"/>
        <v>1.216</v>
      </c>
      <c r="AB124" s="423">
        <f t="shared" ca="1" si="278"/>
        <v>1.216</v>
      </c>
      <c r="AC124" s="221">
        <v>40167</v>
      </c>
      <c r="AD124" s="221">
        <v>40163</v>
      </c>
      <c r="AE124" s="221">
        <v>40162</v>
      </c>
      <c r="AF124" s="221">
        <v>40158</v>
      </c>
      <c r="AG124" s="241" t="s">
        <v>497</v>
      </c>
      <c r="AH124" s="239" t="s">
        <v>497</v>
      </c>
      <c r="AI124" s="141">
        <v>20</v>
      </c>
      <c r="AJ124" s="41">
        <v>13</v>
      </c>
      <c r="AK124" s="41">
        <v>7</v>
      </c>
      <c r="AL124" s="285">
        <v>20</v>
      </c>
      <c r="AM124" s="41">
        <v>9</v>
      </c>
      <c r="AN124" s="142">
        <v>11</v>
      </c>
      <c r="AO124" s="364">
        <v>5.8129976110368603E-2</v>
      </c>
      <c r="AP124" s="145">
        <f t="shared" ca="1" si="320"/>
        <v>0.6035032852912755</v>
      </c>
      <c r="AQ124" s="364">
        <v>4.9521931400777298E-2</v>
      </c>
      <c r="AR124" s="145">
        <f t="shared" ca="1" si="420"/>
        <v>0.65379129483937048</v>
      </c>
      <c r="AS124" s="264">
        <f t="shared" si="456"/>
        <v>0.16399750000000002</v>
      </c>
      <c r="AT124" s="149">
        <f t="shared" si="321"/>
        <v>0.16440000000000002</v>
      </c>
      <c r="AU124" s="149">
        <f t="shared" si="280"/>
        <v>0.16396749999999999</v>
      </c>
      <c r="AV124" s="263">
        <f t="shared" ca="1" si="430"/>
        <v>0.16144244091077223</v>
      </c>
      <c r="AW124" s="150" t="str">
        <f t="shared" ca="1" si="457"/>
        <v/>
      </c>
      <c r="AX124" s="149">
        <f t="shared" ca="1" si="421"/>
        <v>1.5008373940361539E-2</v>
      </c>
      <c r="AY124" s="149">
        <f t="shared" ca="1" si="422"/>
        <v>6.4205364621767692E-3</v>
      </c>
      <c r="AZ124" s="149">
        <f t="shared" ca="1" si="423"/>
        <v>4.5185485026949246E-3</v>
      </c>
      <c r="BA124" s="149">
        <f t="shared" ca="1" si="424"/>
        <v>1.0000000000000388E-4</v>
      </c>
      <c r="BB124" s="149">
        <f t="shared" ca="1" si="425"/>
        <v>1.0000000000000388E-4</v>
      </c>
      <c r="BC124" s="149">
        <f t="shared" ca="1" si="426"/>
        <v>1.0000000000000388E-4</v>
      </c>
      <c r="BD124" s="143">
        <f t="shared" ca="1" si="458"/>
        <v>0</v>
      </c>
      <c r="BE124" s="144">
        <f t="shared" ca="1" si="459"/>
        <v>0</v>
      </c>
      <c r="BF124" s="40">
        <f t="shared" si="460"/>
        <v>2010</v>
      </c>
      <c r="BG124" s="139">
        <f t="shared" si="461"/>
        <v>1</v>
      </c>
      <c r="BH124" s="140">
        <f t="shared" ca="1" si="462"/>
        <v>3173</v>
      </c>
      <c r="BI124" s="304">
        <f t="shared" ca="1" si="440"/>
        <v>8.7310061601642719</v>
      </c>
      <c r="BJ124" s="42">
        <f t="shared" ca="1" si="288"/>
        <v>8.7843942505133477</v>
      </c>
      <c r="BK124" s="42">
        <f t="shared" ca="1" si="289"/>
        <v>8.7871321013004806</v>
      </c>
      <c r="BL124" s="42">
        <f t="shared" ca="1" si="441"/>
        <v>8.8131416837782339</v>
      </c>
      <c r="BM124" s="285">
        <f t="shared" si="442"/>
        <v>20</v>
      </c>
      <c r="BN124" s="41">
        <f t="shared" si="443"/>
        <v>13</v>
      </c>
      <c r="BO124" s="41">
        <f t="shared" si="444"/>
        <v>7</v>
      </c>
      <c r="BP124" s="297" t="str">
        <f t="shared" ca="1" si="293"/>
        <v/>
      </c>
      <c r="BQ124" s="297" t="str">
        <f t="shared" ca="1" si="294"/>
        <v/>
      </c>
      <c r="BR124" s="299" t="str">
        <f t="shared" ca="1" si="295"/>
        <v/>
      </c>
      <c r="BS124" s="153" t="str">
        <f t="shared" ca="1" si="296"/>
        <v/>
      </c>
      <c r="BT124" s="153" t="str">
        <f t="shared" ca="1" si="297"/>
        <v/>
      </c>
      <c r="BU124" s="300" t="str">
        <f t="shared" ca="1" si="298"/>
        <v/>
      </c>
      <c r="BV124" s="301" t="str">
        <f t="shared" ca="1" si="299"/>
        <v/>
      </c>
      <c r="BW124" s="300" t="str">
        <f t="shared" ca="1" si="300"/>
        <v/>
      </c>
      <c r="BX124" s="301" t="str">
        <f t="shared" ca="1" si="301"/>
        <v/>
      </c>
      <c r="BY124" s="146" t="str">
        <f t="shared" ca="1" si="302"/>
        <v/>
      </c>
      <c r="BZ124" s="146" t="str">
        <f t="shared" ca="1" si="303"/>
        <v/>
      </c>
      <c r="CA124" s="146" t="str">
        <f t="shared" ca="1" si="304"/>
        <v/>
      </c>
      <c r="CB124" s="146" t="str">
        <f t="shared" ca="1" si="305"/>
        <v/>
      </c>
      <c r="CC124" s="302">
        <v>1</v>
      </c>
      <c r="CD124" s="154">
        <f ca="1">IF(BD124,_xll.xCrudeAPO(BS124,BT124,BY124,BZ124,S125,S126,BI124,BL124,BN124,BO124,0,Strike1,AO124,CC124,0,BL124,IF(OptControl=4,0,1),0,1),0)</f>
        <v>0</v>
      </c>
      <c r="CE124" s="155">
        <f ca="1">IF(BD124,_xll.xCrudeAPO(BS124,BT124,BY124,BZ124,S125,S126,BI124,BL124,BN124,BO124,0,Strike1,AO124,CC124,0,BL124,IF(OptControl=4,0,1),1,1)+_xll.xCrudeAPO(BS124,BT124,BY124,BZ124,S125,S126,BI124,BL124,BN124,BO124,0,Strike1,AO124,CC124,0,BL124,IF(OptControl=4,0,1),1,2)+IF(OR(VolSkewFlag=2,ABS(BQ124)&lt;0.0001),0,IF(BQ124&gt;0,-1,1)*CF124*Strike1/BP124^2*BW124/10%),0)</f>
        <v>0</v>
      </c>
      <c r="CF124" s="155">
        <f ca="1">IF(BD124,(_xll.xCrudeAPO(BS124,BT124,BY124,BZ124,S125,S126,BI124,BL124,BN124,BO124,0,Strike1,AO124,CC124,0,BL124,IF(OptControl=4,0,1),3,1)+_xll.xCrudeAPO(BS124,BT124,BY124,BZ124,S125,S126,BI124,BL124,BN124,BO124,0,Strike1,AO124,CC124,0,BL124,IF(OptControl=4,0,1),3,2))/100,0)</f>
        <v>0</v>
      </c>
      <c r="CG124" s="155">
        <f ca="1">IF(BD124,_xll.xCrudeAPO(BS124,BT124,BY124,BZ124,S125,S126,BI124-DaysForThetaCalculation/365.25,BL124-DaysForThetaCalculation/365.25,BN124,BO124,0,Strike1,AO124,CC124,0,BL124,IF(OptControl=4,0,1),0,1)-_xll.xCrudeAPO(BS124,BT124,BY124,BZ124,S125,S126,BI124,BL124,BN124,BO124,0,Strike1,AO124,CC124,0,BL124,IF(OptControl=4,0,1),0,1),0)</f>
        <v>0</v>
      </c>
      <c r="CH124" s="303">
        <f ca="1">IF(BD124,_xll.xCrudeAPO(BS124,BT124,CA124,CB124,S125,S126,BI124,BL124,BN124,BO124,0,Strike2,AO124,CC124,0,BL124,IF(OptControl=3,1,0),0,1),0)</f>
        <v>0</v>
      </c>
      <c r="CI124" s="155">
        <f ca="1">IF(BD124,_xll.xCrudeAPO(BS124,BT124,CA124,CB124,S125,S126,BI124,BL124,BN124,BO124,0,Strike2,AO124,CC124,0,BL124,IF(OptControl=3,1,0),1,1)+_xll.xCrudeAPO(BS124,BT124,CA124,CB124,S125,S126,BI124,BL124,BN124,BO124,0,Strike2,AO124,CC124,0,BL124,IF(OptControl=3,1,0),1,2)+IF(OR(VolSkewFlag=2,ABS(BR124)&lt;0.0001),0,IF(BR124&gt;0,-1,1)*CJ124*Strike2/BP124^2*BX124/10%),0)</f>
        <v>0</v>
      </c>
      <c r="CJ124" s="155">
        <f ca="1">IF(BD124,(_xll.xCrudeAPO(BS124,BT124,CA124,CB124,S125,S126,BI124,BL124,BN124,BO124,0,Strike2,AO124,CC124,0,BL124,IF(OptControl=3,1,0),3,1)+_xll.xCrudeAPO(BS124,BT124,CA124,CB124,S125,S126,BI124,BL124,BN124,BO124,0,Strike2,AO124,CC124,0,BL124,IF(OptControl=3,1,0),3,2))/100,0)</f>
        <v>0</v>
      </c>
      <c r="CK124" s="156">
        <f ca="1">IF(BD124,_xll.xCrudeAPO(BS124,BT124,CA124,CB124,S125,S126,BI124-DaysForThetaCalculation/365.25,BL124-DaysForThetaCalculation/365.25,BN124,BO124,0,Strike2,AO124,CC124,0,BL124,IF(OptControl=3,1,0),0,1)-_xll.xCrudeAPO(BS124,BT124,CA124,CB124,S125,S126,BI124,BL124,BN124,BO124,0,Strike2,AO124,CC124,0,BL124,IF(OptControl=3,1,0),0,1),0)</f>
        <v>0</v>
      </c>
      <c r="CL124" s="51"/>
      <c r="CM124" s="779" t="str">
        <f t="shared" ca="1" si="323"/>
        <v/>
      </c>
      <c r="CN124" s="783" t="str">
        <f t="shared" ca="1" si="324"/>
        <v/>
      </c>
      <c r="CO124" s="780" t="str">
        <f t="shared" ca="1" si="325"/>
        <v/>
      </c>
      <c r="CP124" s="780" t="str">
        <f t="shared" ca="1" si="326"/>
        <v/>
      </c>
      <c r="CQ124" s="780" t="str">
        <f t="shared" ca="1" si="327"/>
        <v/>
      </c>
      <c r="CR124" s="780" t="str">
        <f t="shared" ca="1" si="328"/>
        <v/>
      </c>
      <c r="CS124" s="781" t="str">
        <f t="shared" ca="1" si="329"/>
        <v/>
      </c>
      <c r="CT124" s="782" t="str">
        <f t="shared" ca="1" si="330"/>
        <v/>
      </c>
      <c r="CU124" s="782" t="str">
        <f t="shared" ca="1" si="331"/>
        <v/>
      </c>
      <c r="CV124" s="155">
        <f ca="1">IF(BD124,_xll.EURO(CN124,Strike1,AO124,AO124,CT124,CM124,IF(OptControl=4,0,1),0),0)</f>
        <v>0</v>
      </c>
      <c r="CW124" s="155">
        <f ca="1">IF(BD124,_xll.EURO(CN124,Strike1,AO124,AO124,CT124,CM124,IF(OptControl=4,0,1),1)+IF(OR(VolSkewFlag=2,ABS(CO124)&lt;0.0001),0,IF(CO124&gt;0,-1,1)*CX124*100*Strike1/CN124^2*CQ124/10%),0)</f>
        <v>0</v>
      </c>
      <c r="CX124" s="155">
        <f ca="1">IF(BD124,_xll.EURO(CN124,Strike1,AO124,AO124,CT124,CM124,IF(OptControl=4,0,1),3)/100,0)</f>
        <v>0</v>
      </c>
      <c r="CY124" s="155">
        <f ca="1">IF(BD124,_xll.EURO(CN124,Strike1,AO124,AO124,CT124,CM124,IF(OptControl=4,0,1),0)-_xll.EURO(CN124,Strike1,AO124,AO124,CT124,CM124-1,IF(OptControl=4,0,1),0),0)</f>
        <v>0</v>
      </c>
      <c r="CZ124" s="155">
        <f ca="1">IF(BD124,_xll.EURO(CN124,Strike2,AO124,AO124,CU124,CM124,IF(OptControl=3,1,0),0),0)</f>
        <v>0</v>
      </c>
      <c r="DA124" s="155">
        <f ca="1">IF(BD124,_xll.EURO(CN124,Strike2,AO124,AO124,CU124,CM124,IF(OptControl=3,1,0),1)+IF(OR(VolSkewFlag=2,ABS(CP124)&lt;0.0001),0,IF(CP124&gt;0,-1,1)*DB124*100*Strike2/CN124^2*CR124/10%),0)</f>
        <v>0</v>
      </c>
      <c r="DB124" s="155">
        <f ca="1">IF(BD124,_xll.EURO(CN124,Strike2,AO124,AO124,CU124,CM124,IF(OptControl=3,1,0),3)/100,0)</f>
        <v>0</v>
      </c>
      <c r="DC124" s="156">
        <f ca="1">IF(BD124,_xll.EURO(CN124,Strike2,AO124,AO124,CU124,CM124,IF(OptControl=3,1,0),0)-_xll.EURO(CN124,Strike2,AO124,AO124,CU124,CM124-1,IF(OptControl=3,1,0),0),0)</f>
        <v>0</v>
      </c>
      <c r="DE124" s="651">
        <f t="shared" ca="1" si="332"/>
        <v>40087</v>
      </c>
      <c r="DF124" s="465">
        <v>1E-4</v>
      </c>
      <c r="DG124" s="649">
        <v>1E-4</v>
      </c>
      <c r="DH124" s="650">
        <f t="shared" ca="1" si="463"/>
        <v>40087</v>
      </c>
      <c r="DI124" s="465">
        <v>1E-4</v>
      </c>
      <c r="DJ124" s="649">
        <v>1E-4</v>
      </c>
      <c r="DK124" s="651">
        <f t="shared" ca="1" si="464"/>
        <v>40087</v>
      </c>
      <c r="DL124" s="652">
        <f t="shared" si="465"/>
        <v>5.0100000000000006E-2</v>
      </c>
      <c r="DM124" s="651">
        <f t="shared" ca="1" si="333"/>
        <v>40087</v>
      </c>
      <c r="DN124" s="563">
        <f t="shared" si="334"/>
        <v>-0.12990000000000002</v>
      </c>
      <c r="DO124" s="803">
        <v>-0.13</v>
      </c>
      <c r="DP124" s="650">
        <f t="shared" ca="1" si="466"/>
        <v>40087</v>
      </c>
      <c r="DQ124" s="653">
        <v>1E-4</v>
      </c>
      <c r="DR124" s="590">
        <v>1E-4</v>
      </c>
      <c r="DS124" s="650">
        <f t="shared" ca="1" si="467"/>
        <v>40087</v>
      </c>
      <c r="DT124" s="653">
        <v>1E-4</v>
      </c>
      <c r="DU124" s="590">
        <v>1E-4</v>
      </c>
      <c r="DV124" s="651">
        <f t="shared" ca="1" si="468"/>
        <v>40087</v>
      </c>
      <c r="DW124" s="590">
        <v>1E-4</v>
      </c>
      <c r="DX124" s="651">
        <f t="shared" ca="1" si="335"/>
        <v>40087</v>
      </c>
      <c r="DY124" s="590">
        <f t="shared" si="336"/>
        <v>1E-4</v>
      </c>
      <c r="DZ124" s="1"/>
      <c r="EA124" s="857"/>
      <c r="EB124" s="857"/>
      <c r="EC124" s="857"/>
      <c r="ED124" s="868" t="e">
        <f t="shared" ca="1" si="436"/>
        <v>#NAME?</v>
      </c>
      <c r="EE124" s="863" t="e">
        <f t="shared" ca="1" si="312"/>
        <v>#NAME?</v>
      </c>
      <c r="EF124" s="590" t="e">
        <f t="shared" ca="1" si="313"/>
        <v>#NAME?</v>
      </c>
      <c r="EG124" s="862" t="str">
        <f t="shared" ca="1" si="469"/>
        <v/>
      </c>
      <c r="EH124" s="114" t="str">
        <f t="shared" ca="1" si="315"/>
        <v/>
      </c>
      <c r="EI124" s="109" t="str">
        <f t="shared" ca="1" si="316"/>
        <v/>
      </c>
      <c r="EJ124" s="115">
        <f ca="1">IF(BD124,_xll.xASN(BP124,Strike1,AO124,EH124,0,BM124,0,BI124,BL124,IF(OptControl=4,0,1),0),0)</f>
        <v>0</v>
      </c>
      <c r="EK124" s="108">
        <f ca="1">IF(BD124,_xll.xASN(BP124,Strike2,AO124,EI124,0,BM124,0,BI124,BL124,IF(OptControl=3,1,0),0),0)</f>
        <v>0</v>
      </c>
      <c r="EP124" s="53"/>
      <c r="EQ124" s="1"/>
      <c r="ER124" s="103"/>
      <c r="ES124" s="103"/>
      <c r="ET124" s="1"/>
      <c r="EU124" s="667" t="s">
        <v>336</v>
      </c>
      <c r="EW124" s="445"/>
      <c r="EX124" s="36"/>
      <c r="EY124" s="104"/>
      <c r="EZ124" s="465"/>
      <c r="FA124" s="446"/>
      <c r="FB124" s="446"/>
      <c r="FC124" s="242"/>
      <c r="FD124" s="242"/>
      <c r="FE124" s="242"/>
      <c r="FF124" s="242"/>
      <c r="FG124" s="242"/>
      <c r="FH124" s="242"/>
      <c r="FI124" s="242"/>
      <c r="FJ124" s="242"/>
      <c r="FK124" s="242"/>
      <c r="FL124" s="242"/>
      <c r="FM124" s="242"/>
      <c r="FN124" s="657">
        <v>30</v>
      </c>
      <c r="FO124" s="450">
        <f t="shared" ca="1" si="433"/>
        <v>0.17911174152668338</v>
      </c>
      <c r="FP124" s="450">
        <f t="shared" ca="1" si="473"/>
        <v>0.17979595865134673</v>
      </c>
      <c r="FQ124" s="450">
        <f t="shared" ca="1" si="473"/>
        <v>0.18038613379193336</v>
      </c>
      <c r="FR124" s="450">
        <f t="shared" ca="1" si="473"/>
        <v>0.1810724599904541</v>
      </c>
      <c r="FS124" s="450">
        <f t="shared" ca="1" si="473"/>
        <v>0.18186640463123904</v>
      </c>
      <c r="FT124" s="450">
        <f t="shared" ca="1" si="473"/>
        <v>0.18278098471219045</v>
      </c>
      <c r="FU124" s="450">
        <f t="shared" ca="1" si="473"/>
        <v>0.18383100937098723</v>
      </c>
      <c r="FV124" s="450">
        <f t="shared" ca="1" si="473"/>
        <v>0.18503336801764853</v>
      </c>
      <c r="FW124" s="450">
        <f t="shared" ca="1" si="473"/>
        <v>0.18640737434534227</v>
      </c>
      <c r="FX124" s="450">
        <f t="shared" ca="1" si="473"/>
        <v>0.18797517919035348</v>
      </c>
      <c r="FY124" s="450">
        <f t="shared" ca="1" si="473"/>
        <v>0.18976226871915255</v>
      </c>
      <c r="FZ124" s="450">
        <f t="shared" ca="1" si="473"/>
        <v>0.19179806900763022</v>
      </c>
      <c r="GA124" s="450">
        <f t="shared" ca="1" si="473"/>
        <v>0.1941166841193043</v>
      </c>
      <c r="GB124" s="450">
        <f t="shared" ca="1" si="473"/>
        <v>0.19675780280545282</v>
      </c>
      <c r="GC124" s="450">
        <f t="shared" ca="1" si="473"/>
        <v>0.19976781966842672</v>
      </c>
      <c r="GD124" s="450">
        <f t="shared" ca="1" si="473"/>
        <v>0.20320123107823834</v>
      </c>
      <c r="GE124" s="450">
        <f t="shared" ca="1" si="473"/>
        <v>0.20712238577925124</v>
      </c>
      <c r="GF124" s="450">
        <f t="shared" ca="1" si="473"/>
        <v>0.21160769708371857</v>
      </c>
      <c r="GG124" s="450">
        <f t="shared" ca="1" si="473"/>
        <v>0.21674846090458497</v>
      </c>
      <c r="GH124" s="450">
        <f t="shared" ca="1" si="473"/>
        <v>0.22265447617521497</v>
      </c>
      <c r="GI124" s="450">
        <f t="shared" ca="1" si="473"/>
        <v>0.22945873821819521</v>
      </c>
      <c r="GJ124" s="450">
        <f t="shared" ca="1" si="473"/>
        <v>0.23732358160586248</v>
      </c>
      <c r="GK124" s="450">
        <f t="shared" ca="1" si="473"/>
        <v>0.24644880270249395</v>
      </c>
      <c r="GL124" s="450">
        <f t="shared" ca="1" si="473"/>
        <v>0.25708251780379382</v>
      </c>
      <c r="GM124" s="450">
        <f t="shared" ca="1" si="473"/>
        <v>0.26953584914576484</v>
      </c>
      <c r="GN124" s="450">
        <f t="shared" ca="1" si="473"/>
        <v>0.28420303995215385</v>
      </c>
      <c r="GO124" s="450">
        <f t="shared" ca="1" si="473"/>
        <v>0.30158938234579474</v>
      </c>
      <c r="GP124" s="450">
        <f t="shared" ca="1" si="473"/>
        <v>0.32235056707554965</v>
      </c>
      <c r="GQ124" s="450">
        <f t="shared" ca="1" si="473"/>
        <v>0.34734901873993101</v>
      </c>
      <c r="GR124" s="450">
        <f t="shared" ca="1" si="473"/>
        <v>0.37773596436018164</v>
      </c>
      <c r="GS124" s="450" t="str">
        <f t="shared" si="473"/>
        <v/>
      </c>
      <c r="GT124" s="450" t="str">
        <f t="shared" si="473"/>
        <v/>
      </c>
      <c r="GU124" s="450" t="str">
        <f t="shared" si="473"/>
        <v/>
      </c>
      <c r="GV124" s="450" t="str">
        <f t="shared" si="473"/>
        <v/>
      </c>
      <c r="GW124" s="450" t="str">
        <f t="shared" si="473"/>
        <v/>
      </c>
      <c r="GX124" s="450" t="str">
        <f t="shared" si="473"/>
        <v/>
      </c>
      <c r="GY124" s="450" t="str">
        <f t="shared" si="473"/>
        <v/>
      </c>
      <c r="GZ124" s="450" t="str">
        <f t="shared" si="473"/>
        <v/>
      </c>
      <c r="HA124" s="450" t="str">
        <f t="shared" si="473"/>
        <v/>
      </c>
      <c r="HB124" s="450" t="str">
        <f t="shared" si="473"/>
        <v/>
      </c>
      <c r="HC124" s="450" t="str">
        <f t="shared" si="473"/>
        <v/>
      </c>
      <c r="HD124" s="450" t="str">
        <f t="shared" si="473"/>
        <v/>
      </c>
      <c r="HE124" s="450" t="str">
        <f t="shared" si="473"/>
        <v/>
      </c>
      <c r="HF124" s="450" t="str">
        <f t="shared" si="473"/>
        <v/>
      </c>
      <c r="HG124" s="450" t="str">
        <f t="shared" si="473"/>
        <v/>
      </c>
      <c r="HH124" s="450" t="str">
        <f t="shared" si="473"/>
        <v/>
      </c>
      <c r="HI124" s="450" t="str">
        <f t="shared" si="473"/>
        <v/>
      </c>
      <c r="HJ124" s="450" t="str">
        <f t="shared" si="473"/>
        <v/>
      </c>
      <c r="HK124" s="450" t="str">
        <f t="shared" si="473"/>
        <v/>
      </c>
      <c r="HL124" s="450" t="str">
        <f t="shared" si="473"/>
        <v/>
      </c>
      <c r="HM124" s="450" t="str">
        <f t="shared" si="473"/>
        <v/>
      </c>
      <c r="HN124" s="450" t="str">
        <f t="shared" si="473"/>
        <v/>
      </c>
      <c r="HO124" s="450" t="str">
        <f t="shared" si="473"/>
        <v/>
      </c>
      <c r="HP124" s="450" t="str">
        <f t="shared" si="473"/>
        <v/>
      </c>
      <c r="HQ124" s="450" t="str">
        <f t="shared" si="473"/>
        <v/>
      </c>
      <c r="HR124" s="450" t="str">
        <f t="shared" si="473"/>
        <v/>
      </c>
      <c r="HS124" s="450" t="str">
        <f t="shared" si="473"/>
        <v/>
      </c>
      <c r="HT124" s="450" t="str">
        <f t="shared" si="473"/>
        <v/>
      </c>
      <c r="HU124" s="450" t="str">
        <f t="shared" si="473"/>
        <v/>
      </c>
      <c r="HV124" s="450" t="str">
        <f t="shared" si="473"/>
        <v/>
      </c>
      <c r="HW124" s="450" t="str">
        <f t="shared" si="473"/>
        <v/>
      </c>
      <c r="HX124" s="450" t="str">
        <f t="shared" si="473"/>
        <v/>
      </c>
      <c r="HY124" s="450" t="str">
        <f t="shared" si="473"/>
        <v/>
      </c>
      <c r="HZ124" s="450" t="str">
        <f t="shared" si="473"/>
        <v/>
      </c>
      <c r="IA124" s="450" t="str">
        <f t="shared" ref="IA124:IH127" si="475">IF($FN49&lt;IA$94,"",SQRT(IA49/IA$15))</f>
        <v/>
      </c>
      <c r="IB124" s="450" t="str">
        <f t="shared" si="475"/>
        <v/>
      </c>
      <c r="IC124" s="450" t="str">
        <f t="shared" si="475"/>
        <v/>
      </c>
      <c r="ID124" s="450" t="str">
        <f t="shared" si="475"/>
        <v/>
      </c>
      <c r="IE124" s="450" t="str">
        <f t="shared" si="475"/>
        <v/>
      </c>
      <c r="IF124" s="450" t="str">
        <f t="shared" si="475"/>
        <v/>
      </c>
      <c r="IG124" s="450" t="str">
        <f t="shared" si="475"/>
        <v/>
      </c>
      <c r="IH124" s="658" t="str">
        <f t="shared" si="475"/>
        <v/>
      </c>
      <c r="II124" s="242"/>
    </row>
    <row r="125" spans="8:243">
      <c r="H125" s="49" t="e">
        <f t="shared" ca="1" si="317"/>
        <v>#N/A</v>
      </c>
      <c r="I125" s="369">
        <f t="shared" si="318"/>
        <v>40210</v>
      </c>
      <c r="J125" s="367">
        <v>22.093333333333298</v>
      </c>
      <c r="K125" s="101" t="s">
        <v>267</v>
      </c>
      <c r="L125" s="382">
        <f t="shared" si="319"/>
        <v>22.093333333333309</v>
      </c>
      <c r="M125" s="163">
        <v>0.16405</v>
      </c>
      <c r="N125" s="372">
        <v>0</v>
      </c>
      <c r="O125" s="163">
        <f t="shared" si="272"/>
        <v>0.16405</v>
      </c>
      <c r="P125" s="367">
        <v>20.855885600942301</v>
      </c>
      <c r="Q125" s="101" t="s">
        <v>267</v>
      </c>
      <c r="R125" s="367">
        <f t="shared" ca="1" si="417"/>
        <v>20.85588560094228</v>
      </c>
      <c r="S125" s="814">
        <f t="shared" si="474"/>
        <v>0.35758046032790131</v>
      </c>
      <c r="T125" s="813">
        <f t="shared" si="418"/>
        <v>0.99999877566823692</v>
      </c>
      <c r="U125" s="532">
        <f t="shared" si="419"/>
        <v>0.99999999999999889</v>
      </c>
      <c r="V125" s="379">
        <v>0</v>
      </c>
      <c r="W125" s="424">
        <f t="shared" si="452"/>
        <v>22.114166666666648</v>
      </c>
      <c r="X125" s="405">
        <f t="shared" si="453"/>
        <v>22.114166666666641</v>
      </c>
      <c r="Y125" s="313">
        <f t="shared" si="454"/>
        <v>20.898166666666647</v>
      </c>
      <c r="Z125" s="313">
        <f t="shared" ca="1" si="455"/>
        <v>20.89816666666664</v>
      </c>
      <c r="AA125" s="419">
        <f t="shared" si="277"/>
        <v>1.216</v>
      </c>
      <c r="AB125" s="423">
        <f t="shared" ca="1" si="278"/>
        <v>1.216</v>
      </c>
      <c r="AC125" s="221">
        <v>40198</v>
      </c>
      <c r="AD125" s="221">
        <v>40194</v>
      </c>
      <c r="AE125" s="221">
        <v>40193</v>
      </c>
      <c r="AF125" s="221">
        <v>40189</v>
      </c>
      <c r="AG125" s="241" t="s">
        <v>497</v>
      </c>
      <c r="AH125" s="239" t="s">
        <v>497</v>
      </c>
      <c r="AI125" s="141">
        <v>20</v>
      </c>
      <c r="AJ125" s="41">
        <v>15</v>
      </c>
      <c r="AK125" s="41">
        <v>5</v>
      </c>
      <c r="AL125" s="285">
        <v>20</v>
      </c>
      <c r="AM125" s="41">
        <v>10</v>
      </c>
      <c r="AN125" s="142">
        <v>10</v>
      </c>
      <c r="AO125" s="364">
        <v>5.8207384849589906E-2</v>
      </c>
      <c r="AP125" s="145">
        <f t="shared" ca="1" si="320"/>
        <v>0.60045643023497874</v>
      </c>
      <c r="AQ125" s="364">
        <v>4.9542738744415601E-2</v>
      </c>
      <c r="AR125" s="145">
        <f t="shared" ca="1" si="420"/>
        <v>0.65096649027718534</v>
      </c>
      <c r="AS125" s="264">
        <f t="shared" si="456"/>
        <v>0.16387500000000002</v>
      </c>
      <c r="AT125" s="149">
        <f t="shared" si="321"/>
        <v>0.16405</v>
      </c>
      <c r="AU125" s="149">
        <f t="shared" si="280"/>
        <v>0.16385</v>
      </c>
      <c r="AV125" s="263">
        <f t="shared" ca="1" si="430"/>
        <v>0.16101588172705147</v>
      </c>
      <c r="AW125" s="150" t="str">
        <f t="shared" ca="1" si="457"/>
        <v/>
      </c>
      <c r="AX125" s="149">
        <f t="shared" ca="1" si="421"/>
        <v>1.4797533095484641E-2</v>
      </c>
      <c r="AY125" s="149">
        <f t="shared" ca="1" si="422"/>
        <v>6.3100655561785226E-3</v>
      </c>
      <c r="AZ125" s="149">
        <f t="shared" ca="1" si="423"/>
        <v>4.4646968497440145E-3</v>
      </c>
      <c r="BA125" s="149">
        <f t="shared" ca="1" si="424"/>
        <v>1.0000000000000392E-4</v>
      </c>
      <c r="BB125" s="149">
        <f t="shared" ca="1" si="425"/>
        <v>1.0000000000000392E-4</v>
      </c>
      <c r="BC125" s="149">
        <f t="shared" ca="1" si="426"/>
        <v>1.0000000000000392E-4</v>
      </c>
      <c r="BD125" s="143">
        <f t="shared" ca="1" si="458"/>
        <v>0</v>
      </c>
      <c r="BE125" s="144">
        <f t="shared" ca="1" si="459"/>
        <v>0</v>
      </c>
      <c r="BF125" s="40">
        <f t="shared" si="460"/>
        <v>2010</v>
      </c>
      <c r="BG125" s="139">
        <f t="shared" si="461"/>
        <v>2</v>
      </c>
      <c r="BH125" s="140">
        <f t="shared" ca="1" si="462"/>
        <v>3204</v>
      </c>
      <c r="BI125" s="304">
        <f t="shared" ca="1" si="440"/>
        <v>8.8158795345653669</v>
      </c>
      <c r="BJ125" s="42">
        <f t="shared" ca="1" si="288"/>
        <v>8.8713210130047919</v>
      </c>
      <c r="BK125" s="42">
        <f t="shared" ca="1" si="289"/>
        <v>8.8740588637919249</v>
      </c>
      <c r="BL125" s="42">
        <f t="shared" ca="1" si="441"/>
        <v>8.8898015058179336</v>
      </c>
      <c r="BM125" s="285">
        <f t="shared" si="442"/>
        <v>20</v>
      </c>
      <c r="BN125" s="41">
        <f t="shared" si="443"/>
        <v>15</v>
      </c>
      <c r="BO125" s="41">
        <f t="shared" si="444"/>
        <v>5</v>
      </c>
      <c r="BP125" s="297" t="str">
        <f t="shared" ca="1" si="293"/>
        <v/>
      </c>
      <c r="BQ125" s="297" t="str">
        <f t="shared" ca="1" si="294"/>
        <v/>
      </c>
      <c r="BR125" s="299" t="str">
        <f t="shared" ca="1" si="295"/>
        <v/>
      </c>
      <c r="BS125" s="153" t="str">
        <f t="shared" ca="1" si="296"/>
        <v/>
      </c>
      <c r="BT125" s="153" t="str">
        <f t="shared" ca="1" si="297"/>
        <v/>
      </c>
      <c r="BU125" s="300" t="str">
        <f t="shared" ca="1" si="298"/>
        <v/>
      </c>
      <c r="BV125" s="301" t="str">
        <f t="shared" ca="1" si="299"/>
        <v/>
      </c>
      <c r="BW125" s="300" t="str">
        <f t="shared" ca="1" si="300"/>
        <v/>
      </c>
      <c r="BX125" s="301" t="str">
        <f t="shared" ca="1" si="301"/>
        <v/>
      </c>
      <c r="BY125" s="146" t="str">
        <f t="shared" ca="1" si="302"/>
        <v/>
      </c>
      <c r="BZ125" s="146" t="str">
        <f t="shared" ca="1" si="303"/>
        <v/>
      </c>
      <c r="CA125" s="146" t="str">
        <f t="shared" ca="1" si="304"/>
        <v/>
      </c>
      <c r="CB125" s="146" t="str">
        <f t="shared" ca="1" si="305"/>
        <v/>
      </c>
      <c r="CC125" s="302">
        <v>1</v>
      </c>
      <c r="CD125" s="154">
        <f ca="1">IF(BD125,_xll.xCrudeAPO(BS125,BT125,BY125,BZ125,S126,S127,BI125,BL125,BN125,BO125,0,Strike1,AO125,CC125,0,BL125,IF(OptControl=4,0,1),0,1),0)</f>
        <v>0</v>
      </c>
      <c r="CE125" s="155">
        <f ca="1">IF(BD125,_xll.xCrudeAPO(BS125,BT125,BY125,BZ125,S126,S127,BI125,BL125,BN125,BO125,0,Strike1,AO125,CC125,0,BL125,IF(OptControl=4,0,1),1,1)+_xll.xCrudeAPO(BS125,BT125,BY125,BZ125,S126,S127,BI125,BL125,BN125,BO125,0,Strike1,AO125,CC125,0,BL125,IF(OptControl=4,0,1),1,2)+IF(OR(VolSkewFlag=2,ABS(BQ125)&lt;0.0001),0,IF(BQ125&gt;0,-1,1)*CF125*Strike1/BP125^2*BW125/10%),0)</f>
        <v>0</v>
      </c>
      <c r="CF125" s="155">
        <f ca="1">IF(BD125,(_xll.xCrudeAPO(BS125,BT125,BY125,BZ125,S126,S127,BI125,BL125,BN125,BO125,0,Strike1,AO125,CC125,0,BL125,IF(OptControl=4,0,1),3,1)+_xll.xCrudeAPO(BS125,BT125,BY125,BZ125,S126,S127,BI125,BL125,BN125,BO125,0,Strike1,AO125,CC125,0,BL125,IF(OptControl=4,0,1),3,2))/100,0)</f>
        <v>0</v>
      </c>
      <c r="CG125" s="155">
        <f ca="1">IF(BD125,_xll.xCrudeAPO(BS125,BT125,BY125,BZ125,S126,S127,BI125-DaysForThetaCalculation/365.25,BL125-DaysForThetaCalculation/365.25,BN125,BO125,0,Strike1,AO125,CC125,0,BL125,IF(OptControl=4,0,1),0,1)-_xll.xCrudeAPO(BS125,BT125,BY125,BZ125,S126,S127,BI125,BL125,BN125,BO125,0,Strike1,AO125,CC125,0,BL125,IF(OptControl=4,0,1),0,1),0)</f>
        <v>0</v>
      </c>
      <c r="CH125" s="303">
        <f ca="1">IF(BD125,_xll.xCrudeAPO(BS125,BT125,CA125,CB125,S126,S127,BI125,BL125,BN125,BO125,0,Strike2,AO125,CC125,0,BL125,IF(OptControl=3,1,0),0,1),0)</f>
        <v>0</v>
      </c>
      <c r="CI125" s="155">
        <f ca="1">IF(BD125,_xll.xCrudeAPO(BS125,BT125,CA125,CB125,S126,S127,BI125,BL125,BN125,BO125,0,Strike2,AO125,CC125,0,BL125,IF(OptControl=3,1,0),1,1)+_xll.xCrudeAPO(BS125,BT125,CA125,CB125,S126,S127,BI125,BL125,BN125,BO125,0,Strike2,AO125,CC125,0,BL125,IF(OptControl=3,1,0),1,2)+IF(OR(VolSkewFlag=2,ABS(BR125)&lt;0.0001),0,IF(BR125&gt;0,-1,1)*CJ125*Strike2/BP125^2*BX125/10%),0)</f>
        <v>0</v>
      </c>
      <c r="CJ125" s="155">
        <f ca="1">IF(BD125,(_xll.xCrudeAPO(BS125,BT125,CA125,CB125,S126,S127,BI125,BL125,BN125,BO125,0,Strike2,AO125,CC125,0,BL125,IF(OptControl=3,1,0),3,1)+_xll.xCrudeAPO(BS125,BT125,CA125,CB125,S126,S127,BI125,BL125,BN125,BO125,0,Strike2,AO125,CC125,0,BL125,IF(OptControl=3,1,0),3,2))/100,0)</f>
        <v>0</v>
      </c>
      <c r="CK125" s="156">
        <f ca="1">IF(BD125,_xll.xCrudeAPO(BS125,BT125,CA125,CB125,S126,S127,BI125-DaysForThetaCalculation/365.25,BL125-DaysForThetaCalculation/365.25,BN125,BO125,0,Strike2,AO125,CC125,0,BL125,IF(OptControl=3,1,0),0,1)-_xll.xCrudeAPO(BS125,BT125,CA125,CB125,S126,S127,BI125,BL125,BN125,BO125,0,Strike2,AO125,CC125,0,BL125,IF(OptControl=3,1,0),0,1),0)</f>
        <v>0</v>
      </c>
      <c r="CL125" s="51"/>
      <c r="CM125" s="779" t="str">
        <f t="shared" ca="1" si="323"/>
        <v/>
      </c>
      <c r="CN125" s="783" t="str">
        <f t="shared" ca="1" si="324"/>
        <v/>
      </c>
      <c r="CO125" s="780" t="str">
        <f t="shared" ca="1" si="325"/>
        <v/>
      </c>
      <c r="CP125" s="780" t="str">
        <f t="shared" ca="1" si="326"/>
        <v/>
      </c>
      <c r="CQ125" s="780" t="str">
        <f t="shared" ca="1" si="327"/>
        <v/>
      </c>
      <c r="CR125" s="780" t="str">
        <f t="shared" ca="1" si="328"/>
        <v/>
      </c>
      <c r="CS125" s="781" t="str">
        <f t="shared" ca="1" si="329"/>
        <v/>
      </c>
      <c r="CT125" s="782" t="str">
        <f t="shared" ca="1" si="330"/>
        <v/>
      </c>
      <c r="CU125" s="782" t="str">
        <f t="shared" ca="1" si="331"/>
        <v/>
      </c>
      <c r="CV125" s="155">
        <f ca="1">IF(BD125,_xll.EURO(CN125,Strike1,AO125,AO125,CT125,CM125,IF(OptControl=4,0,1),0),0)</f>
        <v>0</v>
      </c>
      <c r="CW125" s="155">
        <f ca="1">IF(BD125,_xll.EURO(CN125,Strike1,AO125,AO125,CT125,CM125,IF(OptControl=4,0,1),1)+IF(OR(VolSkewFlag=2,ABS(CO125)&lt;0.0001),0,IF(CO125&gt;0,-1,1)*CX125*100*Strike1/CN125^2*CQ125/10%),0)</f>
        <v>0</v>
      </c>
      <c r="CX125" s="155">
        <f ca="1">IF(BD125,_xll.EURO(CN125,Strike1,AO125,AO125,CT125,CM125,IF(OptControl=4,0,1),3)/100,0)</f>
        <v>0</v>
      </c>
      <c r="CY125" s="155">
        <f ca="1">IF(BD125,_xll.EURO(CN125,Strike1,AO125,AO125,CT125,CM125,IF(OptControl=4,0,1),0)-_xll.EURO(CN125,Strike1,AO125,AO125,CT125,CM125-1,IF(OptControl=4,0,1),0),0)</f>
        <v>0</v>
      </c>
      <c r="CZ125" s="155">
        <f ca="1">IF(BD125,_xll.EURO(CN125,Strike2,AO125,AO125,CU125,CM125,IF(OptControl=3,1,0),0),0)</f>
        <v>0</v>
      </c>
      <c r="DA125" s="155">
        <f ca="1">IF(BD125,_xll.EURO(CN125,Strike2,AO125,AO125,CU125,CM125,IF(OptControl=3,1,0),1)+IF(OR(VolSkewFlag=2,ABS(CP125)&lt;0.0001),0,IF(CP125&gt;0,-1,1)*DB125*100*Strike2/CN125^2*CR125/10%),0)</f>
        <v>0</v>
      </c>
      <c r="DB125" s="155">
        <f ca="1">IF(BD125,_xll.EURO(CN125,Strike2,AO125,AO125,CU125,CM125,IF(OptControl=3,1,0),3)/100,0)</f>
        <v>0</v>
      </c>
      <c r="DC125" s="156">
        <f ca="1">IF(BD125,_xll.EURO(CN125,Strike2,AO125,AO125,CU125,CM125,IF(OptControl=3,1,0),0)-_xll.EURO(CN125,Strike2,AO125,AO125,CU125,CM125-1,IF(OptControl=3,1,0),0),0)</f>
        <v>0</v>
      </c>
      <c r="DE125" s="651">
        <f t="shared" ca="1" si="332"/>
        <v>40118</v>
      </c>
      <c r="DF125" s="465">
        <v>1E-4</v>
      </c>
      <c r="DG125" s="649">
        <v>1E-4</v>
      </c>
      <c r="DH125" s="650">
        <f t="shared" ca="1" si="463"/>
        <v>40118</v>
      </c>
      <c r="DI125" s="465">
        <v>1E-4</v>
      </c>
      <c r="DJ125" s="649">
        <v>1E-4</v>
      </c>
      <c r="DK125" s="651">
        <f t="shared" ca="1" si="464"/>
        <v>40118</v>
      </c>
      <c r="DL125" s="652">
        <f t="shared" si="465"/>
        <v>5.0100000000000006E-2</v>
      </c>
      <c r="DM125" s="651">
        <f t="shared" ca="1" si="333"/>
        <v>40118</v>
      </c>
      <c r="DN125" s="563">
        <f t="shared" si="334"/>
        <v>-0.12990000000000002</v>
      </c>
      <c r="DO125" s="803">
        <v>-0.13</v>
      </c>
      <c r="DP125" s="650">
        <f t="shared" ca="1" si="466"/>
        <v>40118</v>
      </c>
      <c r="DQ125" s="653">
        <v>1E-4</v>
      </c>
      <c r="DR125" s="590">
        <v>1E-4</v>
      </c>
      <c r="DS125" s="650">
        <f t="shared" ca="1" si="467"/>
        <v>40118</v>
      </c>
      <c r="DT125" s="653">
        <v>1E-4</v>
      </c>
      <c r="DU125" s="590">
        <v>1E-4</v>
      </c>
      <c r="DV125" s="651">
        <f t="shared" ca="1" si="468"/>
        <v>40118</v>
      </c>
      <c r="DW125" s="590">
        <v>1E-4</v>
      </c>
      <c r="DX125" s="651">
        <f t="shared" ca="1" si="335"/>
        <v>40118</v>
      </c>
      <c r="DY125" s="590">
        <f t="shared" si="336"/>
        <v>1E-4</v>
      </c>
      <c r="DZ125" s="1"/>
      <c r="EA125" s="857"/>
      <c r="EB125" s="857"/>
      <c r="EC125" s="857"/>
      <c r="ED125" s="868" t="e">
        <f t="shared" ca="1" si="436"/>
        <v>#NAME?</v>
      </c>
      <c r="EE125" s="863" t="e">
        <f t="shared" ca="1" si="312"/>
        <v>#NAME?</v>
      </c>
      <c r="EF125" s="590" t="e">
        <f t="shared" ca="1" si="313"/>
        <v>#NAME?</v>
      </c>
      <c r="EG125" s="862" t="str">
        <f t="shared" ca="1" si="469"/>
        <v/>
      </c>
      <c r="EH125" s="114" t="str">
        <f t="shared" ca="1" si="315"/>
        <v/>
      </c>
      <c r="EI125" s="109" t="str">
        <f t="shared" ca="1" si="316"/>
        <v/>
      </c>
      <c r="EJ125" s="115">
        <f ca="1">IF(BD125,_xll.xASN(BP125,Strike1,AO125,EH125,0,BM125,0,BI125,BL125,IF(OptControl=4,0,1),0),0)</f>
        <v>0</v>
      </c>
      <c r="EK125" s="108">
        <f ca="1">IF(BD125,_xll.xASN(BP125,Strike2,AO125,EI125,0,BM125,0,BI125,BL125,IF(OptControl=3,1,0),0),0)</f>
        <v>0</v>
      </c>
      <c r="EP125" s="53"/>
      <c r="EQ125" s="1"/>
      <c r="ER125" s="103"/>
      <c r="ES125" s="103"/>
      <c r="ET125" s="1"/>
      <c r="EU125" s="667" t="s">
        <v>337</v>
      </c>
      <c r="EW125" s="445"/>
      <c r="EX125" s="36"/>
      <c r="EY125" s="104"/>
      <c r="EZ125" s="465"/>
      <c r="FA125" s="446"/>
      <c r="FB125" s="446"/>
      <c r="FC125" s="242"/>
      <c r="FD125" s="242"/>
      <c r="FE125" s="242"/>
      <c r="FF125" s="242"/>
      <c r="FG125" s="242"/>
      <c r="FH125" s="242"/>
      <c r="FI125" s="242"/>
      <c r="FJ125" s="242"/>
      <c r="FK125" s="242"/>
      <c r="FL125" s="242"/>
      <c r="FM125" s="242"/>
      <c r="FN125" s="657">
        <v>31</v>
      </c>
      <c r="FO125" s="450">
        <f t="shared" ca="1" si="433"/>
        <v>0.17845197116218847</v>
      </c>
      <c r="FP125" s="450">
        <f t="shared" ref="FP125:IA128" ca="1" si="476">IF($FN50&lt;FP$94,"",SQRT(FP50/FP$15))</f>
        <v>0.17905992885675082</v>
      </c>
      <c r="FQ125" s="450">
        <f t="shared" ca="1" si="476"/>
        <v>0.17956545101205013</v>
      </c>
      <c r="FR125" s="450">
        <f t="shared" ca="1" si="476"/>
        <v>0.18015688825604889</v>
      </c>
      <c r="FS125" s="450">
        <f t="shared" ca="1" si="476"/>
        <v>0.18084435351619715</v>
      </c>
      <c r="FT125" s="450">
        <f t="shared" ca="1" si="476"/>
        <v>0.18163930295787065</v>
      </c>
      <c r="FU125" s="450">
        <f t="shared" ca="1" si="476"/>
        <v>0.18255474089742135</v>
      </c>
      <c r="FV125" s="450">
        <f t="shared" ca="1" si="476"/>
        <v>0.18360546210586445</v>
      </c>
      <c r="FW125" s="450">
        <f t="shared" ca="1" si="476"/>
        <v>0.18480833967732668</v>
      </c>
      <c r="FX125" s="450">
        <f t="shared" ca="1" si="476"/>
        <v>0.18618266872478176</v>
      </c>
      <c r="FY125" s="450">
        <f t="shared" ca="1" si="476"/>
        <v>0.18775057886217322</v>
      </c>
      <c r="FZ125" s="450">
        <f t="shared" ca="1" si="476"/>
        <v>0.18953753193587378</v>
      </c>
      <c r="GA125" s="450">
        <f t="shared" ca="1" si="476"/>
        <v>0.19157292605139695</v>
      </c>
      <c r="GB125" s="450">
        <f t="shared" ca="1" si="476"/>
        <v>0.19389083297756185</v>
      </c>
      <c r="GC125" s="450">
        <f t="shared" ca="1" si="476"/>
        <v>0.19653090401920992</v>
      </c>
      <c r="GD125" s="450">
        <f t="shared" ca="1" si="476"/>
        <v>0.19953949015822076</v>
      </c>
      <c r="GE125" s="450">
        <f t="shared" ca="1" si="476"/>
        <v>0.20297103669840266</v>
      </c>
      <c r="GF125" s="450">
        <f t="shared" ca="1" si="476"/>
        <v>0.20688983227890517</v>
      </c>
      <c r="GG125" s="450">
        <f t="shared" ca="1" si="476"/>
        <v>0.21137221905653</v>
      </c>
      <c r="GH125" s="450">
        <f t="shared" ca="1" si="476"/>
        <v>0.21650940817951156</v>
      </c>
      <c r="GI125" s="450">
        <f t="shared" ca="1" si="476"/>
        <v>0.22241109692380168</v>
      </c>
      <c r="GJ125" s="450">
        <f t="shared" ca="1" si="476"/>
        <v>0.22921015781126805</v>
      </c>
      <c r="GK125" s="450">
        <f t="shared" ca="1" si="476"/>
        <v>0.23706877591521688</v>
      </c>
      <c r="GL125" s="450">
        <f t="shared" ca="1" si="476"/>
        <v>0.24618656406913714</v>
      </c>
      <c r="GM125" s="450">
        <f t="shared" ca="1" si="476"/>
        <v>0.2568114112196474</v>
      </c>
      <c r="GN125" s="450">
        <f t="shared" ca="1" si="476"/>
        <v>0.26925415522262625</v>
      </c>
      <c r="GO125" s="450">
        <f t="shared" ca="1" si="476"/>
        <v>0.28390867982785567</v>
      </c>
      <c r="GP125" s="450">
        <f t="shared" ca="1" si="476"/>
        <v>0.30127981756162941</v>
      </c>
      <c r="GQ125" s="450">
        <f t="shared" ca="1" si="476"/>
        <v>0.32202266426186427</v>
      </c>
      <c r="GR125" s="450">
        <f t="shared" ca="1" si="476"/>
        <v>0.34699886402759611</v>
      </c>
      <c r="GS125" s="450">
        <f t="shared" ca="1" si="476"/>
        <v>0.37735860471657984</v>
      </c>
      <c r="GT125" s="450" t="str">
        <f t="shared" si="476"/>
        <v/>
      </c>
      <c r="GU125" s="450" t="str">
        <f t="shared" si="476"/>
        <v/>
      </c>
      <c r="GV125" s="450" t="str">
        <f t="shared" si="476"/>
        <v/>
      </c>
      <c r="GW125" s="450" t="str">
        <f t="shared" si="476"/>
        <v/>
      </c>
      <c r="GX125" s="450" t="str">
        <f t="shared" si="476"/>
        <v/>
      </c>
      <c r="GY125" s="450" t="str">
        <f t="shared" si="476"/>
        <v/>
      </c>
      <c r="GZ125" s="450" t="str">
        <f t="shared" si="476"/>
        <v/>
      </c>
      <c r="HA125" s="450" t="str">
        <f t="shared" si="476"/>
        <v/>
      </c>
      <c r="HB125" s="450" t="str">
        <f t="shared" si="476"/>
        <v/>
      </c>
      <c r="HC125" s="450" t="str">
        <f t="shared" si="476"/>
        <v/>
      </c>
      <c r="HD125" s="450" t="str">
        <f t="shared" si="476"/>
        <v/>
      </c>
      <c r="HE125" s="450" t="str">
        <f t="shared" si="476"/>
        <v/>
      </c>
      <c r="HF125" s="450" t="str">
        <f t="shared" si="476"/>
        <v/>
      </c>
      <c r="HG125" s="450" t="str">
        <f t="shared" si="476"/>
        <v/>
      </c>
      <c r="HH125" s="450" t="str">
        <f t="shared" si="476"/>
        <v/>
      </c>
      <c r="HI125" s="450" t="str">
        <f t="shared" si="476"/>
        <v/>
      </c>
      <c r="HJ125" s="450" t="str">
        <f t="shared" si="476"/>
        <v/>
      </c>
      <c r="HK125" s="450" t="str">
        <f t="shared" si="476"/>
        <v/>
      </c>
      <c r="HL125" s="450" t="str">
        <f t="shared" si="476"/>
        <v/>
      </c>
      <c r="HM125" s="450" t="str">
        <f t="shared" si="476"/>
        <v/>
      </c>
      <c r="HN125" s="450" t="str">
        <f t="shared" si="476"/>
        <v/>
      </c>
      <c r="HO125" s="450" t="str">
        <f t="shared" si="476"/>
        <v/>
      </c>
      <c r="HP125" s="450" t="str">
        <f t="shared" si="476"/>
        <v/>
      </c>
      <c r="HQ125" s="450" t="str">
        <f t="shared" si="476"/>
        <v/>
      </c>
      <c r="HR125" s="450" t="str">
        <f t="shared" si="476"/>
        <v/>
      </c>
      <c r="HS125" s="450" t="str">
        <f t="shared" si="476"/>
        <v/>
      </c>
      <c r="HT125" s="450" t="str">
        <f t="shared" si="476"/>
        <v/>
      </c>
      <c r="HU125" s="450" t="str">
        <f t="shared" si="476"/>
        <v/>
      </c>
      <c r="HV125" s="450" t="str">
        <f t="shared" si="476"/>
        <v/>
      </c>
      <c r="HW125" s="450" t="str">
        <f t="shared" si="476"/>
        <v/>
      </c>
      <c r="HX125" s="450" t="str">
        <f t="shared" si="476"/>
        <v/>
      </c>
      <c r="HY125" s="450" t="str">
        <f t="shared" si="476"/>
        <v/>
      </c>
      <c r="HZ125" s="450" t="str">
        <f t="shared" si="476"/>
        <v/>
      </c>
      <c r="IA125" s="450" t="str">
        <f t="shared" si="476"/>
        <v/>
      </c>
      <c r="IB125" s="450" t="str">
        <f t="shared" si="475"/>
        <v/>
      </c>
      <c r="IC125" s="450" t="str">
        <f t="shared" si="475"/>
        <v/>
      </c>
      <c r="ID125" s="450" t="str">
        <f t="shared" si="475"/>
        <v/>
      </c>
      <c r="IE125" s="450" t="str">
        <f t="shared" si="475"/>
        <v/>
      </c>
      <c r="IF125" s="450" t="str">
        <f t="shared" si="475"/>
        <v/>
      </c>
      <c r="IG125" s="450" t="str">
        <f t="shared" si="475"/>
        <v/>
      </c>
      <c r="IH125" s="658" t="str">
        <f t="shared" si="475"/>
        <v/>
      </c>
      <c r="II125" s="242"/>
    </row>
    <row r="126" spans="8:243">
      <c r="H126" s="49" t="e">
        <f t="shared" ca="1" si="317"/>
        <v>#N/A</v>
      </c>
      <c r="I126" s="369">
        <f t="shared" si="318"/>
        <v>40238</v>
      </c>
      <c r="J126" s="367">
        <v>22.11</v>
      </c>
      <c r="K126" s="101" t="s">
        <v>267</v>
      </c>
      <c r="L126" s="382">
        <f t="shared" si="319"/>
        <v>22.109999999999975</v>
      </c>
      <c r="M126" s="163">
        <v>0.16390000000000002</v>
      </c>
      <c r="N126" s="372">
        <v>0</v>
      </c>
      <c r="O126" s="163">
        <f t="shared" si="272"/>
        <v>0.16390000000000002</v>
      </c>
      <c r="P126" s="367">
        <v>20.9054875386229</v>
      </c>
      <c r="Q126" s="101" t="s">
        <v>267</v>
      </c>
      <c r="R126" s="367">
        <f t="shared" ca="1" si="417"/>
        <v>20.905487538622932</v>
      </c>
      <c r="S126" s="814">
        <f t="shared" si="474"/>
        <v>0.35740465572462232</v>
      </c>
      <c r="T126" s="813">
        <f t="shared" si="418"/>
        <v>0.99999889810148079</v>
      </c>
      <c r="U126" s="532">
        <f t="shared" si="419"/>
        <v>0.99999999999999911</v>
      </c>
      <c r="V126" s="379">
        <v>0</v>
      </c>
      <c r="W126" s="424">
        <f t="shared" si="452"/>
        <v>22.132463768115887</v>
      </c>
      <c r="X126" s="405">
        <f t="shared" si="453"/>
        <v>22.132463768115915</v>
      </c>
      <c r="Y126" s="313">
        <f t="shared" si="454"/>
        <v>20.916463768115886</v>
      </c>
      <c r="Z126" s="313">
        <f t="shared" ca="1" si="455"/>
        <v>20.916463768115914</v>
      </c>
      <c r="AA126" s="419">
        <f t="shared" si="277"/>
        <v>1.216</v>
      </c>
      <c r="AB126" s="423">
        <f t="shared" ca="1" si="278"/>
        <v>1.216</v>
      </c>
      <c r="AC126" s="221">
        <v>40229</v>
      </c>
      <c r="AD126" s="221">
        <v>40225</v>
      </c>
      <c r="AE126" s="221">
        <v>40224</v>
      </c>
      <c r="AF126" s="221">
        <v>40220</v>
      </c>
      <c r="AG126" s="241" t="s">
        <v>497</v>
      </c>
      <c r="AH126" s="239" t="s">
        <v>497</v>
      </c>
      <c r="AI126" s="141">
        <v>23</v>
      </c>
      <c r="AJ126" s="41">
        <v>15</v>
      </c>
      <c r="AK126" s="41">
        <v>8</v>
      </c>
      <c r="AL126" s="285">
        <v>23</v>
      </c>
      <c r="AM126" s="41">
        <v>10</v>
      </c>
      <c r="AN126" s="142">
        <v>13</v>
      </c>
      <c r="AO126" s="364">
        <v>5.8277302422212102E-2</v>
      </c>
      <c r="AP126" s="145">
        <f t="shared" ca="1" si="320"/>
        <v>0.59717524874065109</v>
      </c>
      <c r="AQ126" s="364">
        <v>4.9561532476763301E-2</v>
      </c>
      <c r="AR126" s="145">
        <f t="shared" ca="1" si="420"/>
        <v>0.64816293795517232</v>
      </c>
      <c r="AS126" s="264">
        <f t="shared" si="456"/>
        <v>0.16376521739130434</v>
      </c>
      <c r="AT126" s="149">
        <f t="shared" si="321"/>
        <v>0.16390000000000002</v>
      </c>
      <c r="AU126" s="149">
        <f t="shared" si="280"/>
        <v>0.16374347826086957</v>
      </c>
      <c r="AV126" s="263">
        <f t="shared" ca="1" si="430"/>
        <v>0.16089501119281011</v>
      </c>
      <c r="AW126" s="150" t="str">
        <f t="shared" ca="1" si="457"/>
        <v/>
      </c>
      <c r="AX126" s="149">
        <f t="shared" ca="1" si="421"/>
        <v>1.458965418785991E-2</v>
      </c>
      <c r="AY126" s="149">
        <f t="shared" ca="1" si="422"/>
        <v>6.2014953980607627E-3</v>
      </c>
      <c r="AZ126" s="149">
        <f t="shared" ca="1" si="423"/>
        <v>4.4114869959292246E-3</v>
      </c>
      <c r="BA126" s="149">
        <f t="shared" ca="1" si="424"/>
        <v>1.0000000000000396E-4</v>
      </c>
      <c r="BB126" s="149">
        <f t="shared" ca="1" si="425"/>
        <v>1.0000000000000396E-4</v>
      </c>
      <c r="BC126" s="149">
        <f t="shared" ca="1" si="426"/>
        <v>1.0000000000000396E-4</v>
      </c>
      <c r="BD126" s="143">
        <f t="shared" ca="1" si="458"/>
        <v>0</v>
      </c>
      <c r="BE126" s="144">
        <f t="shared" ca="1" si="459"/>
        <v>0</v>
      </c>
      <c r="BF126" s="40">
        <f t="shared" si="460"/>
        <v>2010</v>
      </c>
      <c r="BG126" s="139">
        <f t="shared" si="461"/>
        <v>3</v>
      </c>
      <c r="BH126" s="140">
        <f t="shared" ca="1" si="462"/>
        <v>3235</v>
      </c>
      <c r="BI126" s="304">
        <f t="shared" ca="1" si="440"/>
        <v>8.8925393566050648</v>
      </c>
      <c r="BJ126" s="42">
        <f t="shared" ca="1" si="288"/>
        <v>8.9461060024402581</v>
      </c>
      <c r="BK126" s="42">
        <f t="shared" ca="1" si="289"/>
        <v>8.9488438532273911</v>
      </c>
      <c r="BL126" s="42">
        <f t="shared" ca="1" si="441"/>
        <v>8.9746748802190286</v>
      </c>
      <c r="BM126" s="285">
        <f t="shared" si="442"/>
        <v>23</v>
      </c>
      <c r="BN126" s="41">
        <f t="shared" si="443"/>
        <v>15</v>
      </c>
      <c r="BO126" s="41">
        <f t="shared" si="444"/>
        <v>8</v>
      </c>
      <c r="BP126" s="297" t="str">
        <f t="shared" ca="1" si="293"/>
        <v/>
      </c>
      <c r="BQ126" s="297" t="str">
        <f t="shared" ca="1" si="294"/>
        <v/>
      </c>
      <c r="BR126" s="299" t="str">
        <f t="shared" ca="1" si="295"/>
        <v/>
      </c>
      <c r="BS126" s="153" t="str">
        <f t="shared" ca="1" si="296"/>
        <v/>
      </c>
      <c r="BT126" s="153" t="str">
        <f t="shared" ca="1" si="297"/>
        <v/>
      </c>
      <c r="BU126" s="300" t="str">
        <f t="shared" ca="1" si="298"/>
        <v/>
      </c>
      <c r="BV126" s="301" t="str">
        <f t="shared" ca="1" si="299"/>
        <v/>
      </c>
      <c r="BW126" s="300" t="str">
        <f t="shared" ca="1" si="300"/>
        <v/>
      </c>
      <c r="BX126" s="301" t="str">
        <f t="shared" ca="1" si="301"/>
        <v/>
      </c>
      <c r="BY126" s="146" t="str">
        <f t="shared" ca="1" si="302"/>
        <v/>
      </c>
      <c r="BZ126" s="146" t="str">
        <f t="shared" ca="1" si="303"/>
        <v/>
      </c>
      <c r="CA126" s="146" t="str">
        <f t="shared" ca="1" si="304"/>
        <v/>
      </c>
      <c r="CB126" s="146" t="str">
        <f t="shared" ca="1" si="305"/>
        <v/>
      </c>
      <c r="CC126" s="302">
        <v>1</v>
      </c>
      <c r="CD126" s="154">
        <f ca="1">IF(BD126,_xll.xCrudeAPO(BS126,BT126,BY126,BZ126,S127,S128,BI126,BL126,BN126,BO126,0,Strike1,AO126,CC126,0,BL126,IF(OptControl=4,0,1),0,1),0)</f>
        <v>0</v>
      </c>
      <c r="CE126" s="155">
        <f ca="1">IF(BD126,_xll.xCrudeAPO(BS126,BT126,BY126,BZ126,S127,S128,BI126,BL126,BN126,BO126,0,Strike1,AO126,CC126,0,BL126,IF(OptControl=4,0,1),1,1)+_xll.xCrudeAPO(BS126,BT126,BY126,BZ126,S127,S128,BI126,BL126,BN126,BO126,0,Strike1,AO126,CC126,0,BL126,IF(OptControl=4,0,1),1,2)+IF(OR(VolSkewFlag=2,ABS(BQ126)&lt;0.0001),0,IF(BQ126&gt;0,-1,1)*CF126*Strike1/BP126^2*BW126/10%),0)</f>
        <v>0</v>
      </c>
      <c r="CF126" s="155">
        <f ca="1">IF(BD126,(_xll.xCrudeAPO(BS126,BT126,BY126,BZ126,S127,S128,BI126,BL126,BN126,BO126,0,Strike1,AO126,CC126,0,BL126,IF(OptControl=4,0,1),3,1)+_xll.xCrudeAPO(BS126,BT126,BY126,BZ126,S127,S128,BI126,BL126,BN126,BO126,0,Strike1,AO126,CC126,0,BL126,IF(OptControl=4,0,1),3,2))/100,0)</f>
        <v>0</v>
      </c>
      <c r="CG126" s="155">
        <f ca="1">IF(BD126,_xll.xCrudeAPO(BS126,BT126,BY126,BZ126,S127,S128,BI126-DaysForThetaCalculation/365.25,BL126-DaysForThetaCalculation/365.25,BN126,BO126,0,Strike1,AO126,CC126,0,BL126,IF(OptControl=4,0,1),0,1)-_xll.xCrudeAPO(BS126,BT126,BY126,BZ126,S127,S128,BI126,BL126,BN126,BO126,0,Strike1,AO126,CC126,0,BL126,IF(OptControl=4,0,1),0,1),0)</f>
        <v>0</v>
      </c>
      <c r="CH126" s="303">
        <f ca="1">IF(BD126,_xll.xCrudeAPO(BS126,BT126,CA126,CB126,S127,S128,BI126,BL126,BN126,BO126,0,Strike2,AO126,CC126,0,BL126,IF(OptControl=3,1,0),0,1),0)</f>
        <v>0</v>
      </c>
      <c r="CI126" s="155">
        <f ca="1">IF(BD126,_xll.xCrudeAPO(BS126,BT126,CA126,CB126,S127,S128,BI126,BL126,BN126,BO126,0,Strike2,AO126,CC126,0,BL126,IF(OptControl=3,1,0),1,1)+_xll.xCrudeAPO(BS126,BT126,CA126,CB126,S127,S128,BI126,BL126,BN126,BO126,0,Strike2,AO126,CC126,0,BL126,IF(OptControl=3,1,0),1,2)+IF(OR(VolSkewFlag=2,ABS(BR126)&lt;0.0001),0,IF(BR126&gt;0,-1,1)*CJ126*Strike2/BP126^2*BX126/10%),0)</f>
        <v>0</v>
      </c>
      <c r="CJ126" s="155">
        <f ca="1">IF(BD126,(_xll.xCrudeAPO(BS126,BT126,CA126,CB126,S127,S128,BI126,BL126,BN126,BO126,0,Strike2,AO126,CC126,0,BL126,IF(OptControl=3,1,0),3,1)+_xll.xCrudeAPO(BS126,BT126,CA126,CB126,S127,S128,BI126,BL126,BN126,BO126,0,Strike2,AO126,CC126,0,BL126,IF(OptControl=3,1,0),3,2))/100,0)</f>
        <v>0</v>
      </c>
      <c r="CK126" s="156">
        <f ca="1">IF(BD126,_xll.xCrudeAPO(BS126,BT126,CA126,CB126,S127,S128,BI126-DaysForThetaCalculation/365.25,BL126-DaysForThetaCalculation/365.25,BN126,BO126,0,Strike2,AO126,CC126,0,BL126,IF(OptControl=3,1,0),0,1)-_xll.xCrudeAPO(BS126,BT126,CA126,CB126,S127,S128,BI126,BL126,BN126,BO126,0,Strike2,AO126,CC126,0,BL126,IF(OptControl=3,1,0),0,1),0)</f>
        <v>0</v>
      </c>
      <c r="CL126" s="51"/>
      <c r="CM126" s="779" t="str">
        <f t="shared" ca="1" si="323"/>
        <v/>
      </c>
      <c r="CN126" s="783" t="str">
        <f t="shared" ca="1" si="324"/>
        <v/>
      </c>
      <c r="CO126" s="780" t="str">
        <f t="shared" ca="1" si="325"/>
        <v/>
      </c>
      <c r="CP126" s="780" t="str">
        <f t="shared" ca="1" si="326"/>
        <v/>
      </c>
      <c r="CQ126" s="780" t="str">
        <f t="shared" ca="1" si="327"/>
        <v/>
      </c>
      <c r="CR126" s="780" t="str">
        <f t="shared" ca="1" si="328"/>
        <v/>
      </c>
      <c r="CS126" s="781" t="str">
        <f t="shared" ca="1" si="329"/>
        <v/>
      </c>
      <c r="CT126" s="782" t="str">
        <f t="shared" ca="1" si="330"/>
        <v/>
      </c>
      <c r="CU126" s="782" t="str">
        <f t="shared" ca="1" si="331"/>
        <v/>
      </c>
      <c r="CV126" s="155">
        <f ca="1">IF(BD126,_xll.EURO(CN126,Strike1,AO126,AO126,CT126,CM126,IF(OptControl=4,0,1),0),0)</f>
        <v>0</v>
      </c>
      <c r="CW126" s="155">
        <f ca="1">IF(BD126,_xll.EURO(CN126,Strike1,AO126,AO126,CT126,CM126,IF(OptControl=4,0,1),1)+IF(OR(VolSkewFlag=2,ABS(CO126)&lt;0.0001),0,IF(CO126&gt;0,-1,1)*CX126*100*Strike1/CN126^2*CQ126/10%),0)</f>
        <v>0</v>
      </c>
      <c r="CX126" s="155">
        <f ca="1">IF(BD126,_xll.EURO(CN126,Strike1,AO126,AO126,CT126,CM126,IF(OptControl=4,0,1),3)/100,0)</f>
        <v>0</v>
      </c>
      <c r="CY126" s="155">
        <f ca="1">IF(BD126,_xll.EURO(CN126,Strike1,AO126,AO126,CT126,CM126,IF(OptControl=4,0,1),0)-_xll.EURO(CN126,Strike1,AO126,AO126,CT126,CM126-1,IF(OptControl=4,0,1),0),0)</f>
        <v>0</v>
      </c>
      <c r="CZ126" s="155">
        <f ca="1">IF(BD126,_xll.EURO(CN126,Strike2,AO126,AO126,CU126,CM126,IF(OptControl=3,1,0),0),0)</f>
        <v>0</v>
      </c>
      <c r="DA126" s="155">
        <f ca="1">IF(BD126,_xll.EURO(CN126,Strike2,AO126,AO126,CU126,CM126,IF(OptControl=3,1,0),1)+IF(OR(VolSkewFlag=2,ABS(CP126)&lt;0.0001),0,IF(CP126&gt;0,-1,1)*DB126*100*Strike2/CN126^2*CR126/10%),0)</f>
        <v>0</v>
      </c>
      <c r="DB126" s="155">
        <f ca="1">IF(BD126,_xll.EURO(CN126,Strike2,AO126,AO126,CU126,CM126,IF(OptControl=3,1,0),3)/100,0)</f>
        <v>0</v>
      </c>
      <c r="DC126" s="156">
        <f ca="1">IF(BD126,_xll.EURO(CN126,Strike2,AO126,AO126,CU126,CM126,IF(OptControl=3,1,0),0)-_xll.EURO(CN126,Strike2,AO126,AO126,CU126,CM126-1,IF(OptControl=3,1,0),0),0)</f>
        <v>0</v>
      </c>
      <c r="DE126" s="651">
        <f t="shared" ca="1" si="332"/>
        <v>40148</v>
      </c>
      <c r="DF126" s="465">
        <v>1E-4</v>
      </c>
      <c r="DG126" s="649">
        <v>1E-4</v>
      </c>
      <c r="DH126" s="650">
        <f t="shared" ca="1" si="463"/>
        <v>40148</v>
      </c>
      <c r="DI126" s="465">
        <v>1E-4</v>
      </c>
      <c r="DJ126" s="649">
        <v>1E-4</v>
      </c>
      <c r="DK126" s="651">
        <f t="shared" ca="1" si="464"/>
        <v>40148</v>
      </c>
      <c r="DL126" s="652">
        <f t="shared" si="465"/>
        <v>5.0100000000000006E-2</v>
      </c>
      <c r="DM126" s="651">
        <f t="shared" ca="1" si="333"/>
        <v>40148</v>
      </c>
      <c r="DN126" s="563">
        <f t="shared" si="334"/>
        <v>-0.12990000000000002</v>
      </c>
      <c r="DO126" s="803">
        <v>-0.13</v>
      </c>
      <c r="DP126" s="650">
        <f t="shared" ca="1" si="466"/>
        <v>40148</v>
      </c>
      <c r="DQ126" s="653">
        <v>1E-4</v>
      </c>
      <c r="DR126" s="590">
        <v>1E-4</v>
      </c>
      <c r="DS126" s="650">
        <f t="shared" ca="1" si="467"/>
        <v>40148</v>
      </c>
      <c r="DT126" s="653">
        <v>1E-4</v>
      </c>
      <c r="DU126" s="590">
        <v>1E-4</v>
      </c>
      <c r="DV126" s="651">
        <f t="shared" ca="1" si="468"/>
        <v>40148</v>
      </c>
      <c r="DW126" s="590">
        <v>1E-4</v>
      </c>
      <c r="DX126" s="651">
        <f t="shared" ca="1" si="335"/>
        <v>40148</v>
      </c>
      <c r="DY126" s="590">
        <f t="shared" si="336"/>
        <v>1E-4</v>
      </c>
      <c r="DZ126" s="1"/>
      <c r="EA126" s="857"/>
      <c r="EB126" s="857"/>
      <c r="EC126" s="857"/>
      <c r="ED126" s="868" t="e">
        <f t="shared" ca="1" si="436"/>
        <v>#NAME?</v>
      </c>
      <c r="EE126" s="863" t="e">
        <f t="shared" ca="1" si="312"/>
        <v>#NAME?</v>
      </c>
      <c r="EF126" s="590" t="e">
        <f t="shared" ca="1" si="313"/>
        <v>#NAME?</v>
      </c>
      <c r="EG126" s="862" t="str">
        <f t="shared" ca="1" si="469"/>
        <v/>
      </c>
      <c r="EH126" s="114" t="str">
        <f t="shared" ca="1" si="315"/>
        <v/>
      </c>
      <c r="EI126" s="109" t="str">
        <f t="shared" ca="1" si="316"/>
        <v/>
      </c>
      <c r="EJ126" s="115">
        <f ca="1">IF(BD126,_xll.xASN(BP126,Strike1,AO126,EH126,0,BM126,0,BI126,BL126,IF(OptControl=4,0,1),0),0)</f>
        <v>0</v>
      </c>
      <c r="EK126" s="108">
        <f ca="1">IF(BD126,_xll.xASN(BP126,Strike2,AO126,EI126,0,BM126,0,BI126,BL126,IF(OptControl=3,1,0),0),0)</f>
        <v>0</v>
      </c>
      <c r="EP126" s="53"/>
      <c r="EQ126" s="1"/>
      <c r="ER126" s="103"/>
      <c r="ES126" s="103"/>
      <c r="ET126" s="1"/>
      <c r="EU126" s="667" t="s">
        <v>338</v>
      </c>
      <c r="EW126" s="445"/>
      <c r="EX126" s="36"/>
      <c r="EY126" s="104"/>
      <c r="EZ126" s="465"/>
      <c r="FA126" s="446"/>
      <c r="FB126" s="446"/>
      <c r="FC126" s="242"/>
      <c r="FD126" s="242"/>
      <c r="FE126" s="242"/>
      <c r="FF126" s="242"/>
      <c r="FG126" s="242"/>
      <c r="FH126" s="242"/>
      <c r="FI126" s="242"/>
      <c r="FJ126" s="242"/>
      <c r="FK126" s="242"/>
      <c r="FL126" s="242"/>
      <c r="FM126" s="242"/>
      <c r="FN126" s="657">
        <v>32</v>
      </c>
      <c r="FO126" s="450">
        <f t="shared" ca="1" si="433"/>
        <v>0.1778604744359932</v>
      </c>
      <c r="FP126" s="450">
        <f t="shared" ca="1" si="476"/>
        <v>0.17840034934777346</v>
      </c>
      <c r="FQ126" s="450">
        <f t="shared" ca="1" si="476"/>
        <v>0.17883036484539599</v>
      </c>
      <c r="FR126" s="450">
        <f t="shared" ca="1" si="476"/>
        <v>0.17933724844914647</v>
      </c>
      <c r="FS126" s="450">
        <f t="shared" ca="1" si="476"/>
        <v>0.17992993517552325</v>
      </c>
      <c r="FT126" s="450">
        <f t="shared" ca="1" si="476"/>
        <v>0.18061852810668283</v>
      </c>
      <c r="FU126" s="450">
        <f t="shared" ca="1" si="476"/>
        <v>0.18141447230123589</v>
      </c>
      <c r="FV126" s="450">
        <f t="shared" ca="1" si="476"/>
        <v>0.18233075952079997</v>
      </c>
      <c r="FW126" s="450">
        <f t="shared" ca="1" si="476"/>
        <v>0.18338217031339291</v>
      </c>
      <c r="FX126" s="450">
        <f t="shared" ca="1" si="476"/>
        <v>0.1845855616204081</v>
      </c>
      <c r="FY126" s="450">
        <f t="shared" ca="1" si="476"/>
        <v>0.18596021016042674</v>
      </c>
      <c r="FZ126" s="450">
        <f t="shared" ca="1" si="476"/>
        <v>0.18752822453727491</v>
      </c>
      <c r="GA126" s="450">
        <f t="shared" ca="1" si="476"/>
        <v>0.18931504252042763</v>
      </c>
      <c r="GB126" s="450">
        <f t="shared" ca="1" si="476"/>
        <v>0.19135003452472601</v>
      </c>
      <c r="GC126" s="450">
        <f t="shared" ca="1" si="476"/>
        <v>0.1936672403472369</v>
      </c>
      <c r="GD126" s="450">
        <f t="shared" ca="1" si="476"/>
        <v>0.19630627422082939</v>
      </c>
      <c r="GE126" s="450">
        <f t="shared" ca="1" si="476"/>
        <v>0.19931344394311681</v>
      </c>
      <c r="GF126" s="450">
        <f t="shared" ca="1" si="476"/>
        <v>0.20274314426236542</v>
      </c>
      <c r="GG126" s="450">
        <f t="shared" ca="1" si="476"/>
        <v>0.20665960431356259</v>
      </c>
      <c r="GH126" s="450">
        <f t="shared" ca="1" si="476"/>
        <v>0.21113909580961329</v>
      </c>
      <c r="GI126" s="450">
        <f t="shared" ca="1" si="476"/>
        <v>0.21627274598168894</v>
      </c>
      <c r="GJ126" s="450">
        <f t="shared" ca="1" si="476"/>
        <v>0.2221701514649024</v>
      </c>
      <c r="GK126" s="450">
        <f t="shared" ca="1" si="476"/>
        <v>0.22896406320841026</v>
      </c>
      <c r="GL126" s="450">
        <f t="shared" ca="1" si="476"/>
        <v>0.23681651828147776</v>
      </c>
      <c r="GM126" s="450">
        <f t="shared" ca="1" si="476"/>
        <v>0.24592694782211383</v>
      </c>
      <c r="GN126" s="450">
        <f t="shared" ca="1" si="476"/>
        <v>0.25654301570134258</v>
      </c>
      <c r="GO126" s="450">
        <f t="shared" ca="1" si="476"/>
        <v>0.26897527823871897</v>
      </c>
      <c r="GP126" s="450">
        <f t="shared" ca="1" si="476"/>
        <v>0.28361726330480053</v>
      </c>
      <c r="GQ126" s="450">
        <f t="shared" ca="1" si="476"/>
        <v>0.30097334842530582</v>
      </c>
      <c r="GR126" s="450">
        <f t="shared" ca="1" si="476"/>
        <v>0.32169804047631567</v>
      </c>
      <c r="GS126" s="450">
        <f t="shared" ca="1" si="476"/>
        <v>0.34665221086238462</v>
      </c>
      <c r="GT126" s="450">
        <f t="shared" ca="1" si="476"/>
        <v>0.37698501866941403</v>
      </c>
      <c r="GU126" s="450" t="str">
        <f t="shared" si="476"/>
        <v/>
      </c>
      <c r="GV126" s="450" t="str">
        <f t="shared" si="476"/>
        <v/>
      </c>
      <c r="GW126" s="450" t="str">
        <f t="shared" si="476"/>
        <v/>
      </c>
      <c r="GX126" s="450" t="str">
        <f t="shared" si="476"/>
        <v/>
      </c>
      <c r="GY126" s="450" t="str">
        <f t="shared" si="476"/>
        <v/>
      </c>
      <c r="GZ126" s="450" t="str">
        <f t="shared" si="476"/>
        <v/>
      </c>
      <c r="HA126" s="450" t="str">
        <f t="shared" si="476"/>
        <v/>
      </c>
      <c r="HB126" s="450" t="str">
        <f t="shared" si="476"/>
        <v/>
      </c>
      <c r="HC126" s="450" t="str">
        <f t="shared" si="476"/>
        <v/>
      </c>
      <c r="HD126" s="450" t="str">
        <f t="shared" si="476"/>
        <v/>
      </c>
      <c r="HE126" s="450" t="str">
        <f t="shared" si="476"/>
        <v/>
      </c>
      <c r="HF126" s="450" t="str">
        <f t="shared" si="476"/>
        <v/>
      </c>
      <c r="HG126" s="450" t="str">
        <f t="shared" si="476"/>
        <v/>
      </c>
      <c r="HH126" s="450" t="str">
        <f t="shared" si="476"/>
        <v/>
      </c>
      <c r="HI126" s="450" t="str">
        <f t="shared" si="476"/>
        <v/>
      </c>
      <c r="HJ126" s="450" t="str">
        <f t="shared" si="476"/>
        <v/>
      </c>
      <c r="HK126" s="450" t="str">
        <f t="shared" si="476"/>
        <v/>
      </c>
      <c r="HL126" s="450" t="str">
        <f t="shared" si="476"/>
        <v/>
      </c>
      <c r="HM126" s="450" t="str">
        <f t="shared" si="476"/>
        <v/>
      </c>
      <c r="HN126" s="450" t="str">
        <f t="shared" si="476"/>
        <v/>
      </c>
      <c r="HO126" s="450" t="str">
        <f t="shared" si="476"/>
        <v/>
      </c>
      <c r="HP126" s="450" t="str">
        <f t="shared" si="476"/>
        <v/>
      </c>
      <c r="HQ126" s="450" t="str">
        <f t="shared" si="476"/>
        <v/>
      </c>
      <c r="HR126" s="450" t="str">
        <f t="shared" si="476"/>
        <v/>
      </c>
      <c r="HS126" s="450" t="str">
        <f t="shared" si="476"/>
        <v/>
      </c>
      <c r="HT126" s="450" t="str">
        <f t="shared" si="476"/>
        <v/>
      </c>
      <c r="HU126" s="450" t="str">
        <f t="shared" si="476"/>
        <v/>
      </c>
      <c r="HV126" s="450" t="str">
        <f t="shared" si="476"/>
        <v/>
      </c>
      <c r="HW126" s="450" t="str">
        <f t="shared" si="476"/>
        <v/>
      </c>
      <c r="HX126" s="450" t="str">
        <f t="shared" si="476"/>
        <v/>
      </c>
      <c r="HY126" s="450" t="str">
        <f t="shared" si="476"/>
        <v/>
      </c>
      <c r="HZ126" s="450" t="str">
        <f t="shared" si="476"/>
        <v/>
      </c>
      <c r="IA126" s="450" t="str">
        <f t="shared" si="476"/>
        <v/>
      </c>
      <c r="IB126" s="450" t="str">
        <f t="shared" si="475"/>
        <v/>
      </c>
      <c r="IC126" s="450" t="str">
        <f t="shared" si="475"/>
        <v/>
      </c>
      <c r="ID126" s="450" t="str">
        <f t="shared" si="475"/>
        <v/>
      </c>
      <c r="IE126" s="450" t="str">
        <f t="shared" si="475"/>
        <v/>
      </c>
      <c r="IF126" s="450" t="str">
        <f t="shared" si="475"/>
        <v/>
      </c>
      <c r="IG126" s="450" t="str">
        <f t="shared" si="475"/>
        <v/>
      </c>
      <c r="IH126" s="658" t="str">
        <f t="shared" si="475"/>
        <v/>
      </c>
      <c r="II126" s="242"/>
    </row>
    <row r="127" spans="8:243">
      <c r="H127" s="49" t="e">
        <f t="shared" ca="1" si="317"/>
        <v>#N/A</v>
      </c>
      <c r="I127" s="369">
        <f t="shared" si="318"/>
        <v>40269</v>
      </c>
      <c r="J127" s="367">
        <v>22.126666666666601</v>
      </c>
      <c r="K127" s="101" t="s">
        <v>267</v>
      </c>
      <c r="L127" s="382">
        <f t="shared" si="319"/>
        <v>22.12666666666664</v>
      </c>
      <c r="M127" s="163">
        <v>0.1638</v>
      </c>
      <c r="N127" s="372">
        <v>0</v>
      </c>
      <c r="O127" s="163">
        <f t="shared" si="272"/>
        <v>0.1638</v>
      </c>
      <c r="P127" s="367">
        <v>20.890845794710298</v>
      </c>
      <c r="Q127" s="101" t="s">
        <v>267</v>
      </c>
      <c r="R127" s="367">
        <f t="shared" ca="1" si="417"/>
        <v>20.890845794710348</v>
      </c>
      <c r="S127" s="814">
        <f t="shared" si="474"/>
        <v>0.35723060916737609</v>
      </c>
      <c r="T127" s="813">
        <f t="shared" si="418"/>
        <v>0.99999900829138744</v>
      </c>
      <c r="U127" s="532">
        <f t="shared" si="419"/>
        <v>0.99999999999999933</v>
      </c>
      <c r="V127" s="379">
        <v>0</v>
      </c>
      <c r="W127" s="424">
        <f t="shared" si="452"/>
        <v>22.149393939393917</v>
      </c>
      <c r="X127" s="405">
        <f t="shared" si="453"/>
        <v>22.149393939393914</v>
      </c>
      <c r="Y127" s="313">
        <f t="shared" si="454"/>
        <v>20.805393939393916</v>
      </c>
      <c r="Z127" s="313">
        <f t="shared" ca="1" si="455"/>
        <v>20.805393939393912</v>
      </c>
      <c r="AA127" s="419">
        <f t="shared" si="277"/>
        <v>1.3440000000000001</v>
      </c>
      <c r="AB127" s="423">
        <f t="shared" ca="1" si="278"/>
        <v>1.3440000000000001</v>
      </c>
      <c r="AC127" s="221">
        <v>40257</v>
      </c>
      <c r="AD127" s="221">
        <v>40253</v>
      </c>
      <c r="AE127" s="221">
        <v>40252</v>
      </c>
      <c r="AF127" s="221">
        <v>40248</v>
      </c>
      <c r="AG127" s="241" t="s">
        <v>497</v>
      </c>
      <c r="AH127" s="239" t="s">
        <v>497</v>
      </c>
      <c r="AI127" s="141">
        <v>22</v>
      </c>
      <c r="AJ127" s="41">
        <v>14</v>
      </c>
      <c r="AK127" s="41">
        <v>8</v>
      </c>
      <c r="AL127" s="285">
        <v>22</v>
      </c>
      <c r="AM127" s="41">
        <v>10</v>
      </c>
      <c r="AN127" s="142">
        <v>12</v>
      </c>
      <c r="AO127" s="364">
        <v>5.8354711165225406E-2</v>
      </c>
      <c r="AP127" s="145">
        <f t="shared" ca="1" si="320"/>
        <v>0.59395952739788027</v>
      </c>
      <c r="AQ127" s="364">
        <v>4.95823398261801E-2</v>
      </c>
      <c r="AR127" s="145">
        <f t="shared" ca="1" si="420"/>
        <v>0.64561778033552186</v>
      </c>
      <c r="AS127" s="264">
        <f t="shared" si="456"/>
        <v>0.16366363636363637</v>
      </c>
      <c r="AT127" s="149">
        <f t="shared" si="321"/>
        <v>0.1638</v>
      </c>
      <c r="AU127" s="149">
        <f t="shared" si="280"/>
        <v>0.16364545454545454</v>
      </c>
      <c r="AV127" s="263">
        <f t="shared" ca="1" si="430"/>
        <v>0.16111526098974202</v>
      </c>
      <c r="AW127" s="150" t="str">
        <f t="shared" ca="1" si="457"/>
        <v/>
      </c>
      <c r="AX127" s="149">
        <f t="shared" ca="1" si="421"/>
        <v>1.4384695607559769E-2</v>
      </c>
      <c r="AY127" s="149">
        <f t="shared" ca="1" si="422"/>
        <v>6.0947932838054273E-3</v>
      </c>
      <c r="AZ127" s="149">
        <f t="shared" ca="1" si="423"/>
        <v>4.3589112923464162E-3</v>
      </c>
      <c r="BA127" s="149">
        <f t="shared" ca="1" si="424"/>
        <v>1.00000000000004E-4</v>
      </c>
      <c r="BB127" s="149">
        <f t="shared" ca="1" si="425"/>
        <v>1.00000000000004E-4</v>
      </c>
      <c r="BC127" s="149">
        <f t="shared" ca="1" si="426"/>
        <v>1.00000000000004E-4</v>
      </c>
      <c r="BD127" s="143">
        <f t="shared" ca="1" si="458"/>
        <v>0</v>
      </c>
      <c r="BE127" s="144">
        <f t="shared" ca="1" si="459"/>
        <v>0</v>
      </c>
      <c r="BF127" s="40">
        <f t="shared" si="460"/>
        <v>2010</v>
      </c>
      <c r="BG127" s="139">
        <f t="shared" si="461"/>
        <v>4</v>
      </c>
      <c r="BH127" s="140">
        <f t="shared" ca="1" si="462"/>
        <v>3263</v>
      </c>
      <c r="BI127" s="304">
        <f t="shared" ca="1" si="440"/>
        <v>8.9774127310061598</v>
      </c>
      <c r="BJ127" s="42">
        <f t="shared" ca="1" si="288"/>
        <v>9.0279385228050515</v>
      </c>
      <c r="BK127" s="42">
        <f t="shared" ca="1" si="289"/>
        <v>9.0306763735921844</v>
      </c>
      <c r="BL127" s="42">
        <f t="shared" ca="1" si="441"/>
        <v>9.0568104038329906</v>
      </c>
      <c r="BM127" s="285">
        <f t="shared" si="442"/>
        <v>22</v>
      </c>
      <c r="BN127" s="41">
        <f t="shared" si="443"/>
        <v>14</v>
      </c>
      <c r="BO127" s="41">
        <f t="shared" si="444"/>
        <v>8</v>
      </c>
      <c r="BP127" s="297" t="str">
        <f t="shared" ca="1" si="293"/>
        <v/>
      </c>
      <c r="BQ127" s="297" t="str">
        <f t="shared" ca="1" si="294"/>
        <v/>
      </c>
      <c r="BR127" s="299" t="str">
        <f t="shared" ca="1" si="295"/>
        <v/>
      </c>
      <c r="BS127" s="153" t="str">
        <f t="shared" ca="1" si="296"/>
        <v/>
      </c>
      <c r="BT127" s="153" t="str">
        <f t="shared" ca="1" si="297"/>
        <v/>
      </c>
      <c r="BU127" s="300" t="str">
        <f t="shared" ca="1" si="298"/>
        <v/>
      </c>
      <c r="BV127" s="301" t="str">
        <f t="shared" ca="1" si="299"/>
        <v/>
      </c>
      <c r="BW127" s="300" t="str">
        <f t="shared" ca="1" si="300"/>
        <v/>
      </c>
      <c r="BX127" s="301" t="str">
        <f t="shared" ca="1" si="301"/>
        <v/>
      </c>
      <c r="BY127" s="146" t="str">
        <f t="shared" ca="1" si="302"/>
        <v/>
      </c>
      <c r="BZ127" s="146" t="str">
        <f t="shared" ca="1" si="303"/>
        <v/>
      </c>
      <c r="CA127" s="146" t="str">
        <f t="shared" ca="1" si="304"/>
        <v/>
      </c>
      <c r="CB127" s="146" t="str">
        <f t="shared" ca="1" si="305"/>
        <v/>
      </c>
      <c r="CC127" s="302">
        <v>1</v>
      </c>
      <c r="CD127" s="154">
        <f ca="1">IF(BD127,_xll.xCrudeAPO(BS127,BT127,BY127,BZ127,S128,S129,BI127,BL127,BN127,BO127,0,Strike1,AO127,CC127,0,BL127,IF(OptControl=4,0,1),0,1),0)</f>
        <v>0</v>
      </c>
      <c r="CE127" s="155">
        <f ca="1">IF(BD127,_xll.xCrudeAPO(BS127,BT127,BY127,BZ127,S128,S129,BI127,BL127,BN127,BO127,0,Strike1,AO127,CC127,0,BL127,IF(OptControl=4,0,1),1,1)+_xll.xCrudeAPO(BS127,BT127,BY127,BZ127,S128,S129,BI127,BL127,BN127,BO127,0,Strike1,AO127,CC127,0,BL127,IF(OptControl=4,0,1),1,2)+IF(OR(VolSkewFlag=2,ABS(BQ127)&lt;0.0001),0,IF(BQ127&gt;0,-1,1)*CF127*Strike1/BP127^2*BW127/10%),0)</f>
        <v>0</v>
      </c>
      <c r="CF127" s="155">
        <f ca="1">IF(BD127,(_xll.xCrudeAPO(BS127,BT127,BY127,BZ127,S128,S129,BI127,BL127,BN127,BO127,0,Strike1,AO127,CC127,0,BL127,IF(OptControl=4,0,1),3,1)+_xll.xCrudeAPO(BS127,BT127,BY127,BZ127,S128,S129,BI127,BL127,BN127,BO127,0,Strike1,AO127,CC127,0,BL127,IF(OptControl=4,0,1),3,2))/100,0)</f>
        <v>0</v>
      </c>
      <c r="CG127" s="155">
        <f ca="1">IF(BD127,_xll.xCrudeAPO(BS127,BT127,BY127,BZ127,S128,S129,BI127-DaysForThetaCalculation/365.25,BL127-DaysForThetaCalculation/365.25,BN127,BO127,0,Strike1,AO127,CC127,0,BL127,IF(OptControl=4,0,1),0,1)-_xll.xCrudeAPO(BS127,BT127,BY127,BZ127,S128,S129,BI127,BL127,BN127,BO127,0,Strike1,AO127,CC127,0,BL127,IF(OptControl=4,0,1),0,1),0)</f>
        <v>0</v>
      </c>
      <c r="CH127" s="303">
        <f ca="1">IF(BD127,_xll.xCrudeAPO(BS127,BT127,CA127,CB127,S128,S129,BI127,BL127,BN127,BO127,0,Strike2,AO127,CC127,0,BL127,IF(OptControl=3,1,0),0,1),0)</f>
        <v>0</v>
      </c>
      <c r="CI127" s="155">
        <f ca="1">IF(BD127,_xll.xCrudeAPO(BS127,BT127,CA127,CB127,S128,S129,BI127,BL127,BN127,BO127,0,Strike2,AO127,CC127,0,BL127,IF(OptControl=3,1,0),1,1)+_xll.xCrudeAPO(BS127,BT127,CA127,CB127,S128,S129,BI127,BL127,BN127,BO127,0,Strike2,AO127,CC127,0,BL127,IF(OptControl=3,1,0),1,2)+IF(OR(VolSkewFlag=2,ABS(BR127)&lt;0.0001),0,IF(BR127&gt;0,-1,1)*CJ127*Strike2/BP127^2*BX127/10%),0)</f>
        <v>0</v>
      </c>
      <c r="CJ127" s="155">
        <f ca="1">IF(BD127,(_xll.xCrudeAPO(BS127,BT127,CA127,CB127,S128,S129,BI127,BL127,BN127,BO127,0,Strike2,AO127,CC127,0,BL127,IF(OptControl=3,1,0),3,1)+_xll.xCrudeAPO(BS127,BT127,CA127,CB127,S128,S129,BI127,BL127,BN127,BO127,0,Strike2,AO127,CC127,0,BL127,IF(OptControl=3,1,0),3,2))/100,0)</f>
        <v>0</v>
      </c>
      <c r="CK127" s="156">
        <f ca="1">IF(BD127,_xll.xCrudeAPO(BS127,BT127,CA127,CB127,S128,S129,BI127-DaysForThetaCalculation/365.25,BL127-DaysForThetaCalculation/365.25,BN127,BO127,0,Strike2,AO127,CC127,0,BL127,IF(OptControl=3,1,0),0,1)-_xll.xCrudeAPO(BS127,BT127,CA127,CB127,S128,S129,BI127,BL127,BN127,BO127,0,Strike2,AO127,CC127,0,BL127,IF(OptControl=3,1,0),0,1),0)</f>
        <v>0</v>
      </c>
      <c r="CL127" s="51"/>
      <c r="CM127" s="779" t="str">
        <f t="shared" ca="1" si="323"/>
        <v/>
      </c>
      <c r="CN127" s="783" t="str">
        <f t="shared" ca="1" si="324"/>
        <v/>
      </c>
      <c r="CO127" s="780" t="str">
        <f t="shared" ca="1" si="325"/>
        <v/>
      </c>
      <c r="CP127" s="780" t="str">
        <f t="shared" ca="1" si="326"/>
        <v/>
      </c>
      <c r="CQ127" s="780" t="str">
        <f t="shared" ca="1" si="327"/>
        <v/>
      </c>
      <c r="CR127" s="780" t="str">
        <f t="shared" ca="1" si="328"/>
        <v/>
      </c>
      <c r="CS127" s="781" t="str">
        <f t="shared" ca="1" si="329"/>
        <v/>
      </c>
      <c r="CT127" s="782" t="str">
        <f t="shared" ca="1" si="330"/>
        <v/>
      </c>
      <c r="CU127" s="782" t="str">
        <f t="shared" ca="1" si="331"/>
        <v/>
      </c>
      <c r="CV127" s="155">
        <f ca="1">IF(BD127,_xll.EURO(CN127,Strike1,AO127,AO127,CT127,CM127,IF(OptControl=4,0,1),0),0)</f>
        <v>0</v>
      </c>
      <c r="CW127" s="155">
        <f ca="1">IF(BD127,_xll.EURO(CN127,Strike1,AO127,AO127,CT127,CM127,IF(OptControl=4,0,1),1)+IF(OR(VolSkewFlag=2,ABS(CO127)&lt;0.0001),0,IF(CO127&gt;0,-1,1)*CX127*100*Strike1/CN127^2*CQ127/10%),0)</f>
        <v>0</v>
      </c>
      <c r="CX127" s="155">
        <f ca="1">IF(BD127,_xll.EURO(CN127,Strike1,AO127,AO127,CT127,CM127,IF(OptControl=4,0,1),3)/100,0)</f>
        <v>0</v>
      </c>
      <c r="CY127" s="155">
        <f ca="1">IF(BD127,_xll.EURO(CN127,Strike1,AO127,AO127,CT127,CM127,IF(OptControl=4,0,1),0)-_xll.EURO(CN127,Strike1,AO127,AO127,CT127,CM127-1,IF(OptControl=4,0,1),0),0)</f>
        <v>0</v>
      </c>
      <c r="CZ127" s="155">
        <f ca="1">IF(BD127,_xll.EURO(CN127,Strike2,AO127,AO127,CU127,CM127,IF(OptControl=3,1,0),0),0)</f>
        <v>0</v>
      </c>
      <c r="DA127" s="155">
        <f ca="1">IF(BD127,_xll.EURO(CN127,Strike2,AO127,AO127,CU127,CM127,IF(OptControl=3,1,0),1)+IF(OR(VolSkewFlag=2,ABS(CP127)&lt;0.0001),0,IF(CP127&gt;0,-1,1)*DB127*100*Strike2/CN127^2*CR127/10%),0)</f>
        <v>0</v>
      </c>
      <c r="DB127" s="155">
        <f ca="1">IF(BD127,_xll.EURO(CN127,Strike2,AO127,AO127,CU127,CM127,IF(OptControl=3,1,0),3)/100,0)</f>
        <v>0</v>
      </c>
      <c r="DC127" s="156">
        <f ca="1">IF(BD127,_xll.EURO(CN127,Strike2,AO127,AO127,CU127,CM127,IF(OptControl=3,1,0),0)-_xll.EURO(CN127,Strike2,AO127,AO127,CU127,CM127-1,IF(OptControl=3,1,0),0),0)</f>
        <v>0</v>
      </c>
      <c r="DE127" s="651">
        <f t="shared" ca="1" si="332"/>
        <v>40179</v>
      </c>
      <c r="DF127" s="465">
        <v>1E-4</v>
      </c>
      <c r="DG127" s="649">
        <v>1E-4</v>
      </c>
      <c r="DH127" s="650">
        <f t="shared" ca="1" si="463"/>
        <v>40179</v>
      </c>
      <c r="DI127" s="465">
        <v>1E-4</v>
      </c>
      <c r="DJ127" s="649">
        <v>1E-4</v>
      </c>
      <c r="DK127" s="651">
        <f t="shared" ca="1" si="464"/>
        <v>40179</v>
      </c>
      <c r="DL127" s="652">
        <f t="shared" si="465"/>
        <v>5.0100000000000006E-2</v>
      </c>
      <c r="DM127" s="651">
        <f t="shared" ca="1" si="333"/>
        <v>40179</v>
      </c>
      <c r="DN127" s="563">
        <f t="shared" si="334"/>
        <v>-0.12990000000000002</v>
      </c>
      <c r="DO127" s="803">
        <v>-0.13</v>
      </c>
      <c r="DP127" s="650">
        <f t="shared" ca="1" si="466"/>
        <v>40179</v>
      </c>
      <c r="DQ127" s="653">
        <v>1E-4</v>
      </c>
      <c r="DR127" s="590">
        <v>1E-4</v>
      </c>
      <c r="DS127" s="650">
        <f t="shared" ca="1" si="467"/>
        <v>40179</v>
      </c>
      <c r="DT127" s="653">
        <v>1E-4</v>
      </c>
      <c r="DU127" s="590">
        <v>1E-4</v>
      </c>
      <c r="DV127" s="651">
        <f t="shared" ca="1" si="468"/>
        <v>40179</v>
      </c>
      <c r="DW127" s="590">
        <v>1E-4</v>
      </c>
      <c r="DX127" s="651">
        <f t="shared" ca="1" si="335"/>
        <v>40179</v>
      </c>
      <c r="DY127" s="590">
        <f t="shared" si="336"/>
        <v>1E-4</v>
      </c>
      <c r="DZ127" s="1"/>
      <c r="EA127" s="857"/>
      <c r="EB127" s="857"/>
      <c r="EC127" s="857"/>
      <c r="ED127" s="868" t="e">
        <f t="shared" ca="1" si="436"/>
        <v>#NAME?</v>
      </c>
      <c r="EE127" s="863" t="e">
        <f t="shared" ca="1" si="312"/>
        <v>#NAME?</v>
      </c>
      <c r="EF127" s="590" t="e">
        <f t="shared" ca="1" si="313"/>
        <v>#NAME?</v>
      </c>
      <c r="EG127" s="862" t="str">
        <f t="shared" ca="1" si="469"/>
        <v/>
      </c>
      <c r="EH127" s="114" t="str">
        <f t="shared" ca="1" si="315"/>
        <v/>
      </c>
      <c r="EI127" s="109" t="str">
        <f t="shared" ca="1" si="316"/>
        <v/>
      </c>
      <c r="EJ127" s="115">
        <f ca="1">IF(BD127,_xll.xASN(BP127,Strike1,AO127,EH127,0,BM127,0,BI127,BL127,IF(OptControl=4,0,1),0),0)</f>
        <v>0</v>
      </c>
      <c r="EK127" s="108">
        <f ca="1">IF(BD127,_xll.xASN(BP127,Strike2,AO127,EI127,0,BM127,0,BI127,BL127,IF(OptControl=3,1,0),0),0)</f>
        <v>0</v>
      </c>
      <c r="EP127" s="53"/>
      <c r="EQ127" s="1"/>
      <c r="ER127" s="103"/>
      <c r="ES127" s="103"/>
      <c r="ET127" s="1"/>
      <c r="EU127" s="667" t="s">
        <v>339</v>
      </c>
      <c r="EW127" s="445"/>
      <c r="EX127" s="36"/>
      <c r="EY127" s="104"/>
      <c r="EZ127" s="465"/>
      <c r="FA127" s="446"/>
      <c r="FB127" s="446"/>
      <c r="FC127" s="242"/>
      <c r="FD127" s="242"/>
      <c r="FE127" s="242"/>
      <c r="FF127" s="242"/>
      <c r="FG127" s="242"/>
      <c r="FH127" s="242"/>
      <c r="FI127" s="242"/>
      <c r="FJ127" s="242"/>
      <c r="FK127" s="242"/>
      <c r="FL127" s="242"/>
      <c r="FM127" s="242"/>
      <c r="FN127" s="657">
        <v>33</v>
      </c>
      <c r="FO127" s="450">
        <f t="shared" ref="FO127:FO158" ca="1" si="477">IF($FN52&lt;FO$94,"",SQRT(FO52/FO$15))</f>
        <v>0.17732998009592996</v>
      </c>
      <c r="FP127" s="450">
        <f t="shared" ca="1" si="476"/>
        <v>0.17780902372719293</v>
      </c>
      <c r="FQ127" s="450">
        <f t="shared" ca="1" si="476"/>
        <v>0.17817163095117372</v>
      </c>
      <c r="FR127" s="450">
        <f t="shared" ca="1" si="476"/>
        <v>0.1786030964741547</v>
      </c>
      <c r="FS127" s="450">
        <f t="shared" ca="1" si="476"/>
        <v>0.1791113279118719</v>
      </c>
      <c r="FT127" s="450">
        <f t="shared" ca="1" si="476"/>
        <v>0.17970525162580289</v>
      </c>
      <c r="FU127" s="450">
        <f t="shared" ca="1" si="476"/>
        <v>0.18039496095126353</v>
      </c>
      <c r="FV127" s="450">
        <f t="shared" ca="1" si="476"/>
        <v>0.1811918899511675</v>
      </c>
      <c r="FW127" s="450">
        <f t="shared" ca="1" si="476"/>
        <v>0.18210901795794482</v>
      </c>
      <c r="FX127" s="450">
        <f t="shared" ca="1" si="476"/>
        <v>0.18316111143884609</v>
      </c>
      <c r="FY127" s="450">
        <f t="shared" ca="1" si="476"/>
        <v>0.18436501134405858</v>
      </c>
      <c r="FZ127" s="450">
        <f t="shared" ca="1" si="476"/>
        <v>0.18573997618171545</v>
      </c>
      <c r="GA127" s="450">
        <f t="shared" ca="1" si="476"/>
        <v>0.18730809375562549</v>
      </c>
      <c r="GB127" s="450">
        <f t="shared" ca="1" si="476"/>
        <v>0.18909477799913599</v>
      </c>
      <c r="GC127" s="450">
        <f t="shared" ca="1" si="476"/>
        <v>0.19112937191332188</v>
      </c>
      <c r="GD127" s="450">
        <f t="shared" ca="1" si="476"/>
        <v>0.19344588364321508</v>
      </c>
      <c r="GE127" s="450">
        <f t="shared" ca="1" si="476"/>
        <v>0.19608389072043259</v>
      </c>
      <c r="GF127" s="450">
        <f t="shared" ca="1" si="476"/>
        <v>0.19908965819016397</v>
      </c>
      <c r="GG127" s="450">
        <f t="shared" ca="1" si="476"/>
        <v>0.20251753075068857</v>
      </c>
      <c r="GH127" s="450">
        <f t="shared" ca="1" si="476"/>
        <v>0.20643167862787343</v>
      </c>
      <c r="GI127" s="450">
        <f t="shared" ca="1" si="476"/>
        <v>0.21090830379516581</v>
      </c>
      <c r="GJ127" s="450">
        <f t="shared" ca="1" si="476"/>
        <v>0.21603845040584446</v>
      </c>
      <c r="GK127" s="450">
        <f t="shared" ca="1" si="476"/>
        <v>0.22193161546059217</v>
      </c>
      <c r="GL127" s="450">
        <f t="shared" ca="1" si="476"/>
        <v>0.22872042955158106</v>
      </c>
      <c r="GM127" s="450">
        <f t="shared" ca="1" si="476"/>
        <v>0.23656678322407593</v>
      </c>
      <c r="GN127" s="450">
        <f t="shared" ca="1" si="476"/>
        <v>0.24566992773756086</v>
      </c>
      <c r="GO127" s="450">
        <f t="shared" ca="1" si="476"/>
        <v>0.25627730413822064</v>
      </c>
      <c r="GP127" s="450">
        <f t="shared" ca="1" si="476"/>
        <v>0.26869919002465081</v>
      </c>
      <c r="GQ127" s="450">
        <f t="shared" ca="1" si="476"/>
        <v>0.2833287609469759</v>
      </c>
      <c r="GR127" s="450">
        <f t="shared" ca="1" si="476"/>
        <v>0.3006699439803453</v>
      </c>
      <c r="GS127" s="450">
        <f t="shared" ca="1" si="476"/>
        <v>0.32137666292862266</v>
      </c>
      <c r="GT127" s="450">
        <f t="shared" ca="1" si="476"/>
        <v>0.3463090242288252</v>
      </c>
      <c r="GU127" s="450">
        <f t="shared" ca="1" si="476"/>
        <v>0.37661516848271992</v>
      </c>
      <c r="GV127" s="450" t="str">
        <f t="shared" si="476"/>
        <v/>
      </c>
      <c r="GW127" s="450" t="str">
        <f t="shared" si="476"/>
        <v/>
      </c>
      <c r="GX127" s="450" t="str">
        <f t="shared" si="476"/>
        <v/>
      </c>
      <c r="GY127" s="450" t="str">
        <f t="shared" si="476"/>
        <v/>
      </c>
      <c r="GZ127" s="450" t="str">
        <f t="shared" si="476"/>
        <v/>
      </c>
      <c r="HA127" s="450" t="str">
        <f t="shared" si="476"/>
        <v/>
      </c>
      <c r="HB127" s="450" t="str">
        <f t="shared" si="476"/>
        <v/>
      </c>
      <c r="HC127" s="450" t="str">
        <f t="shared" si="476"/>
        <v/>
      </c>
      <c r="HD127" s="450" t="str">
        <f t="shared" si="476"/>
        <v/>
      </c>
      <c r="HE127" s="450" t="str">
        <f t="shared" si="476"/>
        <v/>
      </c>
      <c r="HF127" s="450" t="str">
        <f t="shared" si="476"/>
        <v/>
      </c>
      <c r="HG127" s="450" t="str">
        <f t="shared" si="476"/>
        <v/>
      </c>
      <c r="HH127" s="450" t="str">
        <f t="shared" si="476"/>
        <v/>
      </c>
      <c r="HI127" s="450" t="str">
        <f t="shared" si="476"/>
        <v/>
      </c>
      <c r="HJ127" s="450" t="str">
        <f t="shared" si="476"/>
        <v/>
      </c>
      <c r="HK127" s="450" t="str">
        <f t="shared" si="476"/>
        <v/>
      </c>
      <c r="HL127" s="450" t="str">
        <f t="shared" si="476"/>
        <v/>
      </c>
      <c r="HM127" s="450" t="str">
        <f t="shared" si="476"/>
        <v/>
      </c>
      <c r="HN127" s="450" t="str">
        <f t="shared" si="476"/>
        <v/>
      </c>
      <c r="HO127" s="450" t="str">
        <f t="shared" si="476"/>
        <v/>
      </c>
      <c r="HP127" s="450" t="str">
        <f t="shared" si="476"/>
        <v/>
      </c>
      <c r="HQ127" s="450" t="str">
        <f t="shared" si="476"/>
        <v/>
      </c>
      <c r="HR127" s="450" t="str">
        <f t="shared" si="476"/>
        <v/>
      </c>
      <c r="HS127" s="450" t="str">
        <f t="shared" si="476"/>
        <v/>
      </c>
      <c r="HT127" s="450" t="str">
        <f t="shared" si="476"/>
        <v/>
      </c>
      <c r="HU127" s="450" t="str">
        <f t="shared" si="476"/>
        <v/>
      </c>
      <c r="HV127" s="450" t="str">
        <f t="shared" si="476"/>
        <v/>
      </c>
      <c r="HW127" s="450" t="str">
        <f t="shared" si="476"/>
        <v/>
      </c>
      <c r="HX127" s="450" t="str">
        <f t="shared" si="476"/>
        <v/>
      </c>
      <c r="HY127" s="450" t="str">
        <f t="shared" si="476"/>
        <v/>
      </c>
      <c r="HZ127" s="450" t="str">
        <f t="shared" si="476"/>
        <v/>
      </c>
      <c r="IA127" s="450" t="str">
        <f t="shared" si="476"/>
        <v/>
      </c>
      <c r="IB127" s="450" t="str">
        <f t="shared" si="475"/>
        <v/>
      </c>
      <c r="IC127" s="450" t="str">
        <f t="shared" si="475"/>
        <v/>
      </c>
      <c r="ID127" s="450" t="str">
        <f t="shared" si="475"/>
        <v/>
      </c>
      <c r="IE127" s="450" t="str">
        <f t="shared" si="475"/>
        <v/>
      </c>
      <c r="IF127" s="450" t="str">
        <f t="shared" si="475"/>
        <v/>
      </c>
      <c r="IG127" s="450" t="str">
        <f t="shared" si="475"/>
        <v/>
      </c>
      <c r="IH127" s="658" t="str">
        <f t="shared" si="475"/>
        <v/>
      </c>
      <c r="II127" s="242"/>
    </row>
    <row r="128" spans="8:243">
      <c r="H128" s="49" t="e">
        <f t="shared" ca="1" si="317"/>
        <v>#N/A</v>
      </c>
      <c r="I128" s="369">
        <f t="shared" si="318"/>
        <v>40299</v>
      </c>
      <c r="J128" s="367">
        <v>22.143333333333299</v>
      </c>
      <c r="K128" s="101" t="s">
        <v>267</v>
      </c>
      <c r="L128" s="382">
        <f t="shared" si="319"/>
        <v>22.143333333333306</v>
      </c>
      <c r="M128" s="163">
        <v>0.16370000000000001</v>
      </c>
      <c r="N128" s="372">
        <v>0</v>
      </c>
      <c r="O128" s="163">
        <f t="shared" si="272"/>
        <v>0.16370000000000001</v>
      </c>
      <c r="P128" s="367">
        <v>20.936169901504801</v>
      </c>
      <c r="Q128" s="101" t="s">
        <v>267</v>
      </c>
      <c r="R128" s="367">
        <f t="shared" ca="1" si="417"/>
        <v>20.936169901504812</v>
      </c>
      <c r="S128" s="814">
        <f t="shared" si="474"/>
        <v>0.35705830307570235</v>
      </c>
      <c r="T128" s="813">
        <f t="shared" si="418"/>
        <v>0.99999910746229304</v>
      </c>
      <c r="U128" s="532">
        <f t="shared" si="419"/>
        <v>0.99999999999999956</v>
      </c>
      <c r="V128" s="379">
        <v>0</v>
      </c>
      <c r="W128" s="424">
        <f t="shared" si="452"/>
        <v>22.165555555555535</v>
      </c>
      <c r="X128" s="405">
        <f t="shared" si="453"/>
        <v>22.165555555555528</v>
      </c>
      <c r="Y128" s="313">
        <f t="shared" si="454"/>
        <v>20.821555555555534</v>
      </c>
      <c r="Z128" s="313">
        <f t="shared" ca="1" si="455"/>
        <v>20.821555555555527</v>
      </c>
      <c r="AA128" s="419">
        <f t="shared" si="277"/>
        <v>1.3440000000000001</v>
      </c>
      <c r="AB128" s="423">
        <f t="shared" ca="1" si="278"/>
        <v>1.3440000000000001</v>
      </c>
      <c r="AC128" s="221">
        <v>40288</v>
      </c>
      <c r="AD128" s="221">
        <v>40284</v>
      </c>
      <c r="AE128" s="221">
        <v>40283</v>
      </c>
      <c r="AF128" s="221">
        <v>40279</v>
      </c>
      <c r="AG128" s="241" t="s">
        <v>497</v>
      </c>
      <c r="AH128" s="239" t="s">
        <v>497</v>
      </c>
      <c r="AI128" s="141">
        <v>21</v>
      </c>
      <c r="AJ128" s="41">
        <v>14</v>
      </c>
      <c r="AK128" s="41">
        <v>7</v>
      </c>
      <c r="AL128" s="285">
        <v>21</v>
      </c>
      <c r="AM128" s="41">
        <v>10</v>
      </c>
      <c r="AN128" s="142">
        <v>11</v>
      </c>
      <c r="AO128" s="364">
        <v>5.8429622853910103E-2</v>
      </c>
      <c r="AP128" s="145">
        <f t="shared" ca="1" si="320"/>
        <v>0.59067379269599196</v>
      </c>
      <c r="AQ128" s="364">
        <v>4.9602475973668202E-2</v>
      </c>
      <c r="AR128" s="145">
        <f t="shared" ca="1" si="420"/>
        <v>0.64282565882540732</v>
      </c>
      <c r="AS128" s="264">
        <f t="shared" si="456"/>
        <v>0.16356666666666667</v>
      </c>
      <c r="AT128" s="149">
        <f t="shared" si="321"/>
        <v>0.16370000000000001</v>
      </c>
      <c r="AU128" s="149">
        <f t="shared" si="280"/>
        <v>0.16354761904761905</v>
      </c>
      <c r="AV128" s="263">
        <f t="shared" ca="1" si="430"/>
        <v>0.16075154980414108</v>
      </c>
      <c r="AW128" s="150" t="str">
        <f t="shared" ca="1" si="457"/>
        <v/>
      </c>
      <c r="AX128" s="149">
        <f t="shared" ca="1" si="421"/>
        <v>1.4182616329201796E-2</v>
      </c>
      <c r="AY128" s="149">
        <f t="shared" ca="1" si="422"/>
        <v>5.9899270720954884E-3</v>
      </c>
      <c r="AZ128" s="149">
        <f t="shared" ca="1" si="423"/>
        <v>4.3069621812503994E-3</v>
      </c>
      <c r="BA128" s="149">
        <f t="shared" ca="1" si="424"/>
        <v>1.0000000000000404E-4</v>
      </c>
      <c r="BB128" s="149">
        <f t="shared" ca="1" si="425"/>
        <v>1.0000000000000404E-4</v>
      </c>
      <c r="BC128" s="149">
        <f t="shared" ca="1" si="426"/>
        <v>1.0000000000000404E-4</v>
      </c>
      <c r="BD128" s="143">
        <f t="shared" ca="1" si="458"/>
        <v>0</v>
      </c>
      <c r="BE128" s="144">
        <f t="shared" ca="1" si="459"/>
        <v>0</v>
      </c>
      <c r="BF128" s="40">
        <f t="shared" si="460"/>
        <v>2010</v>
      </c>
      <c r="BG128" s="139">
        <f t="shared" si="461"/>
        <v>5</v>
      </c>
      <c r="BH128" s="140">
        <f t="shared" ca="1" si="462"/>
        <v>3294</v>
      </c>
      <c r="BI128" s="304">
        <f t="shared" ca="1" si="440"/>
        <v>9.0595482546201236</v>
      </c>
      <c r="BJ128" s="42">
        <f t="shared" ca="1" si="288"/>
        <v>9.1143052703627649</v>
      </c>
      <c r="BK128" s="42">
        <f t="shared" ca="1" si="289"/>
        <v>9.1170431211498979</v>
      </c>
      <c r="BL128" s="42">
        <f t="shared" ca="1" si="441"/>
        <v>9.1416837782340856</v>
      </c>
      <c r="BM128" s="285">
        <f t="shared" si="442"/>
        <v>21</v>
      </c>
      <c r="BN128" s="41">
        <f t="shared" si="443"/>
        <v>14</v>
      </c>
      <c r="BO128" s="41">
        <f t="shared" si="444"/>
        <v>7</v>
      </c>
      <c r="BP128" s="297" t="str">
        <f t="shared" ca="1" si="293"/>
        <v/>
      </c>
      <c r="BQ128" s="297" t="str">
        <f t="shared" ca="1" si="294"/>
        <v/>
      </c>
      <c r="BR128" s="299" t="str">
        <f t="shared" ca="1" si="295"/>
        <v/>
      </c>
      <c r="BS128" s="153" t="str">
        <f t="shared" ca="1" si="296"/>
        <v/>
      </c>
      <c r="BT128" s="153" t="str">
        <f t="shared" ca="1" si="297"/>
        <v/>
      </c>
      <c r="BU128" s="300" t="str">
        <f t="shared" ca="1" si="298"/>
        <v/>
      </c>
      <c r="BV128" s="301" t="str">
        <f t="shared" ca="1" si="299"/>
        <v/>
      </c>
      <c r="BW128" s="300" t="str">
        <f t="shared" ca="1" si="300"/>
        <v/>
      </c>
      <c r="BX128" s="301" t="str">
        <f t="shared" ca="1" si="301"/>
        <v/>
      </c>
      <c r="BY128" s="146" t="str">
        <f t="shared" ca="1" si="302"/>
        <v/>
      </c>
      <c r="BZ128" s="146" t="str">
        <f t="shared" ca="1" si="303"/>
        <v/>
      </c>
      <c r="CA128" s="146" t="str">
        <f t="shared" ca="1" si="304"/>
        <v/>
      </c>
      <c r="CB128" s="146" t="str">
        <f t="shared" ca="1" si="305"/>
        <v/>
      </c>
      <c r="CC128" s="302">
        <v>1</v>
      </c>
      <c r="CD128" s="154">
        <f ca="1">IF(BD128,_xll.xCrudeAPO(BS128,BT128,BY128,BZ128,S129,S130,BI128,BL128,BN128,BO128,0,Strike1,AO128,CC128,0,BL128,IF(OptControl=4,0,1),0,1),0)</f>
        <v>0</v>
      </c>
      <c r="CE128" s="155">
        <f ca="1">IF(BD128,_xll.xCrudeAPO(BS128,BT128,BY128,BZ128,S129,S130,BI128,BL128,BN128,BO128,0,Strike1,AO128,CC128,0,BL128,IF(OptControl=4,0,1),1,1)+_xll.xCrudeAPO(BS128,BT128,BY128,BZ128,S129,S130,BI128,BL128,BN128,BO128,0,Strike1,AO128,CC128,0,BL128,IF(OptControl=4,0,1),1,2)+IF(OR(VolSkewFlag=2,ABS(BQ128)&lt;0.0001),0,IF(BQ128&gt;0,-1,1)*CF128*Strike1/BP128^2*BW128/10%),0)</f>
        <v>0</v>
      </c>
      <c r="CF128" s="155">
        <f ca="1">IF(BD128,(_xll.xCrudeAPO(BS128,BT128,BY128,BZ128,S129,S130,BI128,BL128,BN128,BO128,0,Strike1,AO128,CC128,0,BL128,IF(OptControl=4,0,1),3,1)+_xll.xCrudeAPO(BS128,BT128,BY128,BZ128,S129,S130,BI128,BL128,BN128,BO128,0,Strike1,AO128,CC128,0,BL128,IF(OptControl=4,0,1),3,2))/100,0)</f>
        <v>0</v>
      </c>
      <c r="CG128" s="155">
        <f ca="1">IF(BD128,_xll.xCrudeAPO(BS128,BT128,BY128,BZ128,S129,S130,BI128-DaysForThetaCalculation/365.25,BL128-DaysForThetaCalculation/365.25,BN128,BO128,0,Strike1,AO128,CC128,0,BL128,IF(OptControl=4,0,1),0,1)-_xll.xCrudeAPO(BS128,BT128,BY128,BZ128,S129,S130,BI128,BL128,BN128,BO128,0,Strike1,AO128,CC128,0,BL128,IF(OptControl=4,0,1),0,1),0)</f>
        <v>0</v>
      </c>
      <c r="CH128" s="303">
        <f ca="1">IF(BD128,_xll.xCrudeAPO(BS128,BT128,CA128,CB128,S129,S130,BI128,BL128,BN128,BO128,0,Strike2,AO128,CC128,0,BL128,IF(OptControl=3,1,0),0,1),0)</f>
        <v>0</v>
      </c>
      <c r="CI128" s="155">
        <f ca="1">IF(BD128,_xll.xCrudeAPO(BS128,BT128,CA128,CB128,S129,S130,BI128,BL128,BN128,BO128,0,Strike2,AO128,CC128,0,BL128,IF(OptControl=3,1,0),1,1)+_xll.xCrudeAPO(BS128,BT128,CA128,CB128,S129,S130,BI128,BL128,BN128,BO128,0,Strike2,AO128,CC128,0,BL128,IF(OptControl=3,1,0),1,2)+IF(OR(VolSkewFlag=2,ABS(BR128)&lt;0.0001),0,IF(BR128&gt;0,-1,1)*CJ128*Strike2/BP128^2*BX128/10%),0)</f>
        <v>0</v>
      </c>
      <c r="CJ128" s="155">
        <f ca="1">IF(BD128,(_xll.xCrudeAPO(BS128,BT128,CA128,CB128,S129,S130,BI128,BL128,BN128,BO128,0,Strike2,AO128,CC128,0,BL128,IF(OptControl=3,1,0),3,1)+_xll.xCrudeAPO(BS128,BT128,CA128,CB128,S129,S130,BI128,BL128,BN128,BO128,0,Strike2,AO128,CC128,0,BL128,IF(OptControl=3,1,0),3,2))/100,0)</f>
        <v>0</v>
      </c>
      <c r="CK128" s="156">
        <f ca="1">IF(BD128,_xll.xCrudeAPO(BS128,BT128,CA128,CB128,S129,S130,BI128-DaysForThetaCalculation/365.25,BL128-DaysForThetaCalculation/365.25,BN128,BO128,0,Strike2,AO128,CC128,0,BL128,IF(OptControl=3,1,0),0,1)-_xll.xCrudeAPO(BS128,BT128,CA128,CB128,S129,S130,BI128,BL128,BN128,BO128,0,Strike2,AO128,CC128,0,BL128,IF(OptControl=3,1,0),0,1),0)</f>
        <v>0</v>
      </c>
      <c r="CL128" s="51"/>
      <c r="CM128" s="779" t="str">
        <f t="shared" ca="1" si="323"/>
        <v/>
      </c>
      <c r="CN128" s="783" t="str">
        <f t="shared" ca="1" si="324"/>
        <v/>
      </c>
      <c r="CO128" s="780" t="str">
        <f t="shared" ca="1" si="325"/>
        <v/>
      </c>
      <c r="CP128" s="780" t="str">
        <f t="shared" ca="1" si="326"/>
        <v/>
      </c>
      <c r="CQ128" s="780" t="str">
        <f t="shared" ca="1" si="327"/>
        <v/>
      </c>
      <c r="CR128" s="780" t="str">
        <f t="shared" ca="1" si="328"/>
        <v/>
      </c>
      <c r="CS128" s="781" t="str">
        <f t="shared" ca="1" si="329"/>
        <v/>
      </c>
      <c r="CT128" s="782" t="str">
        <f t="shared" ca="1" si="330"/>
        <v/>
      </c>
      <c r="CU128" s="782" t="str">
        <f t="shared" ca="1" si="331"/>
        <v/>
      </c>
      <c r="CV128" s="155">
        <f ca="1">IF(BD128,_xll.EURO(CN128,Strike1,AO128,AO128,CT128,CM128,IF(OptControl=4,0,1),0),0)</f>
        <v>0</v>
      </c>
      <c r="CW128" s="155">
        <f ca="1">IF(BD128,_xll.EURO(CN128,Strike1,AO128,AO128,CT128,CM128,IF(OptControl=4,0,1),1)+IF(OR(VolSkewFlag=2,ABS(CO128)&lt;0.0001),0,IF(CO128&gt;0,-1,1)*CX128*100*Strike1/CN128^2*CQ128/10%),0)</f>
        <v>0</v>
      </c>
      <c r="CX128" s="155">
        <f ca="1">IF(BD128,_xll.EURO(CN128,Strike1,AO128,AO128,CT128,CM128,IF(OptControl=4,0,1),3)/100,0)</f>
        <v>0</v>
      </c>
      <c r="CY128" s="155">
        <f ca="1">IF(BD128,_xll.EURO(CN128,Strike1,AO128,AO128,CT128,CM128,IF(OptControl=4,0,1),0)-_xll.EURO(CN128,Strike1,AO128,AO128,CT128,CM128-1,IF(OptControl=4,0,1),0),0)</f>
        <v>0</v>
      </c>
      <c r="CZ128" s="155">
        <f ca="1">IF(BD128,_xll.EURO(CN128,Strike2,AO128,AO128,CU128,CM128,IF(OptControl=3,1,0),0),0)</f>
        <v>0</v>
      </c>
      <c r="DA128" s="155">
        <f ca="1">IF(BD128,_xll.EURO(CN128,Strike2,AO128,AO128,CU128,CM128,IF(OptControl=3,1,0),1)+IF(OR(VolSkewFlag=2,ABS(CP128)&lt;0.0001),0,IF(CP128&gt;0,-1,1)*DB128*100*Strike2/CN128^2*CR128/10%),0)</f>
        <v>0</v>
      </c>
      <c r="DB128" s="155">
        <f ca="1">IF(BD128,_xll.EURO(CN128,Strike2,AO128,AO128,CU128,CM128,IF(OptControl=3,1,0),3)/100,0)</f>
        <v>0</v>
      </c>
      <c r="DC128" s="156">
        <f ca="1">IF(BD128,_xll.EURO(CN128,Strike2,AO128,AO128,CU128,CM128,IF(OptControl=3,1,0),0)-_xll.EURO(CN128,Strike2,AO128,AO128,CU128,CM128-1,IF(OptControl=3,1,0),0),0)</f>
        <v>0</v>
      </c>
      <c r="DE128" s="651">
        <f t="shared" ca="1" si="332"/>
        <v>40210</v>
      </c>
      <c r="DF128" s="465">
        <v>1E-4</v>
      </c>
      <c r="DG128" s="649">
        <v>1E-4</v>
      </c>
      <c r="DH128" s="650">
        <f t="shared" ca="1" si="463"/>
        <v>40210</v>
      </c>
      <c r="DI128" s="465">
        <v>1E-4</v>
      </c>
      <c r="DJ128" s="649">
        <v>1E-4</v>
      </c>
      <c r="DK128" s="651">
        <f t="shared" ca="1" si="464"/>
        <v>40210</v>
      </c>
      <c r="DL128" s="652">
        <f t="shared" si="465"/>
        <v>5.0100000000000006E-2</v>
      </c>
      <c r="DM128" s="651">
        <f t="shared" ca="1" si="333"/>
        <v>40210</v>
      </c>
      <c r="DN128" s="563">
        <f t="shared" si="334"/>
        <v>-0.12990000000000002</v>
      </c>
      <c r="DO128" s="803">
        <v>-0.13</v>
      </c>
      <c r="DP128" s="650">
        <f t="shared" ca="1" si="466"/>
        <v>40210</v>
      </c>
      <c r="DQ128" s="653">
        <v>1E-4</v>
      </c>
      <c r="DR128" s="590">
        <v>1E-4</v>
      </c>
      <c r="DS128" s="650">
        <f t="shared" ca="1" si="467"/>
        <v>40210</v>
      </c>
      <c r="DT128" s="653">
        <v>1E-4</v>
      </c>
      <c r="DU128" s="590">
        <v>1E-4</v>
      </c>
      <c r="DV128" s="651">
        <f t="shared" ca="1" si="468"/>
        <v>40210</v>
      </c>
      <c r="DW128" s="590">
        <v>1E-4</v>
      </c>
      <c r="DX128" s="651">
        <f t="shared" ca="1" si="335"/>
        <v>40210</v>
      </c>
      <c r="DY128" s="590">
        <f t="shared" si="336"/>
        <v>1E-4</v>
      </c>
      <c r="DZ128" s="1"/>
      <c r="EA128" s="857"/>
      <c r="EB128" s="857"/>
      <c r="EC128" s="857"/>
      <c r="ED128" s="868" t="e">
        <f t="shared" ca="1" si="436"/>
        <v>#NAME?</v>
      </c>
      <c r="EE128" s="863" t="e">
        <f t="shared" ca="1" si="312"/>
        <v>#NAME?</v>
      </c>
      <c r="EF128" s="590" t="e">
        <f t="shared" ca="1" si="313"/>
        <v>#NAME?</v>
      </c>
      <c r="EG128" s="862" t="str">
        <f t="shared" ca="1" si="469"/>
        <v/>
      </c>
      <c r="EH128" s="114" t="str">
        <f t="shared" ca="1" si="315"/>
        <v/>
      </c>
      <c r="EI128" s="109" t="str">
        <f t="shared" ca="1" si="316"/>
        <v/>
      </c>
      <c r="EJ128" s="115">
        <f ca="1">IF(BD128,_xll.xASN(BP128,Strike1,AO128,EH128,0,BM128,0,BI128,BL128,IF(OptControl=4,0,1),0),0)</f>
        <v>0</v>
      </c>
      <c r="EK128" s="108">
        <f ca="1">IF(BD128,_xll.xASN(BP128,Strike2,AO128,EI128,0,BM128,0,BI128,BL128,IF(OptControl=3,1,0),0),0)</f>
        <v>0</v>
      </c>
      <c r="EP128" s="53"/>
      <c r="EQ128" s="1"/>
      <c r="ER128" s="103"/>
      <c r="ES128" s="103"/>
      <c r="ET128" s="1"/>
      <c r="EU128" s="667" t="s">
        <v>340</v>
      </c>
      <c r="EW128" s="445"/>
      <c r="EX128" s="36"/>
      <c r="EY128" s="104"/>
      <c r="EZ128" s="465"/>
      <c r="FA128" s="446"/>
      <c r="FB128" s="446"/>
      <c r="FC128" s="242"/>
      <c r="FD128" s="242"/>
      <c r="FE128" s="242"/>
      <c r="FF128" s="242"/>
      <c r="FG128" s="242"/>
      <c r="FH128" s="242"/>
      <c r="FI128" s="242"/>
      <c r="FJ128" s="242"/>
      <c r="FK128" s="242"/>
      <c r="FL128" s="242"/>
      <c r="FM128" s="242"/>
      <c r="FN128" s="657">
        <v>34</v>
      </c>
      <c r="FO128" s="450">
        <f t="shared" ca="1" si="477"/>
        <v>0.17685403041877229</v>
      </c>
      <c r="FP128" s="450">
        <f t="shared" ca="1" si="476"/>
        <v>0.17727868284623796</v>
      </c>
      <c r="FQ128" s="450">
        <f t="shared" ca="1" si="476"/>
        <v>0.17758106344036317</v>
      </c>
      <c r="FR128" s="450">
        <f t="shared" ca="1" si="476"/>
        <v>0.17794519973854001</v>
      </c>
      <c r="FS128" s="450">
        <f t="shared" ca="1" si="476"/>
        <v>0.17837810078662591</v>
      </c>
      <c r="FT128" s="450">
        <f t="shared" ca="1" si="476"/>
        <v>0.17888766657997007</v>
      </c>
      <c r="FU128" s="450">
        <f t="shared" ca="1" si="476"/>
        <v>0.17948281491157969</v>
      </c>
      <c r="FV128" s="450">
        <f t="shared" ca="1" si="476"/>
        <v>0.18017362946739848</v>
      </c>
      <c r="FW128" s="450">
        <f t="shared" ca="1" si="476"/>
        <v>0.18097153342459982</v>
      </c>
      <c r="FX128" s="450">
        <f t="shared" ca="1" si="476"/>
        <v>0.18188949381071823</v>
      </c>
      <c r="FY128" s="450">
        <f t="shared" ca="1" si="476"/>
        <v>0.18294226315304465</v>
      </c>
      <c r="FZ128" s="450">
        <f t="shared" ca="1" si="476"/>
        <v>0.18414666657047274</v>
      </c>
      <c r="GA128" s="450">
        <f t="shared" ca="1" si="476"/>
        <v>0.18552194454279114</v>
      </c>
      <c r="GB128" s="450">
        <f t="shared" ca="1" si="476"/>
        <v>0.18709016428179256</v>
      </c>
      <c r="GC128" s="450">
        <f t="shared" ca="1" si="476"/>
        <v>0.18887671612305734</v>
      </c>
      <c r="GD128" s="450">
        <f t="shared" ca="1" si="476"/>
        <v>0.19091091592803167</v>
      </c>
      <c r="GE128" s="450">
        <f t="shared" ca="1" si="476"/>
        <v>0.19322674050623348</v>
      </c>
      <c r="GF128" s="450">
        <f t="shared" ca="1" si="476"/>
        <v>0.19586373105503985</v>
      </c>
      <c r="GG128" s="450">
        <f t="shared" ca="1" si="476"/>
        <v>0.19886811029474066</v>
      </c>
      <c r="GH128" s="450">
        <f t="shared" ca="1" si="476"/>
        <v>0.20229417337412847</v>
      </c>
      <c r="GI128" s="450">
        <f t="shared" ca="1" si="476"/>
        <v>0.20620603219904121</v>
      </c>
      <c r="GJ128" s="450">
        <f t="shared" ca="1" si="476"/>
        <v>0.21067981970086269</v>
      </c>
      <c r="GK128" s="450">
        <f t="shared" ca="1" si="476"/>
        <v>0.2158064977857585</v>
      </c>
      <c r="GL128" s="450">
        <f t="shared" ca="1" si="476"/>
        <v>0.2216954648163251</v>
      </c>
      <c r="GM128" s="450">
        <f t="shared" ca="1" si="476"/>
        <v>0.22847923223132002</v>
      </c>
      <c r="GN128" s="450">
        <f t="shared" ca="1" si="476"/>
        <v>0.23631954551724821</v>
      </c>
      <c r="GO128" s="450">
        <f t="shared" ca="1" si="476"/>
        <v>0.24541547785385331</v>
      </c>
      <c r="GP128" s="450">
        <f t="shared" ca="1" si="476"/>
        <v>0.25601424969073006</v>
      </c>
      <c r="GQ128" s="450">
        <f t="shared" ca="1" si="476"/>
        <v>0.26842586269272334</v>
      </c>
      <c r="GR128" s="450">
        <f t="shared" ca="1" si="476"/>
        <v>0.28304314361272948</v>
      </c>
      <c r="GS128" s="450">
        <f t="shared" ca="1" si="476"/>
        <v>0.30036957357983451</v>
      </c>
      <c r="GT128" s="450">
        <f t="shared" ca="1" si="476"/>
        <v>0.32105849915640655</v>
      </c>
      <c r="GU128" s="450">
        <f t="shared" ca="1" si="476"/>
        <v>0.34596926946160139</v>
      </c>
      <c r="GV128" s="450">
        <f t="shared" ca="1" si="476"/>
        <v>0.37624901679789274</v>
      </c>
      <c r="GW128" s="450" t="str">
        <f t="shared" si="476"/>
        <v/>
      </c>
      <c r="GX128" s="450" t="str">
        <f t="shared" si="476"/>
        <v/>
      </c>
      <c r="GY128" s="450" t="str">
        <f t="shared" si="476"/>
        <v/>
      </c>
      <c r="GZ128" s="450" t="str">
        <f t="shared" si="476"/>
        <v/>
      </c>
      <c r="HA128" s="450" t="str">
        <f t="shared" si="476"/>
        <v/>
      </c>
      <c r="HB128" s="450" t="str">
        <f t="shared" si="476"/>
        <v/>
      </c>
      <c r="HC128" s="450" t="str">
        <f t="shared" si="476"/>
        <v/>
      </c>
      <c r="HD128" s="450" t="str">
        <f t="shared" si="476"/>
        <v/>
      </c>
      <c r="HE128" s="450" t="str">
        <f t="shared" si="476"/>
        <v/>
      </c>
      <c r="HF128" s="450" t="str">
        <f t="shared" si="476"/>
        <v/>
      </c>
      <c r="HG128" s="450" t="str">
        <f t="shared" si="476"/>
        <v/>
      </c>
      <c r="HH128" s="450" t="str">
        <f t="shared" si="476"/>
        <v/>
      </c>
      <c r="HI128" s="450" t="str">
        <f t="shared" si="476"/>
        <v/>
      </c>
      <c r="HJ128" s="450" t="str">
        <f t="shared" si="476"/>
        <v/>
      </c>
      <c r="HK128" s="450" t="str">
        <f t="shared" si="476"/>
        <v/>
      </c>
      <c r="HL128" s="450" t="str">
        <f t="shared" si="476"/>
        <v/>
      </c>
      <c r="HM128" s="450" t="str">
        <f t="shared" si="476"/>
        <v/>
      </c>
      <c r="HN128" s="450" t="str">
        <f t="shared" si="476"/>
        <v/>
      </c>
      <c r="HO128" s="450" t="str">
        <f t="shared" si="476"/>
        <v/>
      </c>
      <c r="HP128" s="450" t="str">
        <f t="shared" si="476"/>
        <v/>
      </c>
      <c r="HQ128" s="450" t="str">
        <f t="shared" si="476"/>
        <v/>
      </c>
      <c r="HR128" s="450" t="str">
        <f t="shared" si="476"/>
        <v/>
      </c>
      <c r="HS128" s="450" t="str">
        <f t="shared" si="476"/>
        <v/>
      </c>
      <c r="HT128" s="450" t="str">
        <f t="shared" si="476"/>
        <v/>
      </c>
      <c r="HU128" s="450" t="str">
        <f t="shared" si="476"/>
        <v/>
      </c>
      <c r="HV128" s="450" t="str">
        <f t="shared" si="476"/>
        <v/>
      </c>
      <c r="HW128" s="450" t="str">
        <f t="shared" si="476"/>
        <v/>
      </c>
      <c r="HX128" s="450" t="str">
        <f t="shared" si="476"/>
        <v/>
      </c>
      <c r="HY128" s="450" t="str">
        <f t="shared" si="476"/>
        <v/>
      </c>
      <c r="HZ128" s="450" t="str">
        <f t="shared" si="476"/>
        <v/>
      </c>
      <c r="IA128" s="450" t="str">
        <f t="shared" ref="IA128:IH131" si="478">IF($FN53&lt;IA$94,"",SQRT(IA53/IA$15))</f>
        <v/>
      </c>
      <c r="IB128" s="450" t="str">
        <f t="shared" si="478"/>
        <v/>
      </c>
      <c r="IC128" s="450" t="str">
        <f t="shared" si="478"/>
        <v/>
      </c>
      <c r="ID128" s="450" t="str">
        <f t="shared" si="478"/>
        <v/>
      </c>
      <c r="IE128" s="450" t="str">
        <f t="shared" si="478"/>
        <v/>
      </c>
      <c r="IF128" s="450" t="str">
        <f t="shared" si="478"/>
        <v/>
      </c>
      <c r="IG128" s="450" t="str">
        <f t="shared" si="478"/>
        <v/>
      </c>
      <c r="IH128" s="658" t="str">
        <f t="shared" si="478"/>
        <v/>
      </c>
      <c r="II128" s="242"/>
    </row>
    <row r="129" spans="8:243">
      <c r="H129" s="49" t="e">
        <f t="shared" ca="1" si="317"/>
        <v>#N/A</v>
      </c>
      <c r="I129" s="369">
        <f t="shared" si="318"/>
        <v>40330</v>
      </c>
      <c r="J129" s="367">
        <v>22.16</v>
      </c>
      <c r="K129" s="101" t="s">
        <v>267</v>
      </c>
      <c r="L129" s="382">
        <f t="shared" si="319"/>
        <v>22.159999999999972</v>
      </c>
      <c r="M129" s="163">
        <v>0.1636</v>
      </c>
      <c r="N129" s="372">
        <v>0</v>
      </c>
      <c r="O129" s="163">
        <f t="shared" si="272"/>
        <v>0.1636</v>
      </c>
      <c r="P129" s="367">
        <v>20.696413970968198</v>
      </c>
      <c r="Q129" s="101" t="s">
        <v>267</v>
      </c>
      <c r="R129" s="367">
        <f t="shared" ca="1" si="417"/>
        <v>20.696413970968162</v>
      </c>
      <c r="S129" s="814">
        <f t="shared" si="474"/>
        <v>0.35688772004494534</v>
      </c>
      <c r="T129" s="813">
        <f t="shared" si="418"/>
        <v>0.9999991967160996</v>
      </c>
      <c r="U129" s="532">
        <f t="shared" si="419"/>
        <v>0.99999999999999967</v>
      </c>
      <c r="V129" s="379">
        <v>0</v>
      </c>
      <c r="W129" s="424">
        <f t="shared" si="452"/>
        <v>22.182727272727217</v>
      </c>
      <c r="X129" s="405">
        <f t="shared" si="453"/>
        <v>22.182727272727242</v>
      </c>
      <c r="Y129" s="313">
        <f t="shared" si="454"/>
        <v>20.838727272727215</v>
      </c>
      <c r="Z129" s="313">
        <f t="shared" ca="1" si="455"/>
        <v>20.83872727272724</v>
      </c>
      <c r="AA129" s="419">
        <f t="shared" si="277"/>
        <v>1.3440000000000001</v>
      </c>
      <c r="AB129" s="423">
        <f t="shared" ca="1" si="278"/>
        <v>1.3440000000000001</v>
      </c>
      <c r="AC129" s="221">
        <v>40318</v>
      </c>
      <c r="AD129" s="221">
        <v>40314</v>
      </c>
      <c r="AE129" s="221">
        <v>40313</v>
      </c>
      <c r="AF129" s="221">
        <v>40309</v>
      </c>
      <c r="AG129" s="241" t="s">
        <v>497</v>
      </c>
      <c r="AH129" s="239" t="s">
        <v>497</v>
      </c>
      <c r="AI129" s="141">
        <v>22</v>
      </c>
      <c r="AJ129" s="41">
        <v>14</v>
      </c>
      <c r="AK129" s="41">
        <v>8</v>
      </c>
      <c r="AL129" s="285">
        <v>22</v>
      </c>
      <c r="AM129" s="41">
        <v>10</v>
      </c>
      <c r="AN129" s="142">
        <v>12</v>
      </c>
      <c r="AO129" s="364">
        <v>5.8507031600844701E-2</v>
      </c>
      <c r="AP129" s="145">
        <f t="shared" ca="1" si="320"/>
        <v>0.58747858967511535</v>
      </c>
      <c r="AQ129" s="364">
        <v>4.96232833290597E-2</v>
      </c>
      <c r="AR129" s="145">
        <f t="shared" ca="1" si="420"/>
        <v>0.64012556375085172</v>
      </c>
      <c r="AS129" s="264">
        <f t="shared" si="456"/>
        <v>0.16346363636363639</v>
      </c>
      <c r="AT129" s="149">
        <f t="shared" si="321"/>
        <v>0.1636</v>
      </c>
      <c r="AU129" s="149">
        <f t="shared" si="280"/>
        <v>0.16344545454545456</v>
      </c>
      <c r="AV129" s="263">
        <f t="shared" ca="1" si="430"/>
        <v>0.16077535049498776</v>
      </c>
      <c r="AW129" s="150" t="str">
        <f t="shared" ca="1" si="457"/>
        <v/>
      </c>
      <c r="AX129" s="149">
        <f t="shared" ca="1" si="421"/>
        <v>1.3983375903736909E-2</v>
      </c>
      <c r="AY129" s="149">
        <f t="shared" ca="1" si="422"/>
        <v>5.8868651746331905E-3</v>
      </c>
      <c r="AZ129" s="149">
        <f t="shared" ca="1" si="423"/>
        <v>4.255632194968508E-3</v>
      </c>
      <c r="BA129" s="149">
        <f t="shared" ca="1" si="424"/>
        <v>1.0000000000000408E-4</v>
      </c>
      <c r="BB129" s="149">
        <f t="shared" ca="1" si="425"/>
        <v>1.0000000000000408E-4</v>
      </c>
      <c r="BC129" s="149">
        <f t="shared" ca="1" si="426"/>
        <v>1.0000000000000408E-4</v>
      </c>
      <c r="BD129" s="143">
        <f t="shared" ca="1" si="458"/>
        <v>0</v>
      </c>
      <c r="BE129" s="144">
        <f t="shared" ca="1" si="459"/>
        <v>0</v>
      </c>
      <c r="BF129" s="40">
        <f t="shared" si="460"/>
        <v>2010</v>
      </c>
      <c r="BG129" s="139">
        <f t="shared" si="461"/>
        <v>6</v>
      </c>
      <c r="BH129" s="140">
        <f t="shared" ca="1" si="462"/>
        <v>3324</v>
      </c>
      <c r="BI129" s="304">
        <f t="shared" ca="1" si="440"/>
        <v>9.1444216290212186</v>
      </c>
      <c r="BJ129" s="42">
        <f t="shared" ca="1" si="288"/>
        <v>9.1949474208201103</v>
      </c>
      <c r="BK129" s="42">
        <f t="shared" ca="1" si="289"/>
        <v>9.1976852716072433</v>
      </c>
      <c r="BL129" s="42">
        <f t="shared" ca="1" si="441"/>
        <v>9.2238193018480494</v>
      </c>
      <c r="BM129" s="285">
        <f t="shared" si="442"/>
        <v>22</v>
      </c>
      <c r="BN129" s="41">
        <f t="shared" si="443"/>
        <v>14</v>
      </c>
      <c r="BO129" s="41">
        <f t="shared" si="444"/>
        <v>8</v>
      </c>
      <c r="BP129" s="297" t="str">
        <f t="shared" ca="1" si="293"/>
        <v/>
      </c>
      <c r="BQ129" s="297" t="str">
        <f t="shared" ca="1" si="294"/>
        <v/>
      </c>
      <c r="BR129" s="299" t="str">
        <f t="shared" ca="1" si="295"/>
        <v/>
      </c>
      <c r="BS129" s="153" t="str">
        <f t="shared" ca="1" si="296"/>
        <v/>
      </c>
      <c r="BT129" s="153" t="str">
        <f t="shared" ca="1" si="297"/>
        <v/>
      </c>
      <c r="BU129" s="300" t="str">
        <f t="shared" ca="1" si="298"/>
        <v/>
      </c>
      <c r="BV129" s="301" t="str">
        <f t="shared" ca="1" si="299"/>
        <v/>
      </c>
      <c r="BW129" s="300" t="str">
        <f t="shared" ca="1" si="300"/>
        <v/>
      </c>
      <c r="BX129" s="301" t="str">
        <f t="shared" ca="1" si="301"/>
        <v/>
      </c>
      <c r="BY129" s="146" t="str">
        <f t="shared" ca="1" si="302"/>
        <v/>
      </c>
      <c r="BZ129" s="146" t="str">
        <f t="shared" ca="1" si="303"/>
        <v/>
      </c>
      <c r="CA129" s="146" t="str">
        <f t="shared" ca="1" si="304"/>
        <v/>
      </c>
      <c r="CB129" s="146" t="str">
        <f t="shared" ca="1" si="305"/>
        <v/>
      </c>
      <c r="CC129" s="302">
        <v>1</v>
      </c>
      <c r="CD129" s="154">
        <f ca="1">IF(BD129,_xll.xCrudeAPO(BS129,BT129,BY129,BZ129,S130,S131,BI129,BL129,BN129,BO129,0,Strike1,AO129,CC129,0,BL129,IF(OptControl=4,0,1),0,1),0)</f>
        <v>0</v>
      </c>
      <c r="CE129" s="155">
        <f ca="1">IF(BD129,_xll.xCrudeAPO(BS129,BT129,BY129,BZ129,S130,S131,BI129,BL129,BN129,BO129,0,Strike1,AO129,CC129,0,BL129,IF(OptControl=4,0,1),1,1)+_xll.xCrudeAPO(BS129,BT129,BY129,BZ129,S130,S131,BI129,BL129,BN129,BO129,0,Strike1,AO129,CC129,0,BL129,IF(OptControl=4,0,1),1,2)+IF(OR(VolSkewFlag=2,ABS(BQ129)&lt;0.0001),0,IF(BQ129&gt;0,-1,1)*CF129*Strike1/BP129^2*BW129/10%),0)</f>
        <v>0</v>
      </c>
      <c r="CF129" s="155">
        <f ca="1">IF(BD129,(_xll.xCrudeAPO(BS129,BT129,BY129,BZ129,S130,S131,BI129,BL129,BN129,BO129,0,Strike1,AO129,CC129,0,BL129,IF(OptControl=4,0,1),3,1)+_xll.xCrudeAPO(BS129,BT129,BY129,BZ129,S130,S131,BI129,BL129,BN129,BO129,0,Strike1,AO129,CC129,0,BL129,IF(OptControl=4,0,1),3,2))/100,0)</f>
        <v>0</v>
      </c>
      <c r="CG129" s="155">
        <f ca="1">IF(BD129,_xll.xCrudeAPO(BS129,BT129,BY129,BZ129,S130,S131,BI129-DaysForThetaCalculation/365.25,BL129-DaysForThetaCalculation/365.25,BN129,BO129,0,Strike1,AO129,CC129,0,BL129,IF(OptControl=4,0,1),0,1)-_xll.xCrudeAPO(BS129,BT129,BY129,BZ129,S130,S131,BI129,BL129,BN129,BO129,0,Strike1,AO129,CC129,0,BL129,IF(OptControl=4,0,1),0,1),0)</f>
        <v>0</v>
      </c>
      <c r="CH129" s="303">
        <f ca="1">IF(BD129,_xll.xCrudeAPO(BS129,BT129,CA129,CB129,S130,S131,BI129,BL129,BN129,BO129,0,Strike2,AO129,CC129,0,BL129,IF(OptControl=3,1,0),0,1),0)</f>
        <v>0</v>
      </c>
      <c r="CI129" s="155">
        <f ca="1">IF(BD129,_xll.xCrudeAPO(BS129,BT129,CA129,CB129,S130,S131,BI129,BL129,BN129,BO129,0,Strike2,AO129,CC129,0,BL129,IF(OptControl=3,1,0),1,1)+_xll.xCrudeAPO(BS129,BT129,CA129,CB129,S130,S131,BI129,BL129,BN129,BO129,0,Strike2,AO129,CC129,0,BL129,IF(OptControl=3,1,0),1,2)+IF(OR(VolSkewFlag=2,ABS(BR129)&lt;0.0001),0,IF(BR129&gt;0,-1,1)*CJ129*Strike2/BP129^2*BX129/10%),0)</f>
        <v>0</v>
      </c>
      <c r="CJ129" s="155">
        <f ca="1">IF(BD129,(_xll.xCrudeAPO(BS129,BT129,CA129,CB129,S130,S131,BI129,BL129,BN129,BO129,0,Strike2,AO129,CC129,0,BL129,IF(OptControl=3,1,0),3,1)+_xll.xCrudeAPO(BS129,BT129,CA129,CB129,S130,S131,BI129,BL129,BN129,BO129,0,Strike2,AO129,CC129,0,BL129,IF(OptControl=3,1,0),3,2))/100,0)</f>
        <v>0</v>
      </c>
      <c r="CK129" s="156">
        <f ca="1">IF(BD129,_xll.xCrudeAPO(BS129,BT129,CA129,CB129,S130,S131,BI129-DaysForThetaCalculation/365.25,BL129-DaysForThetaCalculation/365.25,BN129,BO129,0,Strike2,AO129,CC129,0,BL129,IF(OptControl=3,1,0),0,1)-_xll.xCrudeAPO(BS129,BT129,CA129,CB129,S130,S131,BI129,BL129,BN129,BO129,0,Strike2,AO129,CC129,0,BL129,IF(OptControl=3,1,0),0,1),0)</f>
        <v>0</v>
      </c>
      <c r="CL129" s="51"/>
      <c r="CM129" s="779" t="str">
        <f t="shared" ca="1" si="323"/>
        <v/>
      </c>
      <c r="CN129" s="783" t="str">
        <f t="shared" ca="1" si="324"/>
        <v/>
      </c>
      <c r="CO129" s="780" t="str">
        <f t="shared" ca="1" si="325"/>
        <v/>
      </c>
      <c r="CP129" s="780" t="str">
        <f t="shared" ca="1" si="326"/>
        <v/>
      </c>
      <c r="CQ129" s="780" t="str">
        <f t="shared" ca="1" si="327"/>
        <v/>
      </c>
      <c r="CR129" s="780" t="str">
        <f t="shared" ca="1" si="328"/>
        <v/>
      </c>
      <c r="CS129" s="781" t="str">
        <f t="shared" ca="1" si="329"/>
        <v/>
      </c>
      <c r="CT129" s="782" t="str">
        <f t="shared" ca="1" si="330"/>
        <v/>
      </c>
      <c r="CU129" s="782" t="str">
        <f t="shared" ca="1" si="331"/>
        <v/>
      </c>
      <c r="CV129" s="155">
        <f ca="1">IF(BD129,_xll.EURO(CN129,Strike1,AO129,AO129,CT129,CM129,IF(OptControl=4,0,1),0),0)</f>
        <v>0</v>
      </c>
      <c r="CW129" s="155">
        <f ca="1">IF(BD129,_xll.EURO(CN129,Strike1,AO129,AO129,CT129,CM129,IF(OptControl=4,0,1),1)+IF(OR(VolSkewFlag=2,ABS(CO129)&lt;0.0001),0,IF(CO129&gt;0,-1,1)*CX129*100*Strike1/CN129^2*CQ129/10%),0)</f>
        <v>0</v>
      </c>
      <c r="CX129" s="155">
        <f ca="1">IF(BD129,_xll.EURO(CN129,Strike1,AO129,AO129,CT129,CM129,IF(OptControl=4,0,1),3)/100,0)</f>
        <v>0</v>
      </c>
      <c r="CY129" s="155">
        <f ca="1">IF(BD129,_xll.EURO(CN129,Strike1,AO129,AO129,CT129,CM129,IF(OptControl=4,0,1),0)-_xll.EURO(CN129,Strike1,AO129,AO129,CT129,CM129-1,IF(OptControl=4,0,1),0),0)</f>
        <v>0</v>
      </c>
      <c r="CZ129" s="155">
        <f ca="1">IF(BD129,_xll.EURO(CN129,Strike2,AO129,AO129,CU129,CM129,IF(OptControl=3,1,0),0),0)</f>
        <v>0</v>
      </c>
      <c r="DA129" s="155">
        <f ca="1">IF(BD129,_xll.EURO(CN129,Strike2,AO129,AO129,CU129,CM129,IF(OptControl=3,1,0),1)+IF(OR(VolSkewFlag=2,ABS(CP129)&lt;0.0001),0,IF(CP129&gt;0,-1,1)*DB129*100*Strike2/CN129^2*CR129/10%),0)</f>
        <v>0</v>
      </c>
      <c r="DB129" s="155">
        <f ca="1">IF(BD129,_xll.EURO(CN129,Strike2,AO129,AO129,CU129,CM129,IF(OptControl=3,1,0),3)/100,0)</f>
        <v>0</v>
      </c>
      <c r="DC129" s="156">
        <f ca="1">IF(BD129,_xll.EURO(CN129,Strike2,AO129,AO129,CU129,CM129,IF(OptControl=3,1,0),0)-_xll.EURO(CN129,Strike2,AO129,AO129,CU129,CM129-1,IF(OptControl=3,1,0),0),0)</f>
        <v>0</v>
      </c>
      <c r="DE129" s="651">
        <f t="shared" ca="1" si="332"/>
        <v>40238</v>
      </c>
      <c r="DF129" s="465">
        <v>1E-4</v>
      </c>
      <c r="DG129" s="649">
        <v>1E-4</v>
      </c>
      <c r="DH129" s="650">
        <f t="shared" ca="1" si="463"/>
        <v>40238</v>
      </c>
      <c r="DI129" s="465">
        <v>1E-4</v>
      </c>
      <c r="DJ129" s="649">
        <v>1E-4</v>
      </c>
      <c r="DK129" s="651">
        <f t="shared" ca="1" si="464"/>
        <v>40238</v>
      </c>
      <c r="DL129" s="652">
        <f t="shared" si="465"/>
        <v>5.0100000000000006E-2</v>
      </c>
      <c r="DM129" s="651">
        <f t="shared" ca="1" si="333"/>
        <v>40238</v>
      </c>
      <c r="DN129" s="563">
        <f t="shared" si="334"/>
        <v>-0.12990000000000002</v>
      </c>
      <c r="DO129" s="803">
        <v>-0.13</v>
      </c>
      <c r="DP129" s="650">
        <f t="shared" ca="1" si="466"/>
        <v>40238</v>
      </c>
      <c r="DQ129" s="653">
        <v>1E-4</v>
      </c>
      <c r="DR129" s="590">
        <v>1E-4</v>
      </c>
      <c r="DS129" s="650">
        <f t="shared" ca="1" si="467"/>
        <v>40238</v>
      </c>
      <c r="DT129" s="653">
        <v>1E-4</v>
      </c>
      <c r="DU129" s="590">
        <v>1E-4</v>
      </c>
      <c r="DV129" s="651">
        <f t="shared" ca="1" si="468"/>
        <v>40238</v>
      </c>
      <c r="DW129" s="590">
        <v>1E-4</v>
      </c>
      <c r="DX129" s="651">
        <f t="shared" ca="1" si="335"/>
        <v>40238</v>
      </c>
      <c r="DY129" s="590">
        <f t="shared" si="336"/>
        <v>1E-4</v>
      </c>
      <c r="DZ129" s="1"/>
      <c r="EA129" s="857"/>
      <c r="EB129" s="857"/>
      <c r="EC129" s="857"/>
      <c r="ED129" s="868" t="e">
        <f t="shared" ca="1" si="436"/>
        <v>#NAME?</v>
      </c>
      <c r="EE129" s="863" t="e">
        <f t="shared" ca="1" si="312"/>
        <v>#NAME?</v>
      </c>
      <c r="EF129" s="590" t="e">
        <f t="shared" ca="1" si="313"/>
        <v>#NAME?</v>
      </c>
      <c r="EG129" s="862" t="str">
        <f t="shared" ca="1" si="469"/>
        <v/>
      </c>
      <c r="EH129" s="114" t="str">
        <f t="shared" ca="1" si="315"/>
        <v/>
      </c>
      <c r="EI129" s="109" t="str">
        <f t="shared" ca="1" si="316"/>
        <v/>
      </c>
      <c r="EJ129" s="115">
        <f ca="1">IF(BD129,_xll.xASN(BP129,Strike1,AO129,EH129,0,BM129,0,BI129,BL129,IF(OptControl=4,0,1),0),0)</f>
        <v>0</v>
      </c>
      <c r="EK129" s="108">
        <f ca="1">IF(BD129,_xll.xASN(BP129,Strike2,AO129,EI129,0,BM129,0,BI129,BL129,IF(OptControl=3,1,0),0),0)</f>
        <v>0</v>
      </c>
      <c r="EP129" s="53"/>
      <c r="EQ129" s="1"/>
      <c r="ER129" s="103"/>
      <c r="ES129" s="103"/>
      <c r="ET129" s="1"/>
      <c r="EU129" s="667" t="s">
        <v>341</v>
      </c>
      <c r="EW129" s="445"/>
      <c r="EX129" s="36"/>
      <c r="EY129" s="104"/>
      <c r="EZ129" s="465"/>
      <c r="FA129" s="446"/>
      <c r="FB129" s="446"/>
      <c r="FC129" s="242"/>
      <c r="FD129" s="242"/>
      <c r="FE129" s="242"/>
      <c r="FF129" s="242"/>
      <c r="FG129" s="242"/>
      <c r="FH129" s="242"/>
      <c r="FI129" s="242"/>
      <c r="FJ129" s="242"/>
      <c r="FK129" s="242"/>
      <c r="FL129" s="242"/>
      <c r="FM129" s="242"/>
      <c r="FN129" s="657">
        <v>35</v>
      </c>
      <c r="FO129" s="450">
        <f t="shared" ca="1" si="477"/>
        <v>0.17642688287297842</v>
      </c>
      <c r="FP129" s="450">
        <f t="shared" ref="FP129:IA132" ca="1" si="479">IF($FN54&lt;FP$94,"",SQRT(FP54/FP$15))</f>
        <v>0.17680287084974444</v>
      </c>
      <c r="FQ129" s="450">
        <f t="shared" ca="1" si="479"/>
        <v>0.17705140248361459</v>
      </c>
      <c r="FR129" s="450">
        <f t="shared" ca="1" si="479"/>
        <v>0.17735538275640172</v>
      </c>
      <c r="FS129" s="450">
        <f t="shared" ca="1" si="479"/>
        <v>0.17772103283803264</v>
      </c>
      <c r="FT129" s="450">
        <f t="shared" ca="1" si="479"/>
        <v>0.17815535505597235</v>
      </c>
      <c r="FU129" s="450">
        <f t="shared" ca="1" si="479"/>
        <v>0.17866624186138721</v>
      </c>
      <c r="FV129" s="450">
        <f t="shared" ca="1" si="479"/>
        <v>0.17926260256449872</v>
      </c>
      <c r="FW129" s="450">
        <f t="shared" ca="1" si="479"/>
        <v>0.17995451129837212</v>
      </c>
      <c r="FX129" s="450">
        <f t="shared" ca="1" si="479"/>
        <v>0.18075338046329784</v>
      </c>
      <c r="FY129" s="450">
        <f t="shared" ca="1" si="479"/>
        <v>0.18167216490496385</v>
      </c>
      <c r="FZ129" s="450">
        <f t="shared" ca="1" si="479"/>
        <v>0.18272560335010141</v>
      </c>
      <c r="GA129" s="450">
        <f t="shared" ca="1" si="479"/>
        <v>0.18393050524462262</v>
      </c>
      <c r="GB129" s="450">
        <f t="shared" ca="1" si="479"/>
        <v>0.1853060932202561</v>
      </c>
      <c r="GC129" s="450">
        <f t="shared" ca="1" si="479"/>
        <v>0.18687441410269809</v>
      </c>
      <c r="GD129" s="450">
        <f t="shared" ca="1" si="479"/>
        <v>0.18866083486573937</v>
      </c>
      <c r="GE129" s="450">
        <f t="shared" ca="1" si="479"/>
        <v>0.19069464450259432</v>
      </c>
      <c r="GF129" s="450">
        <f t="shared" ca="1" si="479"/>
        <v>0.19300978880062172</v>
      </c>
      <c r="GG129" s="450">
        <f t="shared" ca="1" si="479"/>
        <v>0.19564577298630101</v>
      </c>
      <c r="GH129" s="450">
        <f t="shared" ca="1" si="479"/>
        <v>0.19864877787827159</v>
      </c>
      <c r="GI129" s="450">
        <f t="shared" ca="1" si="479"/>
        <v>0.20207304957133398</v>
      </c>
      <c r="GJ129" s="450">
        <f t="shared" ca="1" si="479"/>
        <v>0.20598264223449722</v>
      </c>
      <c r="GK129" s="450">
        <f t="shared" ca="1" si="479"/>
        <v>0.21045362044750271</v>
      </c>
      <c r="GL129" s="450">
        <f t="shared" ca="1" si="479"/>
        <v>0.21557686469187343</v>
      </c>
      <c r="GM129" s="450">
        <f t="shared" ca="1" si="479"/>
        <v>0.22146167567850056</v>
      </c>
      <c r="GN129" s="450">
        <f t="shared" ca="1" si="479"/>
        <v>0.22824044688426173</v>
      </c>
      <c r="GO129" s="450">
        <f t="shared" ca="1" si="479"/>
        <v>0.23607478018748865</v>
      </c>
      <c r="GP129" s="450">
        <f t="shared" ca="1" si="479"/>
        <v>0.2451635724689829</v>
      </c>
      <c r="GQ129" s="450">
        <f t="shared" ca="1" si="479"/>
        <v>0.25575382578771438</v>
      </c>
      <c r="GR129" s="450">
        <f t="shared" ca="1" si="479"/>
        <v>0.2681552686341151</v>
      </c>
      <c r="GS129" s="450">
        <f t="shared" ca="1" si="479"/>
        <v>0.28276038245182561</v>
      </c>
      <c r="GT129" s="450">
        <f t="shared" ca="1" si="479"/>
        <v>0.30007220688332886</v>
      </c>
      <c r="GU129" s="450">
        <f t="shared" ca="1" si="479"/>
        <v>0.32074351702191262</v>
      </c>
      <c r="GV129" s="450">
        <f t="shared" ca="1" si="479"/>
        <v>0.34563291224204978</v>
      </c>
      <c r="GW129" s="450">
        <f t="shared" ca="1" si="479"/>
        <v>0.37588652662991384</v>
      </c>
      <c r="GX129" s="450" t="str">
        <f t="shared" si="479"/>
        <v/>
      </c>
      <c r="GY129" s="450" t="str">
        <f t="shared" si="479"/>
        <v/>
      </c>
      <c r="GZ129" s="450" t="str">
        <f t="shared" si="479"/>
        <v/>
      </c>
      <c r="HA129" s="450" t="str">
        <f t="shared" si="479"/>
        <v/>
      </c>
      <c r="HB129" s="450" t="str">
        <f t="shared" si="479"/>
        <v/>
      </c>
      <c r="HC129" s="450" t="str">
        <f t="shared" si="479"/>
        <v/>
      </c>
      <c r="HD129" s="450" t="str">
        <f t="shared" si="479"/>
        <v/>
      </c>
      <c r="HE129" s="450" t="str">
        <f t="shared" si="479"/>
        <v/>
      </c>
      <c r="HF129" s="450" t="str">
        <f t="shared" si="479"/>
        <v/>
      </c>
      <c r="HG129" s="450" t="str">
        <f t="shared" si="479"/>
        <v/>
      </c>
      <c r="HH129" s="450" t="str">
        <f t="shared" si="479"/>
        <v/>
      </c>
      <c r="HI129" s="450" t="str">
        <f t="shared" si="479"/>
        <v/>
      </c>
      <c r="HJ129" s="450" t="str">
        <f t="shared" si="479"/>
        <v/>
      </c>
      <c r="HK129" s="450" t="str">
        <f t="shared" si="479"/>
        <v/>
      </c>
      <c r="HL129" s="450" t="str">
        <f t="shared" si="479"/>
        <v/>
      </c>
      <c r="HM129" s="450" t="str">
        <f t="shared" si="479"/>
        <v/>
      </c>
      <c r="HN129" s="450" t="str">
        <f t="shared" si="479"/>
        <v/>
      </c>
      <c r="HO129" s="450" t="str">
        <f t="shared" si="479"/>
        <v/>
      </c>
      <c r="HP129" s="450" t="str">
        <f t="shared" si="479"/>
        <v/>
      </c>
      <c r="HQ129" s="450" t="str">
        <f t="shared" si="479"/>
        <v/>
      </c>
      <c r="HR129" s="450" t="str">
        <f t="shared" si="479"/>
        <v/>
      </c>
      <c r="HS129" s="450" t="str">
        <f t="shared" si="479"/>
        <v/>
      </c>
      <c r="HT129" s="450" t="str">
        <f t="shared" si="479"/>
        <v/>
      </c>
      <c r="HU129" s="450" t="str">
        <f t="shared" si="479"/>
        <v/>
      </c>
      <c r="HV129" s="450" t="str">
        <f t="shared" si="479"/>
        <v/>
      </c>
      <c r="HW129" s="450" t="str">
        <f t="shared" si="479"/>
        <v/>
      </c>
      <c r="HX129" s="450" t="str">
        <f t="shared" si="479"/>
        <v/>
      </c>
      <c r="HY129" s="450" t="str">
        <f t="shared" si="479"/>
        <v/>
      </c>
      <c r="HZ129" s="450" t="str">
        <f t="shared" si="479"/>
        <v/>
      </c>
      <c r="IA129" s="450" t="str">
        <f t="shared" si="479"/>
        <v/>
      </c>
      <c r="IB129" s="450" t="str">
        <f t="shared" si="478"/>
        <v/>
      </c>
      <c r="IC129" s="450" t="str">
        <f t="shared" si="478"/>
        <v/>
      </c>
      <c r="ID129" s="450" t="str">
        <f t="shared" si="478"/>
        <v/>
      </c>
      <c r="IE129" s="450" t="str">
        <f t="shared" si="478"/>
        <v/>
      </c>
      <c r="IF129" s="450" t="str">
        <f t="shared" si="478"/>
        <v/>
      </c>
      <c r="IG129" s="450" t="str">
        <f t="shared" si="478"/>
        <v/>
      </c>
      <c r="IH129" s="658" t="str">
        <f t="shared" si="478"/>
        <v/>
      </c>
      <c r="II129" s="242"/>
    </row>
    <row r="130" spans="8:243">
      <c r="H130" s="49" t="e">
        <f t="shared" ca="1" si="317"/>
        <v>#N/A</v>
      </c>
      <c r="I130" s="369">
        <f t="shared" si="318"/>
        <v>40360</v>
      </c>
      <c r="J130" s="367">
        <v>22.176666666666598</v>
      </c>
      <c r="K130" s="101" t="s">
        <v>267</v>
      </c>
      <c r="L130" s="382">
        <f t="shared" si="319"/>
        <v>22.176666666666637</v>
      </c>
      <c r="M130" s="163">
        <v>0.16350000000000001</v>
      </c>
      <c r="N130" s="372">
        <v>0</v>
      </c>
      <c r="O130" s="163">
        <f t="shared" si="272"/>
        <v>0.16350000000000001</v>
      </c>
      <c r="P130" s="367">
        <v>20.935320632453102</v>
      </c>
      <c r="Q130" s="101" t="s">
        <v>267</v>
      </c>
      <c r="R130" s="367">
        <f t="shared" ca="1" si="417"/>
        <v>20.935320632453131</v>
      </c>
      <c r="S130" s="814">
        <f t="shared" si="474"/>
        <v>0.3567188428444959</v>
      </c>
      <c r="T130" s="813">
        <f t="shared" si="418"/>
        <v>0.99999927704451874</v>
      </c>
      <c r="U130" s="532">
        <f t="shared" si="419"/>
        <v>0.99999999999999978</v>
      </c>
      <c r="V130" s="379">
        <v>0</v>
      </c>
      <c r="W130" s="424">
        <f t="shared" si="452"/>
        <v>22.199393939393918</v>
      </c>
      <c r="X130" s="405">
        <f t="shared" si="453"/>
        <v>22.199393939393907</v>
      </c>
      <c r="Y130" s="313">
        <f t="shared" si="454"/>
        <v>20.880993939393917</v>
      </c>
      <c r="Z130" s="313">
        <f t="shared" ca="1" si="455"/>
        <v>20.880993939393907</v>
      </c>
      <c r="AA130" s="419">
        <f t="shared" si="277"/>
        <v>1.3184</v>
      </c>
      <c r="AB130" s="423">
        <f t="shared" ca="1" si="278"/>
        <v>1.3184</v>
      </c>
      <c r="AC130" s="221">
        <v>40349</v>
      </c>
      <c r="AD130" s="221">
        <v>40345</v>
      </c>
      <c r="AE130" s="221">
        <v>40344</v>
      </c>
      <c r="AF130" s="221">
        <v>40340</v>
      </c>
      <c r="AG130" s="241" t="s">
        <v>497</v>
      </c>
      <c r="AH130" s="239" t="s">
        <v>497</v>
      </c>
      <c r="AI130" s="141">
        <v>22</v>
      </c>
      <c r="AJ130" s="41">
        <v>14</v>
      </c>
      <c r="AK130" s="41">
        <v>8</v>
      </c>
      <c r="AL130" s="285">
        <v>22</v>
      </c>
      <c r="AM130" s="41">
        <v>10</v>
      </c>
      <c r="AN130" s="142">
        <v>12</v>
      </c>
      <c r="AO130" s="364">
        <v>5.8581943293323696E-2</v>
      </c>
      <c r="AP130" s="145">
        <f t="shared" ca="1" si="320"/>
        <v>0.5842142960568556</v>
      </c>
      <c r="AQ130" s="364">
        <v>4.96434194823294E-2</v>
      </c>
      <c r="AR130" s="145">
        <f t="shared" ca="1" si="420"/>
        <v>0.63735294412427235</v>
      </c>
      <c r="AS130" s="264">
        <f t="shared" si="456"/>
        <v>0.16336363636363638</v>
      </c>
      <c r="AT130" s="149">
        <f t="shared" si="321"/>
        <v>0.16350000000000001</v>
      </c>
      <c r="AU130" s="149">
        <f t="shared" si="280"/>
        <v>0.16334545454545457</v>
      </c>
      <c r="AV130" s="263">
        <f t="shared" ca="1" si="430"/>
        <v>0.16060767615958127</v>
      </c>
      <c r="AW130" s="150" t="str">
        <f t="shared" ca="1" si="457"/>
        <v/>
      </c>
      <c r="AX130" s="149">
        <f t="shared" ca="1" si="421"/>
        <v>1.3786934450352914E-2</v>
      </c>
      <c r="AY130" s="149">
        <f t="shared" ca="1" si="422"/>
        <v>5.7855765466248753E-3</v>
      </c>
      <c r="AZ130" s="149">
        <f t="shared" ca="1" si="423"/>
        <v>4.2049139548271264E-3</v>
      </c>
      <c r="BA130" s="149">
        <f t="shared" ca="1" si="424"/>
        <v>1.0000000000000412E-4</v>
      </c>
      <c r="BB130" s="149">
        <f t="shared" ca="1" si="425"/>
        <v>1.0000000000000412E-4</v>
      </c>
      <c r="BC130" s="149">
        <f t="shared" ca="1" si="426"/>
        <v>1.0000000000000412E-4</v>
      </c>
      <c r="BD130" s="143">
        <f t="shared" ca="1" si="458"/>
        <v>0</v>
      </c>
      <c r="BE130" s="144">
        <f t="shared" ca="1" si="459"/>
        <v>0</v>
      </c>
      <c r="BF130" s="40">
        <f t="shared" si="460"/>
        <v>2010</v>
      </c>
      <c r="BG130" s="139">
        <f t="shared" si="461"/>
        <v>7</v>
      </c>
      <c r="BH130" s="140">
        <f t="shared" ca="1" si="462"/>
        <v>3355</v>
      </c>
      <c r="BI130" s="304">
        <f t="shared" ca="1" si="440"/>
        <v>9.2265571526351806</v>
      </c>
      <c r="BJ130" s="42">
        <f t="shared" ca="1" si="288"/>
        <v>9.2788252131167948</v>
      </c>
      <c r="BK130" s="42">
        <f t="shared" ca="1" si="289"/>
        <v>9.2815630639039277</v>
      </c>
      <c r="BL130" s="42">
        <f t="shared" ca="1" si="441"/>
        <v>9.3086926762491444</v>
      </c>
      <c r="BM130" s="285">
        <f t="shared" si="442"/>
        <v>22</v>
      </c>
      <c r="BN130" s="41">
        <f t="shared" si="443"/>
        <v>14</v>
      </c>
      <c r="BO130" s="41">
        <f t="shared" si="444"/>
        <v>8</v>
      </c>
      <c r="BP130" s="297" t="str">
        <f t="shared" ca="1" si="293"/>
        <v/>
      </c>
      <c r="BQ130" s="297" t="str">
        <f t="shared" ca="1" si="294"/>
        <v/>
      </c>
      <c r="BR130" s="299" t="str">
        <f t="shared" ca="1" si="295"/>
        <v/>
      </c>
      <c r="BS130" s="153" t="str">
        <f t="shared" ca="1" si="296"/>
        <v/>
      </c>
      <c r="BT130" s="153" t="str">
        <f t="shared" ca="1" si="297"/>
        <v/>
      </c>
      <c r="BU130" s="300" t="str">
        <f t="shared" ca="1" si="298"/>
        <v/>
      </c>
      <c r="BV130" s="301" t="str">
        <f t="shared" ca="1" si="299"/>
        <v/>
      </c>
      <c r="BW130" s="300" t="str">
        <f t="shared" ca="1" si="300"/>
        <v/>
      </c>
      <c r="BX130" s="301" t="str">
        <f t="shared" ca="1" si="301"/>
        <v/>
      </c>
      <c r="BY130" s="146" t="str">
        <f t="shared" ca="1" si="302"/>
        <v/>
      </c>
      <c r="BZ130" s="146" t="str">
        <f t="shared" ca="1" si="303"/>
        <v/>
      </c>
      <c r="CA130" s="146" t="str">
        <f t="shared" ca="1" si="304"/>
        <v/>
      </c>
      <c r="CB130" s="146" t="str">
        <f t="shared" ca="1" si="305"/>
        <v/>
      </c>
      <c r="CC130" s="302">
        <v>1</v>
      </c>
      <c r="CD130" s="154">
        <f ca="1">IF(BD130,_xll.xCrudeAPO(BS130,BT130,BY130,BZ130,S131,S132,BI130,BL130,BN130,BO130,0,Strike1,AO130,CC130,0,BL130,IF(OptControl=4,0,1),0,1),0)</f>
        <v>0</v>
      </c>
      <c r="CE130" s="155">
        <f ca="1">IF(BD130,_xll.xCrudeAPO(BS130,BT130,BY130,BZ130,S131,S132,BI130,BL130,BN130,BO130,0,Strike1,AO130,CC130,0,BL130,IF(OptControl=4,0,1),1,1)+_xll.xCrudeAPO(BS130,BT130,BY130,BZ130,S131,S132,BI130,BL130,BN130,BO130,0,Strike1,AO130,CC130,0,BL130,IF(OptControl=4,0,1),1,2)+IF(OR(VolSkewFlag=2,ABS(BQ130)&lt;0.0001),0,IF(BQ130&gt;0,-1,1)*CF130*Strike1/BP130^2*BW130/10%),0)</f>
        <v>0</v>
      </c>
      <c r="CF130" s="155">
        <f ca="1">IF(BD130,(_xll.xCrudeAPO(BS130,BT130,BY130,BZ130,S131,S132,BI130,BL130,BN130,BO130,0,Strike1,AO130,CC130,0,BL130,IF(OptControl=4,0,1),3,1)+_xll.xCrudeAPO(BS130,BT130,BY130,BZ130,S131,S132,BI130,BL130,BN130,BO130,0,Strike1,AO130,CC130,0,BL130,IF(OptControl=4,0,1),3,2))/100,0)</f>
        <v>0</v>
      </c>
      <c r="CG130" s="155">
        <f ca="1">IF(BD130,_xll.xCrudeAPO(BS130,BT130,BY130,BZ130,S131,S132,BI130-DaysForThetaCalculation/365.25,BL130-DaysForThetaCalculation/365.25,BN130,BO130,0,Strike1,AO130,CC130,0,BL130,IF(OptControl=4,0,1),0,1)-_xll.xCrudeAPO(BS130,BT130,BY130,BZ130,S131,S132,BI130,BL130,BN130,BO130,0,Strike1,AO130,CC130,0,BL130,IF(OptControl=4,0,1),0,1),0)</f>
        <v>0</v>
      </c>
      <c r="CH130" s="303">
        <f ca="1">IF(BD130,_xll.xCrudeAPO(BS130,BT130,CA130,CB130,S131,S132,BI130,BL130,BN130,BO130,0,Strike2,AO130,CC130,0,BL130,IF(OptControl=3,1,0),0,1),0)</f>
        <v>0</v>
      </c>
      <c r="CI130" s="155">
        <f ca="1">IF(BD130,_xll.xCrudeAPO(BS130,BT130,CA130,CB130,S131,S132,BI130,BL130,BN130,BO130,0,Strike2,AO130,CC130,0,BL130,IF(OptControl=3,1,0),1,1)+_xll.xCrudeAPO(BS130,BT130,CA130,CB130,S131,S132,BI130,BL130,BN130,BO130,0,Strike2,AO130,CC130,0,BL130,IF(OptControl=3,1,0),1,2)+IF(OR(VolSkewFlag=2,ABS(BR130)&lt;0.0001),0,IF(BR130&gt;0,-1,1)*CJ130*Strike2/BP130^2*BX130/10%),0)</f>
        <v>0</v>
      </c>
      <c r="CJ130" s="155">
        <f ca="1">IF(BD130,(_xll.xCrudeAPO(BS130,BT130,CA130,CB130,S131,S132,BI130,BL130,BN130,BO130,0,Strike2,AO130,CC130,0,BL130,IF(OptControl=3,1,0),3,1)+_xll.xCrudeAPO(BS130,BT130,CA130,CB130,S131,S132,BI130,BL130,BN130,BO130,0,Strike2,AO130,CC130,0,BL130,IF(OptControl=3,1,0),3,2))/100,0)</f>
        <v>0</v>
      </c>
      <c r="CK130" s="156">
        <f ca="1">IF(BD130,_xll.xCrudeAPO(BS130,BT130,CA130,CB130,S131,S132,BI130-DaysForThetaCalculation/365.25,BL130-DaysForThetaCalculation/365.25,BN130,BO130,0,Strike2,AO130,CC130,0,BL130,IF(OptControl=3,1,0),0,1)-_xll.xCrudeAPO(BS130,BT130,CA130,CB130,S131,S132,BI130,BL130,BN130,BO130,0,Strike2,AO130,CC130,0,BL130,IF(OptControl=3,1,0),0,1),0)</f>
        <v>0</v>
      </c>
      <c r="CL130" s="51"/>
      <c r="CM130" s="779" t="str">
        <f t="shared" ca="1" si="323"/>
        <v/>
      </c>
      <c r="CN130" s="783" t="str">
        <f t="shared" ca="1" si="324"/>
        <v/>
      </c>
      <c r="CO130" s="780" t="str">
        <f t="shared" ca="1" si="325"/>
        <v/>
      </c>
      <c r="CP130" s="780" t="str">
        <f t="shared" ca="1" si="326"/>
        <v/>
      </c>
      <c r="CQ130" s="780" t="str">
        <f t="shared" ca="1" si="327"/>
        <v/>
      </c>
      <c r="CR130" s="780" t="str">
        <f t="shared" ca="1" si="328"/>
        <v/>
      </c>
      <c r="CS130" s="781" t="str">
        <f t="shared" ca="1" si="329"/>
        <v/>
      </c>
      <c r="CT130" s="782" t="str">
        <f t="shared" ca="1" si="330"/>
        <v/>
      </c>
      <c r="CU130" s="782" t="str">
        <f t="shared" ca="1" si="331"/>
        <v/>
      </c>
      <c r="CV130" s="155">
        <f ca="1">IF(BD130,_xll.EURO(CN130,Strike1,AO130,AO130,CT130,CM130,IF(OptControl=4,0,1),0),0)</f>
        <v>0</v>
      </c>
      <c r="CW130" s="155">
        <f ca="1">IF(BD130,_xll.EURO(CN130,Strike1,AO130,AO130,CT130,CM130,IF(OptControl=4,0,1),1)+IF(OR(VolSkewFlag=2,ABS(CO130)&lt;0.0001),0,IF(CO130&gt;0,-1,1)*CX130*100*Strike1/CN130^2*CQ130/10%),0)</f>
        <v>0</v>
      </c>
      <c r="CX130" s="155">
        <f ca="1">IF(BD130,_xll.EURO(CN130,Strike1,AO130,AO130,CT130,CM130,IF(OptControl=4,0,1),3)/100,0)</f>
        <v>0</v>
      </c>
      <c r="CY130" s="155">
        <f ca="1">IF(BD130,_xll.EURO(CN130,Strike1,AO130,AO130,CT130,CM130,IF(OptControl=4,0,1),0)-_xll.EURO(CN130,Strike1,AO130,AO130,CT130,CM130-1,IF(OptControl=4,0,1),0),0)</f>
        <v>0</v>
      </c>
      <c r="CZ130" s="155">
        <f ca="1">IF(BD130,_xll.EURO(CN130,Strike2,AO130,AO130,CU130,CM130,IF(OptControl=3,1,0),0),0)</f>
        <v>0</v>
      </c>
      <c r="DA130" s="155">
        <f ca="1">IF(BD130,_xll.EURO(CN130,Strike2,AO130,AO130,CU130,CM130,IF(OptControl=3,1,0),1)+IF(OR(VolSkewFlag=2,ABS(CP130)&lt;0.0001),0,IF(CP130&gt;0,-1,1)*DB130*100*Strike2/CN130^2*CR130/10%),0)</f>
        <v>0</v>
      </c>
      <c r="DB130" s="155">
        <f ca="1">IF(BD130,_xll.EURO(CN130,Strike2,AO130,AO130,CU130,CM130,IF(OptControl=3,1,0),3)/100,0)</f>
        <v>0</v>
      </c>
      <c r="DC130" s="156">
        <f ca="1">IF(BD130,_xll.EURO(CN130,Strike2,AO130,AO130,CU130,CM130,IF(OptControl=3,1,0),0)-_xll.EURO(CN130,Strike2,AO130,AO130,CU130,CM130-1,IF(OptControl=3,1,0),0),0)</f>
        <v>0</v>
      </c>
      <c r="DE130" s="651">
        <f t="shared" ca="1" si="332"/>
        <v>40269</v>
      </c>
      <c r="DF130" s="465">
        <v>1E-4</v>
      </c>
      <c r="DG130" s="649">
        <v>1E-4</v>
      </c>
      <c r="DH130" s="650">
        <f t="shared" ca="1" si="463"/>
        <v>40269</v>
      </c>
      <c r="DI130" s="465">
        <v>1E-4</v>
      </c>
      <c r="DJ130" s="649">
        <v>1E-4</v>
      </c>
      <c r="DK130" s="651">
        <f t="shared" ca="1" si="464"/>
        <v>40269</v>
      </c>
      <c r="DL130" s="652">
        <f t="shared" si="465"/>
        <v>5.0100000000000006E-2</v>
      </c>
      <c r="DM130" s="651">
        <f t="shared" ca="1" si="333"/>
        <v>40269</v>
      </c>
      <c r="DN130" s="563">
        <f t="shared" si="334"/>
        <v>-0.12990000000000002</v>
      </c>
      <c r="DO130" s="803">
        <v>-0.13</v>
      </c>
      <c r="DP130" s="650">
        <f t="shared" ca="1" si="466"/>
        <v>40269</v>
      </c>
      <c r="DQ130" s="653">
        <v>1E-4</v>
      </c>
      <c r="DR130" s="590">
        <v>1E-4</v>
      </c>
      <c r="DS130" s="650">
        <f t="shared" ca="1" si="467"/>
        <v>40269</v>
      </c>
      <c r="DT130" s="653">
        <v>1E-4</v>
      </c>
      <c r="DU130" s="590">
        <v>1E-4</v>
      </c>
      <c r="DV130" s="651">
        <f t="shared" ca="1" si="468"/>
        <v>40269</v>
      </c>
      <c r="DW130" s="590">
        <v>1E-4</v>
      </c>
      <c r="DX130" s="651">
        <f t="shared" ca="1" si="335"/>
        <v>40269</v>
      </c>
      <c r="DY130" s="590">
        <f t="shared" si="336"/>
        <v>1E-4</v>
      </c>
      <c r="DZ130" s="1"/>
      <c r="EA130" s="857"/>
      <c r="EB130" s="857"/>
      <c r="EC130" s="857"/>
      <c r="ED130" s="868" t="e">
        <f t="shared" ca="1" si="436"/>
        <v>#NAME?</v>
      </c>
      <c r="EE130" s="863" t="e">
        <f t="shared" ca="1" si="312"/>
        <v>#NAME?</v>
      </c>
      <c r="EF130" s="590" t="e">
        <f t="shared" ca="1" si="313"/>
        <v>#NAME?</v>
      </c>
      <c r="EG130" s="862" t="str">
        <f t="shared" ca="1" si="469"/>
        <v/>
      </c>
      <c r="EH130" s="114" t="str">
        <f t="shared" ca="1" si="315"/>
        <v/>
      </c>
      <c r="EI130" s="109" t="str">
        <f t="shared" ca="1" si="316"/>
        <v/>
      </c>
      <c r="EJ130" s="115">
        <f ca="1">IF(BD130,_xll.xASN(BP130,Strike1,AO130,EH130,0,BM130,0,BI130,BL130,IF(OptControl=4,0,1),0),0)</f>
        <v>0</v>
      </c>
      <c r="EK130" s="108">
        <f ca="1">IF(BD130,_xll.xASN(BP130,Strike2,AO130,EI130,0,BM130,0,BI130,BL130,IF(OptControl=3,1,0),0),0)</f>
        <v>0</v>
      </c>
      <c r="EP130" s="53"/>
      <c r="EQ130" s="1"/>
      <c r="ER130" s="103"/>
      <c r="ES130" s="103"/>
      <c r="ET130" s="1"/>
      <c r="EU130" s="667" t="s">
        <v>342</v>
      </c>
      <c r="EW130" s="445"/>
      <c r="EX130" s="36"/>
      <c r="EY130" s="104"/>
      <c r="EZ130" s="465"/>
      <c r="FA130" s="446"/>
      <c r="FB130" s="446"/>
      <c r="FC130" s="242"/>
      <c r="FD130" s="242"/>
      <c r="FE130" s="242"/>
      <c r="FF130" s="242"/>
      <c r="FG130" s="242"/>
      <c r="FH130" s="242"/>
      <c r="FI130" s="242"/>
      <c r="FJ130" s="242"/>
      <c r="FK130" s="242"/>
      <c r="FL130" s="242"/>
      <c r="FM130" s="242"/>
      <c r="FN130" s="657">
        <v>36</v>
      </c>
      <c r="FO130" s="450">
        <f t="shared" ca="1" si="477"/>
        <v>0.17604342499882186</v>
      </c>
      <c r="FP130" s="450">
        <f t="shared" ca="1" si="479"/>
        <v>0.17637584686734523</v>
      </c>
      <c r="FQ130" s="450">
        <f t="shared" ca="1" si="479"/>
        <v>0.17657620050250114</v>
      </c>
      <c r="FR130" s="450">
        <f t="shared" ca="1" si="479"/>
        <v>0.17682639492461744</v>
      </c>
      <c r="FS130" s="450">
        <f t="shared" ca="1" si="479"/>
        <v>0.17713195887927993</v>
      </c>
      <c r="FT130" s="450">
        <f t="shared" ca="1" si="479"/>
        <v>0.17749910760653037</v>
      </c>
      <c r="FU130" s="450">
        <f t="shared" ca="1" si="479"/>
        <v>0.17793483678262531</v>
      </c>
      <c r="FV130" s="450">
        <f t="shared" ca="1" si="479"/>
        <v>0.17844703138999016</v>
      </c>
      <c r="FW130" s="450">
        <f t="shared" ca="1" si="479"/>
        <v>0.17904459234088857</v>
      </c>
      <c r="FX130" s="450">
        <f t="shared" ca="1" si="479"/>
        <v>0.17973758431103604</v>
      </c>
      <c r="FY130" s="450">
        <f t="shared" ca="1" si="479"/>
        <v>0.18053740903160881</v>
      </c>
      <c r="FZ130" s="450">
        <f t="shared" ca="1" si="479"/>
        <v>0.18145700928826711</v>
      </c>
      <c r="GA130" s="450">
        <f t="shared" ca="1" si="479"/>
        <v>0.18251111014518748</v>
      </c>
      <c r="GB130" s="450">
        <f t="shared" ca="1" si="479"/>
        <v>0.183716505532031</v>
      </c>
      <c r="GC130" s="450">
        <f t="shared" ca="1" si="479"/>
        <v>0.18509240041094649</v>
      </c>
      <c r="GD130" s="450">
        <f t="shared" ca="1" si="479"/>
        <v>0.18666082142539439</v>
      </c>
      <c r="GE130" s="450">
        <f t="shared" ca="1" si="479"/>
        <v>0.18844711242099454</v>
      </c>
      <c r="GF130" s="450">
        <f t="shared" ca="1" si="479"/>
        <v>0.19048053579141142</v>
      </c>
      <c r="GG130" s="450">
        <f t="shared" ca="1" si="479"/>
        <v>0.19279500661206608</v>
      </c>
      <c r="GH130" s="450">
        <f t="shared" ca="1" si="479"/>
        <v>0.19542999449824958</v>
      </c>
      <c r="GI130" s="450">
        <f t="shared" ca="1" si="479"/>
        <v>0.19843163878596726</v>
      </c>
      <c r="GJ130" s="450">
        <f t="shared" ca="1" si="479"/>
        <v>0.20185413700656737</v>
      </c>
      <c r="GK130" s="450">
        <f t="shared" ca="1" si="479"/>
        <v>0.20576148616959875</v>
      </c>
      <c r="GL130" s="450">
        <f t="shared" ca="1" si="479"/>
        <v>0.21022968318667634</v>
      </c>
      <c r="GM130" s="450">
        <f t="shared" ca="1" si="479"/>
        <v>0.21534952792892709</v>
      </c>
      <c r="GN130" s="450">
        <f t="shared" ca="1" si="479"/>
        <v>0.2212302244320544</v>
      </c>
      <c r="GO130" s="450">
        <f t="shared" ca="1" si="479"/>
        <v>0.22800404939067387</v>
      </c>
      <c r="GP130" s="450">
        <f t="shared" ca="1" si="479"/>
        <v>0.23583246251102677</v>
      </c>
      <c r="GQ130" s="450">
        <f t="shared" ca="1" si="479"/>
        <v>0.2449141861379612</v>
      </c>
      <c r="GR130" s="450">
        <f t="shared" ca="1" si="479"/>
        <v>0.25549600612372875</v>
      </c>
      <c r="GS130" s="450">
        <f t="shared" ca="1" si="479"/>
        <v>0.26788738051609301</v>
      </c>
      <c r="GT130" s="450">
        <f t="shared" ca="1" si="479"/>
        <v>0.28248044890253077</v>
      </c>
      <c r="GU130" s="450">
        <f t="shared" ca="1" si="479"/>
        <v>0.29977781385378827</v>
      </c>
      <c r="GV130" s="450">
        <f t="shared" ca="1" si="479"/>
        <v>0.3204316847087636</v>
      </c>
      <c r="GW130" s="450">
        <f t="shared" ca="1" si="479"/>
        <v>0.34529991859469378</v>
      </c>
      <c r="GX130" s="450">
        <f t="shared" ca="1" si="479"/>
        <v>0.37552766136361471</v>
      </c>
      <c r="GY130" s="450" t="str">
        <f t="shared" si="479"/>
        <v/>
      </c>
      <c r="GZ130" s="450" t="str">
        <f t="shared" si="479"/>
        <v/>
      </c>
      <c r="HA130" s="450" t="str">
        <f t="shared" si="479"/>
        <v/>
      </c>
      <c r="HB130" s="450" t="str">
        <f t="shared" si="479"/>
        <v/>
      </c>
      <c r="HC130" s="450" t="str">
        <f t="shared" si="479"/>
        <v/>
      </c>
      <c r="HD130" s="450" t="str">
        <f t="shared" si="479"/>
        <v/>
      </c>
      <c r="HE130" s="450" t="str">
        <f t="shared" si="479"/>
        <v/>
      </c>
      <c r="HF130" s="450" t="str">
        <f t="shared" si="479"/>
        <v/>
      </c>
      <c r="HG130" s="450" t="str">
        <f t="shared" si="479"/>
        <v/>
      </c>
      <c r="HH130" s="450" t="str">
        <f t="shared" si="479"/>
        <v/>
      </c>
      <c r="HI130" s="450" t="str">
        <f t="shared" si="479"/>
        <v/>
      </c>
      <c r="HJ130" s="450" t="str">
        <f t="shared" si="479"/>
        <v/>
      </c>
      <c r="HK130" s="450" t="str">
        <f t="shared" si="479"/>
        <v/>
      </c>
      <c r="HL130" s="450" t="str">
        <f t="shared" si="479"/>
        <v/>
      </c>
      <c r="HM130" s="450" t="str">
        <f t="shared" si="479"/>
        <v/>
      </c>
      <c r="HN130" s="450" t="str">
        <f t="shared" si="479"/>
        <v/>
      </c>
      <c r="HO130" s="450" t="str">
        <f t="shared" si="479"/>
        <v/>
      </c>
      <c r="HP130" s="450" t="str">
        <f t="shared" si="479"/>
        <v/>
      </c>
      <c r="HQ130" s="450" t="str">
        <f t="shared" si="479"/>
        <v/>
      </c>
      <c r="HR130" s="450" t="str">
        <f t="shared" si="479"/>
        <v/>
      </c>
      <c r="HS130" s="450" t="str">
        <f t="shared" si="479"/>
        <v/>
      </c>
      <c r="HT130" s="450" t="str">
        <f t="shared" si="479"/>
        <v/>
      </c>
      <c r="HU130" s="450" t="str">
        <f t="shared" si="479"/>
        <v/>
      </c>
      <c r="HV130" s="450" t="str">
        <f t="shared" si="479"/>
        <v/>
      </c>
      <c r="HW130" s="450" t="str">
        <f t="shared" si="479"/>
        <v/>
      </c>
      <c r="HX130" s="450" t="str">
        <f t="shared" si="479"/>
        <v/>
      </c>
      <c r="HY130" s="450" t="str">
        <f t="shared" si="479"/>
        <v/>
      </c>
      <c r="HZ130" s="450" t="str">
        <f t="shared" si="479"/>
        <v/>
      </c>
      <c r="IA130" s="450" t="str">
        <f t="shared" si="479"/>
        <v/>
      </c>
      <c r="IB130" s="450" t="str">
        <f t="shared" si="478"/>
        <v/>
      </c>
      <c r="IC130" s="450" t="str">
        <f t="shared" si="478"/>
        <v/>
      </c>
      <c r="ID130" s="450" t="str">
        <f t="shared" si="478"/>
        <v/>
      </c>
      <c r="IE130" s="450" t="str">
        <f t="shared" si="478"/>
        <v/>
      </c>
      <c r="IF130" s="450" t="str">
        <f t="shared" si="478"/>
        <v/>
      </c>
      <c r="IG130" s="450" t="str">
        <f t="shared" si="478"/>
        <v/>
      </c>
      <c r="IH130" s="658" t="str">
        <f t="shared" si="478"/>
        <v/>
      </c>
      <c r="II130" s="242"/>
    </row>
    <row r="131" spans="8:243">
      <c r="H131" s="49" t="e">
        <f t="shared" ca="1" si="317"/>
        <v>#N/A</v>
      </c>
      <c r="I131" s="369">
        <f t="shared" si="318"/>
        <v>40391</v>
      </c>
      <c r="J131" s="367">
        <v>22.1933333333333</v>
      </c>
      <c r="K131" s="101" t="s">
        <v>267</v>
      </c>
      <c r="L131" s="382">
        <f t="shared" si="319"/>
        <v>22.193333333333303</v>
      </c>
      <c r="M131" s="163">
        <v>0.16340000000000002</v>
      </c>
      <c r="N131" s="372">
        <v>0</v>
      </c>
      <c r="O131" s="163">
        <f t="shared" si="272"/>
        <v>0.16340000000000002</v>
      </c>
      <c r="P131" s="367">
        <v>20.758232806289001</v>
      </c>
      <c r="Q131" s="101" t="s">
        <v>267</v>
      </c>
      <c r="R131" s="367">
        <f t="shared" ca="1" si="417"/>
        <v>20.758232806289001</v>
      </c>
      <c r="S131" s="814">
        <f t="shared" si="474"/>
        <v>0.35655165441605097</v>
      </c>
      <c r="T131" s="813">
        <f t="shared" si="418"/>
        <v>0.99999934934009038</v>
      </c>
      <c r="U131" s="532">
        <f t="shared" si="419"/>
        <v>0.99999999999999978</v>
      </c>
      <c r="V131" s="379">
        <v>0</v>
      </c>
      <c r="W131" s="424">
        <f t="shared" si="452"/>
        <v>22.215303030303009</v>
      </c>
      <c r="X131" s="405">
        <f t="shared" si="453"/>
        <v>22.215303030303001</v>
      </c>
      <c r="Y131" s="313">
        <f t="shared" si="454"/>
        <v>20.896903030303008</v>
      </c>
      <c r="Z131" s="313">
        <f t="shared" ca="1" si="455"/>
        <v>20.896903030303001</v>
      </c>
      <c r="AA131" s="419">
        <f t="shared" si="277"/>
        <v>1.3184</v>
      </c>
      <c r="AB131" s="423">
        <f t="shared" ca="1" si="278"/>
        <v>1.3184</v>
      </c>
      <c r="AC131" s="221">
        <v>40379</v>
      </c>
      <c r="AD131" s="221">
        <v>40375</v>
      </c>
      <c r="AE131" s="221">
        <v>40374</v>
      </c>
      <c r="AF131" s="221">
        <v>40370</v>
      </c>
      <c r="AG131" s="241" t="s">
        <v>497</v>
      </c>
      <c r="AH131" s="239" t="s">
        <v>497</v>
      </c>
      <c r="AI131" s="141">
        <v>22</v>
      </c>
      <c r="AJ131" s="41">
        <v>15</v>
      </c>
      <c r="AK131" s="41">
        <v>7</v>
      </c>
      <c r="AL131" s="285">
        <v>22</v>
      </c>
      <c r="AM131" s="41">
        <v>10</v>
      </c>
      <c r="AN131" s="142">
        <v>12</v>
      </c>
      <c r="AO131" s="364">
        <v>5.8659352044178298E-2</v>
      </c>
      <c r="AP131" s="145">
        <f t="shared" ca="1" si="320"/>
        <v>0.58094773856212067</v>
      </c>
      <c r="AQ131" s="364">
        <v>4.96642268436953E-2</v>
      </c>
      <c r="AR131" s="145">
        <f t="shared" ca="1" si="420"/>
        <v>0.63467160394412714</v>
      </c>
      <c r="AS131" s="264">
        <f t="shared" si="456"/>
        <v>0.16326818181818181</v>
      </c>
      <c r="AT131" s="149">
        <f t="shared" si="321"/>
        <v>0.16340000000000002</v>
      </c>
      <c r="AU131" s="149">
        <f t="shared" si="280"/>
        <v>0.16324545454545455</v>
      </c>
      <c r="AV131" s="263">
        <f t="shared" ca="1" si="430"/>
        <v>0.1606285512757506</v>
      </c>
      <c r="AW131" s="150" t="str">
        <f t="shared" ca="1" si="457"/>
        <v/>
      </c>
      <c r="AX131" s="149">
        <f t="shared" ca="1" si="421"/>
        <v>1.3593252648491788E-2</v>
      </c>
      <c r="AY131" s="149">
        <f t="shared" ca="1" si="422"/>
        <v>5.6860306774295212E-3</v>
      </c>
      <c r="AZ131" s="149">
        <f t="shared" ca="1" si="423"/>
        <v>4.1548001700910022E-3</v>
      </c>
      <c r="BA131" s="149">
        <f t="shared" ca="1" si="424"/>
        <v>1.0000000000000418E-4</v>
      </c>
      <c r="BB131" s="149">
        <f t="shared" ca="1" si="425"/>
        <v>1.0000000000000418E-4</v>
      </c>
      <c r="BC131" s="149">
        <f t="shared" ca="1" si="426"/>
        <v>1.0000000000000418E-4</v>
      </c>
      <c r="BD131" s="143">
        <f t="shared" ca="1" si="458"/>
        <v>0</v>
      </c>
      <c r="BE131" s="144">
        <f t="shared" ca="1" si="459"/>
        <v>0</v>
      </c>
      <c r="BF131" s="40">
        <f t="shared" si="460"/>
        <v>2010</v>
      </c>
      <c r="BG131" s="139">
        <f t="shared" si="461"/>
        <v>8</v>
      </c>
      <c r="BH131" s="140">
        <f t="shared" ca="1" si="462"/>
        <v>3385</v>
      </c>
      <c r="BI131" s="304">
        <f t="shared" ca="1" si="440"/>
        <v>9.3114305270362774</v>
      </c>
      <c r="BJ131" s="42">
        <f t="shared" ca="1" si="288"/>
        <v>9.3674320204094332</v>
      </c>
      <c r="BK131" s="42">
        <f t="shared" ca="1" si="289"/>
        <v>9.3701698711965662</v>
      </c>
      <c r="BL131" s="42">
        <f t="shared" ca="1" si="441"/>
        <v>9.3935660506502394</v>
      </c>
      <c r="BM131" s="285">
        <f t="shared" si="442"/>
        <v>22</v>
      </c>
      <c r="BN131" s="41">
        <f t="shared" si="443"/>
        <v>15</v>
      </c>
      <c r="BO131" s="41">
        <f t="shared" si="444"/>
        <v>7</v>
      </c>
      <c r="BP131" s="297" t="str">
        <f t="shared" ca="1" si="293"/>
        <v/>
      </c>
      <c r="BQ131" s="297" t="str">
        <f t="shared" ca="1" si="294"/>
        <v/>
      </c>
      <c r="BR131" s="299" t="str">
        <f t="shared" ca="1" si="295"/>
        <v/>
      </c>
      <c r="BS131" s="153" t="str">
        <f t="shared" ca="1" si="296"/>
        <v/>
      </c>
      <c r="BT131" s="153" t="str">
        <f t="shared" ca="1" si="297"/>
        <v/>
      </c>
      <c r="BU131" s="300" t="str">
        <f t="shared" ca="1" si="298"/>
        <v/>
      </c>
      <c r="BV131" s="301" t="str">
        <f t="shared" ca="1" si="299"/>
        <v/>
      </c>
      <c r="BW131" s="300" t="str">
        <f t="shared" ca="1" si="300"/>
        <v/>
      </c>
      <c r="BX131" s="301" t="str">
        <f t="shared" ca="1" si="301"/>
        <v/>
      </c>
      <c r="BY131" s="146" t="str">
        <f t="shared" ca="1" si="302"/>
        <v/>
      </c>
      <c r="BZ131" s="146" t="str">
        <f t="shared" ca="1" si="303"/>
        <v/>
      </c>
      <c r="CA131" s="146" t="str">
        <f t="shared" ca="1" si="304"/>
        <v/>
      </c>
      <c r="CB131" s="146" t="str">
        <f t="shared" ca="1" si="305"/>
        <v/>
      </c>
      <c r="CC131" s="302">
        <v>1</v>
      </c>
      <c r="CD131" s="154">
        <f ca="1">IF(BD131,_xll.xCrudeAPO(BS131,BT131,BY131,BZ131,S132,S133,BI131,BL131,BN131,BO131,0,Strike1,AO131,CC131,0,BL131,IF(OptControl=4,0,1),0,1),0)</f>
        <v>0</v>
      </c>
      <c r="CE131" s="155">
        <f ca="1">IF(BD131,_xll.xCrudeAPO(BS131,BT131,BY131,BZ131,S132,S133,BI131,BL131,BN131,BO131,0,Strike1,AO131,CC131,0,BL131,IF(OptControl=4,0,1),1,1)+_xll.xCrudeAPO(BS131,BT131,BY131,BZ131,S132,S133,BI131,BL131,BN131,BO131,0,Strike1,AO131,CC131,0,BL131,IF(OptControl=4,0,1),1,2)+IF(OR(VolSkewFlag=2,ABS(BQ131)&lt;0.0001),0,IF(BQ131&gt;0,-1,1)*CF131*Strike1/BP131^2*BW131/10%),0)</f>
        <v>0</v>
      </c>
      <c r="CF131" s="155">
        <f ca="1">IF(BD131,(_xll.xCrudeAPO(BS131,BT131,BY131,BZ131,S132,S133,BI131,BL131,BN131,BO131,0,Strike1,AO131,CC131,0,BL131,IF(OptControl=4,0,1),3,1)+_xll.xCrudeAPO(BS131,BT131,BY131,BZ131,S132,S133,BI131,BL131,BN131,BO131,0,Strike1,AO131,CC131,0,BL131,IF(OptControl=4,0,1),3,2))/100,0)</f>
        <v>0</v>
      </c>
      <c r="CG131" s="155">
        <f ca="1">IF(BD131,_xll.xCrudeAPO(BS131,BT131,BY131,BZ131,S132,S133,BI131-DaysForThetaCalculation/365.25,BL131-DaysForThetaCalculation/365.25,BN131,BO131,0,Strike1,AO131,CC131,0,BL131,IF(OptControl=4,0,1),0,1)-_xll.xCrudeAPO(BS131,BT131,BY131,BZ131,S132,S133,BI131,BL131,BN131,BO131,0,Strike1,AO131,CC131,0,BL131,IF(OptControl=4,0,1),0,1),0)</f>
        <v>0</v>
      </c>
      <c r="CH131" s="303">
        <f ca="1">IF(BD131,_xll.xCrudeAPO(BS131,BT131,CA131,CB131,S132,S133,BI131,BL131,BN131,BO131,0,Strike2,AO131,CC131,0,BL131,IF(OptControl=3,1,0),0,1),0)</f>
        <v>0</v>
      </c>
      <c r="CI131" s="155">
        <f ca="1">IF(BD131,_xll.xCrudeAPO(BS131,BT131,CA131,CB131,S132,S133,BI131,BL131,BN131,BO131,0,Strike2,AO131,CC131,0,BL131,IF(OptControl=3,1,0),1,1)+_xll.xCrudeAPO(BS131,BT131,CA131,CB131,S132,S133,BI131,BL131,BN131,BO131,0,Strike2,AO131,CC131,0,BL131,IF(OptControl=3,1,0),1,2)+IF(OR(VolSkewFlag=2,ABS(BR131)&lt;0.0001),0,IF(BR131&gt;0,-1,1)*CJ131*Strike2/BP131^2*BX131/10%),0)</f>
        <v>0</v>
      </c>
      <c r="CJ131" s="155">
        <f ca="1">IF(BD131,(_xll.xCrudeAPO(BS131,BT131,CA131,CB131,S132,S133,BI131,BL131,BN131,BO131,0,Strike2,AO131,CC131,0,BL131,IF(OptControl=3,1,0),3,1)+_xll.xCrudeAPO(BS131,BT131,CA131,CB131,S132,S133,BI131,BL131,BN131,BO131,0,Strike2,AO131,CC131,0,BL131,IF(OptControl=3,1,0),3,2))/100,0)</f>
        <v>0</v>
      </c>
      <c r="CK131" s="156">
        <f ca="1">IF(BD131,_xll.xCrudeAPO(BS131,BT131,CA131,CB131,S132,S133,BI131-DaysForThetaCalculation/365.25,BL131-DaysForThetaCalculation/365.25,BN131,BO131,0,Strike2,AO131,CC131,0,BL131,IF(OptControl=3,1,0),0,1)-_xll.xCrudeAPO(BS131,BT131,CA131,CB131,S132,S133,BI131,BL131,BN131,BO131,0,Strike2,AO131,CC131,0,BL131,IF(OptControl=3,1,0),0,1),0)</f>
        <v>0</v>
      </c>
      <c r="CL131" s="51"/>
      <c r="CM131" s="779" t="str">
        <f t="shared" ca="1" si="323"/>
        <v/>
      </c>
      <c r="CN131" s="783" t="str">
        <f t="shared" ca="1" si="324"/>
        <v/>
      </c>
      <c r="CO131" s="780" t="str">
        <f t="shared" ca="1" si="325"/>
        <v/>
      </c>
      <c r="CP131" s="780" t="str">
        <f t="shared" ca="1" si="326"/>
        <v/>
      </c>
      <c r="CQ131" s="780" t="str">
        <f t="shared" ca="1" si="327"/>
        <v/>
      </c>
      <c r="CR131" s="780" t="str">
        <f t="shared" ca="1" si="328"/>
        <v/>
      </c>
      <c r="CS131" s="781" t="str">
        <f t="shared" ca="1" si="329"/>
        <v/>
      </c>
      <c r="CT131" s="782" t="str">
        <f t="shared" ca="1" si="330"/>
        <v/>
      </c>
      <c r="CU131" s="782" t="str">
        <f t="shared" ca="1" si="331"/>
        <v/>
      </c>
      <c r="CV131" s="155">
        <f ca="1">IF(BD131,_xll.EURO(CN131,Strike1,AO131,AO131,CT131,CM131,IF(OptControl=4,0,1),0),0)</f>
        <v>0</v>
      </c>
      <c r="CW131" s="155">
        <f ca="1">IF(BD131,_xll.EURO(CN131,Strike1,AO131,AO131,CT131,CM131,IF(OptControl=4,0,1),1)+IF(OR(VolSkewFlag=2,ABS(CO131)&lt;0.0001),0,IF(CO131&gt;0,-1,1)*CX131*100*Strike1/CN131^2*CQ131/10%),0)</f>
        <v>0</v>
      </c>
      <c r="CX131" s="155">
        <f ca="1">IF(BD131,_xll.EURO(CN131,Strike1,AO131,AO131,CT131,CM131,IF(OptControl=4,0,1),3)/100,0)</f>
        <v>0</v>
      </c>
      <c r="CY131" s="155">
        <f ca="1">IF(BD131,_xll.EURO(CN131,Strike1,AO131,AO131,CT131,CM131,IF(OptControl=4,0,1),0)-_xll.EURO(CN131,Strike1,AO131,AO131,CT131,CM131-1,IF(OptControl=4,0,1),0),0)</f>
        <v>0</v>
      </c>
      <c r="CZ131" s="155">
        <f ca="1">IF(BD131,_xll.EURO(CN131,Strike2,AO131,AO131,CU131,CM131,IF(OptControl=3,1,0),0),0)</f>
        <v>0</v>
      </c>
      <c r="DA131" s="155">
        <f ca="1">IF(BD131,_xll.EURO(CN131,Strike2,AO131,AO131,CU131,CM131,IF(OptControl=3,1,0),1)+IF(OR(VolSkewFlag=2,ABS(CP131)&lt;0.0001),0,IF(CP131&gt;0,-1,1)*DB131*100*Strike2/CN131^2*CR131/10%),0)</f>
        <v>0</v>
      </c>
      <c r="DB131" s="155">
        <f ca="1">IF(BD131,_xll.EURO(CN131,Strike2,AO131,AO131,CU131,CM131,IF(OptControl=3,1,0),3)/100,0)</f>
        <v>0</v>
      </c>
      <c r="DC131" s="156">
        <f ca="1">IF(BD131,_xll.EURO(CN131,Strike2,AO131,AO131,CU131,CM131,IF(OptControl=3,1,0),0)-_xll.EURO(CN131,Strike2,AO131,AO131,CU131,CM131-1,IF(OptControl=3,1,0),0),0)</f>
        <v>0</v>
      </c>
      <c r="DE131" s="651">
        <f t="shared" ca="1" si="332"/>
        <v>40299</v>
      </c>
      <c r="DF131" s="465">
        <v>1E-4</v>
      </c>
      <c r="DG131" s="649">
        <v>1E-4</v>
      </c>
      <c r="DH131" s="650">
        <f t="shared" ca="1" si="463"/>
        <v>40299</v>
      </c>
      <c r="DI131" s="465">
        <v>1E-4</v>
      </c>
      <c r="DJ131" s="649">
        <v>1E-4</v>
      </c>
      <c r="DK131" s="651">
        <f t="shared" ca="1" si="464"/>
        <v>40299</v>
      </c>
      <c r="DL131" s="652">
        <f t="shared" si="465"/>
        <v>5.0100000000000006E-2</v>
      </c>
      <c r="DM131" s="651">
        <f t="shared" ca="1" si="333"/>
        <v>40299</v>
      </c>
      <c r="DN131" s="563">
        <f t="shared" si="334"/>
        <v>-0.12990000000000002</v>
      </c>
      <c r="DO131" s="803">
        <v>-0.13</v>
      </c>
      <c r="DP131" s="650">
        <f t="shared" ca="1" si="466"/>
        <v>40299</v>
      </c>
      <c r="DQ131" s="653">
        <v>1E-4</v>
      </c>
      <c r="DR131" s="590">
        <v>1E-4</v>
      </c>
      <c r="DS131" s="650">
        <f t="shared" ca="1" si="467"/>
        <v>40299</v>
      </c>
      <c r="DT131" s="653">
        <v>1E-4</v>
      </c>
      <c r="DU131" s="590">
        <v>1E-4</v>
      </c>
      <c r="DV131" s="651">
        <f t="shared" ca="1" si="468"/>
        <v>40299</v>
      </c>
      <c r="DW131" s="590">
        <v>1E-4</v>
      </c>
      <c r="DX131" s="651">
        <f t="shared" ca="1" si="335"/>
        <v>40299</v>
      </c>
      <c r="DY131" s="590">
        <f t="shared" si="336"/>
        <v>1E-4</v>
      </c>
      <c r="DZ131" s="1"/>
      <c r="EA131" s="857"/>
      <c r="EB131" s="857"/>
      <c r="EC131" s="857"/>
      <c r="ED131" s="868" t="e">
        <f t="shared" ca="1" si="436"/>
        <v>#NAME?</v>
      </c>
      <c r="EE131" s="863" t="e">
        <f t="shared" ca="1" si="312"/>
        <v>#NAME?</v>
      </c>
      <c r="EF131" s="590" t="e">
        <f t="shared" ca="1" si="313"/>
        <v>#NAME?</v>
      </c>
      <c r="EG131" s="862" t="str">
        <f t="shared" ca="1" si="469"/>
        <v/>
      </c>
      <c r="EH131" s="114" t="str">
        <f t="shared" ca="1" si="315"/>
        <v/>
      </c>
      <c r="EI131" s="109" t="str">
        <f t="shared" ca="1" si="316"/>
        <v/>
      </c>
      <c r="EJ131" s="115">
        <f ca="1">IF(BD131,_xll.xASN(BP131,Strike1,AO131,EH131,0,BM131,0,BI131,BL131,IF(OptControl=4,0,1),0),0)</f>
        <v>0</v>
      </c>
      <c r="EK131" s="108">
        <f ca="1">IF(BD131,_xll.xASN(BP131,Strike2,AO131,EI131,0,BM131,0,BI131,BL131,IF(OptControl=3,1,0),0),0)</f>
        <v>0</v>
      </c>
      <c r="EP131" s="53"/>
      <c r="EQ131" s="1"/>
      <c r="ER131" s="103"/>
      <c r="ES131" s="103"/>
      <c r="ET131" s="1"/>
      <c r="EU131" s="667" t="s">
        <v>343</v>
      </c>
      <c r="EW131" s="445"/>
      <c r="EX131" s="36"/>
      <c r="EY131" s="104"/>
      <c r="EZ131" s="465"/>
      <c r="FA131" s="446"/>
      <c r="FB131" s="446"/>
      <c r="FC131" s="242"/>
      <c r="FD131" s="242"/>
      <c r="FE131" s="242"/>
      <c r="FF131" s="242"/>
      <c r="FG131" s="242"/>
      <c r="FH131" s="242"/>
      <c r="FI131" s="242"/>
      <c r="FJ131" s="242"/>
      <c r="FK131" s="242"/>
      <c r="FL131" s="242"/>
      <c r="FM131" s="242"/>
      <c r="FN131" s="657">
        <v>37</v>
      </c>
      <c r="FO131" s="450">
        <f t="shared" ca="1" si="477"/>
        <v>0.17569910049785334</v>
      </c>
      <c r="FP131" s="450">
        <f t="shared" ca="1" si="479"/>
        <v>0.17599249991822405</v>
      </c>
      <c r="FQ131" s="450">
        <f t="shared" ca="1" si="479"/>
        <v>0.17614972398674605</v>
      </c>
      <c r="FR131" s="450">
        <f t="shared" ca="1" si="479"/>
        <v>0.17635179685873031</v>
      </c>
      <c r="FS131" s="450">
        <f t="shared" ca="1" si="479"/>
        <v>0.17660363744121027</v>
      </c>
      <c r="FT131" s="450">
        <f t="shared" ca="1" si="479"/>
        <v>0.17691076924092933</v>
      </c>
      <c r="FU131" s="450">
        <f t="shared" ca="1" si="479"/>
        <v>0.17727940162734307</v>
      </c>
      <c r="FV131" s="450">
        <f t="shared" ca="1" si="479"/>
        <v>0.17771652369201171</v>
      </c>
      <c r="FW131" s="450">
        <f t="shared" ca="1" si="479"/>
        <v>0.17823001302330718</v>
      </c>
      <c r="FX131" s="450">
        <f t="shared" ca="1" si="479"/>
        <v>0.1788287622195146</v>
      </c>
      <c r="FY131" s="450">
        <f t="shared" ca="1" si="479"/>
        <v>0.17952282659357319</v>
      </c>
      <c r="FZ131" s="450">
        <f t="shared" ca="1" si="479"/>
        <v>0.18032359731423678</v>
      </c>
      <c r="GA131" s="450">
        <f t="shared" ca="1" si="479"/>
        <v>0.18124400522773726</v>
      </c>
      <c r="GB131" s="450">
        <f t="shared" ca="1" si="479"/>
        <v>0.18229876187232266</v>
      </c>
      <c r="GC131" s="450">
        <f t="shared" ca="1" si="479"/>
        <v>0.18350464581656542</v>
      </c>
      <c r="GD131" s="450">
        <f t="shared" ca="1" si="479"/>
        <v>0.18488084452972986</v>
      </c>
      <c r="GE131" s="450">
        <f t="shared" ca="1" si="479"/>
        <v>0.18644936467486375</v>
      </c>
      <c r="GF131" s="450">
        <f t="shared" ca="1" si="479"/>
        <v>0.18823552720069722</v>
      </c>
      <c r="GG131" s="450">
        <f t="shared" ca="1" si="479"/>
        <v>0.19026856816734036</v>
      </c>
      <c r="GH131" s="450">
        <f t="shared" ca="1" si="479"/>
        <v>0.19258237224539604</v>
      </c>
      <c r="GI131" s="450">
        <f t="shared" ca="1" si="479"/>
        <v>0.1952163737950787</v>
      </c>
      <c r="GJ131" s="450">
        <f t="shared" ca="1" si="479"/>
        <v>0.19821667108458585</v>
      </c>
      <c r="GK131" s="450">
        <f t="shared" ca="1" si="479"/>
        <v>0.20163741356744855</v>
      </c>
      <c r="GL131" s="450">
        <f t="shared" ca="1" si="479"/>
        <v>0.2055425416653493</v>
      </c>
      <c r="GM131" s="450">
        <f t="shared" ca="1" si="479"/>
        <v>0.2100079852984581</v>
      </c>
      <c r="GN131" s="450">
        <f t="shared" ca="1" si="479"/>
        <v>0.21512446453361031</v>
      </c>
      <c r="GO131" s="450">
        <f t="shared" ca="1" si="479"/>
        <v>0.22100108769807256</v>
      </c>
      <c r="GP131" s="450">
        <f t="shared" ca="1" si="479"/>
        <v>0.227770015872022</v>
      </c>
      <c r="GQ131" s="450">
        <f t="shared" ca="1" si="479"/>
        <v>0.23559256801132952</v>
      </c>
      <c r="GR131" s="450">
        <f t="shared" ca="1" si="479"/>
        <v>0.24466729367024961</v>
      </c>
      <c r="GS131" s="450">
        <f t="shared" ca="1" si="479"/>
        <v>0.25524076465638307</v>
      </c>
      <c r="GT131" s="450">
        <f t="shared" ca="1" si="479"/>
        <v>0.26762217127925109</v>
      </c>
      <c r="GU131" s="450">
        <f t="shared" ca="1" si="479"/>
        <v>0.28220331468872889</v>
      </c>
      <c r="GV131" s="450">
        <f t="shared" ca="1" si="479"/>
        <v>0.29948636475454304</v>
      </c>
      <c r="GW131" s="450">
        <f t="shared" ca="1" si="479"/>
        <v>0.32012297071874607</v>
      </c>
      <c r="GX131" s="450">
        <f t="shared" ca="1" si="479"/>
        <v>0.34497025488381122</v>
      </c>
      <c r="GY131" s="450">
        <f t="shared" ca="1" si="479"/>
        <v>0.37517238474997855</v>
      </c>
      <c r="GZ131" s="450" t="str">
        <f t="shared" si="479"/>
        <v/>
      </c>
      <c r="HA131" s="450" t="str">
        <f t="shared" si="479"/>
        <v/>
      </c>
      <c r="HB131" s="450" t="str">
        <f t="shared" si="479"/>
        <v/>
      </c>
      <c r="HC131" s="450" t="str">
        <f t="shared" si="479"/>
        <v/>
      </c>
      <c r="HD131" s="450" t="str">
        <f t="shared" si="479"/>
        <v/>
      </c>
      <c r="HE131" s="450" t="str">
        <f t="shared" si="479"/>
        <v/>
      </c>
      <c r="HF131" s="450" t="str">
        <f t="shared" si="479"/>
        <v/>
      </c>
      <c r="HG131" s="450" t="str">
        <f t="shared" si="479"/>
        <v/>
      </c>
      <c r="HH131" s="450" t="str">
        <f t="shared" si="479"/>
        <v/>
      </c>
      <c r="HI131" s="450" t="str">
        <f t="shared" si="479"/>
        <v/>
      </c>
      <c r="HJ131" s="450" t="str">
        <f t="shared" si="479"/>
        <v/>
      </c>
      <c r="HK131" s="450" t="str">
        <f t="shared" si="479"/>
        <v/>
      </c>
      <c r="HL131" s="450" t="str">
        <f t="shared" si="479"/>
        <v/>
      </c>
      <c r="HM131" s="450" t="str">
        <f t="shared" si="479"/>
        <v/>
      </c>
      <c r="HN131" s="450" t="str">
        <f t="shared" si="479"/>
        <v/>
      </c>
      <c r="HO131" s="450" t="str">
        <f t="shared" si="479"/>
        <v/>
      </c>
      <c r="HP131" s="450" t="str">
        <f t="shared" si="479"/>
        <v/>
      </c>
      <c r="HQ131" s="450" t="str">
        <f t="shared" si="479"/>
        <v/>
      </c>
      <c r="HR131" s="450" t="str">
        <f t="shared" si="479"/>
        <v/>
      </c>
      <c r="HS131" s="450" t="str">
        <f t="shared" si="479"/>
        <v/>
      </c>
      <c r="HT131" s="450" t="str">
        <f t="shared" si="479"/>
        <v/>
      </c>
      <c r="HU131" s="450" t="str">
        <f t="shared" si="479"/>
        <v/>
      </c>
      <c r="HV131" s="450" t="str">
        <f t="shared" si="479"/>
        <v/>
      </c>
      <c r="HW131" s="450" t="str">
        <f t="shared" si="479"/>
        <v/>
      </c>
      <c r="HX131" s="450" t="str">
        <f t="shared" si="479"/>
        <v/>
      </c>
      <c r="HY131" s="450" t="str">
        <f t="shared" si="479"/>
        <v/>
      </c>
      <c r="HZ131" s="450" t="str">
        <f t="shared" si="479"/>
        <v/>
      </c>
      <c r="IA131" s="450" t="str">
        <f t="shared" si="479"/>
        <v/>
      </c>
      <c r="IB131" s="450" t="str">
        <f t="shared" si="478"/>
        <v/>
      </c>
      <c r="IC131" s="450" t="str">
        <f t="shared" si="478"/>
        <v/>
      </c>
      <c r="ID131" s="450" t="str">
        <f t="shared" si="478"/>
        <v/>
      </c>
      <c r="IE131" s="450" t="str">
        <f t="shared" si="478"/>
        <v/>
      </c>
      <c r="IF131" s="450" t="str">
        <f t="shared" si="478"/>
        <v/>
      </c>
      <c r="IG131" s="450" t="str">
        <f t="shared" si="478"/>
        <v/>
      </c>
      <c r="IH131" s="658" t="str">
        <f t="shared" si="478"/>
        <v/>
      </c>
      <c r="II131" s="242"/>
    </row>
    <row r="132" spans="8:243">
      <c r="H132" s="49" t="e">
        <f t="shared" ca="1" si="317"/>
        <v>#N/A</v>
      </c>
      <c r="I132" s="369">
        <f t="shared" si="318"/>
        <v>40422</v>
      </c>
      <c r="J132" s="367">
        <v>22.21</v>
      </c>
      <c r="K132" s="101" t="s">
        <v>267</v>
      </c>
      <c r="L132" s="382">
        <f t="shared" si="319"/>
        <v>22.209999999999969</v>
      </c>
      <c r="M132" s="163">
        <v>0.1633</v>
      </c>
      <c r="N132" s="372">
        <v>0</v>
      </c>
      <c r="O132" s="163">
        <f t="shared" si="272"/>
        <v>0.1633</v>
      </c>
      <c r="P132" s="367">
        <v>20.983294883648</v>
      </c>
      <c r="Q132" s="101" t="s">
        <v>267</v>
      </c>
      <c r="R132" s="367">
        <f t="shared" ca="1" si="417"/>
        <v>20.983294883647993</v>
      </c>
      <c r="S132" s="814">
        <f t="shared" si="474"/>
        <v>0.35638613787189044</v>
      </c>
      <c r="T132" s="813">
        <f t="shared" si="418"/>
        <v>0.99999941440610041</v>
      </c>
      <c r="U132" s="532">
        <f t="shared" si="419"/>
        <v>0.99999999999999978</v>
      </c>
      <c r="V132" s="379">
        <v>0</v>
      </c>
      <c r="W132" s="424">
        <f t="shared" si="452"/>
        <v>22.232727272727217</v>
      </c>
      <c r="X132" s="405">
        <f t="shared" si="453"/>
        <v>22.232727272727242</v>
      </c>
      <c r="Y132" s="313">
        <f t="shared" si="454"/>
        <v>20.914327272727217</v>
      </c>
      <c r="Z132" s="313">
        <f t="shared" ca="1" si="455"/>
        <v>20.914327272727242</v>
      </c>
      <c r="AA132" s="419">
        <f t="shared" si="277"/>
        <v>1.3184</v>
      </c>
      <c r="AB132" s="423">
        <f t="shared" ca="1" si="278"/>
        <v>1.3184</v>
      </c>
      <c r="AC132" s="221">
        <v>40410</v>
      </c>
      <c r="AD132" s="221">
        <v>40406</v>
      </c>
      <c r="AE132" s="221">
        <v>40405</v>
      </c>
      <c r="AF132" s="221">
        <v>40401</v>
      </c>
      <c r="AG132" s="241" t="s">
        <v>497</v>
      </c>
      <c r="AH132" s="239" t="s">
        <v>497</v>
      </c>
      <c r="AI132" s="141">
        <v>22</v>
      </c>
      <c r="AJ132" s="41">
        <v>14</v>
      </c>
      <c r="AK132" s="41">
        <v>8</v>
      </c>
      <c r="AL132" s="285">
        <v>22</v>
      </c>
      <c r="AM132" s="41">
        <v>10</v>
      </c>
      <c r="AN132" s="142">
        <v>12</v>
      </c>
      <c r="AO132" s="364">
        <v>5.8736760797025896E-2</v>
      </c>
      <c r="AP132" s="145">
        <f t="shared" ca="1" si="320"/>
        <v>0.57778365569612589</v>
      </c>
      <c r="AQ132" s="364">
        <v>4.9685034208097396E-2</v>
      </c>
      <c r="AR132" s="145">
        <f t="shared" ca="1" si="420"/>
        <v>0.63191452266624282</v>
      </c>
      <c r="AS132" s="264">
        <f t="shared" si="456"/>
        <v>0.16316363636363637</v>
      </c>
      <c r="AT132" s="149">
        <f t="shared" si="321"/>
        <v>0.1633</v>
      </c>
      <c r="AU132" s="149">
        <f t="shared" si="280"/>
        <v>0.16314545454545454</v>
      </c>
      <c r="AV132" s="263">
        <f t="shared" ca="1" si="430"/>
        <v>0.16046162430702335</v>
      </c>
      <c r="AW132" s="150" t="str">
        <f t="shared" ca="1" si="457"/>
        <v/>
      </c>
      <c r="AX132" s="149">
        <f t="shared" ca="1" si="421"/>
        <v>1.3402291729979116E-2</v>
      </c>
      <c r="AY132" s="149">
        <f t="shared" ca="1" si="422"/>
        <v>5.588197581368185E-3</v>
      </c>
      <c r="AZ132" s="149">
        <f t="shared" ca="1" si="423"/>
        <v>4.1052836369152084E-3</v>
      </c>
      <c r="BA132" s="149">
        <f t="shared" ca="1" si="424"/>
        <v>1.0000000000000423E-4</v>
      </c>
      <c r="BB132" s="149">
        <f t="shared" ca="1" si="425"/>
        <v>1.0000000000000423E-4</v>
      </c>
      <c r="BC132" s="149">
        <f t="shared" ca="1" si="426"/>
        <v>1.0000000000000423E-4</v>
      </c>
      <c r="BD132" s="143">
        <f t="shared" ca="1" si="458"/>
        <v>0</v>
      </c>
      <c r="BE132" s="144">
        <f t="shared" ca="1" si="459"/>
        <v>0</v>
      </c>
      <c r="BF132" s="40">
        <f t="shared" si="460"/>
        <v>2010</v>
      </c>
      <c r="BG132" s="139">
        <f t="shared" si="461"/>
        <v>9</v>
      </c>
      <c r="BH132" s="140">
        <f t="shared" ca="1" si="462"/>
        <v>3416</v>
      </c>
      <c r="BI132" s="304">
        <f t="shared" ca="1" si="440"/>
        <v>9.3963039014373724</v>
      </c>
      <c r="BJ132" s="42">
        <f t="shared" ca="1" si="288"/>
        <v>9.4468296932362641</v>
      </c>
      <c r="BK132" s="42">
        <f t="shared" ca="1" si="289"/>
        <v>9.449567544023397</v>
      </c>
      <c r="BL132" s="42">
        <f t="shared" ca="1" si="441"/>
        <v>9.4757015742642032</v>
      </c>
      <c r="BM132" s="285">
        <f t="shared" si="442"/>
        <v>22</v>
      </c>
      <c r="BN132" s="41">
        <f t="shared" si="443"/>
        <v>14</v>
      </c>
      <c r="BO132" s="41">
        <f t="shared" si="444"/>
        <v>8</v>
      </c>
      <c r="BP132" s="297" t="str">
        <f t="shared" ca="1" si="293"/>
        <v/>
      </c>
      <c r="BQ132" s="297" t="str">
        <f t="shared" ca="1" si="294"/>
        <v/>
      </c>
      <c r="BR132" s="299" t="str">
        <f t="shared" ca="1" si="295"/>
        <v/>
      </c>
      <c r="BS132" s="153" t="str">
        <f t="shared" ca="1" si="296"/>
        <v/>
      </c>
      <c r="BT132" s="153" t="str">
        <f t="shared" ca="1" si="297"/>
        <v/>
      </c>
      <c r="BU132" s="300" t="str">
        <f t="shared" ca="1" si="298"/>
        <v/>
      </c>
      <c r="BV132" s="301" t="str">
        <f t="shared" ca="1" si="299"/>
        <v/>
      </c>
      <c r="BW132" s="300" t="str">
        <f t="shared" ca="1" si="300"/>
        <v/>
      </c>
      <c r="BX132" s="301" t="str">
        <f t="shared" ca="1" si="301"/>
        <v/>
      </c>
      <c r="BY132" s="146" t="str">
        <f t="shared" ca="1" si="302"/>
        <v/>
      </c>
      <c r="BZ132" s="146" t="str">
        <f t="shared" ca="1" si="303"/>
        <v/>
      </c>
      <c r="CA132" s="146" t="str">
        <f t="shared" ca="1" si="304"/>
        <v/>
      </c>
      <c r="CB132" s="146" t="str">
        <f t="shared" ca="1" si="305"/>
        <v/>
      </c>
      <c r="CC132" s="302">
        <v>1</v>
      </c>
      <c r="CD132" s="154">
        <f ca="1">IF(BD132,_xll.xCrudeAPO(BS132,BT132,BY132,BZ132,S133,S134,BI132,BL132,BN132,BO132,0,Strike1,AO132,CC132,0,BL132,IF(OptControl=4,0,1),0,1),0)</f>
        <v>0</v>
      </c>
      <c r="CE132" s="155">
        <f ca="1">IF(BD132,_xll.xCrudeAPO(BS132,BT132,BY132,BZ132,S133,S134,BI132,BL132,BN132,BO132,0,Strike1,AO132,CC132,0,BL132,IF(OptControl=4,0,1),1,1)+_xll.xCrudeAPO(BS132,BT132,BY132,BZ132,S133,S134,BI132,BL132,BN132,BO132,0,Strike1,AO132,CC132,0,BL132,IF(OptControl=4,0,1),1,2)+IF(OR(VolSkewFlag=2,ABS(BQ132)&lt;0.0001),0,IF(BQ132&gt;0,-1,1)*CF132*Strike1/BP132^2*BW132/10%),0)</f>
        <v>0</v>
      </c>
      <c r="CF132" s="155">
        <f ca="1">IF(BD132,(_xll.xCrudeAPO(BS132,BT132,BY132,BZ132,S133,S134,BI132,BL132,BN132,BO132,0,Strike1,AO132,CC132,0,BL132,IF(OptControl=4,0,1),3,1)+_xll.xCrudeAPO(BS132,BT132,BY132,BZ132,S133,S134,BI132,BL132,BN132,BO132,0,Strike1,AO132,CC132,0,BL132,IF(OptControl=4,0,1),3,2))/100,0)</f>
        <v>0</v>
      </c>
      <c r="CG132" s="155">
        <f ca="1">IF(BD132,_xll.xCrudeAPO(BS132,BT132,BY132,BZ132,S133,S134,BI132-DaysForThetaCalculation/365.25,BL132-DaysForThetaCalculation/365.25,BN132,BO132,0,Strike1,AO132,CC132,0,BL132,IF(OptControl=4,0,1),0,1)-_xll.xCrudeAPO(BS132,BT132,BY132,BZ132,S133,S134,BI132,BL132,BN132,BO132,0,Strike1,AO132,CC132,0,BL132,IF(OptControl=4,0,1),0,1),0)</f>
        <v>0</v>
      </c>
      <c r="CH132" s="303">
        <f ca="1">IF(BD132,_xll.xCrudeAPO(BS132,BT132,CA132,CB132,S133,S134,BI132,BL132,BN132,BO132,0,Strike2,AO132,CC132,0,BL132,IF(OptControl=3,1,0),0,1),0)</f>
        <v>0</v>
      </c>
      <c r="CI132" s="155">
        <f ca="1">IF(BD132,_xll.xCrudeAPO(BS132,BT132,CA132,CB132,S133,S134,BI132,BL132,BN132,BO132,0,Strike2,AO132,CC132,0,BL132,IF(OptControl=3,1,0),1,1)+_xll.xCrudeAPO(BS132,BT132,CA132,CB132,S133,S134,BI132,BL132,BN132,BO132,0,Strike2,AO132,CC132,0,BL132,IF(OptControl=3,1,0),1,2)+IF(OR(VolSkewFlag=2,ABS(BR132)&lt;0.0001),0,IF(BR132&gt;0,-1,1)*CJ132*Strike2/BP132^2*BX132/10%),0)</f>
        <v>0</v>
      </c>
      <c r="CJ132" s="155">
        <f ca="1">IF(BD132,(_xll.xCrudeAPO(BS132,BT132,CA132,CB132,S133,S134,BI132,BL132,BN132,BO132,0,Strike2,AO132,CC132,0,BL132,IF(OptControl=3,1,0),3,1)+_xll.xCrudeAPO(BS132,BT132,CA132,CB132,S133,S134,BI132,BL132,BN132,BO132,0,Strike2,AO132,CC132,0,BL132,IF(OptControl=3,1,0),3,2))/100,0)</f>
        <v>0</v>
      </c>
      <c r="CK132" s="156">
        <f ca="1">IF(BD132,_xll.xCrudeAPO(BS132,BT132,CA132,CB132,S133,S134,BI132-DaysForThetaCalculation/365.25,BL132-DaysForThetaCalculation/365.25,BN132,BO132,0,Strike2,AO132,CC132,0,BL132,IF(OptControl=3,1,0),0,1)-_xll.xCrudeAPO(BS132,BT132,CA132,CB132,S133,S134,BI132,BL132,BN132,BO132,0,Strike2,AO132,CC132,0,BL132,IF(OptControl=3,1,0),0,1),0)</f>
        <v>0</v>
      </c>
      <c r="CL132" s="51"/>
      <c r="CM132" s="779" t="str">
        <f t="shared" ca="1" si="323"/>
        <v/>
      </c>
      <c r="CN132" s="783" t="str">
        <f t="shared" ca="1" si="324"/>
        <v/>
      </c>
      <c r="CO132" s="780" t="str">
        <f t="shared" ca="1" si="325"/>
        <v/>
      </c>
      <c r="CP132" s="780" t="str">
        <f t="shared" ca="1" si="326"/>
        <v/>
      </c>
      <c r="CQ132" s="780" t="str">
        <f t="shared" ca="1" si="327"/>
        <v/>
      </c>
      <c r="CR132" s="780" t="str">
        <f t="shared" ca="1" si="328"/>
        <v/>
      </c>
      <c r="CS132" s="781" t="str">
        <f t="shared" ca="1" si="329"/>
        <v/>
      </c>
      <c r="CT132" s="782" t="str">
        <f t="shared" ca="1" si="330"/>
        <v/>
      </c>
      <c r="CU132" s="782" t="str">
        <f t="shared" ca="1" si="331"/>
        <v/>
      </c>
      <c r="CV132" s="155">
        <f ca="1">IF(BD132,_xll.EURO(CN132,Strike1,AO132,AO132,CT132,CM132,IF(OptControl=4,0,1),0),0)</f>
        <v>0</v>
      </c>
      <c r="CW132" s="155">
        <f ca="1">IF(BD132,_xll.EURO(CN132,Strike1,AO132,AO132,CT132,CM132,IF(OptControl=4,0,1),1)+IF(OR(VolSkewFlag=2,ABS(CO132)&lt;0.0001),0,IF(CO132&gt;0,-1,1)*CX132*100*Strike1/CN132^2*CQ132/10%),0)</f>
        <v>0</v>
      </c>
      <c r="CX132" s="155">
        <f ca="1">IF(BD132,_xll.EURO(CN132,Strike1,AO132,AO132,CT132,CM132,IF(OptControl=4,0,1),3)/100,0)</f>
        <v>0</v>
      </c>
      <c r="CY132" s="155">
        <f ca="1">IF(BD132,_xll.EURO(CN132,Strike1,AO132,AO132,CT132,CM132,IF(OptControl=4,0,1),0)-_xll.EURO(CN132,Strike1,AO132,AO132,CT132,CM132-1,IF(OptControl=4,0,1),0),0)</f>
        <v>0</v>
      </c>
      <c r="CZ132" s="155">
        <f ca="1">IF(BD132,_xll.EURO(CN132,Strike2,AO132,AO132,CU132,CM132,IF(OptControl=3,1,0),0),0)</f>
        <v>0</v>
      </c>
      <c r="DA132" s="155">
        <f ca="1">IF(BD132,_xll.EURO(CN132,Strike2,AO132,AO132,CU132,CM132,IF(OptControl=3,1,0),1)+IF(OR(VolSkewFlag=2,ABS(CP132)&lt;0.0001),0,IF(CP132&gt;0,-1,1)*DB132*100*Strike2/CN132^2*CR132/10%),0)</f>
        <v>0</v>
      </c>
      <c r="DB132" s="155">
        <f ca="1">IF(BD132,_xll.EURO(CN132,Strike2,AO132,AO132,CU132,CM132,IF(OptControl=3,1,0),3)/100,0)</f>
        <v>0</v>
      </c>
      <c r="DC132" s="156">
        <f ca="1">IF(BD132,_xll.EURO(CN132,Strike2,AO132,AO132,CU132,CM132,IF(OptControl=3,1,0),0)-_xll.EURO(CN132,Strike2,AO132,AO132,CU132,CM132-1,IF(OptControl=3,1,0),0),0)</f>
        <v>0</v>
      </c>
      <c r="DE132" s="651">
        <f t="shared" ca="1" si="332"/>
        <v>40330</v>
      </c>
      <c r="DF132" s="465">
        <v>1E-4</v>
      </c>
      <c r="DG132" s="649">
        <v>1E-4</v>
      </c>
      <c r="DH132" s="650">
        <f t="shared" ca="1" si="463"/>
        <v>40330</v>
      </c>
      <c r="DI132" s="465">
        <v>1E-4</v>
      </c>
      <c r="DJ132" s="649">
        <v>1E-4</v>
      </c>
      <c r="DK132" s="651">
        <f t="shared" ca="1" si="464"/>
        <v>40330</v>
      </c>
      <c r="DL132" s="652">
        <f t="shared" si="465"/>
        <v>5.0100000000000006E-2</v>
      </c>
      <c r="DM132" s="651">
        <f t="shared" ca="1" si="333"/>
        <v>40330</v>
      </c>
      <c r="DN132" s="563">
        <f t="shared" si="334"/>
        <v>-0.12990000000000002</v>
      </c>
      <c r="DO132" s="803">
        <v>-0.13</v>
      </c>
      <c r="DP132" s="650">
        <f t="shared" ca="1" si="466"/>
        <v>40330</v>
      </c>
      <c r="DQ132" s="653">
        <v>1E-4</v>
      </c>
      <c r="DR132" s="590">
        <v>1E-4</v>
      </c>
      <c r="DS132" s="650">
        <f t="shared" ca="1" si="467"/>
        <v>40330</v>
      </c>
      <c r="DT132" s="653">
        <v>1E-4</v>
      </c>
      <c r="DU132" s="590">
        <v>1E-4</v>
      </c>
      <c r="DV132" s="651">
        <f t="shared" ca="1" si="468"/>
        <v>40330</v>
      </c>
      <c r="DW132" s="590">
        <v>1E-4</v>
      </c>
      <c r="DX132" s="651">
        <f t="shared" ca="1" si="335"/>
        <v>40330</v>
      </c>
      <c r="DY132" s="590">
        <f t="shared" si="336"/>
        <v>1E-4</v>
      </c>
      <c r="DZ132" s="1"/>
      <c r="EA132" s="857"/>
      <c r="EB132" s="857"/>
      <c r="EC132" s="857"/>
      <c r="ED132" s="868" t="e">
        <f t="shared" ca="1" si="436"/>
        <v>#NAME?</v>
      </c>
      <c r="EE132" s="863" t="e">
        <f t="shared" ca="1" si="312"/>
        <v>#NAME?</v>
      </c>
      <c r="EF132" s="590" t="e">
        <f t="shared" ca="1" si="313"/>
        <v>#NAME?</v>
      </c>
      <c r="EG132" s="862" t="str">
        <f t="shared" ca="1" si="469"/>
        <v/>
      </c>
      <c r="EH132" s="114" t="str">
        <f t="shared" ca="1" si="315"/>
        <v/>
      </c>
      <c r="EI132" s="109" t="str">
        <f t="shared" ca="1" si="316"/>
        <v/>
      </c>
      <c r="EJ132" s="115">
        <f ca="1">IF(BD132,_xll.xASN(BP132,Strike1,AO132,EH132,0,BM132,0,BI132,BL132,IF(OptControl=4,0,1),0),0)</f>
        <v>0</v>
      </c>
      <c r="EK132" s="108">
        <f ca="1">IF(BD132,_xll.xASN(BP132,Strike2,AO132,EI132,0,BM132,0,BI132,BL132,IF(OptControl=3,1,0),0),0)</f>
        <v>0</v>
      </c>
      <c r="EP132" s="53"/>
      <c r="EQ132" s="1"/>
      <c r="ER132" s="103"/>
      <c r="ES132" s="103"/>
      <c r="ET132" s="1"/>
      <c r="EU132" s="667" t="s">
        <v>344</v>
      </c>
      <c r="EW132" s="445"/>
      <c r="EX132" s="36"/>
      <c r="EY132" s="104"/>
      <c r="EZ132" s="465"/>
      <c r="FA132" s="446"/>
      <c r="FB132" s="446"/>
      <c r="FC132" s="242"/>
      <c r="FD132" s="242"/>
      <c r="FE132" s="242"/>
      <c r="FF132" s="242"/>
      <c r="FG132" s="242"/>
      <c r="FH132" s="242"/>
      <c r="FI132" s="242"/>
      <c r="FJ132" s="242"/>
      <c r="FK132" s="242"/>
      <c r="FL132" s="242"/>
      <c r="FM132" s="242"/>
      <c r="FN132" s="657">
        <v>38</v>
      </c>
      <c r="FO132" s="450">
        <f t="shared" ca="1" si="477"/>
        <v>0.17538984486695164</v>
      </c>
      <c r="FP132" s="450">
        <f t="shared" ca="1" si="479"/>
        <v>0.17564827502195798</v>
      </c>
      <c r="FQ132" s="450">
        <f t="shared" ca="1" si="479"/>
        <v>0.17576686850807247</v>
      </c>
      <c r="FR132" s="450">
        <f t="shared" ca="1" si="479"/>
        <v>0.17592586233495289</v>
      </c>
      <c r="FS132" s="450">
        <f t="shared" ca="1" si="479"/>
        <v>0.17612963725139724</v>
      </c>
      <c r="FT132" s="450">
        <f t="shared" ca="1" si="479"/>
        <v>0.17638310753263717</v>
      </c>
      <c r="FU132" s="450">
        <f t="shared" ca="1" si="479"/>
        <v>0.17669179149896222</v>
      </c>
      <c r="FV132" s="450">
        <f t="shared" ca="1" si="479"/>
        <v>0.17706189270794762</v>
      </c>
      <c r="FW132" s="450">
        <f t="shared" ca="1" si="479"/>
        <v>0.17750039373230433</v>
      </c>
      <c r="FX132" s="450">
        <f t="shared" ca="1" si="479"/>
        <v>0.17801516484029103</v>
      </c>
      <c r="FY132" s="450">
        <f t="shared" ca="1" si="479"/>
        <v>0.17861509039935422</v>
      </c>
      <c r="FZ132" s="450">
        <f t="shared" ca="1" si="479"/>
        <v>0.17931021645328515</v>
      </c>
      <c r="GA132" s="450">
        <f t="shared" ca="1" si="479"/>
        <v>0.18011192371403836</v>
      </c>
      <c r="GB132" s="450">
        <f t="shared" ca="1" si="479"/>
        <v>0.18103313120781273</v>
      </c>
      <c r="GC132" s="450">
        <f t="shared" ca="1" si="479"/>
        <v>0.18208853708218661</v>
      </c>
      <c r="GD132" s="450">
        <f t="shared" ca="1" si="479"/>
        <v>0.18329490469825438</v>
      </c>
      <c r="GE132" s="450">
        <f t="shared" ca="1" si="479"/>
        <v>0.18467140420732539</v>
      </c>
      <c r="GF132" s="450">
        <f t="shared" ca="1" si="479"/>
        <v>0.18624002249183844</v>
      </c>
      <c r="GG132" s="450">
        <f t="shared" ca="1" si="479"/>
        <v>0.1880260578326029</v>
      </c>
      <c r="GH132" s="450">
        <f t="shared" ca="1" si="479"/>
        <v>0.19005872021951001</v>
      </c>
      <c r="GI132" s="450">
        <f t="shared" ca="1" si="479"/>
        <v>0.19237186422239269</v>
      </c>
      <c r="GJ132" s="450">
        <f t="shared" ca="1" si="479"/>
        <v>0.19500488929893944</v>
      </c>
      <c r="GK132" s="450">
        <f t="shared" ca="1" si="479"/>
        <v>0.19800385306021839</v>
      </c>
      <c r="GL132" s="450">
        <f t="shared" ca="1" si="479"/>
        <v>0.20142285736272092</v>
      </c>
      <c r="GM132" s="450">
        <f t="shared" ca="1" si="479"/>
        <v>0.2053257866061422</v>
      </c>
      <c r="GN132" s="450">
        <f t="shared" ca="1" si="479"/>
        <v>0.20978850438912217</v>
      </c>
      <c r="GO132" s="450">
        <f t="shared" ca="1" si="479"/>
        <v>0.21490165177224657</v>
      </c>
      <c r="GP132" s="450">
        <f t="shared" ca="1" si="479"/>
        <v>0.22077424233143061</v>
      </c>
      <c r="GQ132" s="450">
        <f t="shared" ca="1" si="479"/>
        <v>0.22753832268855664</v>
      </c>
      <c r="GR132" s="450">
        <f t="shared" ca="1" si="479"/>
        <v>0.23535507245662918</v>
      </c>
      <c r="GS132" s="450">
        <f t="shared" ca="1" si="479"/>
        <v>0.24442287012721525</v>
      </c>
      <c r="GT132" s="450">
        <f t="shared" ca="1" si="479"/>
        <v>0.25498807560371078</v>
      </c>
      <c r="GU132" s="450">
        <f t="shared" ca="1" si="479"/>
        <v>0.26735961413477766</v>
      </c>
      <c r="GV132" s="450">
        <f t="shared" ca="1" si="479"/>
        <v>0.28192895181706501</v>
      </c>
      <c r="GW132" s="450">
        <f t="shared" ca="1" si="479"/>
        <v>0.29919783014629031</v>
      </c>
      <c r="GX132" s="450">
        <f t="shared" ca="1" si="479"/>
        <v>0.3198173438686287</v>
      </c>
      <c r="GY132" s="450">
        <f t="shared" ca="1" si="479"/>
        <v>0.34464388781003752</v>
      </c>
      <c r="GZ132" s="450">
        <f t="shared" ca="1" si="479"/>
        <v>0.37482066090247879</v>
      </c>
      <c r="HA132" s="450" t="str">
        <f t="shared" si="479"/>
        <v/>
      </c>
      <c r="HB132" s="450" t="str">
        <f t="shared" si="479"/>
        <v/>
      </c>
      <c r="HC132" s="450" t="str">
        <f t="shared" si="479"/>
        <v/>
      </c>
      <c r="HD132" s="450" t="str">
        <f t="shared" si="479"/>
        <v/>
      </c>
      <c r="HE132" s="450" t="str">
        <f t="shared" si="479"/>
        <v/>
      </c>
      <c r="HF132" s="450" t="str">
        <f t="shared" si="479"/>
        <v/>
      </c>
      <c r="HG132" s="450" t="str">
        <f t="shared" si="479"/>
        <v/>
      </c>
      <c r="HH132" s="450" t="str">
        <f t="shared" si="479"/>
        <v/>
      </c>
      <c r="HI132" s="450" t="str">
        <f t="shared" si="479"/>
        <v/>
      </c>
      <c r="HJ132" s="450" t="str">
        <f t="shared" si="479"/>
        <v/>
      </c>
      <c r="HK132" s="450" t="str">
        <f t="shared" si="479"/>
        <v/>
      </c>
      <c r="HL132" s="450" t="str">
        <f t="shared" si="479"/>
        <v/>
      </c>
      <c r="HM132" s="450" t="str">
        <f t="shared" si="479"/>
        <v/>
      </c>
      <c r="HN132" s="450" t="str">
        <f t="shared" si="479"/>
        <v/>
      </c>
      <c r="HO132" s="450" t="str">
        <f t="shared" si="479"/>
        <v/>
      </c>
      <c r="HP132" s="450" t="str">
        <f t="shared" si="479"/>
        <v/>
      </c>
      <c r="HQ132" s="450" t="str">
        <f t="shared" si="479"/>
        <v/>
      </c>
      <c r="HR132" s="450" t="str">
        <f t="shared" si="479"/>
        <v/>
      </c>
      <c r="HS132" s="450" t="str">
        <f t="shared" si="479"/>
        <v/>
      </c>
      <c r="HT132" s="450" t="str">
        <f t="shared" si="479"/>
        <v/>
      </c>
      <c r="HU132" s="450" t="str">
        <f t="shared" si="479"/>
        <v/>
      </c>
      <c r="HV132" s="450" t="str">
        <f t="shared" si="479"/>
        <v/>
      </c>
      <c r="HW132" s="450" t="str">
        <f t="shared" si="479"/>
        <v/>
      </c>
      <c r="HX132" s="450" t="str">
        <f t="shared" si="479"/>
        <v/>
      </c>
      <c r="HY132" s="450" t="str">
        <f t="shared" si="479"/>
        <v/>
      </c>
      <c r="HZ132" s="450" t="str">
        <f t="shared" si="479"/>
        <v/>
      </c>
      <c r="IA132" s="450" t="str">
        <f t="shared" ref="IA132:IH135" si="480">IF($FN57&lt;IA$94,"",SQRT(IA57/IA$15))</f>
        <v/>
      </c>
      <c r="IB132" s="450" t="str">
        <f t="shared" si="480"/>
        <v/>
      </c>
      <c r="IC132" s="450" t="str">
        <f t="shared" si="480"/>
        <v/>
      </c>
      <c r="ID132" s="450" t="str">
        <f t="shared" si="480"/>
        <v/>
      </c>
      <c r="IE132" s="450" t="str">
        <f t="shared" si="480"/>
        <v/>
      </c>
      <c r="IF132" s="450" t="str">
        <f t="shared" si="480"/>
        <v/>
      </c>
      <c r="IG132" s="450" t="str">
        <f t="shared" si="480"/>
        <v/>
      </c>
      <c r="IH132" s="658" t="str">
        <f t="shared" si="480"/>
        <v/>
      </c>
      <c r="II132" s="242"/>
    </row>
    <row r="133" spans="8:243">
      <c r="H133" s="49" t="e">
        <f t="shared" ca="1" si="317"/>
        <v>#N/A</v>
      </c>
      <c r="I133" s="369">
        <f t="shared" si="318"/>
        <v>40452</v>
      </c>
      <c r="J133" s="367">
        <v>22.226666666666599</v>
      </c>
      <c r="K133" s="101" t="s">
        <v>267</v>
      </c>
      <c r="L133" s="382">
        <f t="shared" si="319"/>
        <v>22.226666666666635</v>
      </c>
      <c r="M133" s="163">
        <v>0.16320000000000001</v>
      </c>
      <c r="N133" s="372">
        <v>0</v>
      </c>
      <c r="O133" s="163">
        <f t="shared" si="272"/>
        <v>0.16320000000000001</v>
      </c>
      <c r="P133" s="367">
        <v>20.824909819182199</v>
      </c>
      <c r="Q133" s="101" t="s">
        <v>267</v>
      </c>
      <c r="R133" s="367">
        <f t="shared" ca="1" si="417"/>
        <v>20.824909819182171</v>
      </c>
      <c r="S133" s="814">
        <f t="shared" si="474"/>
        <v>0.35622227649317151</v>
      </c>
      <c r="T133" s="813">
        <f t="shared" si="418"/>
        <v>0.99999947296550584</v>
      </c>
      <c r="U133" s="532">
        <f t="shared" si="419"/>
        <v>0.99999999999999978</v>
      </c>
      <c r="V133" s="379">
        <v>0</v>
      </c>
      <c r="W133" s="424">
        <f t="shared" si="452"/>
        <v>22.248888888888867</v>
      </c>
      <c r="X133" s="405">
        <f t="shared" si="453"/>
        <v>22.248888888888853</v>
      </c>
      <c r="Y133" s="313">
        <f t="shared" si="454"/>
        <v>21.007288888888866</v>
      </c>
      <c r="Z133" s="313">
        <f t="shared" ca="1" si="455"/>
        <v>21.007288888888851</v>
      </c>
      <c r="AA133" s="419">
        <f t="shared" si="277"/>
        <v>1.2416</v>
      </c>
      <c r="AB133" s="423">
        <f t="shared" ca="1" si="278"/>
        <v>1.2416</v>
      </c>
      <c r="AC133" s="221">
        <v>40441</v>
      </c>
      <c r="AD133" s="221">
        <v>40437</v>
      </c>
      <c r="AE133" s="221">
        <v>40436</v>
      </c>
      <c r="AF133" s="221">
        <v>40432</v>
      </c>
      <c r="AG133" s="241" t="s">
        <v>497</v>
      </c>
      <c r="AH133" s="239" t="s">
        <v>497</v>
      </c>
      <c r="AI133" s="141">
        <v>21</v>
      </c>
      <c r="AJ133" s="41">
        <v>14</v>
      </c>
      <c r="AK133" s="41">
        <v>7</v>
      </c>
      <c r="AL133" s="285">
        <v>21</v>
      </c>
      <c r="AM133" s="41">
        <v>10</v>
      </c>
      <c r="AN133" s="142">
        <v>11</v>
      </c>
      <c r="AO133" s="364">
        <v>5.8811672495226106E-2</v>
      </c>
      <c r="AP133" s="145">
        <f t="shared" ca="1" si="320"/>
        <v>0.57455185924688157</v>
      </c>
      <c r="AQ133" s="364">
        <v>4.9705170370086801E-2</v>
      </c>
      <c r="AR133" s="145">
        <f t="shared" ca="1" si="420"/>
        <v>0.62917114006717068</v>
      </c>
      <c r="AS133" s="264">
        <f t="shared" si="456"/>
        <v>0.16306666666666667</v>
      </c>
      <c r="AT133" s="149">
        <f t="shared" si="321"/>
        <v>0.16320000000000001</v>
      </c>
      <c r="AU133" s="149">
        <f t="shared" si="280"/>
        <v>0.16304761904761905</v>
      </c>
      <c r="AV133" s="263">
        <f t="shared" ca="1" si="430"/>
        <v>0.16038823439494398</v>
      </c>
      <c r="AW133" s="150" t="str">
        <f t="shared" ca="1" si="457"/>
        <v/>
      </c>
      <c r="AX133" s="149">
        <f t="shared" ca="1" si="421"/>
        <v>1.3214013471264078E-2</v>
      </c>
      <c r="AY133" s="149">
        <f t="shared" ca="1" si="422"/>
        <v>5.4920477886915703E-3</v>
      </c>
      <c r="AZ133" s="149">
        <f t="shared" ca="1" si="423"/>
        <v>4.0563572373095921E-3</v>
      </c>
      <c r="BA133" s="149">
        <f t="shared" ca="1" si="424"/>
        <v>1.0000000000000429E-4</v>
      </c>
      <c r="BB133" s="149">
        <f t="shared" ca="1" si="425"/>
        <v>1.0000000000000429E-4</v>
      </c>
      <c r="BC133" s="149">
        <f t="shared" ca="1" si="426"/>
        <v>1.0000000000000429E-4</v>
      </c>
      <c r="BD133" s="143">
        <f t="shared" ca="1" si="458"/>
        <v>0</v>
      </c>
      <c r="BE133" s="144">
        <f t="shared" ca="1" si="459"/>
        <v>0</v>
      </c>
      <c r="BF133" s="40">
        <f t="shared" si="460"/>
        <v>2010</v>
      </c>
      <c r="BG133" s="139">
        <f t="shared" si="461"/>
        <v>10</v>
      </c>
      <c r="BH133" s="140">
        <f t="shared" ca="1" si="462"/>
        <v>3447</v>
      </c>
      <c r="BI133" s="304">
        <f t="shared" ca="1" si="440"/>
        <v>9.4784394250513344</v>
      </c>
      <c r="BJ133" s="42">
        <f t="shared" ca="1" si="288"/>
        <v>9.5331964407939775</v>
      </c>
      <c r="BK133" s="42">
        <f t="shared" ca="1" si="289"/>
        <v>9.5359342915811105</v>
      </c>
      <c r="BL133" s="42">
        <f t="shared" ca="1" si="441"/>
        <v>9.5605749486652982</v>
      </c>
      <c r="BM133" s="285">
        <f t="shared" si="442"/>
        <v>21</v>
      </c>
      <c r="BN133" s="41">
        <f t="shared" si="443"/>
        <v>14</v>
      </c>
      <c r="BO133" s="41">
        <f t="shared" si="444"/>
        <v>7</v>
      </c>
      <c r="BP133" s="297" t="str">
        <f t="shared" ca="1" si="293"/>
        <v/>
      </c>
      <c r="BQ133" s="297" t="str">
        <f t="shared" ca="1" si="294"/>
        <v/>
      </c>
      <c r="BR133" s="299" t="str">
        <f t="shared" ca="1" si="295"/>
        <v/>
      </c>
      <c r="BS133" s="153" t="str">
        <f t="shared" ca="1" si="296"/>
        <v/>
      </c>
      <c r="BT133" s="153" t="str">
        <f t="shared" ca="1" si="297"/>
        <v/>
      </c>
      <c r="BU133" s="300" t="str">
        <f t="shared" ca="1" si="298"/>
        <v/>
      </c>
      <c r="BV133" s="301" t="str">
        <f t="shared" ca="1" si="299"/>
        <v/>
      </c>
      <c r="BW133" s="300" t="str">
        <f t="shared" ca="1" si="300"/>
        <v/>
      </c>
      <c r="BX133" s="301" t="str">
        <f t="shared" ca="1" si="301"/>
        <v/>
      </c>
      <c r="BY133" s="146" t="str">
        <f t="shared" ca="1" si="302"/>
        <v/>
      </c>
      <c r="BZ133" s="146" t="str">
        <f t="shared" ca="1" si="303"/>
        <v/>
      </c>
      <c r="CA133" s="146" t="str">
        <f t="shared" ca="1" si="304"/>
        <v/>
      </c>
      <c r="CB133" s="146" t="str">
        <f t="shared" ca="1" si="305"/>
        <v/>
      </c>
      <c r="CC133" s="302">
        <v>1</v>
      </c>
      <c r="CD133" s="154">
        <f ca="1">IF(BD133,_xll.xCrudeAPO(BS133,BT133,BY133,BZ133,S134,S135,BI133,BL133,BN133,BO133,0,Strike1,AO133,CC133,0,BL133,IF(OptControl=4,0,1),0,1),0)</f>
        <v>0</v>
      </c>
      <c r="CE133" s="155">
        <f ca="1">IF(BD133,_xll.xCrudeAPO(BS133,BT133,BY133,BZ133,S134,S135,BI133,BL133,BN133,BO133,0,Strike1,AO133,CC133,0,BL133,IF(OptControl=4,0,1),1,1)+_xll.xCrudeAPO(BS133,BT133,BY133,BZ133,S134,S135,BI133,BL133,BN133,BO133,0,Strike1,AO133,CC133,0,BL133,IF(OptControl=4,0,1),1,2)+IF(OR(VolSkewFlag=2,ABS(BQ133)&lt;0.0001),0,IF(BQ133&gt;0,-1,1)*CF133*Strike1/BP133^2*BW133/10%),0)</f>
        <v>0</v>
      </c>
      <c r="CF133" s="155">
        <f ca="1">IF(BD133,(_xll.xCrudeAPO(BS133,BT133,BY133,BZ133,S134,S135,BI133,BL133,BN133,BO133,0,Strike1,AO133,CC133,0,BL133,IF(OptControl=4,0,1),3,1)+_xll.xCrudeAPO(BS133,BT133,BY133,BZ133,S134,S135,BI133,BL133,BN133,BO133,0,Strike1,AO133,CC133,0,BL133,IF(OptControl=4,0,1),3,2))/100,0)</f>
        <v>0</v>
      </c>
      <c r="CG133" s="155">
        <f ca="1">IF(BD133,_xll.xCrudeAPO(BS133,BT133,BY133,BZ133,S134,S135,BI133-DaysForThetaCalculation/365.25,BL133-DaysForThetaCalculation/365.25,BN133,BO133,0,Strike1,AO133,CC133,0,BL133,IF(OptControl=4,0,1),0,1)-_xll.xCrudeAPO(BS133,BT133,BY133,BZ133,S134,S135,BI133,BL133,BN133,BO133,0,Strike1,AO133,CC133,0,BL133,IF(OptControl=4,0,1),0,1),0)</f>
        <v>0</v>
      </c>
      <c r="CH133" s="303">
        <f ca="1">IF(BD133,_xll.xCrudeAPO(BS133,BT133,CA133,CB133,S134,S135,BI133,BL133,BN133,BO133,0,Strike2,AO133,CC133,0,BL133,IF(OptControl=3,1,0),0,1),0)</f>
        <v>0</v>
      </c>
      <c r="CI133" s="155">
        <f ca="1">IF(BD133,_xll.xCrudeAPO(BS133,BT133,CA133,CB133,S134,S135,BI133,BL133,BN133,BO133,0,Strike2,AO133,CC133,0,BL133,IF(OptControl=3,1,0),1,1)+_xll.xCrudeAPO(BS133,BT133,CA133,CB133,S134,S135,BI133,BL133,BN133,BO133,0,Strike2,AO133,CC133,0,BL133,IF(OptControl=3,1,0),1,2)+IF(OR(VolSkewFlag=2,ABS(BR133)&lt;0.0001),0,IF(BR133&gt;0,-1,1)*CJ133*Strike2/BP133^2*BX133/10%),0)</f>
        <v>0</v>
      </c>
      <c r="CJ133" s="155">
        <f ca="1">IF(BD133,(_xll.xCrudeAPO(BS133,BT133,CA133,CB133,S134,S135,BI133,BL133,BN133,BO133,0,Strike2,AO133,CC133,0,BL133,IF(OptControl=3,1,0),3,1)+_xll.xCrudeAPO(BS133,BT133,CA133,CB133,S134,S135,BI133,BL133,BN133,BO133,0,Strike2,AO133,CC133,0,BL133,IF(OptControl=3,1,0),3,2))/100,0)</f>
        <v>0</v>
      </c>
      <c r="CK133" s="156">
        <f ca="1">IF(BD133,_xll.xCrudeAPO(BS133,BT133,CA133,CB133,S134,S135,BI133-DaysForThetaCalculation/365.25,BL133-DaysForThetaCalculation/365.25,BN133,BO133,0,Strike2,AO133,CC133,0,BL133,IF(OptControl=3,1,0),0,1)-_xll.xCrudeAPO(BS133,BT133,CA133,CB133,S134,S135,BI133,BL133,BN133,BO133,0,Strike2,AO133,CC133,0,BL133,IF(OptControl=3,1,0),0,1),0)</f>
        <v>0</v>
      </c>
      <c r="CL133" s="51"/>
      <c r="CM133" s="779" t="str">
        <f t="shared" ca="1" si="323"/>
        <v/>
      </c>
      <c r="CN133" s="783" t="str">
        <f t="shared" ca="1" si="324"/>
        <v/>
      </c>
      <c r="CO133" s="780" t="str">
        <f t="shared" ca="1" si="325"/>
        <v/>
      </c>
      <c r="CP133" s="780" t="str">
        <f t="shared" ca="1" si="326"/>
        <v/>
      </c>
      <c r="CQ133" s="780" t="str">
        <f t="shared" ca="1" si="327"/>
        <v/>
      </c>
      <c r="CR133" s="780" t="str">
        <f t="shared" ca="1" si="328"/>
        <v/>
      </c>
      <c r="CS133" s="781" t="str">
        <f t="shared" ca="1" si="329"/>
        <v/>
      </c>
      <c r="CT133" s="782" t="str">
        <f t="shared" ca="1" si="330"/>
        <v/>
      </c>
      <c r="CU133" s="782" t="str">
        <f t="shared" ca="1" si="331"/>
        <v/>
      </c>
      <c r="CV133" s="155">
        <f ca="1">IF(BD133,_xll.EURO(CN133,Strike1,AO133,AO133,CT133,CM133,IF(OptControl=4,0,1),0),0)</f>
        <v>0</v>
      </c>
      <c r="CW133" s="155">
        <f ca="1">IF(BD133,_xll.EURO(CN133,Strike1,AO133,AO133,CT133,CM133,IF(OptControl=4,0,1),1)+IF(OR(VolSkewFlag=2,ABS(CO133)&lt;0.0001),0,IF(CO133&gt;0,-1,1)*CX133*100*Strike1/CN133^2*CQ133/10%),0)</f>
        <v>0</v>
      </c>
      <c r="CX133" s="155">
        <f ca="1">IF(BD133,_xll.EURO(CN133,Strike1,AO133,AO133,CT133,CM133,IF(OptControl=4,0,1),3)/100,0)</f>
        <v>0</v>
      </c>
      <c r="CY133" s="155">
        <f ca="1">IF(BD133,_xll.EURO(CN133,Strike1,AO133,AO133,CT133,CM133,IF(OptControl=4,0,1),0)-_xll.EURO(CN133,Strike1,AO133,AO133,CT133,CM133-1,IF(OptControl=4,0,1),0),0)</f>
        <v>0</v>
      </c>
      <c r="CZ133" s="155">
        <f ca="1">IF(BD133,_xll.EURO(CN133,Strike2,AO133,AO133,CU133,CM133,IF(OptControl=3,1,0),0),0)</f>
        <v>0</v>
      </c>
      <c r="DA133" s="155">
        <f ca="1">IF(BD133,_xll.EURO(CN133,Strike2,AO133,AO133,CU133,CM133,IF(OptControl=3,1,0),1)+IF(OR(VolSkewFlag=2,ABS(CP133)&lt;0.0001),0,IF(CP133&gt;0,-1,1)*DB133*100*Strike2/CN133^2*CR133/10%),0)</f>
        <v>0</v>
      </c>
      <c r="DB133" s="155">
        <f ca="1">IF(BD133,_xll.EURO(CN133,Strike2,AO133,AO133,CU133,CM133,IF(OptControl=3,1,0),3)/100,0)</f>
        <v>0</v>
      </c>
      <c r="DC133" s="156">
        <f ca="1">IF(BD133,_xll.EURO(CN133,Strike2,AO133,AO133,CU133,CM133,IF(OptControl=3,1,0),0)-_xll.EURO(CN133,Strike2,AO133,AO133,CU133,CM133-1,IF(OptControl=3,1,0),0),0)</f>
        <v>0</v>
      </c>
      <c r="DE133" s="651">
        <f t="shared" ca="1" si="332"/>
        <v>40360</v>
      </c>
      <c r="DF133" s="465">
        <v>1E-4</v>
      </c>
      <c r="DG133" s="649">
        <v>1E-4</v>
      </c>
      <c r="DH133" s="650">
        <f t="shared" ca="1" si="463"/>
        <v>40360</v>
      </c>
      <c r="DI133" s="465">
        <v>1E-4</v>
      </c>
      <c r="DJ133" s="649">
        <v>1E-4</v>
      </c>
      <c r="DK133" s="651">
        <f t="shared" ca="1" si="464"/>
        <v>40360</v>
      </c>
      <c r="DL133" s="652">
        <f t="shared" si="465"/>
        <v>5.0100000000000006E-2</v>
      </c>
      <c r="DM133" s="651">
        <f t="shared" ca="1" si="333"/>
        <v>40360</v>
      </c>
      <c r="DN133" s="563">
        <f t="shared" si="334"/>
        <v>-0.12990000000000002</v>
      </c>
      <c r="DO133" s="803">
        <v>-0.13</v>
      </c>
      <c r="DP133" s="650">
        <f t="shared" ca="1" si="466"/>
        <v>40360</v>
      </c>
      <c r="DQ133" s="653">
        <v>1E-4</v>
      </c>
      <c r="DR133" s="590">
        <v>1E-4</v>
      </c>
      <c r="DS133" s="650">
        <f t="shared" ca="1" si="467"/>
        <v>40360</v>
      </c>
      <c r="DT133" s="653">
        <v>1E-4</v>
      </c>
      <c r="DU133" s="590">
        <v>1E-4</v>
      </c>
      <c r="DV133" s="651">
        <f t="shared" ca="1" si="468"/>
        <v>40360</v>
      </c>
      <c r="DW133" s="590">
        <v>1E-4</v>
      </c>
      <c r="DX133" s="651">
        <f t="shared" ca="1" si="335"/>
        <v>40360</v>
      </c>
      <c r="DY133" s="590">
        <f t="shared" si="336"/>
        <v>1E-4</v>
      </c>
      <c r="DZ133" s="1"/>
      <c r="EA133" s="857"/>
      <c r="EB133" s="857"/>
      <c r="EC133" s="857"/>
      <c r="ED133" s="868" t="e">
        <f t="shared" ca="1" si="436"/>
        <v>#NAME?</v>
      </c>
      <c r="EE133" s="863" t="e">
        <f t="shared" ca="1" si="312"/>
        <v>#NAME?</v>
      </c>
      <c r="EF133" s="590" t="e">
        <f t="shared" ca="1" si="313"/>
        <v>#NAME?</v>
      </c>
      <c r="EG133" s="862" t="str">
        <f t="shared" ca="1" si="469"/>
        <v/>
      </c>
      <c r="EH133" s="114" t="str">
        <f t="shared" ca="1" si="315"/>
        <v/>
      </c>
      <c r="EI133" s="109" t="str">
        <f t="shared" ca="1" si="316"/>
        <v/>
      </c>
      <c r="EJ133" s="115">
        <f ca="1">IF(BD133,_xll.xASN(BP133,Strike1,AO133,EH133,0,BM133,0,BI133,BL133,IF(OptControl=4,0,1),0),0)</f>
        <v>0</v>
      </c>
      <c r="EK133" s="108">
        <f ca="1">IF(BD133,_xll.xASN(BP133,Strike2,AO133,EI133,0,BM133,0,BI133,BL133,IF(OptControl=3,1,0),0),0)</f>
        <v>0</v>
      </c>
      <c r="EP133" s="53"/>
      <c r="EQ133" s="1"/>
      <c r="ER133" s="103"/>
      <c r="ES133" s="103"/>
      <c r="ET133" s="1"/>
      <c r="EU133" s="667" t="s">
        <v>345</v>
      </c>
      <c r="EW133" s="445"/>
      <c r="EX133" s="36"/>
      <c r="EY133" s="104"/>
      <c r="EZ133" s="465"/>
      <c r="FA133" s="446"/>
      <c r="FB133" s="446"/>
      <c r="FC133" s="242"/>
      <c r="FD133" s="242"/>
      <c r="FE133" s="242"/>
      <c r="FF133" s="242"/>
      <c r="FG133" s="242"/>
      <c r="FH133" s="242"/>
      <c r="FI133" s="242"/>
      <c r="FJ133" s="242"/>
      <c r="FK133" s="242"/>
      <c r="FL133" s="242"/>
      <c r="FM133" s="242"/>
      <c r="FN133" s="657">
        <v>39</v>
      </c>
      <c r="FO133" s="450">
        <f t="shared" ca="1" si="477"/>
        <v>0.17511202919072477</v>
      </c>
      <c r="FP133" s="450">
        <f t="shared" ref="FP133:IA136" ca="1" si="481">IF($FN58&lt;FP$94,"",SQRT(FP58/FP$15))</f>
        <v>0.17533910885118764</v>
      </c>
      <c r="FQ133" s="450">
        <f t="shared" ca="1" si="481"/>
        <v>0.17542308492577596</v>
      </c>
      <c r="FR133" s="450">
        <f t="shared" ca="1" si="481"/>
        <v>0.17554349341202241</v>
      </c>
      <c r="FS133" s="450">
        <f t="shared" ca="1" si="481"/>
        <v>0.17570423929967766</v>
      </c>
      <c r="FT133" s="450">
        <f t="shared" ca="1" si="481"/>
        <v>0.17590969924013744</v>
      </c>
      <c r="FU133" s="450">
        <f t="shared" ca="1" si="481"/>
        <v>0.1761647829231498</v>
      </c>
      <c r="FV133" s="450">
        <f t="shared" ca="1" si="481"/>
        <v>0.17647500353441475</v>
      </c>
      <c r="FW133" s="450">
        <f t="shared" ca="1" si="481"/>
        <v>0.17684655887774622</v>
      </c>
      <c r="FX133" s="450">
        <f t="shared" ca="1" si="481"/>
        <v>0.17728642507219403</v>
      </c>
      <c r="FY133" s="450">
        <f t="shared" ca="1" si="481"/>
        <v>0.17780246513910491</v>
      </c>
      <c r="FZ133" s="450">
        <f t="shared" ca="1" si="481"/>
        <v>0.17840355529739563</v>
      </c>
      <c r="GA133" s="450">
        <f t="shared" ca="1" si="481"/>
        <v>0.17909973241439989</v>
      </c>
      <c r="GB133" s="450">
        <f t="shared" ca="1" si="481"/>
        <v>0.17990236684984198</v>
      </c>
      <c r="GC133" s="450">
        <f t="shared" ca="1" si="481"/>
        <v>0.18082436592808751</v>
      </c>
      <c r="GD133" s="450">
        <f t="shared" ca="1" si="481"/>
        <v>0.18188041453995182</v>
      </c>
      <c r="GE133" s="450">
        <f t="shared" ca="1" si="481"/>
        <v>0.18308726099112643</v>
      </c>
      <c r="GF133" s="450">
        <f t="shared" ca="1" si="481"/>
        <v>0.18446405828814497</v>
      </c>
      <c r="GG133" s="450">
        <f t="shared" ca="1" si="481"/>
        <v>0.18603277373064339</v>
      </c>
      <c r="GH133" s="450">
        <f t="shared" ca="1" si="481"/>
        <v>0.18781868315818953</v>
      </c>
      <c r="GI133" s="450">
        <f t="shared" ca="1" si="481"/>
        <v>0.18985097075115798</v>
      </c>
      <c r="GJ133" s="450">
        <f t="shared" ca="1" si="481"/>
        <v>0.19216346127961931</v>
      </c>
      <c r="GK133" s="450">
        <f t="shared" ca="1" si="481"/>
        <v>0.19479551964776168</v>
      </c>
      <c r="GL133" s="450">
        <f t="shared" ca="1" si="481"/>
        <v>0.19779316321609461</v>
      </c>
      <c r="GM133" s="450">
        <f t="shared" ca="1" si="481"/>
        <v>0.2012104467200404</v>
      </c>
      <c r="GN133" s="450">
        <f t="shared" ca="1" si="481"/>
        <v>0.20511119909752729</v>
      </c>
      <c r="GO133" s="450">
        <f t="shared" ca="1" si="481"/>
        <v>0.20957121828887948</v>
      </c>
      <c r="GP133" s="450">
        <f t="shared" ca="1" si="481"/>
        <v>0.21468106713849658</v>
      </c>
      <c r="GQ133" s="450">
        <f t="shared" ca="1" si="481"/>
        <v>0.22054966541845511</v>
      </c>
      <c r="GR133" s="450">
        <f t="shared" ca="1" si="481"/>
        <v>0.22730894643692587</v>
      </c>
      <c r="GS133" s="450">
        <f t="shared" ca="1" si="481"/>
        <v>0.23511995185747592</v>
      </c>
      <c r="GT133" s="450">
        <f t="shared" ca="1" si="481"/>
        <v>0.2441808908196112</v>
      </c>
      <c r="GU133" s="450">
        <f t="shared" ca="1" si="481"/>
        <v>0.25473791344156532</v>
      </c>
      <c r="GV133" s="450">
        <f t="shared" ca="1" si="481"/>
        <v>0.26709968256174893</v>
      </c>
      <c r="GW133" s="450">
        <f t="shared" ca="1" si="481"/>
        <v>0.28165733257411779</v>
      </c>
      <c r="GX133" s="450">
        <f t="shared" ca="1" si="481"/>
        <v>0.29891218088412003</v>
      </c>
      <c r="GY133" s="450">
        <f t="shared" ca="1" si="481"/>
        <v>0.3195147732870125</v>
      </c>
      <c r="GZ133" s="450">
        <f t="shared" ca="1" si="481"/>
        <v>0.34432078440700159</v>
      </c>
      <c r="HA133" s="450">
        <f t="shared" ca="1" si="481"/>
        <v>0.37447245429345399</v>
      </c>
      <c r="HB133" s="450" t="str">
        <f t="shared" si="481"/>
        <v/>
      </c>
      <c r="HC133" s="450" t="str">
        <f t="shared" si="481"/>
        <v/>
      </c>
      <c r="HD133" s="450" t="str">
        <f t="shared" si="481"/>
        <v/>
      </c>
      <c r="HE133" s="450" t="str">
        <f t="shared" si="481"/>
        <v/>
      </c>
      <c r="HF133" s="450" t="str">
        <f t="shared" si="481"/>
        <v/>
      </c>
      <c r="HG133" s="450" t="str">
        <f t="shared" si="481"/>
        <v/>
      </c>
      <c r="HH133" s="450" t="str">
        <f t="shared" si="481"/>
        <v/>
      </c>
      <c r="HI133" s="450" t="str">
        <f t="shared" si="481"/>
        <v/>
      </c>
      <c r="HJ133" s="450" t="str">
        <f t="shared" si="481"/>
        <v/>
      </c>
      <c r="HK133" s="450" t="str">
        <f t="shared" si="481"/>
        <v/>
      </c>
      <c r="HL133" s="450" t="str">
        <f t="shared" si="481"/>
        <v/>
      </c>
      <c r="HM133" s="450" t="str">
        <f t="shared" si="481"/>
        <v/>
      </c>
      <c r="HN133" s="450" t="str">
        <f t="shared" si="481"/>
        <v/>
      </c>
      <c r="HO133" s="450" t="str">
        <f t="shared" si="481"/>
        <v/>
      </c>
      <c r="HP133" s="450" t="str">
        <f t="shared" si="481"/>
        <v/>
      </c>
      <c r="HQ133" s="450" t="str">
        <f t="shared" si="481"/>
        <v/>
      </c>
      <c r="HR133" s="450" t="str">
        <f t="shared" si="481"/>
        <v/>
      </c>
      <c r="HS133" s="450" t="str">
        <f t="shared" si="481"/>
        <v/>
      </c>
      <c r="HT133" s="450" t="str">
        <f t="shared" si="481"/>
        <v/>
      </c>
      <c r="HU133" s="450" t="str">
        <f t="shared" si="481"/>
        <v/>
      </c>
      <c r="HV133" s="450" t="str">
        <f t="shared" si="481"/>
        <v/>
      </c>
      <c r="HW133" s="450" t="str">
        <f t="shared" si="481"/>
        <v/>
      </c>
      <c r="HX133" s="450" t="str">
        <f t="shared" si="481"/>
        <v/>
      </c>
      <c r="HY133" s="450" t="str">
        <f t="shared" si="481"/>
        <v/>
      </c>
      <c r="HZ133" s="450" t="str">
        <f t="shared" si="481"/>
        <v/>
      </c>
      <c r="IA133" s="450" t="str">
        <f t="shared" si="481"/>
        <v/>
      </c>
      <c r="IB133" s="450" t="str">
        <f t="shared" si="480"/>
        <v/>
      </c>
      <c r="IC133" s="450" t="str">
        <f t="shared" si="480"/>
        <v/>
      </c>
      <c r="ID133" s="450" t="str">
        <f t="shared" si="480"/>
        <v/>
      </c>
      <c r="IE133" s="450" t="str">
        <f t="shared" si="480"/>
        <v/>
      </c>
      <c r="IF133" s="450" t="str">
        <f t="shared" si="480"/>
        <v/>
      </c>
      <c r="IG133" s="450" t="str">
        <f t="shared" si="480"/>
        <v/>
      </c>
      <c r="IH133" s="658" t="str">
        <f t="shared" si="480"/>
        <v/>
      </c>
      <c r="II133" s="242"/>
    </row>
    <row r="134" spans="8:243">
      <c r="H134" s="49" t="e">
        <f t="shared" ca="1" si="317"/>
        <v>#N/A</v>
      </c>
      <c r="I134" s="369">
        <f t="shared" si="318"/>
        <v>40483</v>
      </c>
      <c r="J134" s="367">
        <v>22.2433333333333</v>
      </c>
      <c r="K134" s="101" t="s">
        <v>267</v>
      </c>
      <c r="L134" s="382">
        <f t="shared" si="319"/>
        <v>22.2433333333333</v>
      </c>
      <c r="M134" s="163">
        <v>0.16309999999999999</v>
      </c>
      <c r="N134" s="372">
        <v>0</v>
      </c>
      <c r="O134" s="163">
        <f t="shared" si="272"/>
        <v>0.16309999999999999</v>
      </c>
      <c r="P134" s="367">
        <v>20.988841817348099</v>
      </c>
      <c r="Q134" s="101" t="s">
        <v>267</v>
      </c>
      <c r="R134" s="367">
        <f t="shared" ca="1" si="417"/>
        <v>20.988841817348135</v>
      </c>
      <c r="S134" s="814">
        <f t="shared" si="474"/>
        <v>0.35606005372823979</v>
      </c>
      <c r="T134" s="813">
        <f t="shared" si="418"/>
        <v>0.99999952566896777</v>
      </c>
      <c r="U134" s="532">
        <f t="shared" si="419"/>
        <v>0.99999999999999978</v>
      </c>
      <c r="V134" s="379">
        <v>0</v>
      </c>
      <c r="W134" s="424">
        <f t="shared" si="452"/>
        <v>22.267954545454547</v>
      </c>
      <c r="X134" s="405">
        <f t="shared" si="453"/>
        <v>22.267954545454508</v>
      </c>
      <c r="Y134" s="313">
        <f t="shared" si="454"/>
        <v>21.026354545454545</v>
      </c>
      <c r="Z134" s="313">
        <f t="shared" ca="1" si="455"/>
        <v>21.02635454545451</v>
      </c>
      <c r="AA134" s="419">
        <f t="shared" si="277"/>
        <v>1.2416</v>
      </c>
      <c r="AB134" s="423">
        <f t="shared" ca="1" si="278"/>
        <v>1.2416</v>
      </c>
      <c r="AC134" s="221">
        <v>40471</v>
      </c>
      <c r="AD134" s="221">
        <v>40467</v>
      </c>
      <c r="AE134" s="221">
        <v>40466</v>
      </c>
      <c r="AF134" s="221">
        <v>40462</v>
      </c>
      <c r="AG134" s="241" t="s">
        <v>497</v>
      </c>
      <c r="AH134" s="239" t="s">
        <v>497</v>
      </c>
      <c r="AI134" s="141">
        <v>22</v>
      </c>
      <c r="AJ134" s="41">
        <v>15</v>
      </c>
      <c r="AK134" s="41">
        <v>7</v>
      </c>
      <c r="AL134" s="285">
        <v>22</v>
      </c>
      <c r="AM134" s="41">
        <v>10</v>
      </c>
      <c r="AN134" s="142">
        <v>12</v>
      </c>
      <c r="AO134" s="364">
        <v>5.8889081251993304E-2</v>
      </c>
      <c r="AP134" s="145">
        <f t="shared" ca="1" si="320"/>
        <v>0.57140852005116571</v>
      </c>
      <c r="AQ134" s="364">
        <v>4.9725977740463299E-2</v>
      </c>
      <c r="AR134" s="145">
        <f t="shared" ca="1" si="420"/>
        <v>0.62651791956532121</v>
      </c>
      <c r="AS134" s="264">
        <f t="shared" si="456"/>
        <v>0.16296818181818182</v>
      </c>
      <c r="AT134" s="149">
        <f t="shared" si="321"/>
        <v>0.16309999999999999</v>
      </c>
      <c r="AU134" s="149">
        <f t="shared" si="280"/>
        <v>0.16294545454545456</v>
      </c>
      <c r="AV134" s="263">
        <f t="shared" ca="1" si="430"/>
        <v>0.16040494440384209</v>
      </c>
      <c r="AW134" s="150" t="str">
        <f t="shared" ca="1" si="457"/>
        <v/>
      </c>
      <c r="AX134" s="149">
        <f t="shared" ca="1" si="421"/>
        <v>1.3028380185768469E-2</v>
      </c>
      <c r="AY134" s="149">
        <f t="shared" ca="1" si="422"/>
        <v>5.3975523367030117E-3</v>
      </c>
      <c r="AZ134" s="149">
        <f t="shared" ca="1" si="423"/>
        <v>4.008013938115563E-3</v>
      </c>
      <c r="BA134" s="149">
        <f t="shared" ca="1" si="424"/>
        <v>1.0000000000000434E-4</v>
      </c>
      <c r="BB134" s="149">
        <f t="shared" ca="1" si="425"/>
        <v>1.0000000000000434E-4</v>
      </c>
      <c r="BC134" s="149">
        <f t="shared" ca="1" si="426"/>
        <v>1.0000000000000434E-4</v>
      </c>
      <c r="BD134" s="143">
        <f t="shared" ca="1" si="458"/>
        <v>0</v>
      </c>
      <c r="BE134" s="144">
        <f t="shared" ca="1" si="459"/>
        <v>0</v>
      </c>
      <c r="BF134" s="40">
        <f t="shared" si="460"/>
        <v>2010</v>
      </c>
      <c r="BG134" s="139">
        <f t="shared" si="461"/>
        <v>11</v>
      </c>
      <c r="BH134" s="140">
        <f t="shared" ca="1" si="462"/>
        <v>3477</v>
      </c>
      <c r="BI134" s="304">
        <f t="shared" ca="1" si="440"/>
        <v>9.5633127994524294</v>
      </c>
      <c r="BJ134" s="42">
        <f t="shared" ca="1" si="288"/>
        <v>9.6174475763798135</v>
      </c>
      <c r="BK134" s="42">
        <f t="shared" ca="1" si="289"/>
        <v>9.6201854271669465</v>
      </c>
      <c r="BL134" s="42">
        <f t="shared" ca="1" si="441"/>
        <v>9.6427104722792603</v>
      </c>
      <c r="BM134" s="285">
        <f t="shared" si="442"/>
        <v>22</v>
      </c>
      <c r="BN134" s="41">
        <f t="shared" si="443"/>
        <v>15</v>
      </c>
      <c r="BO134" s="41">
        <f t="shared" si="444"/>
        <v>7</v>
      </c>
      <c r="BP134" s="297" t="str">
        <f t="shared" ca="1" si="293"/>
        <v/>
      </c>
      <c r="BQ134" s="297" t="str">
        <f t="shared" ca="1" si="294"/>
        <v/>
      </c>
      <c r="BR134" s="299" t="str">
        <f t="shared" ca="1" si="295"/>
        <v/>
      </c>
      <c r="BS134" s="153" t="str">
        <f t="shared" ca="1" si="296"/>
        <v/>
      </c>
      <c r="BT134" s="153" t="str">
        <f t="shared" ca="1" si="297"/>
        <v/>
      </c>
      <c r="BU134" s="300" t="str">
        <f t="shared" ca="1" si="298"/>
        <v/>
      </c>
      <c r="BV134" s="301" t="str">
        <f t="shared" ca="1" si="299"/>
        <v/>
      </c>
      <c r="BW134" s="300" t="str">
        <f t="shared" ca="1" si="300"/>
        <v/>
      </c>
      <c r="BX134" s="301" t="str">
        <f t="shared" ca="1" si="301"/>
        <v/>
      </c>
      <c r="BY134" s="146" t="str">
        <f t="shared" ca="1" si="302"/>
        <v/>
      </c>
      <c r="BZ134" s="146" t="str">
        <f t="shared" ca="1" si="303"/>
        <v/>
      </c>
      <c r="CA134" s="146" t="str">
        <f t="shared" ca="1" si="304"/>
        <v/>
      </c>
      <c r="CB134" s="146" t="str">
        <f t="shared" ca="1" si="305"/>
        <v/>
      </c>
      <c r="CC134" s="302">
        <v>1</v>
      </c>
      <c r="CD134" s="154">
        <f ca="1">IF(BD134,_xll.xCrudeAPO(BS134,BT134,BY134,BZ134,S135,S136,BI134,BL134,BN134,BO134,0,Strike1,AO134,CC134,0,BL134,IF(OptControl=4,0,1),0,1),0)</f>
        <v>0</v>
      </c>
      <c r="CE134" s="155">
        <f ca="1">IF(BD134,_xll.xCrudeAPO(BS134,BT134,BY134,BZ134,S135,S136,BI134,BL134,BN134,BO134,0,Strike1,AO134,CC134,0,BL134,IF(OptControl=4,0,1),1,1)+_xll.xCrudeAPO(BS134,BT134,BY134,BZ134,S135,S136,BI134,BL134,BN134,BO134,0,Strike1,AO134,CC134,0,BL134,IF(OptControl=4,0,1),1,2)+IF(OR(VolSkewFlag=2,ABS(BQ134)&lt;0.0001),0,IF(BQ134&gt;0,-1,1)*CF134*Strike1/BP134^2*BW134/10%),0)</f>
        <v>0</v>
      </c>
      <c r="CF134" s="155">
        <f ca="1">IF(BD134,(_xll.xCrudeAPO(BS134,BT134,BY134,BZ134,S135,S136,BI134,BL134,BN134,BO134,0,Strike1,AO134,CC134,0,BL134,IF(OptControl=4,0,1),3,1)+_xll.xCrudeAPO(BS134,BT134,BY134,BZ134,S135,S136,BI134,BL134,BN134,BO134,0,Strike1,AO134,CC134,0,BL134,IF(OptControl=4,0,1),3,2))/100,0)</f>
        <v>0</v>
      </c>
      <c r="CG134" s="155">
        <f ca="1">IF(BD134,_xll.xCrudeAPO(BS134,BT134,BY134,BZ134,S135,S136,BI134-DaysForThetaCalculation/365.25,BL134-DaysForThetaCalculation/365.25,BN134,BO134,0,Strike1,AO134,CC134,0,BL134,IF(OptControl=4,0,1),0,1)-_xll.xCrudeAPO(BS134,BT134,BY134,BZ134,S135,S136,BI134,BL134,BN134,BO134,0,Strike1,AO134,CC134,0,BL134,IF(OptControl=4,0,1),0,1),0)</f>
        <v>0</v>
      </c>
      <c r="CH134" s="303">
        <f ca="1">IF(BD134,_xll.xCrudeAPO(BS134,BT134,CA134,CB134,S135,S136,BI134,BL134,BN134,BO134,0,Strike2,AO134,CC134,0,BL134,IF(OptControl=3,1,0),0,1),0)</f>
        <v>0</v>
      </c>
      <c r="CI134" s="155">
        <f ca="1">IF(BD134,_xll.xCrudeAPO(BS134,BT134,CA134,CB134,S135,S136,BI134,BL134,BN134,BO134,0,Strike2,AO134,CC134,0,BL134,IF(OptControl=3,1,0),1,1)+_xll.xCrudeAPO(BS134,BT134,CA134,CB134,S135,S136,BI134,BL134,BN134,BO134,0,Strike2,AO134,CC134,0,BL134,IF(OptControl=3,1,0),1,2)+IF(OR(VolSkewFlag=2,ABS(BR134)&lt;0.0001),0,IF(BR134&gt;0,-1,1)*CJ134*Strike2/BP134^2*BX134/10%),0)</f>
        <v>0</v>
      </c>
      <c r="CJ134" s="155">
        <f ca="1">IF(BD134,(_xll.xCrudeAPO(BS134,BT134,CA134,CB134,S135,S136,BI134,BL134,BN134,BO134,0,Strike2,AO134,CC134,0,BL134,IF(OptControl=3,1,0),3,1)+_xll.xCrudeAPO(BS134,BT134,CA134,CB134,S135,S136,BI134,BL134,BN134,BO134,0,Strike2,AO134,CC134,0,BL134,IF(OptControl=3,1,0),3,2))/100,0)</f>
        <v>0</v>
      </c>
      <c r="CK134" s="156">
        <f ca="1">IF(BD134,_xll.xCrudeAPO(BS134,BT134,CA134,CB134,S135,S136,BI134-DaysForThetaCalculation/365.25,BL134-DaysForThetaCalculation/365.25,BN134,BO134,0,Strike2,AO134,CC134,0,BL134,IF(OptControl=3,1,0),0,1)-_xll.xCrudeAPO(BS134,BT134,CA134,CB134,S135,S136,BI134,BL134,BN134,BO134,0,Strike2,AO134,CC134,0,BL134,IF(OptControl=3,1,0),0,1),0)</f>
        <v>0</v>
      </c>
      <c r="CL134" s="51"/>
      <c r="CM134" s="779" t="str">
        <f t="shared" ca="1" si="323"/>
        <v/>
      </c>
      <c r="CN134" s="783" t="str">
        <f t="shared" ca="1" si="324"/>
        <v/>
      </c>
      <c r="CO134" s="780" t="str">
        <f t="shared" ca="1" si="325"/>
        <v/>
      </c>
      <c r="CP134" s="780" t="str">
        <f t="shared" ca="1" si="326"/>
        <v/>
      </c>
      <c r="CQ134" s="780" t="str">
        <f t="shared" ca="1" si="327"/>
        <v/>
      </c>
      <c r="CR134" s="780" t="str">
        <f t="shared" ca="1" si="328"/>
        <v/>
      </c>
      <c r="CS134" s="781" t="str">
        <f t="shared" ca="1" si="329"/>
        <v/>
      </c>
      <c r="CT134" s="782" t="str">
        <f t="shared" ca="1" si="330"/>
        <v/>
      </c>
      <c r="CU134" s="782" t="str">
        <f t="shared" ca="1" si="331"/>
        <v/>
      </c>
      <c r="CV134" s="155">
        <f ca="1">IF(BD134,_xll.EURO(CN134,Strike1,AO134,AO134,CT134,CM134,IF(OptControl=4,0,1),0),0)</f>
        <v>0</v>
      </c>
      <c r="CW134" s="155">
        <f ca="1">IF(BD134,_xll.EURO(CN134,Strike1,AO134,AO134,CT134,CM134,IF(OptControl=4,0,1),1)+IF(OR(VolSkewFlag=2,ABS(CO134)&lt;0.0001),0,IF(CO134&gt;0,-1,1)*CX134*100*Strike1/CN134^2*CQ134/10%),0)</f>
        <v>0</v>
      </c>
      <c r="CX134" s="155">
        <f ca="1">IF(BD134,_xll.EURO(CN134,Strike1,AO134,AO134,CT134,CM134,IF(OptControl=4,0,1),3)/100,0)</f>
        <v>0</v>
      </c>
      <c r="CY134" s="155">
        <f ca="1">IF(BD134,_xll.EURO(CN134,Strike1,AO134,AO134,CT134,CM134,IF(OptControl=4,0,1),0)-_xll.EURO(CN134,Strike1,AO134,AO134,CT134,CM134-1,IF(OptControl=4,0,1),0),0)</f>
        <v>0</v>
      </c>
      <c r="CZ134" s="155">
        <f ca="1">IF(BD134,_xll.EURO(CN134,Strike2,AO134,AO134,CU134,CM134,IF(OptControl=3,1,0),0),0)</f>
        <v>0</v>
      </c>
      <c r="DA134" s="155">
        <f ca="1">IF(BD134,_xll.EURO(CN134,Strike2,AO134,AO134,CU134,CM134,IF(OptControl=3,1,0),1)+IF(OR(VolSkewFlag=2,ABS(CP134)&lt;0.0001),0,IF(CP134&gt;0,-1,1)*DB134*100*Strike2/CN134^2*CR134/10%),0)</f>
        <v>0</v>
      </c>
      <c r="DB134" s="155">
        <f ca="1">IF(BD134,_xll.EURO(CN134,Strike2,AO134,AO134,CU134,CM134,IF(OptControl=3,1,0),3)/100,0)</f>
        <v>0</v>
      </c>
      <c r="DC134" s="156">
        <f ca="1">IF(BD134,_xll.EURO(CN134,Strike2,AO134,AO134,CU134,CM134,IF(OptControl=3,1,0),0)-_xll.EURO(CN134,Strike2,AO134,AO134,CU134,CM134-1,IF(OptControl=3,1,0),0),0)</f>
        <v>0</v>
      </c>
      <c r="DE134" s="651">
        <f t="shared" ca="1" si="332"/>
        <v>40391</v>
      </c>
      <c r="DF134" s="465">
        <v>1E-4</v>
      </c>
      <c r="DG134" s="649">
        <v>1E-4</v>
      </c>
      <c r="DH134" s="650">
        <f t="shared" ca="1" si="463"/>
        <v>40391</v>
      </c>
      <c r="DI134" s="465">
        <v>1E-4</v>
      </c>
      <c r="DJ134" s="649">
        <v>1E-4</v>
      </c>
      <c r="DK134" s="651">
        <f t="shared" ca="1" si="464"/>
        <v>40391</v>
      </c>
      <c r="DL134" s="652">
        <f t="shared" si="465"/>
        <v>5.0100000000000006E-2</v>
      </c>
      <c r="DM134" s="651">
        <f t="shared" ca="1" si="333"/>
        <v>40391</v>
      </c>
      <c r="DN134" s="563">
        <f t="shared" si="334"/>
        <v>-0.12990000000000002</v>
      </c>
      <c r="DO134" s="803">
        <v>-0.13</v>
      </c>
      <c r="DP134" s="650">
        <f t="shared" ca="1" si="466"/>
        <v>40391</v>
      </c>
      <c r="DQ134" s="653">
        <v>1E-4</v>
      </c>
      <c r="DR134" s="590">
        <v>1E-4</v>
      </c>
      <c r="DS134" s="650">
        <f t="shared" ca="1" si="467"/>
        <v>40391</v>
      </c>
      <c r="DT134" s="653">
        <v>1E-4</v>
      </c>
      <c r="DU134" s="590">
        <v>1E-4</v>
      </c>
      <c r="DV134" s="651">
        <f t="shared" ca="1" si="468"/>
        <v>40391</v>
      </c>
      <c r="DW134" s="590">
        <v>1E-4</v>
      </c>
      <c r="DX134" s="651">
        <f t="shared" ca="1" si="335"/>
        <v>40391</v>
      </c>
      <c r="DY134" s="590">
        <f t="shared" si="336"/>
        <v>1E-4</v>
      </c>
      <c r="DZ134" s="1"/>
      <c r="EA134" s="857"/>
      <c r="EB134" s="857"/>
      <c r="EC134" s="857"/>
      <c r="ED134" s="868" t="e">
        <f t="shared" ca="1" si="436"/>
        <v>#NAME?</v>
      </c>
      <c r="EE134" s="863" t="e">
        <f t="shared" ca="1" si="312"/>
        <v>#NAME?</v>
      </c>
      <c r="EF134" s="590" t="e">
        <f t="shared" ca="1" si="313"/>
        <v>#NAME?</v>
      </c>
      <c r="EG134" s="862" t="str">
        <f t="shared" ca="1" si="469"/>
        <v/>
      </c>
      <c r="EH134" s="114" t="str">
        <f t="shared" ca="1" si="315"/>
        <v/>
      </c>
      <c r="EI134" s="109" t="str">
        <f t="shared" ca="1" si="316"/>
        <v/>
      </c>
      <c r="EJ134" s="115">
        <f ca="1">IF(BD134,_xll.xASN(BP134,Strike1,AO134,EH134,0,BM134,0,BI134,BL134,IF(OptControl=4,0,1),0),0)</f>
        <v>0</v>
      </c>
      <c r="EK134" s="108">
        <f ca="1">IF(BD134,_xll.xASN(BP134,Strike2,AO134,EI134,0,BM134,0,BI134,BL134,IF(OptControl=3,1,0),0),0)</f>
        <v>0</v>
      </c>
      <c r="EP134" s="53"/>
      <c r="EQ134" s="1"/>
      <c r="ER134" s="103"/>
      <c r="ES134" s="103"/>
      <c r="ET134" s="1"/>
      <c r="EU134" s="667" t="s">
        <v>346</v>
      </c>
      <c r="EW134" s="445"/>
      <c r="EX134" s="36"/>
      <c r="EY134" s="104"/>
      <c r="EZ134" s="465"/>
      <c r="FA134" s="446"/>
      <c r="FB134" s="446"/>
      <c r="FC134" s="242"/>
      <c r="FD134" s="242"/>
      <c r="FE134" s="242"/>
      <c r="FF134" s="242"/>
      <c r="FG134" s="242"/>
      <c r="FH134" s="242"/>
      <c r="FI134" s="242"/>
      <c r="FJ134" s="242"/>
      <c r="FK134" s="242"/>
      <c r="FL134" s="242"/>
      <c r="FM134" s="242"/>
      <c r="FN134" s="657">
        <v>40</v>
      </c>
      <c r="FO134" s="450">
        <f t="shared" ca="1" si="477"/>
        <v>0.1748624109329564</v>
      </c>
      <c r="FP134" s="450">
        <f t="shared" ca="1" si="481"/>
        <v>0.17506137354027806</v>
      </c>
      <c r="FQ134" s="450">
        <f t="shared" ca="1" si="481"/>
        <v>0.17511431512189124</v>
      </c>
      <c r="FR134" s="450">
        <f t="shared" ca="1" si="481"/>
        <v>0.17520014673055578</v>
      </c>
      <c r="FS134" s="450">
        <f t="shared" ca="1" si="481"/>
        <v>0.17532235206693289</v>
      </c>
      <c r="FT134" s="450">
        <f t="shared" ca="1" si="481"/>
        <v>0.17548483249475519</v>
      </c>
      <c r="FU134" s="450">
        <f t="shared" ca="1" si="481"/>
        <v>0.17569196060899026</v>
      </c>
      <c r="FV134" s="450">
        <f t="shared" ca="1" si="481"/>
        <v>0.17594864155975723</v>
      </c>
      <c r="FW134" s="450">
        <f t="shared" ca="1" si="481"/>
        <v>0.17626038344951284</v>
      </c>
      <c r="FX134" s="450">
        <f t="shared" ca="1" si="481"/>
        <v>0.17663337838584681</v>
      </c>
      <c r="FY134" s="450">
        <f t="shared" ca="1" si="481"/>
        <v>0.17707459609868473</v>
      </c>
      <c r="FZ134" s="450">
        <f t="shared" ca="1" si="481"/>
        <v>0.17759189243493079</v>
      </c>
      <c r="GA134" s="450">
        <f t="shared" ca="1" si="481"/>
        <v>0.17819413554645649</v>
      </c>
      <c r="GB134" s="450">
        <f t="shared" ca="1" si="481"/>
        <v>0.17889135321590349</v>
      </c>
      <c r="GC134" s="450">
        <f t="shared" ca="1" si="481"/>
        <v>0.1796949055542876</v>
      </c>
      <c r="GD134" s="450">
        <f t="shared" ca="1" si="481"/>
        <v>0.18061768830115946</v>
      </c>
      <c r="GE134" s="450">
        <f t="shared" ca="1" si="481"/>
        <v>0.18167437322313934</v>
      </c>
      <c r="GF134" s="450">
        <f t="shared" ca="1" si="481"/>
        <v>0.18288169372106977</v>
      </c>
      <c r="GG134" s="450">
        <f t="shared" ca="1" si="481"/>
        <v>0.18425878582815639</v>
      </c>
      <c r="GH134" s="450">
        <f t="shared" ca="1" si="481"/>
        <v>0.18582759745706032</v>
      </c>
      <c r="GI134" s="450">
        <f t="shared" ca="1" si="481"/>
        <v>0.18761338223052026</v>
      </c>
      <c r="GJ134" s="450">
        <f t="shared" ca="1" si="481"/>
        <v>0.18964529877748937</v>
      </c>
      <c r="GK134" s="450">
        <f t="shared" ca="1" si="481"/>
        <v>0.19195714236627379</v>
      </c>
      <c r="GL134" s="450">
        <f t="shared" ca="1" si="481"/>
        <v>0.19458824369309569</v>
      </c>
      <c r="GM134" s="450">
        <f t="shared" ca="1" si="481"/>
        <v>0.19758458027041192</v>
      </c>
      <c r="GN134" s="450">
        <f t="shared" ca="1" si="481"/>
        <v>0.20100016018378683</v>
      </c>
      <c r="GO134" s="450">
        <f t="shared" ca="1" si="481"/>
        <v>0.20489875746399844</v>
      </c>
      <c r="GP134" s="450">
        <f t="shared" ca="1" si="481"/>
        <v>0.20935610504963928</v>
      </c>
      <c r="GQ134" s="450">
        <f t="shared" ca="1" si="481"/>
        <v>0.21446268835108409</v>
      </c>
      <c r="GR134" s="450">
        <f t="shared" ca="1" si="481"/>
        <v>0.22032733427460929</v>
      </c>
      <c r="GS134" s="450">
        <f t="shared" ca="1" si="481"/>
        <v>0.22708186394781152</v>
      </c>
      <c r="GT134" s="450">
        <f t="shared" ca="1" si="481"/>
        <v>0.23488718246431414</v>
      </c>
      <c r="GU134" s="450">
        <f t="shared" ca="1" si="481"/>
        <v>0.24394133130508325</v>
      </c>
      <c r="GV134" s="450">
        <f t="shared" ca="1" si="481"/>
        <v>0.25449025290104121</v>
      </c>
      <c r="GW134" s="450">
        <f t="shared" ca="1" si="481"/>
        <v>0.26684235030445047</v>
      </c>
      <c r="GX134" s="450">
        <f t="shared" ca="1" si="481"/>
        <v>0.28138842952359999</v>
      </c>
      <c r="GY134" s="450">
        <f t="shared" ca="1" si="481"/>
        <v>0.2986293881145714</v>
      </c>
      <c r="GZ134" s="450">
        <f t="shared" ca="1" si="481"/>
        <v>0.31921522841121253</v>
      </c>
      <c r="HA134" s="450">
        <f t="shared" ca="1" si="481"/>
        <v>0.34400091203799599</v>
      </c>
      <c r="HB134" s="450">
        <f t="shared" ca="1" si="481"/>
        <v>0.37412772975051944</v>
      </c>
      <c r="HC134" s="450" t="str">
        <f t="shared" si="481"/>
        <v/>
      </c>
      <c r="HD134" s="450" t="str">
        <f t="shared" si="481"/>
        <v/>
      </c>
      <c r="HE134" s="450" t="str">
        <f t="shared" si="481"/>
        <v/>
      </c>
      <c r="HF134" s="450" t="str">
        <f t="shared" si="481"/>
        <v/>
      </c>
      <c r="HG134" s="450" t="str">
        <f t="shared" si="481"/>
        <v/>
      </c>
      <c r="HH134" s="450" t="str">
        <f t="shared" si="481"/>
        <v/>
      </c>
      <c r="HI134" s="450" t="str">
        <f t="shared" si="481"/>
        <v/>
      </c>
      <c r="HJ134" s="450" t="str">
        <f t="shared" si="481"/>
        <v/>
      </c>
      <c r="HK134" s="450" t="str">
        <f t="shared" si="481"/>
        <v/>
      </c>
      <c r="HL134" s="450" t="str">
        <f t="shared" si="481"/>
        <v/>
      </c>
      <c r="HM134" s="450" t="str">
        <f t="shared" si="481"/>
        <v/>
      </c>
      <c r="HN134" s="450" t="str">
        <f t="shared" si="481"/>
        <v/>
      </c>
      <c r="HO134" s="450" t="str">
        <f t="shared" si="481"/>
        <v/>
      </c>
      <c r="HP134" s="450" t="str">
        <f t="shared" si="481"/>
        <v/>
      </c>
      <c r="HQ134" s="450" t="str">
        <f t="shared" si="481"/>
        <v/>
      </c>
      <c r="HR134" s="450" t="str">
        <f t="shared" si="481"/>
        <v/>
      </c>
      <c r="HS134" s="450" t="str">
        <f t="shared" si="481"/>
        <v/>
      </c>
      <c r="HT134" s="450" t="str">
        <f t="shared" si="481"/>
        <v/>
      </c>
      <c r="HU134" s="450" t="str">
        <f t="shared" si="481"/>
        <v/>
      </c>
      <c r="HV134" s="450" t="str">
        <f t="shared" si="481"/>
        <v/>
      </c>
      <c r="HW134" s="450" t="str">
        <f t="shared" si="481"/>
        <v/>
      </c>
      <c r="HX134" s="450" t="str">
        <f t="shared" si="481"/>
        <v/>
      </c>
      <c r="HY134" s="450" t="str">
        <f t="shared" si="481"/>
        <v/>
      </c>
      <c r="HZ134" s="450" t="str">
        <f t="shared" si="481"/>
        <v/>
      </c>
      <c r="IA134" s="450" t="str">
        <f t="shared" si="481"/>
        <v/>
      </c>
      <c r="IB134" s="450" t="str">
        <f t="shared" si="480"/>
        <v/>
      </c>
      <c r="IC134" s="450" t="str">
        <f t="shared" si="480"/>
        <v/>
      </c>
      <c r="ID134" s="450" t="str">
        <f t="shared" si="480"/>
        <v/>
      </c>
      <c r="IE134" s="450" t="str">
        <f t="shared" si="480"/>
        <v/>
      </c>
      <c r="IF134" s="450" t="str">
        <f t="shared" si="480"/>
        <v/>
      </c>
      <c r="IG134" s="450" t="str">
        <f t="shared" si="480"/>
        <v/>
      </c>
      <c r="IH134" s="658" t="str">
        <f t="shared" si="480"/>
        <v/>
      </c>
      <c r="II134" s="242"/>
    </row>
    <row r="135" spans="8:243">
      <c r="H135" s="49" t="e">
        <f t="shared" ca="1" si="317"/>
        <v>#N/A</v>
      </c>
      <c r="I135" s="369">
        <f t="shared" si="318"/>
        <v>40513</v>
      </c>
      <c r="J135" s="367">
        <v>22.26</v>
      </c>
      <c r="K135" s="101" t="s">
        <v>267</v>
      </c>
      <c r="L135" s="382">
        <f t="shared" si="319"/>
        <v>22.259999999999966</v>
      </c>
      <c r="M135" s="163">
        <v>0.16300000000000001</v>
      </c>
      <c r="N135" s="372">
        <v>0</v>
      </c>
      <c r="O135" s="163">
        <f t="shared" si="272"/>
        <v>0.16300000000000001</v>
      </c>
      <c r="P135" s="367">
        <v>21.024058953925898</v>
      </c>
      <c r="Q135" s="101" t="s">
        <v>267</v>
      </c>
      <c r="R135" s="367">
        <f t="shared" ca="1" si="417"/>
        <v>21.02405895392587</v>
      </c>
      <c r="S135" s="814">
        <f t="shared" si="474"/>
        <v>0.35589945319095739</v>
      </c>
      <c r="T135" s="813">
        <f t="shared" si="418"/>
        <v>0.9999995731020811</v>
      </c>
      <c r="U135" s="532">
        <f t="shared" si="419"/>
        <v>0.99999999999999978</v>
      </c>
      <c r="V135" s="379">
        <v>0</v>
      </c>
      <c r="W135" s="424">
        <f t="shared" si="452"/>
        <v>22.294782608695652</v>
      </c>
      <c r="X135" s="405">
        <f t="shared" si="453"/>
        <v>22.294782608695616</v>
      </c>
      <c r="Y135" s="313">
        <f t="shared" si="454"/>
        <v>21.05318260869565</v>
      </c>
      <c r="Z135" s="313">
        <f t="shared" ca="1" si="455"/>
        <v>21.053182608695614</v>
      </c>
      <c r="AA135" s="419">
        <f t="shared" si="277"/>
        <v>1.2416</v>
      </c>
      <c r="AB135" s="423">
        <f t="shared" ca="1" si="278"/>
        <v>1.2416</v>
      </c>
      <c r="AC135" s="221">
        <v>40502</v>
      </c>
      <c r="AD135" s="221">
        <v>40498</v>
      </c>
      <c r="AE135" s="221">
        <v>40497</v>
      </c>
      <c r="AF135" s="221">
        <v>40493</v>
      </c>
      <c r="AG135" s="241" t="s">
        <v>497</v>
      </c>
      <c r="AH135" s="239" t="s">
        <v>497</v>
      </c>
      <c r="AI135" s="141">
        <v>23</v>
      </c>
      <c r="AJ135" s="41">
        <v>14</v>
      </c>
      <c r="AK135" s="41">
        <v>9</v>
      </c>
      <c r="AL135" s="285">
        <v>23</v>
      </c>
      <c r="AM135" s="41">
        <v>10</v>
      </c>
      <c r="AN135" s="142">
        <v>13</v>
      </c>
      <c r="AO135" s="364">
        <v>5.8963992953987403E-2</v>
      </c>
      <c r="AP135" s="145">
        <f t="shared" ca="1" si="320"/>
        <v>0.56819837053874322</v>
      </c>
      <c r="AQ135" s="364">
        <v>4.9746113908234205E-2</v>
      </c>
      <c r="AR135" s="145">
        <f t="shared" ca="1" si="420"/>
        <v>0.6237938059542294</v>
      </c>
      <c r="AS135" s="264">
        <f t="shared" si="456"/>
        <v>0.16286086956521739</v>
      </c>
      <c r="AT135" s="149">
        <f t="shared" si="321"/>
        <v>0.16300000000000001</v>
      </c>
      <c r="AU135" s="149">
        <f t="shared" si="280"/>
        <v>0.16284347826086956</v>
      </c>
      <c r="AV135" s="263">
        <f t="shared" ca="1" si="430"/>
        <v>0.16023912149848124</v>
      </c>
      <c r="AW135" s="150" t="str">
        <f t="shared" ca="1" si="457"/>
        <v/>
      </c>
      <c r="AX135" s="149">
        <f t="shared" ca="1" si="421"/>
        <v>1.2845354716343189E-2</v>
      </c>
      <c r="AY135" s="149">
        <f t="shared" ca="1" si="422"/>
        <v>5.3046827610341947E-3</v>
      </c>
      <c r="AZ135" s="149">
        <f t="shared" ca="1" si="423"/>
        <v>3.9602467899950804E-3</v>
      </c>
      <c r="BA135" s="149">
        <f t="shared" ca="1" si="424"/>
        <v>1.000000000000044E-4</v>
      </c>
      <c r="BB135" s="149">
        <f t="shared" ca="1" si="425"/>
        <v>1.000000000000044E-4</v>
      </c>
      <c r="BC135" s="149">
        <f t="shared" ca="1" si="426"/>
        <v>1.000000000000044E-4</v>
      </c>
      <c r="BD135" s="143">
        <f t="shared" ca="1" si="458"/>
        <v>0</v>
      </c>
      <c r="BE135" s="144">
        <f t="shared" ca="1" si="459"/>
        <v>0</v>
      </c>
      <c r="BF135" s="40">
        <f t="shared" si="460"/>
        <v>2010</v>
      </c>
      <c r="BG135" s="139">
        <f t="shared" si="461"/>
        <v>12</v>
      </c>
      <c r="BH135" s="140">
        <f t="shared" ca="1" si="462"/>
        <v>3508</v>
      </c>
      <c r="BI135" s="304">
        <f t="shared" ca="1" si="440"/>
        <v>9.6454483230663932</v>
      </c>
      <c r="BJ135" s="42">
        <f t="shared" ca="1" si="288"/>
        <v>9.6954438591792389</v>
      </c>
      <c r="BK135" s="42">
        <f t="shared" ca="1" si="289"/>
        <v>9.6981817099663719</v>
      </c>
      <c r="BL135" s="42">
        <f t="shared" ca="1" si="441"/>
        <v>9.7275838466803553</v>
      </c>
      <c r="BM135" s="285">
        <f t="shared" si="442"/>
        <v>23</v>
      </c>
      <c r="BN135" s="41">
        <f t="shared" si="443"/>
        <v>14</v>
      </c>
      <c r="BO135" s="41">
        <f t="shared" si="444"/>
        <v>9</v>
      </c>
      <c r="BP135" s="297" t="str">
        <f t="shared" ca="1" si="293"/>
        <v/>
      </c>
      <c r="BQ135" s="297" t="str">
        <f t="shared" ca="1" si="294"/>
        <v/>
      </c>
      <c r="BR135" s="299" t="str">
        <f t="shared" ca="1" si="295"/>
        <v/>
      </c>
      <c r="BS135" s="153" t="str">
        <f t="shared" ca="1" si="296"/>
        <v/>
      </c>
      <c r="BT135" s="153" t="str">
        <f t="shared" ca="1" si="297"/>
        <v/>
      </c>
      <c r="BU135" s="300" t="str">
        <f t="shared" ca="1" si="298"/>
        <v/>
      </c>
      <c r="BV135" s="301" t="str">
        <f t="shared" ca="1" si="299"/>
        <v/>
      </c>
      <c r="BW135" s="300" t="str">
        <f t="shared" ca="1" si="300"/>
        <v/>
      </c>
      <c r="BX135" s="301" t="str">
        <f t="shared" ca="1" si="301"/>
        <v/>
      </c>
      <c r="BY135" s="146" t="str">
        <f t="shared" ca="1" si="302"/>
        <v/>
      </c>
      <c r="BZ135" s="146" t="str">
        <f t="shared" ca="1" si="303"/>
        <v/>
      </c>
      <c r="CA135" s="146" t="str">
        <f t="shared" ca="1" si="304"/>
        <v/>
      </c>
      <c r="CB135" s="146" t="str">
        <f t="shared" ca="1" si="305"/>
        <v/>
      </c>
      <c r="CC135" s="302">
        <v>1</v>
      </c>
      <c r="CD135" s="154">
        <f ca="1">IF(BD135,_xll.xCrudeAPO(BS135,BT135,BY135,BZ135,S136,S137,BI135,BL135,BN135,BO135,0,Strike1,AO135,CC135,0,BL135,IF(OptControl=4,0,1),0,1),0)</f>
        <v>0</v>
      </c>
      <c r="CE135" s="155">
        <f ca="1">IF(BD135,_xll.xCrudeAPO(BS135,BT135,BY135,BZ135,S136,S137,BI135,BL135,BN135,BO135,0,Strike1,AO135,CC135,0,BL135,IF(OptControl=4,0,1),1,1)+_xll.xCrudeAPO(BS135,BT135,BY135,BZ135,S136,S137,BI135,BL135,BN135,BO135,0,Strike1,AO135,CC135,0,BL135,IF(OptControl=4,0,1),1,2)+IF(OR(VolSkewFlag=2,ABS(BQ135)&lt;0.0001),0,IF(BQ135&gt;0,-1,1)*CF135*Strike1/BP135^2*BW135/10%),0)</f>
        <v>0</v>
      </c>
      <c r="CF135" s="155">
        <f ca="1">IF(BD135,(_xll.xCrudeAPO(BS135,BT135,BY135,BZ135,S136,S137,BI135,BL135,BN135,BO135,0,Strike1,AO135,CC135,0,BL135,IF(OptControl=4,0,1),3,1)+_xll.xCrudeAPO(BS135,BT135,BY135,BZ135,S136,S137,BI135,BL135,BN135,BO135,0,Strike1,AO135,CC135,0,BL135,IF(OptControl=4,0,1),3,2))/100,0)</f>
        <v>0</v>
      </c>
      <c r="CG135" s="155">
        <f ca="1">IF(BD135,_xll.xCrudeAPO(BS135,BT135,BY135,BZ135,S136,S137,BI135-DaysForThetaCalculation/365.25,BL135-DaysForThetaCalculation/365.25,BN135,BO135,0,Strike1,AO135,CC135,0,BL135,IF(OptControl=4,0,1),0,1)-_xll.xCrudeAPO(BS135,BT135,BY135,BZ135,S136,S137,BI135,BL135,BN135,BO135,0,Strike1,AO135,CC135,0,BL135,IF(OptControl=4,0,1),0,1),0)</f>
        <v>0</v>
      </c>
      <c r="CH135" s="303">
        <f ca="1">IF(BD135,_xll.xCrudeAPO(BS135,BT135,CA135,CB135,S136,S137,BI135,BL135,BN135,BO135,0,Strike2,AO135,CC135,0,BL135,IF(OptControl=3,1,0),0,1),0)</f>
        <v>0</v>
      </c>
      <c r="CI135" s="155">
        <f ca="1">IF(BD135,_xll.xCrudeAPO(BS135,BT135,CA135,CB135,S136,S137,BI135,BL135,BN135,BO135,0,Strike2,AO135,CC135,0,BL135,IF(OptControl=3,1,0),1,1)+_xll.xCrudeAPO(BS135,BT135,CA135,CB135,S136,S137,BI135,BL135,BN135,BO135,0,Strike2,AO135,CC135,0,BL135,IF(OptControl=3,1,0),1,2)+IF(OR(VolSkewFlag=2,ABS(BR135)&lt;0.0001),0,IF(BR135&gt;0,-1,1)*CJ135*Strike2/BP135^2*BX135/10%),0)</f>
        <v>0</v>
      </c>
      <c r="CJ135" s="155">
        <f ca="1">IF(BD135,(_xll.xCrudeAPO(BS135,BT135,CA135,CB135,S136,S137,BI135,BL135,BN135,BO135,0,Strike2,AO135,CC135,0,BL135,IF(OptControl=3,1,0),3,1)+_xll.xCrudeAPO(BS135,BT135,CA135,CB135,S136,S137,BI135,BL135,BN135,BO135,0,Strike2,AO135,CC135,0,BL135,IF(OptControl=3,1,0),3,2))/100,0)</f>
        <v>0</v>
      </c>
      <c r="CK135" s="156">
        <f ca="1">IF(BD135,_xll.xCrudeAPO(BS135,BT135,CA135,CB135,S136,S137,BI135-DaysForThetaCalculation/365.25,BL135-DaysForThetaCalculation/365.25,BN135,BO135,0,Strike2,AO135,CC135,0,BL135,IF(OptControl=3,1,0),0,1)-_xll.xCrudeAPO(BS135,BT135,CA135,CB135,S136,S137,BI135,BL135,BN135,BO135,0,Strike2,AO135,CC135,0,BL135,IF(OptControl=3,1,0),0,1),0)</f>
        <v>0</v>
      </c>
      <c r="CL135" s="51"/>
      <c r="CM135" s="779" t="str">
        <f t="shared" ca="1" si="323"/>
        <v/>
      </c>
      <c r="CN135" s="783" t="str">
        <f t="shared" ca="1" si="324"/>
        <v/>
      </c>
      <c r="CO135" s="780" t="str">
        <f t="shared" ca="1" si="325"/>
        <v/>
      </c>
      <c r="CP135" s="780" t="str">
        <f t="shared" ca="1" si="326"/>
        <v/>
      </c>
      <c r="CQ135" s="780" t="str">
        <f t="shared" ca="1" si="327"/>
        <v/>
      </c>
      <c r="CR135" s="780" t="str">
        <f t="shared" ca="1" si="328"/>
        <v/>
      </c>
      <c r="CS135" s="781" t="str">
        <f t="shared" ca="1" si="329"/>
        <v/>
      </c>
      <c r="CT135" s="782" t="str">
        <f t="shared" ca="1" si="330"/>
        <v/>
      </c>
      <c r="CU135" s="782" t="str">
        <f t="shared" ca="1" si="331"/>
        <v/>
      </c>
      <c r="CV135" s="155">
        <f ca="1">IF(BD135,_xll.EURO(CN135,Strike1,AO135,AO135,CT135,CM135,IF(OptControl=4,0,1),0),0)</f>
        <v>0</v>
      </c>
      <c r="CW135" s="155">
        <f ca="1">IF(BD135,_xll.EURO(CN135,Strike1,AO135,AO135,CT135,CM135,IF(OptControl=4,0,1),1)+IF(OR(VolSkewFlag=2,ABS(CO135)&lt;0.0001),0,IF(CO135&gt;0,-1,1)*CX135*100*Strike1/CN135^2*CQ135/10%),0)</f>
        <v>0</v>
      </c>
      <c r="CX135" s="155">
        <f ca="1">IF(BD135,_xll.EURO(CN135,Strike1,AO135,AO135,CT135,CM135,IF(OptControl=4,0,1),3)/100,0)</f>
        <v>0</v>
      </c>
      <c r="CY135" s="155">
        <f ca="1">IF(BD135,_xll.EURO(CN135,Strike1,AO135,AO135,CT135,CM135,IF(OptControl=4,0,1),0)-_xll.EURO(CN135,Strike1,AO135,AO135,CT135,CM135-1,IF(OptControl=4,0,1),0),0)</f>
        <v>0</v>
      </c>
      <c r="CZ135" s="155">
        <f ca="1">IF(BD135,_xll.EURO(CN135,Strike2,AO135,AO135,CU135,CM135,IF(OptControl=3,1,0),0),0)</f>
        <v>0</v>
      </c>
      <c r="DA135" s="155">
        <f ca="1">IF(BD135,_xll.EURO(CN135,Strike2,AO135,AO135,CU135,CM135,IF(OptControl=3,1,0),1)+IF(OR(VolSkewFlag=2,ABS(CP135)&lt;0.0001),0,IF(CP135&gt;0,-1,1)*DB135*100*Strike2/CN135^2*CR135/10%),0)</f>
        <v>0</v>
      </c>
      <c r="DB135" s="155">
        <f ca="1">IF(BD135,_xll.EURO(CN135,Strike2,AO135,AO135,CU135,CM135,IF(OptControl=3,1,0),3)/100,0)</f>
        <v>0</v>
      </c>
      <c r="DC135" s="156">
        <f ca="1">IF(BD135,_xll.EURO(CN135,Strike2,AO135,AO135,CU135,CM135,IF(OptControl=3,1,0),0)-_xll.EURO(CN135,Strike2,AO135,AO135,CU135,CM135-1,IF(OptControl=3,1,0),0),0)</f>
        <v>0</v>
      </c>
      <c r="DE135" s="651">
        <f t="shared" ca="1" si="332"/>
        <v>40422</v>
      </c>
      <c r="DF135" s="465">
        <v>1E-4</v>
      </c>
      <c r="DG135" s="649">
        <v>1E-4</v>
      </c>
      <c r="DH135" s="650">
        <f t="shared" ca="1" si="463"/>
        <v>40422</v>
      </c>
      <c r="DI135" s="465">
        <v>1E-4</v>
      </c>
      <c r="DJ135" s="649">
        <v>1E-4</v>
      </c>
      <c r="DK135" s="651">
        <f t="shared" ca="1" si="464"/>
        <v>40422</v>
      </c>
      <c r="DL135" s="652">
        <f t="shared" si="465"/>
        <v>5.0100000000000006E-2</v>
      </c>
      <c r="DM135" s="651">
        <f t="shared" ca="1" si="333"/>
        <v>40422</v>
      </c>
      <c r="DN135" s="563">
        <f t="shared" si="334"/>
        <v>-0.12990000000000002</v>
      </c>
      <c r="DO135" s="803">
        <v>-0.13</v>
      </c>
      <c r="DP135" s="650">
        <f t="shared" ca="1" si="466"/>
        <v>40422</v>
      </c>
      <c r="DQ135" s="653">
        <v>1E-4</v>
      </c>
      <c r="DR135" s="590">
        <v>1E-4</v>
      </c>
      <c r="DS135" s="650">
        <f t="shared" ca="1" si="467"/>
        <v>40422</v>
      </c>
      <c r="DT135" s="653">
        <v>1E-4</v>
      </c>
      <c r="DU135" s="590">
        <v>1E-4</v>
      </c>
      <c r="DV135" s="651">
        <f t="shared" ca="1" si="468"/>
        <v>40422</v>
      </c>
      <c r="DW135" s="590">
        <v>1E-4</v>
      </c>
      <c r="DX135" s="651">
        <f t="shared" ca="1" si="335"/>
        <v>40422</v>
      </c>
      <c r="DY135" s="590">
        <f t="shared" si="336"/>
        <v>1E-4</v>
      </c>
      <c r="DZ135" s="1"/>
      <c r="EA135" s="857"/>
      <c r="EB135" s="857"/>
      <c r="EC135" s="857"/>
      <c r="ED135" s="868" t="e">
        <f t="shared" ca="1" si="436"/>
        <v>#NAME?</v>
      </c>
      <c r="EE135" s="863" t="e">
        <f t="shared" ca="1" si="312"/>
        <v>#NAME?</v>
      </c>
      <c r="EF135" s="590" t="e">
        <f t="shared" ca="1" si="313"/>
        <v>#NAME?</v>
      </c>
      <c r="EG135" s="862" t="str">
        <f t="shared" ca="1" si="469"/>
        <v/>
      </c>
      <c r="EH135" s="114" t="str">
        <f t="shared" ca="1" si="315"/>
        <v/>
      </c>
      <c r="EI135" s="109" t="str">
        <f t="shared" ca="1" si="316"/>
        <v/>
      </c>
      <c r="EJ135" s="115">
        <f ca="1">IF(BD135,_xll.xASN(BP135,Strike1,AO135,EH135,0,BM135,0,BI135,BL135,IF(OptControl=4,0,1),0),0)</f>
        <v>0</v>
      </c>
      <c r="EK135" s="108">
        <f ca="1">IF(BD135,_xll.xASN(BP135,Strike2,AO135,EI135,0,BM135,0,BI135,BL135,IF(OptControl=3,1,0),0),0)</f>
        <v>0</v>
      </c>
      <c r="EP135" s="53"/>
      <c r="EQ135" s="1"/>
      <c r="ER135" s="103"/>
      <c r="ES135" s="103"/>
      <c r="ET135" s="1"/>
      <c r="EU135" s="667" t="s">
        <v>347</v>
      </c>
      <c r="EW135" s="445"/>
      <c r="EX135" s="36"/>
      <c r="EY135" s="104"/>
      <c r="EZ135" s="465"/>
      <c r="FA135" s="446"/>
      <c r="FB135" s="446"/>
      <c r="FC135" s="242"/>
      <c r="FD135" s="242"/>
      <c r="FE135" s="242"/>
      <c r="FF135" s="242"/>
      <c r="FG135" s="242"/>
      <c r="FH135" s="242"/>
      <c r="FI135" s="242"/>
      <c r="FJ135" s="242"/>
      <c r="FK135" s="242"/>
      <c r="FL135" s="242"/>
      <c r="FM135" s="242"/>
      <c r="FN135" s="657">
        <v>41</v>
      </c>
      <c r="FO135" s="450">
        <f t="shared" ca="1" si="477"/>
        <v>0.17463809075350245</v>
      </c>
      <c r="FP135" s="450">
        <f t="shared" ca="1" si="481"/>
        <v>0.17481182749099969</v>
      </c>
      <c r="FQ135" s="450">
        <f t="shared" ca="1" si="481"/>
        <v>0.17483693588189309</v>
      </c>
      <c r="FR135" s="450">
        <f t="shared" ca="1" si="481"/>
        <v>0.17489176932988781</v>
      </c>
      <c r="FS135" s="450">
        <f t="shared" ca="1" si="481"/>
        <v>0.17497943791728782</v>
      </c>
      <c r="FT135" s="450">
        <f t="shared" ca="1" si="481"/>
        <v>0.17510342213529423</v>
      </c>
      <c r="FU135" s="450">
        <f t="shared" ca="1" si="481"/>
        <v>0.17526761975788194</v>
      </c>
      <c r="FV135" s="450">
        <f t="shared" ca="1" si="481"/>
        <v>0.17547639936415449</v>
      </c>
      <c r="FW135" s="450">
        <f t="shared" ca="1" si="481"/>
        <v>0.1757346616099987</v>
      </c>
      <c r="FX135" s="450">
        <f t="shared" ca="1" si="481"/>
        <v>0.17604790956545993</v>
      </c>
      <c r="FY135" s="450">
        <f t="shared" ca="1" si="481"/>
        <v>0.17642232969886629</v>
      </c>
      <c r="FZ135" s="450">
        <f t="shared" ca="1" si="481"/>
        <v>0.17686488541491063</v>
      </c>
      <c r="GA135" s="450">
        <f t="shared" ca="1" si="481"/>
        <v>0.17738342545779834</v>
      </c>
      <c r="GB135" s="450">
        <f t="shared" ca="1" si="481"/>
        <v>0.1779868099930268</v>
      </c>
      <c r="GC135" s="450">
        <f t="shared" ca="1" si="481"/>
        <v>0.17868505780939212</v>
      </c>
      <c r="GD135" s="450">
        <f t="shared" ca="1" si="481"/>
        <v>0.17948951887168871</v>
      </c>
      <c r="GE135" s="450">
        <f t="shared" ca="1" si="481"/>
        <v>0.18041307745050064</v>
      </c>
      <c r="GF135" s="450">
        <f t="shared" ca="1" si="481"/>
        <v>0.18147039231949505</v>
      </c>
      <c r="GG135" s="450">
        <f t="shared" ca="1" si="481"/>
        <v>0.1826781821237137</v>
      </c>
      <c r="GH135" s="450">
        <f t="shared" ca="1" si="481"/>
        <v>0.18405556609276774</v>
      </c>
      <c r="GI135" s="450">
        <f t="shared" ca="1" si="481"/>
        <v>0.18562447294621306</v>
      </c>
      <c r="GJ135" s="450">
        <f t="shared" ca="1" si="481"/>
        <v>0.18741013431212766</v>
      </c>
      <c r="GK135" s="450">
        <f t="shared" ca="1" si="481"/>
        <v>0.18944168352355759</v>
      </c>
      <c r="GL135" s="450">
        <f t="shared" ca="1" si="481"/>
        <v>0.19175288664206169</v>
      </c>
      <c r="GM135" s="450">
        <f t="shared" ca="1" si="481"/>
        <v>0.19438304049797622</v>
      </c>
      <c r="GN135" s="450">
        <f t="shared" ca="1" si="481"/>
        <v>0.19737808315418617</v>
      </c>
      <c r="GO135" s="450">
        <f t="shared" ca="1" si="481"/>
        <v>0.20079197651289568</v>
      </c>
      <c r="GP135" s="450">
        <f t="shared" ca="1" si="481"/>
        <v>0.20468844024680491</v>
      </c>
      <c r="GQ135" s="450">
        <f t="shared" ca="1" si="481"/>
        <v>0.20914314294279152</v>
      </c>
      <c r="GR135" s="450">
        <f t="shared" ca="1" si="481"/>
        <v>0.21424649335154564</v>
      </c>
      <c r="GS135" s="450">
        <f t="shared" ca="1" si="481"/>
        <v>0.22010722644220201</v>
      </c>
      <c r="GT135" s="450">
        <f t="shared" ca="1" si="481"/>
        <v>0.22685705228358824</v>
      </c>
      <c r="GU135" s="450">
        <f t="shared" ca="1" si="481"/>
        <v>0.23465674076508405</v>
      </c>
      <c r="GV135" s="450">
        <f t="shared" ca="1" si="481"/>
        <v>0.24370416738570053</v>
      </c>
      <c r="GW135" s="450">
        <f t="shared" ca="1" si="481"/>
        <v>0.25424506896592242</v>
      </c>
      <c r="GX135" s="450">
        <f t="shared" ca="1" si="481"/>
        <v>0.26658759136972499</v>
      </c>
      <c r="GY135" s="450">
        <f t="shared" ca="1" si="481"/>
        <v>0.28112221550358735</v>
      </c>
      <c r="GZ135" s="450">
        <f t="shared" ca="1" si="481"/>
        <v>0.29834942327271846</v>
      </c>
      <c r="HA135" s="450">
        <f t="shared" ca="1" si="481"/>
        <v>0.31891867898417048</v>
      </c>
      <c r="HB135" s="450">
        <f t="shared" ca="1" si="481"/>
        <v>0.34368423839268047</v>
      </c>
      <c r="HC135" s="450">
        <f t="shared" ca="1" si="481"/>
        <v>0.37378645245301423</v>
      </c>
      <c r="HD135" s="450" t="str">
        <f t="shared" si="481"/>
        <v/>
      </c>
      <c r="HE135" s="450" t="str">
        <f t="shared" si="481"/>
        <v/>
      </c>
      <c r="HF135" s="450" t="str">
        <f t="shared" si="481"/>
        <v/>
      </c>
      <c r="HG135" s="450" t="str">
        <f t="shared" si="481"/>
        <v/>
      </c>
      <c r="HH135" s="450" t="str">
        <f t="shared" si="481"/>
        <v/>
      </c>
      <c r="HI135" s="450" t="str">
        <f t="shared" si="481"/>
        <v/>
      </c>
      <c r="HJ135" s="450" t="str">
        <f t="shared" si="481"/>
        <v/>
      </c>
      <c r="HK135" s="450" t="str">
        <f t="shared" si="481"/>
        <v/>
      </c>
      <c r="HL135" s="450" t="str">
        <f t="shared" si="481"/>
        <v/>
      </c>
      <c r="HM135" s="450" t="str">
        <f t="shared" si="481"/>
        <v/>
      </c>
      <c r="HN135" s="450" t="str">
        <f t="shared" si="481"/>
        <v/>
      </c>
      <c r="HO135" s="450" t="str">
        <f t="shared" si="481"/>
        <v/>
      </c>
      <c r="HP135" s="450" t="str">
        <f t="shared" si="481"/>
        <v/>
      </c>
      <c r="HQ135" s="450" t="str">
        <f t="shared" si="481"/>
        <v/>
      </c>
      <c r="HR135" s="450" t="str">
        <f t="shared" si="481"/>
        <v/>
      </c>
      <c r="HS135" s="450" t="str">
        <f t="shared" si="481"/>
        <v/>
      </c>
      <c r="HT135" s="450" t="str">
        <f t="shared" si="481"/>
        <v/>
      </c>
      <c r="HU135" s="450" t="str">
        <f t="shared" si="481"/>
        <v/>
      </c>
      <c r="HV135" s="450" t="str">
        <f t="shared" si="481"/>
        <v/>
      </c>
      <c r="HW135" s="450" t="str">
        <f t="shared" si="481"/>
        <v/>
      </c>
      <c r="HX135" s="450" t="str">
        <f t="shared" si="481"/>
        <v/>
      </c>
      <c r="HY135" s="450" t="str">
        <f t="shared" si="481"/>
        <v/>
      </c>
      <c r="HZ135" s="450" t="str">
        <f t="shared" si="481"/>
        <v/>
      </c>
      <c r="IA135" s="450" t="str">
        <f t="shared" si="481"/>
        <v/>
      </c>
      <c r="IB135" s="450" t="str">
        <f t="shared" si="480"/>
        <v/>
      </c>
      <c r="IC135" s="450" t="str">
        <f t="shared" si="480"/>
        <v/>
      </c>
      <c r="ID135" s="450" t="str">
        <f t="shared" si="480"/>
        <v/>
      </c>
      <c r="IE135" s="450" t="str">
        <f t="shared" si="480"/>
        <v/>
      </c>
      <c r="IF135" s="450" t="str">
        <f t="shared" si="480"/>
        <v/>
      </c>
      <c r="IG135" s="450" t="str">
        <f t="shared" si="480"/>
        <v/>
      </c>
      <c r="IH135" s="658" t="str">
        <f t="shared" si="480"/>
        <v/>
      </c>
      <c r="II135" s="242"/>
    </row>
    <row r="136" spans="8:243">
      <c r="H136" s="49" t="e">
        <f t="shared" ca="1" si="317"/>
        <v>#N/A</v>
      </c>
      <c r="I136" s="369">
        <f t="shared" si="318"/>
        <v>40544</v>
      </c>
      <c r="J136" s="367">
        <v>22.285</v>
      </c>
      <c r="K136" s="101" t="s">
        <v>267</v>
      </c>
      <c r="L136" s="382">
        <f t="shared" si="319"/>
        <v>22.284999999999965</v>
      </c>
      <c r="M136" s="163">
        <v>0.16290000000000002</v>
      </c>
      <c r="N136" s="372">
        <v>0</v>
      </c>
      <c r="O136" s="163">
        <f t="shared" si="272"/>
        <v>0.16290000000000002</v>
      </c>
      <c r="P136" s="367">
        <v>21.028267538395003</v>
      </c>
      <c r="Q136" s="101" t="s">
        <v>267</v>
      </c>
      <c r="R136" s="367">
        <f t="shared" ca="1" si="417"/>
        <v>21.028267538395038</v>
      </c>
      <c r="S136" s="814">
        <f t="shared" si="474"/>
        <v>0.3557404586590478</v>
      </c>
      <c r="T136" s="813">
        <f t="shared" si="418"/>
        <v>0.99999961579188112</v>
      </c>
      <c r="U136" s="532">
        <f t="shared" si="419"/>
        <v>0.99999999999999978</v>
      </c>
      <c r="V136" s="379">
        <v>0</v>
      </c>
      <c r="W136" s="424">
        <f t="shared" si="452"/>
        <v>22.318333333333332</v>
      </c>
      <c r="X136" s="405">
        <f t="shared" si="453"/>
        <v>22.318333333333296</v>
      </c>
      <c r="Y136" s="313">
        <f t="shared" si="454"/>
        <v>21.102333333333331</v>
      </c>
      <c r="Z136" s="313">
        <f t="shared" ca="1" si="455"/>
        <v>21.102333333333295</v>
      </c>
      <c r="AA136" s="419">
        <f t="shared" si="277"/>
        <v>1.216</v>
      </c>
      <c r="AB136" s="423">
        <f t="shared" ca="1" si="278"/>
        <v>1.216</v>
      </c>
      <c r="AC136" s="221">
        <v>40532</v>
      </c>
      <c r="AD136" s="221">
        <v>40528</v>
      </c>
      <c r="AE136" s="221">
        <v>40527</v>
      </c>
      <c r="AF136" s="221">
        <v>40523</v>
      </c>
      <c r="AG136" s="241" t="s">
        <v>497</v>
      </c>
      <c r="AH136" s="239" t="s">
        <v>497</v>
      </c>
      <c r="AI136" s="141">
        <v>21</v>
      </c>
      <c r="AJ136" s="41">
        <v>14</v>
      </c>
      <c r="AK136" s="41">
        <v>7</v>
      </c>
      <c r="AL136" s="285">
        <v>21</v>
      </c>
      <c r="AM136" s="41">
        <v>10</v>
      </c>
      <c r="AN136" s="142">
        <v>11</v>
      </c>
      <c r="AO136" s="364">
        <v>5.90414017146745E-2</v>
      </c>
      <c r="AP136" s="145">
        <f t="shared" ca="1" si="320"/>
        <v>0.56498584456886325</v>
      </c>
      <c r="AQ136" s="364">
        <v>4.9766921284584202E-2</v>
      </c>
      <c r="AR136" s="145">
        <f t="shared" ca="1" si="420"/>
        <v>0.6211591196967422</v>
      </c>
      <c r="AS136" s="264">
        <f t="shared" si="456"/>
        <v>0.16276666666666667</v>
      </c>
      <c r="AT136" s="149">
        <f t="shared" si="321"/>
        <v>0.16290000000000002</v>
      </c>
      <c r="AU136" s="149">
        <f t="shared" si="280"/>
        <v>0.16274761904761906</v>
      </c>
      <c r="AV136" s="263">
        <f t="shared" ca="1" si="430"/>
        <v>0.16025322069795753</v>
      </c>
      <c r="AW136" s="150" t="str">
        <f t="shared" ca="1" si="457"/>
        <v/>
      </c>
      <c r="AX136" s="149">
        <f t="shared" ca="1" si="421"/>
        <v>1.266490042783071E-2</v>
      </c>
      <c r="AY136" s="149">
        <f t="shared" ca="1" si="422"/>
        <v>5.2134110870709818E-3</v>
      </c>
      <c r="AZ136" s="149">
        <f t="shared" ca="1" si="423"/>
        <v>3.9130489264316863E-3</v>
      </c>
      <c r="BA136" s="149">
        <f t="shared" ca="1" si="424"/>
        <v>1.0000000000000445E-4</v>
      </c>
      <c r="BB136" s="149">
        <f t="shared" ca="1" si="425"/>
        <v>1.0000000000000445E-4</v>
      </c>
      <c r="BC136" s="149">
        <f t="shared" ca="1" si="426"/>
        <v>1.0000000000000445E-4</v>
      </c>
      <c r="BD136" s="143">
        <f t="shared" ca="1" si="458"/>
        <v>0</v>
      </c>
      <c r="BE136" s="144">
        <f t="shared" ca="1" si="459"/>
        <v>0</v>
      </c>
      <c r="BF136" s="40">
        <f t="shared" si="460"/>
        <v>2011</v>
      </c>
      <c r="BG136" s="139">
        <f t="shared" si="461"/>
        <v>1</v>
      </c>
      <c r="BH136" s="140">
        <f t="shared" ca="1" si="462"/>
        <v>3538</v>
      </c>
      <c r="BI136" s="304">
        <f t="shared" ca="1" si="440"/>
        <v>9.7303216974674882</v>
      </c>
      <c r="BJ136" s="42">
        <f t="shared" ca="1" si="288"/>
        <v>9.7850787132101296</v>
      </c>
      <c r="BK136" s="42">
        <f t="shared" ca="1" si="289"/>
        <v>9.7878165639972625</v>
      </c>
      <c r="BL136" s="42">
        <f t="shared" ca="1" si="441"/>
        <v>9.8124572210814502</v>
      </c>
      <c r="BM136" s="285">
        <f t="shared" si="442"/>
        <v>21</v>
      </c>
      <c r="BN136" s="41">
        <f t="shared" si="443"/>
        <v>14</v>
      </c>
      <c r="BO136" s="41">
        <f t="shared" si="444"/>
        <v>7</v>
      </c>
      <c r="BP136" s="297" t="str">
        <f t="shared" ca="1" si="293"/>
        <v/>
      </c>
      <c r="BQ136" s="297" t="str">
        <f t="shared" ca="1" si="294"/>
        <v/>
      </c>
      <c r="BR136" s="299" t="str">
        <f t="shared" ca="1" si="295"/>
        <v/>
      </c>
      <c r="BS136" s="153" t="str">
        <f t="shared" ca="1" si="296"/>
        <v/>
      </c>
      <c r="BT136" s="153" t="str">
        <f t="shared" ca="1" si="297"/>
        <v/>
      </c>
      <c r="BU136" s="300" t="str">
        <f t="shared" ca="1" si="298"/>
        <v/>
      </c>
      <c r="BV136" s="301" t="str">
        <f t="shared" ca="1" si="299"/>
        <v/>
      </c>
      <c r="BW136" s="300" t="str">
        <f t="shared" ca="1" si="300"/>
        <v/>
      </c>
      <c r="BX136" s="301" t="str">
        <f t="shared" ca="1" si="301"/>
        <v/>
      </c>
      <c r="BY136" s="146" t="str">
        <f t="shared" ca="1" si="302"/>
        <v/>
      </c>
      <c r="BZ136" s="146" t="str">
        <f t="shared" ca="1" si="303"/>
        <v/>
      </c>
      <c r="CA136" s="146" t="str">
        <f t="shared" ca="1" si="304"/>
        <v/>
      </c>
      <c r="CB136" s="146" t="str">
        <f t="shared" ca="1" si="305"/>
        <v/>
      </c>
      <c r="CC136" s="302">
        <v>1</v>
      </c>
      <c r="CD136" s="154">
        <f ca="1">IF(BD136,_xll.xCrudeAPO(BS136,BT136,BY136,BZ136,S137,S138,BI136,BL136,BN136,BO136,0,Strike1,AO136,CC136,0,BL136,IF(OptControl=4,0,1),0,1),0)</f>
        <v>0</v>
      </c>
      <c r="CE136" s="155">
        <f ca="1">IF(BD136,_xll.xCrudeAPO(BS136,BT136,BY136,BZ136,S137,S138,BI136,BL136,BN136,BO136,0,Strike1,AO136,CC136,0,BL136,IF(OptControl=4,0,1),1,1)+_xll.xCrudeAPO(BS136,BT136,BY136,BZ136,S137,S138,BI136,BL136,BN136,BO136,0,Strike1,AO136,CC136,0,BL136,IF(OptControl=4,0,1),1,2)+IF(OR(VolSkewFlag=2,ABS(BQ136)&lt;0.0001),0,IF(BQ136&gt;0,-1,1)*CF136*Strike1/BP136^2*BW136/10%),0)</f>
        <v>0</v>
      </c>
      <c r="CF136" s="155">
        <f ca="1">IF(BD136,(_xll.xCrudeAPO(BS136,BT136,BY136,BZ136,S137,S138,BI136,BL136,BN136,BO136,0,Strike1,AO136,CC136,0,BL136,IF(OptControl=4,0,1),3,1)+_xll.xCrudeAPO(BS136,BT136,BY136,BZ136,S137,S138,BI136,BL136,BN136,BO136,0,Strike1,AO136,CC136,0,BL136,IF(OptControl=4,0,1),3,2))/100,0)</f>
        <v>0</v>
      </c>
      <c r="CG136" s="155">
        <f ca="1">IF(BD136,_xll.xCrudeAPO(BS136,BT136,BY136,BZ136,S137,S138,BI136-DaysForThetaCalculation/365.25,BL136-DaysForThetaCalculation/365.25,BN136,BO136,0,Strike1,AO136,CC136,0,BL136,IF(OptControl=4,0,1),0,1)-_xll.xCrudeAPO(BS136,BT136,BY136,BZ136,S137,S138,BI136,BL136,BN136,BO136,0,Strike1,AO136,CC136,0,BL136,IF(OptControl=4,0,1),0,1),0)</f>
        <v>0</v>
      </c>
      <c r="CH136" s="303">
        <f ca="1">IF(BD136,_xll.xCrudeAPO(BS136,BT136,CA136,CB136,S137,S138,BI136,BL136,BN136,BO136,0,Strike2,AO136,CC136,0,BL136,IF(OptControl=3,1,0),0,1),0)</f>
        <v>0</v>
      </c>
      <c r="CI136" s="155">
        <f ca="1">IF(BD136,_xll.xCrudeAPO(BS136,BT136,CA136,CB136,S137,S138,BI136,BL136,BN136,BO136,0,Strike2,AO136,CC136,0,BL136,IF(OptControl=3,1,0),1,1)+_xll.xCrudeAPO(BS136,BT136,CA136,CB136,S137,S138,BI136,BL136,BN136,BO136,0,Strike2,AO136,CC136,0,BL136,IF(OptControl=3,1,0),1,2)+IF(OR(VolSkewFlag=2,ABS(BR136)&lt;0.0001),0,IF(BR136&gt;0,-1,1)*CJ136*Strike2/BP136^2*BX136/10%),0)</f>
        <v>0</v>
      </c>
      <c r="CJ136" s="155">
        <f ca="1">IF(BD136,(_xll.xCrudeAPO(BS136,BT136,CA136,CB136,S137,S138,BI136,BL136,BN136,BO136,0,Strike2,AO136,CC136,0,BL136,IF(OptControl=3,1,0),3,1)+_xll.xCrudeAPO(BS136,BT136,CA136,CB136,S137,S138,BI136,BL136,BN136,BO136,0,Strike2,AO136,CC136,0,BL136,IF(OptControl=3,1,0),3,2))/100,0)</f>
        <v>0</v>
      </c>
      <c r="CK136" s="156">
        <f ca="1">IF(BD136,_xll.xCrudeAPO(BS136,BT136,CA136,CB136,S137,S138,BI136-DaysForThetaCalculation/365.25,BL136-DaysForThetaCalculation/365.25,BN136,BO136,0,Strike2,AO136,CC136,0,BL136,IF(OptControl=3,1,0),0,1)-_xll.xCrudeAPO(BS136,BT136,CA136,CB136,S137,S138,BI136,BL136,BN136,BO136,0,Strike2,AO136,CC136,0,BL136,IF(OptControl=3,1,0),0,1),0)</f>
        <v>0</v>
      </c>
      <c r="CL136" s="51"/>
      <c r="CM136" s="779" t="str">
        <f t="shared" ca="1" si="323"/>
        <v/>
      </c>
      <c r="CN136" s="783" t="str">
        <f t="shared" ca="1" si="324"/>
        <v/>
      </c>
      <c r="CO136" s="780" t="str">
        <f t="shared" ca="1" si="325"/>
        <v/>
      </c>
      <c r="CP136" s="780" t="str">
        <f t="shared" ca="1" si="326"/>
        <v/>
      </c>
      <c r="CQ136" s="780" t="str">
        <f t="shared" ca="1" si="327"/>
        <v/>
      </c>
      <c r="CR136" s="780" t="str">
        <f t="shared" ca="1" si="328"/>
        <v/>
      </c>
      <c r="CS136" s="781" t="str">
        <f t="shared" ca="1" si="329"/>
        <v/>
      </c>
      <c r="CT136" s="782" t="str">
        <f t="shared" ca="1" si="330"/>
        <v/>
      </c>
      <c r="CU136" s="782" t="str">
        <f t="shared" ca="1" si="331"/>
        <v/>
      </c>
      <c r="CV136" s="155">
        <f ca="1">IF(BD136,_xll.EURO(CN136,Strike1,AO136,AO136,CT136,CM136,IF(OptControl=4,0,1),0),0)</f>
        <v>0</v>
      </c>
      <c r="CW136" s="155">
        <f ca="1">IF(BD136,_xll.EURO(CN136,Strike1,AO136,AO136,CT136,CM136,IF(OptControl=4,0,1),1)+IF(OR(VolSkewFlag=2,ABS(CO136)&lt;0.0001),0,IF(CO136&gt;0,-1,1)*CX136*100*Strike1/CN136^2*CQ136/10%),0)</f>
        <v>0</v>
      </c>
      <c r="CX136" s="155">
        <f ca="1">IF(BD136,_xll.EURO(CN136,Strike1,AO136,AO136,CT136,CM136,IF(OptControl=4,0,1),3)/100,0)</f>
        <v>0</v>
      </c>
      <c r="CY136" s="155">
        <f ca="1">IF(BD136,_xll.EURO(CN136,Strike1,AO136,AO136,CT136,CM136,IF(OptControl=4,0,1),0)-_xll.EURO(CN136,Strike1,AO136,AO136,CT136,CM136-1,IF(OptControl=4,0,1),0),0)</f>
        <v>0</v>
      </c>
      <c r="CZ136" s="155">
        <f ca="1">IF(BD136,_xll.EURO(CN136,Strike2,AO136,AO136,CU136,CM136,IF(OptControl=3,1,0),0),0)</f>
        <v>0</v>
      </c>
      <c r="DA136" s="155">
        <f ca="1">IF(BD136,_xll.EURO(CN136,Strike2,AO136,AO136,CU136,CM136,IF(OptControl=3,1,0),1)+IF(OR(VolSkewFlag=2,ABS(CP136)&lt;0.0001),0,IF(CP136&gt;0,-1,1)*DB136*100*Strike2/CN136^2*CR136/10%),0)</f>
        <v>0</v>
      </c>
      <c r="DB136" s="155">
        <f ca="1">IF(BD136,_xll.EURO(CN136,Strike2,AO136,AO136,CU136,CM136,IF(OptControl=3,1,0),3)/100,0)</f>
        <v>0</v>
      </c>
      <c r="DC136" s="156">
        <f ca="1">IF(BD136,_xll.EURO(CN136,Strike2,AO136,AO136,CU136,CM136,IF(OptControl=3,1,0),0)-_xll.EURO(CN136,Strike2,AO136,AO136,CU136,CM136-1,IF(OptControl=3,1,0),0),0)</f>
        <v>0</v>
      </c>
      <c r="DE136" s="651">
        <f t="shared" ca="1" si="332"/>
        <v>40452</v>
      </c>
      <c r="DF136" s="465">
        <v>1E-4</v>
      </c>
      <c r="DG136" s="649">
        <v>1E-4</v>
      </c>
      <c r="DH136" s="650">
        <f t="shared" ca="1" si="463"/>
        <v>40452</v>
      </c>
      <c r="DI136" s="465">
        <v>1E-4</v>
      </c>
      <c r="DJ136" s="649">
        <v>1E-4</v>
      </c>
      <c r="DK136" s="651">
        <f t="shared" ca="1" si="464"/>
        <v>40452</v>
      </c>
      <c r="DL136" s="652">
        <f t="shared" si="465"/>
        <v>5.0100000000000006E-2</v>
      </c>
      <c r="DM136" s="651">
        <f t="shared" ca="1" si="333"/>
        <v>40452</v>
      </c>
      <c r="DN136" s="563">
        <f t="shared" si="334"/>
        <v>-0.12990000000000002</v>
      </c>
      <c r="DO136" s="803">
        <v>-0.13</v>
      </c>
      <c r="DP136" s="650">
        <f t="shared" ca="1" si="466"/>
        <v>40452</v>
      </c>
      <c r="DQ136" s="653">
        <v>1E-4</v>
      </c>
      <c r="DR136" s="590">
        <v>1E-4</v>
      </c>
      <c r="DS136" s="650">
        <f t="shared" ca="1" si="467"/>
        <v>40452</v>
      </c>
      <c r="DT136" s="653">
        <v>1E-4</v>
      </c>
      <c r="DU136" s="590">
        <v>1E-4</v>
      </c>
      <c r="DV136" s="651">
        <f t="shared" ca="1" si="468"/>
        <v>40452</v>
      </c>
      <c r="DW136" s="590">
        <v>1E-4</v>
      </c>
      <c r="DX136" s="651">
        <f t="shared" ca="1" si="335"/>
        <v>40452</v>
      </c>
      <c r="DY136" s="590">
        <f t="shared" si="336"/>
        <v>1E-4</v>
      </c>
      <c r="DZ136" s="1"/>
      <c r="EA136" s="857"/>
      <c r="EB136" s="857"/>
      <c r="EC136" s="857"/>
      <c r="ED136" s="868" t="e">
        <f t="shared" ca="1" si="436"/>
        <v>#NAME?</v>
      </c>
      <c r="EE136" s="863" t="e">
        <f t="shared" ca="1" si="312"/>
        <v>#NAME?</v>
      </c>
      <c r="EF136" s="590" t="e">
        <f t="shared" ca="1" si="313"/>
        <v>#NAME?</v>
      </c>
      <c r="EG136" s="862" t="str">
        <f t="shared" ca="1" si="469"/>
        <v/>
      </c>
      <c r="EH136" s="114" t="str">
        <f t="shared" ca="1" si="315"/>
        <v/>
      </c>
      <c r="EI136" s="109" t="str">
        <f t="shared" ca="1" si="316"/>
        <v/>
      </c>
      <c r="EJ136" s="115">
        <f ca="1">IF(BD136,_xll.xASN(BP136,Strike1,AO136,EH136,0,BM136,0,BI136,BL136,IF(OptControl=4,0,1),0),0)</f>
        <v>0</v>
      </c>
      <c r="EK136" s="108">
        <f ca="1">IF(BD136,_xll.xASN(BP136,Strike2,AO136,EI136,0,BM136,0,BI136,BL136,IF(OptControl=3,1,0),0),0)</f>
        <v>0</v>
      </c>
      <c r="EP136" s="53"/>
      <c r="EQ136" s="1"/>
      <c r="ER136" s="103"/>
      <c r="ES136" s="103"/>
      <c r="ET136" s="1"/>
      <c r="EU136" s="667" t="s">
        <v>348</v>
      </c>
      <c r="EW136" s="445"/>
      <c r="EX136" s="36"/>
      <c r="EY136" s="104"/>
      <c r="EZ136" s="465"/>
      <c r="FA136" s="446"/>
      <c r="FB136" s="446"/>
      <c r="FC136" s="242"/>
      <c r="FD136" s="242"/>
      <c r="FE136" s="242"/>
      <c r="FF136" s="242"/>
      <c r="FG136" s="242"/>
      <c r="FH136" s="242"/>
      <c r="FI136" s="242"/>
      <c r="FJ136" s="242"/>
      <c r="FK136" s="242"/>
      <c r="FL136" s="242"/>
      <c r="FM136" s="242"/>
      <c r="FN136" s="657">
        <v>42</v>
      </c>
      <c r="FO136" s="450">
        <f t="shared" ca="1" si="477"/>
        <v>0.17443647452966701</v>
      </c>
      <c r="FP136" s="450">
        <f t="shared" ca="1" si="481"/>
        <v>0.17458757220191706</v>
      </c>
      <c r="FQ136" s="450">
        <f t="shared" ca="1" si="481"/>
        <v>0.17458770976344712</v>
      </c>
      <c r="FR136" s="450">
        <f t="shared" ca="1" si="481"/>
        <v>0.17461474260009194</v>
      </c>
      <c r="FS136" s="450">
        <f t="shared" ca="1" si="481"/>
        <v>0.17467144899580442</v>
      </c>
      <c r="FT136" s="450">
        <f t="shared" ca="1" si="481"/>
        <v>0.17476093619215255</v>
      </c>
      <c r="FU136" s="450">
        <f t="shared" ca="1" si="481"/>
        <v>0.17488668150297196</v>
      </c>
      <c r="FV136" s="450">
        <f t="shared" ca="1" si="481"/>
        <v>0.17505257914837735</v>
      </c>
      <c r="FW136" s="450">
        <f t="shared" ca="1" si="481"/>
        <v>0.17526299373176715</v>
      </c>
      <c r="FX136" s="450">
        <f t="shared" ca="1" si="481"/>
        <v>0.17552282145973777</v>
      </c>
      <c r="FY136" s="450">
        <f t="shared" ca="1" si="481"/>
        <v>0.17583756042024748</v>
      </c>
      <c r="FZ136" s="450">
        <f t="shared" ca="1" si="481"/>
        <v>0.17621339149875573</v>
      </c>
      <c r="GA136" s="450">
        <f t="shared" ca="1" si="481"/>
        <v>0.17665727183797419</v>
      </c>
      <c r="GB136" s="450">
        <f t="shared" ca="1" si="481"/>
        <v>0.17717704315043725</v>
      </c>
      <c r="GC136" s="450">
        <f t="shared" ca="1" si="481"/>
        <v>0.17778155769513143</v>
      </c>
      <c r="GD136" s="450">
        <f t="shared" ca="1" si="481"/>
        <v>0.17848082535694579</v>
      </c>
      <c r="GE136" s="450">
        <f t="shared" ca="1" si="481"/>
        <v>0.17928618605591573</v>
      </c>
      <c r="GF136" s="450">
        <f t="shared" ca="1" si="481"/>
        <v>0.18021051270834845</v>
      </c>
      <c r="GG136" s="450">
        <f t="shared" ca="1" si="481"/>
        <v>0.18126845122488716</v>
      </c>
      <c r="GH136" s="450">
        <f t="shared" ca="1" si="481"/>
        <v>0.18247670564233123</v>
      </c>
      <c r="GI136" s="450">
        <f t="shared" ca="1" si="481"/>
        <v>0.18385437855473291</v>
      </c>
      <c r="GJ136" s="450">
        <f t="shared" ca="1" si="481"/>
        <v>0.18542337968047423</v>
      </c>
      <c r="GK136" s="450">
        <f t="shared" ca="1" si="481"/>
        <v>0.18720891887291907</v>
      </c>
      <c r="GL136" s="450">
        <f t="shared" ca="1" si="481"/>
        <v>0.18924010442216513</v>
      </c>
      <c r="GM136" s="450">
        <f t="shared" ca="1" si="481"/>
        <v>0.19155067347509158</v>
      </c>
      <c r="GN136" s="450">
        <f t="shared" ca="1" si="481"/>
        <v>0.19417988933480809</v>
      </c>
      <c r="GO136" s="450">
        <f t="shared" ca="1" si="481"/>
        <v>0.1971736510091226</v>
      </c>
      <c r="GP136" s="450">
        <f t="shared" ca="1" si="481"/>
        <v>0.20058587467871353</v>
      </c>
      <c r="GQ136" s="450">
        <f t="shared" ca="1" si="481"/>
        <v>0.20448022620178333</v>
      </c>
      <c r="GR136" s="450">
        <f t="shared" ca="1" si="481"/>
        <v>0.20893231045701213</v>
      </c>
      <c r="GS136" s="450">
        <f t="shared" ca="1" si="481"/>
        <v>0.21403246030200265</v>
      </c>
      <c r="GT136" s="450">
        <f t="shared" ca="1" si="481"/>
        <v>0.21988931968811881</v>
      </c>
      <c r="GU136" s="450">
        <f t="shared" ca="1" si="481"/>
        <v>0.22663448873600722</v>
      </c>
      <c r="GV136" s="450">
        <f t="shared" ca="1" si="481"/>
        <v>0.23442860348284617</v>
      </c>
      <c r="GW136" s="450">
        <f t="shared" ca="1" si="481"/>
        <v>0.24346937510551167</v>
      </c>
      <c r="GX136" s="450">
        <f t="shared" ca="1" si="481"/>
        <v>0.25400233687015478</v>
      </c>
      <c r="GY136" s="450">
        <f t="shared" ca="1" si="481"/>
        <v>0.26633538002434676</v>
      </c>
      <c r="GZ136" s="450">
        <f t="shared" ca="1" si="481"/>
        <v>0.28085866362377493</v>
      </c>
      <c r="HA136" s="450">
        <f t="shared" ca="1" si="481"/>
        <v>0.29807225807928389</v>
      </c>
      <c r="HB136" s="450">
        <f t="shared" ca="1" si="481"/>
        <v>0.31862509505139891</v>
      </c>
      <c r="HC136" s="450">
        <f t="shared" ca="1" si="481"/>
        <v>0.34337073148381808</v>
      </c>
      <c r="HD136" s="450">
        <f t="shared" ca="1" si="481"/>
        <v>0.37344858792848407</v>
      </c>
      <c r="HE136" s="450" t="str">
        <f t="shared" si="481"/>
        <v/>
      </c>
      <c r="HF136" s="450" t="str">
        <f t="shared" si="481"/>
        <v/>
      </c>
      <c r="HG136" s="450" t="str">
        <f t="shared" si="481"/>
        <v/>
      </c>
      <c r="HH136" s="450" t="str">
        <f t="shared" si="481"/>
        <v/>
      </c>
      <c r="HI136" s="450" t="str">
        <f t="shared" si="481"/>
        <v/>
      </c>
      <c r="HJ136" s="450" t="str">
        <f t="shared" si="481"/>
        <v/>
      </c>
      <c r="HK136" s="450" t="str">
        <f t="shared" si="481"/>
        <v/>
      </c>
      <c r="HL136" s="450" t="str">
        <f t="shared" si="481"/>
        <v/>
      </c>
      <c r="HM136" s="450" t="str">
        <f t="shared" si="481"/>
        <v/>
      </c>
      <c r="HN136" s="450" t="str">
        <f t="shared" si="481"/>
        <v/>
      </c>
      <c r="HO136" s="450" t="str">
        <f t="shared" si="481"/>
        <v/>
      </c>
      <c r="HP136" s="450" t="str">
        <f t="shared" si="481"/>
        <v/>
      </c>
      <c r="HQ136" s="450" t="str">
        <f t="shared" si="481"/>
        <v/>
      </c>
      <c r="HR136" s="450" t="str">
        <f t="shared" si="481"/>
        <v/>
      </c>
      <c r="HS136" s="450" t="str">
        <f t="shared" si="481"/>
        <v/>
      </c>
      <c r="HT136" s="450" t="str">
        <f t="shared" si="481"/>
        <v/>
      </c>
      <c r="HU136" s="450" t="str">
        <f t="shared" si="481"/>
        <v/>
      </c>
      <c r="HV136" s="450" t="str">
        <f t="shared" si="481"/>
        <v/>
      </c>
      <c r="HW136" s="450" t="str">
        <f t="shared" si="481"/>
        <v/>
      </c>
      <c r="HX136" s="450" t="str">
        <f t="shared" si="481"/>
        <v/>
      </c>
      <c r="HY136" s="450" t="str">
        <f t="shared" si="481"/>
        <v/>
      </c>
      <c r="HZ136" s="450" t="str">
        <f t="shared" si="481"/>
        <v/>
      </c>
      <c r="IA136" s="450" t="str">
        <f t="shared" ref="IA136:IH139" si="482">IF($FN61&lt;IA$94,"",SQRT(IA61/IA$15))</f>
        <v/>
      </c>
      <c r="IB136" s="450" t="str">
        <f t="shared" si="482"/>
        <v/>
      </c>
      <c r="IC136" s="450" t="str">
        <f t="shared" si="482"/>
        <v/>
      </c>
      <c r="ID136" s="450" t="str">
        <f t="shared" si="482"/>
        <v/>
      </c>
      <c r="IE136" s="450" t="str">
        <f t="shared" si="482"/>
        <v/>
      </c>
      <c r="IF136" s="450" t="str">
        <f t="shared" si="482"/>
        <v/>
      </c>
      <c r="IG136" s="450" t="str">
        <f t="shared" si="482"/>
        <v/>
      </c>
      <c r="IH136" s="658" t="str">
        <f t="shared" si="482"/>
        <v/>
      </c>
      <c r="II136" s="242"/>
    </row>
    <row r="137" spans="8:243">
      <c r="H137" s="49" t="e">
        <f t="shared" ca="1" si="317"/>
        <v>#N/A</v>
      </c>
      <c r="I137" s="369">
        <f t="shared" si="318"/>
        <v>40575</v>
      </c>
      <c r="J137" s="367">
        <v>22.31</v>
      </c>
      <c r="K137" s="101" t="s">
        <v>267</v>
      </c>
      <c r="L137" s="382">
        <f t="shared" si="319"/>
        <v>22.309999999999963</v>
      </c>
      <c r="M137" s="163">
        <v>0.1628</v>
      </c>
      <c r="N137" s="372">
        <v>0</v>
      </c>
      <c r="O137" s="163">
        <f t="shared" si="272"/>
        <v>0.1628</v>
      </c>
      <c r="P137" s="367">
        <v>21.072348047388399</v>
      </c>
      <c r="Q137" s="101" t="s">
        <v>267</v>
      </c>
      <c r="R137" s="367">
        <f t="shared" ca="1" si="417"/>
        <v>21.072348047388363</v>
      </c>
      <c r="S137" s="814">
        <f t="shared" si="474"/>
        <v>0.35558305407245733</v>
      </c>
      <c r="T137" s="813">
        <f t="shared" si="418"/>
        <v>0.99999965421269965</v>
      </c>
      <c r="U137" s="532">
        <f t="shared" si="419"/>
        <v>0.99999999999999978</v>
      </c>
      <c r="V137" s="379">
        <v>0</v>
      </c>
      <c r="W137" s="424">
        <f t="shared" si="452"/>
        <v>22.342500000000001</v>
      </c>
      <c r="X137" s="405">
        <f t="shared" si="453"/>
        <v>22.342499999999962</v>
      </c>
      <c r="Y137" s="313">
        <f t="shared" si="454"/>
        <v>21.1265</v>
      </c>
      <c r="Z137" s="313">
        <f t="shared" ca="1" si="455"/>
        <v>21.126499999999961</v>
      </c>
      <c r="AA137" s="419">
        <f t="shared" si="277"/>
        <v>1.216</v>
      </c>
      <c r="AB137" s="423">
        <f t="shared" ca="1" si="278"/>
        <v>1.216</v>
      </c>
      <c r="AC137" s="221">
        <v>40563</v>
      </c>
      <c r="AD137" s="221">
        <v>40559</v>
      </c>
      <c r="AE137" s="221">
        <v>40558</v>
      </c>
      <c r="AF137" s="221">
        <v>40554</v>
      </c>
      <c r="AG137" s="241" t="s">
        <v>497</v>
      </c>
      <c r="AH137" s="239" t="s">
        <v>497</v>
      </c>
      <c r="AI137" s="141">
        <v>20</v>
      </c>
      <c r="AJ137" s="41">
        <v>14</v>
      </c>
      <c r="AK137" s="41">
        <v>6</v>
      </c>
      <c r="AL137" s="285">
        <v>20</v>
      </c>
      <c r="AM137" s="41">
        <v>10</v>
      </c>
      <c r="AN137" s="142">
        <v>10</v>
      </c>
      <c r="AO137" s="364">
        <v>5.9118810477352998E-2</v>
      </c>
      <c r="AP137" s="145">
        <f t="shared" ca="1" si="320"/>
        <v>0.56205322625257881</v>
      </c>
      <c r="AQ137" s="364">
        <v>4.9787728663970701E-2</v>
      </c>
      <c r="AR137" s="145">
        <f t="shared" ca="1" si="420"/>
        <v>0.61845022459478327</v>
      </c>
      <c r="AS137" s="264">
        <f t="shared" si="456"/>
        <v>0.16267000000000001</v>
      </c>
      <c r="AT137" s="149">
        <f t="shared" si="321"/>
        <v>0.1628</v>
      </c>
      <c r="AU137" s="149">
        <f t="shared" si="280"/>
        <v>0.16265000000000002</v>
      </c>
      <c r="AV137" s="263">
        <f t="shared" ca="1" si="430"/>
        <v>0.16008811381091462</v>
      </c>
      <c r="AW137" s="150" t="str">
        <f t="shared" ca="1" si="457"/>
        <v/>
      </c>
      <c r="AX137" s="149">
        <f t="shared" ca="1" si="421"/>
        <v>1.2486981199732024E-2</v>
      </c>
      <c r="AY137" s="149">
        <f t="shared" ca="1" si="422"/>
        <v>5.1237098215267682E-3</v>
      </c>
      <c r="AZ137" s="149">
        <f t="shared" ca="1" si="423"/>
        <v>3.8664135627434456E-3</v>
      </c>
      <c r="BA137" s="149">
        <f t="shared" ca="1" si="424"/>
        <v>1.000000000000045E-4</v>
      </c>
      <c r="BB137" s="149">
        <f t="shared" ca="1" si="425"/>
        <v>1.000000000000045E-4</v>
      </c>
      <c r="BC137" s="149">
        <f t="shared" ca="1" si="426"/>
        <v>1.000000000000045E-4</v>
      </c>
      <c r="BD137" s="143">
        <f t="shared" ca="1" si="458"/>
        <v>0</v>
      </c>
      <c r="BE137" s="144">
        <f t="shared" ca="1" si="459"/>
        <v>0</v>
      </c>
      <c r="BF137" s="40">
        <f t="shared" si="460"/>
        <v>2011</v>
      </c>
      <c r="BG137" s="139">
        <f t="shared" si="461"/>
        <v>2</v>
      </c>
      <c r="BH137" s="140">
        <f t="shared" ca="1" si="462"/>
        <v>3569</v>
      </c>
      <c r="BI137" s="304">
        <f t="shared" ca="1" si="440"/>
        <v>9.8151950718685832</v>
      </c>
      <c r="BJ137" s="42">
        <f t="shared" ca="1" si="288"/>
        <v>9.8669404517453803</v>
      </c>
      <c r="BK137" s="42">
        <f t="shared" ca="1" si="289"/>
        <v>9.8696783025325132</v>
      </c>
      <c r="BL137" s="42">
        <f t="shared" ca="1" si="441"/>
        <v>9.8891170431211499</v>
      </c>
      <c r="BM137" s="285">
        <f t="shared" si="442"/>
        <v>20</v>
      </c>
      <c r="BN137" s="41">
        <f t="shared" si="443"/>
        <v>14</v>
      </c>
      <c r="BO137" s="41">
        <f t="shared" si="444"/>
        <v>6</v>
      </c>
      <c r="BP137" s="297" t="str">
        <f t="shared" ca="1" si="293"/>
        <v/>
      </c>
      <c r="BQ137" s="297" t="str">
        <f t="shared" ca="1" si="294"/>
        <v/>
      </c>
      <c r="BR137" s="299" t="str">
        <f t="shared" ca="1" si="295"/>
        <v/>
      </c>
      <c r="BS137" s="153" t="str">
        <f t="shared" ca="1" si="296"/>
        <v/>
      </c>
      <c r="BT137" s="153" t="str">
        <f t="shared" ca="1" si="297"/>
        <v/>
      </c>
      <c r="BU137" s="300" t="str">
        <f t="shared" ca="1" si="298"/>
        <v/>
      </c>
      <c r="BV137" s="301" t="str">
        <f t="shared" ca="1" si="299"/>
        <v/>
      </c>
      <c r="BW137" s="300" t="str">
        <f t="shared" ca="1" si="300"/>
        <v/>
      </c>
      <c r="BX137" s="301" t="str">
        <f t="shared" ca="1" si="301"/>
        <v/>
      </c>
      <c r="BY137" s="146" t="str">
        <f t="shared" ca="1" si="302"/>
        <v/>
      </c>
      <c r="BZ137" s="146" t="str">
        <f t="shared" ca="1" si="303"/>
        <v/>
      </c>
      <c r="CA137" s="146" t="str">
        <f t="shared" ca="1" si="304"/>
        <v/>
      </c>
      <c r="CB137" s="146" t="str">
        <f t="shared" ca="1" si="305"/>
        <v/>
      </c>
      <c r="CC137" s="302">
        <v>1</v>
      </c>
      <c r="CD137" s="154">
        <f ca="1">IF(BD137,_xll.xCrudeAPO(BS137,BT137,BY137,BZ137,S138,S139,BI137,BL137,BN137,BO137,0,Strike1,AO137,CC137,0,BL137,IF(OptControl=4,0,1),0,1),0)</f>
        <v>0</v>
      </c>
      <c r="CE137" s="155">
        <f ca="1">IF(BD137,_xll.xCrudeAPO(BS137,BT137,BY137,BZ137,S138,S139,BI137,BL137,BN137,BO137,0,Strike1,AO137,CC137,0,BL137,IF(OptControl=4,0,1),1,1)+_xll.xCrudeAPO(BS137,BT137,BY137,BZ137,S138,S139,BI137,BL137,BN137,BO137,0,Strike1,AO137,CC137,0,BL137,IF(OptControl=4,0,1),1,2)+IF(OR(VolSkewFlag=2,ABS(BQ137)&lt;0.0001),0,IF(BQ137&gt;0,-1,1)*CF137*Strike1/BP137^2*BW137/10%),0)</f>
        <v>0</v>
      </c>
      <c r="CF137" s="155">
        <f ca="1">IF(BD137,(_xll.xCrudeAPO(BS137,BT137,BY137,BZ137,S138,S139,BI137,BL137,BN137,BO137,0,Strike1,AO137,CC137,0,BL137,IF(OptControl=4,0,1),3,1)+_xll.xCrudeAPO(BS137,BT137,BY137,BZ137,S138,S139,BI137,BL137,BN137,BO137,0,Strike1,AO137,CC137,0,BL137,IF(OptControl=4,0,1),3,2))/100,0)</f>
        <v>0</v>
      </c>
      <c r="CG137" s="155">
        <f ca="1">IF(BD137,_xll.xCrudeAPO(BS137,BT137,BY137,BZ137,S138,S139,BI137-DaysForThetaCalculation/365.25,BL137-DaysForThetaCalculation/365.25,BN137,BO137,0,Strike1,AO137,CC137,0,BL137,IF(OptControl=4,0,1),0,1)-_xll.xCrudeAPO(BS137,BT137,BY137,BZ137,S138,S139,BI137,BL137,BN137,BO137,0,Strike1,AO137,CC137,0,BL137,IF(OptControl=4,0,1),0,1),0)</f>
        <v>0</v>
      </c>
      <c r="CH137" s="303">
        <f ca="1">IF(BD137,_xll.xCrudeAPO(BS137,BT137,CA137,CB137,S138,S139,BI137,BL137,BN137,BO137,0,Strike2,AO137,CC137,0,BL137,IF(OptControl=3,1,0),0,1),0)</f>
        <v>0</v>
      </c>
      <c r="CI137" s="155">
        <f ca="1">IF(BD137,_xll.xCrudeAPO(BS137,BT137,CA137,CB137,S138,S139,BI137,BL137,BN137,BO137,0,Strike2,AO137,CC137,0,BL137,IF(OptControl=3,1,0),1,1)+_xll.xCrudeAPO(BS137,BT137,CA137,CB137,S138,S139,BI137,BL137,BN137,BO137,0,Strike2,AO137,CC137,0,BL137,IF(OptControl=3,1,0),1,2)+IF(OR(VolSkewFlag=2,ABS(BR137)&lt;0.0001),0,IF(BR137&gt;0,-1,1)*CJ137*Strike2/BP137^2*BX137/10%),0)</f>
        <v>0</v>
      </c>
      <c r="CJ137" s="155">
        <f ca="1">IF(BD137,(_xll.xCrudeAPO(BS137,BT137,CA137,CB137,S138,S139,BI137,BL137,BN137,BO137,0,Strike2,AO137,CC137,0,BL137,IF(OptControl=3,1,0),3,1)+_xll.xCrudeAPO(BS137,BT137,CA137,CB137,S138,S139,BI137,BL137,BN137,BO137,0,Strike2,AO137,CC137,0,BL137,IF(OptControl=3,1,0),3,2))/100,0)</f>
        <v>0</v>
      </c>
      <c r="CK137" s="156">
        <f ca="1">IF(BD137,_xll.xCrudeAPO(BS137,BT137,CA137,CB137,S138,S139,BI137-DaysForThetaCalculation/365.25,BL137-DaysForThetaCalculation/365.25,BN137,BO137,0,Strike2,AO137,CC137,0,BL137,IF(OptControl=3,1,0),0,1)-_xll.xCrudeAPO(BS137,BT137,CA137,CB137,S138,S139,BI137,BL137,BN137,BO137,0,Strike2,AO137,CC137,0,BL137,IF(OptControl=3,1,0),0,1),0)</f>
        <v>0</v>
      </c>
      <c r="CL137" s="51"/>
      <c r="CM137" s="779" t="str">
        <f t="shared" ca="1" si="323"/>
        <v/>
      </c>
      <c r="CN137" s="783" t="str">
        <f t="shared" ca="1" si="324"/>
        <v/>
      </c>
      <c r="CO137" s="780" t="str">
        <f t="shared" ca="1" si="325"/>
        <v/>
      </c>
      <c r="CP137" s="780" t="str">
        <f t="shared" ca="1" si="326"/>
        <v/>
      </c>
      <c r="CQ137" s="780" t="str">
        <f t="shared" ca="1" si="327"/>
        <v/>
      </c>
      <c r="CR137" s="780" t="str">
        <f t="shared" ca="1" si="328"/>
        <v/>
      </c>
      <c r="CS137" s="781" t="str">
        <f t="shared" ca="1" si="329"/>
        <v/>
      </c>
      <c r="CT137" s="782" t="str">
        <f t="shared" ca="1" si="330"/>
        <v/>
      </c>
      <c r="CU137" s="782" t="str">
        <f t="shared" ca="1" si="331"/>
        <v/>
      </c>
      <c r="CV137" s="155">
        <f ca="1">IF(BD137,_xll.EURO(CN137,Strike1,AO137,AO137,CT137,CM137,IF(OptControl=4,0,1),0),0)</f>
        <v>0</v>
      </c>
      <c r="CW137" s="155">
        <f ca="1">IF(BD137,_xll.EURO(CN137,Strike1,AO137,AO137,CT137,CM137,IF(OptControl=4,0,1),1)+IF(OR(VolSkewFlag=2,ABS(CO137)&lt;0.0001),0,IF(CO137&gt;0,-1,1)*CX137*100*Strike1/CN137^2*CQ137/10%),0)</f>
        <v>0</v>
      </c>
      <c r="CX137" s="155">
        <f ca="1">IF(BD137,_xll.EURO(CN137,Strike1,AO137,AO137,CT137,CM137,IF(OptControl=4,0,1),3)/100,0)</f>
        <v>0</v>
      </c>
      <c r="CY137" s="155">
        <f ca="1">IF(BD137,_xll.EURO(CN137,Strike1,AO137,AO137,CT137,CM137,IF(OptControl=4,0,1),0)-_xll.EURO(CN137,Strike1,AO137,AO137,CT137,CM137-1,IF(OptControl=4,0,1),0),0)</f>
        <v>0</v>
      </c>
      <c r="CZ137" s="155">
        <f ca="1">IF(BD137,_xll.EURO(CN137,Strike2,AO137,AO137,CU137,CM137,IF(OptControl=3,1,0),0),0)</f>
        <v>0</v>
      </c>
      <c r="DA137" s="155">
        <f ca="1">IF(BD137,_xll.EURO(CN137,Strike2,AO137,AO137,CU137,CM137,IF(OptControl=3,1,0),1)+IF(OR(VolSkewFlag=2,ABS(CP137)&lt;0.0001),0,IF(CP137&gt;0,-1,1)*DB137*100*Strike2/CN137^2*CR137/10%),0)</f>
        <v>0</v>
      </c>
      <c r="DB137" s="155">
        <f ca="1">IF(BD137,_xll.EURO(CN137,Strike2,AO137,AO137,CU137,CM137,IF(OptControl=3,1,0),3)/100,0)</f>
        <v>0</v>
      </c>
      <c r="DC137" s="156">
        <f ca="1">IF(BD137,_xll.EURO(CN137,Strike2,AO137,AO137,CU137,CM137,IF(OptControl=3,1,0),0)-_xll.EURO(CN137,Strike2,AO137,AO137,CU137,CM137-1,IF(OptControl=3,1,0),0),0)</f>
        <v>0</v>
      </c>
      <c r="DE137" s="651">
        <f t="shared" ca="1" si="332"/>
        <v>40483</v>
      </c>
      <c r="DF137" s="465">
        <v>1E-4</v>
      </c>
      <c r="DG137" s="649">
        <v>1E-4</v>
      </c>
      <c r="DH137" s="650">
        <f t="shared" ca="1" si="463"/>
        <v>40483</v>
      </c>
      <c r="DI137" s="465">
        <v>1E-4</v>
      </c>
      <c r="DJ137" s="649">
        <v>1E-4</v>
      </c>
      <c r="DK137" s="651">
        <f t="shared" ca="1" si="464"/>
        <v>40483</v>
      </c>
      <c r="DL137" s="652">
        <f t="shared" si="465"/>
        <v>5.0100000000000006E-2</v>
      </c>
      <c r="DM137" s="651">
        <f t="shared" ca="1" si="333"/>
        <v>40483</v>
      </c>
      <c r="DN137" s="563">
        <f t="shared" si="334"/>
        <v>-0.12990000000000002</v>
      </c>
      <c r="DO137" s="803">
        <v>-0.13</v>
      </c>
      <c r="DP137" s="650">
        <f t="shared" ca="1" si="466"/>
        <v>40483</v>
      </c>
      <c r="DQ137" s="653">
        <v>1E-4</v>
      </c>
      <c r="DR137" s="590">
        <v>1E-4</v>
      </c>
      <c r="DS137" s="650">
        <f t="shared" ca="1" si="467"/>
        <v>40483</v>
      </c>
      <c r="DT137" s="653">
        <v>1E-4</v>
      </c>
      <c r="DU137" s="590">
        <v>1E-4</v>
      </c>
      <c r="DV137" s="651">
        <f t="shared" ca="1" si="468"/>
        <v>40483</v>
      </c>
      <c r="DW137" s="590">
        <v>1E-4</v>
      </c>
      <c r="DX137" s="651">
        <f t="shared" ca="1" si="335"/>
        <v>40483</v>
      </c>
      <c r="DY137" s="590">
        <f t="shared" si="336"/>
        <v>1E-4</v>
      </c>
      <c r="DZ137" s="1"/>
      <c r="EA137" s="857"/>
      <c r="EB137" s="857"/>
      <c r="EC137" s="857"/>
      <c r="ED137" s="868" t="e">
        <f t="shared" ca="1" si="436"/>
        <v>#NAME?</v>
      </c>
      <c r="EE137" s="863" t="e">
        <f t="shared" ca="1" si="312"/>
        <v>#NAME?</v>
      </c>
      <c r="EF137" s="590" t="e">
        <f t="shared" ca="1" si="313"/>
        <v>#NAME?</v>
      </c>
      <c r="EG137" s="862" t="str">
        <f t="shared" ca="1" si="469"/>
        <v/>
      </c>
      <c r="EH137" s="114" t="str">
        <f t="shared" ca="1" si="315"/>
        <v/>
      </c>
      <c r="EI137" s="109" t="str">
        <f t="shared" ca="1" si="316"/>
        <v/>
      </c>
      <c r="EJ137" s="115">
        <f ca="1">IF(BD137,_xll.xASN(BP137,Strike1,AO137,EH137,0,BM137,0,BI137,BL137,IF(OptControl=4,0,1),0),0)</f>
        <v>0</v>
      </c>
      <c r="EK137" s="108">
        <f ca="1">IF(BD137,_xll.xASN(BP137,Strike2,AO137,EI137,0,BM137,0,BI137,BL137,IF(OptControl=3,1,0),0),0)</f>
        <v>0</v>
      </c>
      <c r="EP137" s="53"/>
      <c r="EQ137" s="1"/>
      <c r="ER137" s="103"/>
      <c r="ES137" s="103"/>
      <c r="ET137" s="1"/>
      <c r="EU137" s="667" t="s">
        <v>349</v>
      </c>
      <c r="EW137" s="445"/>
      <c r="EX137" s="36"/>
      <c r="EY137" s="104"/>
      <c r="EZ137" s="465"/>
      <c r="FA137" s="446"/>
      <c r="FB137" s="446"/>
      <c r="FC137" s="242"/>
      <c r="FD137" s="242"/>
      <c r="FE137" s="242"/>
      <c r="FF137" s="242"/>
      <c r="FG137" s="242"/>
      <c r="FH137" s="242"/>
      <c r="FI137" s="242"/>
      <c r="FJ137" s="242"/>
      <c r="FK137" s="242"/>
      <c r="FL137" s="242"/>
      <c r="FM137" s="242"/>
      <c r="FN137" s="657">
        <v>43</v>
      </c>
      <c r="FO137" s="450">
        <f t="shared" ca="1" si="477"/>
        <v>0.17425523988704256</v>
      </c>
      <c r="FP137" s="450">
        <f t="shared" ref="FP137:IA140" ca="1" si="483">IF($FN62&lt;FP$94,"",SQRT(FP62/FP$15))</f>
        <v>0.17438601430075085</v>
      </c>
      <c r="FQ137" s="450">
        <f t="shared" ca="1" si="483"/>
        <v>0.17436374198114538</v>
      </c>
      <c r="FR137" s="450">
        <f t="shared" ca="1" si="483"/>
        <v>0.17436583321317009</v>
      </c>
      <c r="FS137" s="450">
        <f t="shared" ca="1" si="483"/>
        <v>0.17439477125110883</v>
      </c>
      <c r="FT137" s="450">
        <f t="shared" ca="1" si="483"/>
        <v>0.17445333186506187</v>
      </c>
      <c r="FU137" s="450">
        <f t="shared" ca="1" si="483"/>
        <v>0.17454461948426858</v>
      </c>
      <c r="FV137" s="450">
        <f t="shared" ca="1" si="483"/>
        <v>0.17467210827697285</v>
      </c>
      <c r="FW137" s="450">
        <f t="shared" ca="1" si="483"/>
        <v>0.1748396889449679</v>
      </c>
      <c r="FX137" s="450">
        <f t="shared" ca="1" si="483"/>
        <v>0.17505172215570369</v>
      </c>
      <c r="FY137" s="450">
        <f t="shared" ca="1" si="483"/>
        <v>0.1753130997109793</v>
      </c>
      <c r="FZ137" s="450">
        <f t="shared" ca="1" si="483"/>
        <v>0.17562931476648727</v>
      </c>
      <c r="GA137" s="450">
        <f t="shared" ca="1" si="483"/>
        <v>0.17600654268064617</v>
      </c>
      <c r="GB137" s="450">
        <f t="shared" ca="1" si="483"/>
        <v>0.1764517343968072</v>
      </c>
      <c r="GC137" s="450">
        <f t="shared" ca="1" si="483"/>
        <v>0.17697272466614983</v>
      </c>
      <c r="GD137" s="450">
        <f t="shared" ca="1" si="483"/>
        <v>0.17757835792021495</v>
      </c>
      <c r="GE137" s="450">
        <f t="shared" ca="1" si="483"/>
        <v>0.17827863522902387</v>
      </c>
      <c r="GF137" s="450">
        <f t="shared" ca="1" si="483"/>
        <v>0.17908488656830054</v>
      </c>
      <c r="GG137" s="450">
        <f t="shared" ca="1" si="483"/>
        <v>0.18000997361361781</v>
      </c>
      <c r="GH137" s="450">
        <f t="shared" ca="1" si="483"/>
        <v>0.18106852954122543</v>
      </c>
      <c r="GI137" s="450">
        <f t="shared" ca="1" si="483"/>
        <v>0.18227724392576253</v>
      </c>
      <c r="GJ137" s="450">
        <f t="shared" ca="1" si="483"/>
        <v>0.18365520289207843</v>
      </c>
      <c r="GK137" s="450">
        <f t="shared" ca="1" si="483"/>
        <v>0.1852242973473929</v>
      </c>
      <c r="GL137" s="450">
        <f t="shared" ca="1" si="483"/>
        <v>0.18700971558810262</v>
      </c>
      <c r="GM137" s="450">
        <f t="shared" ca="1" si="483"/>
        <v>0.18904054111178642</v>
      </c>
      <c r="GN137" s="450">
        <f t="shared" ca="1" si="483"/>
        <v>0.1913504824397913</v>
      </c>
      <c r="GO137" s="450">
        <f t="shared" ca="1" si="483"/>
        <v>0.19397876968327155</v>
      </c>
      <c r="GP137" s="450">
        <f t="shared" ca="1" si="483"/>
        <v>0.1969712631855097</v>
      </c>
      <c r="GQ137" s="450">
        <f t="shared" ca="1" si="483"/>
        <v>0.2003818338628732</v>
      </c>
      <c r="GR137" s="450">
        <f t="shared" ca="1" si="483"/>
        <v>0.20427409429721191</v>
      </c>
      <c r="GS137" s="450">
        <f t="shared" ca="1" si="483"/>
        <v>0.20872358629609064</v>
      </c>
      <c r="GT137" s="450">
        <f t="shared" ca="1" si="483"/>
        <v>0.21382056758295512</v>
      </c>
      <c r="GU137" s="450">
        <f t="shared" ca="1" si="483"/>
        <v>0.21967359200157641</v>
      </c>
      <c r="GV137" s="450">
        <f t="shared" ca="1" si="483"/>
        <v>0.22641415082390198</v>
      </c>
      <c r="GW137" s="450">
        <f t="shared" ca="1" si="483"/>
        <v>0.23420274757343076</v>
      </c>
      <c r="GX137" s="450">
        <f t="shared" ca="1" si="483"/>
        <v>0.24323693074812464</v>
      </c>
      <c r="GY137" s="450">
        <f t="shared" ca="1" si="483"/>
        <v>0.25376203209534476</v>
      </c>
      <c r="GZ137" s="450">
        <f t="shared" ca="1" si="483"/>
        <v>0.26608569079242239</v>
      </c>
      <c r="HA137" s="450">
        <f t="shared" ca="1" si="483"/>
        <v>0.28059774726276054</v>
      </c>
      <c r="HB137" s="450">
        <f t="shared" ca="1" si="483"/>
        <v>0.29779786453778373</v>
      </c>
      <c r="HC137" s="450">
        <f t="shared" ca="1" si="483"/>
        <v>0.31833444695795504</v>
      </c>
      <c r="HD137" s="450">
        <f t="shared" ca="1" si="483"/>
        <v>0.3430603596440443</v>
      </c>
      <c r="HE137" s="450">
        <f t="shared" ca="1" si="483"/>
        <v>0.3731141020491992</v>
      </c>
      <c r="HF137" s="450" t="str">
        <f t="shared" si="483"/>
        <v/>
      </c>
      <c r="HG137" s="450" t="str">
        <f t="shared" si="483"/>
        <v/>
      </c>
      <c r="HH137" s="450" t="str">
        <f t="shared" si="483"/>
        <v/>
      </c>
      <c r="HI137" s="450" t="str">
        <f t="shared" si="483"/>
        <v/>
      </c>
      <c r="HJ137" s="450" t="str">
        <f t="shared" si="483"/>
        <v/>
      </c>
      <c r="HK137" s="450" t="str">
        <f t="shared" si="483"/>
        <v/>
      </c>
      <c r="HL137" s="450" t="str">
        <f t="shared" si="483"/>
        <v/>
      </c>
      <c r="HM137" s="450" t="str">
        <f t="shared" si="483"/>
        <v/>
      </c>
      <c r="HN137" s="450" t="str">
        <f t="shared" si="483"/>
        <v/>
      </c>
      <c r="HO137" s="450" t="str">
        <f t="shared" si="483"/>
        <v/>
      </c>
      <c r="HP137" s="450" t="str">
        <f t="shared" si="483"/>
        <v/>
      </c>
      <c r="HQ137" s="450" t="str">
        <f t="shared" si="483"/>
        <v/>
      </c>
      <c r="HR137" s="450" t="str">
        <f t="shared" si="483"/>
        <v/>
      </c>
      <c r="HS137" s="450" t="str">
        <f t="shared" si="483"/>
        <v/>
      </c>
      <c r="HT137" s="450" t="str">
        <f t="shared" si="483"/>
        <v/>
      </c>
      <c r="HU137" s="450" t="str">
        <f t="shared" si="483"/>
        <v/>
      </c>
      <c r="HV137" s="450" t="str">
        <f t="shared" si="483"/>
        <v/>
      </c>
      <c r="HW137" s="450" t="str">
        <f t="shared" si="483"/>
        <v/>
      </c>
      <c r="HX137" s="450" t="str">
        <f t="shared" si="483"/>
        <v/>
      </c>
      <c r="HY137" s="450" t="str">
        <f t="shared" si="483"/>
        <v/>
      </c>
      <c r="HZ137" s="450" t="str">
        <f t="shared" si="483"/>
        <v/>
      </c>
      <c r="IA137" s="450" t="str">
        <f t="shared" si="483"/>
        <v/>
      </c>
      <c r="IB137" s="450" t="str">
        <f t="shared" si="482"/>
        <v/>
      </c>
      <c r="IC137" s="450" t="str">
        <f t="shared" si="482"/>
        <v/>
      </c>
      <c r="ID137" s="450" t="str">
        <f t="shared" si="482"/>
        <v/>
      </c>
      <c r="IE137" s="450" t="str">
        <f t="shared" si="482"/>
        <v/>
      </c>
      <c r="IF137" s="450" t="str">
        <f t="shared" si="482"/>
        <v/>
      </c>
      <c r="IG137" s="450" t="str">
        <f t="shared" si="482"/>
        <v/>
      </c>
      <c r="IH137" s="658" t="str">
        <f t="shared" si="482"/>
        <v/>
      </c>
      <c r="II137" s="242"/>
    </row>
    <row r="138" spans="8:243">
      <c r="H138" s="49" t="e">
        <f t="shared" ca="1" si="317"/>
        <v>#N/A</v>
      </c>
      <c r="I138" s="369">
        <f t="shared" si="318"/>
        <v>40603</v>
      </c>
      <c r="J138" s="367">
        <v>22.335000000000001</v>
      </c>
      <c r="K138" s="101" t="s">
        <v>267</v>
      </c>
      <c r="L138" s="382">
        <f t="shared" si="319"/>
        <v>22.334999999999962</v>
      </c>
      <c r="M138" s="163">
        <v>0.16270000000000001</v>
      </c>
      <c r="N138" s="372">
        <v>0</v>
      </c>
      <c r="O138" s="163">
        <f t="shared" si="272"/>
        <v>0.16270000000000001</v>
      </c>
      <c r="P138" s="367">
        <v>21.1295926841923</v>
      </c>
      <c r="Q138" s="101" t="s">
        <v>267</v>
      </c>
      <c r="R138" s="367">
        <f t="shared" ca="1" si="417"/>
        <v>21.129592684192325</v>
      </c>
      <c r="S138" s="814">
        <f t="shared" si="474"/>
        <v>0.35542722353173273</v>
      </c>
      <c r="T138" s="813">
        <f t="shared" si="418"/>
        <v>0.99999968879143508</v>
      </c>
      <c r="U138" s="532">
        <f t="shared" si="419"/>
        <v>0.99999999999999978</v>
      </c>
      <c r="V138" s="379">
        <v>0</v>
      </c>
      <c r="W138" s="424">
        <f t="shared" si="452"/>
        <v>22.369782608695651</v>
      </c>
      <c r="X138" s="405">
        <f t="shared" si="453"/>
        <v>22.369782608695612</v>
      </c>
      <c r="Y138" s="313">
        <f t="shared" si="454"/>
        <v>21.15378260869565</v>
      </c>
      <c r="Z138" s="313">
        <f t="shared" ca="1" si="455"/>
        <v>21.153782608695611</v>
      </c>
      <c r="AA138" s="419">
        <f t="shared" si="277"/>
        <v>1.216</v>
      </c>
      <c r="AB138" s="423">
        <f t="shared" ca="1" si="278"/>
        <v>1.216</v>
      </c>
      <c r="AC138" s="221">
        <v>40594</v>
      </c>
      <c r="AD138" s="221">
        <v>40590</v>
      </c>
      <c r="AE138" s="221">
        <v>40589</v>
      </c>
      <c r="AF138" s="221">
        <v>40585</v>
      </c>
      <c r="AG138" s="241" t="s">
        <v>497</v>
      </c>
      <c r="AH138" s="239" t="s">
        <v>497</v>
      </c>
      <c r="AI138" s="141">
        <v>23</v>
      </c>
      <c r="AJ138" s="41">
        <v>14</v>
      </c>
      <c r="AK138" s="41">
        <v>9</v>
      </c>
      <c r="AL138" s="285">
        <v>23</v>
      </c>
      <c r="AM138" s="41">
        <v>10</v>
      </c>
      <c r="AN138" s="142">
        <v>13</v>
      </c>
      <c r="AO138" s="364">
        <v>5.9188728071161802E-2</v>
      </c>
      <c r="AP138" s="145">
        <f t="shared" ca="1" si="320"/>
        <v>0.55890211244873678</v>
      </c>
      <c r="AQ138" s="364">
        <v>4.9845459834159597E-2</v>
      </c>
      <c r="AR138" s="145">
        <f t="shared" ca="1" si="420"/>
        <v>0.61553241766645139</v>
      </c>
      <c r="AS138" s="264">
        <f t="shared" si="456"/>
        <v>0.1625608695652174</v>
      </c>
      <c r="AT138" s="149">
        <f t="shared" si="321"/>
        <v>0.16270000000000001</v>
      </c>
      <c r="AU138" s="149">
        <f t="shared" si="280"/>
        <v>0.16254347826086957</v>
      </c>
      <c r="AV138" s="263">
        <f t="shared" ca="1" si="430"/>
        <v>0.16001231053084658</v>
      </c>
      <c r="AW138" s="150" t="str">
        <f t="shared" ca="1" si="457"/>
        <v/>
      </c>
      <c r="AX138" s="149">
        <f t="shared" ca="1" si="421"/>
        <v>1.2311561418976616E-2</v>
      </c>
      <c r="AY138" s="149">
        <f t="shared" ca="1" si="422"/>
        <v>5.0355519441608225E-3</v>
      </c>
      <c r="AZ138" s="149">
        <f t="shared" ca="1" si="423"/>
        <v>3.8203339951076499E-3</v>
      </c>
      <c r="BA138" s="149">
        <f t="shared" ca="1" si="424"/>
        <v>1.0000000000000456E-4</v>
      </c>
      <c r="BB138" s="149">
        <f t="shared" ca="1" si="425"/>
        <v>1.0000000000000456E-4</v>
      </c>
      <c r="BC138" s="149">
        <f t="shared" ca="1" si="426"/>
        <v>1.0000000000000456E-4</v>
      </c>
      <c r="BD138" s="143">
        <f t="shared" ca="1" si="458"/>
        <v>0</v>
      </c>
      <c r="BE138" s="144">
        <f t="shared" ca="1" si="459"/>
        <v>0</v>
      </c>
      <c r="BF138" s="40">
        <f t="shared" si="460"/>
        <v>2011</v>
      </c>
      <c r="BG138" s="139">
        <f t="shared" si="461"/>
        <v>3</v>
      </c>
      <c r="BH138" s="140">
        <f t="shared" ca="1" si="462"/>
        <v>3600</v>
      </c>
      <c r="BI138" s="304">
        <f t="shared" ca="1" si="440"/>
        <v>9.8918548939082829</v>
      </c>
      <c r="BJ138" s="42">
        <f t="shared" ca="1" si="288"/>
        <v>9.9418504300211286</v>
      </c>
      <c r="BK138" s="42">
        <f t="shared" ca="1" si="289"/>
        <v>9.9445882808082615</v>
      </c>
      <c r="BL138" s="42">
        <f t="shared" ca="1" si="441"/>
        <v>9.9739904175222449</v>
      </c>
      <c r="BM138" s="285">
        <f t="shared" si="442"/>
        <v>23</v>
      </c>
      <c r="BN138" s="41">
        <f t="shared" si="443"/>
        <v>14</v>
      </c>
      <c r="BO138" s="41">
        <f t="shared" si="444"/>
        <v>9</v>
      </c>
      <c r="BP138" s="297" t="str">
        <f t="shared" ca="1" si="293"/>
        <v/>
      </c>
      <c r="BQ138" s="297" t="str">
        <f t="shared" ca="1" si="294"/>
        <v/>
      </c>
      <c r="BR138" s="299" t="str">
        <f t="shared" ca="1" si="295"/>
        <v/>
      </c>
      <c r="BS138" s="153" t="str">
        <f t="shared" ca="1" si="296"/>
        <v/>
      </c>
      <c r="BT138" s="153" t="str">
        <f t="shared" ca="1" si="297"/>
        <v/>
      </c>
      <c r="BU138" s="300" t="str">
        <f t="shared" ca="1" si="298"/>
        <v/>
      </c>
      <c r="BV138" s="301" t="str">
        <f t="shared" ca="1" si="299"/>
        <v/>
      </c>
      <c r="BW138" s="300" t="str">
        <f t="shared" ca="1" si="300"/>
        <v/>
      </c>
      <c r="BX138" s="301" t="str">
        <f t="shared" ca="1" si="301"/>
        <v/>
      </c>
      <c r="BY138" s="146" t="str">
        <f t="shared" ca="1" si="302"/>
        <v/>
      </c>
      <c r="BZ138" s="146" t="str">
        <f t="shared" ca="1" si="303"/>
        <v/>
      </c>
      <c r="CA138" s="146" t="str">
        <f t="shared" ca="1" si="304"/>
        <v/>
      </c>
      <c r="CB138" s="146" t="str">
        <f t="shared" ca="1" si="305"/>
        <v/>
      </c>
      <c r="CC138" s="302">
        <v>1</v>
      </c>
      <c r="CD138" s="154">
        <f ca="1">IF(BD138,_xll.xCrudeAPO(BS138,BT138,BY138,BZ138,S139,S140,BI138,BL138,BN138,BO138,0,Strike1,AO138,CC138,0,BL138,IF(OptControl=4,0,1),0,1),0)</f>
        <v>0</v>
      </c>
      <c r="CE138" s="155">
        <f ca="1">IF(BD138,_xll.xCrudeAPO(BS138,BT138,BY138,BZ138,S139,S140,BI138,BL138,BN138,BO138,0,Strike1,AO138,CC138,0,BL138,IF(OptControl=4,0,1),1,1)+_xll.xCrudeAPO(BS138,BT138,BY138,BZ138,S139,S140,BI138,BL138,BN138,BO138,0,Strike1,AO138,CC138,0,BL138,IF(OptControl=4,0,1),1,2)+IF(OR(VolSkewFlag=2,ABS(BQ138)&lt;0.0001),0,IF(BQ138&gt;0,-1,1)*CF138*Strike1/BP138^2*BW138/10%),0)</f>
        <v>0</v>
      </c>
      <c r="CF138" s="155">
        <f ca="1">IF(BD138,(_xll.xCrudeAPO(BS138,BT138,BY138,BZ138,S139,S140,BI138,BL138,BN138,BO138,0,Strike1,AO138,CC138,0,BL138,IF(OptControl=4,0,1),3,1)+_xll.xCrudeAPO(BS138,BT138,BY138,BZ138,S139,S140,BI138,BL138,BN138,BO138,0,Strike1,AO138,CC138,0,BL138,IF(OptControl=4,0,1),3,2))/100,0)</f>
        <v>0</v>
      </c>
      <c r="CG138" s="155">
        <f ca="1">IF(BD138,_xll.xCrudeAPO(BS138,BT138,BY138,BZ138,S139,S140,BI138-DaysForThetaCalculation/365.25,BL138-DaysForThetaCalculation/365.25,BN138,BO138,0,Strike1,AO138,CC138,0,BL138,IF(OptControl=4,0,1),0,1)-_xll.xCrudeAPO(BS138,BT138,BY138,BZ138,S139,S140,BI138,BL138,BN138,BO138,0,Strike1,AO138,CC138,0,BL138,IF(OptControl=4,0,1),0,1),0)</f>
        <v>0</v>
      </c>
      <c r="CH138" s="303">
        <f ca="1">IF(BD138,_xll.xCrudeAPO(BS138,BT138,CA138,CB138,S139,S140,BI138,BL138,BN138,BO138,0,Strike2,AO138,CC138,0,BL138,IF(OptControl=3,1,0),0,1),0)</f>
        <v>0</v>
      </c>
      <c r="CI138" s="155">
        <f ca="1">IF(BD138,_xll.xCrudeAPO(BS138,BT138,CA138,CB138,S139,S140,BI138,BL138,BN138,BO138,0,Strike2,AO138,CC138,0,BL138,IF(OptControl=3,1,0),1,1)+_xll.xCrudeAPO(BS138,BT138,CA138,CB138,S139,S140,BI138,BL138,BN138,BO138,0,Strike2,AO138,CC138,0,BL138,IF(OptControl=3,1,0),1,2)+IF(OR(VolSkewFlag=2,ABS(BR138)&lt;0.0001),0,IF(BR138&gt;0,-1,1)*CJ138*Strike2/BP138^2*BX138/10%),0)</f>
        <v>0</v>
      </c>
      <c r="CJ138" s="155">
        <f ca="1">IF(BD138,(_xll.xCrudeAPO(BS138,BT138,CA138,CB138,S139,S140,BI138,BL138,BN138,BO138,0,Strike2,AO138,CC138,0,BL138,IF(OptControl=3,1,0),3,1)+_xll.xCrudeAPO(BS138,BT138,CA138,CB138,S139,S140,BI138,BL138,BN138,BO138,0,Strike2,AO138,CC138,0,BL138,IF(OptControl=3,1,0),3,2))/100,0)</f>
        <v>0</v>
      </c>
      <c r="CK138" s="156">
        <f ca="1">IF(BD138,_xll.xCrudeAPO(BS138,BT138,CA138,CB138,S139,S140,BI138-DaysForThetaCalculation/365.25,BL138-DaysForThetaCalculation/365.25,BN138,BO138,0,Strike2,AO138,CC138,0,BL138,IF(OptControl=3,1,0),0,1)-_xll.xCrudeAPO(BS138,BT138,CA138,CB138,S139,S140,BI138,BL138,BN138,BO138,0,Strike2,AO138,CC138,0,BL138,IF(OptControl=3,1,0),0,1),0)</f>
        <v>0</v>
      </c>
      <c r="CL138" s="51"/>
      <c r="CM138" s="779" t="str">
        <f t="shared" ca="1" si="323"/>
        <v/>
      </c>
      <c r="CN138" s="783" t="str">
        <f t="shared" ca="1" si="324"/>
        <v/>
      </c>
      <c r="CO138" s="780" t="str">
        <f t="shared" ca="1" si="325"/>
        <v/>
      </c>
      <c r="CP138" s="780" t="str">
        <f t="shared" ca="1" si="326"/>
        <v/>
      </c>
      <c r="CQ138" s="780" t="str">
        <f t="shared" ca="1" si="327"/>
        <v/>
      </c>
      <c r="CR138" s="780" t="str">
        <f t="shared" ca="1" si="328"/>
        <v/>
      </c>
      <c r="CS138" s="781" t="str">
        <f t="shared" ca="1" si="329"/>
        <v/>
      </c>
      <c r="CT138" s="782" t="str">
        <f t="shared" ca="1" si="330"/>
        <v/>
      </c>
      <c r="CU138" s="782" t="str">
        <f t="shared" ca="1" si="331"/>
        <v/>
      </c>
      <c r="CV138" s="155">
        <f ca="1">IF(BD138,_xll.EURO(CN138,Strike1,AO138,AO138,CT138,CM138,IF(OptControl=4,0,1),0),0)</f>
        <v>0</v>
      </c>
      <c r="CW138" s="155">
        <f ca="1">IF(BD138,_xll.EURO(CN138,Strike1,AO138,AO138,CT138,CM138,IF(OptControl=4,0,1),1)+IF(OR(VolSkewFlag=2,ABS(CO138)&lt;0.0001),0,IF(CO138&gt;0,-1,1)*CX138*100*Strike1/CN138^2*CQ138/10%),0)</f>
        <v>0</v>
      </c>
      <c r="CX138" s="155">
        <f ca="1">IF(BD138,_xll.EURO(CN138,Strike1,AO138,AO138,CT138,CM138,IF(OptControl=4,0,1),3)/100,0)</f>
        <v>0</v>
      </c>
      <c r="CY138" s="155">
        <f ca="1">IF(BD138,_xll.EURO(CN138,Strike1,AO138,AO138,CT138,CM138,IF(OptControl=4,0,1),0)-_xll.EURO(CN138,Strike1,AO138,AO138,CT138,CM138-1,IF(OptControl=4,0,1),0),0)</f>
        <v>0</v>
      </c>
      <c r="CZ138" s="155">
        <f ca="1">IF(BD138,_xll.EURO(CN138,Strike2,AO138,AO138,CU138,CM138,IF(OptControl=3,1,0),0),0)</f>
        <v>0</v>
      </c>
      <c r="DA138" s="155">
        <f ca="1">IF(BD138,_xll.EURO(CN138,Strike2,AO138,AO138,CU138,CM138,IF(OptControl=3,1,0),1)+IF(OR(VolSkewFlag=2,ABS(CP138)&lt;0.0001),0,IF(CP138&gt;0,-1,1)*DB138*100*Strike2/CN138^2*CR138/10%),0)</f>
        <v>0</v>
      </c>
      <c r="DB138" s="155">
        <f ca="1">IF(BD138,_xll.EURO(CN138,Strike2,AO138,AO138,CU138,CM138,IF(OptControl=3,1,0),3)/100,0)</f>
        <v>0</v>
      </c>
      <c r="DC138" s="156">
        <f ca="1">IF(BD138,_xll.EURO(CN138,Strike2,AO138,AO138,CU138,CM138,IF(OptControl=3,1,0),0)-_xll.EURO(CN138,Strike2,AO138,AO138,CU138,CM138-1,IF(OptControl=3,1,0),0),0)</f>
        <v>0</v>
      </c>
      <c r="DE138" s="651">
        <f t="shared" ca="1" si="332"/>
        <v>40513</v>
      </c>
      <c r="DF138" s="465">
        <v>1E-4</v>
      </c>
      <c r="DG138" s="649">
        <v>1E-4</v>
      </c>
      <c r="DH138" s="650">
        <f t="shared" ca="1" si="463"/>
        <v>40513</v>
      </c>
      <c r="DI138" s="465">
        <v>1E-4</v>
      </c>
      <c r="DJ138" s="649">
        <v>1E-4</v>
      </c>
      <c r="DK138" s="651">
        <f t="shared" ca="1" si="464"/>
        <v>40513</v>
      </c>
      <c r="DL138" s="652">
        <f t="shared" si="465"/>
        <v>5.0100000000000006E-2</v>
      </c>
      <c r="DM138" s="651">
        <f t="shared" ca="1" si="333"/>
        <v>40513</v>
      </c>
      <c r="DN138" s="563">
        <f t="shared" si="334"/>
        <v>-0.12990000000000002</v>
      </c>
      <c r="DO138" s="803">
        <v>-0.13</v>
      </c>
      <c r="DP138" s="650">
        <f t="shared" ca="1" si="466"/>
        <v>40513</v>
      </c>
      <c r="DQ138" s="653">
        <v>1E-4</v>
      </c>
      <c r="DR138" s="590">
        <v>1E-4</v>
      </c>
      <c r="DS138" s="650">
        <f t="shared" ca="1" si="467"/>
        <v>40513</v>
      </c>
      <c r="DT138" s="653">
        <v>1E-4</v>
      </c>
      <c r="DU138" s="590">
        <v>1E-4</v>
      </c>
      <c r="DV138" s="651">
        <f t="shared" ca="1" si="468"/>
        <v>40513</v>
      </c>
      <c r="DW138" s="590">
        <v>1E-4</v>
      </c>
      <c r="DX138" s="651">
        <f t="shared" ca="1" si="335"/>
        <v>40513</v>
      </c>
      <c r="DY138" s="590">
        <f t="shared" si="336"/>
        <v>1E-4</v>
      </c>
      <c r="DZ138" s="1"/>
      <c r="EA138" s="857"/>
      <c r="EB138" s="857"/>
      <c r="EC138" s="857"/>
      <c r="ED138" s="868" t="e">
        <f t="shared" ca="1" si="436"/>
        <v>#NAME?</v>
      </c>
      <c r="EE138" s="863" t="e">
        <f t="shared" ca="1" si="312"/>
        <v>#NAME?</v>
      </c>
      <c r="EF138" s="590" t="e">
        <f t="shared" ca="1" si="313"/>
        <v>#NAME?</v>
      </c>
      <c r="EG138" s="862" t="str">
        <f t="shared" ca="1" si="469"/>
        <v/>
      </c>
      <c r="EH138" s="114" t="str">
        <f t="shared" ca="1" si="315"/>
        <v/>
      </c>
      <c r="EI138" s="109" t="str">
        <f t="shared" ca="1" si="316"/>
        <v/>
      </c>
      <c r="EJ138" s="115">
        <f ca="1">IF(BD138,_xll.xASN(BP138,Strike1,AO138,EH138,0,BM138,0,BI138,BL138,IF(OptControl=4,0,1),0),0)</f>
        <v>0</v>
      </c>
      <c r="EK138" s="108">
        <f ca="1">IF(BD138,_xll.xASN(BP138,Strike2,AO138,EI138,0,BM138,0,BI138,BL138,IF(OptControl=3,1,0),0),0)</f>
        <v>0</v>
      </c>
      <c r="EP138" s="53"/>
      <c r="EQ138" s="1"/>
      <c r="ER138" s="103"/>
      <c r="ES138" s="103"/>
      <c r="ET138" s="1"/>
      <c r="EU138" s="667" t="s">
        <v>350</v>
      </c>
      <c r="EW138" s="445"/>
      <c r="EX138" s="36"/>
      <c r="EY138" s="104"/>
      <c r="EZ138" s="465"/>
      <c r="FA138" s="446"/>
      <c r="FB138" s="446"/>
      <c r="FC138" s="242"/>
      <c r="FD138" s="242"/>
      <c r="FE138" s="242"/>
      <c r="FF138" s="242"/>
      <c r="FG138" s="242"/>
      <c r="FH138" s="242"/>
      <c r="FI138" s="242"/>
      <c r="FJ138" s="242"/>
      <c r="FK138" s="242"/>
      <c r="FL138" s="242"/>
      <c r="FM138" s="242"/>
      <c r="FN138" s="657">
        <v>44</v>
      </c>
      <c r="FO138" s="450">
        <f t="shared" ca="1" si="477"/>
        <v>0.17409230664917297</v>
      </c>
      <c r="FP138" s="450">
        <f t="shared" ca="1" si="483"/>
        <v>0.17420483208489998</v>
      </c>
      <c r="FQ138" s="450">
        <f t="shared" ca="1" si="483"/>
        <v>0.17416244248754478</v>
      </c>
      <c r="FR138" s="450">
        <f t="shared" ca="1" si="483"/>
        <v>0.17414215006258138</v>
      </c>
      <c r="FS138" s="450">
        <f t="shared" ca="1" si="483"/>
        <v>0.17414617542839581</v>
      </c>
      <c r="FT138" s="450">
        <f t="shared" ca="1" si="483"/>
        <v>0.17417699961561559</v>
      </c>
      <c r="FU138" s="450">
        <f t="shared" ca="1" si="483"/>
        <v>0.1742373959056267</v>
      </c>
      <c r="FV138" s="450">
        <f t="shared" ca="1" si="483"/>
        <v>0.17433046594346344</v>
      </c>
      <c r="FW138" s="450">
        <f t="shared" ca="1" si="483"/>
        <v>0.17445968078323382</v>
      </c>
      <c r="FX138" s="450">
        <f t="shared" ca="1" si="483"/>
        <v>0.17462892764359256</v>
      </c>
      <c r="FY138" s="450">
        <f t="shared" ca="1" si="483"/>
        <v>0.17484256329540079</v>
      </c>
      <c r="FZ138" s="450">
        <f t="shared" ca="1" si="483"/>
        <v>0.17510547517970859</v>
      </c>
      <c r="GA138" s="450">
        <f t="shared" ca="1" si="483"/>
        <v>0.17542315156926458</v>
      </c>
      <c r="GB138" s="450">
        <f t="shared" ca="1" si="483"/>
        <v>0.17580176235071776</v>
      </c>
      <c r="GC138" s="450">
        <f t="shared" ca="1" si="483"/>
        <v>0.1762482523300519</v>
      </c>
      <c r="GD138" s="450">
        <f t="shared" ca="1" si="483"/>
        <v>0.17677044936670516</v>
      </c>
      <c r="GE138" s="450">
        <f t="shared" ca="1" si="483"/>
        <v>0.17737719014304759</v>
      </c>
      <c r="GF138" s="450">
        <f t="shared" ca="1" si="483"/>
        <v>0.1780784670023812</v>
      </c>
      <c r="GG138" s="450">
        <f t="shared" ca="1" si="483"/>
        <v>0.17888560007556151</v>
      </c>
      <c r="GH138" s="450">
        <f t="shared" ca="1" si="483"/>
        <v>0.1798114399098345</v>
      </c>
      <c r="GI138" s="450">
        <f t="shared" ca="1" si="483"/>
        <v>0.18087060707440025</v>
      </c>
      <c r="GJ138" s="450">
        <f t="shared" ca="1" si="483"/>
        <v>0.18207977682635954</v>
      </c>
      <c r="GK138" s="450">
        <f t="shared" ca="1" si="483"/>
        <v>0.18345801898605055</v>
      </c>
      <c r="GL138" s="450">
        <f t="shared" ca="1" si="483"/>
        <v>0.18502720583764237</v>
      </c>
      <c r="GM138" s="450">
        <f t="shared" ca="1" si="483"/>
        <v>0.18681250433613411</v>
      </c>
      <c r="GN138" s="450">
        <f t="shared" ca="1" si="483"/>
        <v>0.18884297343451167</v>
      </c>
      <c r="GO138" s="450">
        <f t="shared" ca="1" si="483"/>
        <v>0.19115229331484393</v>
      </c>
      <c r="GP138" s="450">
        <f t="shared" ca="1" si="483"/>
        <v>0.19377966122825038</v>
      </c>
      <c r="GQ138" s="450">
        <f t="shared" ca="1" si="483"/>
        <v>0.19677089924013294</v>
      </c>
      <c r="GR138" s="450">
        <f t="shared" ca="1" si="483"/>
        <v>0.20017983345519119</v>
      </c>
      <c r="GS138" s="450">
        <f t="shared" ca="1" si="483"/>
        <v>0.20407002371168628</v>
      </c>
      <c r="GT138" s="450">
        <f t="shared" ca="1" si="483"/>
        <v>0.20851694937677837</v>
      </c>
      <c r="GU138" s="450">
        <f t="shared" ca="1" si="483"/>
        <v>0.21361079379109801</v>
      </c>
      <c r="GV138" s="450">
        <f t="shared" ca="1" si="483"/>
        <v>0.21946002159189937</v>
      </c>
      <c r="GW138" s="450">
        <f t="shared" ca="1" si="483"/>
        <v>0.22619601629091785</v>
      </c>
      <c r="GX138" s="450">
        <f t="shared" ca="1" si="483"/>
        <v>0.23397915022310944</v>
      </c>
      <c r="GY138" s="450">
        <f t="shared" ca="1" si="483"/>
        <v>0.24300681083431144</v>
      </c>
      <c r="GZ138" s="450">
        <f t="shared" ca="1" si="483"/>
        <v>0.25352413036828297</v>
      </c>
      <c r="HA138" s="450">
        <f t="shared" ca="1" si="483"/>
        <v>0.26583849845281715</v>
      </c>
      <c r="HB138" s="450">
        <f t="shared" ca="1" si="483"/>
        <v>0.28033944006535638</v>
      </c>
      <c r="HC138" s="450">
        <f t="shared" ca="1" si="483"/>
        <v>0.29752621493169851</v>
      </c>
      <c r="HD138" s="450">
        <f t="shared" ca="1" si="483"/>
        <v>0.31804670534544555</v>
      </c>
      <c r="HE138" s="450">
        <f t="shared" ca="1" si="483"/>
        <v>0.34275309152266825</v>
      </c>
      <c r="HF138" s="450">
        <f t="shared" ca="1" si="483"/>
        <v>0.37278296102870723</v>
      </c>
      <c r="HG138" s="450" t="str">
        <f t="shared" si="483"/>
        <v/>
      </c>
      <c r="HH138" s="450" t="str">
        <f t="shared" si="483"/>
        <v/>
      </c>
      <c r="HI138" s="450" t="str">
        <f t="shared" si="483"/>
        <v/>
      </c>
      <c r="HJ138" s="450" t="str">
        <f t="shared" si="483"/>
        <v/>
      </c>
      <c r="HK138" s="450" t="str">
        <f t="shared" si="483"/>
        <v/>
      </c>
      <c r="HL138" s="450" t="str">
        <f t="shared" si="483"/>
        <v/>
      </c>
      <c r="HM138" s="450" t="str">
        <f t="shared" si="483"/>
        <v/>
      </c>
      <c r="HN138" s="450" t="str">
        <f t="shared" si="483"/>
        <v/>
      </c>
      <c r="HO138" s="450" t="str">
        <f t="shared" si="483"/>
        <v/>
      </c>
      <c r="HP138" s="450" t="str">
        <f t="shared" si="483"/>
        <v/>
      </c>
      <c r="HQ138" s="450" t="str">
        <f t="shared" si="483"/>
        <v/>
      </c>
      <c r="HR138" s="450" t="str">
        <f t="shared" si="483"/>
        <v/>
      </c>
      <c r="HS138" s="450" t="str">
        <f t="shared" si="483"/>
        <v/>
      </c>
      <c r="HT138" s="450" t="str">
        <f t="shared" si="483"/>
        <v/>
      </c>
      <c r="HU138" s="450" t="str">
        <f t="shared" si="483"/>
        <v/>
      </c>
      <c r="HV138" s="450" t="str">
        <f t="shared" si="483"/>
        <v/>
      </c>
      <c r="HW138" s="450" t="str">
        <f t="shared" si="483"/>
        <v/>
      </c>
      <c r="HX138" s="450" t="str">
        <f t="shared" si="483"/>
        <v/>
      </c>
      <c r="HY138" s="450" t="str">
        <f t="shared" si="483"/>
        <v/>
      </c>
      <c r="HZ138" s="450" t="str">
        <f t="shared" si="483"/>
        <v/>
      </c>
      <c r="IA138" s="450" t="str">
        <f t="shared" si="483"/>
        <v/>
      </c>
      <c r="IB138" s="450" t="str">
        <f t="shared" si="482"/>
        <v/>
      </c>
      <c r="IC138" s="450" t="str">
        <f t="shared" si="482"/>
        <v/>
      </c>
      <c r="ID138" s="450" t="str">
        <f t="shared" si="482"/>
        <v/>
      </c>
      <c r="IE138" s="450" t="str">
        <f t="shared" si="482"/>
        <v/>
      </c>
      <c r="IF138" s="450" t="str">
        <f t="shared" si="482"/>
        <v/>
      </c>
      <c r="IG138" s="450" t="str">
        <f t="shared" si="482"/>
        <v/>
      </c>
      <c r="IH138" s="658" t="str">
        <f t="shared" si="482"/>
        <v/>
      </c>
      <c r="II138" s="242"/>
    </row>
    <row r="139" spans="8:243">
      <c r="H139" s="49" t="e">
        <f t="shared" ca="1" si="317"/>
        <v>#N/A</v>
      </c>
      <c r="I139" s="369">
        <f t="shared" si="318"/>
        <v>40634</v>
      </c>
      <c r="J139" s="367">
        <v>22.36</v>
      </c>
      <c r="K139" s="101" t="s">
        <v>267</v>
      </c>
      <c r="L139" s="382">
        <f t="shared" si="319"/>
        <v>22.35999999999996</v>
      </c>
      <c r="M139" s="163">
        <v>0.16259999999999999</v>
      </c>
      <c r="N139" s="372">
        <v>0</v>
      </c>
      <c r="O139" s="163">
        <f t="shared" si="272"/>
        <v>0.16259999999999999</v>
      </c>
      <c r="P139" s="367">
        <v>21.123407315807601</v>
      </c>
      <c r="Q139" s="101" t="s">
        <v>267</v>
      </c>
      <c r="R139" s="367">
        <f t="shared" ca="1" si="417"/>
        <v>21.123407315807601</v>
      </c>
      <c r="S139" s="814">
        <f t="shared" si="474"/>
        <v>0.3552729512964154</v>
      </c>
      <c r="T139" s="813">
        <f t="shared" si="418"/>
        <v>0.99999971991229586</v>
      </c>
      <c r="U139" s="532">
        <f t="shared" si="419"/>
        <v>0.99999999999999978</v>
      </c>
      <c r="V139" s="379">
        <v>0</v>
      </c>
      <c r="W139" s="424">
        <f t="shared" si="452"/>
        <v>22.393333333333334</v>
      </c>
      <c r="X139" s="405">
        <f t="shared" si="453"/>
        <v>22.393333333333288</v>
      </c>
      <c r="Y139" s="313">
        <f t="shared" si="454"/>
        <v>21.049333333333333</v>
      </c>
      <c r="Z139" s="313">
        <f t="shared" ca="1" si="455"/>
        <v>21.049333333333287</v>
      </c>
      <c r="AA139" s="419">
        <f t="shared" si="277"/>
        <v>1.3440000000000001</v>
      </c>
      <c r="AB139" s="423">
        <f t="shared" ca="1" si="278"/>
        <v>1.3440000000000001</v>
      </c>
      <c r="AC139" s="221">
        <v>40622</v>
      </c>
      <c r="AD139" s="221">
        <v>40618</v>
      </c>
      <c r="AE139" s="221">
        <v>40617</v>
      </c>
      <c r="AF139" s="221">
        <v>40613</v>
      </c>
      <c r="AG139" s="241" t="s">
        <v>497</v>
      </c>
      <c r="AH139" s="239" t="s">
        <v>497</v>
      </c>
      <c r="AI139" s="141">
        <v>21</v>
      </c>
      <c r="AJ139" s="41">
        <v>14</v>
      </c>
      <c r="AK139" s="41">
        <v>7</v>
      </c>
      <c r="AL139" s="285">
        <v>21</v>
      </c>
      <c r="AM139" s="41">
        <v>10</v>
      </c>
      <c r="AN139" s="142">
        <v>11</v>
      </c>
      <c r="AO139" s="364">
        <v>5.9266136837631503E-2</v>
      </c>
      <c r="AP139" s="145">
        <f t="shared" ca="1" si="320"/>
        <v>0.55581046933574474</v>
      </c>
      <c r="AQ139" s="364">
        <v>4.99524858162834E-2</v>
      </c>
      <c r="AR139" s="145">
        <f t="shared" ca="1" si="420"/>
        <v>0.61257789257494111</v>
      </c>
      <c r="AS139" s="264">
        <f t="shared" si="456"/>
        <v>0.16246666666666668</v>
      </c>
      <c r="AT139" s="149">
        <f t="shared" si="321"/>
        <v>0.16259999999999999</v>
      </c>
      <c r="AU139" s="149">
        <f t="shared" si="280"/>
        <v>0.16244761904761906</v>
      </c>
      <c r="AV139" s="263">
        <f t="shared" ca="1" si="430"/>
        <v>0.16019579419690677</v>
      </c>
      <c r="AW139" s="150" t="str">
        <f t="shared" ca="1" si="457"/>
        <v/>
      </c>
      <c r="AX139" s="149">
        <f t="shared" ca="1" si="421"/>
        <v>1.2138605972793998E-2</v>
      </c>
      <c r="AY139" s="149">
        <f t="shared" ca="1" si="422"/>
        <v>4.9489108996391218E-3</v>
      </c>
      <c r="AZ139" s="149">
        <f t="shared" ca="1" si="423"/>
        <v>3.7748035995971443E-3</v>
      </c>
      <c r="BA139" s="149">
        <f t="shared" ca="1" si="424"/>
        <v>1.0000000000000461E-4</v>
      </c>
      <c r="BB139" s="149">
        <f t="shared" ca="1" si="425"/>
        <v>1.0000000000000461E-4</v>
      </c>
      <c r="BC139" s="149">
        <f t="shared" ca="1" si="426"/>
        <v>1.0000000000000461E-4</v>
      </c>
      <c r="BD139" s="143">
        <f t="shared" ca="1" si="458"/>
        <v>0</v>
      </c>
      <c r="BE139" s="144">
        <f t="shared" ca="1" si="459"/>
        <v>0</v>
      </c>
      <c r="BF139" s="40">
        <f t="shared" si="460"/>
        <v>2011</v>
      </c>
      <c r="BG139" s="139">
        <f t="shared" si="461"/>
        <v>4</v>
      </c>
      <c r="BH139" s="140">
        <f t="shared" ca="1" si="462"/>
        <v>3628</v>
      </c>
      <c r="BI139" s="304">
        <f t="shared" ca="1" si="440"/>
        <v>9.9767282683093779</v>
      </c>
      <c r="BJ139" s="42">
        <f t="shared" ca="1" si="288"/>
        <v>10.029660050193932</v>
      </c>
      <c r="BK139" s="42">
        <f t="shared" ca="1" si="289"/>
        <v>10.032397900981065</v>
      </c>
      <c r="BL139" s="42">
        <f t="shared" ca="1" si="441"/>
        <v>10.056125941136209</v>
      </c>
      <c r="BM139" s="285">
        <f t="shared" si="442"/>
        <v>21</v>
      </c>
      <c r="BN139" s="41">
        <f t="shared" si="443"/>
        <v>14</v>
      </c>
      <c r="BO139" s="41">
        <f t="shared" si="444"/>
        <v>7</v>
      </c>
      <c r="BP139" s="297" t="str">
        <f t="shared" ca="1" si="293"/>
        <v/>
      </c>
      <c r="BQ139" s="297" t="str">
        <f t="shared" ca="1" si="294"/>
        <v/>
      </c>
      <c r="BR139" s="299" t="str">
        <f t="shared" ca="1" si="295"/>
        <v/>
      </c>
      <c r="BS139" s="153" t="str">
        <f t="shared" ca="1" si="296"/>
        <v/>
      </c>
      <c r="BT139" s="153" t="str">
        <f t="shared" ca="1" si="297"/>
        <v/>
      </c>
      <c r="BU139" s="300" t="str">
        <f t="shared" ca="1" si="298"/>
        <v/>
      </c>
      <c r="BV139" s="301" t="str">
        <f t="shared" ca="1" si="299"/>
        <v/>
      </c>
      <c r="BW139" s="300" t="str">
        <f t="shared" ca="1" si="300"/>
        <v/>
      </c>
      <c r="BX139" s="301" t="str">
        <f t="shared" ca="1" si="301"/>
        <v/>
      </c>
      <c r="BY139" s="146" t="str">
        <f t="shared" ca="1" si="302"/>
        <v/>
      </c>
      <c r="BZ139" s="146" t="str">
        <f t="shared" ca="1" si="303"/>
        <v/>
      </c>
      <c r="CA139" s="146" t="str">
        <f t="shared" ca="1" si="304"/>
        <v/>
      </c>
      <c r="CB139" s="146" t="str">
        <f t="shared" ca="1" si="305"/>
        <v/>
      </c>
      <c r="CC139" s="302">
        <v>1</v>
      </c>
      <c r="CD139" s="154">
        <f ca="1">IF(BD139,_xll.xCrudeAPO(BS139,BT139,BY139,BZ139,S140,S141,BI139,BL139,BN139,BO139,0,Strike1,AO139,CC139,0,BL139,IF(OptControl=4,0,1),0,1),0)</f>
        <v>0</v>
      </c>
      <c r="CE139" s="155">
        <f ca="1">IF(BD139,_xll.xCrudeAPO(BS139,BT139,BY139,BZ139,S140,S141,BI139,BL139,BN139,BO139,0,Strike1,AO139,CC139,0,BL139,IF(OptControl=4,0,1),1,1)+_xll.xCrudeAPO(BS139,BT139,BY139,BZ139,S140,S141,BI139,BL139,BN139,BO139,0,Strike1,AO139,CC139,0,BL139,IF(OptControl=4,0,1),1,2)+IF(OR(VolSkewFlag=2,ABS(BQ139)&lt;0.0001),0,IF(BQ139&gt;0,-1,1)*CF139*Strike1/BP139^2*BW139/10%),0)</f>
        <v>0</v>
      </c>
      <c r="CF139" s="155">
        <f ca="1">IF(BD139,(_xll.xCrudeAPO(BS139,BT139,BY139,BZ139,S140,S141,BI139,BL139,BN139,BO139,0,Strike1,AO139,CC139,0,BL139,IF(OptControl=4,0,1),3,1)+_xll.xCrudeAPO(BS139,BT139,BY139,BZ139,S140,S141,BI139,BL139,BN139,BO139,0,Strike1,AO139,CC139,0,BL139,IF(OptControl=4,0,1),3,2))/100,0)</f>
        <v>0</v>
      </c>
      <c r="CG139" s="155">
        <f ca="1">IF(BD139,_xll.xCrudeAPO(BS139,BT139,BY139,BZ139,S140,S141,BI139-DaysForThetaCalculation/365.25,BL139-DaysForThetaCalculation/365.25,BN139,BO139,0,Strike1,AO139,CC139,0,BL139,IF(OptControl=4,0,1),0,1)-_xll.xCrudeAPO(BS139,BT139,BY139,BZ139,S140,S141,BI139,BL139,BN139,BO139,0,Strike1,AO139,CC139,0,BL139,IF(OptControl=4,0,1),0,1),0)</f>
        <v>0</v>
      </c>
      <c r="CH139" s="303">
        <f ca="1">IF(BD139,_xll.xCrudeAPO(BS139,BT139,CA139,CB139,S140,S141,BI139,BL139,BN139,BO139,0,Strike2,AO139,CC139,0,BL139,IF(OptControl=3,1,0),0,1),0)</f>
        <v>0</v>
      </c>
      <c r="CI139" s="155">
        <f ca="1">IF(BD139,_xll.xCrudeAPO(BS139,BT139,CA139,CB139,S140,S141,BI139,BL139,BN139,BO139,0,Strike2,AO139,CC139,0,BL139,IF(OptControl=3,1,0),1,1)+_xll.xCrudeAPO(BS139,BT139,CA139,CB139,S140,S141,BI139,BL139,BN139,BO139,0,Strike2,AO139,CC139,0,BL139,IF(OptControl=3,1,0),1,2)+IF(OR(VolSkewFlag=2,ABS(BR139)&lt;0.0001),0,IF(BR139&gt;0,-1,1)*CJ139*Strike2/BP139^2*BX139/10%),0)</f>
        <v>0</v>
      </c>
      <c r="CJ139" s="155">
        <f ca="1">IF(BD139,(_xll.xCrudeAPO(BS139,BT139,CA139,CB139,S140,S141,BI139,BL139,BN139,BO139,0,Strike2,AO139,CC139,0,BL139,IF(OptControl=3,1,0),3,1)+_xll.xCrudeAPO(BS139,BT139,CA139,CB139,S140,S141,BI139,BL139,BN139,BO139,0,Strike2,AO139,CC139,0,BL139,IF(OptControl=3,1,0),3,2))/100,0)</f>
        <v>0</v>
      </c>
      <c r="CK139" s="156">
        <f ca="1">IF(BD139,_xll.xCrudeAPO(BS139,BT139,CA139,CB139,S140,S141,BI139-DaysForThetaCalculation/365.25,BL139-DaysForThetaCalculation/365.25,BN139,BO139,0,Strike2,AO139,CC139,0,BL139,IF(OptControl=3,1,0),0,1)-_xll.xCrudeAPO(BS139,BT139,CA139,CB139,S140,S141,BI139,BL139,BN139,BO139,0,Strike2,AO139,CC139,0,BL139,IF(OptControl=3,1,0),0,1),0)</f>
        <v>0</v>
      </c>
      <c r="CL139" s="51"/>
      <c r="CM139" s="779" t="str">
        <f t="shared" ca="1" si="323"/>
        <v/>
      </c>
      <c r="CN139" s="783" t="str">
        <f t="shared" ca="1" si="324"/>
        <v/>
      </c>
      <c r="CO139" s="780" t="str">
        <f t="shared" ca="1" si="325"/>
        <v/>
      </c>
      <c r="CP139" s="780" t="str">
        <f t="shared" ca="1" si="326"/>
        <v/>
      </c>
      <c r="CQ139" s="780" t="str">
        <f t="shared" ca="1" si="327"/>
        <v/>
      </c>
      <c r="CR139" s="780" t="str">
        <f t="shared" ca="1" si="328"/>
        <v/>
      </c>
      <c r="CS139" s="781" t="str">
        <f t="shared" ca="1" si="329"/>
        <v/>
      </c>
      <c r="CT139" s="782" t="str">
        <f t="shared" ca="1" si="330"/>
        <v/>
      </c>
      <c r="CU139" s="782" t="str">
        <f t="shared" ca="1" si="331"/>
        <v/>
      </c>
      <c r="CV139" s="155">
        <f ca="1">IF(BD139,_xll.EURO(CN139,Strike1,AO139,AO139,CT139,CM139,IF(OptControl=4,0,1),0),0)</f>
        <v>0</v>
      </c>
      <c r="CW139" s="155">
        <f ca="1">IF(BD139,_xll.EURO(CN139,Strike1,AO139,AO139,CT139,CM139,IF(OptControl=4,0,1),1)+IF(OR(VolSkewFlag=2,ABS(CO139)&lt;0.0001),0,IF(CO139&gt;0,-1,1)*CX139*100*Strike1/CN139^2*CQ139/10%),0)</f>
        <v>0</v>
      </c>
      <c r="CX139" s="155">
        <f ca="1">IF(BD139,_xll.EURO(CN139,Strike1,AO139,AO139,CT139,CM139,IF(OptControl=4,0,1),3)/100,0)</f>
        <v>0</v>
      </c>
      <c r="CY139" s="155">
        <f ca="1">IF(BD139,_xll.EURO(CN139,Strike1,AO139,AO139,CT139,CM139,IF(OptControl=4,0,1),0)-_xll.EURO(CN139,Strike1,AO139,AO139,CT139,CM139-1,IF(OptControl=4,0,1),0),0)</f>
        <v>0</v>
      </c>
      <c r="CZ139" s="155">
        <f ca="1">IF(BD139,_xll.EURO(CN139,Strike2,AO139,AO139,CU139,CM139,IF(OptControl=3,1,0),0),0)</f>
        <v>0</v>
      </c>
      <c r="DA139" s="155">
        <f ca="1">IF(BD139,_xll.EURO(CN139,Strike2,AO139,AO139,CU139,CM139,IF(OptControl=3,1,0),1)+IF(OR(VolSkewFlag=2,ABS(CP139)&lt;0.0001),0,IF(CP139&gt;0,-1,1)*DB139*100*Strike2/CN139^2*CR139/10%),0)</f>
        <v>0</v>
      </c>
      <c r="DB139" s="155">
        <f ca="1">IF(BD139,_xll.EURO(CN139,Strike2,AO139,AO139,CU139,CM139,IF(OptControl=3,1,0),3)/100,0)</f>
        <v>0</v>
      </c>
      <c r="DC139" s="156">
        <f ca="1">IF(BD139,_xll.EURO(CN139,Strike2,AO139,AO139,CU139,CM139,IF(OptControl=3,1,0),0)-_xll.EURO(CN139,Strike2,AO139,AO139,CU139,CM139-1,IF(OptControl=3,1,0),0),0)</f>
        <v>0</v>
      </c>
      <c r="DE139" s="651">
        <f t="shared" ca="1" si="332"/>
        <v>40544</v>
      </c>
      <c r="DF139" s="465">
        <v>1E-4</v>
      </c>
      <c r="DG139" s="649">
        <v>1E-4</v>
      </c>
      <c r="DH139" s="650">
        <f t="shared" ca="1" si="463"/>
        <v>40544</v>
      </c>
      <c r="DI139" s="465">
        <v>1E-4</v>
      </c>
      <c r="DJ139" s="649">
        <v>1E-4</v>
      </c>
      <c r="DK139" s="651">
        <f t="shared" ca="1" si="464"/>
        <v>40544</v>
      </c>
      <c r="DL139" s="652">
        <f t="shared" si="465"/>
        <v>5.0100000000000006E-2</v>
      </c>
      <c r="DM139" s="651">
        <f t="shared" ca="1" si="333"/>
        <v>40544</v>
      </c>
      <c r="DN139" s="563">
        <f t="shared" si="334"/>
        <v>-0.12990000000000002</v>
      </c>
      <c r="DO139" s="803">
        <v>-0.13</v>
      </c>
      <c r="DP139" s="650">
        <f t="shared" ca="1" si="466"/>
        <v>40544</v>
      </c>
      <c r="DQ139" s="653">
        <v>1E-4</v>
      </c>
      <c r="DR139" s="590">
        <v>1E-4</v>
      </c>
      <c r="DS139" s="650">
        <f t="shared" ca="1" si="467"/>
        <v>40544</v>
      </c>
      <c r="DT139" s="653">
        <v>1E-4</v>
      </c>
      <c r="DU139" s="590">
        <v>1E-4</v>
      </c>
      <c r="DV139" s="651">
        <f t="shared" ca="1" si="468"/>
        <v>40544</v>
      </c>
      <c r="DW139" s="590">
        <v>1E-4</v>
      </c>
      <c r="DX139" s="651">
        <f t="shared" ca="1" si="335"/>
        <v>40544</v>
      </c>
      <c r="DY139" s="590">
        <f t="shared" si="336"/>
        <v>1E-4</v>
      </c>
      <c r="DZ139" s="1"/>
      <c r="EA139" s="857"/>
      <c r="EB139" s="857"/>
      <c r="EC139" s="857"/>
      <c r="ED139" s="868" t="e">
        <f t="shared" ca="1" si="436"/>
        <v>#NAME?</v>
      </c>
      <c r="EE139" s="863" t="e">
        <f t="shared" ca="1" si="312"/>
        <v>#NAME?</v>
      </c>
      <c r="EF139" s="590" t="e">
        <f t="shared" ca="1" si="313"/>
        <v>#NAME?</v>
      </c>
      <c r="EG139" s="862" t="str">
        <f t="shared" ca="1" si="469"/>
        <v/>
      </c>
      <c r="EH139" s="114" t="str">
        <f t="shared" ca="1" si="315"/>
        <v/>
      </c>
      <c r="EI139" s="109" t="str">
        <f t="shared" ca="1" si="316"/>
        <v/>
      </c>
      <c r="EJ139" s="115">
        <f ca="1">IF(BD139,_xll.xASN(BP139,Strike1,AO139,EH139,0,BM139,0,BI139,BL139,IF(OptControl=4,0,1),0),0)</f>
        <v>0</v>
      </c>
      <c r="EK139" s="108">
        <f ca="1">IF(BD139,_xll.xASN(BP139,Strike2,AO139,EI139,0,BM139,0,BI139,BL139,IF(OptControl=3,1,0),0),0)</f>
        <v>0</v>
      </c>
      <c r="EP139" s="53"/>
      <c r="EQ139" s="1"/>
      <c r="ER139" s="103"/>
      <c r="ES139" s="103"/>
      <c r="ET139" s="1"/>
      <c r="EU139" s="667" t="s">
        <v>351</v>
      </c>
      <c r="EW139" s="445"/>
      <c r="EX139" s="36"/>
      <c r="EY139" s="104"/>
      <c r="EZ139" s="465"/>
      <c r="FA139" s="446"/>
      <c r="FB139" s="446"/>
      <c r="FC139" s="242"/>
      <c r="FD139" s="242"/>
      <c r="FE139" s="242"/>
      <c r="FF139" s="242"/>
      <c r="FG139" s="242"/>
      <c r="FH139" s="242"/>
      <c r="FI139" s="242"/>
      <c r="FJ139" s="242"/>
      <c r="FK139" s="242"/>
      <c r="FL139" s="242"/>
      <c r="FM139" s="242"/>
      <c r="FN139" s="657">
        <v>45</v>
      </c>
      <c r="FO139" s="450">
        <f t="shared" ca="1" si="477"/>
        <v>0.17394581070223877</v>
      </c>
      <c r="FP139" s="450">
        <f t="shared" ca="1" si="483"/>
        <v>0.17404194597965275</v>
      </c>
      <c r="FQ139" s="450">
        <f t="shared" ca="1" si="483"/>
        <v>0.17398149255658601</v>
      </c>
      <c r="FR139" s="450">
        <f t="shared" ca="1" si="483"/>
        <v>0.17394110639247073</v>
      </c>
      <c r="FS139" s="450">
        <f t="shared" ca="1" si="483"/>
        <v>0.17392277406320306</v>
      </c>
      <c r="FT139" s="450">
        <f t="shared" ca="1" si="483"/>
        <v>0.17392871422146933</v>
      </c>
      <c r="FU139" s="450">
        <f t="shared" ca="1" si="483"/>
        <v>0.17396140569647719</v>
      </c>
      <c r="FV139" s="450">
        <f t="shared" ca="1" si="483"/>
        <v>0.17402361930578589</v>
      </c>
      <c r="FW139" s="450">
        <f t="shared" ca="1" si="483"/>
        <v>0.17411845393806641</v>
      </c>
      <c r="FX139" s="450">
        <f t="shared" ca="1" si="483"/>
        <v>0.17424937756443221</v>
      </c>
      <c r="FY139" s="450">
        <f t="shared" ca="1" si="483"/>
        <v>0.17442027395523085</v>
      </c>
      <c r="FZ139" s="450">
        <f t="shared" ca="1" si="483"/>
        <v>0.17463549602370101</v>
      </c>
      <c r="GA139" s="450">
        <f t="shared" ca="1" si="483"/>
        <v>0.1748999268937505</v>
      </c>
      <c r="GB139" s="450">
        <f t="shared" ca="1" si="483"/>
        <v>0.17521905000401414</v>
      </c>
      <c r="GC139" s="450">
        <f t="shared" ca="1" si="483"/>
        <v>0.1755990298240887</v>
      </c>
      <c r="GD139" s="450">
        <f t="shared" ca="1" si="483"/>
        <v>0.17604680508396406</v>
      </c>
      <c r="GE139" s="450">
        <f t="shared" ca="1" si="483"/>
        <v>0.17657019682025493</v>
      </c>
      <c r="GF139" s="450">
        <f t="shared" ca="1" si="483"/>
        <v>0.17717803404365196</v>
      </c>
      <c r="GG139" s="450">
        <f t="shared" ca="1" si="483"/>
        <v>0.17788030045800499</v>
      </c>
      <c r="GH139" s="450">
        <f t="shared" ca="1" si="483"/>
        <v>0.17868830644774994</v>
      </c>
      <c r="GI139" s="450">
        <f t="shared" ca="1" si="483"/>
        <v>0.17961489154308896</v>
      </c>
      <c r="GJ139" s="450">
        <f t="shared" ca="1" si="483"/>
        <v>0.18067466383224332</v>
      </c>
      <c r="GK139" s="450">
        <f t="shared" ca="1" si="483"/>
        <v>0.18188428439795065</v>
      </c>
      <c r="GL139" s="450">
        <f t="shared" ca="1" si="483"/>
        <v>0.18326280691908298</v>
      </c>
      <c r="GM139" s="450">
        <f t="shared" ca="1" si="483"/>
        <v>0.18483208524298919</v>
      </c>
      <c r="GN139" s="450">
        <f t="shared" ca="1" si="483"/>
        <v>0.18661726519668548</v>
      </c>
      <c r="GO139" s="450">
        <f t="shared" ca="1" si="483"/>
        <v>0.18864738143400955</v>
      </c>
      <c r="GP139" s="450">
        <f t="shared" ca="1" si="483"/>
        <v>0.19095608608114609</v>
      </c>
      <c r="GQ139" s="450">
        <f t="shared" ca="1" si="483"/>
        <v>0.19358254385777948</v>
      </c>
      <c r="GR139" s="450">
        <f t="shared" ca="1" si="483"/>
        <v>0.19657253893420989</v>
      </c>
      <c r="GS139" s="450">
        <f t="shared" ca="1" si="483"/>
        <v>0.19997985305158608</v>
      </c>
      <c r="GT139" s="450">
        <f t="shared" ca="1" si="483"/>
        <v>0.20386799383201593</v>
      </c>
      <c r="GU139" s="450">
        <f t="shared" ca="1" si="483"/>
        <v>0.20831237882665918</v>
      </c>
      <c r="GV139" s="450">
        <f t="shared" ca="1" si="483"/>
        <v>0.21340311773715945</v>
      </c>
      <c r="GW139" s="450">
        <f t="shared" ca="1" si="483"/>
        <v>0.21924858688631924</v>
      </c>
      <c r="GX139" s="450">
        <f t="shared" ca="1" si="483"/>
        <v>0.22598006310326349</v>
      </c>
      <c r="GY139" s="450">
        <f t="shared" ca="1" si="483"/>
        <v>0.23375778884629128</v>
      </c>
      <c r="GZ139" s="450">
        <f t="shared" ca="1" si="483"/>
        <v>0.24277899211963652</v>
      </c>
      <c r="HA139" s="450">
        <f t="shared" ca="1" si="483"/>
        <v>0.2532886076584917</v>
      </c>
      <c r="HB139" s="450">
        <f t="shared" ca="1" si="483"/>
        <v>0.265593778036608</v>
      </c>
      <c r="HC139" s="450">
        <f t="shared" ca="1" si="483"/>
        <v>0.28008371593992615</v>
      </c>
      <c r="HD139" s="450">
        <f t="shared" ca="1" si="483"/>
        <v>0.29725728182167416</v>
      </c>
      <c r="HE139" s="450">
        <f t="shared" ca="1" si="483"/>
        <v>0.3177618411490612</v>
      </c>
      <c r="HF139" s="450">
        <f t="shared" ca="1" si="483"/>
        <v>0.34244889608250606</v>
      </c>
      <c r="HG139" s="450">
        <f t="shared" ca="1" si="483"/>
        <v>0.37245513141842013</v>
      </c>
      <c r="HH139" s="450" t="str">
        <f t="shared" si="483"/>
        <v/>
      </c>
      <c r="HI139" s="450" t="str">
        <f t="shared" si="483"/>
        <v/>
      </c>
      <c r="HJ139" s="450" t="str">
        <f t="shared" si="483"/>
        <v/>
      </c>
      <c r="HK139" s="450" t="str">
        <f t="shared" si="483"/>
        <v/>
      </c>
      <c r="HL139" s="450" t="str">
        <f t="shared" si="483"/>
        <v/>
      </c>
      <c r="HM139" s="450" t="str">
        <f t="shared" si="483"/>
        <v/>
      </c>
      <c r="HN139" s="450" t="str">
        <f t="shared" si="483"/>
        <v/>
      </c>
      <c r="HO139" s="450" t="str">
        <f t="shared" si="483"/>
        <v/>
      </c>
      <c r="HP139" s="450" t="str">
        <f t="shared" si="483"/>
        <v/>
      </c>
      <c r="HQ139" s="450" t="str">
        <f t="shared" si="483"/>
        <v/>
      </c>
      <c r="HR139" s="450" t="str">
        <f t="shared" si="483"/>
        <v/>
      </c>
      <c r="HS139" s="450" t="str">
        <f t="shared" si="483"/>
        <v/>
      </c>
      <c r="HT139" s="450" t="str">
        <f t="shared" si="483"/>
        <v/>
      </c>
      <c r="HU139" s="450" t="str">
        <f t="shared" si="483"/>
        <v/>
      </c>
      <c r="HV139" s="450" t="str">
        <f t="shared" si="483"/>
        <v/>
      </c>
      <c r="HW139" s="450" t="str">
        <f t="shared" si="483"/>
        <v/>
      </c>
      <c r="HX139" s="450" t="str">
        <f t="shared" si="483"/>
        <v/>
      </c>
      <c r="HY139" s="450" t="str">
        <f t="shared" si="483"/>
        <v/>
      </c>
      <c r="HZ139" s="450" t="str">
        <f t="shared" si="483"/>
        <v/>
      </c>
      <c r="IA139" s="450" t="str">
        <f t="shared" si="483"/>
        <v/>
      </c>
      <c r="IB139" s="450" t="str">
        <f t="shared" si="482"/>
        <v/>
      </c>
      <c r="IC139" s="450" t="str">
        <f t="shared" si="482"/>
        <v/>
      </c>
      <c r="ID139" s="450" t="str">
        <f t="shared" si="482"/>
        <v/>
      </c>
      <c r="IE139" s="450" t="str">
        <f t="shared" si="482"/>
        <v/>
      </c>
      <c r="IF139" s="450" t="str">
        <f t="shared" si="482"/>
        <v/>
      </c>
      <c r="IG139" s="450" t="str">
        <f t="shared" si="482"/>
        <v/>
      </c>
      <c r="IH139" s="658" t="str">
        <f t="shared" si="482"/>
        <v/>
      </c>
      <c r="II139" s="242"/>
    </row>
    <row r="140" spans="8:243">
      <c r="H140" s="49" t="e">
        <f t="shared" ca="1" si="317"/>
        <v>#N/A</v>
      </c>
      <c r="I140" s="369">
        <f t="shared" si="318"/>
        <v>40664</v>
      </c>
      <c r="J140" s="367">
        <v>22.385000000000002</v>
      </c>
      <c r="K140" s="101" t="s">
        <v>267</v>
      </c>
      <c r="L140" s="382">
        <f t="shared" si="319"/>
        <v>22.384999999999959</v>
      </c>
      <c r="M140" s="163">
        <v>0.16250000000000001</v>
      </c>
      <c r="N140" s="372">
        <v>0</v>
      </c>
      <c r="O140" s="163">
        <f t="shared" si="272"/>
        <v>0.16250000000000001</v>
      </c>
      <c r="P140" s="367">
        <v>21.177148218609499</v>
      </c>
      <c r="Q140" s="101" t="s">
        <v>267</v>
      </c>
      <c r="R140" s="367">
        <f t="shared" ca="1" si="417"/>
        <v>21.177148218609467</v>
      </c>
      <c r="S140" s="814">
        <f t="shared" si="474"/>
        <v>0.35512022178345126</v>
      </c>
      <c r="T140" s="813">
        <f t="shared" si="418"/>
        <v>0.99999974792106983</v>
      </c>
      <c r="U140" s="532">
        <f t="shared" si="419"/>
        <v>0.99999999999999978</v>
      </c>
      <c r="V140" s="379">
        <v>0</v>
      </c>
      <c r="W140" s="424">
        <f t="shared" si="452"/>
        <v>22.417954545454542</v>
      </c>
      <c r="X140" s="405">
        <f t="shared" si="453"/>
        <v>22.417954545454503</v>
      </c>
      <c r="Y140" s="313">
        <f t="shared" si="454"/>
        <v>21.073954545454541</v>
      </c>
      <c r="Z140" s="313">
        <f t="shared" ca="1" si="455"/>
        <v>21.073954545454502</v>
      </c>
      <c r="AA140" s="419">
        <f t="shared" si="277"/>
        <v>1.3440000000000001</v>
      </c>
      <c r="AB140" s="423">
        <f t="shared" ca="1" si="278"/>
        <v>1.3440000000000001</v>
      </c>
      <c r="AC140" s="221">
        <v>40653</v>
      </c>
      <c r="AD140" s="221">
        <v>40649</v>
      </c>
      <c r="AE140" s="221">
        <v>40648</v>
      </c>
      <c r="AF140" s="221">
        <v>40644</v>
      </c>
      <c r="AG140" s="241" t="s">
        <v>497</v>
      </c>
      <c r="AH140" s="239" t="s">
        <v>497</v>
      </c>
      <c r="AI140" s="141">
        <v>22</v>
      </c>
      <c r="AJ140" s="41">
        <v>15</v>
      </c>
      <c r="AK140" s="41">
        <v>7</v>
      </c>
      <c r="AL140" s="285">
        <v>22</v>
      </c>
      <c r="AM140" s="41">
        <v>10</v>
      </c>
      <c r="AN140" s="142">
        <v>12</v>
      </c>
      <c r="AO140" s="364">
        <v>5.9320347749361298E-2</v>
      </c>
      <c r="AP140" s="145">
        <f t="shared" ca="1" si="320"/>
        <v>0.55276690425209207</v>
      </c>
      <c r="AQ140" s="364">
        <v>5.0056059423842801E-2</v>
      </c>
      <c r="AR140" s="145">
        <f t="shared" ca="1" si="420"/>
        <v>0.60940086086882839</v>
      </c>
      <c r="AS140" s="264">
        <f t="shared" si="456"/>
        <v>0.16236818181818183</v>
      </c>
      <c r="AT140" s="149">
        <f t="shared" si="321"/>
        <v>0.16250000000000001</v>
      </c>
      <c r="AU140" s="149">
        <f t="shared" si="280"/>
        <v>0.16234545454545454</v>
      </c>
      <c r="AV140" s="263">
        <f t="shared" ca="1" si="430"/>
        <v>0.1598571640725503</v>
      </c>
      <c r="AW140" s="150" t="str">
        <f t="shared" ca="1" si="457"/>
        <v/>
      </c>
      <c r="AX140" s="149">
        <f t="shared" ca="1" si="421"/>
        <v>1.1968080241685384E-2</v>
      </c>
      <c r="AY140" s="149">
        <f t="shared" ca="1" si="422"/>
        <v>4.863760589535227E-3</v>
      </c>
      <c r="AZ140" s="149">
        <f t="shared" ca="1" si="423"/>
        <v>3.7298158312281393E-3</v>
      </c>
      <c r="BA140" s="149">
        <f t="shared" ca="1" si="424"/>
        <v>1.0000000000000468E-4</v>
      </c>
      <c r="BB140" s="149">
        <f t="shared" ca="1" si="425"/>
        <v>1.0000000000000468E-4</v>
      </c>
      <c r="BC140" s="149">
        <f t="shared" ca="1" si="426"/>
        <v>1.0000000000000468E-4</v>
      </c>
      <c r="BD140" s="143">
        <f t="shared" ca="1" si="458"/>
        <v>0</v>
      </c>
      <c r="BE140" s="144">
        <f t="shared" ca="1" si="459"/>
        <v>0</v>
      </c>
      <c r="BF140" s="40">
        <f t="shared" si="460"/>
        <v>2011</v>
      </c>
      <c r="BG140" s="139">
        <f t="shared" si="461"/>
        <v>5</v>
      </c>
      <c r="BH140" s="140">
        <f t="shared" ca="1" si="462"/>
        <v>3659</v>
      </c>
      <c r="BI140" s="304">
        <f t="shared" ca="1" si="440"/>
        <v>10.05886379192334</v>
      </c>
      <c r="BJ140" s="42">
        <f t="shared" ca="1" si="288"/>
        <v>10.114865285296498</v>
      </c>
      <c r="BK140" s="42">
        <f t="shared" ca="1" si="289"/>
        <v>10.11760313608363</v>
      </c>
      <c r="BL140" s="42">
        <f t="shared" ca="1" si="441"/>
        <v>10.140999315537304</v>
      </c>
      <c r="BM140" s="285">
        <f t="shared" si="442"/>
        <v>22</v>
      </c>
      <c r="BN140" s="41">
        <f t="shared" si="443"/>
        <v>15</v>
      </c>
      <c r="BO140" s="41">
        <f t="shared" si="444"/>
        <v>7</v>
      </c>
      <c r="BP140" s="297" t="str">
        <f t="shared" ca="1" si="293"/>
        <v/>
      </c>
      <c r="BQ140" s="297" t="str">
        <f t="shared" ca="1" si="294"/>
        <v/>
      </c>
      <c r="BR140" s="299" t="str">
        <f t="shared" ca="1" si="295"/>
        <v/>
      </c>
      <c r="BS140" s="153" t="str">
        <f t="shared" ca="1" si="296"/>
        <v/>
      </c>
      <c r="BT140" s="153" t="str">
        <f t="shared" ca="1" si="297"/>
        <v/>
      </c>
      <c r="BU140" s="300" t="str">
        <f t="shared" ca="1" si="298"/>
        <v/>
      </c>
      <c r="BV140" s="301" t="str">
        <f t="shared" ca="1" si="299"/>
        <v/>
      </c>
      <c r="BW140" s="300" t="str">
        <f t="shared" ca="1" si="300"/>
        <v/>
      </c>
      <c r="BX140" s="301" t="str">
        <f t="shared" ca="1" si="301"/>
        <v/>
      </c>
      <c r="BY140" s="146" t="str">
        <f t="shared" ca="1" si="302"/>
        <v/>
      </c>
      <c r="BZ140" s="146" t="str">
        <f t="shared" ca="1" si="303"/>
        <v/>
      </c>
      <c r="CA140" s="146" t="str">
        <f t="shared" ca="1" si="304"/>
        <v/>
      </c>
      <c r="CB140" s="146" t="str">
        <f t="shared" ca="1" si="305"/>
        <v/>
      </c>
      <c r="CC140" s="302">
        <v>1</v>
      </c>
      <c r="CD140" s="154">
        <f ca="1">IF(BD140,_xll.xCrudeAPO(BS140,BT140,BY140,BZ140,S141,S142,BI140,BL140,BN140,BO140,0,Strike1,AO140,CC140,0,BL140,IF(OptControl=4,0,1),0,1),0)</f>
        <v>0</v>
      </c>
      <c r="CE140" s="155">
        <f ca="1">IF(BD140,_xll.xCrudeAPO(BS140,BT140,BY140,BZ140,S141,S142,BI140,BL140,BN140,BO140,0,Strike1,AO140,CC140,0,BL140,IF(OptControl=4,0,1),1,1)+_xll.xCrudeAPO(BS140,BT140,BY140,BZ140,S141,S142,BI140,BL140,BN140,BO140,0,Strike1,AO140,CC140,0,BL140,IF(OptControl=4,0,1),1,2)+IF(OR(VolSkewFlag=2,ABS(BQ140)&lt;0.0001),0,IF(BQ140&gt;0,-1,1)*CF140*Strike1/BP140^2*BW140/10%),0)</f>
        <v>0</v>
      </c>
      <c r="CF140" s="155">
        <f ca="1">IF(BD140,(_xll.xCrudeAPO(BS140,BT140,BY140,BZ140,S141,S142,BI140,BL140,BN140,BO140,0,Strike1,AO140,CC140,0,BL140,IF(OptControl=4,0,1),3,1)+_xll.xCrudeAPO(BS140,BT140,BY140,BZ140,S141,S142,BI140,BL140,BN140,BO140,0,Strike1,AO140,CC140,0,BL140,IF(OptControl=4,0,1),3,2))/100,0)</f>
        <v>0</v>
      </c>
      <c r="CG140" s="155">
        <f ca="1">IF(BD140,_xll.xCrudeAPO(BS140,BT140,BY140,BZ140,S141,S142,BI140-DaysForThetaCalculation/365.25,BL140-DaysForThetaCalculation/365.25,BN140,BO140,0,Strike1,AO140,CC140,0,BL140,IF(OptControl=4,0,1),0,1)-_xll.xCrudeAPO(BS140,BT140,BY140,BZ140,S141,S142,BI140,BL140,BN140,BO140,0,Strike1,AO140,CC140,0,BL140,IF(OptControl=4,0,1),0,1),0)</f>
        <v>0</v>
      </c>
      <c r="CH140" s="303">
        <f ca="1">IF(BD140,_xll.xCrudeAPO(BS140,BT140,CA140,CB140,S141,S142,BI140,BL140,BN140,BO140,0,Strike2,AO140,CC140,0,BL140,IF(OptControl=3,1,0),0,1),0)</f>
        <v>0</v>
      </c>
      <c r="CI140" s="155">
        <f ca="1">IF(BD140,_xll.xCrudeAPO(BS140,BT140,CA140,CB140,S141,S142,BI140,BL140,BN140,BO140,0,Strike2,AO140,CC140,0,BL140,IF(OptControl=3,1,0),1,1)+_xll.xCrudeAPO(BS140,BT140,CA140,CB140,S141,S142,BI140,BL140,BN140,BO140,0,Strike2,AO140,CC140,0,BL140,IF(OptControl=3,1,0),1,2)+IF(OR(VolSkewFlag=2,ABS(BR140)&lt;0.0001),0,IF(BR140&gt;0,-1,1)*CJ140*Strike2/BP140^2*BX140/10%),0)</f>
        <v>0</v>
      </c>
      <c r="CJ140" s="155">
        <f ca="1">IF(BD140,(_xll.xCrudeAPO(BS140,BT140,CA140,CB140,S141,S142,BI140,BL140,BN140,BO140,0,Strike2,AO140,CC140,0,BL140,IF(OptControl=3,1,0),3,1)+_xll.xCrudeAPO(BS140,BT140,CA140,CB140,S141,S142,BI140,BL140,BN140,BO140,0,Strike2,AO140,CC140,0,BL140,IF(OptControl=3,1,0),3,2))/100,0)</f>
        <v>0</v>
      </c>
      <c r="CK140" s="156">
        <f ca="1">IF(BD140,_xll.xCrudeAPO(BS140,BT140,CA140,CB140,S141,S142,BI140-DaysForThetaCalculation/365.25,BL140-DaysForThetaCalculation/365.25,BN140,BO140,0,Strike2,AO140,CC140,0,BL140,IF(OptControl=3,1,0),0,1)-_xll.xCrudeAPO(BS140,BT140,CA140,CB140,S141,S142,BI140,BL140,BN140,BO140,0,Strike2,AO140,CC140,0,BL140,IF(OptControl=3,1,0),0,1),0)</f>
        <v>0</v>
      </c>
      <c r="CL140" s="51"/>
      <c r="CM140" s="779" t="str">
        <f t="shared" ca="1" si="323"/>
        <v/>
      </c>
      <c r="CN140" s="783" t="str">
        <f t="shared" ca="1" si="324"/>
        <v/>
      </c>
      <c r="CO140" s="780" t="str">
        <f t="shared" ca="1" si="325"/>
        <v/>
      </c>
      <c r="CP140" s="780" t="str">
        <f t="shared" ca="1" si="326"/>
        <v/>
      </c>
      <c r="CQ140" s="780" t="str">
        <f t="shared" ca="1" si="327"/>
        <v/>
      </c>
      <c r="CR140" s="780" t="str">
        <f t="shared" ca="1" si="328"/>
        <v/>
      </c>
      <c r="CS140" s="781" t="str">
        <f t="shared" ca="1" si="329"/>
        <v/>
      </c>
      <c r="CT140" s="782" t="str">
        <f t="shared" ca="1" si="330"/>
        <v/>
      </c>
      <c r="CU140" s="782" t="str">
        <f t="shared" ca="1" si="331"/>
        <v/>
      </c>
      <c r="CV140" s="155">
        <f ca="1">IF(BD140,_xll.EURO(CN140,Strike1,AO140,AO140,CT140,CM140,IF(OptControl=4,0,1),0),0)</f>
        <v>0</v>
      </c>
      <c r="CW140" s="155">
        <f ca="1">IF(BD140,_xll.EURO(CN140,Strike1,AO140,AO140,CT140,CM140,IF(OptControl=4,0,1),1)+IF(OR(VolSkewFlag=2,ABS(CO140)&lt;0.0001),0,IF(CO140&gt;0,-1,1)*CX140*100*Strike1/CN140^2*CQ140/10%),0)</f>
        <v>0</v>
      </c>
      <c r="CX140" s="155">
        <f ca="1">IF(BD140,_xll.EURO(CN140,Strike1,AO140,AO140,CT140,CM140,IF(OptControl=4,0,1),3)/100,0)</f>
        <v>0</v>
      </c>
      <c r="CY140" s="155">
        <f ca="1">IF(BD140,_xll.EURO(CN140,Strike1,AO140,AO140,CT140,CM140,IF(OptControl=4,0,1),0)-_xll.EURO(CN140,Strike1,AO140,AO140,CT140,CM140-1,IF(OptControl=4,0,1),0),0)</f>
        <v>0</v>
      </c>
      <c r="CZ140" s="155">
        <f ca="1">IF(BD140,_xll.EURO(CN140,Strike2,AO140,AO140,CU140,CM140,IF(OptControl=3,1,0),0),0)</f>
        <v>0</v>
      </c>
      <c r="DA140" s="155">
        <f ca="1">IF(BD140,_xll.EURO(CN140,Strike2,AO140,AO140,CU140,CM140,IF(OptControl=3,1,0),1)+IF(OR(VolSkewFlag=2,ABS(CP140)&lt;0.0001),0,IF(CP140&gt;0,-1,1)*DB140*100*Strike2/CN140^2*CR140/10%),0)</f>
        <v>0</v>
      </c>
      <c r="DB140" s="155">
        <f ca="1">IF(BD140,_xll.EURO(CN140,Strike2,AO140,AO140,CU140,CM140,IF(OptControl=3,1,0),3)/100,0)</f>
        <v>0</v>
      </c>
      <c r="DC140" s="156">
        <f ca="1">IF(BD140,_xll.EURO(CN140,Strike2,AO140,AO140,CU140,CM140,IF(OptControl=3,1,0),0)-_xll.EURO(CN140,Strike2,AO140,AO140,CU140,CM140-1,IF(OptControl=3,1,0),0),0)</f>
        <v>0</v>
      </c>
      <c r="DE140" s="651">
        <f t="shared" ca="1" si="332"/>
        <v>40575</v>
      </c>
      <c r="DF140" s="465">
        <v>1E-4</v>
      </c>
      <c r="DG140" s="649">
        <v>1E-4</v>
      </c>
      <c r="DH140" s="650">
        <f t="shared" ca="1" si="463"/>
        <v>40575</v>
      </c>
      <c r="DI140" s="465">
        <v>1E-4</v>
      </c>
      <c r="DJ140" s="649">
        <v>1E-4</v>
      </c>
      <c r="DK140" s="651">
        <f t="shared" ca="1" si="464"/>
        <v>40575</v>
      </c>
      <c r="DL140" s="652">
        <f t="shared" si="465"/>
        <v>5.0100000000000006E-2</v>
      </c>
      <c r="DM140" s="651">
        <f t="shared" ca="1" si="333"/>
        <v>40575</v>
      </c>
      <c r="DN140" s="563">
        <f t="shared" si="334"/>
        <v>-0.12990000000000002</v>
      </c>
      <c r="DO140" s="803">
        <v>-0.13</v>
      </c>
      <c r="DP140" s="650">
        <f t="shared" ca="1" si="466"/>
        <v>40575</v>
      </c>
      <c r="DQ140" s="653">
        <v>1E-4</v>
      </c>
      <c r="DR140" s="590">
        <v>1E-4</v>
      </c>
      <c r="DS140" s="650">
        <f t="shared" ca="1" si="467"/>
        <v>40575</v>
      </c>
      <c r="DT140" s="653">
        <v>1E-4</v>
      </c>
      <c r="DU140" s="590">
        <v>1E-4</v>
      </c>
      <c r="DV140" s="651">
        <f t="shared" ca="1" si="468"/>
        <v>40575</v>
      </c>
      <c r="DW140" s="590">
        <v>1E-4</v>
      </c>
      <c r="DX140" s="651">
        <f t="shared" ca="1" si="335"/>
        <v>40575</v>
      </c>
      <c r="DY140" s="590">
        <f t="shared" si="336"/>
        <v>1E-4</v>
      </c>
      <c r="DZ140" s="1"/>
      <c r="EA140" s="857"/>
      <c r="EB140" s="857"/>
      <c r="EC140" s="857"/>
      <c r="ED140" s="868" t="e">
        <f t="shared" ca="1" si="436"/>
        <v>#NAME?</v>
      </c>
      <c r="EE140" s="863" t="e">
        <f t="shared" ca="1" si="312"/>
        <v>#NAME?</v>
      </c>
      <c r="EF140" s="590" t="e">
        <f t="shared" ca="1" si="313"/>
        <v>#NAME?</v>
      </c>
      <c r="EG140" s="862" t="str">
        <f t="shared" ca="1" si="469"/>
        <v/>
      </c>
      <c r="EH140" s="114" t="str">
        <f t="shared" ca="1" si="315"/>
        <v/>
      </c>
      <c r="EI140" s="109" t="str">
        <f t="shared" ca="1" si="316"/>
        <v/>
      </c>
      <c r="EJ140" s="115">
        <f ca="1">IF(BD140,_xll.xASN(BP140,Strike1,AO140,EH140,0,BM140,0,BI140,BL140,IF(OptControl=4,0,1),0),0)</f>
        <v>0</v>
      </c>
      <c r="EK140" s="108">
        <f ca="1">IF(BD140,_xll.xASN(BP140,Strike2,AO140,EI140,0,BM140,0,BI140,BL140,IF(OptControl=3,1,0),0),0)</f>
        <v>0</v>
      </c>
      <c r="EP140" s="53"/>
      <c r="EQ140" s="1"/>
      <c r="ER140" s="103"/>
      <c r="ES140" s="103"/>
      <c r="ET140" s="1"/>
      <c r="EU140" s="667" t="s">
        <v>352</v>
      </c>
      <c r="EW140" s="445"/>
      <c r="EX140" s="36"/>
      <c r="EY140" s="104"/>
      <c r="EZ140" s="465"/>
      <c r="FA140" s="446"/>
      <c r="FB140" s="446"/>
      <c r="FC140" s="242"/>
      <c r="FD140" s="242"/>
      <c r="FE140" s="242"/>
      <c r="FF140" s="242"/>
      <c r="FG140" s="242"/>
      <c r="FH140" s="242"/>
      <c r="FI140" s="242"/>
      <c r="FJ140" s="242"/>
      <c r="FK140" s="242"/>
      <c r="FL140" s="242"/>
      <c r="FM140" s="242"/>
      <c r="FN140" s="657">
        <v>46</v>
      </c>
      <c r="FO140" s="450">
        <f t="shared" ca="1" si="477"/>
        <v>0.17381408084350122</v>
      </c>
      <c r="FP140" s="450">
        <f t="shared" ca="1" si="483"/>
        <v>0.17389549241043248</v>
      </c>
      <c r="FQ140" s="450">
        <f t="shared" ca="1" si="483"/>
        <v>0.17381881527967885</v>
      </c>
      <c r="FR140" s="450">
        <f t="shared" ca="1" si="483"/>
        <v>0.17376038642355515</v>
      </c>
      <c r="FS140" s="450">
        <f t="shared" ca="1" si="483"/>
        <v>0.17372198365834746</v>
      </c>
      <c r="FT140" s="450">
        <f t="shared" ca="1" si="483"/>
        <v>0.17370559182381853</v>
      </c>
      <c r="FU140" s="450">
        <f t="shared" ca="1" si="483"/>
        <v>0.17371342762661202</v>
      </c>
      <c r="FV140" s="450">
        <f t="shared" ca="1" si="483"/>
        <v>0.17374796771653023</v>
      </c>
      <c r="FW140" s="450">
        <f t="shared" ca="1" si="483"/>
        <v>0.17381198047194354</v>
      </c>
      <c r="FX140" s="450">
        <f t="shared" ca="1" si="483"/>
        <v>0.1739085620527234</v>
      </c>
      <c r="FY140" s="450">
        <f t="shared" ca="1" si="483"/>
        <v>0.17404117737781846</v>
      </c>
      <c r="FZ140" s="450">
        <f t="shared" ca="1" si="483"/>
        <v>0.17421370680375289</v>
      </c>
      <c r="GA140" s="450">
        <f t="shared" ca="1" si="483"/>
        <v>0.17443049942471819</v>
      </c>
      <c r="GB140" s="450">
        <f t="shared" ca="1" si="483"/>
        <v>0.174696434090652</v>
      </c>
      <c r="GC140" s="450">
        <f t="shared" ca="1" si="483"/>
        <v>0.17501698945441629</v>
      </c>
      <c r="GD140" s="450">
        <f t="shared" ca="1" si="483"/>
        <v>0.17539832462272578</v>
      </c>
      <c r="GE140" s="450">
        <f t="shared" ca="1" si="483"/>
        <v>0.17584737231033706</v>
      </c>
      <c r="GF140" s="450">
        <f t="shared" ca="1" si="483"/>
        <v>0.17637194679926924</v>
      </c>
      <c r="GG140" s="450">
        <f t="shared" ca="1" si="483"/>
        <v>0.17698086950525027</v>
      </c>
      <c r="GH140" s="450">
        <f t="shared" ca="1" si="483"/>
        <v>0.17768411557907257</v>
      </c>
      <c r="GI140" s="450">
        <f t="shared" ca="1" si="483"/>
        <v>0.17849298575621636</v>
      </c>
      <c r="GJ140" s="450">
        <f t="shared" ca="1" si="483"/>
        <v>0.17942030866001091</v>
      </c>
      <c r="GK140" s="450">
        <f t="shared" ca="1" si="483"/>
        <v>0.18048068002250803</v>
      </c>
      <c r="GL140" s="450">
        <f t="shared" ca="1" si="483"/>
        <v>0.18169074689382578</v>
      </c>
      <c r="GM140" s="450">
        <f t="shared" ca="1" si="483"/>
        <v>0.18306954697278494</v>
      </c>
      <c r="GN140" s="450">
        <f t="shared" ca="1" si="483"/>
        <v>0.18463891585428269</v>
      </c>
      <c r="GO140" s="450">
        <f t="shared" ca="1" si="483"/>
        <v>0.18642397844863123</v>
      </c>
      <c r="GP140" s="450">
        <f t="shared" ca="1" si="483"/>
        <v>0.1884537453535125</v>
      </c>
      <c r="GQ140" s="450">
        <f t="shared" ca="1" si="483"/>
        <v>0.19076184091978524</v>
      </c>
      <c r="GR140" s="450">
        <f t="shared" ca="1" si="483"/>
        <v>0.19338739766101321</v>
      </c>
      <c r="GS140" s="450">
        <f t="shared" ca="1" si="483"/>
        <v>0.19637616223134616</v>
      </c>
      <c r="GT140" s="450">
        <f t="shared" ca="1" si="483"/>
        <v>0.19978187245201703</v>
      </c>
      <c r="GU140" s="450">
        <f t="shared" ca="1" si="483"/>
        <v>0.20366798425114224</v>
      </c>
      <c r="GV140" s="450">
        <f t="shared" ca="1" si="483"/>
        <v>0.20810985398204113</v>
      </c>
      <c r="GW140" s="450">
        <f t="shared" ca="1" si="483"/>
        <v>0.21319751844376036</v>
      </c>
      <c r="GX140" s="450">
        <f t="shared" ca="1" si="483"/>
        <v>0.21903926652779479</v>
      </c>
      <c r="GY140" s="450">
        <f t="shared" ca="1" si="483"/>
        <v>0.22576626944748565</v>
      </c>
      <c r="GZ140" s="450">
        <f t="shared" ca="1" si="483"/>
        <v>0.23353864108324143</v>
      </c>
      <c r="HA140" s="450">
        <f t="shared" ca="1" si="483"/>
        <v>0.24255345159210823</v>
      </c>
      <c r="HB140" s="450">
        <f t="shared" ca="1" si="483"/>
        <v>0.2530554401757984</v>
      </c>
      <c r="HC140" s="450">
        <f t="shared" ca="1" si="483"/>
        <v>0.26535150482456094</v>
      </c>
      <c r="HD140" s="450">
        <f t="shared" ca="1" si="483"/>
        <v>0.27983054905575033</v>
      </c>
      <c r="HE140" s="450">
        <f t="shared" ca="1" si="483"/>
        <v>0.29699103804275007</v>
      </c>
      <c r="HF140" s="450">
        <f t="shared" ca="1" si="483"/>
        <v>0.31747982559464066</v>
      </c>
      <c r="HG140" s="450">
        <f t="shared" ca="1" si="483"/>
        <v>0.34214774259674541</v>
      </c>
      <c r="HH140" s="450">
        <f t="shared" ca="1" si="483"/>
        <v>0.37213058010423594</v>
      </c>
      <c r="HI140" s="450" t="str">
        <f t="shared" si="483"/>
        <v/>
      </c>
      <c r="HJ140" s="450" t="str">
        <f t="shared" si="483"/>
        <v/>
      </c>
      <c r="HK140" s="450" t="str">
        <f t="shared" si="483"/>
        <v/>
      </c>
      <c r="HL140" s="450" t="str">
        <f t="shared" si="483"/>
        <v/>
      </c>
      <c r="HM140" s="450" t="str">
        <f t="shared" si="483"/>
        <v/>
      </c>
      <c r="HN140" s="450" t="str">
        <f t="shared" si="483"/>
        <v/>
      </c>
      <c r="HO140" s="450" t="str">
        <f t="shared" si="483"/>
        <v/>
      </c>
      <c r="HP140" s="450" t="str">
        <f t="shared" si="483"/>
        <v/>
      </c>
      <c r="HQ140" s="450" t="str">
        <f t="shared" si="483"/>
        <v/>
      </c>
      <c r="HR140" s="450" t="str">
        <f t="shared" si="483"/>
        <v/>
      </c>
      <c r="HS140" s="450" t="str">
        <f t="shared" si="483"/>
        <v/>
      </c>
      <c r="HT140" s="450" t="str">
        <f t="shared" si="483"/>
        <v/>
      </c>
      <c r="HU140" s="450" t="str">
        <f t="shared" si="483"/>
        <v/>
      </c>
      <c r="HV140" s="450" t="str">
        <f t="shared" si="483"/>
        <v/>
      </c>
      <c r="HW140" s="450" t="str">
        <f t="shared" si="483"/>
        <v/>
      </c>
      <c r="HX140" s="450" t="str">
        <f t="shared" si="483"/>
        <v/>
      </c>
      <c r="HY140" s="450" t="str">
        <f t="shared" si="483"/>
        <v/>
      </c>
      <c r="HZ140" s="450" t="str">
        <f t="shared" si="483"/>
        <v/>
      </c>
      <c r="IA140" s="450" t="str">
        <f t="shared" ref="IA140:IH143" si="484">IF($FN65&lt;IA$94,"",SQRT(IA65/IA$15))</f>
        <v/>
      </c>
      <c r="IB140" s="450" t="str">
        <f t="shared" si="484"/>
        <v/>
      </c>
      <c r="IC140" s="450" t="str">
        <f t="shared" si="484"/>
        <v/>
      </c>
      <c r="ID140" s="450" t="str">
        <f t="shared" si="484"/>
        <v/>
      </c>
      <c r="IE140" s="450" t="str">
        <f t="shared" si="484"/>
        <v/>
      </c>
      <c r="IF140" s="450" t="str">
        <f t="shared" si="484"/>
        <v/>
      </c>
      <c r="IG140" s="450" t="str">
        <f t="shared" si="484"/>
        <v/>
      </c>
      <c r="IH140" s="658" t="str">
        <f t="shared" si="484"/>
        <v/>
      </c>
      <c r="II140" s="242"/>
    </row>
    <row r="141" spans="8:243">
      <c r="H141" s="49" t="e">
        <f t="shared" ca="1" si="317"/>
        <v>#N/A</v>
      </c>
      <c r="I141" s="369">
        <f t="shared" si="318"/>
        <v>40695</v>
      </c>
      <c r="J141" s="367">
        <v>22.41</v>
      </c>
      <c r="K141" s="101" t="s">
        <v>267</v>
      </c>
      <c r="L141" s="382">
        <f t="shared" si="319"/>
        <v>22.409999999999958</v>
      </c>
      <c r="M141" s="163">
        <v>0.16240000000000002</v>
      </c>
      <c r="N141" s="372">
        <v>0</v>
      </c>
      <c r="O141" s="163">
        <f t="shared" si="272"/>
        <v>0.16240000000000002</v>
      </c>
      <c r="P141" s="367">
        <v>20.933137983082197</v>
      </c>
      <c r="Q141" s="101" t="s">
        <v>267</v>
      </c>
      <c r="R141" s="367">
        <f t="shared" ca="1" si="417"/>
        <v>20.933137983082215</v>
      </c>
      <c r="S141" s="814">
        <f t="shared" si="474"/>
        <v>0.35496901956561677</v>
      </c>
      <c r="T141" s="813">
        <f t="shared" si="418"/>
        <v>0.99999977312896571</v>
      </c>
      <c r="U141" s="532">
        <f t="shared" si="419"/>
        <v>0.99999999999999978</v>
      </c>
      <c r="V141" s="379">
        <v>0</v>
      </c>
      <c r="W141" s="424">
        <f t="shared" si="452"/>
        <v>22.444090909090907</v>
      </c>
      <c r="X141" s="405">
        <f t="shared" si="453"/>
        <v>22.444090909090868</v>
      </c>
      <c r="Y141" s="313">
        <f t="shared" si="454"/>
        <v>21.100090909090905</v>
      </c>
      <c r="Z141" s="313">
        <f t="shared" ca="1" si="455"/>
        <v>21.100090909090866</v>
      </c>
      <c r="AA141" s="419">
        <f t="shared" si="277"/>
        <v>1.3440000000000001</v>
      </c>
      <c r="AB141" s="423">
        <f t="shared" ca="1" si="278"/>
        <v>1.3440000000000001</v>
      </c>
      <c r="AC141" s="221">
        <v>40683</v>
      </c>
      <c r="AD141" s="221">
        <v>40679</v>
      </c>
      <c r="AE141" s="221">
        <v>40678</v>
      </c>
      <c r="AF141" s="221">
        <v>40674</v>
      </c>
      <c r="AG141" s="241" t="s">
        <v>497</v>
      </c>
      <c r="AH141" s="239" t="s">
        <v>497</v>
      </c>
      <c r="AI141" s="141">
        <v>22</v>
      </c>
      <c r="AJ141" s="41">
        <v>14</v>
      </c>
      <c r="AK141" s="41">
        <v>8</v>
      </c>
      <c r="AL141" s="285">
        <v>22</v>
      </c>
      <c r="AM141" s="41">
        <v>10</v>
      </c>
      <c r="AN141" s="142">
        <v>12</v>
      </c>
      <c r="AO141" s="364">
        <v>5.9365670279210504E-2</v>
      </c>
      <c r="AP141" s="145">
        <f t="shared" ca="1" si="320"/>
        <v>0.54987169325182728</v>
      </c>
      <c r="AQ141" s="364">
        <v>5.01630855640047E-2</v>
      </c>
      <c r="AR141" s="145">
        <f t="shared" ca="1" si="420"/>
        <v>0.6062915465157217</v>
      </c>
      <c r="AS141" s="264">
        <f t="shared" si="456"/>
        <v>0.16226363636363636</v>
      </c>
      <c r="AT141" s="149">
        <f t="shared" si="321"/>
        <v>0.16240000000000002</v>
      </c>
      <c r="AU141" s="149">
        <f t="shared" si="280"/>
        <v>0.16224545454545455</v>
      </c>
      <c r="AV141" s="263">
        <f t="shared" ca="1" si="430"/>
        <v>0.15986526721176297</v>
      </c>
      <c r="AW141" s="150" t="str">
        <f t="shared" ca="1" si="457"/>
        <v/>
      </c>
      <c r="AX141" s="149">
        <f t="shared" ca="1" si="421"/>
        <v>1.179995009249411E-2</v>
      </c>
      <c r="AY141" s="149">
        <f t="shared" ca="1" si="422"/>
        <v>4.7800753644687936E-3</v>
      </c>
      <c r="AZ141" s="149">
        <f t="shared" ca="1" si="423"/>
        <v>3.6853642230193716E-3</v>
      </c>
      <c r="BA141" s="149">
        <f t="shared" ca="1" si="424"/>
        <v>1.0000000000000475E-4</v>
      </c>
      <c r="BB141" s="149">
        <f t="shared" ca="1" si="425"/>
        <v>1.0000000000000475E-4</v>
      </c>
      <c r="BC141" s="149">
        <f t="shared" ca="1" si="426"/>
        <v>1.0000000000000475E-4</v>
      </c>
      <c r="BD141" s="143">
        <f t="shared" ca="1" si="458"/>
        <v>0</v>
      </c>
      <c r="BE141" s="144">
        <f t="shared" ca="1" si="459"/>
        <v>0</v>
      </c>
      <c r="BF141" s="40">
        <f t="shared" si="460"/>
        <v>2011</v>
      </c>
      <c r="BG141" s="139">
        <f t="shared" si="461"/>
        <v>6</v>
      </c>
      <c r="BH141" s="140">
        <f t="shared" ca="1" si="462"/>
        <v>3689</v>
      </c>
      <c r="BI141" s="304">
        <f t="shared" ca="1" si="440"/>
        <v>10.143737166324435</v>
      </c>
      <c r="BJ141" s="42">
        <f t="shared" ca="1" si="288"/>
        <v>10.194262958123327</v>
      </c>
      <c r="BK141" s="42">
        <f t="shared" ca="1" si="289"/>
        <v>10.19700080891046</v>
      </c>
      <c r="BL141" s="42">
        <f t="shared" ca="1" si="441"/>
        <v>10.223134839151266</v>
      </c>
      <c r="BM141" s="285">
        <f t="shared" si="442"/>
        <v>22</v>
      </c>
      <c r="BN141" s="41">
        <f t="shared" si="443"/>
        <v>14</v>
      </c>
      <c r="BO141" s="41">
        <f t="shared" si="444"/>
        <v>8</v>
      </c>
      <c r="BP141" s="297" t="str">
        <f t="shared" ca="1" si="293"/>
        <v/>
      </c>
      <c r="BQ141" s="297" t="str">
        <f t="shared" ca="1" si="294"/>
        <v/>
      </c>
      <c r="BR141" s="299" t="str">
        <f t="shared" ca="1" si="295"/>
        <v/>
      </c>
      <c r="BS141" s="153" t="str">
        <f t="shared" ca="1" si="296"/>
        <v/>
      </c>
      <c r="BT141" s="153" t="str">
        <f t="shared" ca="1" si="297"/>
        <v/>
      </c>
      <c r="BU141" s="300" t="str">
        <f t="shared" ca="1" si="298"/>
        <v/>
      </c>
      <c r="BV141" s="301" t="str">
        <f t="shared" ca="1" si="299"/>
        <v/>
      </c>
      <c r="BW141" s="300" t="str">
        <f t="shared" ca="1" si="300"/>
        <v/>
      </c>
      <c r="BX141" s="301" t="str">
        <f t="shared" ca="1" si="301"/>
        <v/>
      </c>
      <c r="BY141" s="146" t="str">
        <f t="shared" ca="1" si="302"/>
        <v/>
      </c>
      <c r="BZ141" s="146" t="str">
        <f t="shared" ca="1" si="303"/>
        <v/>
      </c>
      <c r="CA141" s="146" t="str">
        <f t="shared" ca="1" si="304"/>
        <v/>
      </c>
      <c r="CB141" s="146" t="str">
        <f t="shared" ca="1" si="305"/>
        <v/>
      </c>
      <c r="CC141" s="302">
        <v>1</v>
      </c>
      <c r="CD141" s="154">
        <f ca="1">IF(BD141,_xll.xCrudeAPO(BS141,BT141,BY141,BZ141,S142,S143,BI141,BL141,BN141,BO141,0,Strike1,AO141,CC141,0,BL141,IF(OptControl=4,0,1),0,1),0)</f>
        <v>0</v>
      </c>
      <c r="CE141" s="155">
        <f ca="1">IF(BD141,_xll.xCrudeAPO(BS141,BT141,BY141,BZ141,S142,S143,BI141,BL141,BN141,BO141,0,Strike1,AO141,CC141,0,BL141,IF(OptControl=4,0,1),1,1)+_xll.xCrudeAPO(BS141,BT141,BY141,BZ141,S142,S143,BI141,BL141,BN141,BO141,0,Strike1,AO141,CC141,0,BL141,IF(OptControl=4,0,1),1,2)+IF(OR(VolSkewFlag=2,ABS(BQ141)&lt;0.0001),0,IF(BQ141&gt;0,-1,1)*CF141*Strike1/BP141^2*BW141/10%),0)</f>
        <v>0</v>
      </c>
      <c r="CF141" s="155">
        <f ca="1">IF(BD141,(_xll.xCrudeAPO(BS141,BT141,BY141,BZ141,S142,S143,BI141,BL141,BN141,BO141,0,Strike1,AO141,CC141,0,BL141,IF(OptControl=4,0,1),3,1)+_xll.xCrudeAPO(BS141,BT141,BY141,BZ141,S142,S143,BI141,BL141,BN141,BO141,0,Strike1,AO141,CC141,0,BL141,IF(OptControl=4,0,1),3,2))/100,0)</f>
        <v>0</v>
      </c>
      <c r="CG141" s="155">
        <f ca="1">IF(BD141,_xll.xCrudeAPO(BS141,BT141,BY141,BZ141,S142,S143,BI141-DaysForThetaCalculation/365.25,BL141-DaysForThetaCalculation/365.25,BN141,BO141,0,Strike1,AO141,CC141,0,BL141,IF(OptControl=4,0,1),0,1)-_xll.xCrudeAPO(BS141,BT141,BY141,BZ141,S142,S143,BI141,BL141,BN141,BO141,0,Strike1,AO141,CC141,0,BL141,IF(OptControl=4,0,1),0,1),0)</f>
        <v>0</v>
      </c>
      <c r="CH141" s="303">
        <f ca="1">IF(BD141,_xll.xCrudeAPO(BS141,BT141,CA141,CB141,S142,S143,BI141,BL141,BN141,BO141,0,Strike2,AO141,CC141,0,BL141,IF(OptControl=3,1,0),0,1),0)</f>
        <v>0</v>
      </c>
      <c r="CI141" s="155">
        <f ca="1">IF(BD141,_xll.xCrudeAPO(BS141,BT141,CA141,CB141,S142,S143,BI141,BL141,BN141,BO141,0,Strike2,AO141,CC141,0,BL141,IF(OptControl=3,1,0),1,1)+_xll.xCrudeAPO(BS141,BT141,CA141,CB141,S142,S143,BI141,BL141,BN141,BO141,0,Strike2,AO141,CC141,0,BL141,IF(OptControl=3,1,0),1,2)+IF(OR(VolSkewFlag=2,ABS(BR141)&lt;0.0001),0,IF(BR141&gt;0,-1,1)*CJ141*Strike2/BP141^2*BX141/10%),0)</f>
        <v>0</v>
      </c>
      <c r="CJ141" s="155">
        <f ca="1">IF(BD141,(_xll.xCrudeAPO(BS141,BT141,CA141,CB141,S142,S143,BI141,BL141,BN141,BO141,0,Strike2,AO141,CC141,0,BL141,IF(OptControl=3,1,0),3,1)+_xll.xCrudeAPO(BS141,BT141,CA141,CB141,S142,S143,BI141,BL141,BN141,BO141,0,Strike2,AO141,CC141,0,BL141,IF(OptControl=3,1,0),3,2))/100,0)</f>
        <v>0</v>
      </c>
      <c r="CK141" s="156">
        <f ca="1">IF(BD141,_xll.xCrudeAPO(BS141,BT141,CA141,CB141,S142,S143,BI141-DaysForThetaCalculation/365.25,BL141-DaysForThetaCalculation/365.25,BN141,BO141,0,Strike2,AO141,CC141,0,BL141,IF(OptControl=3,1,0),0,1)-_xll.xCrudeAPO(BS141,BT141,CA141,CB141,S142,S143,BI141,BL141,BN141,BO141,0,Strike2,AO141,CC141,0,BL141,IF(OptControl=3,1,0),0,1),0)</f>
        <v>0</v>
      </c>
      <c r="CL141" s="51"/>
      <c r="CM141" s="779" t="str">
        <f t="shared" ca="1" si="323"/>
        <v/>
      </c>
      <c r="CN141" s="783" t="str">
        <f t="shared" ca="1" si="324"/>
        <v/>
      </c>
      <c r="CO141" s="780" t="str">
        <f t="shared" ca="1" si="325"/>
        <v/>
      </c>
      <c r="CP141" s="780" t="str">
        <f t="shared" ca="1" si="326"/>
        <v/>
      </c>
      <c r="CQ141" s="780" t="str">
        <f t="shared" ca="1" si="327"/>
        <v/>
      </c>
      <c r="CR141" s="780" t="str">
        <f t="shared" ca="1" si="328"/>
        <v/>
      </c>
      <c r="CS141" s="781" t="str">
        <f t="shared" ca="1" si="329"/>
        <v/>
      </c>
      <c r="CT141" s="782" t="str">
        <f t="shared" ca="1" si="330"/>
        <v/>
      </c>
      <c r="CU141" s="782" t="str">
        <f t="shared" ca="1" si="331"/>
        <v/>
      </c>
      <c r="CV141" s="155">
        <f ca="1">IF(BD141,_xll.EURO(CN141,Strike1,AO141,AO141,CT141,CM141,IF(OptControl=4,0,1),0),0)</f>
        <v>0</v>
      </c>
      <c r="CW141" s="155">
        <f ca="1">IF(BD141,_xll.EURO(CN141,Strike1,AO141,AO141,CT141,CM141,IF(OptControl=4,0,1),1)+IF(OR(VolSkewFlag=2,ABS(CO141)&lt;0.0001),0,IF(CO141&gt;0,-1,1)*CX141*100*Strike1/CN141^2*CQ141/10%),0)</f>
        <v>0</v>
      </c>
      <c r="CX141" s="155">
        <f ca="1">IF(BD141,_xll.EURO(CN141,Strike1,AO141,AO141,CT141,CM141,IF(OptControl=4,0,1),3)/100,0)</f>
        <v>0</v>
      </c>
      <c r="CY141" s="155">
        <f ca="1">IF(BD141,_xll.EURO(CN141,Strike1,AO141,AO141,CT141,CM141,IF(OptControl=4,0,1),0)-_xll.EURO(CN141,Strike1,AO141,AO141,CT141,CM141-1,IF(OptControl=4,0,1),0),0)</f>
        <v>0</v>
      </c>
      <c r="CZ141" s="155">
        <f ca="1">IF(BD141,_xll.EURO(CN141,Strike2,AO141,AO141,CU141,CM141,IF(OptControl=3,1,0),0),0)</f>
        <v>0</v>
      </c>
      <c r="DA141" s="155">
        <f ca="1">IF(BD141,_xll.EURO(CN141,Strike2,AO141,AO141,CU141,CM141,IF(OptControl=3,1,0),1)+IF(OR(VolSkewFlag=2,ABS(CP141)&lt;0.0001),0,IF(CP141&gt;0,-1,1)*DB141*100*Strike2/CN141^2*CR141/10%),0)</f>
        <v>0</v>
      </c>
      <c r="DB141" s="155">
        <f ca="1">IF(BD141,_xll.EURO(CN141,Strike2,AO141,AO141,CU141,CM141,IF(OptControl=3,1,0),3)/100,0)</f>
        <v>0</v>
      </c>
      <c r="DC141" s="156">
        <f ca="1">IF(BD141,_xll.EURO(CN141,Strike2,AO141,AO141,CU141,CM141,IF(OptControl=3,1,0),0)-_xll.EURO(CN141,Strike2,AO141,AO141,CU141,CM141-1,IF(OptControl=3,1,0),0),0)</f>
        <v>0</v>
      </c>
      <c r="DE141" s="651">
        <f t="shared" ca="1" si="332"/>
        <v>40603</v>
      </c>
      <c r="DF141" s="465">
        <v>1E-4</v>
      </c>
      <c r="DG141" s="649">
        <v>1E-4</v>
      </c>
      <c r="DH141" s="650">
        <f t="shared" ca="1" si="463"/>
        <v>40603</v>
      </c>
      <c r="DI141" s="465">
        <v>1E-4</v>
      </c>
      <c r="DJ141" s="649">
        <v>1E-4</v>
      </c>
      <c r="DK141" s="651">
        <f t="shared" ca="1" si="464"/>
        <v>40603</v>
      </c>
      <c r="DL141" s="652">
        <f t="shared" si="465"/>
        <v>5.0100000000000006E-2</v>
      </c>
      <c r="DM141" s="651">
        <f t="shared" ca="1" si="333"/>
        <v>40603</v>
      </c>
      <c r="DN141" s="563">
        <f t="shared" si="334"/>
        <v>-0.12990000000000002</v>
      </c>
      <c r="DO141" s="803">
        <v>-0.13</v>
      </c>
      <c r="DP141" s="650">
        <f t="shared" ca="1" si="466"/>
        <v>40603</v>
      </c>
      <c r="DQ141" s="653">
        <v>1E-4</v>
      </c>
      <c r="DR141" s="590">
        <v>1E-4</v>
      </c>
      <c r="DS141" s="650">
        <f t="shared" ca="1" si="467"/>
        <v>40603</v>
      </c>
      <c r="DT141" s="653">
        <v>1E-4</v>
      </c>
      <c r="DU141" s="590">
        <v>1E-4</v>
      </c>
      <c r="DV141" s="651">
        <f t="shared" ca="1" si="468"/>
        <v>40603</v>
      </c>
      <c r="DW141" s="590">
        <v>1E-4</v>
      </c>
      <c r="DX141" s="651">
        <f t="shared" ca="1" si="335"/>
        <v>40603</v>
      </c>
      <c r="DY141" s="590">
        <f t="shared" si="336"/>
        <v>1E-4</v>
      </c>
      <c r="DZ141" s="1"/>
      <c r="EA141" s="857"/>
      <c r="EB141" s="857"/>
      <c r="EC141" s="857"/>
      <c r="ED141" s="868" t="e">
        <f t="shared" ca="1" si="436"/>
        <v>#NAME?</v>
      </c>
      <c r="EE141" s="863" t="e">
        <f t="shared" ca="1" si="312"/>
        <v>#NAME?</v>
      </c>
      <c r="EF141" s="590" t="e">
        <f t="shared" ca="1" si="313"/>
        <v>#NAME?</v>
      </c>
      <c r="EG141" s="862" t="str">
        <f t="shared" ca="1" si="469"/>
        <v/>
      </c>
      <c r="EH141" s="114" t="str">
        <f t="shared" ca="1" si="315"/>
        <v/>
      </c>
      <c r="EI141" s="109" t="str">
        <f t="shared" ca="1" si="316"/>
        <v/>
      </c>
      <c r="EJ141" s="115">
        <f ca="1">IF(BD141,_xll.xASN(BP141,Strike1,AO141,EH141,0,BM141,0,BI141,BL141,IF(OptControl=4,0,1),0),0)</f>
        <v>0</v>
      </c>
      <c r="EK141" s="108">
        <f ca="1">IF(BD141,_xll.xASN(BP141,Strike2,AO141,EI141,0,BM141,0,BI141,BL141,IF(OptControl=3,1,0),0),0)</f>
        <v>0</v>
      </c>
      <c r="EP141" s="53"/>
      <c r="EQ141" s="1"/>
      <c r="ER141" s="103"/>
      <c r="ES141" s="103"/>
      <c r="ET141" s="1"/>
      <c r="EU141" s="667" t="s">
        <v>353</v>
      </c>
      <c r="EW141" s="445"/>
      <c r="EX141" s="36"/>
      <c r="EY141" s="104"/>
      <c r="EZ141" s="465"/>
      <c r="FA141" s="446"/>
      <c r="FB141" s="446"/>
      <c r="FC141" s="242"/>
      <c r="FD141" s="242"/>
      <c r="FE141" s="242"/>
      <c r="FF141" s="242"/>
      <c r="FG141" s="242"/>
      <c r="FH141" s="242"/>
      <c r="FI141" s="242"/>
      <c r="FJ141" s="242"/>
      <c r="FK141" s="242"/>
      <c r="FL141" s="242"/>
      <c r="FM141" s="242"/>
      <c r="FN141" s="657">
        <v>47</v>
      </c>
      <c r="FO141" s="450">
        <f t="shared" ca="1" si="477"/>
        <v>0.17369561824307128</v>
      </c>
      <c r="FP141" s="450">
        <f t="shared" ref="FP141:IA144" ca="1" si="485">IF($FN66&lt;FP$94,"",SQRT(FP66/FP$15))</f>
        <v>0.17376380065793876</v>
      </c>
      <c r="FQ141" s="450">
        <f t="shared" ca="1" si="485"/>
        <v>0.17367254947144475</v>
      </c>
      <c r="FR141" s="450">
        <f t="shared" ca="1" si="485"/>
        <v>0.17359791588670467</v>
      </c>
      <c r="FS141" s="450">
        <f t="shared" ca="1" si="485"/>
        <v>0.17354149135185465</v>
      </c>
      <c r="FT141" s="450">
        <f t="shared" ca="1" si="485"/>
        <v>0.17350505215156539</v>
      </c>
      <c r="FU141" s="450">
        <f t="shared" ca="1" si="485"/>
        <v>0.1734905814068278</v>
      </c>
      <c r="FV141" s="450">
        <f t="shared" ca="1" si="485"/>
        <v>0.17350029389770333</v>
      </c>
      <c r="FW141" s="450">
        <f t="shared" ca="1" si="485"/>
        <v>0.17353666411638277</v>
      </c>
      <c r="FX141" s="450">
        <f t="shared" ca="1" si="485"/>
        <v>0.17360245802643964</v>
      </c>
      <c r="FY141" s="450">
        <f t="shared" ca="1" si="485"/>
        <v>0.17370076908623366</v>
      </c>
      <c r="FZ141" s="450">
        <f t="shared" ca="1" si="485"/>
        <v>0.17383505919307102</v>
      </c>
      <c r="GA141" s="450">
        <f t="shared" ca="1" si="485"/>
        <v>0.17400920532378966</v>
      </c>
      <c r="GB141" s="450">
        <f t="shared" ca="1" si="485"/>
        <v>0.17422755279172519</v>
      </c>
      <c r="GC141" s="450">
        <f t="shared" ca="1" si="485"/>
        <v>0.17449497621558457</v>
      </c>
      <c r="GD141" s="450">
        <f t="shared" ca="1" si="485"/>
        <v>0.17481694951031426</v>
      </c>
      <c r="GE141" s="450">
        <f t="shared" ca="1" si="485"/>
        <v>0.17519962647337653</v>
      </c>
      <c r="GF141" s="450">
        <f t="shared" ca="1" si="485"/>
        <v>0.17564993386444638</v>
      </c>
      <c r="GG141" s="450">
        <f t="shared" ca="1" si="485"/>
        <v>0.1761756792784934</v>
      </c>
      <c r="GH141" s="450">
        <f t="shared" ca="1" si="485"/>
        <v>0.17678567661223266</v>
      </c>
      <c r="GI141" s="450">
        <f t="shared" ca="1" si="485"/>
        <v>0.17748989254892941</v>
      </c>
      <c r="GJ141" s="450">
        <f t="shared" ca="1" si="485"/>
        <v>0.17829961827159818</v>
      </c>
      <c r="GK141" s="450">
        <f t="shared" ca="1" si="485"/>
        <v>0.17922767160576367</v>
      </c>
      <c r="GL141" s="450">
        <f t="shared" ca="1" si="485"/>
        <v>0.18028863605087009</v>
      </c>
      <c r="GM141" s="450">
        <f t="shared" ca="1" si="485"/>
        <v>0.18149914476474213</v>
      </c>
      <c r="GN141" s="450">
        <f t="shared" ca="1" si="485"/>
        <v>0.18287821962594999</v>
      </c>
      <c r="GO141" s="450">
        <f t="shared" ca="1" si="485"/>
        <v>0.18444767815946317</v>
      </c>
      <c r="GP141" s="450">
        <f t="shared" ca="1" si="485"/>
        <v>0.18623262456805753</v>
      </c>
      <c r="GQ141" s="450">
        <f t="shared" ca="1" si="485"/>
        <v>0.1882620456338204</v>
      </c>
      <c r="GR141" s="450">
        <f t="shared" ca="1" si="485"/>
        <v>0.19056953821003791</v>
      </c>
      <c r="GS141" s="450">
        <f t="shared" ca="1" si="485"/>
        <v>0.19319420292621467</v>
      </c>
      <c r="GT141" s="450">
        <f t="shared" ca="1" si="485"/>
        <v>0.19618174929551108</v>
      </c>
      <c r="GU141" s="450">
        <f t="shared" ca="1" si="485"/>
        <v>0.19958587165844366</v>
      </c>
      <c r="GV141" s="450">
        <f t="shared" ca="1" si="485"/>
        <v>0.20346997476607723</v>
      </c>
      <c r="GW141" s="450">
        <f t="shared" ca="1" si="485"/>
        <v>0.20790935438586938</v>
      </c>
      <c r="GX141" s="450">
        <f t="shared" ca="1" si="485"/>
        <v>0.21299397514329518</v>
      </c>
      <c r="GY141" s="450">
        <f t="shared" ca="1" si="485"/>
        <v>0.21883203937285559</v>
      </c>
      <c r="GZ141" s="450">
        <f t="shared" ca="1" si="485"/>
        <v>0.22555461372826571</v>
      </c>
      <c r="HA141" s="450">
        <f t="shared" ca="1" si="485"/>
        <v>0.23332168479782198</v>
      </c>
      <c r="HB141" s="450">
        <f t="shared" ca="1" si="485"/>
        <v>0.24233016646985528</v>
      </c>
      <c r="HC141" s="450">
        <f t="shared" ca="1" si="485"/>
        <v>0.25282460436793192</v>
      </c>
      <c r="HD141" s="450">
        <f t="shared" ca="1" si="485"/>
        <v>0.26511165434463441</v>
      </c>
      <c r="HE141" s="450">
        <f t="shared" ca="1" si="485"/>
        <v>0.27957991384041619</v>
      </c>
      <c r="HF141" s="450">
        <f t="shared" ca="1" si="485"/>
        <v>0.29672745670161521</v>
      </c>
      <c r="HG141" s="450">
        <f t="shared" ca="1" si="485"/>
        <v>0.31720063019576439</v>
      </c>
      <c r="HH141" s="450">
        <f t="shared" ca="1" si="485"/>
        <v>0.34184960064584236</v>
      </c>
      <c r="HI141" s="450">
        <f t="shared" ca="1" si="485"/>
        <v>0.3718092743031936</v>
      </c>
      <c r="HJ141" s="450" t="str">
        <f t="shared" si="485"/>
        <v/>
      </c>
      <c r="HK141" s="450" t="str">
        <f t="shared" si="485"/>
        <v/>
      </c>
      <c r="HL141" s="450" t="str">
        <f t="shared" si="485"/>
        <v/>
      </c>
      <c r="HM141" s="450" t="str">
        <f t="shared" si="485"/>
        <v/>
      </c>
      <c r="HN141" s="450" t="str">
        <f t="shared" si="485"/>
        <v/>
      </c>
      <c r="HO141" s="450" t="str">
        <f t="shared" si="485"/>
        <v/>
      </c>
      <c r="HP141" s="450" t="str">
        <f t="shared" si="485"/>
        <v/>
      </c>
      <c r="HQ141" s="450" t="str">
        <f t="shared" si="485"/>
        <v/>
      </c>
      <c r="HR141" s="450" t="str">
        <f t="shared" si="485"/>
        <v/>
      </c>
      <c r="HS141" s="450" t="str">
        <f t="shared" si="485"/>
        <v/>
      </c>
      <c r="HT141" s="450" t="str">
        <f t="shared" si="485"/>
        <v/>
      </c>
      <c r="HU141" s="450" t="str">
        <f t="shared" si="485"/>
        <v/>
      </c>
      <c r="HV141" s="450" t="str">
        <f t="shared" si="485"/>
        <v/>
      </c>
      <c r="HW141" s="450" t="str">
        <f t="shared" si="485"/>
        <v/>
      </c>
      <c r="HX141" s="450" t="str">
        <f t="shared" si="485"/>
        <v/>
      </c>
      <c r="HY141" s="450" t="str">
        <f t="shared" si="485"/>
        <v/>
      </c>
      <c r="HZ141" s="450" t="str">
        <f t="shared" si="485"/>
        <v/>
      </c>
      <c r="IA141" s="450" t="str">
        <f t="shared" si="485"/>
        <v/>
      </c>
      <c r="IB141" s="450" t="str">
        <f t="shared" si="484"/>
        <v/>
      </c>
      <c r="IC141" s="450" t="str">
        <f t="shared" si="484"/>
        <v/>
      </c>
      <c r="ID141" s="450" t="str">
        <f t="shared" si="484"/>
        <v/>
      </c>
      <c r="IE141" s="450" t="str">
        <f t="shared" si="484"/>
        <v/>
      </c>
      <c r="IF141" s="450" t="str">
        <f t="shared" si="484"/>
        <v/>
      </c>
      <c r="IG141" s="450" t="str">
        <f t="shared" si="484"/>
        <v/>
      </c>
      <c r="IH141" s="658" t="str">
        <f t="shared" si="484"/>
        <v/>
      </c>
      <c r="II141" s="242"/>
    </row>
    <row r="142" spans="8:243">
      <c r="H142" s="49" t="e">
        <f t="shared" ca="1" si="317"/>
        <v>#N/A</v>
      </c>
      <c r="I142" s="369">
        <f t="shared" si="318"/>
        <v>40725</v>
      </c>
      <c r="J142" s="367">
        <v>22.434999999999999</v>
      </c>
      <c r="K142" s="101" t="s">
        <v>267</v>
      </c>
      <c r="L142" s="382">
        <f t="shared" si="319"/>
        <v>22.434999999999956</v>
      </c>
      <c r="M142" s="163">
        <v>0.1623</v>
      </c>
      <c r="N142" s="372">
        <v>0</v>
      </c>
      <c r="O142" s="163">
        <f t="shared" si="272"/>
        <v>0.1623</v>
      </c>
      <c r="P142" s="367">
        <v>21.191301680764699</v>
      </c>
      <c r="Q142" s="101" t="s">
        <v>267</v>
      </c>
      <c r="R142" s="367">
        <f t="shared" ca="1" si="417"/>
        <v>21.191301680764742</v>
      </c>
      <c r="S142" s="814">
        <f t="shared" si="474"/>
        <v>0.35481932936996058</v>
      </c>
      <c r="T142" s="813">
        <f t="shared" si="418"/>
        <v>0.99999979581607146</v>
      </c>
      <c r="U142" s="532">
        <f t="shared" si="419"/>
        <v>0.99999999999999978</v>
      </c>
      <c r="V142" s="379">
        <v>0</v>
      </c>
      <c r="W142" s="424">
        <f t="shared" si="452"/>
        <v>22.46875</v>
      </c>
      <c r="X142" s="405">
        <f t="shared" si="453"/>
        <v>22.468749999999954</v>
      </c>
      <c r="Y142" s="313">
        <f t="shared" si="454"/>
        <v>21.15035</v>
      </c>
      <c r="Z142" s="313">
        <f t="shared" ca="1" si="455"/>
        <v>21.150349999999953</v>
      </c>
      <c r="AA142" s="419">
        <f t="shared" si="277"/>
        <v>1.3184</v>
      </c>
      <c r="AB142" s="423">
        <f t="shared" ca="1" si="278"/>
        <v>1.3184</v>
      </c>
      <c r="AC142" s="221">
        <v>40714</v>
      </c>
      <c r="AD142" s="221">
        <v>40710</v>
      </c>
      <c r="AE142" s="221">
        <v>40709</v>
      </c>
      <c r="AF142" s="221">
        <v>40705</v>
      </c>
      <c r="AG142" s="241" t="s">
        <v>497</v>
      </c>
      <c r="AH142" s="239" t="s">
        <v>497</v>
      </c>
      <c r="AI142" s="141">
        <v>20</v>
      </c>
      <c r="AJ142" s="41">
        <v>13</v>
      </c>
      <c r="AK142" s="41">
        <v>7</v>
      </c>
      <c r="AL142" s="285">
        <v>21</v>
      </c>
      <c r="AM142" s="41">
        <v>10</v>
      </c>
      <c r="AN142" s="142">
        <v>11</v>
      </c>
      <c r="AO142" s="364">
        <v>5.9409530792617904E-2</v>
      </c>
      <c r="AP142" s="145">
        <f t="shared" ca="1" si="320"/>
        <v>0.54690803187083759</v>
      </c>
      <c r="AQ142" s="364">
        <v>5.02666593244969E-2</v>
      </c>
      <c r="AR142" s="145">
        <f t="shared" ca="1" si="420"/>
        <v>0.60312648490332521</v>
      </c>
      <c r="AS142" s="264">
        <f t="shared" si="456"/>
        <v>0.162165</v>
      </c>
      <c r="AT142" s="149">
        <f t="shared" si="321"/>
        <v>0.1623</v>
      </c>
      <c r="AU142" s="149">
        <f t="shared" si="280"/>
        <v>0.16214761904761904</v>
      </c>
      <c r="AV142" s="263">
        <f t="shared" ca="1" si="430"/>
        <v>0.15970187676174091</v>
      </c>
      <c r="AW142" s="150" t="str">
        <f t="shared" ca="1" si="457"/>
        <v/>
      </c>
      <c r="AX142" s="149">
        <f t="shared" ca="1" si="421"/>
        <v>1.1634181871573388E-2</v>
      </c>
      <c r="AY142" s="149">
        <f t="shared" ca="1" si="422"/>
        <v>4.6978300163793415E-3</v>
      </c>
      <c r="AZ142" s="149">
        <f t="shared" ca="1" si="423"/>
        <v>3.6414423850624758E-3</v>
      </c>
      <c r="BA142" s="149">
        <f t="shared" ca="1" si="424"/>
        <v>1.0000000000000482E-4</v>
      </c>
      <c r="BB142" s="149">
        <f t="shared" ca="1" si="425"/>
        <v>1.0000000000000482E-4</v>
      </c>
      <c r="BC142" s="149">
        <f t="shared" ca="1" si="426"/>
        <v>1.0000000000000482E-4</v>
      </c>
      <c r="BD142" s="143">
        <f t="shared" ca="1" si="458"/>
        <v>0</v>
      </c>
      <c r="BE142" s="144">
        <f t="shared" ca="1" si="459"/>
        <v>0</v>
      </c>
      <c r="BF142" s="40">
        <f t="shared" si="460"/>
        <v>2011</v>
      </c>
      <c r="BG142" s="139">
        <f t="shared" si="461"/>
        <v>7</v>
      </c>
      <c r="BH142" s="140">
        <f t="shared" ca="1" si="462"/>
        <v>3720</v>
      </c>
      <c r="BI142" s="304">
        <f t="shared" ca="1" si="440"/>
        <v>10.225872689938399</v>
      </c>
      <c r="BJ142" s="42">
        <f t="shared" ca="1" si="288"/>
        <v>10.279260780287474</v>
      </c>
      <c r="BK142" s="42">
        <f t="shared" ca="1" si="289"/>
        <v>10.281998631074607</v>
      </c>
      <c r="BL142" s="42">
        <f t="shared" ca="1" si="441"/>
        <v>10.308008213552361</v>
      </c>
      <c r="BM142" s="285">
        <f t="shared" si="442"/>
        <v>20</v>
      </c>
      <c r="BN142" s="41">
        <f t="shared" si="443"/>
        <v>13</v>
      </c>
      <c r="BO142" s="41">
        <f t="shared" si="444"/>
        <v>7</v>
      </c>
      <c r="BP142" s="297" t="str">
        <f t="shared" ca="1" si="293"/>
        <v/>
      </c>
      <c r="BQ142" s="297" t="str">
        <f t="shared" ca="1" si="294"/>
        <v/>
      </c>
      <c r="BR142" s="299" t="str">
        <f t="shared" ca="1" si="295"/>
        <v/>
      </c>
      <c r="BS142" s="153" t="str">
        <f t="shared" ca="1" si="296"/>
        <v/>
      </c>
      <c r="BT142" s="153" t="str">
        <f t="shared" ca="1" si="297"/>
        <v/>
      </c>
      <c r="BU142" s="300" t="str">
        <f t="shared" ca="1" si="298"/>
        <v/>
      </c>
      <c r="BV142" s="301" t="str">
        <f t="shared" ca="1" si="299"/>
        <v/>
      </c>
      <c r="BW142" s="300" t="str">
        <f t="shared" ca="1" si="300"/>
        <v/>
      </c>
      <c r="BX142" s="301" t="str">
        <f t="shared" ca="1" si="301"/>
        <v/>
      </c>
      <c r="BY142" s="146" t="str">
        <f t="shared" ca="1" si="302"/>
        <v/>
      </c>
      <c r="BZ142" s="146" t="str">
        <f t="shared" ca="1" si="303"/>
        <v/>
      </c>
      <c r="CA142" s="146" t="str">
        <f t="shared" ca="1" si="304"/>
        <v/>
      </c>
      <c r="CB142" s="146" t="str">
        <f t="shared" ca="1" si="305"/>
        <v/>
      </c>
      <c r="CC142" s="302">
        <v>1</v>
      </c>
      <c r="CD142" s="154">
        <f ca="1">IF(BD142,_xll.xCrudeAPO(BS142,BT142,BY142,BZ142,S143,S144,BI142,BL142,BN142,BO142,0,Strike1,AO142,CC142,0,BL142,IF(OptControl=4,0,1),0,1),0)</f>
        <v>0</v>
      </c>
      <c r="CE142" s="155">
        <f ca="1">IF(BD142,_xll.xCrudeAPO(BS142,BT142,BY142,BZ142,S143,S144,BI142,BL142,BN142,BO142,0,Strike1,AO142,CC142,0,BL142,IF(OptControl=4,0,1),1,1)+_xll.xCrudeAPO(BS142,BT142,BY142,BZ142,S143,S144,BI142,BL142,BN142,BO142,0,Strike1,AO142,CC142,0,BL142,IF(OptControl=4,0,1),1,2)+IF(OR(VolSkewFlag=2,ABS(BQ142)&lt;0.0001),0,IF(BQ142&gt;0,-1,1)*CF142*Strike1/BP142^2*BW142/10%),0)</f>
        <v>0</v>
      </c>
      <c r="CF142" s="155">
        <f ca="1">IF(BD142,(_xll.xCrudeAPO(BS142,BT142,BY142,BZ142,S143,S144,BI142,BL142,BN142,BO142,0,Strike1,AO142,CC142,0,BL142,IF(OptControl=4,0,1),3,1)+_xll.xCrudeAPO(BS142,BT142,BY142,BZ142,S143,S144,BI142,BL142,BN142,BO142,0,Strike1,AO142,CC142,0,BL142,IF(OptControl=4,0,1),3,2))/100,0)</f>
        <v>0</v>
      </c>
      <c r="CG142" s="155">
        <f ca="1">IF(BD142,_xll.xCrudeAPO(BS142,BT142,BY142,BZ142,S143,S144,BI142-DaysForThetaCalculation/365.25,BL142-DaysForThetaCalculation/365.25,BN142,BO142,0,Strike1,AO142,CC142,0,BL142,IF(OptControl=4,0,1),0,1)-_xll.xCrudeAPO(BS142,BT142,BY142,BZ142,S143,S144,BI142,BL142,BN142,BO142,0,Strike1,AO142,CC142,0,BL142,IF(OptControl=4,0,1),0,1),0)</f>
        <v>0</v>
      </c>
      <c r="CH142" s="303">
        <f ca="1">IF(BD142,_xll.xCrudeAPO(BS142,BT142,CA142,CB142,S143,S144,BI142,BL142,BN142,BO142,0,Strike2,AO142,CC142,0,BL142,IF(OptControl=3,1,0),0,1),0)</f>
        <v>0</v>
      </c>
      <c r="CI142" s="155">
        <f ca="1">IF(BD142,_xll.xCrudeAPO(BS142,BT142,CA142,CB142,S143,S144,BI142,BL142,BN142,BO142,0,Strike2,AO142,CC142,0,BL142,IF(OptControl=3,1,0),1,1)+_xll.xCrudeAPO(BS142,BT142,CA142,CB142,S143,S144,BI142,BL142,BN142,BO142,0,Strike2,AO142,CC142,0,BL142,IF(OptControl=3,1,0),1,2)+IF(OR(VolSkewFlag=2,ABS(BR142)&lt;0.0001),0,IF(BR142&gt;0,-1,1)*CJ142*Strike2/BP142^2*BX142/10%),0)</f>
        <v>0</v>
      </c>
      <c r="CJ142" s="155">
        <f ca="1">IF(BD142,(_xll.xCrudeAPO(BS142,BT142,CA142,CB142,S143,S144,BI142,BL142,BN142,BO142,0,Strike2,AO142,CC142,0,BL142,IF(OptControl=3,1,0),3,1)+_xll.xCrudeAPO(BS142,BT142,CA142,CB142,S143,S144,BI142,BL142,BN142,BO142,0,Strike2,AO142,CC142,0,BL142,IF(OptControl=3,1,0),3,2))/100,0)</f>
        <v>0</v>
      </c>
      <c r="CK142" s="156">
        <f ca="1">IF(BD142,_xll.xCrudeAPO(BS142,BT142,CA142,CB142,S143,S144,BI142-DaysForThetaCalculation/365.25,BL142-DaysForThetaCalculation/365.25,BN142,BO142,0,Strike2,AO142,CC142,0,BL142,IF(OptControl=3,1,0),0,1)-_xll.xCrudeAPO(BS142,BT142,CA142,CB142,S143,S144,BI142,BL142,BN142,BO142,0,Strike2,AO142,CC142,0,BL142,IF(OptControl=3,1,0),0,1),0)</f>
        <v>0</v>
      </c>
      <c r="CL142" s="51"/>
      <c r="CM142" s="779" t="str">
        <f t="shared" ca="1" si="323"/>
        <v/>
      </c>
      <c r="CN142" s="783" t="str">
        <f t="shared" ca="1" si="324"/>
        <v/>
      </c>
      <c r="CO142" s="780" t="str">
        <f t="shared" ca="1" si="325"/>
        <v/>
      </c>
      <c r="CP142" s="780" t="str">
        <f t="shared" ca="1" si="326"/>
        <v/>
      </c>
      <c r="CQ142" s="780" t="str">
        <f t="shared" ca="1" si="327"/>
        <v/>
      </c>
      <c r="CR142" s="780" t="str">
        <f t="shared" ca="1" si="328"/>
        <v/>
      </c>
      <c r="CS142" s="781" t="str">
        <f t="shared" ca="1" si="329"/>
        <v/>
      </c>
      <c r="CT142" s="782" t="str">
        <f t="shared" ca="1" si="330"/>
        <v/>
      </c>
      <c r="CU142" s="782" t="str">
        <f t="shared" ca="1" si="331"/>
        <v/>
      </c>
      <c r="CV142" s="155">
        <f ca="1">IF(BD142,_xll.EURO(CN142,Strike1,AO142,AO142,CT142,CM142,IF(OptControl=4,0,1),0),0)</f>
        <v>0</v>
      </c>
      <c r="CW142" s="155">
        <f ca="1">IF(BD142,_xll.EURO(CN142,Strike1,AO142,AO142,CT142,CM142,IF(OptControl=4,0,1),1)+IF(OR(VolSkewFlag=2,ABS(CO142)&lt;0.0001),0,IF(CO142&gt;0,-1,1)*CX142*100*Strike1/CN142^2*CQ142/10%),0)</f>
        <v>0</v>
      </c>
      <c r="CX142" s="155">
        <f ca="1">IF(BD142,_xll.EURO(CN142,Strike1,AO142,AO142,CT142,CM142,IF(OptControl=4,0,1),3)/100,0)</f>
        <v>0</v>
      </c>
      <c r="CY142" s="155">
        <f ca="1">IF(BD142,_xll.EURO(CN142,Strike1,AO142,AO142,CT142,CM142,IF(OptControl=4,0,1),0)-_xll.EURO(CN142,Strike1,AO142,AO142,CT142,CM142-1,IF(OptControl=4,0,1),0),0)</f>
        <v>0</v>
      </c>
      <c r="CZ142" s="155">
        <f ca="1">IF(BD142,_xll.EURO(CN142,Strike2,AO142,AO142,CU142,CM142,IF(OptControl=3,1,0),0),0)</f>
        <v>0</v>
      </c>
      <c r="DA142" s="155">
        <f ca="1">IF(BD142,_xll.EURO(CN142,Strike2,AO142,AO142,CU142,CM142,IF(OptControl=3,1,0),1)+IF(OR(VolSkewFlag=2,ABS(CP142)&lt;0.0001),0,IF(CP142&gt;0,-1,1)*DB142*100*Strike2/CN142^2*CR142/10%),0)</f>
        <v>0</v>
      </c>
      <c r="DB142" s="155">
        <f ca="1">IF(BD142,_xll.EURO(CN142,Strike2,AO142,AO142,CU142,CM142,IF(OptControl=3,1,0),3)/100,0)</f>
        <v>0</v>
      </c>
      <c r="DC142" s="156">
        <f ca="1">IF(BD142,_xll.EURO(CN142,Strike2,AO142,AO142,CU142,CM142,IF(OptControl=3,1,0),0)-_xll.EURO(CN142,Strike2,AO142,AO142,CU142,CM142-1,IF(OptControl=3,1,0),0),0)</f>
        <v>0</v>
      </c>
      <c r="DE142" s="651">
        <f t="shared" ca="1" si="332"/>
        <v>40634</v>
      </c>
      <c r="DF142" s="465">
        <v>1E-4</v>
      </c>
      <c r="DG142" s="649">
        <v>1E-4</v>
      </c>
      <c r="DH142" s="650">
        <f t="shared" ca="1" si="463"/>
        <v>40634</v>
      </c>
      <c r="DI142" s="465">
        <v>1E-4</v>
      </c>
      <c r="DJ142" s="649">
        <v>1E-4</v>
      </c>
      <c r="DK142" s="651">
        <f t="shared" ca="1" si="464"/>
        <v>40634</v>
      </c>
      <c r="DL142" s="652">
        <f t="shared" si="465"/>
        <v>5.0100000000000006E-2</v>
      </c>
      <c r="DM142" s="651">
        <f t="shared" ca="1" si="333"/>
        <v>40634</v>
      </c>
      <c r="DN142" s="563">
        <f t="shared" si="334"/>
        <v>-0.12990000000000002</v>
      </c>
      <c r="DO142" s="803">
        <v>-0.13</v>
      </c>
      <c r="DP142" s="650">
        <f t="shared" ca="1" si="466"/>
        <v>40634</v>
      </c>
      <c r="DQ142" s="653">
        <v>1E-4</v>
      </c>
      <c r="DR142" s="590">
        <v>1E-4</v>
      </c>
      <c r="DS142" s="650">
        <f t="shared" ca="1" si="467"/>
        <v>40634</v>
      </c>
      <c r="DT142" s="653">
        <v>1E-4</v>
      </c>
      <c r="DU142" s="590">
        <v>1E-4</v>
      </c>
      <c r="DV142" s="651">
        <f t="shared" ca="1" si="468"/>
        <v>40634</v>
      </c>
      <c r="DW142" s="590">
        <v>1E-4</v>
      </c>
      <c r="DX142" s="651">
        <f t="shared" ca="1" si="335"/>
        <v>40634</v>
      </c>
      <c r="DY142" s="590">
        <f t="shared" si="336"/>
        <v>1E-4</v>
      </c>
      <c r="DZ142" s="1"/>
      <c r="EA142" s="857"/>
      <c r="EB142" s="857"/>
      <c r="EC142" s="857"/>
      <c r="ED142" s="868" t="e">
        <f t="shared" ca="1" si="436"/>
        <v>#NAME?</v>
      </c>
      <c r="EE142" s="863" t="e">
        <f t="shared" ca="1" si="312"/>
        <v>#NAME?</v>
      </c>
      <c r="EF142" s="590" t="e">
        <f t="shared" ca="1" si="313"/>
        <v>#NAME?</v>
      </c>
      <c r="EG142" s="862" t="str">
        <f t="shared" ca="1" si="469"/>
        <v/>
      </c>
      <c r="EH142" s="114" t="str">
        <f t="shared" ca="1" si="315"/>
        <v/>
      </c>
      <c r="EI142" s="109" t="str">
        <f t="shared" ca="1" si="316"/>
        <v/>
      </c>
      <c r="EJ142" s="115">
        <f ca="1">IF(BD142,_xll.xASN(BP142,Strike1,AO142,EH142,0,BM142,0,BI142,BL142,IF(OptControl=4,0,1),0),0)</f>
        <v>0</v>
      </c>
      <c r="EK142" s="108">
        <f ca="1">IF(BD142,_xll.xASN(BP142,Strike2,AO142,EI142,0,BM142,0,BI142,BL142,IF(OptControl=3,1,0),0),0)</f>
        <v>0</v>
      </c>
      <c r="EP142" s="53"/>
      <c r="EQ142" s="1"/>
      <c r="ER142" s="103"/>
      <c r="ES142" s="103"/>
      <c r="ET142" s="1"/>
      <c r="EU142" s="667" t="s">
        <v>354</v>
      </c>
      <c r="EW142" s="445"/>
      <c r="EX142" s="36"/>
      <c r="EY142" s="104"/>
      <c r="EZ142" s="465"/>
      <c r="FA142" s="446"/>
      <c r="FB142" s="446"/>
      <c r="FC142" s="242"/>
      <c r="FD142" s="242"/>
      <c r="FE142" s="242"/>
      <c r="FF142" s="242"/>
      <c r="FG142" s="242"/>
      <c r="FH142" s="242"/>
      <c r="FI142" s="242"/>
      <c r="FJ142" s="242"/>
      <c r="FK142" s="242"/>
      <c r="FL142" s="242"/>
      <c r="FM142" s="242"/>
      <c r="FN142" s="657">
        <v>48</v>
      </c>
      <c r="FO142" s="450">
        <f t="shared" ca="1" si="477"/>
        <v>0.17358907819977282</v>
      </c>
      <c r="FP142" s="450">
        <f t="shared" ca="1" si="485"/>
        <v>0.1736453723258575</v>
      </c>
      <c r="FQ142" s="450">
        <f t="shared" ca="1" si="485"/>
        <v>0.17354102655453113</v>
      </c>
      <c r="FR142" s="450">
        <f t="shared" ca="1" si="485"/>
        <v>0.17345183596184691</v>
      </c>
      <c r="FS142" s="450">
        <f t="shared" ca="1" si="485"/>
        <v>0.17337922548766024</v>
      </c>
      <c r="FT142" s="450">
        <f t="shared" ca="1" si="485"/>
        <v>0.17332478523087111</v>
      </c>
      <c r="FU142" s="450">
        <f t="shared" ca="1" si="485"/>
        <v>0.17329028995985116</v>
      </c>
      <c r="FV142" s="450">
        <f t="shared" ca="1" si="485"/>
        <v>0.17327772109400699</v>
      </c>
      <c r="FW142" s="450">
        <f t="shared" ca="1" si="485"/>
        <v>0.17328929150608374</v>
      </c>
      <c r="FX142" s="450">
        <f t="shared" ca="1" si="485"/>
        <v>0.17332747355223677</v>
      </c>
      <c r="FY142" s="450">
        <f t="shared" ca="1" si="485"/>
        <v>0.17339503080539065</v>
      </c>
      <c r="FZ142" s="450">
        <f t="shared" ca="1" si="485"/>
        <v>0.17349505404940896</v>
      </c>
      <c r="GA142" s="450">
        <f t="shared" ca="1" si="485"/>
        <v>0.173631002190171</v>
      </c>
      <c r="GB142" s="450">
        <f t="shared" ca="1" si="485"/>
        <v>0.17380674885862607</v>
      </c>
      <c r="GC142" s="450">
        <f t="shared" ca="1" si="485"/>
        <v>0.17402663562506224</v>
      </c>
      <c r="GD142" s="450">
        <f t="shared" ca="1" si="485"/>
        <v>0.17429553291926767</v>
      </c>
      <c r="GE142" s="450">
        <f t="shared" ca="1" si="485"/>
        <v>0.1746189099656533</v>
      </c>
      <c r="GF142" s="450">
        <f t="shared" ca="1" si="485"/>
        <v>0.17500291530552076</v>
      </c>
      <c r="GG142" s="450">
        <f t="shared" ca="1" si="485"/>
        <v>0.17545446980301457</v>
      </c>
      <c r="GH142" s="450">
        <f t="shared" ca="1" si="485"/>
        <v>0.17598137443292536</v>
      </c>
      <c r="GI142" s="450">
        <f t="shared" ca="1" si="485"/>
        <v>0.17659243564814514</v>
      </c>
      <c r="GJ142" s="450">
        <f t="shared" ca="1" si="485"/>
        <v>0.17729761174908773</v>
      </c>
      <c r="GK142" s="450">
        <f t="shared" ca="1" si="485"/>
        <v>0.17810818446182625</v>
      </c>
      <c r="GL142" s="450">
        <f t="shared" ca="1" si="485"/>
        <v>0.17903696092205892</v>
      </c>
      <c r="GM142" s="450">
        <f t="shared" ca="1" si="485"/>
        <v>0.18009851251894843</v>
      </c>
      <c r="GN142" s="450">
        <f t="shared" ca="1" si="485"/>
        <v>0.18130945865694936</v>
      </c>
      <c r="GO142" s="450">
        <f t="shared" ca="1" si="485"/>
        <v>0.18268880555258332</v>
      </c>
      <c r="GP142" s="450">
        <f t="shared" ca="1" si="485"/>
        <v>0.18425835284159189</v>
      </c>
      <c r="GQ142" s="450">
        <f t="shared" ca="1" si="485"/>
        <v>0.1860431842262896</v>
      </c>
      <c r="GR142" s="450">
        <f t="shared" ca="1" si="485"/>
        <v>0.1880722629113252</v>
      </c>
      <c r="GS142" s="450">
        <f t="shared" ca="1" si="485"/>
        <v>0.19037915852738815</v>
      </c>
      <c r="GT142" s="450">
        <f t="shared" ca="1" si="485"/>
        <v>0.19300294013876415</v>
      </c>
      <c r="GU142" s="450">
        <f t="shared" ca="1" si="485"/>
        <v>0.19598928048903427</v>
      </c>
      <c r="GV142" s="450">
        <f t="shared" ca="1" si="485"/>
        <v>0.19939183087280596</v>
      </c>
      <c r="GW142" s="450">
        <f t="shared" ca="1" si="485"/>
        <v>0.20327394537586302</v>
      </c>
      <c r="GX142" s="450">
        <f t="shared" ca="1" si="485"/>
        <v>0.20771085978565926</v>
      </c>
      <c r="GY142" s="450">
        <f t="shared" ca="1" si="485"/>
        <v>0.21279246727583462</v>
      </c>
      <c r="GZ142" s="450">
        <f t="shared" ca="1" si="485"/>
        <v>0.21862688448946588</v>
      </c>
      <c r="HA142" s="450">
        <f t="shared" ca="1" si="485"/>
        <v>0.22534507456623787</v>
      </c>
      <c r="HB142" s="450">
        <f t="shared" ca="1" si="485"/>
        <v>0.23310689807525681</v>
      </c>
      <c r="HC142" s="450">
        <f t="shared" ca="1" si="485"/>
        <v>0.2421091141988248</v>
      </c>
      <c r="HD142" s="450">
        <f t="shared" ca="1" si="485"/>
        <v>0.25259607691814423</v>
      </c>
      <c r="HE142" s="450">
        <f t="shared" ca="1" si="485"/>
        <v>0.26487420236950704</v>
      </c>
      <c r="HF142" s="450">
        <f t="shared" ca="1" si="485"/>
        <v>0.27933178497723543</v>
      </c>
      <c r="HG142" s="450">
        <f t="shared" ca="1" si="485"/>
        <v>0.29646651117389172</v>
      </c>
      <c r="HH142" s="450">
        <f t="shared" ca="1" si="485"/>
        <v>0.31692422675087684</v>
      </c>
      <c r="HI142" s="450">
        <f t="shared" ca="1" si="485"/>
        <v>0.34155444011444835</v>
      </c>
      <c r="HJ142" s="450">
        <f t="shared" ca="1" si="485"/>
        <v>0.3714911815601617</v>
      </c>
      <c r="HK142" s="450" t="str">
        <f t="shared" si="485"/>
        <v/>
      </c>
      <c r="HL142" s="450" t="str">
        <f t="shared" si="485"/>
        <v/>
      </c>
      <c r="HM142" s="450" t="str">
        <f t="shared" si="485"/>
        <v/>
      </c>
      <c r="HN142" s="450" t="str">
        <f t="shared" si="485"/>
        <v/>
      </c>
      <c r="HO142" s="450" t="str">
        <f t="shared" si="485"/>
        <v/>
      </c>
      <c r="HP142" s="450" t="str">
        <f t="shared" si="485"/>
        <v/>
      </c>
      <c r="HQ142" s="450" t="str">
        <f t="shared" si="485"/>
        <v/>
      </c>
      <c r="HR142" s="450" t="str">
        <f t="shared" si="485"/>
        <v/>
      </c>
      <c r="HS142" s="450" t="str">
        <f t="shared" si="485"/>
        <v/>
      </c>
      <c r="HT142" s="450" t="str">
        <f t="shared" si="485"/>
        <v/>
      </c>
      <c r="HU142" s="450" t="str">
        <f t="shared" si="485"/>
        <v/>
      </c>
      <c r="HV142" s="450" t="str">
        <f t="shared" si="485"/>
        <v/>
      </c>
      <c r="HW142" s="450" t="str">
        <f t="shared" si="485"/>
        <v/>
      </c>
      <c r="HX142" s="450" t="str">
        <f t="shared" si="485"/>
        <v/>
      </c>
      <c r="HY142" s="450" t="str">
        <f t="shared" si="485"/>
        <v/>
      </c>
      <c r="HZ142" s="450" t="str">
        <f t="shared" si="485"/>
        <v/>
      </c>
      <c r="IA142" s="450" t="str">
        <f t="shared" si="485"/>
        <v/>
      </c>
      <c r="IB142" s="450" t="str">
        <f t="shared" si="484"/>
        <v/>
      </c>
      <c r="IC142" s="450" t="str">
        <f t="shared" si="484"/>
        <v/>
      </c>
      <c r="ID142" s="450" t="str">
        <f t="shared" si="484"/>
        <v/>
      </c>
      <c r="IE142" s="450" t="str">
        <f t="shared" si="484"/>
        <v/>
      </c>
      <c r="IF142" s="450" t="str">
        <f t="shared" si="484"/>
        <v/>
      </c>
      <c r="IG142" s="450" t="str">
        <f t="shared" si="484"/>
        <v/>
      </c>
      <c r="IH142" s="658" t="str">
        <f t="shared" si="484"/>
        <v/>
      </c>
      <c r="II142" s="242"/>
    </row>
    <row r="143" spans="8:243">
      <c r="H143" s="49" t="e">
        <f t="shared" ca="1" si="317"/>
        <v>#N/A</v>
      </c>
      <c r="I143" s="369">
        <f t="shared" si="318"/>
        <v>40756</v>
      </c>
      <c r="J143" s="367">
        <v>22.46</v>
      </c>
      <c r="K143" s="101" t="s">
        <v>267</v>
      </c>
      <c r="L143" s="382">
        <f t="shared" si="319"/>
        <v>22.459999999999955</v>
      </c>
      <c r="M143" s="163">
        <v>0.16220000000000001</v>
      </c>
      <c r="N143" s="372">
        <v>0</v>
      </c>
      <c r="O143" s="163">
        <f t="shared" si="272"/>
        <v>0.16220000000000001</v>
      </c>
      <c r="P143" s="367">
        <v>21.024081932695999</v>
      </c>
      <c r="Q143" s="101" t="s">
        <v>267</v>
      </c>
      <c r="R143" s="367">
        <f t="shared" ca="1" si="417"/>
        <v>21.024081932695974</v>
      </c>
      <c r="S143" s="814">
        <f t="shared" si="474"/>
        <v>0.354671136076261</v>
      </c>
      <c r="T143" s="813">
        <f t="shared" si="418"/>
        <v>0.99999981623446621</v>
      </c>
      <c r="U143" s="532">
        <f t="shared" si="419"/>
        <v>0.99999999999999978</v>
      </c>
      <c r="V143" s="379">
        <v>0</v>
      </c>
      <c r="W143" s="424">
        <f t="shared" si="452"/>
        <v>22.493695652173916</v>
      </c>
      <c r="X143" s="405">
        <f t="shared" si="453"/>
        <v>22.493695652173866</v>
      </c>
      <c r="Y143" s="313">
        <f t="shared" si="454"/>
        <v>21.175295652173915</v>
      </c>
      <c r="Z143" s="313">
        <f t="shared" ca="1" si="455"/>
        <v>21.175295652173865</v>
      </c>
      <c r="AA143" s="419">
        <f t="shared" si="277"/>
        <v>1.3184</v>
      </c>
      <c r="AB143" s="423">
        <f t="shared" ca="1" si="278"/>
        <v>1.3184</v>
      </c>
      <c r="AC143" s="221">
        <v>40744</v>
      </c>
      <c r="AD143" s="221">
        <v>40740</v>
      </c>
      <c r="AE143" s="221">
        <v>40739</v>
      </c>
      <c r="AF143" s="221">
        <v>40735</v>
      </c>
      <c r="AG143" s="241" t="s">
        <v>497</v>
      </c>
      <c r="AH143" s="239" t="s">
        <v>497</v>
      </c>
      <c r="AI143" s="141">
        <v>23</v>
      </c>
      <c r="AJ143" s="41">
        <v>15</v>
      </c>
      <c r="AK143" s="41">
        <v>8</v>
      </c>
      <c r="AL143" s="285">
        <v>23</v>
      </c>
      <c r="AM143" s="41">
        <v>10</v>
      </c>
      <c r="AN143" s="142">
        <v>13</v>
      </c>
      <c r="AO143" s="364">
        <v>5.9454853323810404E-2</v>
      </c>
      <c r="AP143" s="145">
        <f t="shared" ca="1" si="320"/>
        <v>0.54394838935882772</v>
      </c>
      <c r="AQ143" s="364">
        <v>5.0373685622680804E-2</v>
      </c>
      <c r="AR143" s="145">
        <f t="shared" ca="1" si="420"/>
        <v>0.60002866059553917</v>
      </c>
      <c r="AS143" s="264">
        <f t="shared" si="456"/>
        <v>0.16192608695652175</v>
      </c>
      <c r="AT143" s="149">
        <f t="shared" si="321"/>
        <v>0.16220000000000001</v>
      </c>
      <c r="AU143" s="149">
        <f t="shared" si="280"/>
        <v>0.16181739130434786</v>
      </c>
      <c r="AV143" s="263">
        <f t="shared" ca="1" si="430"/>
        <v>0.15970773167990876</v>
      </c>
      <c r="AW143" s="150" t="str">
        <f t="shared" ca="1" si="457"/>
        <v/>
      </c>
      <c r="AX143" s="149">
        <f t="shared" ca="1" si="421"/>
        <v>1.1470742398050056E-2</v>
      </c>
      <c r="AY143" s="149">
        <f t="shared" ca="1" si="422"/>
        <v>4.6169997709329643E-3</v>
      </c>
      <c r="AZ143" s="149">
        <f t="shared" ca="1" si="423"/>
        <v>3.5980440036034378E-3</v>
      </c>
      <c r="BA143" s="149">
        <f t="shared" ca="1" si="424"/>
        <v>1.0000000000000488E-4</v>
      </c>
      <c r="BB143" s="149">
        <f t="shared" ca="1" si="425"/>
        <v>1.0000000000000488E-4</v>
      </c>
      <c r="BC143" s="149">
        <f t="shared" ca="1" si="426"/>
        <v>1.0000000000000488E-4</v>
      </c>
      <c r="BD143" s="143">
        <f t="shared" ca="1" si="458"/>
        <v>0</v>
      </c>
      <c r="BE143" s="144">
        <f t="shared" ca="1" si="459"/>
        <v>0</v>
      </c>
      <c r="BF143" s="40">
        <f t="shared" si="460"/>
        <v>2011</v>
      </c>
      <c r="BG143" s="139">
        <f t="shared" si="461"/>
        <v>8</v>
      </c>
      <c r="BH143" s="140">
        <f t="shared" ca="1" si="462"/>
        <v>3750</v>
      </c>
      <c r="BI143" s="304">
        <f t="shared" ca="1" si="440"/>
        <v>10.310746064339494</v>
      </c>
      <c r="BJ143" s="42">
        <f t="shared" ca="1" si="288"/>
        <v>10.364312710174687</v>
      </c>
      <c r="BK143" s="42">
        <f t="shared" ca="1" si="289"/>
        <v>10.36705056096182</v>
      </c>
      <c r="BL143" s="42">
        <f t="shared" ca="1" si="441"/>
        <v>10.392881587953456</v>
      </c>
      <c r="BM143" s="285">
        <f t="shared" si="442"/>
        <v>23</v>
      </c>
      <c r="BN143" s="41">
        <f t="shared" si="443"/>
        <v>15</v>
      </c>
      <c r="BO143" s="41">
        <f t="shared" si="444"/>
        <v>8</v>
      </c>
      <c r="BP143" s="297" t="str">
        <f t="shared" ca="1" si="293"/>
        <v/>
      </c>
      <c r="BQ143" s="297" t="str">
        <f t="shared" ca="1" si="294"/>
        <v/>
      </c>
      <c r="BR143" s="299" t="str">
        <f t="shared" ca="1" si="295"/>
        <v/>
      </c>
      <c r="BS143" s="153" t="str">
        <f t="shared" ca="1" si="296"/>
        <v/>
      </c>
      <c r="BT143" s="153" t="str">
        <f t="shared" ca="1" si="297"/>
        <v/>
      </c>
      <c r="BU143" s="300" t="str">
        <f t="shared" ca="1" si="298"/>
        <v/>
      </c>
      <c r="BV143" s="301" t="str">
        <f t="shared" ca="1" si="299"/>
        <v/>
      </c>
      <c r="BW143" s="300" t="str">
        <f t="shared" ca="1" si="300"/>
        <v/>
      </c>
      <c r="BX143" s="301" t="str">
        <f t="shared" ca="1" si="301"/>
        <v/>
      </c>
      <c r="BY143" s="146" t="str">
        <f t="shared" ca="1" si="302"/>
        <v/>
      </c>
      <c r="BZ143" s="146" t="str">
        <f t="shared" ca="1" si="303"/>
        <v/>
      </c>
      <c r="CA143" s="146" t="str">
        <f t="shared" ca="1" si="304"/>
        <v/>
      </c>
      <c r="CB143" s="146" t="str">
        <f t="shared" ca="1" si="305"/>
        <v/>
      </c>
      <c r="CC143" s="302">
        <v>1</v>
      </c>
      <c r="CD143" s="154">
        <f ca="1">IF(BD143,_xll.xCrudeAPO(BS143,BT143,BY143,BZ143,S144,S145,BI143,BL143,BN143,BO143,0,Strike1,AO143,CC143,0,BL143,IF(OptControl=4,0,1),0,1),0)</f>
        <v>0</v>
      </c>
      <c r="CE143" s="155">
        <f ca="1">IF(BD143,_xll.xCrudeAPO(BS143,BT143,BY143,BZ143,S144,S145,BI143,BL143,BN143,BO143,0,Strike1,AO143,CC143,0,BL143,IF(OptControl=4,0,1),1,1)+_xll.xCrudeAPO(BS143,BT143,BY143,BZ143,S144,S145,BI143,BL143,BN143,BO143,0,Strike1,AO143,CC143,0,BL143,IF(OptControl=4,0,1),1,2)+IF(OR(VolSkewFlag=2,ABS(BQ143)&lt;0.0001),0,IF(BQ143&gt;0,-1,1)*CF143*Strike1/BP143^2*BW143/10%),0)</f>
        <v>0</v>
      </c>
      <c r="CF143" s="155">
        <f ca="1">IF(BD143,(_xll.xCrudeAPO(BS143,BT143,BY143,BZ143,S144,S145,BI143,BL143,BN143,BO143,0,Strike1,AO143,CC143,0,BL143,IF(OptControl=4,0,1),3,1)+_xll.xCrudeAPO(BS143,BT143,BY143,BZ143,S144,S145,BI143,BL143,BN143,BO143,0,Strike1,AO143,CC143,0,BL143,IF(OptControl=4,0,1),3,2))/100,0)</f>
        <v>0</v>
      </c>
      <c r="CG143" s="155">
        <f ca="1">IF(BD143,_xll.xCrudeAPO(BS143,BT143,BY143,BZ143,S144,S145,BI143-DaysForThetaCalculation/365.25,BL143-DaysForThetaCalculation/365.25,BN143,BO143,0,Strike1,AO143,CC143,0,BL143,IF(OptControl=4,0,1),0,1)-_xll.xCrudeAPO(BS143,BT143,BY143,BZ143,S144,S145,BI143,BL143,BN143,BO143,0,Strike1,AO143,CC143,0,BL143,IF(OptControl=4,0,1),0,1),0)</f>
        <v>0</v>
      </c>
      <c r="CH143" s="303">
        <f ca="1">IF(BD143,_xll.xCrudeAPO(BS143,BT143,CA143,CB143,S144,S145,BI143,BL143,BN143,BO143,0,Strike2,AO143,CC143,0,BL143,IF(OptControl=3,1,0),0,1),0)</f>
        <v>0</v>
      </c>
      <c r="CI143" s="155">
        <f ca="1">IF(BD143,_xll.xCrudeAPO(BS143,BT143,CA143,CB143,S144,S145,BI143,BL143,BN143,BO143,0,Strike2,AO143,CC143,0,BL143,IF(OptControl=3,1,0),1,1)+_xll.xCrudeAPO(BS143,BT143,CA143,CB143,S144,S145,BI143,BL143,BN143,BO143,0,Strike2,AO143,CC143,0,BL143,IF(OptControl=3,1,0),1,2)+IF(OR(VolSkewFlag=2,ABS(BR143)&lt;0.0001),0,IF(BR143&gt;0,-1,1)*CJ143*Strike2/BP143^2*BX143/10%),0)</f>
        <v>0</v>
      </c>
      <c r="CJ143" s="155">
        <f ca="1">IF(BD143,(_xll.xCrudeAPO(BS143,BT143,CA143,CB143,S144,S145,BI143,BL143,BN143,BO143,0,Strike2,AO143,CC143,0,BL143,IF(OptControl=3,1,0),3,1)+_xll.xCrudeAPO(BS143,BT143,CA143,CB143,S144,S145,BI143,BL143,BN143,BO143,0,Strike2,AO143,CC143,0,BL143,IF(OptControl=3,1,0),3,2))/100,0)</f>
        <v>0</v>
      </c>
      <c r="CK143" s="156">
        <f ca="1">IF(BD143,_xll.xCrudeAPO(BS143,BT143,CA143,CB143,S144,S145,BI143-DaysForThetaCalculation/365.25,BL143-DaysForThetaCalculation/365.25,BN143,BO143,0,Strike2,AO143,CC143,0,BL143,IF(OptControl=3,1,0),0,1)-_xll.xCrudeAPO(BS143,BT143,CA143,CB143,S144,S145,BI143,BL143,BN143,BO143,0,Strike2,AO143,CC143,0,BL143,IF(OptControl=3,1,0),0,1),0)</f>
        <v>0</v>
      </c>
      <c r="CL143" s="51"/>
      <c r="CM143" s="779" t="str">
        <f t="shared" ca="1" si="323"/>
        <v/>
      </c>
      <c r="CN143" s="783" t="str">
        <f t="shared" ca="1" si="324"/>
        <v/>
      </c>
      <c r="CO143" s="780" t="str">
        <f t="shared" ca="1" si="325"/>
        <v/>
      </c>
      <c r="CP143" s="780" t="str">
        <f t="shared" ca="1" si="326"/>
        <v/>
      </c>
      <c r="CQ143" s="780" t="str">
        <f t="shared" ca="1" si="327"/>
        <v/>
      </c>
      <c r="CR143" s="780" t="str">
        <f t="shared" ca="1" si="328"/>
        <v/>
      </c>
      <c r="CS143" s="781" t="str">
        <f t="shared" ca="1" si="329"/>
        <v/>
      </c>
      <c r="CT143" s="782" t="str">
        <f t="shared" ca="1" si="330"/>
        <v/>
      </c>
      <c r="CU143" s="782" t="str">
        <f t="shared" ca="1" si="331"/>
        <v/>
      </c>
      <c r="CV143" s="155">
        <f ca="1">IF(BD143,_xll.EURO(CN143,Strike1,AO143,AO143,CT143,CM143,IF(OptControl=4,0,1),0),0)</f>
        <v>0</v>
      </c>
      <c r="CW143" s="155">
        <f ca="1">IF(BD143,_xll.EURO(CN143,Strike1,AO143,AO143,CT143,CM143,IF(OptControl=4,0,1),1)+IF(OR(VolSkewFlag=2,ABS(CO143)&lt;0.0001),0,IF(CO143&gt;0,-1,1)*CX143*100*Strike1/CN143^2*CQ143/10%),0)</f>
        <v>0</v>
      </c>
      <c r="CX143" s="155">
        <f ca="1">IF(BD143,_xll.EURO(CN143,Strike1,AO143,AO143,CT143,CM143,IF(OptControl=4,0,1),3)/100,0)</f>
        <v>0</v>
      </c>
      <c r="CY143" s="155">
        <f ca="1">IF(BD143,_xll.EURO(CN143,Strike1,AO143,AO143,CT143,CM143,IF(OptControl=4,0,1),0)-_xll.EURO(CN143,Strike1,AO143,AO143,CT143,CM143-1,IF(OptControl=4,0,1),0),0)</f>
        <v>0</v>
      </c>
      <c r="CZ143" s="155">
        <f ca="1">IF(BD143,_xll.EURO(CN143,Strike2,AO143,AO143,CU143,CM143,IF(OptControl=3,1,0),0),0)</f>
        <v>0</v>
      </c>
      <c r="DA143" s="155">
        <f ca="1">IF(BD143,_xll.EURO(CN143,Strike2,AO143,AO143,CU143,CM143,IF(OptControl=3,1,0),1)+IF(OR(VolSkewFlag=2,ABS(CP143)&lt;0.0001),0,IF(CP143&gt;0,-1,1)*DB143*100*Strike2/CN143^2*CR143/10%),0)</f>
        <v>0</v>
      </c>
      <c r="DB143" s="155">
        <f ca="1">IF(BD143,_xll.EURO(CN143,Strike2,AO143,AO143,CU143,CM143,IF(OptControl=3,1,0),3)/100,0)</f>
        <v>0</v>
      </c>
      <c r="DC143" s="156">
        <f ca="1">IF(BD143,_xll.EURO(CN143,Strike2,AO143,AO143,CU143,CM143,IF(OptControl=3,1,0),0)-_xll.EURO(CN143,Strike2,AO143,AO143,CU143,CM143-1,IF(OptControl=3,1,0),0),0)</f>
        <v>0</v>
      </c>
      <c r="DE143" s="651">
        <f t="shared" ca="1" si="332"/>
        <v>40664</v>
      </c>
      <c r="DF143" s="465">
        <v>1E-4</v>
      </c>
      <c r="DG143" s="649">
        <v>1E-4</v>
      </c>
      <c r="DH143" s="650">
        <f t="shared" ca="1" si="463"/>
        <v>40664</v>
      </c>
      <c r="DI143" s="465">
        <v>1E-4</v>
      </c>
      <c r="DJ143" s="649">
        <v>1E-4</v>
      </c>
      <c r="DK143" s="651">
        <f t="shared" ca="1" si="464"/>
        <v>40664</v>
      </c>
      <c r="DL143" s="652">
        <f t="shared" si="465"/>
        <v>5.0100000000000006E-2</v>
      </c>
      <c r="DM143" s="651">
        <f t="shared" ca="1" si="333"/>
        <v>40664</v>
      </c>
      <c r="DN143" s="563">
        <f t="shared" si="334"/>
        <v>-0.12990000000000002</v>
      </c>
      <c r="DO143" s="803">
        <v>-0.13</v>
      </c>
      <c r="DP143" s="650">
        <f t="shared" ca="1" si="466"/>
        <v>40664</v>
      </c>
      <c r="DQ143" s="653">
        <v>1E-4</v>
      </c>
      <c r="DR143" s="590">
        <v>1E-4</v>
      </c>
      <c r="DS143" s="650">
        <f t="shared" ca="1" si="467"/>
        <v>40664</v>
      </c>
      <c r="DT143" s="653">
        <v>1E-4</v>
      </c>
      <c r="DU143" s="590">
        <v>1E-4</v>
      </c>
      <c r="DV143" s="651">
        <f t="shared" ca="1" si="468"/>
        <v>40664</v>
      </c>
      <c r="DW143" s="590">
        <v>1E-4</v>
      </c>
      <c r="DX143" s="651">
        <f t="shared" ca="1" si="335"/>
        <v>40664</v>
      </c>
      <c r="DY143" s="590">
        <f t="shared" si="336"/>
        <v>1E-4</v>
      </c>
      <c r="DZ143" s="1"/>
      <c r="EA143" s="857"/>
      <c r="EB143" s="857"/>
      <c r="EC143" s="857"/>
      <c r="ED143" s="868" t="e">
        <f t="shared" ca="1" si="436"/>
        <v>#NAME?</v>
      </c>
      <c r="EE143" s="863" t="e">
        <f t="shared" ca="1" si="312"/>
        <v>#NAME?</v>
      </c>
      <c r="EF143" s="590" t="e">
        <f t="shared" ca="1" si="313"/>
        <v>#NAME?</v>
      </c>
      <c r="EG143" s="862" t="str">
        <f t="shared" ca="1" si="469"/>
        <v/>
      </c>
      <c r="EH143" s="114" t="str">
        <f t="shared" ca="1" si="315"/>
        <v/>
      </c>
      <c r="EI143" s="109" t="str">
        <f t="shared" ca="1" si="316"/>
        <v/>
      </c>
      <c r="EJ143" s="115">
        <f ca="1">IF(BD143,_xll.xASN(BP143,Strike1,AO143,EH143,0,BM143,0,BI143,BL143,IF(OptControl=4,0,1),0),0)</f>
        <v>0</v>
      </c>
      <c r="EK143" s="108">
        <f ca="1">IF(BD143,_xll.xASN(BP143,Strike2,AO143,EI143,0,BM143,0,BI143,BL143,IF(OptControl=3,1,0),0),0)</f>
        <v>0</v>
      </c>
      <c r="EP143" s="53"/>
      <c r="EQ143" s="1"/>
      <c r="ER143" s="103"/>
      <c r="ES143" s="103"/>
      <c r="ET143" s="1"/>
      <c r="EU143" s="667" t="s">
        <v>355</v>
      </c>
      <c r="EW143" s="445"/>
      <c r="EX143" s="36"/>
      <c r="EY143" s="104"/>
      <c r="EZ143" s="465"/>
      <c r="FA143" s="446"/>
      <c r="FB143" s="446"/>
      <c r="FC143" s="242"/>
      <c r="FD143" s="242"/>
      <c r="FE143" s="242"/>
      <c r="FF143" s="242"/>
      <c r="FG143" s="242"/>
      <c r="FH143" s="242"/>
      <c r="FI143" s="242"/>
      <c r="FJ143" s="242"/>
      <c r="FK143" s="242"/>
      <c r="FL143" s="242"/>
      <c r="FM143" s="242"/>
      <c r="FN143" s="657">
        <v>49</v>
      </c>
      <c r="FO143" s="450">
        <f t="shared" ca="1" si="477"/>
        <v>0.17349325391513418</v>
      </c>
      <c r="FP143" s="450">
        <f t="shared" ca="1" si="485"/>
        <v>0.17353886310200198</v>
      </c>
      <c r="FQ143" s="450">
        <f t="shared" ca="1" si="485"/>
        <v>0.17342275005364488</v>
      </c>
      <c r="FR143" s="450">
        <f t="shared" ca="1" si="485"/>
        <v>0.17332048019215762</v>
      </c>
      <c r="FS143" s="450">
        <f t="shared" ca="1" si="485"/>
        <v>0.17323332958734503</v>
      </c>
      <c r="FT143" s="450">
        <f t="shared" ca="1" si="485"/>
        <v>0.17316272199260627</v>
      </c>
      <c r="FU143" s="450">
        <f t="shared" ca="1" si="485"/>
        <v>0.17311024617109741</v>
      </c>
      <c r="FV143" s="450">
        <f t="shared" ca="1" si="485"/>
        <v>0.17307767539005406</v>
      </c>
      <c r="FW143" s="450">
        <f t="shared" ca="1" si="485"/>
        <v>0.17306698938431442</v>
      </c>
      <c r="FX143" s="450">
        <f t="shared" ca="1" si="485"/>
        <v>0.17308039913838039</v>
      </c>
      <c r="FY143" s="450">
        <f t="shared" ca="1" si="485"/>
        <v>0.17312037489373214</v>
      </c>
      <c r="FZ143" s="450">
        <f t="shared" ca="1" si="485"/>
        <v>0.17318967785655229</v>
      </c>
      <c r="GA143" s="450">
        <f t="shared" ca="1" si="485"/>
        <v>0.17329139616295244</v>
      </c>
      <c r="GB143" s="450">
        <f t="shared" ca="1" si="485"/>
        <v>0.17342898575729995</v>
      </c>
      <c r="GC143" s="450">
        <f t="shared" ca="1" si="485"/>
        <v>0.17360631695811421</v>
      </c>
      <c r="GD143" s="450">
        <f t="shared" ca="1" si="485"/>
        <v>0.17382772763006574</v>
      </c>
      <c r="GE143" s="450">
        <f t="shared" ca="1" si="485"/>
        <v>0.17409808405591398</v>
      </c>
      <c r="GF143" s="450">
        <f t="shared" ca="1" si="485"/>
        <v>0.17442285081643891</v>
      </c>
      <c r="GG143" s="450">
        <f t="shared" ca="1" si="485"/>
        <v>0.17480817124934356</v>
      </c>
      <c r="GH143" s="450">
        <f t="shared" ca="1" si="485"/>
        <v>0.17526096038219718</v>
      </c>
      <c r="GI143" s="450">
        <f t="shared" ca="1" si="485"/>
        <v>0.17578901263581295</v>
      </c>
      <c r="GJ143" s="450">
        <f t="shared" ca="1" si="485"/>
        <v>0.17640112709369854</v>
      </c>
      <c r="GK143" s="450">
        <f t="shared" ca="1" si="485"/>
        <v>0.17710725375724448</v>
      </c>
      <c r="GL143" s="450">
        <f t="shared" ca="1" si="485"/>
        <v>0.17791866499015199</v>
      </c>
      <c r="GM143" s="450">
        <f t="shared" ca="1" si="485"/>
        <v>0.17884815734519111</v>
      </c>
      <c r="GN143" s="450">
        <f t="shared" ca="1" si="485"/>
        <v>0.17991029022234606</v>
      </c>
      <c r="GO143" s="450">
        <f t="shared" ca="1" si="485"/>
        <v>0.1811216694102345</v>
      </c>
      <c r="GP143" s="450">
        <f t="shared" ca="1" si="485"/>
        <v>0.18250128561995038</v>
      </c>
      <c r="GQ143" s="450">
        <f t="shared" ca="1" si="485"/>
        <v>0.18407092077689932</v>
      </c>
      <c r="GR143" s="450">
        <f t="shared" ca="1" si="485"/>
        <v>0.18585563828793927</v>
      </c>
      <c r="GS143" s="450">
        <f t="shared" ca="1" si="485"/>
        <v>0.18788437801605498</v>
      </c>
      <c r="GT143" s="450">
        <f t="shared" ca="1" si="485"/>
        <v>0.19019068264156491</v>
      </c>
      <c r="GU143" s="450">
        <f t="shared" ca="1" si="485"/>
        <v>0.19281358997918804</v>
      </c>
      <c r="GV143" s="450">
        <f t="shared" ca="1" si="485"/>
        <v>0.19579873637062223</v>
      </c>
      <c r="GW143" s="450">
        <f t="shared" ca="1" si="485"/>
        <v>0.19919973049502473</v>
      </c>
      <c r="GX143" s="450">
        <f t="shared" ca="1" si="485"/>
        <v>0.20307987627955082</v>
      </c>
      <c r="GY143" s="450">
        <f t="shared" ca="1" si="485"/>
        <v>0.20751435013145123</v>
      </c>
      <c r="GZ143" s="450">
        <f t="shared" ca="1" si="485"/>
        <v>0.21259297448704881</v>
      </c>
      <c r="HA143" s="450">
        <f t="shared" ca="1" si="485"/>
        <v>0.21842378115490996</v>
      </c>
      <c r="HB143" s="450">
        <f t="shared" ca="1" si="485"/>
        <v>0.22513763079583038</v>
      </c>
      <c r="HC143" s="450">
        <f t="shared" ca="1" si="485"/>
        <v>0.23289425921991719</v>
      </c>
      <c r="HD143" s="450">
        <f t="shared" ca="1" si="485"/>
        <v>0.24189027245050465</v>
      </c>
      <c r="HE143" s="450">
        <f t="shared" ca="1" si="485"/>
        <v>0.25236983474285429</v>
      </c>
      <c r="HF143" s="450">
        <f t="shared" ca="1" si="485"/>
        <v>0.26463912491413105</v>
      </c>
      <c r="HG143" s="450">
        <f t="shared" ca="1" si="485"/>
        <v>0.27908613740268651</v>
      </c>
      <c r="HH143" s="450">
        <f t="shared" ca="1" si="485"/>
        <v>0.29620817510144543</v>
      </c>
      <c r="HI143" s="450">
        <f t="shared" ca="1" si="485"/>
        <v>0.31665058734043811</v>
      </c>
      <c r="HJ143" s="450">
        <f t="shared" ca="1" si="485"/>
        <v>0.34126223118836835</v>
      </c>
      <c r="HK143" s="450">
        <f t="shared" ca="1" si="485"/>
        <v>0.37117626974456008</v>
      </c>
      <c r="HL143" s="450" t="str">
        <f t="shared" si="485"/>
        <v/>
      </c>
      <c r="HM143" s="450" t="str">
        <f t="shared" si="485"/>
        <v/>
      </c>
      <c r="HN143" s="450" t="str">
        <f t="shared" si="485"/>
        <v/>
      </c>
      <c r="HO143" s="450" t="str">
        <f t="shared" si="485"/>
        <v/>
      </c>
      <c r="HP143" s="450" t="str">
        <f t="shared" si="485"/>
        <v/>
      </c>
      <c r="HQ143" s="450" t="str">
        <f t="shared" si="485"/>
        <v/>
      </c>
      <c r="HR143" s="450" t="str">
        <f t="shared" si="485"/>
        <v/>
      </c>
      <c r="HS143" s="450" t="str">
        <f t="shared" si="485"/>
        <v/>
      </c>
      <c r="HT143" s="450" t="str">
        <f t="shared" si="485"/>
        <v/>
      </c>
      <c r="HU143" s="450" t="str">
        <f t="shared" si="485"/>
        <v/>
      </c>
      <c r="HV143" s="450" t="str">
        <f t="shared" si="485"/>
        <v/>
      </c>
      <c r="HW143" s="450" t="str">
        <f t="shared" si="485"/>
        <v/>
      </c>
      <c r="HX143" s="450" t="str">
        <f t="shared" si="485"/>
        <v/>
      </c>
      <c r="HY143" s="450" t="str">
        <f t="shared" si="485"/>
        <v/>
      </c>
      <c r="HZ143" s="450" t="str">
        <f t="shared" si="485"/>
        <v/>
      </c>
      <c r="IA143" s="450" t="str">
        <f t="shared" si="485"/>
        <v/>
      </c>
      <c r="IB143" s="450" t="str">
        <f t="shared" si="484"/>
        <v/>
      </c>
      <c r="IC143" s="450" t="str">
        <f t="shared" si="484"/>
        <v/>
      </c>
      <c r="ID143" s="450" t="str">
        <f t="shared" si="484"/>
        <v/>
      </c>
      <c r="IE143" s="450" t="str">
        <f t="shared" si="484"/>
        <v/>
      </c>
      <c r="IF143" s="450" t="str">
        <f t="shared" si="484"/>
        <v/>
      </c>
      <c r="IG143" s="450" t="str">
        <f t="shared" si="484"/>
        <v/>
      </c>
      <c r="IH143" s="658" t="str">
        <f t="shared" si="484"/>
        <v/>
      </c>
      <c r="II143" s="242"/>
    </row>
    <row r="144" spans="8:243">
      <c r="H144" s="49" t="e">
        <f t="shared" ca="1" si="317"/>
        <v>#N/A</v>
      </c>
      <c r="I144" s="369">
        <f t="shared" si="318"/>
        <v>40787</v>
      </c>
      <c r="J144" s="367">
        <v>22.484999999999999</v>
      </c>
      <c r="K144" s="101" t="s">
        <v>267</v>
      </c>
      <c r="L144" s="382">
        <f t="shared" si="319"/>
        <v>22.484999999999953</v>
      </c>
      <c r="M144" s="163">
        <v>0.16209999999999999</v>
      </c>
      <c r="N144" s="372">
        <v>0</v>
      </c>
      <c r="O144" s="163">
        <f t="shared" si="272"/>
        <v>0.16209999999999999</v>
      </c>
      <c r="P144" s="367">
        <v>21.265139152094498</v>
      </c>
      <c r="Q144" s="101" t="s">
        <v>267</v>
      </c>
      <c r="R144" s="367">
        <f t="shared" ca="1" si="417"/>
        <v>21.265139152094481</v>
      </c>
      <c r="S144" s="814">
        <f t="shared" si="474"/>
        <v>0.35452442471549839</v>
      </c>
      <c r="T144" s="813">
        <f t="shared" si="418"/>
        <v>0.99999983461102104</v>
      </c>
      <c r="U144" s="532">
        <f t="shared" si="419"/>
        <v>0.99999999999999978</v>
      </c>
      <c r="V144" s="379">
        <v>0</v>
      </c>
      <c r="W144" s="424">
        <f t="shared" si="452"/>
        <v>22.519090909090913</v>
      </c>
      <c r="X144" s="405">
        <f t="shared" si="453"/>
        <v>22.51909090909086</v>
      </c>
      <c r="Y144" s="313">
        <f t="shared" si="454"/>
        <v>21.200690909090913</v>
      </c>
      <c r="Z144" s="313">
        <f t="shared" ca="1" si="455"/>
        <v>21.200690909090859</v>
      </c>
      <c r="AA144" s="419">
        <f t="shared" si="277"/>
        <v>1.3184</v>
      </c>
      <c r="AB144" s="423">
        <f t="shared" ca="1" si="278"/>
        <v>1.3184</v>
      </c>
      <c r="AC144" s="221">
        <v>40775</v>
      </c>
      <c r="AD144" s="221">
        <v>40771</v>
      </c>
      <c r="AE144" s="221">
        <v>40770</v>
      </c>
      <c r="AF144" s="221">
        <v>40766</v>
      </c>
      <c r="AG144" s="241" t="s">
        <v>497</v>
      </c>
      <c r="AH144" s="239" t="s">
        <v>497</v>
      </c>
      <c r="AI144" s="141">
        <v>22</v>
      </c>
      <c r="AJ144" s="41">
        <v>14</v>
      </c>
      <c r="AK144" s="41">
        <v>8</v>
      </c>
      <c r="AL144" s="285">
        <v>22</v>
      </c>
      <c r="AM144" s="41">
        <v>10</v>
      </c>
      <c r="AN144" s="142">
        <v>12</v>
      </c>
      <c r="AO144" s="364">
        <v>5.95001758556859E-2</v>
      </c>
      <c r="AP144" s="145">
        <f t="shared" ca="1" si="320"/>
        <v>0.54108757858358869</v>
      </c>
      <c r="AQ144" s="364">
        <v>5.0480712001165398E-2</v>
      </c>
      <c r="AR144" s="145">
        <f t="shared" ca="1" si="420"/>
        <v>0.59685507105721192</v>
      </c>
      <c r="AS144" s="264">
        <f t="shared" si="456"/>
        <v>0.16141818181818185</v>
      </c>
      <c r="AT144" s="149">
        <f t="shared" si="321"/>
        <v>0.16209999999999999</v>
      </c>
      <c r="AU144" s="149">
        <f t="shared" si="280"/>
        <v>0.16132727272727274</v>
      </c>
      <c r="AV144" s="263">
        <f t="shared" ca="1" si="430"/>
        <v>0.15954501275872754</v>
      </c>
      <c r="AW144" s="150" t="str">
        <f t="shared" ca="1" si="457"/>
        <v/>
      </c>
      <c r="AX144" s="149">
        <f t="shared" ca="1" si="421"/>
        <v>1.1309598957182948E-2</v>
      </c>
      <c r="AY144" s="149">
        <f t="shared" ca="1" si="422"/>
        <v>4.5375602800596859E-3</v>
      </c>
      <c r="AZ144" s="149">
        <f t="shared" ca="1" si="423"/>
        <v>3.5551628401349934E-3</v>
      </c>
      <c r="BA144" s="149">
        <f t="shared" ca="1" si="424"/>
        <v>1.0000000000000495E-4</v>
      </c>
      <c r="BB144" s="149">
        <f t="shared" ca="1" si="425"/>
        <v>1.0000000000000495E-4</v>
      </c>
      <c r="BC144" s="149">
        <f t="shared" ca="1" si="426"/>
        <v>1.0000000000000495E-4</v>
      </c>
      <c r="BD144" s="143">
        <f t="shared" ca="1" si="458"/>
        <v>0</v>
      </c>
      <c r="BE144" s="144">
        <f t="shared" ca="1" si="459"/>
        <v>0</v>
      </c>
      <c r="BF144" s="40">
        <f t="shared" si="460"/>
        <v>2011</v>
      </c>
      <c r="BG144" s="139">
        <f t="shared" si="461"/>
        <v>9</v>
      </c>
      <c r="BH144" s="140">
        <f t="shared" ca="1" si="462"/>
        <v>3781</v>
      </c>
      <c r="BI144" s="304">
        <f t="shared" ca="1" si="440"/>
        <v>10.395619438740589</v>
      </c>
      <c r="BJ144" s="42">
        <f t="shared" ca="1" si="288"/>
        <v>10.44614523053948</v>
      </c>
      <c r="BK144" s="42">
        <f t="shared" ca="1" si="289"/>
        <v>10.448883081326613</v>
      </c>
      <c r="BL144" s="42">
        <f t="shared" ca="1" si="441"/>
        <v>10.47501711156742</v>
      </c>
      <c r="BM144" s="285">
        <f t="shared" si="442"/>
        <v>22</v>
      </c>
      <c r="BN144" s="41">
        <f t="shared" si="443"/>
        <v>14</v>
      </c>
      <c r="BO144" s="41">
        <f t="shared" si="444"/>
        <v>8</v>
      </c>
      <c r="BP144" s="297" t="str">
        <f t="shared" ca="1" si="293"/>
        <v/>
      </c>
      <c r="BQ144" s="297" t="str">
        <f t="shared" ca="1" si="294"/>
        <v/>
      </c>
      <c r="BR144" s="299" t="str">
        <f t="shared" ca="1" si="295"/>
        <v/>
      </c>
      <c r="BS144" s="153" t="str">
        <f t="shared" ca="1" si="296"/>
        <v/>
      </c>
      <c r="BT144" s="153" t="str">
        <f t="shared" ca="1" si="297"/>
        <v/>
      </c>
      <c r="BU144" s="300" t="str">
        <f t="shared" ca="1" si="298"/>
        <v/>
      </c>
      <c r="BV144" s="301" t="str">
        <f t="shared" ca="1" si="299"/>
        <v/>
      </c>
      <c r="BW144" s="300" t="str">
        <f t="shared" ca="1" si="300"/>
        <v/>
      </c>
      <c r="BX144" s="301" t="str">
        <f t="shared" ca="1" si="301"/>
        <v/>
      </c>
      <c r="BY144" s="146" t="str">
        <f t="shared" ca="1" si="302"/>
        <v/>
      </c>
      <c r="BZ144" s="146" t="str">
        <f t="shared" ca="1" si="303"/>
        <v/>
      </c>
      <c r="CA144" s="146" t="str">
        <f t="shared" ca="1" si="304"/>
        <v/>
      </c>
      <c r="CB144" s="146" t="str">
        <f t="shared" ca="1" si="305"/>
        <v/>
      </c>
      <c r="CC144" s="302">
        <v>1</v>
      </c>
      <c r="CD144" s="154">
        <f ca="1">IF(BD144,_xll.xCrudeAPO(BS144,BT144,BY144,BZ144,S145,S146,BI144,BL144,BN144,BO144,0,Strike1,AO144,CC144,0,BL144,IF(OptControl=4,0,1),0,1),0)</f>
        <v>0</v>
      </c>
      <c r="CE144" s="155">
        <f ca="1">IF(BD144,_xll.xCrudeAPO(BS144,BT144,BY144,BZ144,S145,S146,BI144,BL144,BN144,BO144,0,Strike1,AO144,CC144,0,BL144,IF(OptControl=4,0,1),1,1)+_xll.xCrudeAPO(BS144,BT144,BY144,BZ144,S145,S146,BI144,BL144,BN144,BO144,0,Strike1,AO144,CC144,0,BL144,IF(OptControl=4,0,1),1,2)+IF(OR(VolSkewFlag=2,ABS(BQ144)&lt;0.0001),0,IF(BQ144&gt;0,-1,1)*CF144*Strike1/BP144^2*BW144/10%),0)</f>
        <v>0</v>
      </c>
      <c r="CF144" s="155">
        <f ca="1">IF(BD144,(_xll.xCrudeAPO(BS144,BT144,BY144,BZ144,S145,S146,BI144,BL144,BN144,BO144,0,Strike1,AO144,CC144,0,BL144,IF(OptControl=4,0,1),3,1)+_xll.xCrudeAPO(BS144,BT144,BY144,BZ144,S145,S146,BI144,BL144,BN144,BO144,0,Strike1,AO144,CC144,0,BL144,IF(OptControl=4,0,1),3,2))/100,0)</f>
        <v>0</v>
      </c>
      <c r="CG144" s="155">
        <f ca="1">IF(BD144,_xll.xCrudeAPO(BS144,BT144,BY144,BZ144,S145,S146,BI144-DaysForThetaCalculation/365.25,BL144-DaysForThetaCalculation/365.25,BN144,BO144,0,Strike1,AO144,CC144,0,BL144,IF(OptControl=4,0,1),0,1)-_xll.xCrudeAPO(BS144,BT144,BY144,BZ144,S145,S146,BI144,BL144,BN144,BO144,0,Strike1,AO144,CC144,0,BL144,IF(OptControl=4,0,1),0,1),0)</f>
        <v>0</v>
      </c>
      <c r="CH144" s="303">
        <f ca="1">IF(BD144,_xll.xCrudeAPO(BS144,BT144,CA144,CB144,S145,S146,BI144,BL144,BN144,BO144,0,Strike2,AO144,CC144,0,BL144,IF(OptControl=3,1,0),0,1),0)</f>
        <v>0</v>
      </c>
      <c r="CI144" s="155">
        <f ca="1">IF(BD144,_xll.xCrudeAPO(BS144,BT144,CA144,CB144,S145,S146,BI144,BL144,BN144,BO144,0,Strike2,AO144,CC144,0,BL144,IF(OptControl=3,1,0),1,1)+_xll.xCrudeAPO(BS144,BT144,CA144,CB144,S145,S146,BI144,BL144,BN144,BO144,0,Strike2,AO144,CC144,0,BL144,IF(OptControl=3,1,0),1,2)+IF(OR(VolSkewFlag=2,ABS(BR144)&lt;0.0001),0,IF(BR144&gt;0,-1,1)*CJ144*Strike2/BP144^2*BX144/10%),0)</f>
        <v>0</v>
      </c>
      <c r="CJ144" s="155">
        <f ca="1">IF(BD144,(_xll.xCrudeAPO(BS144,BT144,CA144,CB144,S145,S146,BI144,BL144,BN144,BO144,0,Strike2,AO144,CC144,0,BL144,IF(OptControl=3,1,0),3,1)+_xll.xCrudeAPO(BS144,BT144,CA144,CB144,S145,S146,BI144,BL144,BN144,BO144,0,Strike2,AO144,CC144,0,BL144,IF(OptControl=3,1,0),3,2))/100,0)</f>
        <v>0</v>
      </c>
      <c r="CK144" s="156">
        <f ca="1">IF(BD144,_xll.xCrudeAPO(BS144,BT144,CA144,CB144,S145,S146,BI144-DaysForThetaCalculation/365.25,BL144-DaysForThetaCalculation/365.25,BN144,BO144,0,Strike2,AO144,CC144,0,BL144,IF(OptControl=3,1,0),0,1)-_xll.xCrudeAPO(BS144,BT144,CA144,CB144,S145,S146,BI144,BL144,BN144,BO144,0,Strike2,AO144,CC144,0,BL144,IF(OptControl=3,1,0),0,1),0)</f>
        <v>0</v>
      </c>
      <c r="CL144" s="51"/>
      <c r="CM144" s="779" t="str">
        <f t="shared" ca="1" si="323"/>
        <v/>
      </c>
      <c r="CN144" s="783" t="str">
        <f t="shared" ca="1" si="324"/>
        <v/>
      </c>
      <c r="CO144" s="780" t="str">
        <f t="shared" ca="1" si="325"/>
        <v/>
      </c>
      <c r="CP144" s="780" t="str">
        <f t="shared" ca="1" si="326"/>
        <v/>
      </c>
      <c r="CQ144" s="780" t="str">
        <f t="shared" ca="1" si="327"/>
        <v/>
      </c>
      <c r="CR144" s="780" t="str">
        <f t="shared" ca="1" si="328"/>
        <v/>
      </c>
      <c r="CS144" s="781" t="str">
        <f t="shared" ca="1" si="329"/>
        <v/>
      </c>
      <c r="CT144" s="782" t="str">
        <f t="shared" ca="1" si="330"/>
        <v/>
      </c>
      <c r="CU144" s="782" t="str">
        <f t="shared" ca="1" si="331"/>
        <v/>
      </c>
      <c r="CV144" s="155">
        <f ca="1">IF(BD144,_xll.EURO(CN144,Strike1,AO144,AO144,CT144,CM144,IF(OptControl=4,0,1),0),0)</f>
        <v>0</v>
      </c>
      <c r="CW144" s="155">
        <f ca="1">IF(BD144,_xll.EURO(CN144,Strike1,AO144,AO144,CT144,CM144,IF(OptControl=4,0,1),1)+IF(OR(VolSkewFlag=2,ABS(CO144)&lt;0.0001),0,IF(CO144&gt;0,-1,1)*CX144*100*Strike1/CN144^2*CQ144/10%),0)</f>
        <v>0</v>
      </c>
      <c r="CX144" s="155">
        <f ca="1">IF(BD144,_xll.EURO(CN144,Strike1,AO144,AO144,CT144,CM144,IF(OptControl=4,0,1),3)/100,0)</f>
        <v>0</v>
      </c>
      <c r="CY144" s="155">
        <f ca="1">IF(BD144,_xll.EURO(CN144,Strike1,AO144,AO144,CT144,CM144,IF(OptControl=4,0,1),0)-_xll.EURO(CN144,Strike1,AO144,AO144,CT144,CM144-1,IF(OptControl=4,0,1),0),0)</f>
        <v>0</v>
      </c>
      <c r="CZ144" s="155">
        <f ca="1">IF(BD144,_xll.EURO(CN144,Strike2,AO144,AO144,CU144,CM144,IF(OptControl=3,1,0),0),0)</f>
        <v>0</v>
      </c>
      <c r="DA144" s="155">
        <f ca="1">IF(BD144,_xll.EURO(CN144,Strike2,AO144,AO144,CU144,CM144,IF(OptControl=3,1,0),1)+IF(OR(VolSkewFlag=2,ABS(CP144)&lt;0.0001),0,IF(CP144&gt;0,-1,1)*DB144*100*Strike2/CN144^2*CR144/10%),0)</f>
        <v>0</v>
      </c>
      <c r="DB144" s="155">
        <f ca="1">IF(BD144,_xll.EURO(CN144,Strike2,AO144,AO144,CU144,CM144,IF(OptControl=3,1,0),3)/100,0)</f>
        <v>0</v>
      </c>
      <c r="DC144" s="156">
        <f ca="1">IF(BD144,_xll.EURO(CN144,Strike2,AO144,AO144,CU144,CM144,IF(OptControl=3,1,0),0)-_xll.EURO(CN144,Strike2,AO144,AO144,CU144,CM144-1,IF(OptControl=3,1,0),0),0)</f>
        <v>0</v>
      </c>
      <c r="DE144" s="651">
        <f t="shared" ca="1" si="332"/>
        <v>40695</v>
      </c>
      <c r="DF144" s="465">
        <v>1E-4</v>
      </c>
      <c r="DG144" s="649">
        <v>1E-4</v>
      </c>
      <c r="DH144" s="650">
        <f t="shared" ca="1" si="463"/>
        <v>40695</v>
      </c>
      <c r="DI144" s="465">
        <v>1E-4</v>
      </c>
      <c r="DJ144" s="649">
        <v>1E-4</v>
      </c>
      <c r="DK144" s="651">
        <f t="shared" ca="1" si="464"/>
        <v>40695</v>
      </c>
      <c r="DL144" s="652">
        <f t="shared" si="465"/>
        <v>5.0100000000000006E-2</v>
      </c>
      <c r="DM144" s="651">
        <f t="shared" ca="1" si="333"/>
        <v>40695</v>
      </c>
      <c r="DN144" s="563">
        <f t="shared" si="334"/>
        <v>-0.12990000000000002</v>
      </c>
      <c r="DO144" s="803">
        <v>-0.13</v>
      </c>
      <c r="DP144" s="650">
        <f t="shared" ca="1" si="466"/>
        <v>40695</v>
      </c>
      <c r="DQ144" s="653">
        <v>1E-4</v>
      </c>
      <c r="DR144" s="590">
        <v>1E-4</v>
      </c>
      <c r="DS144" s="650">
        <f t="shared" ca="1" si="467"/>
        <v>40695</v>
      </c>
      <c r="DT144" s="653">
        <v>1E-4</v>
      </c>
      <c r="DU144" s="590">
        <v>1E-4</v>
      </c>
      <c r="DV144" s="651">
        <f t="shared" ca="1" si="468"/>
        <v>40695</v>
      </c>
      <c r="DW144" s="590">
        <v>1E-4</v>
      </c>
      <c r="DX144" s="651">
        <f t="shared" ca="1" si="335"/>
        <v>40695</v>
      </c>
      <c r="DY144" s="590">
        <f t="shared" si="336"/>
        <v>1E-4</v>
      </c>
      <c r="DZ144" s="1"/>
      <c r="EA144" s="857"/>
      <c r="EB144" s="857"/>
      <c r="EC144" s="857"/>
      <c r="ED144" s="868" t="e">
        <f t="shared" ca="1" si="436"/>
        <v>#NAME?</v>
      </c>
      <c r="EE144" s="863" t="e">
        <f t="shared" ca="1" si="312"/>
        <v>#NAME?</v>
      </c>
      <c r="EF144" s="590" t="e">
        <f t="shared" ca="1" si="313"/>
        <v>#NAME?</v>
      </c>
      <c r="EG144" s="862" t="str">
        <f t="shared" ca="1" si="469"/>
        <v/>
      </c>
      <c r="EH144" s="114" t="str">
        <f t="shared" ca="1" si="315"/>
        <v/>
      </c>
      <c r="EI144" s="109" t="str">
        <f t="shared" ca="1" si="316"/>
        <v/>
      </c>
      <c r="EJ144" s="115">
        <f ca="1">IF(BD144,_xll.xASN(BP144,Strike1,AO144,EH144,0,BM144,0,BI144,BL144,IF(OptControl=4,0,1),0),0)</f>
        <v>0</v>
      </c>
      <c r="EK144" s="108">
        <f ca="1">IF(BD144,_xll.xASN(BP144,Strike2,AO144,EI144,0,BM144,0,BI144,BL144,IF(OptControl=3,1,0),0),0)</f>
        <v>0</v>
      </c>
      <c r="EP144" s="53"/>
      <c r="EQ144" s="1"/>
      <c r="ER144" s="103"/>
      <c r="ES144" s="103"/>
      <c r="ET144" s="1"/>
      <c r="EU144" s="667" t="s">
        <v>356</v>
      </c>
      <c r="EW144" s="445"/>
      <c r="EX144" s="36"/>
      <c r="EY144" s="104"/>
      <c r="EZ144" s="465"/>
      <c r="FA144" s="446"/>
      <c r="FB144" s="446"/>
      <c r="FC144" s="242"/>
      <c r="FD144" s="242"/>
      <c r="FE144" s="242"/>
      <c r="FF144" s="242"/>
      <c r="FG144" s="242"/>
      <c r="FH144" s="242"/>
      <c r="FI144" s="242"/>
      <c r="FJ144" s="242"/>
      <c r="FK144" s="242"/>
      <c r="FL144" s="242"/>
      <c r="FM144" s="242"/>
      <c r="FN144" s="657">
        <v>50</v>
      </c>
      <c r="FO144" s="450">
        <f t="shared" ca="1" si="477"/>
        <v>0.17340706204623194</v>
      </c>
      <c r="FP144" s="450">
        <f t="shared" ca="1" si="485"/>
        <v>0.17344306653699798</v>
      </c>
      <c r="FQ144" s="450">
        <f t="shared" ca="1" si="485"/>
        <v>0.17331637738007633</v>
      </c>
      <c r="FR144" s="450">
        <f t="shared" ca="1" si="485"/>
        <v>0.1732023540041544</v>
      </c>
      <c r="FS144" s="450">
        <f t="shared" ca="1" si="485"/>
        <v>0.17310213929340781</v>
      </c>
      <c r="FT144" s="450">
        <f t="shared" ca="1" si="485"/>
        <v>0.17301700827658817</v>
      </c>
      <c r="FU144" s="450">
        <f t="shared" ca="1" si="485"/>
        <v>0.1729483835325028</v>
      </c>
      <c r="FV144" s="450">
        <f t="shared" ca="1" si="485"/>
        <v>0.17289785250192147</v>
      </c>
      <c r="FW144" s="450">
        <f t="shared" ca="1" si="485"/>
        <v>0.17286718696595496</v>
      </c>
      <c r="FX144" s="450">
        <f t="shared" ca="1" si="485"/>
        <v>0.1728583649917188</v>
      </c>
      <c r="FY144" s="450">
        <f t="shared" ca="1" si="485"/>
        <v>0.17287359569435393</v>
      </c>
      <c r="FZ144" s="450">
        <f t="shared" ca="1" si="485"/>
        <v>0.17291534722181268</v>
      </c>
      <c r="GA144" s="450">
        <f t="shared" ca="1" si="485"/>
        <v>0.17298637843720224</v>
      </c>
      <c r="GB144" s="450">
        <f t="shared" ca="1" si="485"/>
        <v>0.17308977485536051</v>
      </c>
      <c r="GC144" s="450">
        <f t="shared" ca="1" si="485"/>
        <v>0.17322898948875776</v>
      </c>
      <c r="GD144" s="450">
        <f t="shared" ca="1" si="485"/>
        <v>0.17340788937660728</v>
      </c>
      <c r="GE144" s="450">
        <f t="shared" ca="1" si="485"/>
        <v>0.17363080871501924</v>
      </c>
      <c r="GF144" s="450">
        <f t="shared" ca="1" si="485"/>
        <v>0.17390260968119378</v>
      </c>
      <c r="GG144" s="450">
        <f t="shared" ca="1" si="485"/>
        <v>0.1742287522587167</v>
      </c>
      <c r="GH144" s="450">
        <f t="shared" ca="1" si="485"/>
        <v>0.1746153746337282</v>
      </c>
      <c r="GI144" s="450">
        <f t="shared" ca="1" si="485"/>
        <v>0.17506938605558789</v>
      </c>
      <c r="GJ144" s="450">
        <f t="shared" ca="1" si="485"/>
        <v>0.17559857445667171</v>
      </c>
      <c r="GK144" s="450">
        <f t="shared" ca="1" si="485"/>
        <v>0.17621173162479645</v>
      </c>
      <c r="GL144" s="450">
        <f t="shared" ca="1" si="485"/>
        <v>0.17691879934531968</v>
      </c>
      <c r="GM144" s="450">
        <f t="shared" ca="1" si="485"/>
        <v>0.1777310407131944</v>
      </c>
      <c r="GN144" s="450">
        <f t="shared" ca="1" si="485"/>
        <v>0.17866124180409207</v>
      </c>
      <c r="GO144" s="450">
        <f t="shared" ca="1" si="485"/>
        <v>0.17972395014870968</v>
      </c>
      <c r="GP144" s="450">
        <f t="shared" ca="1" si="485"/>
        <v>0.18093575805598675</v>
      </c>
      <c r="GQ144" s="450">
        <f t="shared" ca="1" si="485"/>
        <v>0.18231564088664373</v>
      </c>
      <c r="GR144" s="450">
        <f t="shared" ca="1" si="485"/>
        <v>0.1838853630328536</v>
      </c>
      <c r="GS144" s="450">
        <f t="shared" ca="1" si="485"/>
        <v>0.18566996780897255</v>
      </c>
      <c r="GT144" s="450">
        <f t="shared" ca="1" si="485"/>
        <v>0.18769837196973754</v>
      </c>
      <c r="GU144" s="450">
        <f t="shared" ca="1" si="485"/>
        <v>0.19000409151459985</v>
      </c>
      <c r="GV144" s="450">
        <f t="shared" ca="1" si="485"/>
        <v>0.1926261333212077</v>
      </c>
      <c r="GW144" s="450">
        <f t="shared" ca="1" si="485"/>
        <v>0.19561009769339444</v>
      </c>
      <c r="GX144" s="450">
        <f t="shared" ca="1" si="485"/>
        <v>0.19900955112102126</v>
      </c>
      <c r="GY144" s="450">
        <f t="shared" ca="1" si="485"/>
        <v>0.20288774787420172</v>
      </c>
      <c r="GZ144" s="450">
        <f t="shared" ca="1" si="485"/>
        <v>0.20731980557378538</v>
      </c>
      <c r="HA144" s="450">
        <f t="shared" ca="1" si="485"/>
        <v>0.21239547662615071</v>
      </c>
      <c r="HB144" s="450">
        <f t="shared" ca="1" si="485"/>
        <v>0.21822270885369968</v>
      </c>
      <c r="HC144" s="450">
        <f t="shared" ca="1" si="485"/>
        <v>0.22493226146312689</v>
      </c>
      <c r="HD144" s="450">
        <f t="shared" ca="1" si="485"/>
        <v>0.232683746753131</v>
      </c>
      <c r="HE144" s="450">
        <f t="shared" ca="1" si="485"/>
        <v>0.2416736191196677</v>
      </c>
      <c r="HF144" s="450">
        <f t="shared" ca="1" si="485"/>
        <v>0.25214585498931735</v>
      </c>
      <c r="HG144" s="450">
        <f t="shared" ca="1" si="485"/>
        <v>0.26440639823330875</v>
      </c>
      <c r="HH144" s="450">
        <f t="shared" ca="1" si="485"/>
        <v>0.27884294630388295</v>
      </c>
      <c r="HI144" s="450">
        <f t="shared" ca="1" si="485"/>
        <v>0.29595242238972358</v>
      </c>
      <c r="HJ144" s="450">
        <f t="shared" ca="1" si="485"/>
        <v>0.3163796843241039</v>
      </c>
      <c r="HK144" s="450">
        <f t="shared" ca="1" si="485"/>
        <v>0.34097294435154907</v>
      </c>
      <c r="HL144" s="450">
        <f t="shared" ca="1" si="485"/>
        <v>0.37086450704711449</v>
      </c>
      <c r="HM144" s="450" t="str">
        <f t="shared" si="485"/>
        <v/>
      </c>
      <c r="HN144" s="450" t="str">
        <f t="shared" si="485"/>
        <v/>
      </c>
      <c r="HO144" s="450" t="str">
        <f t="shared" si="485"/>
        <v/>
      </c>
      <c r="HP144" s="450" t="str">
        <f t="shared" si="485"/>
        <v/>
      </c>
      <c r="HQ144" s="450" t="str">
        <f t="shared" si="485"/>
        <v/>
      </c>
      <c r="HR144" s="450" t="str">
        <f t="shared" si="485"/>
        <v/>
      </c>
      <c r="HS144" s="450" t="str">
        <f t="shared" si="485"/>
        <v/>
      </c>
      <c r="HT144" s="450" t="str">
        <f t="shared" si="485"/>
        <v/>
      </c>
      <c r="HU144" s="450" t="str">
        <f t="shared" si="485"/>
        <v/>
      </c>
      <c r="HV144" s="450" t="str">
        <f t="shared" si="485"/>
        <v/>
      </c>
      <c r="HW144" s="450" t="str">
        <f t="shared" si="485"/>
        <v/>
      </c>
      <c r="HX144" s="450" t="str">
        <f t="shared" si="485"/>
        <v/>
      </c>
      <c r="HY144" s="450" t="str">
        <f t="shared" si="485"/>
        <v/>
      </c>
      <c r="HZ144" s="450" t="str">
        <f t="shared" si="485"/>
        <v/>
      </c>
      <c r="IA144" s="450" t="str">
        <f t="shared" ref="IA144:IH147" si="486">IF($FN69&lt;IA$94,"",SQRT(IA69/IA$15))</f>
        <v/>
      </c>
      <c r="IB144" s="450" t="str">
        <f t="shared" si="486"/>
        <v/>
      </c>
      <c r="IC144" s="450" t="str">
        <f t="shared" si="486"/>
        <v/>
      </c>
      <c r="ID144" s="450" t="str">
        <f t="shared" si="486"/>
        <v/>
      </c>
      <c r="IE144" s="450" t="str">
        <f t="shared" si="486"/>
        <v/>
      </c>
      <c r="IF144" s="450" t="str">
        <f t="shared" si="486"/>
        <v/>
      </c>
      <c r="IG144" s="450" t="str">
        <f t="shared" si="486"/>
        <v/>
      </c>
      <c r="IH144" s="658" t="str">
        <f t="shared" si="486"/>
        <v/>
      </c>
      <c r="II144" s="242"/>
    </row>
    <row r="145" spans="8:243">
      <c r="H145" s="49" t="e">
        <f t="shared" ca="1" si="317"/>
        <v>#N/A</v>
      </c>
      <c r="I145" s="369">
        <f t="shared" si="318"/>
        <v>40817</v>
      </c>
      <c r="J145" s="367">
        <v>22.51</v>
      </c>
      <c r="K145" s="101" t="s">
        <v>267</v>
      </c>
      <c r="L145" s="382">
        <f t="shared" si="319"/>
        <v>22.509999999999952</v>
      </c>
      <c r="M145" s="163">
        <v>0.16160000000000002</v>
      </c>
      <c r="N145" s="372">
        <v>0</v>
      </c>
      <c r="O145" s="163">
        <f t="shared" si="272"/>
        <v>0.16160000000000002</v>
      </c>
      <c r="P145" s="367">
        <v>21.106185267619502</v>
      </c>
      <c r="Q145" s="101" t="s">
        <v>267</v>
      </c>
      <c r="R145" s="367">
        <f t="shared" ca="1" si="417"/>
        <v>21.106185267619544</v>
      </c>
      <c r="S145" s="814">
        <f t="shared" si="474"/>
        <v>0.35437918046834338</v>
      </c>
      <c r="T145" s="813">
        <f t="shared" si="418"/>
        <v>0.99999985114992018</v>
      </c>
      <c r="U145" s="532">
        <f t="shared" si="419"/>
        <v>0.99999999999999978</v>
      </c>
      <c r="V145" s="379">
        <v>0</v>
      </c>
      <c r="W145" s="424">
        <f t="shared" si="452"/>
        <v>22.543333333333301</v>
      </c>
      <c r="X145" s="405">
        <f t="shared" si="453"/>
        <v>22.543333333333283</v>
      </c>
      <c r="Y145" s="313">
        <f t="shared" si="454"/>
        <v>21.301733333333303</v>
      </c>
      <c r="Z145" s="313">
        <f t="shared" ca="1" si="455"/>
        <v>21.301733333333281</v>
      </c>
      <c r="AA145" s="419">
        <f t="shared" si="277"/>
        <v>1.2416</v>
      </c>
      <c r="AB145" s="423">
        <f t="shared" ca="1" si="278"/>
        <v>1.2416</v>
      </c>
      <c r="AC145" s="221">
        <v>40806</v>
      </c>
      <c r="AD145" s="221">
        <v>40802</v>
      </c>
      <c r="AE145" s="221">
        <v>40801</v>
      </c>
      <c r="AF145" s="221">
        <v>40797</v>
      </c>
      <c r="AG145" s="241" t="s">
        <v>497</v>
      </c>
      <c r="AH145" s="239" t="s">
        <v>497</v>
      </c>
      <c r="AI145" s="141">
        <v>21</v>
      </c>
      <c r="AJ145" s="41">
        <v>14</v>
      </c>
      <c r="AK145" s="41">
        <v>7</v>
      </c>
      <c r="AL145" s="285">
        <v>21</v>
      </c>
      <c r="AM145" s="41">
        <v>10</v>
      </c>
      <c r="AN145" s="142">
        <v>11</v>
      </c>
      <c r="AO145" s="364">
        <v>5.9544036371053995E-2</v>
      </c>
      <c r="AP145" s="145">
        <f t="shared" ca="1" si="320"/>
        <v>0.53815953663504312</v>
      </c>
      <c r="AQ145" s="364">
        <v>5.0584285992280702E-2</v>
      </c>
      <c r="AR145" s="145">
        <f t="shared" ca="1" si="420"/>
        <v>0.59370864412491231</v>
      </c>
      <c r="AS145" s="264">
        <f t="shared" si="456"/>
        <v>0.16093333333333334</v>
      </c>
      <c r="AT145" s="149">
        <f t="shared" si="321"/>
        <v>0.16160000000000002</v>
      </c>
      <c r="AU145" s="149">
        <f t="shared" si="280"/>
        <v>0.16083809523809525</v>
      </c>
      <c r="AV145" s="263">
        <f t="shared" ca="1" si="430"/>
        <v>0.15905664442560849</v>
      </c>
      <c r="AW145" s="150" t="str">
        <f t="shared" ca="1" si="457"/>
        <v/>
      </c>
      <c r="AX145" s="149">
        <f t="shared" ca="1" si="421"/>
        <v>1.1150719293814575E-2</v>
      </c>
      <c r="AY145" s="149">
        <f t="shared" ca="1" si="422"/>
        <v>4.4594876146192208E-3</v>
      </c>
      <c r="AZ145" s="149">
        <f t="shared" ca="1" si="423"/>
        <v>3.5127927304998449E-3</v>
      </c>
      <c r="BA145" s="149">
        <f t="shared" ca="1" si="424"/>
        <v>1.0000000000000501E-4</v>
      </c>
      <c r="BB145" s="149">
        <f t="shared" ca="1" si="425"/>
        <v>1.0000000000000501E-4</v>
      </c>
      <c r="BC145" s="149">
        <f t="shared" ca="1" si="426"/>
        <v>1.0000000000000501E-4</v>
      </c>
      <c r="BD145" s="143">
        <f t="shared" ca="1" si="458"/>
        <v>0</v>
      </c>
      <c r="BE145" s="144">
        <f t="shared" ca="1" si="459"/>
        <v>0</v>
      </c>
      <c r="BF145" s="40">
        <f t="shared" si="460"/>
        <v>2011</v>
      </c>
      <c r="BG145" s="139">
        <f t="shared" si="461"/>
        <v>10</v>
      </c>
      <c r="BH145" s="140">
        <f t="shared" ca="1" si="462"/>
        <v>3812</v>
      </c>
      <c r="BI145" s="304">
        <f t="shared" ca="1" si="440"/>
        <v>10.477754962354553</v>
      </c>
      <c r="BJ145" s="42">
        <f t="shared" ca="1" si="288"/>
        <v>10.532511978097194</v>
      </c>
      <c r="BK145" s="42">
        <f t="shared" ca="1" si="289"/>
        <v>10.535249828884327</v>
      </c>
      <c r="BL145" s="42">
        <f t="shared" ca="1" si="441"/>
        <v>10.559890485968515</v>
      </c>
      <c r="BM145" s="285">
        <f t="shared" si="442"/>
        <v>21</v>
      </c>
      <c r="BN145" s="41">
        <f t="shared" si="443"/>
        <v>14</v>
      </c>
      <c r="BO145" s="41">
        <f t="shared" si="444"/>
        <v>7</v>
      </c>
      <c r="BP145" s="297" t="str">
        <f t="shared" ca="1" si="293"/>
        <v/>
      </c>
      <c r="BQ145" s="297" t="str">
        <f t="shared" ca="1" si="294"/>
        <v/>
      </c>
      <c r="BR145" s="299" t="str">
        <f t="shared" ca="1" si="295"/>
        <v/>
      </c>
      <c r="BS145" s="153" t="str">
        <f t="shared" ca="1" si="296"/>
        <v/>
      </c>
      <c r="BT145" s="153" t="str">
        <f t="shared" ca="1" si="297"/>
        <v/>
      </c>
      <c r="BU145" s="300" t="str">
        <f t="shared" ca="1" si="298"/>
        <v/>
      </c>
      <c r="BV145" s="301" t="str">
        <f t="shared" ca="1" si="299"/>
        <v/>
      </c>
      <c r="BW145" s="300" t="str">
        <f t="shared" ca="1" si="300"/>
        <v/>
      </c>
      <c r="BX145" s="301" t="str">
        <f t="shared" ca="1" si="301"/>
        <v/>
      </c>
      <c r="BY145" s="146" t="str">
        <f t="shared" ca="1" si="302"/>
        <v/>
      </c>
      <c r="BZ145" s="146" t="str">
        <f t="shared" ca="1" si="303"/>
        <v/>
      </c>
      <c r="CA145" s="146" t="str">
        <f t="shared" ca="1" si="304"/>
        <v/>
      </c>
      <c r="CB145" s="146" t="str">
        <f t="shared" ca="1" si="305"/>
        <v/>
      </c>
      <c r="CC145" s="302">
        <v>1</v>
      </c>
      <c r="CD145" s="154">
        <f ca="1">IF(BD145,_xll.xCrudeAPO(BS145,BT145,BY145,BZ145,S146,S147,BI145,BL145,BN145,BO145,0,Strike1,AO145,CC145,0,BL145,IF(OptControl=4,0,1),0,1),0)</f>
        <v>0</v>
      </c>
      <c r="CE145" s="155">
        <f ca="1">IF(BD145,_xll.xCrudeAPO(BS145,BT145,BY145,BZ145,S146,S147,BI145,BL145,BN145,BO145,0,Strike1,AO145,CC145,0,BL145,IF(OptControl=4,0,1),1,1)+_xll.xCrudeAPO(BS145,BT145,BY145,BZ145,S146,S147,BI145,BL145,BN145,BO145,0,Strike1,AO145,CC145,0,BL145,IF(OptControl=4,0,1),1,2)+IF(OR(VolSkewFlag=2,ABS(BQ145)&lt;0.0001),0,IF(BQ145&gt;0,-1,1)*CF145*Strike1/BP145^2*BW145/10%),0)</f>
        <v>0</v>
      </c>
      <c r="CF145" s="155">
        <f ca="1">IF(BD145,(_xll.xCrudeAPO(BS145,BT145,BY145,BZ145,S146,S147,BI145,BL145,BN145,BO145,0,Strike1,AO145,CC145,0,BL145,IF(OptControl=4,0,1),3,1)+_xll.xCrudeAPO(BS145,BT145,BY145,BZ145,S146,S147,BI145,BL145,BN145,BO145,0,Strike1,AO145,CC145,0,BL145,IF(OptControl=4,0,1),3,2))/100,0)</f>
        <v>0</v>
      </c>
      <c r="CG145" s="155">
        <f ca="1">IF(BD145,_xll.xCrudeAPO(BS145,BT145,BY145,BZ145,S146,S147,BI145-DaysForThetaCalculation/365.25,BL145-DaysForThetaCalculation/365.25,BN145,BO145,0,Strike1,AO145,CC145,0,BL145,IF(OptControl=4,0,1),0,1)-_xll.xCrudeAPO(BS145,BT145,BY145,BZ145,S146,S147,BI145,BL145,BN145,BO145,0,Strike1,AO145,CC145,0,BL145,IF(OptControl=4,0,1),0,1),0)</f>
        <v>0</v>
      </c>
      <c r="CH145" s="303">
        <f ca="1">IF(BD145,_xll.xCrudeAPO(BS145,BT145,CA145,CB145,S146,S147,BI145,BL145,BN145,BO145,0,Strike2,AO145,CC145,0,BL145,IF(OptControl=3,1,0),0,1),0)</f>
        <v>0</v>
      </c>
      <c r="CI145" s="155">
        <f ca="1">IF(BD145,_xll.xCrudeAPO(BS145,BT145,CA145,CB145,S146,S147,BI145,BL145,BN145,BO145,0,Strike2,AO145,CC145,0,BL145,IF(OptControl=3,1,0),1,1)+_xll.xCrudeAPO(BS145,BT145,CA145,CB145,S146,S147,BI145,BL145,BN145,BO145,0,Strike2,AO145,CC145,0,BL145,IF(OptControl=3,1,0),1,2)+IF(OR(VolSkewFlag=2,ABS(BR145)&lt;0.0001),0,IF(BR145&gt;0,-1,1)*CJ145*Strike2/BP145^2*BX145/10%),0)</f>
        <v>0</v>
      </c>
      <c r="CJ145" s="155">
        <f ca="1">IF(BD145,(_xll.xCrudeAPO(BS145,BT145,CA145,CB145,S146,S147,BI145,BL145,BN145,BO145,0,Strike2,AO145,CC145,0,BL145,IF(OptControl=3,1,0),3,1)+_xll.xCrudeAPO(BS145,BT145,CA145,CB145,S146,S147,BI145,BL145,BN145,BO145,0,Strike2,AO145,CC145,0,BL145,IF(OptControl=3,1,0),3,2))/100,0)</f>
        <v>0</v>
      </c>
      <c r="CK145" s="156">
        <f ca="1">IF(BD145,_xll.xCrudeAPO(BS145,BT145,CA145,CB145,S146,S147,BI145-DaysForThetaCalculation/365.25,BL145-DaysForThetaCalculation/365.25,BN145,BO145,0,Strike2,AO145,CC145,0,BL145,IF(OptControl=3,1,0),0,1)-_xll.xCrudeAPO(BS145,BT145,CA145,CB145,S146,S147,BI145,BL145,BN145,BO145,0,Strike2,AO145,CC145,0,BL145,IF(OptControl=3,1,0),0,1),0)</f>
        <v>0</v>
      </c>
      <c r="CL145" s="51"/>
      <c r="CM145" s="779" t="str">
        <f t="shared" ca="1" si="323"/>
        <v/>
      </c>
      <c r="CN145" s="783" t="str">
        <f t="shared" ca="1" si="324"/>
        <v/>
      </c>
      <c r="CO145" s="780" t="str">
        <f t="shared" ca="1" si="325"/>
        <v/>
      </c>
      <c r="CP145" s="780" t="str">
        <f t="shared" ca="1" si="326"/>
        <v/>
      </c>
      <c r="CQ145" s="780" t="str">
        <f t="shared" ca="1" si="327"/>
        <v/>
      </c>
      <c r="CR145" s="780" t="str">
        <f t="shared" ca="1" si="328"/>
        <v/>
      </c>
      <c r="CS145" s="781" t="str">
        <f t="shared" ca="1" si="329"/>
        <v/>
      </c>
      <c r="CT145" s="782" t="str">
        <f t="shared" ca="1" si="330"/>
        <v/>
      </c>
      <c r="CU145" s="782" t="str">
        <f t="shared" ca="1" si="331"/>
        <v/>
      </c>
      <c r="CV145" s="155">
        <f ca="1">IF(BD145,_xll.EURO(CN145,Strike1,AO145,AO145,CT145,CM145,IF(OptControl=4,0,1),0),0)</f>
        <v>0</v>
      </c>
      <c r="CW145" s="155">
        <f ca="1">IF(BD145,_xll.EURO(CN145,Strike1,AO145,AO145,CT145,CM145,IF(OptControl=4,0,1),1)+IF(OR(VolSkewFlag=2,ABS(CO145)&lt;0.0001),0,IF(CO145&gt;0,-1,1)*CX145*100*Strike1/CN145^2*CQ145/10%),0)</f>
        <v>0</v>
      </c>
      <c r="CX145" s="155">
        <f ca="1">IF(BD145,_xll.EURO(CN145,Strike1,AO145,AO145,CT145,CM145,IF(OptControl=4,0,1),3)/100,0)</f>
        <v>0</v>
      </c>
      <c r="CY145" s="155">
        <f ca="1">IF(BD145,_xll.EURO(CN145,Strike1,AO145,AO145,CT145,CM145,IF(OptControl=4,0,1),0)-_xll.EURO(CN145,Strike1,AO145,AO145,CT145,CM145-1,IF(OptControl=4,0,1),0),0)</f>
        <v>0</v>
      </c>
      <c r="CZ145" s="155">
        <f ca="1">IF(BD145,_xll.EURO(CN145,Strike2,AO145,AO145,CU145,CM145,IF(OptControl=3,1,0),0),0)</f>
        <v>0</v>
      </c>
      <c r="DA145" s="155">
        <f ca="1">IF(BD145,_xll.EURO(CN145,Strike2,AO145,AO145,CU145,CM145,IF(OptControl=3,1,0),1)+IF(OR(VolSkewFlag=2,ABS(CP145)&lt;0.0001),0,IF(CP145&gt;0,-1,1)*DB145*100*Strike2/CN145^2*CR145/10%),0)</f>
        <v>0</v>
      </c>
      <c r="DB145" s="155">
        <f ca="1">IF(BD145,_xll.EURO(CN145,Strike2,AO145,AO145,CU145,CM145,IF(OptControl=3,1,0),3)/100,0)</f>
        <v>0</v>
      </c>
      <c r="DC145" s="156">
        <f ca="1">IF(BD145,_xll.EURO(CN145,Strike2,AO145,AO145,CU145,CM145,IF(OptControl=3,1,0),0)-_xll.EURO(CN145,Strike2,AO145,AO145,CU145,CM145-1,IF(OptControl=3,1,0),0),0)</f>
        <v>0</v>
      </c>
      <c r="DE145" s="651">
        <f t="shared" ca="1" si="332"/>
        <v>40725</v>
      </c>
      <c r="DF145" s="465">
        <v>1E-4</v>
      </c>
      <c r="DG145" s="649">
        <v>1E-4</v>
      </c>
      <c r="DH145" s="650">
        <f t="shared" ca="1" si="463"/>
        <v>40725</v>
      </c>
      <c r="DI145" s="465">
        <v>1E-4</v>
      </c>
      <c r="DJ145" s="649">
        <v>1E-4</v>
      </c>
      <c r="DK145" s="651">
        <f t="shared" ca="1" si="464"/>
        <v>40725</v>
      </c>
      <c r="DL145" s="652">
        <f t="shared" si="465"/>
        <v>5.0100000000000006E-2</v>
      </c>
      <c r="DM145" s="651">
        <f t="shared" ca="1" si="333"/>
        <v>40725</v>
      </c>
      <c r="DN145" s="563">
        <f t="shared" si="334"/>
        <v>-0.12990000000000002</v>
      </c>
      <c r="DO145" s="803">
        <v>-0.13</v>
      </c>
      <c r="DP145" s="650">
        <f t="shared" ca="1" si="466"/>
        <v>40725</v>
      </c>
      <c r="DQ145" s="653">
        <v>1E-4</v>
      </c>
      <c r="DR145" s="590">
        <v>1E-4</v>
      </c>
      <c r="DS145" s="650">
        <f t="shared" ca="1" si="467"/>
        <v>40725</v>
      </c>
      <c r="DT145" s="653">
        <v>1E-4</v>
      </c>
      <c r="DU145" s="590">
        <v>1E-4</v>
      </c>
      <c r="DV145" s="651">
        <f t="shared" ca="1" si="468"/>
        <v>40725</v>
      </c>
      <c r="DW145" s="590">
        <v>1E-4</v>
      </c>
      <c r="DX145" s="651">
        <f t="shared" ca="1" si="335"/>
        <v>40725</v>
      </c>
      <c r="DY145" s="590">
        <f t="shared" si="336"/>
        <v>1E-4</v>
      </c>
      <c r="DZ145" s="1"/>
      <c r="EA145" s="857"/>
      <c r="EB145" s="857"/>
      <c r="EC145" s="857"/>
      <c r="ED145" s="868" t="e">
        <f t="shared" ca="1" si="436"/>
        <v>#NAME?</v>
      </c>
      <c r="EE145" s="863" t="e">
        <f t="shared" ca="1" si="312"/>
        <v>#NAME?</v>
      </c>
      <c r="EF145" s="590" t="e">
        <f t="shared" ca="1" si="313"/>
        <v>#NAME?</v>
      </c>
      <c r="EG145" s="862" t="str">
        <f t="shared" ca="1" si="469"/>
        <v/>
      </c>
      <c r="EH145" s="114" t="str">
        <f t="shared" ca="1" si="315"/>
        <v/>
      </c>
      <c r="EI145" s="109" t="str">
        <f t="shared" ca="1" si="316"/>
        <v/>
      </c>
      <c r="EJ145" s="115">
        <f ca="1">IF(BD145,_xll.xASN(BP145,Strike1,AO145,EH145,0,BM145,0,BI145,BL145,IF(OptControl=4,0,1),0),0)</f>
        <v>0</v>
      </c>
      <c r="EK145" s="108">
        <f ca="1">IF(BD145,_xll.xASN(BP145,Strike2,AO145,EI145,0,BM145,0,BI145,BL145,IF(OptControl=3,1,0),0),0)</f>
        <v>0</v>
      </c>
      <c r="EP145" s="53"/>
      <c r="EQ145" s="1"/>
      <c r="ER145" s="103"/>
      <c r="ES145" s="103"/>
      <c r="ET145" s="1"/>
      <c r="EU145" s="667" t="s">
        <v>357</v>
      </c>
      <c r="EW145" s="445"/>
      <c r="EX145" s="36"/>
      <c r="EY145" s="104"/>
      <c r="EZ145" s="465"/>
      <c r="FA145" s="446"/>
      <c r="FB145" s="446"/>
      <c r="FC145" s="242"/>
      <c r="FD145" s="242"/>
      <c r="FE145" s="242"/>
      <c r="FF145" s="242"/>
      <c r="FG145" s="242"/>
      <c r="FH145" s="242"/>
      <c r="FI145" s="242"/>
      <c r="FJ145" s="242"/>
      <c r="FK145" s="242"/>
      <c r="FL145" s="242"/>
      <c r="FM145" s="242"/>
      <c r="FN145" s="657">
        <v>51</v>
      </c>
      <c r="FO145" s="450">
        <f t="shared" ca="1" si="477"/>
        <v>0.17332952982933536</v>
      </c>
      <c r="FP145" s="450">
        <f t="shared" ref="FP145:IA148" ca="1" si="487">IF($FN70&lt;FP$94,"",SQRT(FP70/FP$15))</f>
        <v>0.17335689960130682</v>
      </c>
      <c r="FQ145" s="450">
        <f t="shared" ca="1" si="487"/>
        <v>0.17322070363118131</v>
      </c>
      <c r="FR145" s="450">
        <f t="shared" ca="1" si="487"/>
        <v>0.17309611651536999</v>
      </c>
      <c r="FS145" s="450">
        <f t="shared" ca="1" si="487"/>
        <v>0.17298416191515878</v>
      </c>
      <c r="FT145" s="450">
        <f t="shared" ca="1" si="487"/>
        <v>0.17288598180364551</v>
      </c>
      <c r="FU145" s="450">
        <f t="shared" ca="1" si="487"/>
        <v>0.17280285017893887</v>
      </c>
      <c r="FV145" s="450">
        <f t="shared" ca="1" si="487"/>
        <v>0.17273618845700037</v>
      </c>
      <c r="FW145" s="450">
        <f t="shared" ca="1" si="487"/>
        <v>0.1726875827694373</v>
      </c>
      <c r="FX145" s="450">
        <f t="shared" ca="1" si="487"/>
        <v>0.17265880342609685</v>
      </c>
      <c r="FY145" s="450">
        <f t="shared" ca="1" si="487"/>
        <v>0.172651826843049</v>
      </c>
      <c r="FZ145" s="450">
        <f t="shared" ca="1" si="487"/>
        <v>0.17266886028476788</v>
      </c>
      <c r="GA145" s="450">
        <f t="shared" ca="1" si="487"/>
        <v>0.17271236982661237</v>
      </c>
      <c r="GB145" s="450">
        <f t="shared" ca="1" si="487"/>
        <v>0.17278511201204572</v>
      </c>
      <c r="GC145" s="450">
        <f t="shared" ca="1" si="487"/>
        <v>0.17289016976084462</v>
      </c>
      <c r="GD145" s="450">
        <f t="shared" ca="1" si="487"/>
        <v>0.17303099318290077</v>
      </c>
      <c r="GE145" s="450">
        <f t="shared" ca="1" si="487"/>
        <v>0.17321144607091549</v>
      </c>
      <c r="GF145" s="450">
        <f t="shared" ca="1" si="487"/>
        <v>0.1734358589891232</v>
      </c>
      <c r="GG145" s="450">
        <f t="shared" ca="1" si="487"/>
        <v>0.17370909005022084</v>
      </c>
      <c r="GH145" s="450">
        <f t="shared" ca="1" si="487"/>
        <v>0.17403659468657179</v>
      </c>
      <c r="GI145" s="450">
        <f t="shared" ca="1" si="487"/>
        <v>0.1744245059842689</v>
      </c>
      <c r="GJ145" s="450">
        <f t="shared" ca="1" si="487"/>
        <v>0.17487972747224473</v>
      </c>
      <c r="GK145" s="450">
        <f t="shared" ca="1" si="487"/>
        <v>0.17541004065932189</v>
      </c>
      <c r="GL145" s="450">
        <f t="shared" ca="1" si="487"/>
        <v>0.17602423011058338</v>
      </c>
      <c r="GM145" s="450">
        <f t="shared" ca="1" si="487"/>
        <v>0.17673222947751402</v>
      </c>
      <c r="GN145" s="450">
        <f t="shared" ca="1" si="487"/>
        <v>0.17754529267900648</v>
      </c>
      <c r="GO145" s="450">
        <f t="shared" ca="1" si="487"/>
        <v>0.17847619541840398</v>
      </c>
      <c r="GP145" s="450">
        <f t="shared" ca="1" si="487"/>
        <v>0.17953947347580965</v>
      </c>
      <c r="GQ145" s="450">
        <f t="shared" ca="1" si="487"/>
        <v>0.18075170581528152</v>
      </c>
      <c r="GR145" s="450">
        <f t="shared" ca="1" si="487"/>
        <v>0.18213185260067014</v>
      </c>
      <c r="GS145" s="450">
        <f t="shared" ca="1" si="487"/>
        <v>0.1837016608662484</v>
      </c>
      <c r="GT145" s="450">
        <f t="shared" ca="1" si="487"/>
        <v>0.18548615403479551</v>
      </c>
      <c r="GU145" s="450">
        <f t="shared" ca="1" si="487"/>
        <v>0.18751422598388318</v>
      </c>
      <c r="GV145" s="450">
        <f t="shared" ca="1" si="487"/>
        <v>0.18981936629890439</v>
      </c>
      <c r="GW145" s="450">
        <f t="shared" ca="1" si="487"/>
        <v>0.19244055122980727</v>
      </c>
      <c r="GX145" s="450">
        <f t="shared" ca="1" si="487"/>
        <v>0.19542334540293879</v>
      </c>
      <c r="GY145" s="450">
        <f t="shared" ca="1" si="487"/>
        <v>0.19882127354075779</v>
      </c>
      <c r="GZ145" s="450">
        <f t="shared" ca="1" si="487"/>
        <v>0.20269754075290622</v>
      </c>
      <c r="HA145" s="450">
        <f t="shared" ca="1" si="487"/>
        <v>0.20712720646169605</v>
      </c>
      <c r="HB145" s="450">
        <f t="shared" ca="1" si="487"/>
        <v>0.21219995374386169</v>
      </c>
      <c r="HC145" s="450">
        <f t="shared" ca="1" si="487"/>
        <v>0.21802364727550141</v>
      </c>
      <c r="HD145" s="450">
        <f t="shared" ca="1" si="487"/>
        <v>0.22472894582375044</v>
      </c>
      <c r="HE145" s="450">
        <f t="shared" ca="1" si="487"/>
        <v>0.2324753394110127</v>
      </c>
      <c r="HF145" s="450">
        <f t="shared" ca="1" si="487"/>
        <v>0.24145913232213917</v>
      </c>
      <c r="HG145" s="450">
        <f t="shared" ca="1" si="487"/>
        <v>0.2519241150333158</v>
      </c>
      <c r="HH145" s="450">
        <f t="shared" ca="1" si="487"/>
        <v>0.26417599881929466</v>
      </c>
      <c r="HI145" s="450">
        <f t="shared" ca="1" si="487"/>
        <v>0.27860218711606755</v>
      </c>
      <c r="HJ145" s="450">
        <f t="shared" ca="1" si="487"/>
        <v>0.29569922720511904</v>
      </c>
      <c r="HK145" s="450">
        <f t="shared" ca="1" si="487"/>
        <v>0.31611149033793301</v>
      </c>
      <c r="HL145" s="450">
        <f t="shared" ca="1" si="487"/>
        <v>0.34068655038309803</v>
      </c>
      <c r="HM145" s="450">
        <f t="shared" ca="1" si="487"/>
        <v>0.37055586197664336</v>
      </c>
      <c r="HN145" s="450" t="str">
        <f t="shared" si="487"/>
        <v/>
      </c>
      <c r="HO145" s="450" t="str">
        <f t="shared" si="487"/>
        <v/>
      </c>
      <c r="HP145" s="450" t="str">
        <f t="shared" si="487"/>
        <v/>
      </c>
      <c r="HQ145" s="450" t="str">
        <f t="shared" si="487"/>
        <v/>
      </c>
      <c r="HR145" s="450" t="str">
        <f t="shared" si="487"/>
        <v/>
      </c>
      <c r="HS145" s="450" t="str">
        <f t="shared" si="487"/>
        <v/>
      </c>
      <c r="HT145" s="450" t="str">
        <f t="shared" si="487"/>
        <v/>
      </c>
      <c r="HU145" s="450" t="str">
        <f t="shared" si="487"/>
        <v/>
      </c>
      <c r="HV145" s="450" t="str">
        <f t="shared" si="487"/>
        <v/>
      </c>
      <c r="HW145" s="450" t="str">
        <f t="shared" si="487"/>
        <v/>
      </c>
      <c r="HX145" s="450" t="str">
        <f t="shared" si="487"/>
        <v/>
      </c>
      <c r="HY145" s="450" t="str">
        <f t="shared" si="487"/>
        <v/>
      </c>
      <c r="HZ145" s="450" t="str">
        <f t="shared" si="487"/>
        <v/>
      </c>
      <c r="IA145" s="450" t="str">
        <f t="shared" si="487"/>
        <v/>
      </c>
      <c r="IB145" s="450" t="str">
        <f t="shared" si="486"/>
        <v/>
      </c>
      <c r="IC145" s="450" t="str">
        <f t="shared" si="486"/>
        <v/>
      </c>
      <c r="ID145" s="450" t="str">
        <f t="shared" si="486"/>
        <v/>
      </c>
      <c r="IE145" s="450" t="str">
        <f t="shared" si="486"/>
        <v/>
      </c>
      <c r="IF145" s="450" t="str">
        <f t="shared" si="486"/>
        <v/>
      </c>
      <c r="IG145" s="450" t="str">
        <f t="shared" si="486"/>
        <v/>
      </c>
      <c r="IH145" s="658" t="str">
        <f t="shared" si="486"/>
        <v/>
      </c>
      <c r="II145" s="242"/>
    </row>
    <row r="146" spans="8:243">
      <c r="H146" s="49" t="e">
        <f t="shared" ca="1" si="317"/>
        <v>#N/A</v>
      </c>
      <c r="I146" s="369">
        <f t="shared" si="318"/>
        <v>40848</v>
      </c>
      <c r="J146" s="367">
        <v>22.535</v>
      </c>
      <c r="K146" s="101" t="s">
        <v>267</v>
      </c>
      <c r="L146" s="382">
        <f t="shared" si="319"/>
        <v>22.53499999999995</v>
      </c>
      <c r="M146" s="163">
        <v>0.16110000000000002</v>
      </c>
      <c r="N146" s="372">
        <v>0</v>
      </c>
      <c r="O146" s="163">
        <f t="shared" si="272"/>
        <v>0.16110000000000002</v>
      </c>
      <c r="P146" s="367">
        <v>21.279445610317001</v>
      </c>
      <c r="Q146" s="101" t="s">
        <v>267</v>
      </c>
      <c r="R146" s="367">
        <f t="shared" ca="1" si="417"/>
        <v>21.279445610316955</v>
      </c>
      <c r="S146" s="814">
        <f t="shared" si="474"/>
        <v>0.35423538866365994</v>
      </c>
      <c r="T146" s="813">
        <f t="shared" si="418"/>
        <v>0.99999986603492919</v>
      </c>
      <c r="U146" s="532">
        <f t="shared" si="419"/>
        <v>0.99999999999999978</v>
      </c>
      <c r="V146" s="379">
        <v>0</v>
      </c>
      <c r="W146" s="424">
        <f t="shared" si="452"/>
        <v>22.569090909090811</v>
      </c>
      <c r="X146" s="405">
        <f t="shared" si="453"/>
        <v>22.569090909090857</v>
      </c>
      <c r="Y146" s="313">
        <f t="shared" si="454"/>
        <v>21.327490909090812</v>
      </c>
      <c r="Z146" s="313">
        <f t="shared" ca="1" si="455"/>
        <v>21.327490909090855</v>
      </c>
      <c r="AA146" s="419">
        <f t="shared" si="277"/>
        <v>1.2416</v>
      </c>
      <c r="AB146" s="423">
        <f t="shared" ca="1" si="278"/>
        <v>1.2416</v>
      </c>
      <c r="AC146" s="221">
        <v>40836</v>
      </c>
      <c r="AD146" s="221">
        <v>40832</v>
      </c>
      <c r="AE146" s="221">
        <v>40831</v>
      </c>
      <c r="AF146" s="221">
        <v>40827</v>
      </c>
      <c r="AG146" s="241" t="s">
        <v>497</v>
      </c>
      <c r="AH146" s="239" t="s">
        <v>497</v>
      </c>
      <c r="AI146" s="141">
        <v>22</v>
      </c>
      <c r="AJ146" s="41">
        <v>14</v>
      </c>
      <c r="AK146" s="41">
        <v>8</v>
      </c>
      <c r="AL146" s="285">
        <v>22</v>
      </c>
      <c r="AM146" s="41">
        <v>10</v>
      </c>
      <c r="AN146" s="142">
        <v>12</v>
      </c>
      <c r="AO146" s="364">
        <v>5.9589358904272902E-2</v>
      </c>
      <c r="AP146" s="145">
        <f t="shared" ca="1" si="320"/>
        <v>0.53532143924848008</v>
      </c>
      <c r="AQ146" s="364">
        <v>5.0691312528763806E-2</v>
      </c>
      <c r="AR146" s="145">
        <f t="shared" ca="1" si="420"/>
        <v>0.59062872963100566</v>
      </c>
      <c r="AS146" s="264">
        <f t="shared" si="456"/>
        <v>0.16041818181818182</v>
      </c>
      <c r="AT146" s="149">
        <f t="shared" si="321"/>
        <v>0.16110000000000002</v>
      </c>
      <c r="AU146" s="149">
        <f t="shared" si="280"/>
        <v>0.16032727272727276</v>
      </c>
      <c r="AV146" s="263">
        <f t="shared" ca="1" si="430"/>
        <v>0.15865032089035327</v>
      </c>
      <c r="AW146" s="150" t="str">
        <f t="shared" ca="1" si="457"/>
        <v/>
      </c>
      <c r="AX146" s="149">
        <f t="shared" ca="1" si="421"/>
        <v>1.0994071605914793E-2</v>
      </c>
      <c r="AY146" s="149">
        <f t="shared" ca="1" si="422"/>
        <v>4.3827582571929246E-3</v>
      </c>
      <c r="AZ146" s="149">
        <f t="shared" ca="1" si="423"/>
        <v>3.4709275840045638E-3</v>
      </c>
      <c r="BA146" s="149">
        <f t="shared" ca="1" si="424"/>
        <v>1.0000000000000506E-4</v>
      </c>
      <c r="BB146" s="149">
        <f t="shared" ca="1" si="425"/>
        <v>1.0000000000000506E-4</v>
      </c>
      <c r="BC146" s="149">
        <f t="shared" ca="1" si="426"/>
        <v>1.0000000000000506E-4</v>
      </c>
      <c r="BD146" s="143">
        <f t="shared" ca="1" si="458"/>
        <v>0</v>
      </c>
      <c r="BE146" s="144">
        <f t="shared" ca="1" si="459"/>
        <v>0</v>
      </c>
      <c r="BF146" s="40">
        <f t="shared" si="460"/>
        <v>2011</v>
      </c>
      <c r="BG146" s="139">
        <f t="shared" si="461"/>
        <v>11</v>
      </c>
      <c r="BH146" s="140">
        <f t="shared" ca="1" si="462"/>
        <v>3842</v>
      </c>
      <c r="BI146" s="304">
        <f t="shared" ca="1" si="440"/>
        <v>10.562628336755647</v>
      </c>
      <c r="BJ146" s="42">
        <f t="shared" ca="1" si="288"/>
        <v>10.613154128554539</v>
      </c>
      <c r="BK146" s="42">
        <f t="shared" ca="1" si="289"/>
        <v>10.615891979341672</v>
      </c>
      <c r="BL146" s="42">
        <f t="shared" ca="1" si="441"/>
        <v>10.642026009582478</v>
      </c>
      <c r="BM146" s="285">
        <f t="shared" si="442"/>
        <v>22</v>
      </c>
      <c r="BN146" s="41">
        <f t="shared" si="443"/>
        <v>14</v>
      </c>
      <c r="BO146" s="41">
        <f t="shared" si="444"/>
        <v>8</v>
      </c>
      <c r="BP146" s="297" t="str">
        <f t="shared" ca="1" si="293"/>
        <v/>
      </c>
      <c r="BQ146" s="297" t="str">
        <f t="shared" ca="1" si="294"/>
        <v/>
      </c>
      <c r="BR146" s="299" t="str">
        <f t="shared" ca="1" si="295"/>
        <v/>
      </c>
      <c r="BS146" s="153" t="str">
        <f t="shared" ca="1" si="296"/>
        <v/>
      </c>
      <c r="BT146" s="153" t="str">
        <f t="shared" ca="1" si="297"/>
        <v/>
      </c>
      <c r="BU146" s="300" t="str">
        <f t="shared" ca="1" si="298"/>
        <v/>
      </c>
      <c r="BV146" s="301" t="str">
        <f t="shared" ca="1" si="299"/>
        <v/>
      </c>
      <c r="BW146" s="300" t="str">
        <f t="shared" ca="1" si="300"/>
        <v/>
      </c>
      <c r="BX146" s="301" t="str">
        <f t="shared" ca="1" si="301"/>
        <v/>
      </c>
      <c r="BY146" s="146" t="str">
        <f t="shared" ca="1" si="302"/>
        <v/>
      </c>
      <c r="BZ146" s="146" t="str">
        <f t="shared" ca="1" si="303"/>
        <v/>
      </c>
      <c r="CA146" s="146" t="str">
        <f t="shared" ca="1" si="304"/>
        <v/>
      </c>
      <c r="CB146" s="146" t="str">
        <f t="shared" ca="1" si="305"/>
        <v/>
      </c>
      <c r="CC146" s="302">
        <v>1</v>
      </c>
      <c r="CD146" s="154">
        <f ca="1">IF(BD146,_xll.xCrudeAPO(BS146,BT146,BY146,BZ146,S147,S148,BI146,BL146,BN146,BO146,0,Strike1,AO146,CC146,0,BL146,IF(OptControl=4,0,1),0,1),0)</f>
        <v>0</v>
      </c>
      <c r="CE146" s="155">
        <f ca="1">IF(BD146,_xll.xCrudeAPO(BS146,BT146,BY146,BZ146,S147,S148,BI146,BL146,BN146,BO146,0,Strike1,AO146,CC146,0,BL146,IF(OptControl=4,0,1),1,1)+_xll.xCrudeAPO(BS146,BT146,BY146,BZ146,S147,S148,BI146,BL146,BN146,BO146,0,Strike1,AO146,CC146,0,BL146,IF(OptControl=4,0,1),1,2)+IF(OR(VolSkewFlag=2,ABS(BQ146)&lt;0.0001),0,IF(BQ146&gt;0,-1,1)*CF146*Strike1/BP146^2*BW146/10%),0)</f>
        <v>0</v>
      </c>
      <c r="CF146" s="155">
        <f ca="1">IF(BD146,(_xll.xCrudeAPO(BS146,BT146,BY146,BZ146,S147,S148,BI146,BL146,BN146,BO146,0,Strike1,AO146,CC146,0,BL146,IF(OptControl=4,0,1),3,1)+_xll.xCrudeAPO(BS146,BT146,BY146,BZ146,S147,S148,BI146,BL146,BN146,BO146,0,Strike1,AO146,CC146,0,BL146,IF(OptControl=4,0,1),3,2))/100,0)</f>
        <v>0</v>
      </c>
      <c r="CG146" s="155">
        <f ca="1">IF(BD146,_xll.xCrudeAPO(BS146,BT146,BY146,BZ146,S147,S148,BI146-DaysForThetaCalculation/365.25,BL146-DaysForThetaCalculation/365.25,BN146,BO146,0,Strike1,AO146,CC146,0,BL146,IF(OptControl=4,0,1),0,1)-_xll.xCrudeAPO(BS146,BT146,BY146,BZ146,S147,S148,BI146,BL146,BN146,BO146,0,Strike1,AO146,CC146,0,BL146,IF(OptControl=4,0,1),0,1),0)</f>
        <v>0</v>
      </c>
      <c r="CH146" s="303">
        <f ca="1">IF(BD146,_xll.xCrudeAPO(BS146,BT146,CA146,CB146,S147,S148,BI146,BL146,BN146,BO146,0,Strike2,AO146,CC146,0,BL146,IF(OptControl=3,1,0),0,1),0)</f>
        <v>0</v>
      </c>
      <c r="CI146" s="155">
        <f ca="1">IF(BD146,_xll.xCrudeAPO(BS146,BT146,CA146,CB146,S147,S148,BI146,BL146,BN146,BO146,0,Strike2,AO146,CC146,0,BL146,IF(OptControl=3,1,0),1,1)+_xll.xCrudeAPO(BS146,BT146,CA146,CB146,S147,S148,BI146,BL146,BN146,BO146,0,Strike2,AO146,CC146,0,BL146,IF(OptControl=3,1,0),1,2)+IF(OR(VolSkewFlag=2,ABS(BR146)&lt;0.0001),0,IF(BR146&gt;0,-1,1)*CJ146*Strike2/BP146^2*BX146/10%),0)</f>
        <v>0</v>
      </c>
      <c r="CJ146" s="155">
        <f ca="1">IF(BD146,(_xll.xCrudeAPO(BS146,BT146,CA146,CB146,S147,S148,BI146,BL146,BN146,BO146,0,Strike2,AO146,CC146,0,BL146,IF(OptControl=3,1,0),3,1)+_xll.xCrudeAPO(BS146,BT146,CA146,CB146,S147,S148,BI146,BL146,BN146,BO146,0,Strike2,AO146,CC146,0,BL146,IF(OptControl=3,1,0),3,2))/100,0)</f>
        <v>0</v>
      </c>
      <c r="CK146" s="156">
        <f ca="1">IF(BD146,_xll.xCrudeAPO(BS146,BT146,CA146,CB146,S147,S148,BI146-DaysForThetaCalculation/365.25,BL146-DaysForThetaCalculation/365.25,BN146,BO146,0,Strike2,AO146,CC146,0,BL146,IF(OptControl=3,1,0),0,1)-_xll.xCrudeAPO(BS146,BT146,CA146,CB146,S147,S148,BI146,BL146,BN146,BO146,0,Strike2,AO146,CC146,0,BL146,IF(OptControl=3,1,0),0,1),0)</f>
        <v>0</v>
      </c>
      <c r="CL146" s="51"/>
      <c r="CM146" s="779" t="str">
        <f t="shared" ca="1" si="323"/>
        <v/>
      </c>
      <c r="CN146" s="783" t="str">
        <f t="shared" ca="1" si="324"/>
        <v/>
      </c>
      <c r="CO146" s="780" t="str">
        <f t="shared" ca="1" si="325"/>
        <v/>
      </c>
      <c r="CP146" s="780" t="str">
        <f t="shared" ca="1" si="326"/>
        <v/>
      </c>
      <c r="CQ146" s="780" t="str">
        <f t="shared" ca="1" si="327"/>
        <v/>
      </c>
      <c r="CR146" s="780" t="str">
        <f t="shared" ca="1" si="328"/>
        <v/>
      </c>
      <c r="CS146" s="781" t="str">
        <f t="shared" ca="1" si="329"/>
        <v/>
      </c>
      <c r="CT146" s="782" t="str">
        <f t="shared" ca="1" si="330"/>
        <v/>
      </c>
      <c r="CU146" s="782" t="str">
        <f t="shared" ca="1" si="331"/>
        <v/>
      </c>
      <c r="CV146" s="155">
        <f ca="1">IF(BD146,_xll.EURO(CN146,Strike1,AO146,AO146,CT146,CM146,IF(OptControl=4,0,1),0),0)</f>
        <v>0</v>
      </c>
      <c r="CW146" s="155">
        <f ca="1">IF(BD146,_xll.EURO(CN146,Strike1,AO146,AO146,CT146,CM146,IF(OptControl=4,0,1),1)+IF(OR(VolSkewFlag=2,ABS(CO146)&lt;0.0001),0,IF(CO146&gt;0,-1,1)*CX146*100*Strike1/CN146^2*CQ146/10%),0)</f>
        <v>0</v>
      </c>
      <c r="CX146" s="155">
        <f ca="1">IF(BD146,_xll.EURO(CN146,Strike1,AO146,AO146,CT146,CM146,IF(OptControl=4,0,1),3)/100,0)</f>
        <v>0</v>
      </c>
      <c r="CY146" s="155">
        <f ca="1">IF(BD146,_xll.EURO(CN146,Strike1,AO146,AO146,CT146,CM146,IF(OptControl=4,0,1),0)-_xll.EURO(CN146,Strike1,AO146,AO146,CT146,CM146-1,IF(OptControl=4,0,1),0),0)</f>
        <v>0</v>
      </c>
      <c r="CZ146" s="155">
        <f ca="1">IF(BD146,_xll.EURO(CN146,Strike2,AO146,AO146,CU146,CM146,IF(OptControl=3,1,0),0),0)</f>
        <v>0</v>
      </c>
      <c r="DA146" s="155">
        <f ca="1">IF(BD146,_xll.EURO(CN146,Strike2,AO146,AO146,CU146,CM146,IF(OptControl=3,1,0),1)+IF(OR(VolSkewFlag=2,ABS(CP146)&lt;0.0001),0,IF(CP146&gt;0,-1,1)*DB146*100*Strike2/CN146^2*CR146/10%),0)</f>
        <v>0</v>
      </c>
      <c r="DB146" s="155">
        <f ca="1">IF(BD146,_xll.EURO(CN146,Strike2,AO146,AO146,CU146,CM146,IF(OptControl=3,1,0),3)/100,0)</f>
        <v>0</v>
      </c>
      <c r="DC146" s="156">
        <f ca="1">IF(BD146,_xll.EURO(CN146,Strike2,AO146,AO146,CU146,CM146,IF(OptControl=3,1,0),0)-_xll.EURO(CN146,Strike2,AO146,AO146,CU146,CM146-1,IF(OptControl=3,1,0),0),0)</f>
        <v>0</v>
      </c>
      <c r="DE146" s="651">
        <f t="shared" ca="1" si="332"/>
        <v>40756</v>
      </c>
      <c r="DF146" s="465">
        <v>1E-4</v>
      </c>
      <c r="DG146" s="649">
        <v>1E-4</v>
      </c>
      <c r="DH146" s="650">
        <f t="shared" ca="1" si="463"/>
        <v>40756</v>
      </c>
      <c r="DI146" s="465">
        <v>1E-4</v>
      </c>
      <c r="DJ146" s="649">
        <v>1E-4</v>
      </c>
      <c r="DK146" s="651">
        <f t="shared" ca="1" si="464"/>
        <v>40756</v>
      </c>
      <c r="DL146" s="652">
        <f t="shared" si="465"/>
        <v>5.0100000000000006E-2</v>
      </c>
      <c r="DM146" s="651">
        <f t="shared" ca="1" si="333"/>
        <v>40756</v>
      </c>
      <c r="DN146" s="563">
        <f t="shared" si="334"/>
        <v>-0.12990000000000002</v>
      </c>
      <c r="DO146" s="803">
        <v>-0.13</v>
      </c>
      <c r="DP146" s="650">
        <f t="shared" ca="1" si="466"/>
        <v>40756</v>
      </c>
      <c r="DQ146" s="653">
        <v>1E-4</v>
      </c>
      <c r="DR146" s="590">
        <v>1E-4</v>
      </c>
      <c r="DS146" s="650">
        <f t="shared" ca="1" si="467"/>
        <v>40756</v>
      </c>
      <c r="DT146" s="653">
        <v>1E-4</v>
      </c>
      <c r="DU146" s="590">
        <v>1E-4</v>
      </c>
      <c r="DV146" s="651">
        <f t="shared" ca="1" si="468"/>
        <v>40756</v>
      </c>
      <c r="DW146" s="590">
        <v>1E-4</v>
      </c>
      <c r="DX146" s="651">
        <f t="shared" ca="1" si="335"/>
        <v>40756</v>
      </c>
      <c r="DY146" s="590">
        <f t="shared" si="336"/>
        <v>1E-4</v>
      </c>
      <c r="DZ146" s="1"/>
      <c r="EA146" s="857"/>
      <c r="EB146" s="857"/>
      <c r="EC146" s="857"/>
      <c r="ED146" s="868" t="e">
        <f t="shared" ca="1" si="436"/>
        <v>#NAME?</v>
      </c>
      <c r="EE146" s="863" t="e">
        <f t="shared" ca="1" si="312"/>
        <v>#NAME?</v>
      </c>
      <c r="EF146" s="590" t="e">
        <f t="shared" ca="1" si="313"/>
        <v>#NAME?</v>
      </c>
      <c r="EG146" s="862" t="str">
        <f t="shared" ca="1" si="469"/>
        <v/>
      </c>
      <c r="EH146" s="114" t="str">
        <f t="shared" ca="1" si="315"/>
        <v/>
      </c>
      <c r="EI146" s="109" t="str">
        <f t="shared" ca="1" si="316"/>
        <v/>
      </c>
      <c r="EJ146" s="115">
        <f ca="1">IF(BD146,_xll.xASN(BP146,Strike1,AO146,EH146,0,BM146,0,BI146,BL146,IF(OptControl=4,0,1),0),0)</f>
        <v>0</v>
      </c>
      <c r="EK146" s="108">
        <f ca="1">IF(BD146,_xll.xASN(BP146,Strike2,AO146,EI146,0,BM146,0,BI146,BL146,IF(OptControl=3,1,0),0),0)</f>
        <v>0</v>
      </c>
      <c r="EP146" s="53"/>
      <c r="EQ146" s="1"/>
      <c r="ER146" s="103"/>
      <c r="ES146" s="103"/>
      <c r="ET146" s="1"/>
      <c r="EU146" s="667" t="s">
        <v>358</v>
      </c>
      <c r="EW146" s="445"/>
      <c r="EX146" s="36"/>
      <c r="EY146" s="104"/>
      <c r="EZ146" s="465"/>
      <c r="FA146" s="446"/>
      <c r="FB146" s="446"/>
      <c r="FC146" s="242"/>
      <c r="FD146" s="242"/>
      <c r="FE146" s="242"/>
      <c r="FF146" s="242"/>
      <c r="FG146" s="242"/>
      <c r="FH146" s="242"/>
      <c r="FI146" s="242"/>
      <c r="FJ146" s="242"/>
      <c r="FK146" s="242"/>
      <c r="FL146" s="242"/>
      <c r="FM146" s="242"/>
      <c r="FN146" s="657">
        <v>52</v>
      </c>
      <c r="FO146" s="450">
        <f t="shared" ca="1" si="477"/>
        <v>0.17325978359296787</v>
      </c>
      <c r="FP146" s="450">
        <f t="shared" ca="1" si="487"/>
        <v>0.17327938981259461</v>
      </c>
      <c r="FQ146" s="450">
        <f t="shared" ca="1" si="487"/>
        <v>0.17313464716592047</v>
      </c>
      <c r="FR146" s="450">
        <f t="shared" ca="1" si="487"/>
        <v>0.17300056435442285</v>
      </c>
      <c r="FS146" s="450">
        <f t="shared" ca="1" si="487"/>
        <v>0.17287805825931063</v>
      </c>
      <c r="FT146" s="450">
        <f t="shared" ca="1" si="487"/>
        <v>0.17276815174705312</v>
      </c>
      <c r="FU146" s="450">
        <f t="shared" ca="1" si="487"/>
        <v>0.1726719858887808</v>
      </c>
      <c r="FV146" s="450">
        <f t="shared" ca="1" si="487"/>
        <v>0.17259083366226605</v>
      </c>
      <c r="FW146" s="450">
        <f t="shared" ca="1" si="487"/>
        <v>0.17252611533225301</v>
      </c>
      <c r="FX146" s="450">
        <f t="shared" ca="1" si="487"/>
        <v>0.172479415734278</v>
      </c>
      <c r="FY146" s="450">
        <f t="shared" ca="1" si="487"/>
        <v>0.17245250372163723</v>
      </c>
      <c r="FZ146" s="450">
        <f t="shared" ca="1" si="487"/>
        <v>0.17244735407586606</v>
      </c>
      <c r="GA146" s="450">
        <f t="shared" ca="1" si="487"/>
        <v>0.17246617222927765</v>
      </c>
      <c r="GB146" s="450">
        <f t="shared" ca="1" si="487"/>
        <v>0.17251142220536406</v>
      </c>
      <c r="GC146" s="450">
        <f t="shared" ca="1" si="487"/>
        <v>0.17258585825114084</v>
      </c>
      <c r="GD146" s="450">
        <f t="shared" ca="1" si="487"/>
        <v>0.17269256071727368</v>
      </c>
      <c r="GE146" s="450">
        <f t="shared" ca="1" si="487"/>
        <v>0.17283497684010241</v>
      </c>
      <c r="GF146" s="450">
        <f t="shared" ca="1" si="487"/>
        <v>0.17301696719828058</v>
      </c>
      <c r="GG146" s="450">
        <f t="shared" ca="1" si="487"/>
        <v>0.17324285876048612</v>
      </c>
      <c r="GH146" s="450">
        <f t="shared" ca="1" si="487"/>
        <v>0.17351750561555768</v>
      </c>
      <c r="GI146" s="450">
        <f t="shared" ca="1" si="487"/>
        <v>0.17384635869014822</v>
      </c>
      <c r="GJ146" s="450">
        <f t="shared" ca="1" si="487"/>
        <v>0.17423554602130426</v>
      </c>
      <c r="GK146" s="450">
        <f t="shared" ca="1" si="487"/>
        <v>0.17469196547473501</v>
      </c>
      <c r="GL146" s="450">
        <f t="shared" ca="1" si="487"/>
        <v>0.17522339219994559</v>
      </c>
      <c r="GM146" s="450">
        <f t="shared" ca="1" si="487"/>
        <v>0.17583860361151235</v>
      </c>
      <c r="GN146" s="450">
        <f t="shared" ca="1" si="487"/>
        <v>0.17654752530838652</v>
      </c>
      <c r="GO146" s="450">
        <f t="shared" ca="1" si="487"/>
        <v>0.17736140212516038</v>
      </c>
      <c r="GP146" s="450">
        <f t="shared" ca="1" si="487"/>
        <v>0.17829299949657273</v>
      </c>
      <c r="GQ146" s="450">
        <f t="shared" ca="1" si="487"/>
        <v>0.17935684156963866</v>
      </c>
      <c r="GR146" s="450">
        <f t="shared" ca="1" si="487"/>
        <v>0.18056949409698334</v>
      </c>
      <c r="GS146" s="450">
        <f t="shared" ca="1" si="487"/>
        <v>0.1819499021975563</v>
      </c>
      <c r="GT146" s="450">
        <f t="shared" ca="1" si="487"/>
        <v>0.18351979572130933</v>
      </c>
      <c r="GU146" s="450">
        <f t="shared" ca="1" si="487"/>
        <v>0.18530417839836019</v>
      </c>
      <c r="GV146" s="450">
        <f t="shared" ca="1" si="487"/>
        <v>0.18733192145788735</v>
      </c>
      <c r="GW146" s="450">
        <f t="shared" ca="1" si="487"/>
        <v>0.18963648833536603</v>
      </c>
      <c r="GX146" s="450">
        <f t="shared" ca="1" si="487"/>
        <v>0.19225682495932078</v>
      </c>
      <c r="GY146" s="450">
        <f t="shared" ca="1" si="487"/>
        <v>0.19523846063538769</v>
      </c>
      <c r="GZ146" s="450">
        <f t="shared" ca="1" si="487"/>
        <v>0.19863487873629704</v>
      </c>
      <c r="HA146" s="450">
        <f t="shared" ca="1" si="487"/>
        <v>0.20250923570282359</v>
      </c>
      <c r="HB146" s="450">
        <f t="shared" ca="1" si="487"/>
        <v>0.20693653334072773</v>
      </c>
      <c r="HC146" s="450">
        <f t="shared" ca="1" si="487"/>
        <v>0.21200638609039549</v>
      </c>
      <c r="HD146" s="450">
        <f t="shared" ca="1" si="487"/>
        <v>0.21782657631308519</v>
      </c>
      <c r="HE146" s="450">
        <f t="shared" ca="1" si="487"/>
        <v>0.22452766334076779</v>
      </c>
      <c r="HF146" s="450">
        <f t="shared" ca="1" si="487"/>
        <v>0.23226901614231557</v>
      </c>
      <c r="HG146" s="450">
        <f t="shared" ca="1" si="487"/>
        <v>0.2412467903925859</v>
      </c>
      <c r="HH146" s="450">
        <f t="shared" ca="1" si="487"/>
        <v>0.25170459247687416</v>
      </c>
      <c r="HI146" s="450">
        <f t="shared" ca="1" si="487"/>
        <v>0.2639479033994207</v>
      </c>
      <c r="HJ146" s="450">
        <f t="shared" ca="1" si="487"/>
        <v>0.27836383552013028</v>
      </c>
      <c r="HK146" s="450">
        <f t="shared" ca="1" si="487"/>
        <v>0.29544856397236058</v>
      </c>
      <c r="HL146" s="450">
        <f t="shared" ca="1" si="487"/>
        <v>0.31584597829162381</v>
      </c>
      <c r="HM146" s="450">
        <f t="shared" ca="1" si="487"/>
        <v>0.34040302035433145</v>
      </c>
      <c r="HN146" s="450">
        <f t="shared" ca="1" si="487"/>
        <v>0.37025030335687692</v>
      </c>
      <c r="HO146" s="450" t="str">
        <f t="shared" si="487"/>
        <v/>
      </c>
      <c r="HP146" s="450" t="str">
        <f t="shared" si="487"/>
        <v/>
      </c>
      <c r="HQ146" s="450" t="str">
        <f t="shared" si="487"/>
        <v/>
      </c>
      <c r="HR146" s="450" t="str">
        <f t="shared" si="487"/>
        <v/>
      </c>
      <c r="HS146" s="450" t="str">
        <f t="shared" si="487"/>
        <v/>
      </c>
      <c r="HT146" s="450" t="str">
        <f t="shared" si="487"/>
        <v/>
      </c>
      <c r="HU146" s="450" t="str">
        <f t="shared" si="487"/>
        <v/>
      </c>
      <c r="HV146" s="450" t="str">
        <f t="shared" si="487"/>
        <v/>
      </c>
      <c r="HW146" s="450" t="str">
        <f t="shared" si="487"/>
        <v/>
      </c>
      <c r="HX146" s="450" t="str">
        <f t="shared" si="487"/>
        <v/>
      </c>
      <c r="HY146" s="450" t="str">
        <f t="shared" si="487"/>
        <v/>
      </c>
      <c r="HZ146" s="450" t="str">
        <f t="shared" si="487"/>
        <v/>
      </c>
      <c r="IA146" s="450" t="str">
        <f t="shared" si="487"/>
        <v/>
      </c>
      <c r="IB146" s="450" t="str">
        <f t="shared" si="486"/>
        <v/>
      </c>
      <c r="IC146" s="450" t="str">
        <f t="shared" si="486"/>
        <v/>
      </c>
      <c r="ID146" s="450" t="str">
        <f t="shared" si="486"/>
        <v/>
      </c>
      <c r="IE146" s="450" t="str">
        <f t="shared" si="486"/>
        <v/>
      </c>
      <c r="IF146" s="450" t="str">
        <f t="shared" si="486"/>
        <v/>
      </c>
      <c r="IG146" s="450" t="str">
        <f t="shared" si="486"/>
        <v/>
      </c>
      <c r="IH146" s="658" t="str">
        <f t="shared" si="486"/>
        <v/>
      </c>
      <c r="II146" s="242"/>
    </row>
    <row r="147" spans="8:243">
      <c r="H147" s="49" t="e">
        <f t="shared" ca="1" si="317"/>
        <v>#N/A</v>
      </c>
      <c r="I147" s="369">
        <f t="shared" si="318"/>
        <v>40878</v>
      </c>
      <c r="J147" s="367">
        <v>22.559999999999899</v>
      </c>
      <c r="K147" s="101" t="s">
        <v>267</v>
      </c>
      <c r="L147" s="382">
        <f t="shared" si="319"/>
        <v>22.559999999999949</v>
      </c>
      <c r="M147" s="163">
        <v>0.16060000000000002</v>
      </c>
      <c r="N147" s="372">
        <v>0</v>
      </c>
      <c r="O147" s="163">
        <f t="shared" ref="O147:O195" si="488">M147+N147</f>
        <v>0.16060000000000002</v>
      </c>
      <c r="P147" s="367">
        <v>21.3219948997118</v>
      </c>
      <c r="Q147" s="101" t="s">
        <v>267</v>
      </c>
      <c r="R147" s="367">
        <f t="shared" ca="1" si="417"/>
        <v>21.321994899711758</v>
      </c>
      <c r="S147" s="814">
        <f t="shared" si="474"/>
        <v>0.35409303477702336</v>
      </c>
      <c r="T147" s="813">
        <f t="shared" si="418"/>
        <v>0.99999987943143709</v>
      </c>
      <c r="U147" s="532">
        <f t="shared" si="419"/>
        <v>0.99999999999999978</v>
      </c>
      <c r="V147" s="379">
        <v>0</v>
      </c>
      <c r="W147" s="424">
        <f t="shared" ref="W147:W178" si="489">(J148*AJ147+J149*AK147)/AI147</f>
        <v>22.594090909090809</v>
      </c>
      <c r="X147" s="405">
        <f t="shared" ref="X147:X178" si="490">(L148*AJ147+L149*AK147)/AI147</f>
        <v>22.594090909090855</v>
      </c>
      <c r="Y147" s="313">
        <f t="shared" ref="Y147:Y178" si="491">IF(Q149="extra",W147-AA147,(P148*AM147+P149*AN147)/AL147)</f>
        <v>21.352490909090811</v>
      </c>
      <c r="Z147" s="313">
        <f t="shared" ref="Z147:Z178" ca="1" si="492">IF(Q149="extra",X147-AB147,(R148*AM147+R149*AN147)/AL147)</f>
        <v>21.352490909090854</v>
      </c>
      <c r="AA147" s="419">
        <f t="shared" ref="AA147:AA210" si="493">IF(Q149="extra",INDEX(BrentSeasonalityTable,INT((BG147-1)/3)+1)*VLOOKUP(MAX(BF147,$AB$4),PriceSpreadTable,3),W147-Y147)</f>
        <v>1.2416</v>
      </c>
      <c r="AB147" s="423">
        <f t="shared" ref="AB147:AB210" ca="1" si="494">IF(Q149="extra",INDEX(BrentSeasonalityTable,INT((BG147-1)/3)+1)*VLOOKUP(MAX(BF147,$AB$4),PriceSpreadTable,3),X147-Z147)</f>
        <v>1.2416</v>
      </c>
      <c r="AC147" s="221">
        <v>40867</v>
      </c>
      <c r="AD147" s="221">
        <v>40863</v>
      </c>
      <c r="AE147" s="221">
        <v>40862</v>
      </c>
      <c r="AF147" s="221">
        <v>40858</v>
      </c>
      <c r="AG147" s="241" t="s">
        <v>497</v>
      </c>
      <c r="AH147" s="239" t="s">
        <v>497</v>
      </c>
      <c r="AI147" s="141">
        <v>22</v>
      </c>
      <c r="AJ147" s="41">
        <v>14</v>
      </c>
      <c r="AK147" s="41">
        <v>8</v>
      </c>
      <c r="AL147" s="285">
        <v>22</v>
      </c>
      <c r="AM147" s="41">
        <v>10</v>
      </c>
      <c r="AN147" s="142">
        <v>12</v>
      </c>
      <c r="AO147" s="364">
        <v>5.9633219420940797E-2</v>
      </c>
      <c r="AP147" s="145">
        <f t="shared" ca="1" si="320"/>
        <v>0.53241690988068413</v>
      </c>
      <c r="AQ147" s="364">
        <v>5.07948866727728E-2</v>
      </c>
      <c r="AR147" s="145">
        <f t="shared" ca="1" si="420"/>
        <v>0.5874950353360624</v>
      </c>
      <c r="AS147" s="264">
        <f t="shared" ref="AS147:AS178" si="495">(O148*AJ147+O149*AK147)/AI147</f>
        <v>0.15991818181818185</v>
      </c>
      <c r="AT147" s="149">
        <f t="shared" si="321"/>
        <v>0.16060000000000002</v>
      </c>
      <c r="AU147" s="149">
        <f t="shared" ref="AU147:AU210" si="496">(AT148*AM147+AT149*AN147)/AL147</f>
        <v>0.15982727272727273</v>
      </c>
      <c r="AV147" s="263">
        <f t="shared" ca="1" si="430"/>
        <v>0.15807846357629146</v>
      </c>
      <c r="AW147" s="150" t="str">
        <f t="shared" ref="AW147:AW178" ca="1" si="497">IF($I147-DateToday+15&gt;=$T$8,"",IF($I147-DateToday+15&lt;$T$5,1,MATCH($I147-DateToday+15,$T$5:$T$8)))</f>
        <v/>
      </c>
      <c r="AX147" s="149">
        <f t="shared" ca="1" si="421"/>
        <v>1.0839624538215178E-2</v>
      </c>
      <c r="AY147" s="149">
        <f t="shared" ca="1" si="422"/>
        <v>4.3073490949997644E-3</v>
      </c>
      <c r="AZ147" s="149">
        <f t="shared" ca="1" si="423"/>
        <v>3.4295613825440566E-3</v>
      </c>
      <c r="BA147" s="149">
        <f t="shared" ca="1" si="424"/>
        <v>1.0000000000000513E-4</v>
      </c>
      <c r="BB147" s="149">
        <f t="shared" ca="1" si="425"/>
        <v>1.0000000000000513E-4</v>
      </c>
      <c r="BC147" s="149">
        <f t="shared" ca="1" si="426"/>
        <v>1.0000000000000513E-4</v>
      </c>
      <c r="BD147" s="143">
        <f t="shared" ref="BD147:BD178" ca="1" si="498">IF(OR(DateStart&gt;=I148,DateEnd&lt;I147),0,IF(VolumeOverrideFlag,V147,Volume))</f>
        <v>0</v>
      </c>
      <c r="BE147" s="144">
        <f t="shared" ref="BE147:BE178" ca="1" si="499">IF(OR(DateStart2&gt;=I148,DateEnd2&lt;I147),0,IF(VolumeOverrideFlag,V147,VolumeSwaption))</f>
        <v>0</v>
      </c>
      <c r="BF147" s="40">
        <f t="shared" ref="BF147:BF178" si="500">YEAR(I147)</f>
        <v>2011</v>
      </c>
      <c r="BG147" s="139">
        <f t="shared" ref="BG147:BG178" si="501">MONTH(I147)</f>
        <v>12</v>
      </c>
      <c r="BH147" s="140">
        <f t="shared" ref="BH147:BH178" ca="1" si="502">AD147-DateToday+1</f>
        <v>3873</v>
      </c>
      <c r="BI147" s="304">
        <f t="shared" ca="1" si="440"/>
        <v>10.64476386036961</v>
      </c>
      <c r="BJ147" s="42">
        <f t="shared" ref="BJ147:BJ210" ca="1" si="503">BI147+(BL147-BI147)*CHOOSE(Underlying,AJ147/AI147,AM147/AL147)</f>
        <v>10.697031920851224</v>
      </c>
      <c r="BK147" s="42">
        <f t="shared" ref="BK147:BK210" ca="1" si="504">BJ147+1/365.25</f>
        <v>10.699769771638357</v>
      </c>
      <c r="BL147" s="42">
        <f t="shared" ca="1" si="441"/>
        <v>10.726899383983573</v>
      </c>
      <c r="BM147" s="285">
        <f t="shared" si="442"/>
        <v>22</v>
      </c>
      <c r="BN147" s="41">
        <f t="shared" si="443"/>
        <v>14</v>
      </c>
      <c r="BO147" s="41">
        <f t="shared" si="444"/>
        <v>8</v>
      </c>
      <c r="BP147" s="297" t="str">
        <f t="shared" ref="BP147:BP210" ca="1" si="505">IF(BD147,IF(Underlying=1,X147,Z147)+UnderlyingPriceAsian-SwapPriceCurve,"")</f>
        <v/>
      </c>
      <c r="BQ147" s="297" t="str">
        <f t="shared" ref="BQ147:BQ210" ca="1" si="506">IF(BD147,Strike1/BP147-1,"")</f>
        <v/>
      </c>
      <c r="BR147" s="299" t="str">
        <f t="shared" ref="BR147:BR210" ca="1" si="507">IF(BD147,Strike2/BP147-1,"")</f>
        <v/>
      </c>
      <c r="BS147" s="153" t="str">
        <f t="shared" ref="BS147:BS210" ca="1" si="508">IF(BD147,IF(Underlying=1,L148,R148)+UnderlyingPriceAsian-SwapPriceCurve,"")</f>
        <v/>
      </c>
      <c r="BT147" s="153" t="str">
        <f t="shared" ref="BT147:BT210" ca="1" si="509">IF(BD147,IF(Underlying=1,L149,R149)+UnderlyingPriceAsian-SwapPriceCurve,"")</f>
        <v/>
      </c>
      <c r="BU147" s="300" t="str">
        <f t="shared" ref="BU147:BU210" ca="1" si="510">IF(BD147,IF(Underlying=1,O148,AT148),"")</f>
        <v/>
      </c>
      <c r="BV147" s="301" t="str">
        <f t="shared" ref="BV147:BV210" ca="1" si="511">IF(BD147,IF(Underlying=1,O149,AT149),"")</f>
        <v/>
      </c>
      <c r="BW147" s="300" t="str">
        <f t="shared" ref="BW147:BW210" ca="1" si="512">IF(BD147,IF(BQ147&gt;0,IF(BQ147&gt;0.2,BC147-BB147,IF(BQ147&gt;0.1,BB147-BA147,BA147)),IF(BQ147&lt;-0.2,AX147-AY147,IF(BQ147&lt;-0.1,AY147-AZ147,AZ147))),"")</f>
        <v/>
      </c>
      <c r="BX147" s="301" t="str">
        <f t="shared" ref="BX147:BX210" ca="1" si="513">IF(BD147,IF(BR147&gt;0,IF(BR147&gt;0.2,BC147-BB147,IF(BR147&gt;0.1,BB147-BA147,BA147)),IF(BR147&lt;-0.2,AX147-AY147,IF(BR147&lt;-0.1,AY147-AZ147,AZ147))),"")</f>
        <v/>
      </c>
      <c r="BY147" s="146" t="str">
        <f t="shared" ref="BY147:BY210" ca="1" si="514">IF($BD147,$BU147+IF(VolSkewFlag=1,IF(BQ147&gt;0,$BA147*MIN(BQ147/10%,1)+($BB147-$BA147)*MAX(0,MIN(BQ147/10%-1,1))+($BC147-$BB147)*MAX(0,BQ147/10%-2),$AZ147*MIN(-BQ147/10%,1)+($AY147-$AZ147)*MAX(0,MIN(-BQ147/10%-1,1))+($AX147-$AY147)*MAX(0,-BQ147/10%-2)),0),"")</f>
        <v/>
      </c>
      <c r="BZ147" s="146" t="str">
        <f t="shared" ref="BZ147:BZ210" ca="1" si="515">IF($BD147,$BV147+IF(VolSkewFlag=1,IF(BQ147&gt;0,$BA147*MIN(BQ147/10%,1)+($BB147-$BA147)*MAX(0,MIN(BQ147/10%-1,1))+($BC147-$BB147)*MAX(0,BQ147/10%-2),$AZ147*MIN(-BQ147/10%,1)+($AY147-$AZ147)*MAX(0,MIN(-BQ147/10%-1,1))+($AX147-$AY147)*MAX(0,-BQ147/10%-2)),0),"")</f>
        <v/>
      </c>
      <c r="CA147" s="146" t="str">
        <f t="shared" ref="CA147:CA210" ca="1" si="516">IF($BD147,$BU147+IF(VolSkewFlag=1,IF(BR147&gt;0,$BA147*MIN(BR147/10%,1)+($BB147-$BA147)*MAX(0,MIN(BR147/10%-1,1))+($BC147-$BB147)*MAX(0,BR147/10%-2),$AZ147*MIN(-BR147/10%,1)+($AY147-$AZ147)*MAX(0,MIN(-BR147/10%-1,1))+($AX147-$AY147)*MAX(0,-BR147/10%-2)),0),"")</f>
        <v/>
      </c>
      <c r="CB147" s="146" t="str">
        <f t="shared" ref="CB147:CB210" ca="1" si="517">IF($BD147,$BV147+IF(VolSkewFlag=1,IF(BR147&gt;0,$BA147*MIN(BR147/10%,1)+($BB147-$BA147)*MAX(0,MIN(BR147/10%-1,1))+($BC147-$BB147)*MAX(0,BR147/10%-2),$AZ147*MIN(-BR147/10%,1)+($AY147-$AZ147)*MAX(0,MIN(-BR147/10%-1,1))+($AX147-$AY147)*MAX(0,-BR147/10%-2)),0),"")</f>
        <v/>
      </c>
      <c r="CC147" s="302">
        <v>1</v>
      </c>
      <c r="CD147" s="154">
        <f ca="1">IF(BD147,_xll.xCrudeAPO(BS147,BT147,BY147,BZ147,S148,S149,BI147,BL147,BN147,BO147,0,Strike1,AO147,CC147,0,BL147,IF(OptControl=4,0,1),0,1),0)</f>
        <v>0</v>
      </c>
      <c r="CE147" s="155">
        <f ca="1">IF(BD147,_xll.xCrudeAPO(BS147,BT147,BY147,BZ147,S148,S149,BI147,BL147,BN147,BO147,0,Strike1,AO147,CC147,0,BL147,IF(OptControl=4,0,1),1,1)+_xll.xCrudeAPO(BS147,BT147,BY147,BZ147,S148,S149,BI147,BL147,BN147,BO147,0,Strike1,AO147,CC147,0,BL147,IF(OptControl=4,0,1),1,2)+IF(OR(VolSkewFlag=2,ABS(BQ147)&lt;0.0001),0,IF(BQ147&gt;0,-1,1)*CF147*Strike1/BP147^2*BW147/10%),0)</f>
        <v>0</v>
      </c>
      <c r="CF147" s="155">
        <f ca="1">IF(BD147,(_xll.xCrudeAPO(BS147,BT147,BY147,BZ147,S148,S149,BI147,BL147,BN147,BO147,0,Strike1,AO147,CC147,0,BL147,IF(OptControl=4,0,1),3,1)+_xll.xCrudeAPO(BS147,BT147,BY147,BZ147,S148,S149,BI147,BL147,BN147,BO147,0,Strike1,AO147,CC147,0,BL147,IF(OptControl=4,0,1),3,2))/100,0)</f>
        <v>0</v>
      </c>
      <c r="CG147" s="155">
        <f ca="1">IF(BD147,_xll.xCrudeAPO(BS147,BT147,BY147,BZ147,S148,S149,BI147-DaysForThetaCalculation/365.25,BL147-DaysForThetaCalculation/365.25,BN147,BO147,0,Strike1,AO147,CC147,0,BL147,IF(OptControl=4,0,1),0,1)-_xll.xCrudeAPO(BS147,BT147,BY147,BZ147,S148,S149,BI147,BL147,BN147,BO147,0,Strike1,AO147,CC147,0,BL147,IF(OptControl=4,0,1),0,1),0)</f>
        <v>0</v>
      </c>
      <c r="CH147" s="303">
        <f ca="1">IF(BD147,_xll.xCrudeAPO(BS147,BT147,CA147,CB147,S148,S149,BI147,BL147,BN147,BO147,0,Strike2,AO147,CC147,0,BL147,IF(OptControl=3,1,0),0,1),0)</f>
        <v>0</v>
      </c>
      <c r="CI147" s="155">
        <f ca="1">IF(BD147,_xll.xCrudeAPO(BS147,BT147,CA147,CB147,S148,S149,BI147,BL147,BN147,BO147,0,Strike2,AO147,CC147,0,BL147,IF(OptControl=3,1,0),1,1)+_xll.xCrudeAPO(BS147,BT147,CA147,CB147,S148,S149,BI147,BL147,BN147,BO147,0,Strike2,AO147,CC147,0,BL147,IF(OptControl=3,1,0),1,2)+IF(OR(VolSkewFlag=2,ABS(BR147)&lt;0.0001),0,IF(BR147&gt;0,-1,1)*CJ147*Strike2/BP147^2*BX147/10%),0)</f>
        <v>0</v>
      </c>
      <c r="CJ147" s="155">
        <f ca="1">IF(BD147,(_xll.xCrudeAPO(BS147,BT147,CA147,CB147,S148,S149,BI147,BL147,BN147,BO147,0,Strike2,AO147,CC147,0,BL147,IF(OptControl=3,1,0),3,1)+_xll.xCrudeAPO(BS147,BT147,CA147,CB147,S148,S149,BI147,BL147,BN147,BO147,0,Strike2,AO147,CC147,0,BL147,IF(OptControl=3,1,0),3,2))/100,0)</f>
        <v>0</v>
      </c>
      <c r="CK147" s="156">
        <f ca="1">IF(BD147,_xll.xCrudeAPO(BS147,BT147,CA147,CB147,S148,S149,BI147-DaysForThetaCalculation/365.25,BL147-DaysForThetaCalculation/365.25,BN147,BO147,0,Strike2,AO147,CC147,0,BL147,IF(OptControl=3,1,0),0,1)-_xll.xCrudeAPO(BS147,BT147,CA147,CB147,S148,S149,BI147,BL147,BN147,BO147,0,Strike2,AO147,CC147,0,BL147,IF(OptControl=3,1,0),0,1),0)</f>
        <v>0</v>
      </c>
      <c r="CL147" s="51"/>
      <c r="CM147" s="779" t="str">
        <f t="shared" ca="1" si="323"/>
        <v/>
      </c>
      <c r="CN147" s="783" t="str">
        <f t="shared" ca="1" si="324"/>
        <v/>
      </c>
      <c r="CO147" s="780" t="str">
        <f t="shared" ca="1" si="325"/>
        <v/>
      </c>
      <c r="CP147" s="780" t="str">
        <f t="shared" ca="1" si="326"/>
        <v/>
      </c>
      <c r="CQ147" s="780" t="str">
        <f t="shared" ca="1" si="327"/>
        <v/>
      </c>
      <c r="CR147" s="780" t="str">
        <f t="shared" ca="1" si="328"/>
        <v/>
      </c>
      <c r="CS147" s="781" t="str">
        <f t="shared" ca="1" si="329"/>
        <v/>
      </c>
      <c r="CT147" s="782" t="str">
        <f t="shared" ca="1" si="330"/>
        <v/>
      </c>
      <c r="CU147" s="782" t="str">
        <f t="shared" ca="1" si="331"/>
        <v/>
      </c>
      <c r="CV147" s="155">
        <f ca="1">IF(BD147,_xll.EURO(CN147,Strike1,AO147,AO147,CT147,CM147,IF(OptControl=4,0,1),0),0)</f>
        <v>0</v>
      </c>
      <c r="CW147" s="155">
        <f ca="1">IF(BD147,_xll.EURO(CN147,Strike1,AO147,AO147,CT147,CM147,IF(OptControl=4,0,1),1)+IF(OR(VolSkewFlag=2,ABS(CO147)&lt;0.0001),0,IF(CO147&gt;0,-1,1)*CX147*100*Strike1/CN147^2*CQ147/10%),0)</f>
        <v>0</v>
      </c>
      <c r="CX147" s="155">
        <f ca="1">IF(BD147,_xll.EURO(CN147,Strike1,AO147,AO147,CT147,CM147,IF(OptControl=4,0,1),3)/100,0)</f>
        <v>0</v>
      </c>
      <c r="CY147" s="155">
        <f ca="1">IF(BD147,_xll.EURO(CN147,Strike1,AO147,AO147,CT147,CM147,IF(OptControl=4,0,1),0)-_xll.EURO(CN147,Strike1,AO147,AO147,CT147,CM147-1,IF(OptControl=4,0,1),0),0)</f>
        <v>0</v>
      </c>
      <c r="CZ147" s="155">
        <f ca="1">IF(BD147,_xll.EURO(CN147,Strike2,AO147,AO147,CU147,CM147,IF(OptControl=3,1,0),0),0)</f>
        <v>0</v>
      </c>
      <c r="DA147" s="155">
        <f ca="1">IF(BD147,_xll.EURO(CN147,Strike2,AO147,AO147,CU147,CM147,IF(OptControl=3,1,0),1)+IF(OR(VolSkewFlag=2,ABS(CP147)&lt;0.0001),0,IF(CP147&gt;0,-1,1)*DB147*100*Strike2/CN147^2*CR147/10%),0)</f>
        <v>0</v>
      </c>
      <c r="DB147" s="155">
        <f ca="1">IF(BD147,_xll.EURO(CN147,Strike2,AO147,AO147,CU147,CM147,IF(OptControl=3,1,0),3)/100,0)</f>
        <v>0</v>
      </c>
      <c r="DC147" s="156">
        <f ca="1">IF(BD147,_xll.EURO(CN147,Strike2,AO147,AO147,CU147,CM147,IF(OptControl=3,1,0),0)-_xll.EURO(CN147,Strike2,AO147,AO147,CU147,CM147-1,IF(OptControl=3,1,0),0),0)</f>
        <v>0</v>
      </c>
      <c r="DE147" s="651">
        <f t="shared" ca="1" si="332"/>
        <v>40787</v>
      </c>
      <c r="DF147" s="465">
        <v>1E-4</v>
      </c>
      <c r="DG147" s="649">
        <v>1E-4</v>
      </c>
      <c r="DH147" s="650">
        <f t="shared" ref="DH147:DH178" ca="1" si="518">DE147</f>
        <v>40787</v>
      </c>
      <c r="DI147" s="465">
        <v>1E-4</v>
      </c>
      <c r="DJ147" s="649">
        <v>1E-4</v>
      </c>
      <c r="DK147" s="651">
        <f t="shared" ref="DK147:DK178" ca="1" si="519">DE147</f>
        <v>40787</v>
      </c>
      <c r="DL147" s="652">
        <f t="shared" ref="DL147:DL178" si="520">DI147+BrentPhyBrentSpread</f>
        <v>5.0100000000000006E-2</v>
      </c>
      <c r="DM147" s="651">
        <f t="shared" ca="1" si="333"/>
        <v>40787</v>
      </c>
      <c r="DN147" s="563">
        <f t="shared" si="334"/>
        <v>-0.12990000000000002</v>
      </c>
      <c r="DO147" s="803">
        <v>-0.13</v>
      </c>
      <c r="DP147" s="650">
        <f t="shared" ref="DP147:DP178" ca="1" si="521">DE147</f>
        <v>40787</v>
      </c>
      <c r="DQ147" s="653">
        <v>1E-4</v>
      </c>
      <c r="DR147" s="590">
        <v>1E-4</v>
      </c>
      <c r="DS147" s="650">
        <f t="shared" ref="DS147:DS178" ca="1" si="522">DE147</f>
        <v>40787</v>
      </c>
      <c r="DT147" s="653">
        <v>1E-4</v>
      </c>
      <c r="DU147" s="590">
        <v>1E-4</v>
      </c>
      <c r="DV147" s="651">
        <f t="shared" ref="DV147:DV178" ca="1" si="523">DE147</f>
        <v>40787</v>
      </c>
      <c r="DW147" s="590">
        <v>1E-4</v>
      </c>
      <c r="DX147" s="651">
        <f t="shared" ca="1" si="335"/>
        <v>40787</v>
      </c>
      <c r="DY147" s="590">
        <f t="shared" si="336"/>
        <v>1E-4</v>
      </c>
      <c r="DZ147" s="1"/>
      <c r="EA147" s="857"/>
      <c r="EB147" s="857"/>
      <c r="EC147" s="857"/>
      <c r="ED147" s="868" t="e">
        <f t="shared" ca="1" si="436"/>
        <v>#NAME?</v>
      </c>
      <c r="EE147" s="863" t="e">
        <f t="shared" ref="EE147:EE210" ca="1" si="524">AS147+ED147</f>
        <v>#NAME?</v>
      </c>
      <c r="EF147" s="590" t="e">
        <f t="shared" ref="EF147:EF210" ca="1" si="525">AU147+ED147</f>
        <v>#NAME?</v>
      </c>
      <c r="EG147" s="862" t="str">
        <f t="shared" ref="EG147:EG178" ca="1" si="526">IF(BD147,IF(Underlying=1,AS147,AU147),"")</f>
        <v/>
      </c>
      <c r="EH147" s="114" t="str">
        <f t="shared" ref="EH147:EH210" ca="1" si="527">IF($BD147,$EG147+IF(VolSkewFlag=1,IF(BQ147&gt;0,$BA147*MIN(BQ147/10%,1)+($BB147-$BA147)*MAX(0,MIN(BQ147/10%-1,1))+($BC147-$BB147)*MAX(0,BQ147/10%-2),$AZ147*MIN(-BQ147/10%,1)+($AY147-$AZ147)*MAX(0,MIN(-BQ147/10%-1,1))+($AX147-$AY147)*MAX(0,-BQ147/10%-2)),0),"")</f>
        <v/>
      </c>
      <c r="EI147" s="109" t="str">
        <f t="shared" ref="EI147:EI210" ca="1" si="528">IF($BD147,$EG147+IF(VolSkewFlag=1,IF(BR147&gt;0,$BA147*MIN(BR147/10%,1)+($BB147-$BA147)*MAX(0,MIN(BR147/10%-1,1))+($BC147-$BB147)*MAX(0,BR147/10%-2),$AZ147*MIN(-BR147/10%,1)+($AY147-$AZ147)*MAX(0,MIN(-BR147/10%-1,1))+($AX147-$AY147)*MAX(0,-BR147/10%-2)),0),"")</f>
        <v/>
      </c>
      <c r="EJ147" s="115">
        <f ca="1">IF(BD147,_xll.xASN(BP147,Strike1,AO147,EH147,0,BM147,0,BI147,BL147,IF(OptControl=4,0,1),0),0)</f>
        <v>0</v>
      </c>
      <c r="EK147" s="108">
        <f ca="1">IF(BD147,_xll.xASN(BP147,Strike2,AO147,EI147,0,BM147,0,BI147,BL147,IF(OptControl=3,1,0),0),0)</f>
        <v>0</v>
      </c>
      <c r="EP147" s="53"/>
      <c r="EQ147" s="1"/>
      <c r="ER147" s="103"/>
      <c r="ES147" s="103"/>
      <c r="ET147" s="1"/>
      <c r="EU147" s="667" t="s">
        <v>359</v>
      </c>
      <c r="EW147" s="445"/>
      <c r="EX147" s="36"/>
      <c r="EY147" s="104"/>
      <c r="EZ147" s="465"/>
      <c r="FA147" s="446"/>
      <c r="FB147" s="446"/>
      <c r="FC147" s="242"/>
      <c r="FD147" s="242"/>
      <c r="FE147" s="242"/>
      <c r="FF147" s="242"/>
      <c r="FG147" s="242"/>
      <c r="FH147" s="242"/>
      <c r="FI147" s="242"/>
      <c r="FJ147" s="242"/>
      <c r="FK147" s="242"/>
      <c r="FL147" s="242"/>
      <c r="FM147" s="242"/>
      <c r="FN147" s="657">
        <v>53</v>
      </c>
      <c r="FO147" s="450">
        <f t="shared" ca="1" si="477"/>
        <v>0.17319703850185242</v>
      </c>
      <c r="FP147" s="450">
        <f t="shared" ca="1" si="487"/>
        <v>0.17320966375211672</v>
      </c>
      <c r="FQ147" s="450">
        <f t="shared" ca="1" si="487"/>
        <v>0.17305723674873227</v>
      </c>
      <c r="FR147" s="450">
        <f t="shared" ca="1" si="487"/>
        <v>0.1729146172548881</v>
      </c>
      <c r="FS147" s="450">
        <f t="shared" ca="1" si="487"/>
        <v>0.17278262647043191</v>
      </c>
      <c r="FT147" s="450">
        <f t="shared" ca="1" si="487"/>
        <v>0.17266218058581193</v>
      </c>
      <c r="FU147" s="450">
        <f t="shared" ca="1" si="487"/>
        <v>0.17255430168062849</v>
      </c>
      <c r="FV147" s="450">
        <f t="shared" ca="1" si="487"/>
        <v>0.17246012993306475</v>
      </c>
      <c r="FW147" s="450">
        <f t="shared" ca="1" si="487"/>
        <v>0.17238093731076001</v>
      </c>
      <c r="FX147" s="450">
        <f t="shared" ca="1" si="487"/>
        <v>0.17231814293875314</v>
      </c>
      <c r="FY147" s="450">
        <f t="shared" ca="1" si="487"/>
        <v>0.17227333036947015</v>
      </c>
      <c r="FZ147" s="450">
        <f t="shared" ca="1" si="487"/>
        <v>0.17224826701422233</v>
      </c>
      <c r="GA147" s="450">
        <f t="shared" ca="1" si="487"/>
        <v>0.17224492603635491</v>
      </c>
      <c r="GB147" s="450">
        <f t="shared" ca="1" si="487"/>
        <v>0.17226551105434232</v>
      </c>
      <c r="GC147" s="450">
        <f t="shared" ca="1" si="487"/>
        <v>0.17231248406032834</v>
      </c>
      <c r="GD147" s="450">
        <f t="shared" ca="1" si="487"/>
        <v>0.17238859702784487</v>
      </c>
      <c r="GE147" s="450">
        <f t="shared" ca="1" si="487"/>
        <v>0.1724969277641385</v>
      </c>
      <c r="GF147" s="450">
        <f t="shared" ca="1" si="487"/>
        <v>0.17264092066073203</v>
      </c>
      <c r="GG147" s="450">
        <f t="shared" ca="1" si="487"/>
        <v>0.17282443311437204</v>
      </c>
      <c r="GH147" s="450">
        <f t="shared" ca="1" si="487"/>
        <v>0.1730517885341355</v>
      </c>
      <c r="GI147" s="450">
        <f t="shared" ca="1" si="487"/>
        <v>0.17332783702524104</v>
      </c>
      <c r="GJ147" s="450">
        <f t="shared" ca="1" si="487"/>
        <v>0.17365802505368896</v>
      </c>
      <c r="GK147" s="450">
        <f t="shared" ca="1" si="487"/>
        <v>0.17404847565796927</v>
      </c>
      <c r="GL147" s="450">
        <f t="shared" ca="1" si="487"/>
        <v>0.17450608109720039</v>
      </c>
      <c r="GM147" s="450">
        <f t="shared" ca="1" si="487"/>
        <v>0.17503861022516293</v>
      </c>
      <c r="GN147" s="450">
        <f t="shared" ca="1" si="487"/>
        <v>0.17565483337743212</v>
      </c>
      <c r="GO147" s="450">
        <f t="shared" ca="1" si="487"/>
        <v>0.17636466818095026</v>
      </c>
      <c r="GP147" s="450">
        <f t="shared" ca="1" si="487"/>
        <v>0.17717935047685271</v>
      </c>
      <c r="GQ147" s="450">
        <f t="shared" ca="1" si="487"/>
        <v>0.17811163553395987</v>
      </c>
      <c r="GR147" s="450">
        <f t="shared" ca="1" si="487"/>
        <v>0.17917603598252932</v>
      </c>
      <c r="GS147" s="450">
        <f t="shared" ca="1" si="487"/>
        <v>0.18038910449586812</v>
      </c>
      <c r="GT147" s="450">
        <f t="shared" ca="1" si="487"/>
        <v>0.18176977129847366</v>
      </c>
      <c r="GU147" s="450">
        <f t="shared" ca="1" si="487"/>
        <v>0.18333974922781959</v>
      </c>
      <c r="GV147" s="450">
        <f t="shared" ca="1" si="487"/>
        <v>0.18512402251828916</v>
      </c>
      <c r="GW147" s="450">
        <f t="shared" ca="1" si="487"/>
        <v>0.18715143997715158</v>
      </c>
      <c r="GX147" s="450">
        <f t="shared" ca="1" si="487"/>
        <v>0.18945543915146293</v>
      </c>
      <c r="GY147" s="450">
        <f t="shared" ca="1" si="487"/>
        <v>0.1920749359515391</v>
      </c>
      <c r="GZ147" s="450">
        <f t="shared" ca="1" si="487"/>
        <v>0.19505542471551218</v>
      </c>
      <c r="HA147" s="450">
        <f t="shared" ca="1" si="487"/>
        <v>0.19845034787988081</v>
      </c>
      <c r="HB147" s="450">
        <f t="shared" ca="1" si="487"/>
        <v>0.20232281370324184</v>
      </c>
      <c r="HC147" s="450">
        <f t="shared" ca="1" si="487"/>
        <v>0.20674776695096903</v>
      </c>
      <c r="HD147" s="450">
        <f t="shared" ca="1" si="487"/>
        <v>0.21181475411346401</v>
      </c>
      <c r="HE147" s="450">
        <f t="shared" ca="1" si="487"/>
        <v>0.21763147606029312</v>
      </c>
      <c r="HF147" s="450">
        <f t="shared" ca="1" si="487"/>
        <v>0.22432839368261498</v>
      </c>
      <c r="HG147" s="450">
        <f t="shared" ca="1" si="487"/>
        <v>0.23206475610630545</v>
      </c>
      <c r="HH147" s="450">
        <f t="shared" ca="1" si="487"/>
        <v>0.2410365718823281</v>
      </c>
      <c r="HI147" s="450">
        <f t="shared" ca="1" si="487"/>
        <v>0.25148726514599701</v>
      </c>
      <c r="HJ147" s="450">
        <f t="shared" ca="1" si="487"/>
        <v>0.2637220889337456</v>
      </c>
      <c r="HK147" s="450">
        <f t="shared" ca="1" si="487"/>
        <v>0.27812786744015244</v>
      </c>
      <c r="HL147" s="450">
        <f t="shared" ca="1" si="487"/>
        <v>0.29520040737192965</v>
      </c>
      <c r="HM147" s="450">
        <f t="shared" ca="1" si="487"/>
        <v>0.31558312136577765</v>
      </c>
      <c r="HN147" s="450">
        <f t="shared" ca="1" si="487"/>
        <v>0.3401223256258526</v>
      </c>
      <c r="HO147" s="450">
        <f t="shared" ca="1" si="487"/>
        <v>0.36994780032330815</v>
      </c>
      <c r="HP147" s="450" t="str">
        <f t="shared" si="487"/>
        <v/>
      </c>
      <c r="HQ147" s="450" t="str">
        <f t="shared" si="487"/>
        <v/>
      </c>
      <c r="HR147" s="450" t="str">
        <f t="shared" si="487"/>
        <v/>
      </c>
      <c r="HS147" s="450" t="str">
        <f t="shared" si="487"/>
        <v/>
      </c>
      <c r="HT147" s="450" t="str">
        <f t="shared" si="487"/>
        <v/>
      </c>
      <c r="HU147" s="450" t="str">
        <f t="shared" si="487"/>
        <v/>
      </c>
      <c r="HV147" s="450" t="str">
        <f t="shared" si="487"/>
        <v/>
      </c>
      <c r="HW147" s="450" t="str">
        <f t="shared" si="487"/>
        <v/>
      </c>
      <c r="HX147" s="450" t="str">
        <f t="shared" si="487"/>
        <v/>
      </c>
      <c r="HY147" s="450" t="str">
        <f t="shared" si="487"/>
        <v/>
      </c>
      <c r="HZ147" s="450" t="str">
        <f t="shared" si="487"/>
        <v/>
      </c>
      <c r="IA147" s="450" t="str">
        <f t="shared" si="487"/>
        <v/>
      </c>
      <c r="IB147" s="450" t="str">
        <f t="shared" si="486"/>
        <v/>
      </c>
      <c r="IC147" s="450" t="str">
        <f t="shared" si="486"/>
        <v/>
      </c>
      <c r="ID147" s="450" t="str">
        <f t="shared" si="486"/>
        <v/>
      </c>
      <c r="IE147" s="450" t="str">
        <f t="shared" si="486"/>
        <v/>
      </c>
      <c r="IF147" s="450" t="str">
        <f t="shared" si="486"/>
        <v/>
      </c>
      <c r="IG147" s="450" t="str">
        <f t="shared" si="486"/>
        <v/>
      </c>
      <c r="IH147" s="658" t="str">
        <f t="shared" si="486"/>
        <v/>
      </c>
      <c r="II147" s="242"/>
    </row>
    <row r="148" spans="8:243">
      <c r="H148" s="49" t="e">
        <f t="shared" ref="H148:H211" ca="1" si="529">VLOOKUP(I148,$EN$20:$EP$54,3)</f>
        <v>#N/A</v>
      </c>
      <c r="I148" s="369">
        <f t="shared" ref="I148:I211" si="530">EOMONTH(I147,0)+1</f>
        <v>40909</v>
      </c>
      <c r="J148" s="367">
        <v>22.584999999999901</v>
      </c>
      <c r="K148" s="101" t="s">
        <v>267</v>
      </c>
      <c r="L148" s="382">
        <f t="shared" ref="L148:L211" si="531">IF(ISNUMBER(K148),J148+K148/100,IF(K148="extra",L147+VLOOKUP(BF148,PriceSpreadTable,2)/12,IF(K148="inter",interpolateprices($K$19:$L$200,ROW(K148)-ROW(FirstPricingMonth)+1),interpolatechanges($J$19:$K$200,ROW(K148)-ROW(FirstPricingMonth)+1))))</f>
        <v>22.584999999999948</v>
      </c>
      <c r="M148" s="163">
        <v>0.16010000000000002</v>
      </c>
      <c r="N148" s="372">
        <v>0</v>
      </c>
      <c r="O148" s="163">
        <f t="shared" si="488"/>
        <v>0.16010000000000002</v>
      </c>
      <c r="P148" s="367">
        <v>21.332070916906797</v>
      </c>
      <c r="Q148" s="101" t="s">
        <v>267</v>
      </c>
      <c r="R148" s="367">
        <f t="shared" ca="1" si="417"/>
        <v>21.332070916906773</v>
      </c>
      <c r="S148" s="814">
        <f t="shared" si="474"/>
        <v>0.35395210442925312</v>
      </c>
      <c r="T148" s="813">
        <f t="shared" si="418"/>
        <v>0.99999989148829405</v>
      </c>
      <c r="U148" s="532">
        <f t="shared" si="419"/>
        <v>0.99999999999999978</v>
      </c>
      <c r="V148" s="379">
        <v>0</v>
      </c>
      <c r="W148" s="424">
        <f t="shared" si="489"/>
        <v>22.617954545454445</v>
      </c>
      <c r="X148" s="405">
        <f t="shared" si="490"/>
        <v>22.617954545454491</v>
      </c>
      <c r="Y148" s="313">
        <f t="shared" si="491"/>
        <v>21.401954545454444</v>
      </c>
      <c r="Z148" s="313">
        <f t="shared" ca="1" si="492"/>
        <v>21.40195454545449</v>
      </c>
      <c r="AA148" s="419">
        <f t="shared" si="493"/>
        <v>1.216</v>
      </c>
      <c r="AB148" s="423">
        <f t="shared" ca="1" si="494"/>
        <v>1.216</v>
      </c>
      <c r="AC148" s="221">
        <v>40897</v>
      </c>
      <c r="AD148" s="221">
        <v>40893</v>
      </c>
      <c r="AE148" s="221">
        <v>40892</v>
      </c>
      <c r="AF148" s="221">
        <v>40888</v>
      </c>
      <c r="AG148" s="241" t="s">
        <v>497</v>
      </c>
      <c r="AH148" s="239" t="s">
        <v>497</v>
      </c>
      <c r="AI148" s="141">
        <v>22</v>
      </c>
      <c r="AJ148" s="41">
        <v>15</v>
      </c>
      <c r="AK148" s="41">
        <v>7</v>
      </c>
      <c r="AL148" s="285">
        <v>22</v>
      </c>
      <c r="AM148" s="41">
        <v>10</v>
      </c>
      <c r="AN148" s="142">
        <v>12</v>
      </c>
      <c r="AO148" s="364">
        <v>5.9678541955502602E-2</v>
      </c>
      <c r="AP148" s="145">
        <f t="shared" ref="AP148:AP211" ca="1" si="532">(1+AO148/2)^(-2*BL148)</f>
        <v>0.52951618908165698</v>
      </c>
      <c r="AQ148" s="364">
        <v>5.0901913367238802E-2</v>
      </c>
      <c r="AR148" s="145">
        <f t="shared" ca="1" si="420"/>
        <v>0.58442737236530062</v>
      </c>
      <c r="AS148" s="264">
        <f t="shared" si="495"/>
        <v>0.15944090909090911</v>
      </c>
      <c r="AT148" s="149">
        <f t="shared" ref="AT148:AT211" si="533">O148*VLOOKUP(BF148,BrentVolTable,2)+VLOOKUP(BF148,BrentVolTable,3)</f>
        <v>0.16010000000000002</v>
      </c>
      <c r="AU148" s="149">
        <f t="shared" si="496"/>
        <v>0.15932727272727273</v>
      </c>
      <c r="AV148" s="263">
        <f t="shared" ca="1" si="430"/>
        <v>0.15767094564706635</v>
      </c>
      <c r="AW148" s="150" t="str">
        <f t="shared" ca="1" si="497"/>
        <v/>
      </c>
      <c r="AX148" s="149">
        <f t="shared" ca="1" si="421"/>
        <v>1.0687347175932815E-2</v>
      </c>
      <c r="AY148" s="149">
        <f t="shared" ca="1" si="422"/>
        <v>4.2332374129341798E-3</v>
      </c>
      <c r="AZ148" s="149">
        <f t="shared" ca="1" si="423"/>
        <v>3.3886881797364618E-3</v>
      </c>
      <c r="BA148" s="149">
        <f t="shared" ca="1" si="424"/>
        <v>1.000000000000052E-4</v>
      </c>
      <c r="BB148" s="149">
        <f t="shared" ca="1" si="425"/>
        <v>1.000000000000052E-4</v>
      </c>
      <c r="BC148" s="149">
        <f t="shared" ca="1" si="426"/>
        <v>1.000000000000052E-4</v>
      </c>
      <c r="BD148" s="143">
        <f t="shared" ca="1" si="498"/>
        <v>0</v>
      </c>
      <c r="BE148" s="144">
        <f t="shared" ca="1" si="499"/>
        <v>0</v>
      </c>
      <c r="BF148" s="40">
        <f t="shared" si="500"/>
        <v>2012</v>
      </c>
      <c r="BG148" s="139">
        <f t="shared" si="501"/>
        <v>1</v>
      </c>
      <c r="BH148" s="140">
        <f t="shared" ca="1" si="502"/>
        <v>3903</v>
      </c>
      <c r="BI148" s="304">
        <f t="shared" ca="1" si="440"/>
        <v>10.729637234770705</v>
      </c>
      <c r="BJ148" s="42">
        <f t="shared" ca="1" si="503"/>
        <v>10.785638728143862</v>
      </c>
      <c r="BK148" s="42">
        <f t="shared" ca="1" si="504"/>
        <v>10.788376578930995</v>
      </c>
      <c r="BL148" s="42">
        <f t="shared" ca="1" si="441"/>
        <v>10.811772758384668</v>
      </c>
      <c r="BM148" s="285">
        <f t="shared" si="442"/>
        <v>22</v>
      </c>
      <c r="BN148" s="41">
        <f t="shared" si="443"/>
        <v>15</v>
      </c>
      <c r="BO148" s="41">
        <f t="shared" si="444"/>
        <v>7</v>
      </c>
      <c r="BP148" s="297" t="str">
        <f t="shared" ca="1" si="505"/>
        <v/>
      </c>
      <c r="BQ148" s="297" t="str">
        <f t="shared" ca="1" si="506"/>
        <v/>
      </c>
      <c r="BR148" s="299" t="str">
        <f t="shared" ca="1" si="507"/>
        <v/>
      </c>
      <c r="BS148" s="153" t="str">
        <f t="shared" ca="1" si="508"/>
        <v/>
      </c>
      <c r="BT148" s="153" t="str">
        <f t="shared" ca="1" si="509"/>
        <v/>
      </c>
      <c r="BU148" s="300" t="str">
        <f t="shared" ca="1" si="510"/>
        <v/>
      </c>
      <c r="BV148" s="301" t="str">
        <f t="shared" ca="1" si="511"/>
        <v/>
      </c>
      <c r="BW148" s="300" t="str">
        <f t="shared" ca="1" si="512"/>
        <v/>
      </c>
      <c r="BX148" s="301" t="str">
        <f t="shared" ca="1" si="513"/>
        <v/>
      </c>
      <c r="BY148" s="146" t="str">
        <f t="shared" ca="1" si="514"/>
        <v/>
      </c>
      <c r="BZ148" s="146" t="str">
        <f t="shared" ca="1" si="515"/>
        <v/>
      </c>
      <c r="CA148" s="146" t="str">
        <f t="shared" ca="1" si="516"/>
        <v/>
      </c>
      <c r="CB148" s="146" t="str">
        <f t="shared" ca="1" si="517"/>
        <v/>
      </c>
      <c r="CC148" s="302">
        <v>1</v>
      </c>
      <c r="CD148" s="154">
        <f ca="1">IF(BD148,_xll.xCrudeAPO(BS148,BT148,BY148,BZ148,S149,S150,BI148,BL148,BN148,BO148,0,Strike1,AO148,CC148,0,BL148,IF(OptControl=4,0,1),0,1),0)</f>
        <v>0</v>
      </c>
      <c r="CE148" s="155">
        <f ca="1">IF(BD148,_xll.xCrudeAPO(BS148,BT148,BY148,BZ148,S149,S150,BI148,BL148,BN148,BO148,0,Strike1,AO148,CC148,0,BL148,IF(OptControl=4,0,1),1,1)+_xll.xCrudeAPO(BS148,BT148,BY148,BZ148,S149,S150,BI148,BL148,BN148,BO148,0,Strike1,AO148,CC148,0,BL148,IF(OptControl=4,0,1),1,2)+IF(OR(VolSkewFlag=2,ABS(BQ148)&lt;0.0001),0,IF(BQ148&gt;0,-1,1)*CF148*Strike1/BP148^2*BW148/10%),0)</f>
        <v>0</v>
      </c>
      <c r="CF148" s="155">
        <f ca="1">IF(BD148,(_xll.xCrudeAPO(BS148,BT148,BY148,BZ148,S149,S150,BI148,BL148,BN148,BO148,0,Strike1,AO148,CC148,0,BL148,IF(OptControl=4,0,1),3,1)+_xll.xCrudeAPO(BS148,BT148,BY148,BZ148,S149,S150,BI148,BL148,BN148,BO148,0,Strike1,AO148,CC148,0,BL148,IF(OptControl=4,0,1),3,2))/100,0)</f>
        <v>0</v>
      </c>
      <c r="CG148" s="155">
        <f ca="1">IF(BD148,_xll.xCrudeAPO(BS148,BT148,BY148,BZ148,S149,S150,BI148-DaysForThetaCalculation/365.25,BL148-DaysForThetaCalculation/365.25,BN148,BO148,0,Strike1,AO148,CC148,0,BL148,IF(OptControl=4,0,1),0,1)-_xll.xCrudeAPO(BS148,BT148,BY148,BZ148,S149,S150,BI148,BL148,BN148,BO148,0,Strike1,AO148,CC148,0,BL148,IF(OptControl=4,0,1),0,1),0)</f>
        <v>0</v>
      </c>
      <c r="CH148" s="303">
        <f ca="1">IF(BD148,_xll.xCrudeAPO(BS148,BT148,CA148,CB148,S149,S150,BI148,BL148,BN148,BO148,0,Strike2,AO148,CC148,0,BL148,IF(OptControl=3,1,0),0,1),0)</f>
        <v>0</v>
      </c>
      <c r="CI148" s="155">
        <f ca="1">IF(BD148,_xll.xCrudeAPO(BS148,BT148,CA148,CB148,S149,S150,BI148,BL148,BN148,BO148,0,Strike2,AO148,CC148,0,BL148,IF(OptControl=3,1,0),1,1)+_xll.xCrudeAPO(BS148,BT148,CA148,CB148,S149,S150,BI148,BL148,BN148,BO148,0,Strike2,AO148,CC148,0,BL148,IF(OptControl=3,1,0),1,2)+IF(OR(VolSkewFlag=2,ABS(BR148)&lt;0.0001),0,IF(BR148&gt;0,-1,1)*CJ148*Strike2/BP148^2*BX148/10%),0)</f>
        <v>0</v>
      </c>
      <c r="CJ148" s="155">
        <f ca="1">IF(BD148,(_xll.xCrudeAPO(BS148,BT148,CA148,CB148,S149,S150,BI148,BL148,BN148,BO148,0,Strike2,AO148,CC148,0,BL148,IF(OptControl=3,1,0),3,1)+_xll.xCrudeAPO(BS148,BT148,CA148,CB148,S149,S150,BI148,BL148,BN148,BO148,0,Strike2,AO148,CC148,0,BL148,IF(OptControl=3,1,0),3,2))/100,0)</f>
        <v>0</v>
      </c>
      <c r="CK148" s="156">
        <f ca="1">IF(BD148,_xll.xCrudeAPO(BS148,BT148,CA148,CB148,S149,S150,BI148-DaysForThetaCalculation/365.25,BL148-DaysForThetaCalculation/365.25,BN148,BO148,0,Strike2,AO148,CC148,0,BL148,IF(OptControl=3,1,0),0,1)-_xll.xCrudeAPO(BS148,BT148,CA148,CB148,S149,S150,BI148,BL148,BN148,BO148,0,Strike2,AO148,CC148,0,BL148,IF(OptControl=3,1,0),0,1),0)</f>
        <v>0</v>
      </c>
      <c r="CL148" s="51"/>
      <c r="CM148" s="779" t="str">
        <f t="shared" ref="CM148:CM211" ca="1" si="534">IF(BD148,CHOOSE(Underlying,AD148,AF148)-DateToday+1,"")</f>
        <v/>
      </c>
      <c r="CN148" s="783" t="str">
        <f t="shared" ref="CN148:CN211" ca="1" si="535">IF(BD148,CHOOSE(Underlying,L148,R148),"")</f>
        <v/>
      </c>
      <c r="CO148" s="780" t="str">
        <f t="shared" ref="CO148:CO211" ca="1" si="536">IF(BD148,Strike1/CN148-1,"")</f>
        <v/>
      </c>
      <c r="CP148" s="780" t="str">
        <f t="shared" ref="CP148:CP211" ca="1" si="537">IF(BD148,Strike2/CN148-1,"")</f>
        <v/>
      </c>
      <c r="CQ148" s="780" t="str">
        <f t="shared" ref="CQ148:CQ211" ca="1" si="538">IF(BD148,IF(CO148&gt;0,IF(CO148&gt;0.2,BC147-BB147,IF(CO148&gt;0.1,BB147-BA147,BA147)),IF(CO148&lt;-0.2,AX147-AY147,IF(CO148&lt;-0.1,AY147-AZ147,AZ147))),"")</f>
        <v/>
      </c>
      <c r="CR148" s="780" t="str">
        <f t="shared" ref="CR148:CR211" ca="1" si="539">IF(BD148,IF(CP148&gt;0,IF(CP148&gt;0.2,BC147-BB147,IF(CP148&gt;0.1,BB147-BA147,BA147)),IF(CP148&lt;-0.2,AX147-AY147,IF(CP148&lt;-0.1,AY147-AZ147,AZ147))),"")</f>
        <v/>
      </c>
      <c r="CS148" s="781" t="str">
        <f t="shared" ref="CS148:CS211" ca="1" si="540">IF(BD148,CHOOSE(Underlying,O148,AT148),"")</f>
        <v/>
      </c>
      <c r="CT148" s="782" t="str">
        <f t="shared" ref="CT148:CT211" ca="1" si="541">IF(BD148,CS148+IF(VolSkewFlag=1,IF(CO148&gt;0,BA147*MIN(CO148/10%,1)+(BB147-BA147)*MAX(0,MIN(CO148/10%-1,1))+(BC147-BB147)*MAX(0,CO148/10%-2),AZ147*MIN(-CO148/10%,1)+(AY147-AZ147)*MAX(0,MIN(-CO148/10%-1,1))+(AX147-AY147)*MAX(0,-CO148/10%-2)),0),"")</f>
        <v/>
      </c>
      <c r="CU148" s="782" t="str">
        <f t="shared" ref="CU148:CU211" ca="1" si="542">IF(BD148,CS148+IF(VolSkewFlag=1,IF(CP148&gt;0,BA147*MIN(CP148/10%,1)+(BB147-BA147)*MAX(0,MIN(CP148/10%-1,1))+(BC147-BB147)*MAX(0,CP148/10%-2),AZ147*MIN(-CP148/10%,1)+(AY147-AZ147)*MAX(0,MIN(-CP148/10%-1,1))+(AX147-AY147)*MAX(0,-CP148/10%-2)),0),"")</f>
        <v/>
      </c>
      <c r="CV148" s="155">
        <f ca="1">IF(BD148,_xll.EURO(CN148,Strike1,AO148,AO148,CT148,CM148,IF(OptControl=4,0,1),0),0)</f>
        <v>0</v>
      </c>
      <c r="CW148" s="155">
        <f ca="1">IF(BD148,_xll.EURO(CN148,Strike1,AO148,AO148,CT148,CM148,IF(OptControl=4,0,1),1)+IF(OR(VolSkewFlag=2,ABS(CO148)&lt;0.0001),0,IF(CO148&gt;0,-1,1)*CX148*100*Strike1/CN148^2*CQ148/10%),0)</f>
        <v>0</v>
      </c>
      <c r="CX148" s="155">
        <f ca="1">IF(BD148,_xll.EURO(CN148,Strike1,AO148,AO148,CT148,CM148,IF(OptControl=4,0,1),3)/100,0)</f>
        <v>0</v>
      </c>
      <c r="CY148" s="155">
        <f ca="1">IF(BD148,_xll.EURO(CN148,Strike1,AO148,AO148,CT148,CM148,IF(OptControl=4,0,1),0)-_xll.EURO(CN148,Strike1,AO148,AO148,CT148,CM148-1,IF(OptControl=4,0,1),0),0)</f>
        <v>0</v>
      </c>
      <c r="CZ148" s="155">
        <f ca="1">IF(BD148,_xll.EURO(CN148,Strike2,AO148,AO148,CU148,CM148,IF(OptControl=3,1,0),0),0)</f>
        <v>0</v>
      </c>
      <c r="DA148" s="155">
        <f ca="1">IF(BD148,_xll.EURO(CN148,Strike2,AO148,AO148,CU148,CM148,IF(OptControl=3,1,0),1)+IF(OR(VolSkewFlag=2,ABS(CP148)&lt;0.0001),0,IF(CP148&gt;0,-1,1)*DB148*100*Strike2/CN148^2*CR148/10%),0)</f>
        <v>0</v>
      </c>
      <c r="DB148" s="155">
        <f ca="1">IF(BD148,_xll.EURO(CN148,Strike2,AO148,AO148,CU148,CM148,IF(OptControl=3,1,0),3)/100,0)</f>
        <v>0</v>
      </c>
      <c r="DC148" s="156">
        <f ca="1">IF(BD148,_xll.EURO(CN148,Strike2,AO148,AO148,CU148,CM148,IF(OptControl=3,1,0),0)-_xll.EURO(CN148,Strike2,AO148,AO148,CU148,CM148-1,IF(OptControl=3,1,0),0),0)</f>
        <v>0</v>
      </c>
      <c r="DE148" s="651">
        <f t="shared" ref="DE148:DE211" ca="1" si="543">EOMONTH(DE147,0)+1</f>
        <v>40817</v>
      </c>
      <c r="DF148" s="465">
        <v>1E-4</v>
      </c>
      <c r="DG148" s="649">
        <v>1E-4</v>
      </c>
      <c r="DH148" s="650">
        <f t="shared" ca="1" si="518"/>
        <v>40817</v>
      </c>
      <c r="DI148" s="465">
        <v>1E-4</v>
      </c>
      <c r="DJ148" s="649">
        <v>1E-4</v>
      </c>
      <c r="DK148" s="651">
        <f t="shared" ca="1" si="519"/>
        <v>40817</v>
      </c>
      <c r="DL148" s="652">
        <f t="shared" si="520"/>
        <v>5.0100000000000006E-2</v>
      </c>
      <c r="DM148" s="651">
        <f t="shared" ref="DM148:DM196" ca="1" si="544">DE148</f>
        <v>40817</v>
      </c>
      <c r="DN148" s="563">
        <f t="shared" ref="DN148:DN196" si="545">DJ148+DO148</f>
        <v>-0.12990000000000002</v>
      </c>
      <c r="DO148" s="803">
        <v>-0.13</v>
      </c>
      <c r="DP148" s="650">
        <f t="shared" ca="1" si="521"/>
        <v>40817</v>
      </c>
      <c r="DQ148" s="653">
        <v>1E-4</v>
      </c>
      <c r="DR148" s="590">
        <v>1E-4</v>
      </c>
      <c r="DS148" s="650">
        <f t="shared" ca="1" si="522"/>
        <v>40817</v>
      </c>
      <c r="DT148" s="653">
        <v>1E-4</v>
      </c>
      <c r="DU148" s="590">
        <v>1E-4</v>
      </c>
      <c r="DV148" s="651">
        <f t="shared" ca="1" si="523"/>
        <v>40817</v>
      </c>
      <c r="DW148" s="590">
        <v>1E-4</v>
      </c>
      <c r="DX148" s="651">
        <f t="shared" ref="DX148:DX196" ca="1" si="546">DP148</f>
        <v>40817</v>
      </c>
      <c r="DY148" s="590">
        <f t="shared" ref="DY148:DY196" si="547">DR148</f>
        <v>1E-4</v>
      </c>
      <c r="DZ148" s="1"/>
      <c r="EA148" s="857"/>
      <c r="EB148" s="857"/>
      <c r="EC148" s="857"/>
      <c r="ED148" s="868" t="e">
        <f t="shared" ca="1" si="436"/>
        <v>#NAME?</v>
      </c>
      <c r="EE148" s="863" t="e">
        <f t="shared" ca="1" si="524"/>
        <v>#NAME?</v>
      </c>
      <c r="EF148" s="590" t="e">
        <f t="shared" ca="1" si="525"/>
        <v>#NAME?</v>
      </c>
      <c r="EG148" s="862" t="str">
        <f t="shared" ca="1" si="526"/>
        <v/>
      </c>
      <c r="EH148" s="114" t="str">
        <f t="shared" ca="1" si="527"/>
        <v/>
      </c>
      <c r="EI148" s="109" t="str">
        <f t="shared" ca="1" si="528"/>
        <v/>
      </c>
      <c r="EJ148" s="115">
        <f ca="1">IF(BD148,_xll.xASN(BP148,Strike1,AO148,EH148,0,BM148,0,BI148,BL148,IF(OptControl=4,0,1),0),0)</f>
        <v>0</v>
      </c>
      <c r="EK148" s="108">
        <f ca="1">IF(BD148,_xll.xASN(BP148,Strike2,AO148,EI148,0,BM148,0,BI148,BL148,IF(OptControl=3,1,0),0),0)</f>
        <v>0</v>
      </c>
      <c r="EP148" s="53"/>
      <c r="EQ148" s="1"/>
      <c r="ER148" s="103"/>
      <c r="ES148" s="103"/>
      <c r="ET148" s="1"/>
      <c r="EU148" s="667" t="s">
        <v>360</v>
      </c>
      <c r="EW148" s="445"/>
      <c r="EX148" s="36"/>
      <c r="EY148" s="104"/>
      <c r="EZ148" s="465"/>
      <c r="FA148" s="446"/>
      <c r="FB148" s="446"/>
      <c r="FC148" s="242"/>
      <c r="FD148" s="242"/>
      <c r="FE148" s="242"/>
      <c r="FF148" s="242"/>
      <c r="FG148" s="242"/>
      <c r="FH148" s="242"/>
      <c r="FI148" s="242"/>
      <c r="FJ148" s="242"/>
      <c r="FK148" s="242"/>
      <c r="FL148" s="242"/>
      <c r="FM148" s="242"/>
      <c r="FN148" s="657">
        <v>54</v>
      </c>
      <c r="FO148" s="450">
        <f t="shared" ca="1" si="477"/>
        <v>0.17314058939285229</v>
      </c>
      <c r="FP148" s="450">
        <f t="shared" ca="1" si="487"/>
        <v>0.17314693681162988</v>
      </c>
      <c r="FQ148" s="450">
        <f t="shared" ca="1" si="487"/>
        <v>0.1729876000806396</v>
      </c>
      <c r="FR148" s="450">
        <f t="shared" ca="1" si="487"/>
        <v>0.17283730521550864</v>
      </c>
      <c r="FS148" s="450">
        <f t="shared" ca="1" si="487"/>
        <v>0.17269678764296598</v>
      </c>
      <c r="FT148" s="450">
        <f t="shared" ca="1" si="487"/>
        <v>0.17256686796528092</v>
      </c>
      <c r="FU148" s="450">
        <f t="shared" ca="1" si="487"/>
        <v>0.17244846168904815</v>
      </c>
      <c r="FV148" s="450">
        <f t="shared" ca="1" si="487"/>
        <v>0.17234259011486813</v>
      </c>
      <c r="FW148" s="450">
        <f t="shared" ca="1" si="487"/>
        <v>0.17225039253690591</v>
      </c>
      <c r="FX148" s="450">
        <f t="shared" ca="1" si="487"/>
        <v>0.17217313992276906</v>
      </c>
      <c r="FY148" s="450">
        <f t="shared" ca="1" si="487"/>
        <v>0.17211225026918814</v>
      </c>
      <c r="FZ148" s="450">
        <f t="shared" ca="1" si="487"/>
        <v>0.17206930585831054</v>
      </c>
      <c r="GA148" s="450">
        <f t="shared" ca="1" si="487"/>
        <v>0.17204607267388153</v>
      </c>
      <c r="GB148" s="450">
        <f t="shared" ca="1" si="487"/>
        <v>0.17204452227723885</v>
      </c>
      <c r="GC148" s="450">
        <f t="shared" ca="1" si="487"/>
        <v>0.17206685649115644</v>
      </c>
      <c r="GD148" s="450">
        <f t="shared" ca="1" si="487"/>
        <v>0.17211553529674278</v>
      </c>
      <c r="GE148" s="450">
        <f t="shared" ca="1" si="487"/>
        <v>0.17219330841678188</v>
      </c>
      <c r="GF148" s="450">
        <f t="shared" ca="1" si="487"/>
        <v>0.17230325114053466</v>
      </c>
      <c r="GG148" s="450">
        <f t="shared" ca="1" si="487"/>
        <v>0.17244880504315535</v>
      </c>
      <c r="GH148" s="450">
        <f t="shared" ca="1" si="487"/>
        <v>0.17263382437130267</v>
      </c>
      <c r="GI148" s="450">
        <f t="shared" ca="1" si="487"/>
        <v>0.17286262901004829</v>
      </c>
      <c r="GJ148" s="450">
        <f t="shared" ca="1" si="487"/>
        <v>0.17314006512082766</v>
      </c>
      <c r="GK148" s="450">
        <f t="shared" ca="1" si="487"/>
        <v>0.17347157475359429</v>
      </c>
      <c r="GL148" s="450">
        <f t="shared" ca="1" si="487"/>
        <v>0.17386327599826762</v>
      </c>
      <c r="GM148" s="450">
        <f t="shared" ca="1" si="487"/>
        <v>0.17432205556344102</v>
      </c>
      <c r="GN148" s="450">
        <f t="shared" ca="1" si="487"/>
        <v>0.17485567607012825</v>
      </c>
      <c r="GO148" s="450">
        <f t="shared" ca="1" si="487"/>
        <v>0.17547290084569261</v>
      </c>
      <c r="GP148" s="450">
        <f t="shared" ca="1" si="487"/>
        <v>0.17618363962478831</v>
      </c>
      <c r="GQ148" s="450">
        <f t="shared" ca="1" si="487"/>
        <v>0.17699911934502818</v>
      </c>
      <c r="GR148" s="450">
        <f t="shared" ca="1" si="487"/>
        <v>0.17793208521097303</v>
      </c>
      <c r="GS148" s="450">
        <f t="shared" ca="1" si="487"/>
        <v>0.17899703845129114</v>
      </c>
      <c r="GT148" s="450">
        <f t="shared" ca="1" si="487"/>
        <v>0.18021051879076413</v>
      </c>
      <c r="GU148" s="450">
        <f t="shared" ca="1" si="487"/>
        <v>0.18159144170838179</v>
      </c>
      <c r="GV148" s="450">
        <f t="shared" ca="1" si="487"/>
        <v>0.18316150319926466</v>
      </c>
      <c r="GW148" s="450">
        <f t="shared" ca="1" si="487"/>
        <v>0.18494566819701896</v>
      </c>
      <c r="GX148" s="450">
        <f t="shared" ca="1" si="487"/>
        <v>0.18697276331122312</v>
      </c>
      <c r="GY148" s="450">
        <f t="shared" ca="1" si="487"/>
        <v>0.18927620045939883</v>
      </c>
      <c r="GZ148" s="450">
        <f t="shared" ca="1" si="487"/>
        <v>0.19189486583383533</v>
      </c>
      <c r="HA148" s="450">
        <f t="shared" ca="1" si="487"/>
        <v>0.19487421915483535</v>
      </c>
      <c r="HB148" s="450">
        <f t="shared" ca="1" si="487"/>
        <v>0.1982676623320288</v>
      </c>
      <c r="HC148" s="450">
        <f t="shared" ca="1" si="487"/>
        <v>0.20213825592365589</v>
      </c>
      <c r="HD148" s="450">
        <f t="shared" ca="1" si="487"/>
        <v>0.20656088822510793</v>
      </c>
      <c r="HE148" s="450">
        <f t="shared" ca="1" si="487"/>
        <v>0.21162503845630179</v>
      </c>
      <c r="HF148" s="450">
        <f t="shared" ca="1" si="487"/>
        <v>0.21743832681002898</v>
      </c>
      <c r="HG148" s="450">
        <f t="shared" ca="1" si="487"/>
        <v>0.22413111672104369</v>
      </c>
      <c r="HH148" s="450">
        <f t="shared" ca="1" si="487"/>
        <v>0.23186253867065532</v>
      </c>
      <c r="HI148" s="450">
        <f t="shared" ca="1" si="487"/>
        <v>0.24082845555717292</v>
      </c>
      <c r="HJ148" s="450">
        <f t="shared" ca="1" si="487"/>
        <v>0.25127211108842867</v>
      </c>
      <c r="HK148" s="450">
        <f t="shared" ca="1" si="487"/>
        <v>0.26349853261272721</v>
      </c>
      <c r="HL148" s="450">
        <f t="shared" ca="1" si="487"/>
        <v>0.27789425904097437</v>
      </c>
      <c r="HM148" s="450">
        <f t="shared" ca="1" si="487"/>
        <v>0.29495473233750297</v>
      </c>
      <c r="HN148" s="450">
        <f t="shared" ca="1" si="487"/>
        <v>0.31532289300919003</v>
      </c>
      <c r="HO148" s="450">
        <f t="shared" ca="1" si="487"/>
        <v>0.33984443784465851</v>
      </c>
      <c r="HP148" s="450">
        <f t="shared" ca="1" si="487"/>
        <v>0.36964832232007505</v>
      </c>
      <c r="HQ148" s="450" t="str">
        <f t="shared" si="487"/>
        <v/>
      </c>
      <c r="HR148" s="450" t="str">
        <f t="shared" si="487"/>
        <v/>
      </c>
      <c r="HS148" s="450" t="str">
        <f t="shared" si="487"/>
        <v/>
      </c>
      <c r="HT148" s="450" t="str">
        <f t="shared" si="487"/>
        <v/>
      </c>
      <c r="HU148" s="450" t="str">
        <f t="shared" si="487"/>
        <v/>
      </c>
      <c r="HV148" s="450" t="str">
        <f t="shared" si="487"/>
        <v/>
      </c>
      <c r="HW148" s="450" t="str">
        <f t="shared" si="487"/>
        <v/>
      </c>
      <c r="HX148" s="450" t="str">
        <f t="shared" si="487"/>
        <v/>
      </c>
      <c r="HY148" s="450" t="str">
        <f t="shared" si="487"/>
        <v/>
      </c>
      <c r="HZ148" s="450" t="str">
        <f t="shared" si="487"/>
        <v/>
      </c>
      <c r="IA148" s="450" t="str">
        <f t="shared" ref="IA148:IH151" si="548">IF($FN73&lt;IA$94,"",SQRT(IA73/IA$15))</f>
        <v/>
      </c>
      <c r="IB148" s="450" t="str">
        <f t="shared" si="548"/>
        <v/>
      </c>
      <c r="IC148" s="450" t="str">
        <f t="shared" si="548"/>
        <v/>
      </c>
      <c r="ID148" s="450" t="str">
        <f t="shared" si="548"/>
        <v/>
      </c>
      <c r="IE148" s="450" t="str">
        <f t="shared" si="548"/>
        <v/>
      </c>
      <c r="IF148" s="450" t="str">
        <f t="shared" si="548"/>
        <v/>
      </c>
      <c r="IG148" s="450" t="str">
        <f t="shared" si="548"/>
        <v/>
      </c>
      <c r="IH148" s="658" t="str">
        <f t="shared" si="548"/>
        <v/>
      </c>
      <c r="II148" s="242"/>
    </row>
    <row r="149" spans="8:243">
      <c r="H149" s="49" t="e">
        <f t="shared" ca="1" si="529"/>
        <v>#N/A</v>
      </c>
      <c r="I149" s="369">
        <f t="shared" si="530"/>
        <v>40940</v>
      </c>
      <c r="J149" s="367">
        <v>22.6099999999999</v>
      </c>
      <c r="K149" s="101" t="s">
        <v>267</v>
      </c>
      <c r="L149" s="382">
        <f t="shared" si="531"/>
        <v>22.609999999999946</v>
      </c>
      <c r="M149" s="163">
        <v>0.15960000000000002</v>
      </c>
      <c r="N149" s="372">
        <v>0</v>
      </c>
      <c r="O149" s="163">
        <f t="shared" si="488"/>
        <v>0.15960000000000002</v>
      </c>
      <c r="P149" s="367">
        <v>21.369507569244298</v>
      </c>
      <c r="Q149" s="101" t="s">
        <v>267</v>
      </c>
      <c r="R149" s="367">
        <f t="shared" ref="R149:R195" ca="1" si="549">IF(ISNUMBER(Q149),P149+Q149/100,IF(Q149="extra",(Z147*AL147-R148*AM147)/AN147,IF(Q149="inter",interpolateprices($Q$19:$R$260,ROW(Q149)-ROW(FirstPricingMonth)+1),interpolatechanges($P$19:$Q$260,ROW(Q149)-ROW(FirstPricingMonth)+1))))</f>
        <v>21.369507569244252</v>
      </c>
      <c r="S149" s="814">
        <f t="shared" si="474"/>
        <v>0.35381258338496058</v>
      </c>
      <c r="T149" s="813">
        <f t="shared" ref="T149:T212" si="550">SQRT((1-(1-T148^2/U148)*T$18)*U149)</f>
        <v>0.99999990233946523</v>
      </c>
      <c r="U149" s="532">
        <f t="shared" ref="U149:U212" si="551">1-(1-U148)*U$18</f>
        <v>0.99999999999999978</v>
      </c>
      <c r="V149" s="379">
        <v>0</v>
      </c>
      <c r="W149" s="424">
        <f t="shared" si="489"/>
        <v>22.643333333333235</v>
      </c>
      <c r="X149" s="405">
        <f t="shared" si="490"/>
        <v>22.643333333333278</v>
      </c>
      <c r="Y149" s="313">
        <f t="shared" si="491"/>
        <v>21.427333333333234</v>
      </c>
      <c r="Z149" s="313">
        <f t="shared" ca="1" si="492"/>
        <v>21.427333333333276</v>
      </c>
      <c r="AA149" s="419">
        <f t="shared" si="493"/>
        <v>1.216</v>
      </c>
      <c r="AB149" s="423">
        <f t="shared" ca="1" si="494"/>
        <v>1.216</v>
      </c>
      <c r="AC149" s="221">
        <v>40928</v>
      </c>
      <c r="AD149" s="221">
        <v>40924</v>
      </c>
      <c r="AE149" s="221">
        <v>40923</v>
      </c>
      <c r="AF149" s="221">
        <v>40919</v>
      </c>
      <c r="AG149" s="241" t="s">
        <v>497</v>
      </c>
      <c r="AH149" s="239" t="s">
        <v>497</v>
      </c>
      <c r="AI149" s="141">
        <v>21</v>
      </c>
      <c r="AJ149" s="41">
        <v>14</v>
      </c>
      <c r="AK149" s="41">
        <v>7</v>
      </c>
      <c r="AL149" s="285">
        <v>21</v>
      </c>
      <c r="AM149" s="41">
        <v>10</v>
      </c>
      <c r="AN149" s="142">
        <v>11</v>
      </c>
      <c r="AO149" s="364">
        <v>5.9723864490747007E-2</v>
      </c>
      <c r="AP149" s="145">
        <f t="shared" ca="1" si="532"/>
        <v>0.52679707231884509</v>
      </c>
      <c r="AQ149" s="364">
        <v>5.1008940141984205E-2</v>
      </c>
      <c r="AR149" s="145">
        <f t="shared" ref="AR149:AR212" ca="1" si="552">(1+AQ149/2)^(-2*BH149/365.25)</f>
        <v>0.5812856262774303</v>
      </c>
      <c r="AS149" s="264">
        <f t="shared" si="495"/>
        <v>0.15896666666666667</v>
      </c>
      <c r="AT149" s="149">
        <f t="shared" si="533"/>
        <v>0.15960000000000002</v>
      </c>
      <c r="AU149" s="149">
        <f t="shared" si="496"/>
        <v>0.15889047619047622</v>
      </c>
      <c r="AV149" s="263">
        <f t="shared" ca="1" si="430"/>
        <v>0.15709930975677427</v>
      </c>
      <c r="AW149" s="150" t="str">
        <f t="shared" ca="1" si="497"/>
        <v/>
      </c>
      <c r="AX149" s="149">
        <f t="shared" ref="AX149:AX212" ca="1" si="553">IF($AW149="",AX148^2/AX147,INDEX(U$5:U$8,$AW149)^((INDEX($T$5:$T$8,$AW149+1)-($I149-DateToday+15))/(INDEX($T$5:$T$8,$AW149+1)-INDEX($T$5:$T$8,$AW149)))/INDEX(U$5:U$8,$AW149+1)^((INDEX($T$5:$T$8,$AW149)-($I149-DateToday+15))/(INDEX($T$5:$T$8,$AW149+1)-INDEX($T$5:$T$8,$AW149))))</f>
        <v>1.0537209038582268E-2</v>
      </c>
      <c r="AY149" s="149">
        <f t="shared" ref="AY149:AY212" ca="1" si="554">IF($AW149="",AY148^2/AY147,INDEX(V$5:V$8,$AW149)^((INDEX($T$5:$T$8,$AW149+1)-($I149-DateToday+15))/(INDEX($T$5:$T$8,$AW149+1)-INDEX($T$5:$T$8,$AW149)))/INDEX(V$5:V$8,$AW149+1)^((INDEX($T$5:$T$8,$AW149)-($I149-DateToday+15))/(INDEX($T$5:$T$8,$AW149+1)-INDEX($T$5:$T$8,$AW149))))</f>
        <v>4.1604008867237282E-3</v>
      </c>
      <c r="AZ149" s="149">
        <f t="shared" ref="AZ149:AZ212" ca="1" si="555">IF($AW149="",AZ148^2/AZ147,INDEX(W$5:W$8,$AW149)^((INDEX($T$5:$T$8,$AW149+1)-($I149-DateToday+15))/(INDEX($T$5:$T$8,$AW149+1)-INDEX($T$5:$T$8,$AW149)))/INDEX(W$5:W$8,$AW149+1)^((INDEX($T$5:$T$8,$AW149)-($I149-DateToday+15))/(INDEX($T$5:$T$8,$AW149+1)-INDEX($T$5:$T$8,$AW149))))</f>
        <v>3.3483021000683608E-3</v>
      </c>
      <c r="BA149" s="149">
        <f t="shared" ref="BA149:BA212" ca="1" si="556">IF($AW149="",BA148^2/BA147,INDEX(X$5:X$8,$AW149)^((INDEX($T$5:$T$8,$AW149+1)-($I149-DateToday+15))/(INDEX($T$5:$T$8,$AW149+1)-INDEX($T$5:$T$8,$AW149)))/INDEX(X$5:X$8,$AW149+1)^((INDEX($T$5:$T$8,$AW149)-($I149-DateToday+15))/(INDEX($T$5:$T$8,$AW149+1)-INDEX($T$5:$T$8,$AW149))))</f>
        <v>1.0000000000000526E-4</v>
      </c>
      <c r="BB149" s="149">
        <f t="shared" ref="BB149:BB212" ca="1" si="557">IF($AW149="",BB148^2/BB147,INDEX(Y$5:Y$8,$AW149)^((INDEX($T$5:$T$8,$AW149+1)-($I149-DateToday+15))/(INDEX($T$5:$T$8,$AW149+1)-INDEX($T$5:$T$8,$AW149)))/INDEX(Y$5:Y$8,$AW149+1)^((INDEX($T$5:$T$8,$AW149)-($I149-DateToday+15))/(INDEX($T$5:$T$8,$AW149+1)-INDEX($T$5:$T$8,$AW149))))</f>
        <v>1.0000000000000526E-4</v>
      </c>
      <c r="BC149" s="149">
        <f t="shared" ref="BC149:BC212" ca="1" si="558">IF($AW149="",BC148^2/BC147,INDEX(Z$5:Z$8,$AW149)^((INDEX($T$5:$T$8,$AW149+1)-($I149-DateToday+15))/(INDEX($T$5:$T$8,$AW149+1)-INDEX($T$5:$T$8,$AW149)))/INDEX(Z$5:Z$8,$AW149+1)^((INDEX($T$5:$T$8,$AW149)-($I149-DateToday+15))/(INDEX($T$5:$T$8,$AW149+1)-INDEX($T$5:$T$8,$AW149))))</f>
        <v>1.0000000000000526E-4</v>
      </c>
      <c r="BD149" s="143">
        <f t="shared" ca="1" si="498"/>
        <v>0</v>
      </c>
      <c r="BE149" s="144">
        <f t="shared" ca="1" si="499"/>
        <v>0</v>
      </c>
      <c r="BF149" s="40">
        <f t="shared" si="500"/>
        <v>2012</v>
      </c>
      <c r="BG149" s="139">
        <f t="shared" si="501"/>
        <v>2</v>
      </c>
      <c r="BH149" s="140">
        <f t="shared" ca="1" si="502"/>
        <v>3934</v>
      </c>
      <c r="BI149" s="304">
        <f t="shared" ca="1" si="440"/>
        <v>10.8145106091718</v>
      </c>
      <c r="BJ149" s="42">
        <f t="shared" ca="1" si="503"/>
        <v>10.865617157198265</v>
      </c>
      <c r="BK149" s="42">
        <f t="shared" ca="1" si="504"/>
        <v>10.868355007985398</v>
      </c>
      <c r="BL149" s="42">
        <f t="shared" ca="1" si="441"/>
        <v>10.891170431211499</v>
      </c>
      <c r="BM149" s="285">
        <f t="shared" si="442"/>
        <v>21</v>
      </c>
      <c r="BN149" s="41">
        <f t="shared" si="443"/>
        <v>14</v>
      </c>
      <c r="BO149" s="41">
        <f t="shared" si="444"/>
        <v>7</v>
      </c>
      <c r="BP149" s="297" t="str">
        <f t="shared" ca="1" si="505"/>
        <v/>
      </c>
      <c r="BQ149" s="297" t="str">
        <f t="shared" ca="1" si="506"/>
        <v/>
      </c>
      <c r="BR149" s="299" t="str">
        <f t="shared" ca="1" si="507"/>
        <v/>
      </c>
      <c r="BS149" s="153" t="str">
        <f t="shared" ca="1" si="508"/>
        <v/>
      </c>
      <c r="BT149" s="153" t="str">
        <f t="shared" ca="1" si="509"/>
        <v/>
      </c>
      <c r="BU149" s="300" t="str">
        <f t="shared" ca="1" si="510"/>
        <v/>
      </c>
      <c r="BV149" s="301" t="str">
        <f t="shared" ca="1" si="511"/>
        <v/>
      </c>
      <c r="BW149" s="300" t="str">
        <f t="shared" ca="1" si="512"/>
        <v/>
      </c>
      <c r="BX149" s="301" t="str">
        <f t="shared" ca="1" si="513"/>
        <v/>
      </c>
      <c r="BY149" s="146" t="str">
        <f t="shared" ca="1" si="514"/>
        <v/>
      </c>
      <c r="BZ149" s="146" t="str">
        <f t="shared" ca="1" si="515"/>
        <v/>
      </c>
      <c r="CA149" s="146" t="str">
        <f t="shared" ca="1" si="516"/>
        <v/>
      </c>
      <c r="CB149" s="146" t="str">
        <f t="shared" ca="1" si="517"/>
        <v/>
      </c>
      <c r="CC149" s="302">
        <v>1</v>
      </c>
      <c r="CD149" s="154">
        <f ca="1">IF(BD149,_xll.xCrudeAPO(BS149,BT149,BY149,BZ149,S150,S151,BI149,BL149,BN149,BO149,0,Strike1,AO149,CC149,0,BL149,IF(OptControl=4,0,1),0,1),0)</f>
        <v>0</v>
      </c>
      <c r="CE149" s="155">
        <f ca="1">IF(BD149,_xll.xCrudeAPO(BS149,BT149,BY149,BZ149,S150,S151,BI149,BL149,BN149,BO149,0,Strike1,AO149,CC149,0,BL149,IF(OptControl=4,0,1),1,1)+_xll.xCrudeAPO(BS149,BT149,BY149,BZ149,S150,S151,BI149,BL149,BN149,BO149,0,Strike1,AO149,CC149,0,BL149,IF(OptControl=4,0,1),1,2)+IF(OR(VolSkewFlag=2,ABS(BQ149)&lt;0.0001),0,IF(BQ149&gt;0,-1,1)*CF149*Strike1/BP149^2*BW149/10%),0)</f>
        <v>0</v>
      </c>
      <c r="CF149" s="155">
        <f ca="1">IF(BD149,(_xll.xCrudeAPO(BS149,BT149,BY149,BZ149,S150,S151,BI149,BL149,BN149,BO149,0,Strike1,AO149,CC149,0,BL149,IF(OptControl=4,0,1),3,1)+_xll.xCrudeAPO(BS149,BT149,BY149,BZ149,S150,S151,BI149,BL149,BN149,BO149,0,Strike1,AO149,CC149,0,BL149,IF(OptControl=4,0,1),3,2))/100,0)</f>
        <v>0</v>
      </c>
      <c r="CG149" s="155">
        <f ca="1">IF(BD149,_xll.xCrudeAPO(BS149,BT149,BY149,BZ149,S150,S151,BI149-DaysForThetaCalculation/365.25,BL149-DaysForThetaCalculation/365.25,BN149,BO149,0,Strike1,AO149,CC149,0,BL149,IF(OptControl=4,0,1),0,1)-_xll.xCrudeAPO(BS149,BT149,BY149,BZ149,S150,S151,BI149,BL149,BN149,BO149,0,Strike1,AO149,CC149,0,BL149,IF(OptControl=4,0,1),0,1),0)</f>
        <v>0</v>
      </c>
      <c r="CH149" s="303">
        <f ca="1">IF(BD149,_xll.xCrudeAPO(BS149,BT149,CA149,CB149,S150,S151,BI149,BL149,BN149,BO149,0,Strike2,AO149,CC149,0,BL149,IF(OptControl=3,1,0),0,1),0)</f>
        <v>0</v>
      </c>
      <c r="CI149" s="155">
        <f ca="1">IF(BD149,_xll.xCrudeAPO(BS149,BT149,CA149,CB149,S150,S151,BI149,BL149,BN149,BO149,0,Strike2,AO149,CC149,0,BL149,IF(OptControl=3,1,0),1,1)+_xll.xCrudeAPO(BS149,BT149,CA149,CB149,S150,S151,BI149,BL149,BN149,BO149,0,Strike2,AO149,CC149,0,BL149,IF(OptControl=3,1,0),1,2)+IF(OR(VolSkewFlag=2,ABS(BR149)&lt;0.0001),0,IF(BR149&gt;0,-1,1)*CJ149*Strike2/BP149^2*BX149/10%),0)</f>
        <v>0</v>
      </c>
      <c r="CJ149" s="155">
        <f ca="1">IF(BD149,(_xll.xCrudeAPO(BS149,BT149,CA149,CB149,S150,S151,BI149,BL149,BN149,BO149,0,Strike2,AO149,CC149,0,BL149,IF(OptControl=3,1,0),3,1)+_xll.xCrudeAPO(BS149,BT149,CA149,CB149,S150,S151,BI149,BL149,BN149,BO149,0,Strike2,AO149,CC149,0,BL149,IF(OptControl=3,1,0),3,2))/100,0)</f>
        <v>0</v>
      </c>
      <c r="CK149" s="156">
        <f ca="1">IF(BD149,_xll.xCrudeAPO(BS149,BT149,CA149,CB149,S150,S151,BI149-DaysForThetaCalculation/365.25,BL149-DaysForThetaCalculation/365.25,BN149,BO149,0,Strike2,AO149,CC149,0,BL149,IF(OptControl=3,1,0),0,1)-_xll.xCrudeAPO(BS149,BT149,CA149,CB149,S150,S151,BI149,BL149,BN149,BO149,0,Strike2,AO149,CC149,0,BL149,IF(OptControl=3,1,0),0,1),0)</f>
        <v>0</v>
      </c>
      <c r="CL149" s="51"/>
      <c r="CM149" s="779" t="str">
        <f t="shared" ca="1" si="534"/>
        <v/>
      </c>
      <c r="CN149" s="783" t="str">
        <f t="shared" ca="1" si="535"/>
        <v/>
      </c>
      <c r="CO149" s="780" t="str">
        <f t="shared" ca="1" si="536"/>
        <v/>
      </c>
      <c r="CP149" s="780" t="str">
        <f t="shared" ca="1" si="537"/>
        <v/>
      </c>
      <c r="CQ149" s="780" t="str">
        <f t="shared" ca="1" si="538"/>
        <v/>
      </c>
      <c r="CR149" s="780" t="str">
        <f t="shared" ca="1" si="539"/>
        <v/>
      </c>
      <c r="CS149" s="781" t="str">
        <f t="shared" ca="1" si="540"/>
        <v/>
      </c>
      <c r="CT149" s="782" t="str">
        <f t="shared" ca="1" si="541"/>
        <v/>
      </c>
      <c r="CU149" s="782" t="str">
        <f t="shared" ca="1" si="542"/>
        <v/>
      </c>
      <c r="CV149" s="155">
        <f ca="1">IF(BD149,_xll.EURO(CN149,Strike1,AO149,AO149,CT149,CM149,IF(OptControl=4,0,1),0),0)</f>
        <v>0</v>
      </c>
      <c r="CW149" s="155">
        <f ca="1">IF(BD149,_xll.EURO(CN149,Strike1,AO149,AO149,CT149,CM149,IF(OptControl=4,0,1),1)+IF(OR(VolSkewFlag=2,ABS(CO149)&lt;0.0001),0,IF(CO149&gt;0,-1,1)*CX149*100*Strike1/CN149^2*CQ149/10%),0)</f>
        <v>0</v>
      </c>
      <c r="CX149" s="155">
        <f ca="1">IF(BD149,_xll.EURO(CN149,Strike1,AO149,AO149,CT149,CM149,IF(OptControl=4,0,1),3)/100,0)</f>
        <v>0</v>
      </c>
      <c r="CY149" s="155">
        <f ca="1">IF(BD149,_xll.EURO(CN149,Strike1,AO149,AO149,CT149,CM149,IF(OptControl=4,0,1),0)-_xll.EURO(CN149,Strike1,AO149,AO149,CT149,CM149-1,IF(OptControl=4,0,1),0),0)</f>
        <v>0</v>
      </c>
      <c r="CZ149" s="155">
        <f ca="1">IF(BD149,_xll.EURO(CN149,Strike2,AO149,AO149,CU149,CM149,IF(OptControl=3,1,0),0),0)</f>
        <v>0</v>
      </c>
      <c r="DA149" s="155">
        <f ca="1">IF(BD149,_xll.EURO(CN149,Strike2,AO149,AO149,CU149,CM149,IF(OptControl=3,1,0),1)+IF(OR(VolSkewFlag=2,ABS(CP149)&lt;0.0001),0,IF(CP149&gt;0,-1,1)*DB149*100*Strike2/CN149^2*CR149/10%),0)</f>
        <v>0</v>
      </c>
      <c r="DB149" s="155">
        <f ca="1">IF(BD149,_xll.EURO(CN149,Strike2,AO149,AO149,CU149,CM149,IF(OptControl=3,1,0),3)/100,0)</f>
        <v>0</v>
      </c>
      <c r="DC149" s="156">
        <f ca="1">IF(BD149,_xll.EURO(CN149,Strike2,AO149,AO149,CU149,CM149,IF(OptControl=3,1,0),0)-_xll.EURO(CN149,Strike2,AO149,AO149,CU149,CM149-1,IF(OptControl=3,1,0),0),0)</f>
        <v>0</v>
      </c>
      <c r="DE149" s="651">
        <f t="shared" ca="1" si="543"/>
        <v>40848</v>
      </c>
      <c r="DF149" s="465">
        <v>1E-4</v>
      </c>
      <c r="DG149" s="649">
        <v>1E-4</v>
      </c>
      <c r="DH149" s="650">
        <f t="shared" ca="1" si="518"/>
        <v>40848</v>
      </c>
      <c r="DI149" s="465">
        <v>1E-4</v>
      </c>
      <c r="DJ149" s="649">
        <v>1E-4</v>
      </c>
      <c r="DK149" s="651">
        <f t="shared" ca="1" si="519"/>
        <v>40848</v>
      </c>
      <c r="DL149" s="652">
        <f t="shared" si="520"/>
        <v>5.0100000000000006E-2</v>
      </c>
      <c r="DM149" s="651">
        <f t="shared" ca="1" si="544"/>
        <v>40848</v>
      </c>
      <c r="DN149" s="563">
        <f t="shared" si="545"/>
        <v>-0.12990000000000002</v>
      </c>
      <c r="DO149" s="803">
        <v>-0.13</v>
      </c>
      <c r="DP149" s="650">
        <f t="shared" ca="1" si="521"/>
        <v>40848</v>
      </c>
      <c r="DQ149" s="653">
        <v>1E-4</v>
      </c>
      <c r="DR149" s="590">
        <v>1E-4</v>
      </c>
      <c r="DS149" s="650">
        <f t="shared" ca="1" si="522"/>
        <v>40848</v>
      </c>
      <c r="DT149" s="653">
        <v>1E-4</v>
      </c>
      <c r="DU149" s="590">
        <v>1E-4</v>
      </c>
      <c r="DV149" s="651">
        <f t="shared" ca="1" si="523"/>
        <v>40848</v>
      </c>
      <c r="DW149" s="590">
        <v>1E-4</v>
      </c>
      <c r="DX149" s="651">
        <f t="shared" ca="1" si="546"/>
        <v>40848</v>
      </c>
      <c r="DY149" s="590">
        <f t="shared" si="547"/>
        <v>1E-4</v>
      </c>
      <c r="DZ149" s="1"/>
      <c r="EA149" s="857"/>
      <c r="EB149" s="857"/>
      <c r="EC149" s="857"/>
      <c r="ED149" s="868" t="e">
        <f t="shared" ca="1" si="436"/>
        <v>#NAME?</v>
      </c>
      <c r="EE149" s="863" t="e">
        <f t="shared" ca="1" si="524"/>
        <v>#NAME?</v>
      </c>
      <c r="EF149" s="590" t="e">
        <f t="shared" ca="1" si="525"/>
        <v>#NAME?</v>
      </c>
      <c r="EG149" s="862" t="str">
        <f t="shared" ca="1" si="526"/>
        <v/>
      </c>
      <c r="EH149" s="114" t="str">
        <f t="shared" ca="1" si="527"/>
        <v/>
      </c>
      <c r="EI149" s="109" t="str">
        <f t="shared" ca="1" si="528"/>
        <v/>
      </c>
      <c r="EJ149" s="115">
        <f ca="1">IF(BD149,_xll.xASN(BP149,Strike1,AO149,EH149,0,BM149,0,BI149,BL149,IF(OptControl=4,0,1),0),0)</f>
        <v>0</v>
      </c>
      <c r="EK149" s="108">
        <f ca="1">IF(BD149,_xll.xASN(BP149,Strike2,AO149,EI149,0,BM149,0,BI149,BL149,IF(OptControl=3,1,0),0),0)</f>
        <v>0</v>
      </c>
      <c r="EP149" s="53"/>
      <c r="EQ149" s="1"/>
      <c r="ER149" s="103"/>
      <c r="ES149" s="103"/>
      <c r="ET149" s="1"/>
      <c r="EU149" s="667" t="s">
        <v>361</v>
      </c>
      <c r="EW149" s="445"/>
      <c r="EX149" s="36"/>
      <c r="EY149" s="104"/>
      <c r="EZ149" s="465"/>
      <c r="FA149" s="446"/>
      <c r="FB149" s="446"/>
      <c r="FC149" s="242"/>
      <c r="FD149" s="242"/>
      <c r="FE149" s="242"/>
      <c r="FF149" s="242"/>
      <c r="FG149" s="242"/>
      <c r="FH149" s="242"/>
      <c r="FI149" s="242"/>
      <c r="FJ149" s="242"/>
      <c r="FK149" s="242"/>
      <c r="FL149" s="242"/>
      <c r="FM149" s="242"/>
      <c r="FN149" s="657">
        <v>55</v>
      </c>
      <c r="FO149" s="450">
        <f t="shared" ca="1" si="477"/>
        <v>0.17308980258095955</v>
      </c>
      <c r="FP149" s="450">
        <f t="shared" ref="FP149:IA152" ca="1" si="559">IF($FN74&lt;FP$94,"",SQRT(FP74/FP$15))</f>
        <v>0.17309050403198387</v>
      </c>
      <c r="FQ149" s="450">
        <f t="shared" ca="1" si="559"/>
        <v>0.1729249535593072</v>
      </c>
      <c r="FR149" s="450">
        <f t="shared" ca="1" si="559"/>
        <v>0.17276775704587735</v>
      </c>
      <c r="FS149" s="450">
        <f t="shared" ca="1" si="559"/>
        <v>0.17261957299761718</v>
      </c>
      <c r="FT149" s="450">
        <f t="shared" ca="1" si="559"/>
        <v>0.17248113632716311</v>
      </c>
      <c r="FU149" s="450">
        <f t="shared" ca="1" si="559"/>
        <v>0.17235326704518139</v>
      </c>
      <c r="FV149" s="450">
        <f t="shared" ca="1" si="559"/>
        <v>0.17223687998125201</v>
      </c>
      <c r="FW149" s="450">
        <f t="shared" ca="1" si="559"/>
        <v>0.17213299566476545</v>
      </c>
      <c r="FX149" s="450">
        <f t="shared" ca="1" si="559"/>
        <v>0.17204275251470869</v>
      </c>
      <c r="FY149" s="450">
        <f t="shared" ca="1" si="559"/>
        <v>0.17196742050865785</v>
      </c>
      <c r="FZ149" s="450">
        <f t="shared" ca="1" si="559"/>
        <v>0.17190841652631891</v>
      </c>
      <c r="GA149" s="450">
        <f t="shared" ca="1" si="559"/>
        <v>0.17186732159226245</v>
      </c>
      <c r="GB149" s="450">
        <f t="shared" ca="1" si="559"/>
        <v>0.17184590027694416</v>
      </c>
      <c r="GC149" s="450">
        <f t="shared" ca="1" si="559"/>
        <v>0.17184612255571405</v>
      </c>
      <c r="GD149" s="450">
        <f t="shared" ca="1" si="559"/>
        <v>0.17187018847360222</v>
      </c>
      <c r="GE149" s="450">
        <f t="shared" ca="1" si="559"/>
        <v>0.17192055602079317</v>
      </c>
      <c r="GF149" s="450">
        <f t="shared" ca="1" si="559"/>
        <v>0.17199997269182951</v>
      </c>
      <c r="GG149" s="450">
        <f t="shared" ca="1" si="559"/>
        <v>0.17211151128316687</v>
      </c>
      <c r="GH149" s="450">
        <f t="shared" ca="1" si="559"/>
        <v>0.17225861058175454</v>
      </c>
      <c r="GI149" s="450">
        <f t="shared" ca="1" si="559"/>
        <v>0.1724451217156639</v>
      </c>
      <c r="GJ149" s="450">
        <f t="shared" ca="1" si="559"/>
        <v>0.17267536108120199</v>
      </c>
      <c r="GK149" s="450">
        <f t="shared" ca="1" si="559"/>
        <v>0.17295417093545842</v>
      </c>
      <c r="GL149" s="450">
        <f t="shared" ca="1" si="559"/>
        <v>0.17328698895650058</v>
      </c>
      <c r="GM149" s="450">
        <f t="shared" ca="1" si="559"/>
        <v>0.17367992833516294</v>
      </c>
      <c r="GN149" s="450">
        <f t="shared" ca="1" si="559"/>
        <v>0.17413987028501937</v>
      </c>
      <c r="GO149" s="450">
        <f t="shared" ca="1" si="559"/>
        <v>0.17467457125664376</v>
      </c>
      <c r="GP149" s="450">
        <f t="shared" ca="1" si="559"/>
        <v>0.1752927876392705</v>
      </c>
      <c r="GQ149" s="450">
        <f t="shared" ca="1" si="559"/>
        <v>0.17600442135418803</v>
      </c>
      <c r="GR149" s="450">
        <f t="shared" ca="1" si="559"/>
        <v>0.17682069052452185</v>
      </c>
      <c r="GS149" s="450">
        <f t="shared" ca="1" si="559"/>
        <v>0.17775433039121619</v>
      </c>
      <c r="GT149" s="450">
        <f t="shared" ca="1" si="559"/>
        <v>0.17881983089536538</v>
      </c>
      <c r="GU149" s="450">
        <f t="shared" ca="1" si="559"/>
        <v>0.18003371894271111</v>
      </c>
      <c r="GV149" s="450">
        <f t="shared" ca="1" si="559"/>
        <v>0.18141489541419079</v>
      </c>
      <c r="GW149" s="450">
        <f t="shared" ca="1" si="559"/>
        <v>0.18298503963099541</v>
      </c>
      <c r="GX149" s="450">
        <f t="shared" ca="1" si="559"/>
        <v>0.18476909741896141</v>
      </c>
      <c r="GY149" s="450">
        <f t="shared" ca="1" si="559"/>
        <v>0.18679587341195386</v>
      </c>
      <c r="GZ149" s="450">
        <f t="shared" ca="1" si="559"/>
        <v>0.18909875415425551</v>
      </c>
      <c r="HA149" s="450">
        <f t="shared" ca="1" si="559"/>
        <v>0.19171659641730848</v>
      </c>
      <c r="HB149" s="450">
        <f t="shared" ca="1" si="559"/>
        <v>0.19469482564976537</v>
      </c>
      <c r="HC149" s="450">
        <f t="shared" ca="1" si="559"/>
        <v>0.19808680363965531</v>
      </c>
      <c r="HD149" s="450">
        <f t="shared" ca="1" si="559"/>
        <v>0.20195554372186578</v>
      </c>
      <c r="HE149" s="450">
        <f t="shared" ca="1" si="559"/>
        <v>0.20637587828650544</v>
      </c>
      <c r="HF149" s="450">
        <f t="shared" ca="1" si="559"/>
        <v>0.21143721995571121</v>
      </c>
      <c r="HG149" s="450">
        <f t="shared" ca="1" si="559"/>
        <v>0.21724710905226749</v>
      </c>
      <c r="HH149" s="450">
        <f t="shared" ca="1" si="559"/>
        <v>0.22393581252908804</v>
      </c>
      <c r="HI149" s="450">
        <f t="shared" ca="1" si="559"/>
        <v>0.23166234340936179</v>
      </c>
      <c r="HJ149" s="450">
        <f t="shared" ca="1" si="559"/>
        <v>0.24062242039526932</v>
      </c>
      <c r="HK149" s="450">
        <f t="shared" ca="1" si="559"/>
        <v>0.25105910857143598</v>
      </c>
      <c r="HL149" s="450">
        <f t="shared" ca="1" si="559"/>
        <v>0.26327721185491904</v>
      </c>
      <c r="HM149" s="450">
        <f t="shared" ca="1" si="559"/>
        <v>0.27766298672578799</v>
      </c>
      <c r="HN149" s="450">
        <f t="shared" ca="1" si="559"/>
        <v>0.29471151405342061</v>
      </c>
      <c r="HO149" s="450">
        <f t="shared" ca="1" si="559"/>
        <v>0.31506526693616821</v>
      </c>
      <c r="HP149" s="450">
        <f t="shared" ca="1" si="559"/>
        <v>0.33956932894127634</v>
      </c>
      <c r="HQ149" s="450">
        <f t="shared" ca="1" si="559"/>
        <v>0.3693518390968743</v>
      </c>
      <c r="HR149" s="450" t="str">
        <f t="shared" si="559"/>
        <v/>
      </c>
      <c r="HS149" s="450" t="str">
        <f t="shared" si="559"/>
        <v/>
      </c>
      <c r="HT149" s="450" t="str">
        <f t="shared" si="559"/>
        <v/>
      </c>
      <c r="HU149" s="450" t="str">
        <f t="shared" si="559"/>
        <v/>
      </c>
      <c r="HV149" s="450" t="str">
        <f t="shared" si="559"/>
        <v/>
      </c>
      <c r="HW149" s="450" t="str">
        <f t="shared" si="559"/>
        <v/>
      </c>
      <c r="HX149" s="450" t="str">
        <f t="shared" si="559"/>
        <v/>
      </c>
      <c r="HY149" s="450" t="str">
        <f t="shared" si="559"/>
        <v/>
      </c>
      <c r="HZ149" s="450" t="str">
        <f t="shared" si="559"/>
        <v/>
      </c>
      <c r="IA149" s="450" t="str">
        <f t="shared" si="559"/>
        <v/>
      </c>
      <c r="IB149" s="450" t="str">
        <f t="shared" si="548"/>
        <v/>
      </c>
      <c r="IC149" s="450" t="str">
        <f t="shared" si="548"/>
        <v/>
      </c>
      <c r="ID149" s="450" t="str">
        <f t="shared" si="548"/>
        <v/>
      </c>
      <c r="IE149" s="450" t="str">
        <f t="shared" si="548"/>
        <v/>
      </c>
      <c r="IF149" s="450" t="str">
        <f t="shared" si="548"/>
        <v/>
      </c>
      <c r="IG149" s="450" t="str">
        <f t="shared" si="548"/>
        <v/>
      </c>
      <c r="IH149" s="658" t="str">
        <f t="shared" si="548"/>
        <v/>
      </c>
      <c r="II149" s="242"/>
    </row>
    <row r="150" spans="8:243">
      <c r="H150" s="49" t="e">
        <f t="shared" ca="1" si="529"/>
        <v>#N/A</v>
      </c>
      <c r="I150" s="369">
        <f t="shared" si="530"/>
        <v>40969</v>
      </c>
      <c r="J150" s="367">
        <v>22.634999999999902</v>
      </c>
      <c r="K150" s="101" t="s">
        <v>267</v>
      </c>
      <c r="L150" s="382">
        <f t="shared" si="531"/>
        <v>22.634999999999945</v>
      </c>
      <c r="M150" s="163">
        <v>0.15910000000000002</v>
      </c>
      <c r="N150" s="372">
        <v>0</v>
      </c>
      <c r="O150" s="163">
        <f t="shared" si="488"/>
        <v>0.15910000000000002</v>
      </c>
      <c r="P150" s="367">
        <v>21.428993692296398</v>
      </c>
      <c r="Q150" s="101" t="s">
        <v>267</v>
      </c>
      <c r="R150" s="367">
        <f t="shared" ca="1" si="549"/>
        <v>21.428993692296356</v>
      </c>
      <c r="S150" s="814">
        <f t="shared" si="474"/>
        <v>0.35367445755111099</v>
      </c>
      <c r="T150" s="813">
        <f t="shared" si="550"/>
        <v>0.99999991210551908</v>
      </c>
      <c r="U150" s="532">
        <f t="shared" si="551"/>
        <v>0.99999999999999978</v>
      </c>
      <c r="V150" s="379">
        <v>0</v>
      </c>
      <c r="W150" s="424">
        <f t="shared" si="489"/>
        <v>22.669090909090809</v>
      </c>
      <c r="X150" s="405">
        <f t="shared" si="490"/>
        <v>22.669090909090855</v>
      </c>
      <c r="Y150" s="313">
        <f t="shared" si="491"/>
        <v>21.453090909090808</v>
      </c>
      <c r="Z150" s="313">
        <f t="shared" ca="1" si="492"/>
        <v>21.453090909090854</v>
      </c>
      <c r="AA150" s="419">
        <f t="shared" si="493"/>
        <v>1.216</v>
      </c>
      <c r="AB150" s="423">
        <f t="shared" ca="1" si="494"/>
        <v>1.216</v>
      </c>
      <c r="AC150" s="221">
        <v>40959</v>
      </c>
      <c r="AD150" s="221">
        <v>40955</v>
      </c>
      <c r="AE150" s="221">
        <v>40954</v>
      </c>
      <c r="AF150" s="221">
        <v>40950</v>
      </c>
      <c r="AG150" s="241" t="s">
        <v>497</v>
      </c>
      <c r="AH150" s="239" t="s">
        <v>497</v>
      </c>
      <c r="AI150" s="141">
        <v>22</v>
      </c>
      <c r="AJ150" s="41">
        <v>14</v>
      </c>
      <c r="AK150" s="41">
        <v>8</v>
      </c>
      <c r="AL150" s="285">
        <v>22</v>
      </c>
      <c r="AM150" s="41">
        <v>10</v>
      </c>
      <c r="AN150" s="142">
        <v>12</v>
      </c>
      <c r="AO150" s="364">
        <v>5.9766262992077698E-2</v>
      </c>
      <c r="AP150" s="145">
        <f t="shared" ca="1" si="532"/>
        <v>0.52393560624593194</v>
      </c>
      <c r="AQ150" s="364">
        <v>5.1109062036195599E-2</v>
      </c>
      <c r="AR150" s="145">
        <f t="shared" ca="1" si="552"/>
        <v>0.57819281877542628</v>
      </c>
      <c r="AS150" s="264">
        <f t="shared" si="495"/>
        <v>0.15855454545454545</v>
      </c>
      <c r="AT150" s="149">
        <f t="shared" si="533"/>
        <v>0.15910000000000002</v>
      </c>
      <c r="AU150" s="149">
        <f t="shared" si="496"/>
        <v>0.1584818181818182</v>
      </c>
      <c r="AV150" s="263">
        <f t="shared" ref="AV150:AV213" ca="1" si="560">SQRT(MAX(0.000000000001,(O150^2*BH150-S150^2*(BH150-BH149))/BH149))</f>
        <v>0.1566097002522662</v>
      </c>
      <c r="AW150" s="150" t="str">
        <f t="shared" ca="1" si="497"/>
        <v/>
      </c>
      <c r="AX150" s="149">
        <f t="shared" ca="1" si="553"/>
        <v>1.0389180073874476E-2</v>
      </c>
      <c r="AY150" s="149">
        <f t="shared" ca="1" si="554"/>
        <v>4.0888175762044633E-3</v>
      </c>
      <c r="AZ150" s="149">
        <f t="shared" ca="1" si="555"/>
        <v>3.3083973380501727E-3</v>
      </c>
      <c r="BA150" s="149">
        <f t="shared" ca="1" si="556"/>
        <v>1.0000000000000533E-4</v>
      </c>
      <c r="BB150" s="149">
        <f t="shared" ca="1" si="557"/>
        <v>1.0000000000000533E-4</v>
      </c>
      <c r="BC150" s="149">
        <f t="shared" ca="1" si="558"/>
        <v>1.0000000000000533E-4</v>
      </c>
      <c r="BD150" s="143">
        <f t="shared" ca="1" si="498"/>
        <v>0</v>
      </c>
      <c r="BE150" s="144">
        <f t="shared" ca="1" si="499"/>
        <v>0</v>
      </c>
      <c r="BF150" s="40">
        <f t="shared" si="500"/>
        <v>2012</v>
      </c>
      <c r="BG150" s="139">
        <f t="shared" si="501"/>
        <v>3</v>
      </c>
      <c r="BH150" s="140">
        <f t="shared" ca="1" si="502"/>
        <v>3965</v>
      </c>
      <c r="BI150" s="304">
        <f t="shared" ca="1" si="440"/>
        <v>10.89390828199863</v>
      </c>
      <c r="BJ150" s="42">
        <f t="shared" ca="1" si="503"/>
        <v>10.946176342480245</v>
      </c>
      <c r="BK150" s="42">
        <f t="shared" ca="1" si="504"/>
        <v>10.948914193267377</v>
      </c>
      <c r="BL150" s="42">
        <f t="shared" ca="1" si="441"/>
        <v>10.976043805612594</v>
      </c>
      <c r="BM150" s="285">
        <f t="shared" si="442"/>
        <v>22</v>
      </c>
      <c r="BN150" s="41">
        <f t="shared" si="443"/>
        <v>14</v>
      </c>
      <c r="BO150" s="41">
        <f t="shared" si="444"/>
        <v>8</v>
      </c>
      <c r="BP150" s="297" t="str">
        <f t="shared" ca="1" si="505"/>
        <v/>
      </c>
      <c r="BQ150" s="297" t="str">
        <f t="shared" ca="1" si="506"/>
        <v/>
      </c>
      <c r="BR150" s="299" t="str">
        <f t="shared" ca="1" si="507"/>
        <v/>
      </c>
      <c r="BS150" s="153" t="str">
        <f t="shared" ca="1" si="508"/>
        <v/>
      </c>
      <c r="BT150" s="153" t="str">
        <f t="shared" ca="1" si="509"/>
        <v/>
      </c>
      <c r="BU150" s="300" t="str">
        <f t="shared" ca="1" si="510"/>
        <v/>
      </c>
      <c r="BV150" s="301" t="str">
        <f t="shared" ca="1" si="511"/>
        <v/>
      </c>
      <c r="BW150" s="300" t="str">
        <f t="shared" ca="1" si="512"/>
        <v/>
      </c>
      <c r="BX150" s="301" t="str">
        <f t="shared" ca="1" si="513"/>
        <v/>
      </c>
      <c r="BY150" s="146" t="str">
        <f t="shared" ca="1" si="514"/>
        <v/>
      </c>
      <c r="BZ150" s="146" t="str">
        <f t="shared" ca="1" si="515"/>
        <v/>
      </c>
      <c r="CA150" s="146" t="str">
        <f t="shared" ca="1" si="516"/>
        <v/>
      </c>
      <c r="CB150" s="146" t="str">
        <f t="shared" ca="1" si="517"/>
        <v/>
      </c>
      <c r="CC150" s="302">
        <v>1</v>
      </c>
      <c r="CD150" s="154">
        <f ca="1">IF(BD150,_xll.xCrudeAPO(BS150,BT150,BY150,BZ150,S151,S152,BI150,BL150,BN150,BO150,0,Strike1,AO150,CC150,0,BL150,IF(OptControl=4,0,1),0,1),0)</f>
        <v>0</v>
      </c>
      <c r="CE150" s="155">
        <f ca="1">IF(BD150,_xll.xCrudeAPO(BS150,BT150,BY150,BZ150,S151,S152,BI150,BL150,BN150,BO150,0,Strike1,AO150,CC150,0,BL150,IF(OptControl=4,0,1),1,1)+_xll.xCrudeAPO(BS150,BT150,BY150,BZ150,S151,S152,BI150,BL150,BN150,BO150,0,Strike1,AO150,CC150,0,BL150,IF(OptControl=4,0,1),1,2)+IF(OR(VolSkewFlag=2,ABS(BQ150)&lt;0.0001),0,IF(BQ150&gt;0,-1,1)*CF150*Strike1/BP150^2*BW150/10%),0)</f>
        <v>0</v>
      </c>
      <c r="CF150" s="155">
        <f ca="1">IF(BD150,(_xll.xCrudeAPO(BS150,BT150,BY150,BZ150,S151,S152,BI150,BL150,BN150,BO150,0,Strike1,AO150,CC150,0,BL150,IF(OptControl=4,0,1),3,1)+_xll.xCrudeAPO(BS150,BT150,BY150,BZ150,S151,S152,BI150,BL150,BN150,BO150,0,Strike1,AO150,CC150,0,BL150,IF(OptControl=4,0,1),3,2))/100,0)</f>
        <v>0</v>
      </c>
      <c r="CG150" s="155">
        <f ca="1">IF(BD150,_xll.xCrudeAPO(BS150,BT150,BY150,BZ150,S151,S152,BI150-DaysForThetaCalculation/365.25,BL150-DaysForThetaCalculation/365.25,BN150,BO150,0,Strike1,AO150,CC150,0,BL150,IF(OptControl=4,0,1),0,1)-_xll.xCrudeAPO(BS150,BT150,BY150,BZ150,S151,S152,BI150,BL150,BN150,BO150,0,Strike1,AO150,CC150,0,BL150,IF(OptControl=4,0,1),0,1),0)</f>
        <v>0</v>
      </c>
      <c r="CH150" s="303">
        <f ca="1">IF(BD150,_xll.xCrudeAPO(BS150,BT150,CA150,CB150,S151,S152,BI150,BL150,BN150,BO150,0,Strike2,AO150,CC150,0,BL150,IF(OptControl=3,1,0),0,1),0)</f>
        <v>0</v>
      </c>
      <c r="CI150" s="155">
        <f ca="1">IF(BD150,_xll.xCrudeAPO(BS150,BT150,CA150,CB150,S151,S152,BI150,BL150,BN150,BO150,0,Strike2,AO150,CC150,0,BL150,IF(OptControl=3,1,0),1,1)+_xll.xCrudeAPO(BS150,BT150,CA150,CB150,S151,S152,BI150,BL150,BN150,BO150,0,Strike2,AO150,CC150,0,BL150,IF(OptControl=3,1,0),1,2)+IF(OR(VolSkewFlag=2,ABS(BR150)&lt;0.0001),0,IF(BR150&gt;0,-1,1)*CJ150*Strike2/BP150^2*BX150/10%),0)</f>
        <v>0</v>
      </c>
      <c r="CJ150" s="155">
        <f ca="1">IF(BD150,(_xll.xCrudeAPO(BS150,BT150,CA150,CB150,S151,S152,BI150,BL150,BN150,BO150,0,Strike2,AO150,CC150,0,BL150,IF(OptControl=3,1,0),3,1)+_xll.xCrudeAPO(BS150,BT150,CA150,CB150,S151,S152,BI150,BL150,BN150,BO150,0,Strike2,AO150,CC150,0,BL150,IF(OptControl=3,1,0),3,2))/100,0)</f>
        <v>0</v>
      </c>
      <c r="CK150" s="156">
        <f ca="1">IF(BD150,_xll.xCrudeAPO(BS150,BT150,CA150,CB150,S151,S152,BI150-DaysForThetaCalculation/365.25,BL150-DaysForThetaCalculation/365.25,BN150,BO150,0,Strike2,AO150,CC150,0,BL150,IF(OptControl=3,1,0),0,1)-_xll.xCrudeAPO(BS150,BT150,CA150,CB150,S151,S152,BI150,BL150,BN150,BO150,0,Strike2,AO150,CC150,0,BL150,IF(OptControl=3,1,0),0,1),0)</f>
        <v>0</v>
      </c>
      <c r="CL150" s="51"/>
      <c r="CM150" s="779" t="str">
        <f t="shared" ca="1" si="534"/>
        <v/>
      </c>
      <c r="CN150" s="783" t="str">
        <f t="shared" ca="1" si="535"/>
        <v/>
      </c>
      <c r="CO150" s="780" t="str">
        <f t="shared" ca="1" si="536"/>
        <v/>
      </c>
      <c r="CP150" s="780" t="str">
        <f t="shared" ca="1" si="537"/>
        <v/>
      </c>
      <c r="CQ150" s="780" t="str">
        <f t="shared" ca="1" si="538"/>
        <v/>
      </c>
      <c r="CR150" s="780" t="str">
        <f t="shared" ca="1" si="539"/>
        <v/>
      </c>
      <c r="CS150" s="781" t="str">
        <f t="shared" ca="1" si="540"/>
        <v/>
      </c>
      <c r="CT150" s="782" t="str">
        <f t="shared" ca="1" si="541"/>
        <v/>
      </c>
      <c r="CU150" s="782" t="str">
        <f t="shared" ca="1" si="542"/>
        <v/>
      </c>
      <c r="CV150" s="155">
        <f ca="1">IF(BD150,_xll.EURO(CN150,Strike1,AO150,AO150,CT150,CM150,IF(OptControl=4,0,1),0),0)</f>
        <v>0</v>
      </c>
      <c r="CW150" s="155">
        <f ca="1">IF(BD150,_xll.EURO(CN150,Strike1,AO150,AO150,CT150,CM150,IF(OptControl=4,0,1),1)+IF(OR(VolSkewFlag=2,ABS(CO150)&lt;0.0001),0,IF(CO150&gt;0,-1,1)*CX150*100*Strike1/CN150^2*CQ150/10%),0)</f>
        <v>0</v>
      </c>
      <c r="CX150" s="155">
        <f ca="1">IF(BD150,_xll.EURO(CN150,Strike1,AO150,AO150,CT150,CM150,IF(OptControl=4,0,1),3)/100,0)</f>
        <v>0</v>
      </c>
      <c r="CY150" s="155">
        <f ca="1">IF(BD150,_xll.EURO(CN150,Strike1,AO150,AO150,CT150,CM150,IF(OptControl=4,0,1),0)-_xll.EURO(CN150,Strike1,AO150,AO150,CT150,CM150-1,IF(OptControl=4,0,1),0),0)</f>
        <v>0</v>
      </c>
      <c r="CZ150" s="155">
        <f ca="1">IF(BD150,_xll.EURO(CN150,Strike2,AO150,AO150,CU150,CM150,IF(OptControl=3,1,0),0),0)</f>
        <v>0</v>
      </c>
      <c r="DA150" s="155">
        <f ca="1">IF(BD150,_xll.EURO(CN150,Strike2,AO150,AO150,CU150,CM150,IF(OptControl=3,1,0),1)+IF(OR(VolSkewFlag=2,ABS(CP150)&lt;0.0001),0,IF(CP150&gt;0,-1,1)*DB150*100*Strike2/CN150^2*CR150/10%),0)</f>
        <v>0</v>
      </c>
      <c r="DB150" s="155">
        <f ca="1">IF(BD150,_xll.EURO(CN150,Strike2,AO150,AO150,CU150,CM150,IF(OptControl=3,1,0),3)/100,0)</f>
        <v>0</v>
      </c>
      <c r="DC150" s="156">
        <f ca="1">IF(BD150,_xll.EURO(CN150,Strike2,AO150,AO150,CU150,CM150,IF(OptControl=3,1,0),0)-_xll.EURO(CN150,Strike2,AO150,AO150,CU150,CM150-1,IF(OptControl=3,1,0),0),0)</f>
        <v>0</v>
      </c>
      <c r="DE150" s="651">
        <f t="shared" ca="1" si="543"/>
        <v>40878</v>
      </c>
      <c r="DF150" s="465">
        <v>1E-4</v>
      </c>
      <c r="DG150" s="649">
        <v>1E-4</v>
      </c>
      <c r="DH150" s="650">
        <f t="shared" ca="1" si="518"/>
        <v>40878</v>
      </c>
      <c r="DI150" s="465">
        <v>1E-4</v>
      </c>
      <c r="DJ150" s="649">
        <v>1E-4</v>
      </c>
      <c r="DK150" s="651">
        <f t="shared" ca="1" si="519"/>
        <v>40878</v>
      </c>
      <c r="DL150" s="652">
        <f t="shared" si="520"/>
        <v>5.0100000000000006E-2</v>
      </c>
      <c r="DM150" s="651">
        <f t="shared" ca="1" si="544"/>
        <v>40878</v>
      </c>
      <c r="DN150" s="563">
        <f t="shared" si="545"/>
        <v>-0.12990000000000002</v>
      </c>
      <c r="DO150" s="803">
        <v>-0.13</v>
      </c>
      <c r="DP150" s="650">
        <f t="shared" ca="1" si="521"/>
        <v>40878</v>
      </c>
      <c r="DQ150" s="653">
        <v>1E-4</v>
      </c>
      <c r="DR150" s="590">
        <v>1E-4</v>
      </c>
      <c r="DS150" s="650">
        <f t="shared" ca="1" si="522"/>
        <v>40878</v>
      </c>
      <c r="DT150" s="653">
        <v>1E-4</v>
      </c>
      <c r="DU150" s="590">
        <v>1E-4</v>
      </c>
      <c r="DV150" s="651">
        <f t="shared" ca="1" si="523"/>
        <v>40878</v>
      </c>
      <c r="DW150" s="590">
        <v>1E-4</v>
      </c>
      <c r="DX150" s="651">
        <f t="shared" ca="1" si="546"/>
        <v>40878</v>
      </c>
      <c r="DY150" s="590">
        <f t="shared" si="547"/>
        <v>1E-4</v>
      </c>
      <c r="DZ150" s="1"/>
      <c r="EA150" s="857"/>
      <c r="EB150" s="857"/>
      <c r="EC150" s="857"/>
      <c r="ED150" s="868" t="e">
        <f t="shared" ca="1" si="436"/>
        <v>#NAME?</v>
      </c>
      <c r="EE150" s="863" t="e">
        <f t="shared" ca="1" si="524"/>
        <v>#NAME?</v>
      </c>
      <c r="EF150" s="590" t="e">
        <f t="shared" ca="1" si="525"/>
        <v>#NAME?</v>
      </c>
      <c r="EG150" s="862" t="str">
        <f t="shared" ca="1" si="526"/>
        <v/>
      </c>
      <c r="EH150" s="114" t="str">
        <f t="shared" ca="1" si="527"/>
        <v/>
      </c>
      <c r="EI150" s="109" t="str">
        <f t="shared" ca="1" si="528"/>
        <v/>
      </c>
      <c r="EJ150" s="115">
        <f ca="1">IF(BD150,_xll.xASN(BP150,Strike1,AO150,EH150,0,BM150,0,BI150,BL150,IF(OptControl=4,0,1),0),0)</f>
        <v>0</v>
      </c>
      <c r="EK150" s="108">
        <f ca="1">IF(BD150,_xll.xASN(BP150,Strike2,AO150,EI150,0,BM150,0,BI150,BL150,IF(OptControl=3,1,0),0),0)</f>
        <v>0</v>
      </c>
      <c r="EP150" s="53"/>
      <c r="EQ150" s="1"/>
      <c r="ER150" s="103"/>
      <c r="ES150" s="103"/>
      <c r="ET150" s="1"/>
      <c r="EU150" s="667" t="s">
        <v>362</v>
      </c>
      <c r="EW150" s="445"/>
      <c r="EX150" s="36"/>
      <c r="EY150" s="104"/>
      <c r="EZ150" s="465"/>
      <c r="FA150" s="446"/>
      <c r="FB150" s="446"/>
      <c r="FC150" s="242"/>
      <c r="FD150" s="242"/>
      <c r="FE150" s="242"/>
      <c r="FF150" s="242"/>
      <c r="FG150" s="242"/>
      <c r="FH150" s="242"/>
      <c r="FI150" s="242"/>
      <c r="FJ150" s="242"/>
      <c r="FK150" s="242"/>
      <c r="FL150" s="242"/>
      <c r="FM150" s="242"/>
      <c r="FN150" s="657">
        <v>56</v>
      </c>
      <c r="FO150" s="450">
        <f t="shared" ca="1" si="477"/>
        <v>0.17304410852803728</v>
      </c>
      <c r="FP150" s="450">
        <f t="shared" ca="1" si="559"/>
        <v>0.17303973191148039</v>
      </c>
      <c r="FQ150" s="450">
        <f t="shared" ca="1" si="559"/>
        <v>0.17286859312937869</v>
      </c>
      <c r="FR150" s="450">
        <f t="shared" ca="1" si="559"/>
        <v>0.17270519013950791</v>
      </c>
      <c r="FS150" s="450">
        <f t="shared" ca="1" si="559"/>
        <v>0.17255011244146265</v>
      </c>
      <c r="FT150" s="450">
        <f t="shared" ca="1" si="559"/>
        <v>0.17240401810190467</v>
      </c>
      <c r="FU150" s="450">
        <f t="shared" ca="1" si="559"/>
        <v>0.17226764152451823</v>
      </c>
      <c r="FV150" s="450">
        <f t="shared" ca="1" si="559"/>
        <v>0.17214180213428287</v>
      </c>
      <c r="FW150" s="450">
        <f t="shared" ca="1" si="559"/>
        <v>0.17202741409053393</v>
      </c>
      <c r="FX150" s="450">
        <f t="shared" ca="1" si="559"/>
        <v>0.17192549715916378</v>
      </c>
      <c r="FY150" s="450">
        <f t="shared" ca="1" si="559"/>
        <v>0.17183718889273325</v>
      </c>
      <c r="FZ150" s="450">
        <f t="shared" ca="1" si="559"/>
        <v>0.17176375828868792</v>
      </c>
      <c r="GA150" s="450">
        <f t="shared" ca="1" si="559"/>
        <v>0.17170662112087834</v>
      </c>
      <c r="GB150" s="450">
        <f t="shared" ca="1" si="559"/>
        <v>0.17166735716887485</v>
      </c>
      <c r="GC150" s="450">
        <f t="shared" ca="1" si="559"/>
        <v>0.17164772960397623</v>
      </c>
      <c r="GD150" s="450">
        <f t="shared" ca="1" si="559"/>
        <v>0.17164970683140432</v>
      </c>
      <c r="GE150" s="450">
        <f t="shared" ca="1" si="559"/>
        <v>0.17167548713622363</v>
      </c>
      <c r="GF150" s="450">
        <f t="shared" ca="1" si="559"/>
        <v>0.17172752653760301</v>
      </c>
      <c r="GG150" s="450">
        <f t="shared" ca="1" si="559"/>
        <v>0.17180857032412666</v>
      </c>
      <c r="GH150" s="450">
        <f t="shared" ca="1" si="559"/>
        <v>0.17192168882437284</v>
      </c>
      <c r="GI150" s="450">
        <f t="shared" ca="1" si="559"/>
        <v>0.17207031806496759</v>
      </c>
      <c r="GJ150" s="450">
        <f t="shared" ca="1" si="559"/>
        <v>0.17225830608658158</v>
      </c>
      <c r="GK150" s="450">
        <f t="shared" ca="1" si="559"/>
        <v>0.17248996583164419</v>
      </c>
      <c r="GL150" s="450">
        <f t="shared" ca="1" si="559"/>
        <v>0.17277013569194286</v>
      </c>
      <c r="GM150" s="450">
        <f t="shared" ca="1" si="559"/>
        <v>0.1731042490173777</v>
      </c>
      <c r="GN150" s="450">
        <f t="shared" ca="1" si="559"/>
        <v>0.17349841414868938</v>
      </c>
      <c r="GO150" s="450">
        <f t="shared" ca="1" si="559"/>
        <v>0.17395950685938183</v>
      </c>
      <c r="GP150" s="450">
        <f t="shared" ca="1" si="559"/>
        <v>0.17449527749129418</v>
      </c>
      <c r="GQ150" s="450">
        <f t="shared" ca="1" si="559"/>
        <v>0.17511447556491266</v>
      </c>
      <c r="GR150" s="450">
        <f t="shared" ca="1" si="559"/>
        <v>0.1758269952662937</v>
      </c>
      <c r="GS150" s="450">
        <f t="shared" ca="1" si="559"/>
        <v>0.17664404599222064</v>
      </c>
      <c r="GT150" s="450">
        <f t="shared" ca="1" si="559"/>
        <v>0.17757835311965689</v>
      </c>
      <c r="GU150" s="450">
        <f t="shared" ca="1" si="559"/>
        <v>0.1786443954149988</v>
      </c>
      <c r="GV150" s="450">
        <f t="shared" ca="1" si="559"/>
        <v>0.1798586870931386</v>
      </c>
      <c r="GW150" s="450">
        <f t="shared" ca="1" si="559"/>
        <v>0.18124011458294179</v>
      </c>
      <c r="GX150" s="450">
        <f t="shared" ca="1" si="559"/>
        <v>0.18281034069840882</v>
      </c>
      <c r="GY150" s="450">
        <f t="shared" ca="1" si="559"/>
        <v>0.18459429234868438</v>
      </c>
      <c r="GZ150" s="450">
        <f t="shared" ca="1" si="559"/>
        <v>0.18662075241167744</v>
      </c>
      <c r="HA150" s="450">
        <f t="shared" ca="1" si="559"/>
        <v>0.18892308231216348</v>
      </c>
      <c r="HB150" s="450">
        <f t="shared" ca="1" si="559"/>
        <v>0.19154010969494703</v>
      </c>
      <c r="HC150" s="450">
        <f t="shared" ca="1" si="559"/>
        <v>0.19451722607974603</v>
      </c>
      <c r="HD150" s="450">
        <f t="shared" ca="1" si="559"/>
        <v>0.1979077535342055</v>
      </c>
      <c r="HE150" s="450">
        <f t="shared" ca="1" si="559"/>
        <v>0.2017746586420936</v>
      </c>
      <c r="HF150" s="450">
        <f t="shared" ca="1" si="559"/>
        <v>0.20619271844728898</v>
      </c>
      <c r="HG150" s="450">
        <f t="shared" ca="1" si="559"/>
        <v>0.2112512796401266</v>
      </c>
      <c r="HH150" s="450">
        <f t="shared" ca="1" si="559"/>
        <v>0.21705780347208356</v>
      </c>
      <c r="HI150" s="450">
        <f t="shared" ca="1" si="559"/>
        <v>0.22374246137905202</v>
      </c>
      <c r="HJ150" s="450">
        <f t="shared" ca="1" si="559"/>
        <v>0.23146415010068117</v>
      </c>
      <c r="HK150" s="450">
        <f t="shared" ca="1" si="559"/>
        <v>0.24041844558498476</v>
      </c>
      <c r="HL150" s="450">
        <f t="shared" ca="1" si="559"/>
        <v>0.25084823607961326</v>
      </c>
      <c r="HM150" s="450">
        <f t="shared" ca="1" si="559"/>
        <v>0.26305810430468884</v>
      </c>
      <c r="HN150" s="450">
        <f t="shared" ca="1" si="559"/>
        <v>0.27743402713375354</v>
      </c>
      <c r="HO150" s="450">
        <f t="shared" ca="1" si="559"/>
        <v>0.29447072795217905</v>
      </c>
      <c r="HP150" s="450">
        <f t="shared" ca="1" si="559"/>
        <v>0.31481021712387663</v>
      </c>
      <c r="HQ150" s="450">
        <f t="shared" ca="1" si="559"/>
        <v>0.33929697112692797</v>
      </c>
      <c r="HR150" s="450">
        <f t="shared" ca="1" si="559"/>
        <v>0.36905832070590555</v>
      </c>
      <c r="HS150" s="450" t="str">
        <f t="shared" si="559"/>
        <v/>
      </c>
      <c r="HT150" s="450" t="str">
        <f t="shared" si="559"/>
        <v/>
      </c>
      <c r="HU150" s="450" t="str">
        <f t="shared" si="559"/>
        <v/>
      </c>
      <c r="HV150" s="450" t="str">
        <f t="shared" si="559"/>
        <v/>
      </c>
      <c r="HW150" s="450" t="str">
        <f t="shared" si="559"/>
        <v/>
      </c>
      <c r="HX150" s="450" t="str">
        <f t="shared" si="559"/>
        <v/>
      </c>
      <c r="HY150" s="450" t="str">
        <f t="shared" si="559"/>
        <v/>
      </c>
      <c r="HZ150" s="450" t="str">
        <f t="shared" si="559"/>
        <v/>
      </c>
      <c r="IA150" s="450" t="str">
        <f t="shared" si="559"/>
        <v/>
      </c>
      <c r="IB150" s="450" t="str">
        <f t="shared" si="548"/>
        <v/>
      </c>
      <c r="IC150" s="450" t="str">
        <f t="shared" si="548"/>
        <v/>
      </c>
      <c r="ID150" s="450" t="str">
        <f t="shared" si="548"/>
        <v/>
      </c>
      <c r="IE150" s="450" t="str">
        <f t="shared" si="548"/>
        <v/>
      </c>
      <c r="IF150" s="450" t="str">
        <f t="shared" si="548"/>
        <v/>
      </c>
      <c r="IG150" s="450" t="str">
        <f t="shared" si="548"/>
        <v/>
      </c>
      <c r="IH150" s="658" t="str">
        <f t="shared" si="548"/>
        <v/>
      </c>
      <c r="II150" s="242"/>
    </row>
    <row r="151" spans="8:243">
      <c r="H151" s="49" t="e">
        <f t="shared" ca="1" si="529"/>
        <v>#N/A</v>
      </c>
      <c r="I151" s="369">
        <f t="shared" si="530"/>
        <v>41000</v>
      </c>
      <c r="J151" s="367">
        <v>22.659999999999901</v>
      </c>
      <c r="K151" s="101" t="s">
        <v>267</v>
      </c>
      <c r="L151" s="382">
        <f t="shared" si="531"/>
        <v>22.659999999999943</v>
      </c>
      <c r="M151" s="163">
        <v>0.15870000000000001</v>
      </c>
      <c r="N151" s="372">
        <v>0</v>
      </c>
      <c r="O151" s="163">
        <f t="shared" si="488"/>
        <v>0.15870000000000001</v>
      </c>
      <c r="P151" s="367">
        <v>21.425823916094096</v>
      </c>
      <c r="Q151" s="101" t="s">
        <v>267</v>
      </c>
      <c r="R151" s="367">
        <f t="shared" ca="1" si="549"/>
        <v>21.425823916094114</v>
      </c>
      <c r="S151" s="814">
        <f t="shared" si="474"/>
        <v>0.35353771297559988</v>
      </c>
      <c r="T151" s="813">
        <f t="shared" si="550"/>
        <v>0.99999992089496748</v>
      </c>
      <c r="U151" s="532">
        <f t="shared" si="551"/>
        <v>0.99999999999999978</v>
      </c>
      <c r="V151" s="379">
        <v>0</v>
      </c>
      <c r="W151" s="424">
        <f t="shared" si="489"/>
        <v>22.692142857142759</v>
      </c>
      <c r="X151" s="405">
        <f t="shared" si="490"/>
        <v>22.692142857142798</v>
      </c>
      <c r="Y151" s="313">
        <f t="shared" si="491"/>
        <v>21.348142857142758</v>
      </c>
      <c r="Z151" s="313">
        <f t="shared" ca="1" si="492"/>
        <v>21.348142857142797</v>
      </c>
      <c r="AA151" s="419">
        <f t="shared" si="493"/>
        <v>1.3440000000000001</v>
      </c>
      <c r="AB151" s="423">
        <f t="shared" ca="1" si="494"/>
        <v>1.3440000000000001</v>
      </c>
      <c r="AC151" s="221">
        <v>40988</v>
      </c>
      <c r="AD151" s="221">
        <v>40984</v>
      </c>
      <c r="AE151" s="221">
        <v>40983</v>
      </c>
      <c r="AF151" s="221">
        <v>40979</v>
      </c>
      <c r="AG151" s="241" t="s">
        <v>497</v>
      </c>
      <c r="AH151" s="239" t="s">
        <v>497</v>
      </c>
      <c r="AI151" s="141">
        <v>21</v>
      </c>
      <c r="AJ151" s="41">
        <v>15</v>
      </c>
      <c r="AK151" s="41">
        <v>6</v>
      </c>
      <c r="AL151" s="285">
        <v>21</v>
      </c>
      <c r="AM151" s="41">
        <v>10</v>
      </c>
      <c r="AN151" s="142">
        <v>11</v>
      </c>
      <c r="AO151" s="364">
        <v>5.9811585528643602E-2</v>
      </c>
      <c r="AP151" s="145">
        <f t="shared" ca="1" si="532"/>
        <v>0.52115376655033152</v>
      </c>
      <c r="AQ151" s="364">
        <v>5.1216088966311406E-2</v>
      </c>
      <c r="AR151" s="145">
        <f t="shared" ca="1" si="552"/>
        <v>0.57522387143161402</v>
      </c>
      <c r="AS151" s="264">
        <f t="shared" si="495"/>
        <v>0.15818571428571429</v>
      </c>
      <c r="AT151" s="149">
        <f t="shared" si="533"/>
        <v>0.15870000000000001</v>
      </c>
      <c r="AU151" s="149">
        <f t="shared" si="496"/>
        <v>0.1580904761904762</v>
      </c>
      <c r="AV151" s="263">
        <f t="shared" ca="1" si="560"/>
        <v>0.15638327745557279</v>
      </c>
      <c r="AW151" s="150" t="str">
        <f t="shared" ca="1" si="497"/>
        <v/>
      </c>
      <c r="AX151" s="149">
        <f t="shared" ca="1" si="553"/>
        <v>1.0243230651701355E-2</v>
      </c>
      <c r="AY151" s="149">
        <f t="shared" ca="1" si="554"/>
        <v>4.0184659187120133E-3</v>
      </c>
      <c r="AZ151" s="149">
        <f t="shared" ca="1" si="555"/>
        <v>3.2689681573816174E-3</v>
      </c>
      <c r="BA151" s="149">
        <f t="shared" ca="1" si="556"/>
        <v>1.000000000000054E-4</v>
      </c>
      <c r="BB151" s="149">
        <f t="shared" ca="1" si="557"/>
        <v>1.000000000000054E-4</v>
      </c>
      <c r="BC151" s="149">
        <f t="shared" ca="1" si="558"/>
        <v>1.000000000000054E-4</v>
      </c>
      <c r="BD151" s="143">
        <f t="shared" ca="1" si="498"/>
        <v>0</v>
      </c>
      <c r="BE151" s="144">
        <f t="shared" ca="1" si="499"/>
        <v>0</v>
      </c>
      <c r="BF151" s="40">
        <f t="shared" si="500"/>
        <v>2012</v>
      </c>
      <c r="BG151" s="139">
        <f t="shared" si="501"/>
        <v>4</v>
      </c>
      <c r="BH151" s="140">
        <f t="shared" ca="1" si="502"/>
        <v>3994</v>
      </c>
      <c r="BI151" s="304">
        <f t="shared" ca="1" si="440"/>
        <v>10.978781656399725</v>
      </c>
      <c r="BJ151" s="42">
        <f t="shared" ca="1" si="503"/>
        <v>11.035494279847462</v>
      </c>
      <c r="BK151" s="42">
        <f t="shared" ca="1" si="504"/>
        <v>11.038232130634595</v>
      </c>
      <c r="BL151" s="42">
        <f t="shared" ca="1" si="441"/>
        <v>11.058179329226558</v>
      </c>
      <c r="BM151" s="285">
        <f t="shared" si="442"/>
        <v>21</v>
      </c>
      <c r="BN151" s="41">
        <f t="shared" si="443"/>
        <v>15</v>
      </c>
      <c r="BO151" s="41">
        <f t="shared" si="444"/>
        <v>6</v>
      </c>
      <c r="BP151" s="297" t="str">
        <f t="shared" ca="1" si="505"/>
        <v/>
      </c>
      <c r="BQ151" s="297" t="str">
        <f t="shared" ca="1" si="506"/>
        <v/>
      </c>
      <c r="BR151" s="299" t="str">
        <f t="shared" ca="1" si="507"/>
        <v/>
      </c>
      <c r="BS151" s="153" t="str">
        <f t="shared" ca="1" si="508"/>
        <v/>
      </c>
      <c r="BT151" s="153" t="str">
        <f t="shared" ca="1" si="509"/>
        <v/>
      </c>
      <c r="BU151" s="300" t="str">
        <f t="shared" ca="1" si="510"/>
        <v/>
      </c>
      <c r="BV151" s="301" t="str">
        <f t="shared" ca="1" si="511"/>
        <v/>
      </c>
      <c r="BW151" s="300" t="str">
        <f t="shared" ca="1" si="512"/>
        <v/>
      </c>
      <c r="BX151" s="301" t="str">
        <f t="shared" ca="1" si="513"/>
        <v/>
      </c>
      <c r="BY151" s="146" t="str">
        <f t="shared" ca="1" si="514"/>
        <v/>
      </c>
      <c r="BZ151" s="146" t="str">
        <f t="shared" ca="1" si="515"/>
        <v/>
      </c>
      <c r="CA151" s="146" t="str">
        <f t="shared" ca="1" si="516"/>
        <v/>
      </c>
      <c r="CB151" s="146" t="str">
        <f t="shared" ca="1" si="517"/>
        <v/>
      </c>
      <c r="CC151" s="302">
        <v>1</v>
      </c>
      <c r="CD151" s="154">
        <f ca="1">IF(BD151,_xll.xCrudeAPO(BS151,BT151,BY151,BZ151,S152,S153,BI151,BL151,BN151,BO151,0,Strike1,AO151,CC151,0,BL151,IF(OptControl=4,0,1),0,1),0)</f>
        <v>0</v>
      </c>
      <c r="CE151" s="155">
        <f ca="1">IF(BD151,_xll.xCrudeAPO(BS151,BT151,BY151,BZ151,S152,S153,BI151,BL151,BN151,BO151,0,Strike1,AO151,CC151,0,BL151,IF(OptControl=4,0,1),1,1)+_xll.xCrudeAPO(BS151,BT151,BY151,BZ151,S152,S153,BI151,BL151,BN151,BO151,0,Strike1,AO151,CC151,0,BL151,IF(OptControl=4,0,1),1,2)+IF(OR(VolSkewFlag=2,ABS(BQ151)&lt;0.0001),0,IF(BQ151&gt;0,-1,1)*CF151*Strike1/BP151^2*BW151/10%),0)</f>
        <v>0</v>
      </c>
      <c r="CF151" s="155">
        <f ca="1">IF(BD151,(_xll.xCrudeAPO(BS151,BT151,BY151,BZ151,S152,S153,BI151,BL151,BN151,BO151,0,Strike1,AO151,CC151,0,BL151,IF(OptControl=4,0,1),3,1)+_xll.xCrudeAPO(BS151,BT151,BY151,BZ151,S152,S153,BI151,BL151,BN151,BO151,0,Strike1,AO151,CC151,0,BL151,IF(OptControl=4,0,1),3,2))/100,0)</f>
        <v>0</v>
      </c>
      <c r="CG151" s="155">
        <f ca="1">IF(BD151,_xll.xCrudeAPO(BS151,BT151,BY151,BZ151,S152,S153,BI151-DaysForThetaCalculation/365.25,BL151-DaysForThetaCalculation/365.25,BN151,BO151,0,Strike1,AO151,CC151,0,BL151,IF(OptControl=4,0,1),0,1)-_xll.xCrudeAPO(BS151,BT151,BY151,BZ151,S152,S153,BI151,BL151,BN151,BO151,0,Strike1,AO151,CC151,0,BL151,IF(OptControl=4,0,1),0,1),0)</f>
        <v>0</v>
      </c>
      <c r="CH151" s="303">
        <f ca="1">IF(BD151,_xll.xCrudeAPO(BS151,BT151,CA151,CB151,S152,S153,BI151,BL151,BN151,BO151,0,Strike2,AO151,CC151,0,BL151,IF(OptControl=3,1,0),0,1),0)</f>
        <v>0</v>
      </c>
      <c r="CI151" s="155">
        <f ca="1">IF(BD151,_xll.xCrudeAPO(BS151,BT151,CA151,CB151,S152,S153,BI151,BL151,BN151,BO151,0,Strike2,AO151,CC151,0,BL151,IF(OptControl=3,1,0),1,1)+_xll.xCrudeAPO(BS151,BT151,CA151,CB151,S152,S153,BI151,BL151,BN151,BO151,0,Strike2,AO151,CC151,0,BL151,IF(OptControl=3,1,0),1,2)+IF(OR(VolSkewFlag=2,ABS(BR151)&lt;0.0001),0,IF(BR151&gt;0,-1,1)*CJ151*Strike2/BP151^2*BX151/10%),0)</f>
        <v>0</v>
      </c>
      <c r="CJ151" s="155">
        <f ca="1">IF(BD151,(_xll.xCrudeAPO(BS151,BT151,CA151,CB151,S152,S153,BI151,BL151,BN151,BO151,0,Strike2,AO151,CC151,0,BL151,IF(OptControl=3,1,0),3,1)+_xll.xCrudeAPO(BS151,BT151,CA151,CB151,S152,S153,BI151,BL151,BN151,BO151,0,Strike2,AO151,CC151,0,BL151,IF(OptControl=3,1,0),3,2))/100,0)</f>
        <v>0</v>
      </c>
      <c r="CK151" s="156">
        <f ca="1">IF(BD151,_xll.xCrudeAPO(BS151,BT151,CA151,CB151,S152,S153,BI151-DaysForThetaCalculation/365.25,BL151-DaysForThetaCalculation/365.25,BN151,BO151,0,Strike2,AO151,CC151,0,BL151,IF(OptControl=3,1,0),0,1)-_xll.xCrudeAPO(BS151,BT151,CA151,CB151,S152,S153,BI151,BL151,BN151,BO151,0,Strike2,AO151,CC151,0,BL151,IF(OptControl=3,1,0),0,1),0)</f>
        <v>0</v>
      </c>
      <c r="CL151" s="51"/>
      <c r="CM151" s="779" t="str">
        <f t="shared" ca="1" si="534"/>
        <v/>
      </c>
      <c r="CN151" s="783" t="str">
        <f t="shared" ca="1" si="535"/>
        <v/>
      </c>
      <c r="CO151" s="780" t="str">
        <f t="shared" ca="1" si="536"/>
        <v/>
      </c>
      <c r="CP151" s="780" t="str">
        <f t="shared" ca="1" si="537"/>
        <v/>
      </c>
      <c r="CQ151" s="780" t="str">
        <f t="shared" ca="1" si="538"/>
        <v/>
      </c>
      <c r="CR151" s="780" t="str">
        <f t="shared" ca="1" si="539"/>
        <v/>
      </c>
      <c r="CS151" s="781" t="str">
        <f t="shared" ca="1" si="540"/>
        <v/>
      </c>
      <c r="CT151" s="782" t="str">
        <f t="shared" ca="1" si="541"/>
        <v/>
      </c>
      <c r="CU151" s="782" t="str">
        <f t="shared" ca="1" si="542"/>
        <v/>
      </c>
      <c r="CV151" s="155">
        <f ca="1">IF(BD151,_xll.EURO(CN151,Strike1,AO151,AO151,CT151,CM151,IF(OptControl=4,0,1),0),0)</f>
        <v>0</v>
      </c>
      <c r="CW151" s="155">
        <f ca="1">IF(BD151,_xll.EURO(CN151,Strike1,AO151,AO151,CT151,CM151,IF(OptControl=4,0,1),1)+IF(OR(VolSkewFlag=2,ABS(CO151)&lt;0.0001),0,IF(CO151&gt;0,-1,1)*CX151*100*Strike1/CN151^2*CQ151/10%),0)</f>
        <v>0</v>
      </c>
      <c r="CX151" s="155">
        <f ca="1">IF(BD151,_xll.EURO(CN151,Strike1,AO151,AO151,CT151,CM151,IF(OptControl=4,0,1),3)/100,0)</f>
        <v>0</v>
      </c>
      <c r="CY151" s="155">
        <f ca="1">IF(BD151,_xll.EURO(CN151,Strike1,AO151,AO151,CT151,CM151,IF(OptControl=4,0,1),0)-_xll.EURO(CN151,Strike1,AO151,AO151,CT151,CM151-1,IF(OptControl=4,0,1),0),0)</f>
        <v>0</v>
      </c>
      <c r="CZ151" s="155">
        <f ca="1">IF(BD151,_xll.EURO(CN151,Strike2,AO151,AO151,CU151,CM151,IF(OptControl=3,1,0),0),0)</f>
        <v>0</v>
      </c>
      <c r="DA151" s="155">
        <f ca="1">IF(BD151,_xll.EURO(CN151,Strike2,AO151,AO151,CU151,CM151,IF(OptControl=3,1,0),1)+IF(OR(VolSkewFlag=2,ABS(CP151)&lt;0.0001),0,IF(CP151&gt;0,-1,1)*DB151*100*Strike2/CN151^2*CR151/10%),0)</f>
        <v>0</v>
      </c>
      <c r="DB151" s="155">
        <f ca="1">IF(BD151,_xll.EURO(CN151,Strike2,AO151,AO151,CU151,CM151,IF(OptControl=3,1,0),3)/100,0)</f>
        <v>0</v>
      </c>
      <c r="DC151" s="156">
        <f ca="1">IF(BD151,_xll.EURO(CN151,Strike2,AO151,AO151,CU151,CM151,IF(OptControl=3,1,0),0)-_xll.EURO(CN151,Strike2,AO151,AO151,CU151,CM151-1,IF(OptControl=3,1,0),0),0)</f>
        <v>0</v>
      </c>
      <c r="DE151" s="651">
        <f t="shared" ca="1" si="543"/>
        <v>40909</v>
      </c>
      <c r="DF151" s="465">
        <v>1E-4</v>
      </c>
      <c r="DG151" s="649">
        <v>1E-4</v>
      </c>
      <c r="DH151" s="650">
        <f t="shared" ca="1" si="518"/>
        <v>40909</v>
      </c>
      <c r="DI151" s="465">
        <v>1E-4</v>
      </c>
      <c r="DJ151" s="649">
        <v>1E-4</v>
      </c>
      <c r="DK151" s="651">
        <f t="shared" ca="1" si="519"/>
        <v>40909</v>
      </c>
      <c r="DL151" s="652">
        <f t="shared" si="520"/>
        <v>5.0100000000000006E-2</v>
      </c>
      <c r="DM151" s="651">
        <f t="shared" ca="1" si="544"/>
        <v>40909</v>
      </c>
      <c r="DN151" s="563">
        <f t="shared" si="545"/>
        <v>-0.12990000000000002</v>
      </c>
      <c r="DO151" s="803">
        <v>-0.13</v>
      </c>
      <c r="DP151" s="650">
        <f t="shared" ca="1" si="521"/>
        <v>40909</v>
      </c>
      <c r="DQ151" s="653">
        <v>1E-4</v>
      </c>
      <c r="DR151" s="590">
        <v>1E-4</v>
      </c>
      <c r="DS151" s="650">
        <f t="shared" ca="1" si="522"/>
        <v>40909</v>
      </c>
      <c r="DT151" s="653">
        <v>1E-4</v>
      </c>
      <c r="DU151" s="590">
        <v>1E-4</v>
      </c>
      <c r="DV151" s="651">
        <f t="shared" ca="1" si="523"/>
        <v>40909</v>
      </c>
      <c r="DW151" s="590">
        <v>1E-4</v>
      </c>
      <c r="DX151" s="651">
        <f t="shared" ca="1" si="546"/>
        <v>40909</v>
      </c>
      <c r="DY151" s="590">
        <f t="shared" si="547"/>
        <v>1E-4</v>
      </c>
      <c r="DZ151" s="1"/>
      <c r="EA151" s="857"/>
      <c r="EB151" s="857"/>
      <c r="EC151" s="857"/>
      <c r="ED151" s="868" t="e">
        <f t="shared" ca="1" si="436"/>
        <v>#NAME?</v>
      </c>
      <c r="EE151" s="863" t="e">
        <f t="shared" ca="1" si="524"/>
        <v>#NAME?</v>
      </c>
      <c r="EF151" s="590" t="e">
        <f t="shared" ca="1" si="525"/>
        <v>#NAME?</v>
      </c>
      <c r="EG151" s="862" t="str">
        <f t="shared" ca="1" si="526"/>
        <v/>
      </c>
      <c r="EH151" s="114" t="str">
        <f t="shared" ca="1" si="527"/>
        <v/>
      </c>
      <c r="EI151" s="109" t="str">
        <f t="shared" ca="1" si="528"/>
        <v/>
      </c>
      <c r="EJ151" s="115">
        <f ca="1">IF(BD151,_xll.xASN(BP151,Strike1,AO151,EH151,0,BM151,0,BI151,BL151,IF(OptControl=4,0,1),0),0)</f>
        <v>0</v>
      </c>
      <c r="EK151" s="108">
        <f ca="1">IF(BD151,_xll.xASN(BP151,Strike2,AO151,EI151,0,BM151,0,BI151,BL151,IF(OptControl=3,1,0),0),0)</f>
        <v>0</v>
      </c>
      <c r="EP151" s="53"/>
      <c r="EQ151" s="1"/>
      <c r="ER151" s="103"/>
      <c r="ES151" s="103"/>
      <c r="ET151" s="1"/>
      <c r="EU151" s="667" t="s">
        <v>363</v>
      </c>
      <c r="EW151" s="445"/>
      <c r="EX151" s="36"/>
      <c r="EY151" s="104"/>
      <c r="EZ151" s="465"/>
      <c r="FA151" s="446"/>
      <c r="FB151" s="446"/>
      <c r="FC151" s="242"/>
      <c r="FD151" s="242"/>
      <c r="FE151" s="242"/>
      <c r="FF151" s="242"/>
      <c r="FG151" s="242"/>
      <c r="FH151" s="242"/>
      <c r="FI151" s="242"/>
      <c r="FJ151" s="242"/>
      <c r="FK151" s="242"/>
      <c r="FL151" s="242"/>
      <c r="FM151" s="242"/>
      <c r="FN151" s="657">
        <v>57</v>
      </c>
      <c r="FO151" s="450">
        <f t="shared" ca="1" si="477"/>
        <v>0.1730029952797324</v>
      </c>
      <c r="FP151" s="450">
        <f t="shared" ca="1" si="559"/>
        <v>0.17299405107673616</v>
      </c>
      <c r="FQ151" s="450">
        <f t="shared" ca="1" si="559"/>
        <v>0.17281788610133741</v>
      </c>
      <c r="FR151" s="450">
        <f t="shared" ca="1" si="559"/>
        <v>0.17264890133579971</v>
      </c>
      <c r="FS151" s="450">
        <f t="shared" ca="1" si="559"/>
        <v>0.17248762435390649</v>
      </c>
      <c r="FT151" s="450">
        <f t="shared" ca="1" si="559"/>
        <v>0.17233464428309214</v>
      </c>
      <c r="FU151" s="450">
        <f t="shared" ca="1" si="559"/>
        <v>0.17219061875514924</v>
      </c>
      <c r="FV151" s="450">
        <f t="shared" ca="1" si="559"/>
        <v>0.17205628166989981</v>
      </c>
      <c r="FW151" s="450">
        <f t="shared" ca="1" si="559"/>
        <v>0.17193245187249342</v>
      </c>
      <c r="FX151" s="450">
        <f t="shared" ca="1" si="559"/>
        <v>0.17182004285872302</v>
      </c>
      <c r="FY151" s="450">
        <f t="shared" ca="1" si="559"/>
        <v>0.17172007363861794</v>
      </c>
      <c r="FZ151" s="450">
        <f t="shared" ca="1" si="559"/>
        <v>0.17163368090697778</v>
      </c>
      <c r="GA151" s="450">
        <f t="shared" ca="1" si="559"/>
        <v>0.17156213269091763</v>
      </c>
      <c r="GB151" s="450">
        <f t="shared" ca="1" si="559"/>
        <v>0.17150684366949218</v>
      </c>
      <c r="GC151" s="450">
        <f t="shared" ca="1" si="559"/>
        <v>0.17146939238972125</v>
      </c>
      <c r="GD151" s="450">
        <f t="shared" ca="1" si="559"/>
        <v>0.17145154063773779</v>
      </c>
      <c r="GE151" s="450">
        <f t="shared" ca="1" si="559"/>
        <v>0.17145525526433775</v>
      </c>
      <c r="GF151" s="450">
        <f t="shared" ca="1" si="559"/>
        <v>0.17148273281221882</v>
      </c>
      <c r="GG151" s="450">
        <f t="shared" ca="1" si="559"/>
        <v>0.17153642734924474</v>
      </c>
      <c r="GH151" s="450">
        <f t="shared" ca="1" si="559"/>
        <v>0.17161908198010092</v>
      </c>
      <c r="GI151" s="450">
        <f t="shared" ca="1" si="559"/>
        <v>0.17173376459016665</v>
      </c>
      <c r="GJ151" s="450">
        <f t="shared" ca="1" si="559"/>
        <v>0.17188390847334861</v>
      </c>
      <c r="GK151" s="450">
        <f t="shared" ca="1" si="559"/>
        <v>0.17207335861379006</v>
      </c>
      <c r="GL151" s="450">
        <f t="shared" ca="1" si="559"/>
        <v>0.17230642453458195</v>
      </c>
      <c r="GM151" s="450">
        <f t="shared" ca="1" si="559"/>
        <v>0.17258794080086237</v>
      </c>
      <c r="GN151" s="450">
        <f t="shared" ca="1" si="559"/>
        <v>0.17292333647764618</v>
      </c>
      <c r="GO151" s="450">
        <f t="shared" ca="1" si="559"/>
        <v>0.17331871510408045</v>
      </c>
      <c r="GP151" s="450">
        <f t="shared" ca="1" si="559"/>
        <v>0.17378094706800071</v>
      </c>
      <c r="GQ151" s="450">
        <f t="shared" ca="1" si="559"/>
        <v>0.17431777666359813</v>
      </c>
      <c r="GR151" s="450">
        <f t="shared" ca="1" si="559"/>
        <v>0.17493794661129836</v>
      </c>
      <c r="GS151" s="450">
        <f t="shared" ca="1" si="559"/>
        <v>0.17565134343927841</v>
      </c>
      <c r="GT151" s="450">
        <f t="shared" ca="1" si="559"/>
        <v>0.17646916790524247</v>
      </c>
      <c r="GU151" s="450">
        <f t="shared" ca="1" si="559"/>
        <v>0.17740413562081314</v>
      </c>
      <c r="GV151" s="450">
        <f t="shared" ca="1" si="559"/>
        <v>0.17847071428943584</v>
      </c>
      <c r="GW151" s="450">
        <f t="shared" ca="1" si="559"/>
        <v>0.17968540556206189</v>
      </c>
      <c r="GX151" s="450">
        <f t="shared" ca="1" si="559"/>
        <v>0.18106708156000526</v>
      </c>
      <c r="GY151" s="450">
        <f t="shared" ca="1" si="559"/>
        <v>0.18263738875514801</v>
      </c>
      <c r="GZ151" s="450">
        <f t="shared" ca="1" si="559"/>
        <v>0.18442123532911023</v>
      </c>
      <c r="HA151" s="450">
        <f t="shared" ca="1" si="559"/>
        <v>0.18644738262140365</v>
      </c>
      <c r="HB151" s="450">
        <f t="shared" ca="1" si="559"/>
        <v>0.18874916718849249</v>
      </c>
      <c r="HC151" s="450">
        <f t="shared" ca="1" si="559"/>
        <v>0.19136538783980911</v>
      </c>
      <c r="HD151" s="450">
        <f t="shared" ca="1" si="559"/>
        <v>0.19434140250542689</v>
      </c>
      <c r="HE151" s="450">
        <f t="shared" ca="1" si="559"/>
        <v>0.19773049392981024</v>
      </c>
      <c r="HF151" s="450">
        <f t="shared" ca="1" si="559"/>
        <v>0.20159558241311912</v>
      </c>
      <c r="HG151" s="450">
        <f t="shared" ca="1" si="559"/>
        <v>0.20601139020646472</v>
      </c>
      <c r="HH151" s="450">
        <f t="shared" ca="1" si="559"/>
        <v>0.21106719872769772</v>
      </c>
      <c r="HI151" s="450">
        <f t="shared" ca="1" si="559"/>
        <v>0.21687039094770152</v>
      </c>
      <c r="HJ151" s="450">
        <f t="shared" ca="1" si="559"/>
        <v>0.22355104374051635</v>
      </c>
      <c r="HK151" s="450">
        <f t="shared" ca="1" si="559"/>
        <v>0.23126793872508739</v>
      </c>
      <c r="HL151" s="450">
        <f t="shared" ca="1" si="559"/>
        <v>0.24021651052280307</v>
      </c>
      <c r="HM151" s="450">
        <f t="shared" ca="1" si="559"/>
        <v>0.25063947231270867</v>
      </c>
      <c r="HN151" s="450">
        <f t="shared" ca="1" si="559"/>
        <v>0.26284118782996096</v>
      </c>
      <c r="HO151" s="450">
        <f t="shared" ca="1" si="559"/>
        <v>0.27720735713763939</v>
      </c>
      <c r="HP151" s="450">
        <f t="shared" ca="1" si="559"/>
        <v>0.29423234971194989</v>
      </c>
      <c r="HQ151" s="450">
        <f t="shared" ca="1" si="559"/>
        <v>0.31455771780970798</v>
      </c>
      <c r="HR151" s="450">
        <f t="shared" ca="1" si="559"/>
        <v>0.33902733689072312</v>
      </c>
      <c r="HS151" s="450">
        <f t="shared" ca="1" si="559"/>
        <v>0.3687677374988465</v>
      </c>
      <c r="HT151" s="450" t="str">
        <f t="shared" si="559"/>
        <v/>
      </c>
      <c r="HU151" s="450" t="str">
        <f t="shared" si="559"/>
        <v/>
      </c>
      <c r="HV151" s="450" t="str">
        <f t="shared" si="559"/>
        <v/>
      </c>
      <c r="HW151" s="450" t="str">
        <f t="shared" si="559"/>
        <v/>
      </c>
      <c r="HX151" s="450" t="str">
        <f t="shared" si="559"/>
        <v/>
      </c>
      <c r="HY151" s="450" t="str">
        <f t="shared" si="559"/>
        <v/>
      </c>
      <c r="HZ151" s="450" t="str">
        <f t="shared" si="559"/>
        <v/>
      </c>
      <c r="IA151" s="450" t="str">
        <f t="shared" si="559"/>
        <v/>
      </c>
      <c r="IB151" s="450" t="str">
        <f t="shared" si="548"/>
        <v/>
      </c>
      <c r="IC151" s="450" t="str">
        <f t="shared" si="548"/>
        <v/>
      </c>
      <c r="ID151" s="450" t="str">
        <f t="shared" si="548"/>
        <v/>
      </c>
      <c r="IE151" s="450" t="str">
        <f t="shared" si="548"/>
        <v/>
      </c>
      <c r="IF151" s="450" t="str">
        <f t="shared" si="548"/>
        <v/>
      </c>
      <c r="IG151" s="450" t="str">
        <f t="shared" si="548"/>
        <v/>
      </c>
      <c r="IH151" s="658" t="str">
        <f t="shared" si="548"/>
        <v/>
      </c>
      <c r="II151" s="242"/>
    </row>
    <row r="152" spans="8:243">
      <c r="H152" s="49" t="e">
        <f t="shared" ca="1" si="529"/>
        <v>#N/A</v>
      </c>
      <c r="I152" s="369">
        <f t="shared" si="530"/>
        <v>41030</v>
      </c>
      <c r="J152" s="367">
        <v>22.684999999999899</v>
      </c>
      <c r="K152" s="101" t="s">
        <v>267</v>
      </c>
      <c r="L152" s="382">
        <f t="shared" si="531"/>
        <v>22.684999999999942</v>
      </c>
      <c r="M152" s="163">
        <v>0.1583</v>
      </c>
      <c r="N152" s="372">
        <v>0</v>
      </c>
      <c r="O152" s="163">
        <f t="shared" si="488"/>
        <v>0.1583</v>
      </c>
      <c r="P152" s="367">
        <v>21.475813403254797</v>
      </c>
      <c r="Q152" s="101" t="s">
        <v>267</v>
      </c>
      <c r="R152" s="367">
        <f t="shared" ca="1" si="549"/>
        <v>21.475813403254801</v>
      </c>
      <c r="S152" s="814">
        <f t="shared" si="474"/>
        <v>0.35340233584584391</v>
      </c>
      <c r="T152" s="813">
        <f t="shared" si="550"/>
        <v>0.99999992880547095</v>
      </c>
      <c r="U152" s="532">
        <f t="shared" si="551"/>
        <v>0.99999999999999978</v>
      </c>
      <c r="V152" s="379">
        <v>0</v>
      </c>
      <c r="W152" s="424">
        <f t="shared" si="489"/>
        <v>22.719782608695557</v>
      </c>
      <c r="X152" s="405">
        <f t="shared" si="490"/>
        <v>22.719782608695592</v>
      </c>
      <c r="Y152" s="313">
        <f t="shared" si="491"/>
        <v>21.375782608695555</v>
      </c>
      <c r="Z152" s="313">
        <f t="shared" ca="1" si="492"/>
        <v>21.375782608695591</v>
      </c>
      <c r="AA152" s="419">
        <f t="shared" si="493"/>
        <v>1.3440000000000001</v>
      </c>
      <c r="AB152" s="423">
        <f t="shared" ca="1" si="494"/>
        <v>1.3440000000000001</v>
      </c>
      <c r="AC152" s="221">
        <v>41019</v>
      </c>
      <c r="AD152" s="221">
        <v>41015</v>
      </c>
      <c r="AE152" s="221">
        <v>41014</v>
      </c>
      <c r="AF152" s="221">
        <v>41010</v>
      </c>
      <c r="AG152" s="241" t="s">
        <v>497</v>
      </c>
      <c r="AH152" s="239" t="s">
        <v>497</v>
      </c>
      <c r="AI152" s="141">
        <v>23</v>
      </c>
      <c r="AJ152" s="41">
        <v>14</v>
      </c>
      <c r="AK152" s="41">
        <v>9</v>
      </c>
      <c r="AL152" s="285">
        <v>23</v>
      </c>
      <c r="AM152" s="41">
        <v>10</v>
      </c>
      <c r="AN152" s="142">
        <v>13</v>
      </c>
      <c r="AO152" s="364">
        <v>5.9855446048550302E-2</v>
      </c>
      <c r="AP152" s="145">
        <f t="shared" ca="1" si="532"/>
        <v>0.51830745465500361</v>
      </c>
      <c r="AQ152" s="364">
        <v>5.1319663491236504E-2</v>
      </c>
      <c r="AR152" s="145">
        <f t="shared" ca="1" si="552"/>
        <v>0.57212317016516967</v>
      </c>
      <c r="AS152" s="264">
        <f t="shared" si="495"/>
        <v>0.15774347826086957</v>
      </c>
      <c r="AT152" s="149">
        <f t="shared" si="533"/>
        <v>0.1583</v>
      </c>
      <c r="AU152" s="149">
        <f t="shared" si="496"/>
        <v>0.15767391304347828</v>
      </c>
      <c r="AV152" s="263">
        <f t="shared" ca="1" si="560"/>
        <v>0.15583328173062821</v>
      </c>
      <c r="AW152" s="150" t="str">
        <f t="shared" ca="1" si="497"/>
        <v/>
      </c>
      <c r="AX152" s="149">
        <f t="shared" ca="1" si="553"/>
        <v>1.0099331558204916E-2</v>
      </c>
      <c r="AY152" s="149">
        <f t="shared" ca="1" si="554"/>
        <v>3.949324722586375E-3</v>
      </c>
      <c r="AZ152" s="149">
        <f t="shared" ca="1" si="555"/>
        <v>3.230008890127123E-3</v>
      </c>
      <c r="BA152" s="149">
        <f t="shared" ca="1" si="556"/>
        <v>1.0000000000000548E-4</v>
      </c>
      <c r="BB152" s="149">
        <f t="shared" ca="1" si="557"/>
        <v>1.0000000000000548E-4</v>
      </c>
      <c r="BC152" s="149">
        <f t="shared" ca="1" si="558"/>
        <v>1.0000000000000548E-4</v>
      </c>
      <c r="BD152" s="143">
        <f t="shared" ca="1" si="498"/>
        <v>0</v>
      </c>
      <c r="BE152" s="144">
        <f t="shared" ca="1" si="499"/>
        <v>0</v>
      </c>
      <c r="BF152" s="40">
        <f t="shared" si="500"/>
        <v>2012</v>
      </c>
      <c r="BG152" s="139">
        <f t="shared" si="501"/>
        <v>5</v>
      </c>
      <c r="BH152" s="140">
        <f t="shared" ca="1" si="502"/>
        <v>4025</v>
      </c>
      <c r="BI152" s="304">
        <f t="shared" ca="1" si="440"/>
        <v>11.060917180013689</v>
      </c>
      <c r="BJ152" s="42">
        <f t="shared" ca="1" si="503"/>
        <v>11.110912716126537</v>
      </c>
      <c r="BK152" s="42">
        <f t="shared" ca="1" si="504"/>
        <v>11.11365056691367</v>
      </c>
      <c r="BL152" s="42">
        <f t="shared" ca="1" si="441"/>
        <v>11.143052703627653</v>
      </c>
      <c r="BM152" s="285">
        <f t="shared" si="442"/>
        <v>23</v>
      </c>
      <c r="BN152" s="41">
        <f t="shared" si="443"/>
        <v>14</v>
      </c>
      <c r="BO152" s="41">
        <f t="shared" si="444"/>
        <v>9</v>
      </c>
      <c r="BP152" s="297" t="str">
        <f t="shared" ca="1" si="505"/>
        <v/>
      </c>
      <c r="BQ152" s="297" t="str">
        <f t="shared" ca="1" si="506"/>
        <v/>
      </c>
      <c r="BR152" s="299" t="str">
        <f t="shared" ca="1" si="507"/>
        <v/>
      </c>
      <c r="BS152" s="153" t="str">
        <f t="shared" ca="1" si="508"/>
        <v/>
      </c>
      <c r="BT152" s="153" t="str">
        <f t="shared" ca="1" si="509"/>
        <v/>
      </c>
      <c r="BU152" s="300" t="str">
        <f t="shared" ca="1" si="510"/>
        <v/>
      </c>
      <c r="BV152" s="301" t="str">
        <f t="shared" ca="1" si="511"/>
        <v/>
      </c>
      <c r="BW152" s="300" t="str">
        <f t="shared" ca="1" si="512"/>
        <v/>
      </c>
      <c r="BX152" s="301" t="str">
        <f t="shared" ca="1" si="513"/>
        <v/>
      </c>
      <c r="BY152" s="146" t="str">
        <f t="shared" ca="1" si="514"/>
        <v/>
      </c>
      <c r="BZ152" s="146" t="str">
        <f t="shared" ca="1" si="515"/>
        <v/>
      </c>
      <c r="CA152" s="146" t="str">
        <f t="shared" ca="1" si="516"/>
        <v/>
      </c>
      <c r="CB152" s="146" t="str">
        <f t="shared" ca="1" si="517"/>
        <v/>
      </c>
      <c r="CC152" s="302">
        <v>1</v>
      </c>
      <c r="CD152" s="154">
        <f ca="1">IF(BD152,_xll.xCrudeAPO(BS152,BT152,BY152,BZ152,S153,S154,BI152,BL152,BN152,BO152,0,Strike1,AO152,CC152,0,BL152,IF(OptControl=4,0,1),0,1),0)</f>
        <v>0</v>
      </c>
      <c r="CE152" s="155">
        <f ca="1">IF(BD152,_xll.xCrudeAPO(BS152,BT152,BY152,BZ152,S153,S154,BI152,BL152,BN152,BO152,0,Strike1,AO152,CC152,0,BL152,IF(OptControl=4,0,1),1,1)+_xll.xCrudeAPO(BS152,BT152,BY152,BZ152,S153,S154,BI152,BL152,BN152,BO152,0,Strike1,AO152,CC152,0,BL152,IF(OptControl=4,0,1),1,2)+IF(OR(VolSkewFlag=2,ABS(BQ152)&lt;0.0001),0,IF(BQ152&gt;0,-1,1)*CF152*Strike1/BP152^2*BW152/10%),0)</f>
        <v>0</v>
      </c>
      <c r="CF152" s="155">
        <f ca="1">IF(BD152,(_xll.xCrudeAPO(BS152,BT152,BY152,BZ152,S153,S154,BI152,BL152,BN152,BO152,0,Strike1,AO152,CC152,0,BL152,IF(OptControl=4,0,1),3,1)+_xll.xCrudeAPO(BS152,BT152,BY152,BZ152,S153,S154,BI152,BL152,BN152,BO152,0,Strike1,AO152,CC152,0,BL152,IF(OptControl=4,0,1),3,2))/100,0)</f>
        <v>0</v>
      </c>
      <c r="CG152" s="155">
        <f ca="1">IF(BD152,_xll.xCrudeAPO(BS152,BT152,BY152,BZ152,S153,S154,BI152-DaysForThetaCalculation/365.25,BL152-DaysForThetaCalculation/365.25,BN152,BO152,0,Strike1,AO152,CC152,0,BL152,IF(OptControl=4,0,1),0,1)-_xll.xCrudeAPO(BS152,BT152,BY152,BZ152,S153,S154,BI152,BL152,BN152,BO152,0,Strike1,AO152,CC152,0,BL152,IF(OptControl=4,0,1),0,1),0)</f>
        <v>0</v>
      </c>
      <c r="CH152" s="303">
        <f ca="1">IF(BD152,_xll.xCrudeAPO(BS152,BT152,CA152,CB152,S153,S154,BI152,BL152,BN152,BO152,0,Strike2,AO152,CC152,0,BL152,IF(OptControl=3,1,0),0,1),0)</f>
        <v>0</v>
      </c>
      <c r="CI152" s="155">
        <f ca="1">IF(BD152,_xll.xCrudeAPO(BS152,BT152,CA152,CB152,S153,S154,BI152,BL152,BN152,BO152,0,Strike2,AO152,CC152,0,BL152,IF(OptControl=3,1,0),1,1)+_xll.xCrudeAPO(BS152,BT152,CA152,CB152,S153,S154,BI152,BL152,BN152,BO152,0,Strike2,AO152,CC152,0,BL152,IF(OptControl=3,1,0),1,2)+IF(OR(VolSkewFlag=2,ABS(BR152)&lt;0.0001),0,IF(BR152&gt;0,-1,1)*CJ152*Strike2/BP152^2*BX152/10%),0)</f>
        <v>0</v>
      </c>
      <c r="CJ152" s="155">
        <f ca="1">IF(BD152,(_xll.xCrudeAPO(BS152,BT152,CA152,CB152,S153,S154,BI152,BL152,BN152,BO152,0,Strike2,AO152,CC152,0,BL152,IF(OptControl=3,1,0),3,1)+_xll.xCrudeAPO(BS152,BT152,CA152,CB152,S153,S154,BI152,BL152,BN152,BO152,0,Strike2,AO152,CC152,0,BL152,IF(OptControl=3,1,0),3,2))/100,0)</f>
        <v>0</v>
      </c>
      <c r="CK152" s="156">
        <f ca="1">IF(BD152,_xll.xCrudeAPO(BS152,BT152,CA152,CB152,S153,S154,BI152-DaysForThetaCalculation/365.25,BL152-DaysForThetaCalculation/365.25,BN152,BO152,0,Strike2,AO152,CC152,0,BL152,IF(OptControl=3,1,0),0,1)-_xll.xCrudeAPO(BS152,BT152,CA152,CB152,S153,S154,BI152,BL152,BN152,BO152,0,Strike2,AO152,CC152,0,BL152,IF(OptControl=3,1,0),0,1),0)</f>
        <v>0</v>
      </c>
      <c r="CL152" s="51"/>
      <c r="CM152" s="779" t="str">
        <f t="shared" ca="1" si="534"/>
        <v/>
      </c>
      <c r="CN152" s="783" t="str">
        <f t="shared" ca="1" si="535"/>
        <v/>
      </c>
      <c r="CO152" s="780" t="str">
        <f t="shared" ca="1" si="536"/>
        <v/>
      </c>
      <c r="CP152" s="780" t="str">
        <f t="shared" ca="1" si="537"/>
        <v/>
      </c>
      <c r="CQ152" s="780" t="str">
        <f t="shared" ca="1" si="538"/>
        <v/>
      </c>
      <c r="CR152" s="780" t="str">
        <f t="shared" ca="1" si="539"/>
        <v/>
      </c>
      <c r="CS152" s="781" t="str">
        <f t="shared" ca="1" si="540"/>
        <v/>
      </c>
      <c r="CT152" s="782" t="str">
        <f t="shared" ca="1" si="541"/>
        <v/>
      </c>
      <c r="CU152" s="782" t="str">
        <f t="shared" ca="1" si="542"/>
        <v/>
      </c>
      <c r="CV152" s="155">
        <f ca="1">IF(BD152,_xll.EURO(CN152,Strike1,AO152,AO152,CT152,CM152,IF(OptControl=4,0,1),0),0)</f>
        <v>0</v>
      </c>
      <c r="CW152" s="155">
        <f ca="1">IF(BD152,_xll.EURO(CN152,Strike1,AO152,AO152,CT152,CM152,IF(OptControl=4,0,1),1)+IF(OR(VolSkewFlag=2,ABS(CO152)&lt;0.0001),0,IF(CO152&gt;0,-1,1)*CX152*100*Strike1/CN152^2*CQ152/10%),0)</f>
        <v>0</v>
      </c>
      <c r="CX152" s="155">
        <f ca="1">IF(BD152,_xll.EURO(CN152,Strike1,AO152,AO152,CT152,CM152,IF(OptControl=4,0,1),3)/100,0)</f>
        <v>0</v>
      </c>
      <c r="CY152" s="155">
        <f ca="1">IF(BD152,_xll.EURO(CN152,Strike1,AO152,AO152,CT152,CM152,IF(OptControl=4,0,1),0)-_xll.EURO(CN152,Strike1,AO152,AO152,CT152,CM152-1,IF(OptControl=4,0,1),0),0)</f>
        <v>0</v>
      </c>
      <c r="CZ152" s="155">
        <f ca="1">IF(BD152,_xll.EURO(CN152,Strike2,AO152,AO152,CU152,CM152,IF(OptControl=3,1,0),0),0)</f>
        <v>0</v>
      </c>
      <c r="DA152" s="155">
        <f ca="1">IF(BD152,_xll.EURO(CN152,Strike2,AO152,AO152,CU152,CM152,IF(OptControl=3,1,0),1)+IF(OR(VolSkewFlag=2,ABS(CP152)&lt;0.0001),0,IF(CP152&gt;0,-1,1)*DB152*100*Strike2/CN152^2*CR152/10%),0)</f>
        <v>0</v>
      </c>
      <c r="DB152" s="155">
        <f ca="1">IF(BD152,_xll.EURO(CN152,Strike2,AO152,AO152,CU152,CM152,IF(OptControl=3,1,0),3)/100,0)</f>
        <v>0</v>
      </c>
      <c r="DC152" s="156">
        <f ca="1">IF(BD152,_xll.EURO(CN152,Strike2,AO152,AO152,CU152,CM152,IF(OptControl=3,1,0),0)-_xll.EURO(CN152,Strike2,AO152,AO152,CU152,CM152-1,IF(OptControl=3,1,0),0),0)</f>
        <v>0</v>
      </c>
      <c r="DE152" s="651">
        <f t="shared" ca="1" si="543"/>
        <v>40940</v>
      </c>
      <c r="DF152" s="465">
        <v>1E-4</v>
      </c>
      <c r="DG152" s="649">
        <v>1E-4</v>
      </c>
      <c r="DH152" s="650">
        <f t="shared" ca="1" si="518"/>
        <v>40940</v>
      </c>
      <c r="DI152" s="465">
        <v>1E-4</v>
      </c>
      <c r="DJ152" s="649">
        <v>1E-4</v>
      </c>
      <c r="DK152" s="651">
        <f t="shared" ca="1" si="519"/>
        <v>40940</v>
      </c>
      <c r="DL152" s="652">
        <f t="shared" si="520"/>
        <v>5.0100000000000006E-2</v>
      </c>
      <c r="DM152" s="651">
        <f t="shared" ca="1" si="544"/>
        <v>40940</v>
      </c>
      <c r="DN152" s="563">
        <f t="shared" si="545"/>
        <v>-0.12990000000000002</v>
      </c>
      <c r="DO152" s="803">
        <v>-0.13</v>
      </c>
      <c r="DP152" s="650">
        <f t="shared" ca="1" si="521"/>
        <v>40940</v>
      </c>
      <c r="DQ152" s="653">
        <v>1E-4</v>
      </c>
      <c r="DR152" s="590">
        <v>1E-4</v>
      </c>
      <c r="DS152" s="650">
        <f t="shared" ca="1" si="522"/>
        <v>40940</v>
      </c>
      <c r="DT152" s="653">
        <v>1E-4</v>
      </c>
      <c r="DU152" s="590">
        <v>1E-4</v>
      </c>
      <c r="DV152" s="651">
        <f t="shared" ca="1" si="523"/>
        <v>40940</v>
      </c>
      <c r="DW152" s="590">
        <v>1E-4</v>
      </c>
      <c r="DX152" s="651">
        <f t="shared" ca="1" si="546"/>
        <v>40940</v>
      </c>
      <c r="DY152" s="590">
        <f t="shared" si="547"/>
        <v>1E-4</v>
      </c>
      <c r="DZ152" s="1"/>
      <c r="EA152" s="857"/>
      <c r="EB152" s="857"/>
      <c r="EC152" s="857"/>
      <c r="ED152" s="868" t="e">
        <f t="shared" ca="1" si="436"/>
        <v>#NAME?</v>
      </c>
      <c r="EE152" s="863" t="e">
        <f t="shared" ca="1" si="524"/>
        <v>#NAME?</v>
      </c>
      <c r="EF152" s="590" t="e">
        <f t="shared" ca="1" si="525"/>
        <v>#NAME?</v>
      </c>
      <c r="EG152" s="862" t="str">
        <f t="shared" ca="1" si="526"/>
        <v/>
      </c>
      <c r="EH152" s="114" t="str">
        <f t="shared" ca="1" si="527"/>
        <v/>
      </c>
      <c r="EI152" s="109" t="str">
        <f t="shared" ca="1" si="528"/>
        <v/>
      </c>
      <c r="EJ152" s="115">
        <f ca="1">IF(BD152,_xll.xASN(BP152,Strike1,AO152,EH152,0,BM152,0,BI152,BL152,IF(OptControl=4,0,1),0),0)</f>
        <v>0</v>
      </c>
      <c r="EK152" s="108">
        <f ca="1">IF(BD152,_xll.xASN(BP152,Strike2,AO152,EI152,0,BM152,0,BI152,BL152,IF(OptControl=3,1,0),0),0)</f>
        <v>0</v>
      </c>
      <c r="EP152" s="53"/>
      <c r="EQ152" s="1"/>
      <c r="ER152" s="103"/>
      <c r="ES152" s="103"/>
      <c r="ET152" s="1"/>
      <c r="EU152" s="667" t="s">
        <v>364</v>
      </c>
      <c r="EW152" s="445"/>
      <c r="EX152" s="36"/>
      <c r="EY152" s="104"/>
      <c r="EZ152" s="465"/>
      <c r="FA152" s="446"/>
      <c r="FB152" s="446"/>
      <c r="FC152" s="242"/>
      <c r="FD152" s="242"/>
      <c r="FE152" s="242"/>
      <c r="FF152" s="242"/>
      <c r="FG152" s="242"/>
      <c r="FH152" s="242"/>
      <c r="FI152" s="242"/>
      <c r="FJ152" s="242"/>
      <c r="FK152" s="242"/>
      <c r="FL152" s="242"/>
      <c r="FM152" s="242"/>
      <c r="FN152" s="657">
        <v>58</v>
      </c>
      <c r="FO152" s="450">
        <f t="shared" ca="1" si="477"/>
        <v>0.17296600258703121</v>
      </c>
      <c r="FP152" s="450">
        <f t="shared" ca="1" si="559"/>
        <v>0.17295294972149391</v>
      </c>
      <c r="FQ152" s="450">
        <f t="shared" ca="1" si="559"/>
        <v>0.17277226383176594</v>
      </c>
      <c r="FR152" s="450">
        <f t="shared" ca="1" si="559"/>
        <v>0.17259825874929599</v>
      </c>
      <c r="FS152" s="450">
        <f t="shared" ca="1" si="559"/>
        <v>0.17243140646015642</v>
      </c>
      <c r="FT152" s="450">
        <f t="shared" ca="1" si="559"/>
        <v>0.17227223422616117</v>
      </c>
      <c r="FU152" s="450">
        <f t="shared" ca="1" si="559"/>
        <v>0.17212133080630529</v>
      </c>
      <c r="FV152" s="450">
        <f t="shared" ca="1" si="559"/>
        <v>0.17197935340186135</v>
      </c>
      <c r="FW152" s="450">
        <f t="shared" ca="1" si="559"/>
        <v>0.17184703541382765</v>
      </c>
      <c r="FX152" s="450">
        <f t="shared" ca="1" si="559"/>
        <v>0.17172519511332185</v>
      </c>
      <c r="FY152" s="450">
        <f t="shared" ca="1" si="559"/>
        <v>0.17161474533923002</v>
      </c>
      <c r="FZ152" s="450">
        <f t="shared" ca="1" si="559"/>
        <v>0.17151670435327779</v>
      </c>
      <c r="GA152" s="450">
        <f t="shared" ca="1" si="559"/>
        <v>0.17143220800107975</v>
      </c>
      <c r="GB152" s="450">
        <f t="shared" ca="1" si="559"/>
        <v>0.17136252334912505</v>
      </c>
      <c r="GC152" s="450">
        <f t="shared" ca="1" si="559"/>
        <v>0.17130906399261997</v>
      </c>
      <c r="GD152" s="450">
        <f t="shared" ca="1" si="559"/>
        <v>0.17127340725835899</v>
      </c>
      <c r="GE152" s="450">
        <f t="shared" ca="1" si="559"/>
        <v>0.17125731356116186</v>
      </c>
      <c r="GF152" s="450">
        <f t="shared" ca="1" si="559"/>
        <v>0.17126274821294182</v>
      </c>
      <c r="GG152" s="450">
        <f t="shared" ca="1" si="559"/>
        <v>0.171291906031454</v>
      </c>
      <c r="GH152" s="450">
        <f t="shared" ca="1" si="559"/>
        <v>0.17134723915277017</v>
      </c>
      <c r="GI152" s="450">
        <f t="shared" ca="1" si="559"/>
        <v>0.17143148851951534</v>
      </c>
      <c r="GJ152" s="450">
        <f t="shared" ca="1" si="559"/>
        <v>0.17154771959830259</v>
      </c>
      <c r="GK152" s="450">
        <f t="shared" ca="1" si="559"/>
        <v>0.17169936297764582</v>
      </c>
      <c r="GL152" s="450">
        <f t="shared" ca="1" si="559"/>
        <v>0.17189026061572649</v>
      </c>
      <c r="GM152" s="450">
        <f t="shared" ca="1" si="559"/>
        <v>0.17212471865049025</v>
      </c>
      <c r="GN152" s="450">
        <f t="shared" ca="1" si="559"/>
        <v>0.17240756785869282</v>
      </c>
      <c r="GO152" s="450">
        <f t="shared" ca="1" si="559"/>
        <v>0.17274423306331188</v>
      </c>
      <c r="GP152" s="450">
        <f t="shared" ca="1" si="559"/>
        <v>0.17314081304991766</v>
      </c>
      <c r="GQ152" s="450">
        <f t="shared" ca="1" si="559"/>
        <v>0.17360417287453339</v>
      </c>
      <c r="GR152" s="450">
        <f t="shared" ca="1" si="559"/>
        <v>0.17414205084417897</v>
      </c>
      <c r="GS152" s="450">
        <f t="shared" ca="1" si="559"/>
        <v>0.17476318294722024</v>
      </c>
      <c r="GT152" s="450">
        <f t="shared" ca="1" si="559"/>
        <v>0.17547744813053323</v>
      </c>
      <c r="GU152" s="450">
        <f t="shared" ca="1" si="559"/>
        <v>0.17629603859913401</v>
      </c>
      <c r="GV152" s="450">
        <f t="shared" ca="1" si="559"/>
        <v>0.1772316602969578</v>
      </c>
      <c r="GW152" s="450">
        <f t="shared" ca="1" si="559"/>
        <v>0.17829876997512861</v>
      </c>
      <c r="GX152" s="450">
        <f t="shared" ca="1" si="559"/>
        <v>0.17951385684629592</v>
      </c>
      <c r="GY152" s="450">
        <f t="shared" ca="1" si="559"/>
        <v>0.18089577886729802</v>
      </c>
      <c r="GZ152" s="450">
        <f t="shared" ca="1" si="559"/>
        <v>0.18246616633131993</v>
      </c>
      <c r="HA152" s="450">
        <f t="shared" ca="1" si="559"/>
        <v>0.18424990887973172</v>
      </c>
      <c r="HB152" s="450">
        <f t="shared" ca="1" si="559"/>
        <v>0.18627574652903267</v>
      </c>
      <c r="HC152" s="450">
        <f t="shared" ca="1" si="559"/>
        <v>0.18857699121605814</v>
      </c>
      <c r="HD152" s="450">
        <f t="shared" ca="1" si="559"/>
        <v>0.19119241320322258</v>
      </c>
      <c r="HE152" s="450">
        <f t="shared" ca="1" si="559"/>
        <v>0.19416733716685097</v>
      </c>
      <c r="HF152" s="450">
        <f t="shared" ca="1" si="559"/>
        <v>0.19755500692145894</v>
      </c>
      <c r="HG152" s="450">
        <f t="shared" ca="1" si="559"/>
        <v>0.2014182969464344</v>
      </c>
      <c r="HH152" s="450">
        <f t="shared" ca="1" si="559"/>
        <v>0.20583187524804863</v>
      </c>
      <c r="HI152" s="450">
        <f t="shared" ca="1" si="559"/>
        <v>0.21088495862439324</v>
      </c>
      <c r="HJ152" s="450">
        <f t="shared" ca="1" si="559"/>
        <v>0.21668485254856326</v>
      </c>
      <c r="HK152" s="450">
        <f t="shared" ca="1" si="559"/>
        <v>0.22336154027836605</v>
      </c>
      <c r="HL152" s="450">
        <f t="shared" ca="1" si="559"/>
        <v>0.23107368946324952</v>
      </c>
      <c r="HM152" s="450">
        <f t="shared" ca="1" si="559"/>
        <v>0.2400165948112431</v>
      </c>
      <c r="HN152" s="450">
        <f t="shared" ca="1" si="559"/>
        <v>0.25043279618347319</v>
      </c>
      <c r="HO152" s="450">
        <f t="shared" ca="1" si="559"/>
        <v>0.26262644051998041</v>
      </c>
      <c r="HP152" s="450">
        <f t="shared" ca="1" si="559"/>
        <v>0.27698295384148636</v>
      </c>
      <c r="HQ152" s="450">
        <f t="shared" ca="1" si="559"/>
        <v>0.2939963552541231</v>
      </c>
      <c r="HR152" s="450">
        <f t="shared" ca="1" si="559"/>
        <v>0.31430774348868096</v>
      </c>
      <c r="HS152" s="450">
        <f t="shared" ca="1" si="559"/>
        <v>0.33876039899688032</v>
      </c>
      <c r="HT152" s="450">
        <f t="shared" ca="1" si="559"/>
        <v>0.36848006012385803</v>
      </c>
      <c r="HU152" s="450" t="str">
        <f t="shared" si="559"/>
        <v/>
      </c>
      <c r="HV152" s="450" t="str">
        <f t="shared" si="559"/>
        <v/>
      </c>
      <c r="HW152" s="450" t="str">
        <f t="shared" si="559"/>
        <v/>
      </c>
      <c r="HX152" s="450" t="str">
        <f t="shared" si="559"/>
        <v/>
      </c>
      <c r="HY152" s="450" t="str">
        <f t="shared" si="559"/>
        <v/>
      </c>
      <c r="HZ152" s="450" t="str">
        <f t="shared" si="559"/>
        <v/>
      </c>
      <c r="IA152" s="450" t="str">
        <f t="shared" ref="IA152:IH155" si="561">IF($FN77&lt;IA$94,"",SQRT(IA77/IA$15))</f>
        <v/>
      </c>
      <c r="IB152" s="450" t="str">
        <f t="shared" si="561"/>
        <v/>
      </c>
      <c r="IC152" s="450" t="str">
        <f t="shared" si="561"/>
        <v/>
      </c>
      <c r="ID152" s="450" t="str">
        <f t="shared" si="561"/>
        <v/>
      </c>
      <c r="IE152" s="450" t="str">
        <f t="shared" si="561"/>
        <v/>
      </c>
      <c r="IF152" s="450" t="str">
        <f t="shared" si="561"/>
        <v/>
      </c>
      <c r="IG152" s="450" t="str">
        <f t="shared" si="561"/>
        <v/>
      </c>
      <c r="IH152" s="658" t="str">
        <f t="shared" si="561"/>
        <v/>
      </c>
      <c r="II152" s="242"/>
    </row>
    <row r="153" spans="8:243">
      <c r="H153" s="49" t="e">
        <f t="shared" ca="1" si="529"/>
        <v>#N/A</v>
      </c>
      <c r="I153" s="369">
        <f t="shared" si="530"/>
        <v>41061</v>
      </c>
      <c r="J153" s="367">
        <v>22.709999999999901</v>
      </c>
      <c r="K153" s="101" t="s">
        <v>267</v>
      </c>
      <c r="L153" s="382">
        <f t="shared" si="531"/>
        <v>22.70999999999994</v>
      </c>
      <c r="M153" s="163">
        <v>0.15790000000000001</v>
      </c>
      <c r="N153" s="372">
        <v>0</v>
      </c>
      <c r="O153" s="163">
        <f t="shared" si="488"/>
        <v>0.15790000000000001</v>
      </c>
      <c r="P153" s="367">
        <v>21.232078724313698</v>
      </c>
      <c r="Q153" s="101" t="s">
        <v>267</v>
      </c>
      <c r="R153" s="367">
        <f t="shared" ca="1" si="549"/>
        <v>21.232078724313702</v>
      </c>
      <c r="S153" s="814">
        <f t="shared" si="474"/>
        <v>0.35326831248738549</v>
      </c>
      <c r="T153" s="813">
        <f t="shared" si="550"/>
        <v>0.99999993592492409</v>
      </c>
      <c r="U153" s="532">
        <f t="shared" si="551"/>
        <v>0.99999999999999978</v>
      </c>
      <c r="V153" s="379">
        <v>0</v>
      </c>
      <c r="W153" s="424">
        <f t="shared" si="489"/>
        <v>22.743333333333233</v>
      </c>
      <c r="X153" s="405">
        <f t="shared" si="490"/>
        <v>22.743333333333275</v>
      </c>
      <c r="Y153" s="313">
        <f t="shared" si="491"/>
        <v>21.399333333333232</v>
      </c>
      <c r="Z153" s="313">
        <f t="shared" ca="1" si="492"/>
        <v>21.399333333333274</v>
      </c>
      <c r="AA153" s="419">
        <f t="shared" si="493"/>
        <v>1.3440000000000001</v>
      </c>
      <c r="AB153" s="423">
        <f t="shared" ca="1" si="494"/>
        <v>1.3440000000000001</v>
      </c>
      <c r="AC153" s="221">
        <v>41049</v>
      </c>
      <c r="AD153" s="221">
        <v>41045</v>
      </c>
      <c r="AE153" s="221">
        <v>41044</v>
      </c>
      <c r="AF153" s="221">
        <v>41040</v>
      </c>
      <c r="AG153" s="241" t="s">
        <v>497</v>
      </c>
      <c r="AH153" s="239" t="s">
        <v>497</v>
      </c>
      <c r="AI153" s="141">
        <v>21</v>
      </c>
      <c r="AJ153" s="41">
        <v>14</v>
      </c>
      <c r="AK153" s="41">
        <v>7</v>
      </c>
      <c r="AL153" s="285">
        <v>21</v>
      </c>
      <c r="AM153" s="41">
        <v>10</v>
      </c>
      <c r="AN153" s="142">
        <v>11</v>
      </c>
      <c r="AO153" s="364">
        <v>5.9900768586459208E-2</v>
      </c>
      <c r="AP153" s="145">
        <f t="shared" ca="1" si="532"/>
        <v>0.5155480528017391</v>
      </c>
      <c r="AQ153" s="364">
        <v>5.1426690579294804E-2</v>
      </c>
      <c r="AR153" s="145">
        <f t="shared" ca="1" si="552"/>
        <v>0.56908730001953323</v>
      </c>
      <c r="AS153" s="264">
        <f t="shared" si="495"/>
        <v>0.15736666666666668</v>
      </c>
      <c r="AT153" s="149">
        <f t="shared" si="533"/>
        <v>0.15790000000000001</v>
      </c>
      <c r="AU153" s="149">
        <f t="shared" si="496"/>
        <v>0.1572904761904762</v>
      </c>
      <c r="AV153" s="263">
        <f t="shared" ca="1" si="560"/>
        <v>0.15552513130526643</v>
      </c>
      <c r="AW153" s="150" t="str">
        <f t="shared" ca="1" si="497"/>
        <v/>
      </c>
      <c r="AX153" s="149">
        <f t="shared" ca="1" si="553"/>
        <v>9.9574539899296884E-3</v>
      </c>
      <c r="AY153" s="149">
        <f t="shared" ca="1" si="554"/>
        <v>3.8813731607884598E-3</v>
      </c>
      <c r="AZ153" s="149">
        <f t="shared" ca="1" si="555"/>
        <v>3.1915139359010624E-3</v>
      </c>
      <c r="BA153" s="149">
        <f t="shared" ca="1" si="556"/>
        <v>1.0000000000000556E-4</v>
      </c>
      <c r="BB153" s="149">
        <f t="shared" ca="1" si="557"/>
        <v>1.0000000000000556E-4</v>
      </c>
      <c r="BC153" s="149">
        <f t="shared" ca="1" si="558"/>
        <v>1.0000000000000556E-4</v>
      </c>
      <c r="BD153" s="143">
        <f t="shared" ca="1" si="498"/>
        <v>0</v>
      </c>
      <c r="BE153" s="144">
        <f t="shared" ca="1" si="499"/>
        <v>0</v>
      </c>
      <c r="BF153" s="40">
        <f t="shared" si="500"/>
        <v>2012</v>
      </c>
      <c r="BG153" s="139">
        <f t="shared" si="501"/>
        <v>6</v>
      </c>
      <c r="BH153" s="140">
        <f t="shared" ca="1" si="502"/>
        <v>4055</v>
      </c>
      <c r="BI153" s="304">
        <f t="shared" ca="1" si="440"/>
        <v>11.145790554414784</v>
      </c>
      <c r="BJ153" s="42">
        <f t="shared" ca="1" si="503"/>
        <v>11.198722336299339</v>
      </c>
      <c r="BK153" s="42">
        <f t="shared" ca="1" si="504"/>
        <v>11.201460187086472</v>
      </c>
      <c r="BL153" s="42">
        <f t="shared" ca="1" si="441"/>
        <v>11.225188227241615</v>
      </c>
      <c r="BM153" s="285">
        <f t="shared" si="442"/>
        <v>21</v>
      </c>
      <c r="BN153" s="41">
        <f t="shared" si="443"/>
        <v>14</v>
      </c>
      <c r="BO153" s="41">
        <f t="shared" si="444"/>
        <v>7</v>
      </c>
      <c r="BP153" s="297" t="str">
        <f t="shared" ca="1" si="505"/>
        <v/>
      </c>
      <c r="BQ153" s="297" t="str">
        <f t="shared" ca="1" si="506"/>
        <v/>
      </c>
      <c r="BR153" s="299" t="str">
        <f t="shared" ca="1" si="507"/>
        <v/>
      </c>
      <c r="BS153" s="153" t="str">
        <f t="shared" ca="1" si="508"/>
        <v/>
      </c>
      <c r="BT153" s="153" t="str">
        <f t="shared" ca="1" si="509"/>
        <v/>
      </c>
      <c r="BU153" s="300" t="str">
        <f t="shared" ca="1" si="510"/>
        <v/>
      </c>
      <c r="BV153" s="301" t="str">
        <f t="shared" ca="1" si="511"/>
        <v/>
      </c>
      <c r="BW153" s="300" t="str">
        <f t="shared" ca="1" si="512"/>
        <v/>
      </c>
      <c r="BX153" s="301" t="str">
        <f t="shared" ca="1" si="513"/>
        <v/>
      </c>
      <c r="BY153" s="146" t="str">
        <f t="shared" ca="1" si="514"/>
        <v/>
      </c>
      <c r="BZ153" s="146" t="str">
        <f t="shared" ca="1" si="515"/>
        <v/>
      </c>
      <c r="CA153" s="146" t="str">
        <f t="shared" ca="1" si="516"/>
        <v/>
      </c>
      <c r="CB153" s="146" t="str">
        <f t="shared" ca="1" si="517"/>
        <v/>
      </c>
      <c r="CC153" s="302">
        <v>1</v>
      </c>
      <c r="CD153" s="154">
        <f ca="1">IF(BD153,_xll.xCrudeAPO(BS153,BT153,BY153,BZ153,S154,S155,BI153,BL153,BN153,BO153,0,Strike1,AO153,CC153,0,BL153,IF(OptControl=4,0,1),0,1),0)</f>
        <v>0</v>
      </c>
      <c r="CE153" s="155">
        <f ca="1">IF(BD153,_xll.xCrudeAPO(BS153,BT153,BY153,BZ153,S154,S155,BI153,BL153,BN153,BO153,0,Strike1,AO153,CC153,0,BL153,IF(OptControl=4,0,1),1,1)+_xll.xCrudeAPO(BS153,BT153,BY153,BZ153,S154,S155,BI153,BL153,BN153,BO153,0,Strike1,AO153,CC153,0,BL153,IF(OptControl=4,0,1),1,2)+IF(OR(VolSkewFlag=2,ABS(BQ153)&lt;0.0001),0,IF(BQ153&gt;0,-1,1)*CF153*Strike1/BP153^2*BW153/10%),0)</f>
        <v>0</v>
      </c>
      <c r="CF153" s="155">
        <f ca="1">IF(BD153,(_xll.xCrudeAPO(BS153,BT153,BY153,BZ153,S154,S155,BI153,BL153,BN153,BO153,0,Strike1,AO153,CC153,0,BL153,IF(OptControl=4,0,1),3,1)+_xll.xCrudeAPO(BS153,BT153,BY153,BZ153,S154,S155,BI153,BL153,BN153,BO153,0,Strike1,AO153,CC153,0,BL153,IF(OptControl=4,0,1),3,2))/100,0)</f>
        <v>0</v>
      </c>
      <c r="CG153" s="155">
        <f ca="1">IF(BD153,_xll.xCrudeAPO(BS153,BT153,BY153,BZ153,S154,S155,BI153-DaysForThetaCalculation/365.25,BL153-DaysForThetaCalculation/365.25,BN153,BO153,0,Strike1,AO153,CC153,0,BL153,IF(OptControl=4,0,1),0,1)-_xll.xCrudeAPO(BS153,BT153,BY153,BZ153,S154,S155,BI153,BL153,BN153,BO153,0,Strike1,AO153,CC153,0,BL153,IF(OptControl=4,0,1),0,1),0)</f>
        <v>0</v>
      </c>
      <c r="CH153" s="303">
        <f ca="1">IF(BD153,_xll.xCrudeAPO(BS153,BT153,CA153,CB153,S154,S155,BI153,BL153,BN153,BO153,0,Strike2,AO153,CC153,0,BL153,IF(OptControl=3,1,0),0,1),0)</f>
        <v>0</v>
      </c>
      <c r="CI153" s="155">
        <f ca="1">IF(BD153,_xll.xCrudeAPO(BS153,BT153,CA153,CB153,S154,S155,BI153,BL153,BN153,BO153,0,Strike2,AO153,CC153,0,BL153,IF(OptControl=3,1,0),1,1)+_xll.xCrudeAPO(BS153,BT153,CA153,CB153,S154,S155,BI153,BL153,BN153,BO153,0,Strike2,AO153,CC153,0,BL153,IF(OptControl=3,1,0),1,2)+IF(OR(VolSkewFlag=2,ABS(BR153)&lt;0.0001),0,IF(BR153&gt;0,-1,1)*CJ153*Strike2/BP153^2*BX153/10%),0)</f>
        <v>0</v>
      </c>
      <c r="CJ153" s="155">
        <f ca="1">IF(BD153,(_xll.xCrudeAPO(BS153,BT153,CA153,CB153,S154,S155,BI153,BL153,BN153,BO153,0,Strike2,AO153,CC153,0,BL153,IF(OptControl=3,1,0),3,1)+_xll.xCrudeAPO(BS153,BT153,CA153,CB153,S154,S155,BI153,BL153,BN153,BO153,0,Strike2,AO153,CC153,0,BL153,IF(OptControl=3,1,0),3,2))/100,0)</f>
        <v>0</v>
      </c>
      <c r="CK153" s="156">
        <f ca="1">IF(BD153,_xll.xCrudeAPO(BS153,BT153,CA153,CB153,S154,S155,BI153-DaysForThetaCalculation/365.25,BL153-DaysForThetaCalculation/365.25,BN153,BO153,0,Strike2,AO153,CC153,0,BL153,IF(OptControl=3,1,0),0,1)-_xll.xCrudeAPO(BS153,BT153,CA153,CB153,S154,S155,BI153,BL153,BN153,BO153,0,Strike2,AO153,CC153,0,BL153,IF(OptControl=3,1,0),0,1),0)</f>
        <v>0</v>
      </c>
      <c r="CL153" s="51"/>
      <c r="CM153" s="779" t="str">
        <f t="shared" ca="1" si="534"/>
        <v/>
      </c>
      <c r="CN153" s="783" t="str">
        <f t="shared" ca="1" si="535"/>
        <v/>
      </c>
      <c r="CO153" s="780" t="str">
        <f t="shared" ca="1" si="536"/>
        <v/>
      </c>
      <c r="CP153" s="780" t="str">
        <f t="shared" ca="1" si="537"/>
        <v/>
      </c>
      <c r="CQ153" s="780" t="str">
        <f t="shared" ca="1" si="538"/>
        <v/>
      </c>
      <c r="CR153" s="780" t="str">
        <f t="shared" ca="1" si="539"/>
        <v/>
      </c>
      <c r="CS153" s="781" t="str">
        <f t="shared" ca="1" si="540"/>
        <v/>
      </c>
      <c r="CT153" s="782" t="str">
        <f t="shared" ca="1" si="541"/>
        <v/>
      </c>
      <c r="CU153" s="782" t="str">
        <f t="shared" ca="1" si="542"/>
        <v/>
      </c>
      <c r="CV153" s="155">
        <f ca="1">IF(BD153,_xll.EURO(CN153,Strike1,AO153,AO153,CT153,CM153,IF(OptControl=4,0,1),0),0)</f>
        <v>0</v>
      </c>
      <c r="CW153" s="155">
        <f ca="1">IF(BD153,_xll.EURO(CN153,Strike1,AO153,AO153,CT153,CM153,IF(OptControl=4,0,1),1)+IF(OR(VolSkewFlag=2,ABS(CO153)&lt;0.0001),0,IF(CO153&gt;0,-1,1)*CX153*100*Strike1/CN153^2*CQ153/10%),0)</f>
        <v>0</v>
      </c>
      <c r="CX153" s="155">
        <f ca="1">IF(BD153,_xll.EURO(CN153,Strike1,AO153,AO153,CT153,CM153,IF(OptControl=4,0,1),3)/100,0)</f>
        <v>0</v>
      </c>
      <c r="CY153" s="155">
        <f ca="1">IF(BD153,_xll.EURO(CN153,Strike1,AO153,AO153,CT153,CM153,IF(OptControl=4,0,1),0)-_xll.EURO(CN153,Strike1,AO153,AO153,CT153,CM153-1,IF(OptControl=4,0,1),0),0)</f>
        <v>0</v>
      </c>
      <c r="CZ153" s="155">
        <f ca="1">IF(BD153,_xll.EURO(CN153,Strike2,AO153,AO153,CU153,CM153,IF(OptControl=3,1,0),0),0)</f>
        <v>0</v>
      </c>
      <c r="DA153" s="155">
        <f ca="1">IF(BD153,_xll.EURO(CN153,Strike2,AO153,AO153,CU153,CM153,IF(OptControl=3,1,0),1)+IF(OR(VolSkewFlag=2,ABS(CP153)&lt;0.0001),0,IF(CP153&gt;0,-1,1)*DB153*100*Strike2/CN153^2*CR153/10%),0)</f>
        <v>0</v>
      </c>
      <c r="DB153" s="155">
        <f ca="1">IF(BD153,_xll.EURO(CN153,Strike2,AO153,AO153,CU153,CM153,IF(OptControl=3,1,0),3)/100,0)</f>
        <v>0</v>
      </c>
      <c r="DC153" s="156">
        <f ca="1">IF(BD153,_xll.EURO(CN153,Strike2,AO153,AO153,CU153,CM153,IF(OptControl=3,1,0),0)-_xll.EURO(CN153,Strike2,AO153,AO153,CU153,CM153-1,IF(OptControl=3,1,0),0),0)</f>
        <v>0</v>
      </c>
      <c r="DE153" s="651">
        <f t="shared" ca="1" si="543"/>
        <v>40969</v>
      </c>
      <c r="DF153" s="465">
        <v>1E-4</v>
      </c>
      <c r="DG153" s="649">
        <v>1E-4</v>
      </c>
      <c r="DH153" s="650">
        <f t="shared" ca="1" si="518"/>
        <v>40969</v>
      </c>
      <c r="DI153" s="465">
        <v>1E-4</v>
      </c>
      <c r="DJ153" s="649">
        <v>1E-4</v>
      </c>
      <c r="DK153" s="651">
        <f t="shared" ca="1" si="519"/>
        <v>40969</v>
      </c>
      <c r="DL153" s="652">
        <f t="shared" si="520"/>
        <v>5.0100000000000006E-2</v>
      </c>
      <c r="DM153" s="651">
        <f t="shared" ca="1" si="544"/>
        <v>40969</v>
      </c>
      <c r="DN153" s="563">
        <f t="shared" si="545"/>
        <v>-0.12990000000000002</v>
      </c>
      <c r="DO153" s="803">
        <v>-0.13</v>
      </c>
      <c r="DP153" s="650">
        <f t="shared" ca="1" si="521"/>
        <v>40969</v>
      </c>
      <c r="DQ153" s="653">
        <v>1E-4</v>
      </c>
      <c r="DR153" s="590">
        <v>1E-4</v>
      </c>
      <c r="DS153" s="650">
        <f t="shared" ca="1" si="522"/>
        <v>40969</v>
      </c>
      <c r="DT153" s="653">
        <v>1E-4</v>
      </c>
      <c r="DU153" s="590">
        <v>1E-4</v>
      </c>
      <c r="DV153" s="651">
        <f t="shared" ca="1" si="523"/>
        <v>40969</v>
      </c>
      <c r="DW153" s="590">
        <v>1E-4</v>
      </c>
      <c r="DX153" s="651">
        <f t="shared" ca="1" si="546"/>
        <v>40969</v>
      </c>
      <c r="DY153" s="590">
        <f t="shared" si="547"/>
        <v>1E-4</v>
      </c>
      <c r="DZ153" s="1"/>
      <c r="EA153" s="857"/>
      <c r="EB153" s="857"/>
      <c r="EC153" s="857"/>
      <c r="ED153" s="868" t="e">
        <f t="shared" ca="1" si="436"/>
        <v>#NAME?</v>
      </c>
      <c r="EE153" s="863" t="e">
        <f t="shared" ca="1" si="524"/>
        <v>#NAME?</v>
      </c>
      <c r="EF153" s="590" t="e">
        <f t="shared" ca="1" si="525"/>
        <v>#NAME?</v>
      </c>
      <c r="EG153" s="862" t="str">
        <f t="shared" ca="1" si="526"/>
        <v/>
      </c>
      <c r="EH153" s="114" t="str">
        <f t="shared" ca="1" si="527"/>
        <v/>
      </c>
      <c r="EI153" s="109" t="str">
        <f t="shared" ca="1" si="528"/>
        <v/>
      </c>
      <c r="EJ153" s="115">
        <f ca="1">IF(BD153,_xll.xASN(BP153,Strike1,AO153,EH153,0,BM153,0,BI153,BL153,IF(OptControl=4,0,1),0),0)</f>
        <v>0</v>
      </c>
      <c r="EK153" s="108">
        <f ca="1">IF(BD153,_xll.xASN(BP153,Strike2,AO153,EI153,0,BM153,0,BI153,BL153,IF(OptControl=3,1,0),0),0)</f>
        <v>0</v>
      </c>
      <c r="EP153" s="53"/>
      <c r="EQ153" s="1"/>
      <c r="ER153" s="103"/>
      <c r="ES153" s="103"/>
      <c r="ET153" s="1"/>
      <c r="EU153" s="667" t="s">
        <v>365</v>
      </c>
      <c r="EW153" s="445"/>
      <c r="EX153" s="36"/>
      <c r="EY153" s="104"/>
      <c r="EZ153" s="465"/>
      <c r="FA153" s="446"/>
      <c r="FB153" s="446"/>
      <c r="FC153" s="242"/>
      <c r="FD153" s="242"/>
      <c r="FE153" s="242"/>
      <c r="FF153" s="242"/>
      <c r="FG153" s="242"/>
      <c r="FH153" s="242"/>
      <c r="FI153" s="242"/>
      <c r="FJ153" s="242"/>
      <c r="FK153" s="242"/>
      <c r="FL153" s="242"/>
      <c r="FM153" s="242"/>
      <c r="FN153" s="657">
        <v>59</v>
      </c>
      <c r="FO153" s="450">
        <f t="shared" ca="1" si="477"/>
        <v>0.17293271663857326</v>
      </c>
      <c r="FP153" s="450">
        <f t="shared" ref="FP153:IA156" ca="1" si="562">IF($FN78&lt;FP$94,"",SQRT(FP78/FP$15))</f>
        <v>0.17291596772987888</v>
      </c>
      <c r="FQ153" s="450">
        <f t="shared" ca="1" si="562"/>
        <v>0.17273121517056889</v>
      </c>
      <c r="FR153" s="450">
        <f t="shared" ca="1" si="562"/>
        <v>0.17255269445924551</v>
      </c>
      <c r="FS153" s="450">
        <f t="shared" ca="1" si="562"/>
        <v>0.17238082767077487</v>
      </c>
      <c r="FT153" s="450">
        <f t="shared" ca="1" si="562"/>
        <v>0.17221608653326961</v>
      </c>
      <c r="FU153" s="450">
        <f t="shared" ca="1" si="562"/>
        <v>0.17205899799969318</v>
      </c>
      <c r="FV153" s="450">
        <f t="shared" ca="1" si="562"/>
        <v>0.17191015046428629</v>
      </c>
      <c r="FW153" s="450">
        <f t="shared" ca="1" si="562"/>
        <v>0.17177020070210644</v>
      </c>
      <c r="FX153" s="450">
        <f t="shared" ca="1" si="562"/>
        <v>0.17163988162031618</v>
      </c>
      <c r="FY153" s="450">
        <f t="shared" ca="1" si="562"/>
        <v>0.17152001092174182</v>
      </c>
      <c r="FZ153" s="450">
        <f t="shared" ca="1" si="562"/>
        <v>0.1714115007949322</v>
      </c>
      <c r="GA153" s="450">
        <f t="shared" ca="1" si="562"/>
        <v>0.17131536876079093</v>
      </c>
      <c r="GB153" s="450">
        <f t="shared" ca="1" si="562"/>
        <v>0.17123274982424075</v>
      </c>
      <c r="GC153" s="450">
        <f t="shared" ca="1" si="562"/>
        <v>0.17116491010075052</v>
      </c>
      <c r="GD153" s="450">
        <f t="shared" ca="1" si="562"/>
        <v>0.17111326211251632</v>
      </c>
      <c r="GE153" s="450">
        <f t="shared" ca="1" si="562"/>
        <v>0.17107938197831044</v>
      </c>
      <c r="GF153" s="450">
        <f t="shared" ca="1" si="562"/>
        <v>0.17106502875535162</v>
      </c>
      <c r="GG153" s="450">
        <f t="shared" ca="1" si="562"/>
        <v>0.17107216623205984</v>
      </c>
      <c r="GH153" s="450">
        <f t="shared" ca="1" si="562"/>
        <v>0.17110298751849695</v>
      </c>
      <c r="GI153" s="450">
        <f t="shared" ca="1" si="562"/>
        <v>0.17115994283826022</v>
      </c>
      <c r="GJ153" s="450">
        <f t="shared" ca="1" si="562"/>
        <v>0.17124577099353569</v>
      </c>
      <c r="GK153" s="450">
        <f t="shared" ca="1" si="562"/>
        <v>0.17136353505635715</v>
      </c>
      <c r="GL153" s="450">
        <f t="shared" ca="1" si="562"/>
        <v>0.1715166629369001</v>
      </c>
      <c r="GM153" s="450">
        <f t="shared" ca="1" si="562"/>
        <v>0.17170899359764347</v>
      </c>
      <c r="GN153" s="450">
        <f t="shared" ca="1" si="562"/>
        <v>0.17194482982523962</v>
      </c>
      <c r="GO153" s="450">
        <f t="shared" ca="1" si="562"/>
        <v>0.17222899864594485</v>
      </c>
      <c r="GP153" s="450">
        <f t="shared" ca="1" si="562"/>
        <v>0.17256692068312093</v>
      </c>
      <c r="GQ153" s="450">
        <f t="shared" ca="1" si="562"/>
        <v>0.1729646900162965</v>
      </c>
      <c r="GR153" s="450">
        <f t="shared" ca="1" si="562"/>
        <v>0.17342916642300071</v>
      </c>
      <c r="GS153" s="450">
        <f t="shared" ca="1" si="562"/>
        <v>0.17396808228295407</v>
      </c>
      <c r="GT153" s="450">
        <f t="shared" ca="1" si="562"/>
        <v>0.17459016691978291</v>
      </c>
      <c r="GU153" s="450">
        <f t="shared" ca="1" si="562"/>
        <v>0.17530529177487553</v>
      </c>
      <c r="GV153" s="450">
        <f t="shared" ca="1" si="562"/>
        <v>0.17612464058608659</v>
      </c>
      <c r="GW153" s="450">
        <f t="shared" ca="1" si="562"/>
        <v>0.17706090972634111</v>
      </c>
      <c r="GX153" s="450">
        <f t="shared" ca="1" si="562"/>
        <v>0.17812854510396445</v>
      </c>
      <c r="GY153" s="450">
        <f t="shared" ca="1" si="562"/>
        <v>0.17934402361768753</v>
      </c>
      <c r="GZ153" s="450">
        <f t="shared" ca="1" si="562"/>
        <v>0.18072618920151798</v>
      </c>
      <c r="HA153" s="450">
        <f t="shared" ca="1" si="562"/>
        <v>0.18229665613173002</v>
      </c>
      <c r="HB153" s="450">
        <f t="shared" ca="1" si="562"/>
        <v>0.18408029569484707</v>
      </c>
      <c r="HC153" s="450">
        <f t="shared" ca="1" si="562"/>
        <v>0.18610582679758539</v>
      </c>
      <c r="HD153" s="450">
        <f t="shared" ca="1" si="562"/>
        <v>0.18840653700334814</v>
      </c>
      <c r="HE153" s="450">
        <f t="shared" ca="1" si="562"/>
        <v>0.19102116831300195</v>
      </c>
      <c r="HF153" s="450">
        <f t="shared" ca="1" si="562"/>
        <v>0.19399501248166079</v>
      </c>
      <c r="HG153" s="450">
        <f t="shared" ca="1" si="562"/>
        <v>0.19738127478319112</v>
      </c>
      <c r="HH153" s="450">
        <f t="shared" ca="1" si="562"/>
        <v>0.20124278433441647</v>
      </c>
      <c r="HI153" s="450">
        <f t="shared" ca="1" si="562"/>
        <v>0.20565415543921675</v>
      </c>
      <c r="HJ153" s="450">
        <f t="shared" ca="1" si="562"/>
        <v>0.21070454092212174</v>
      </c>
      <c r="HK153" s="450">
        <f t="shared" ca="1" si="562"/>
        <v>0.21650116953341644</v>
      </c>
      <c r="HL153" s="450">
        <f t="shared" ca="1" si="562"/>
        <v>0.22317393185083728</v>
      </c>
      <c r="HM153" s="450">
        <f t="shared" ca="1" si="562"/>
        <v>0.23088138269403</v>
      </c>
      <c r="HN153" s="450">
        <f t="shared" ca="1" si="562"/>
        <v>0.23981867825679887</v>
      </c>
      <c r="HO153" s="450">
        <f t="shared" ca="1" si="562"/>
        <v>0.25022818681553</v>
      </c>
      <c r="HP153" s="450">
        <f t="shared" ca="1" si="562"/>
        <v>0.26241384068309959</v>
      </c>
      <c r="HQ153" s="450">
        <f t="shared" ca="1" si="562"/>
        <v>0.27676079457829494</v>
      </c>
      <c r="HR153" s="450">
        <f t="shared" ca="1" si="562"/>
        <v>0.29376272074087445</v>
      </c>
      <c r="HS153" s="450">
        <f t="shared" ca="1" si="562"/>
        <v>0.31406026891086425</v>
      </c>
      <c r="HT153" s="450">
        <f t="shared" ca="1" si="562"/>
        <v>0.33849613048197591</v>
      </c>
      <c r="HU153" s="450">
        <f t="shared" ca="1" si="562"/>
        <v>0.36819525952261944</v>
      </c>
      <c r="HV153" s="450" t="str">
        <f t="shared" si="562"/>
        <v/>
      </c>
      <c r="HW153" s="450" t="str">
        <f t="shared" si="562"/>
        <v/>
      </c>
      <c r="HX153" s="450" t="str">
        <f t="shared" si="562"/>
        <v/>
      </c>
      <c r="HY153" s="450" t="str">
        <f t="shared" si="562"/>
        <v/>
      </c>
      <c r="HZ153" s="450" t="str">
        <f t="shared" si="562"/>
        <v/>
      </c>
      <c r="IA153" s="450" t="str">
        <f t="shared" si="562"/>
        <v/>
      </c>
      <c r="IB153" s="450" t="str">
        <f t="shared" si="561"/>
        <v/>
      </c>
      <c r="IC153" s="450" t="str">
        <f t="shared" si="561"/>
        <v/>
      </c>
      <c r="ID153" s="450" t="str">
        <f t="shared" si="561"/>
        <v/>
      </c>
      <c r="IE153" s="450" t="str">
        <f t="shared" si="561"/>
        <v/>
      </c>
      <c r="IF153" s="450" t="str">
        <f t="shared" si="561"/>
        <v/>
      </c>
      <c r="IG153" s="450" t="str">
        <f t="shared" si="561"/>
        <v/>
      </c>
      <c r="IH153" s="658" t="str">
        <f t="shared" si="561"/>
        <v/>
      </c>
      <c r="II153" s="242"/>
    </row>
    <row r="154" spans="8:243">
      <c r="H154" s="49" t="e">
        <f t="shared" ca="1" si="529"/>
        <v>#N/A</v>
      </c>
      <c r="I154" s="369">
        <f t="shared" si="530"/>
        <v>41091</v>
      </c>
      <c r="J154" s="367">
        <v>22.7349999999999</v>
      </c>
      <c r="K154" s="101" t="s">
        <v>267</v>
      </c>
      <c r="L154" s="382">
        <f t="shared" si="531"/>
        <v>22.734999999999939</v>
      </c>
      <c r="M154" s="163">
        <v>0.1575</v>
      </c>
      <c r="N154" s="372">
        <v>0</v>
      </c>
      <c r="O154" s="163">
        <f t="shared" si="488"/>
        <v>0.1575</v>
      </c>
      <c r="P154" s="367">
        <v>21.486324058220099</v>
      </c>
      <c r="Q154" s="101" t="s">
        <v>267</v>
      </c>
      <c r="R154" s="367">
        <f t="shared" ca="1" si="549"/>
        <v>21.48632405822012</v>
      </c>
      <c r="S154" s="814">
        <f t="shared" si="474"/>
        <v>0.35313562936251164</v>
      </c>
      <c r="T154" s="813">
        <f t="shared" si="550"/>
        <v>0.99999994233243183</v>
      </c>
      <c r="U154" s="532">
        <f t="shared" si="551"/>
        <v>0.99999999999999978</v>
      </c>
      <c r="V154" s="379">
        <v>0</v>
      </c>
      <c r="W154" s="424">
        <f t="shared" si="489"/>
        <v>22.768333333333235</v>
      </c>
      <c r="X154" s="405">
        <f t="shared" si="490"/>
        <v>22.76833333333327</v>
      </c>
      <c r="Y154" s="313">
        <f t="shared" si="491"/>
        <v>21.449933333333234</v>
      </c>
      <c r="Z154" s="313">
        <f t="shared" ca="1" si="492"/>
        <v>21.44993333333327</v>
      </c>
      <c r="AA154" s="419">
        <f t="shared" si="493"/>
        <v>1.3184</v>
      </c>
      <c r="AB154" s="423">
        <f t="shared" ca="1" si="494"/>
        <v>1.3184</v>
      </c>
      <c r="AC154" s="221">
        <v>41080</v>
      </c>
      <c r="AD154" s="221">
        <v>41076</v>
      </c>
      <c r="AE154" s="221">
        <v>41075</v>
      </c>
      <c r="AF154" s="221">
        <v>41071</v>
      </c>
      <c r="AG154" s="241" t="s">
        <v>497</v>
      </c>
      <c r="AH154" s="239" t="s">
        <v>497</v>
      </c>
      <c r="AI154" s="141">
        <v>21</v>
      </c>
      <c r="AJ154" s="41">
        <v>14</v>
      </c>
      <c r="AK154" s="41">
        <v>7</v>
      </c>
      <c r="AL154" s="285">
        <v>22</v>
      </c>
      <c r="AM154" s="41">
        <v>10</v>
      </c>
      <c r="AN154" s="142">
        <v>12</v>
      </c>
      <c r="AO154" s="364">
        <v>5.9944629107666202E-2</v>
      </c>
      <c r="AP154" s="145">
        <f t="shared" ca="1" si="532"/>
        <v>0.51272495263080231</v>
      </c>
      <c r="AQ154" s="364">
        <v>5.1530265257061302E-2</v>
      </c>
      <c r="AR154" s="145">
        <f t="shared" ca="1" si="552"/>
        <v>0.56600033210784939</v>
      </c>
      <c r="AS154" s="264">
        <f t="shared" si="495"/>
        <v>0.1569666666666667</v>
      </c>
      <c r="AT154" s="149">
        <f t="shared" si="533"/>
        <v>0.1575</v>
      </c>
      <c r="AU154" s="149">
        <f t="shared" si="496"/>
        <v>0.15688181818181821</v>
      </c>
      <c r="AV154" s="263">
        <f t="shared" ca="1" si="560"/>
        <v>0.15505656224685185</v>
      </c>
      <c r="AW154" s="150" t="str">
        <f t="shared" ca="1" si="497"/>
        <v/>
      </c>
      <c r="AX154" s="149">
        <f t="shared" ca="1" si="553"/>
        <v>9.8175695480573009E-3</v>
      </c>
      <c r="AY154" s="149">
        <f t="shared" ca="1" si="554"/>
        <v>3.8145907646264746E-3</v>
      </c>
      <c r="AZ154" s="149">
        <f t="shared" ca="1" si="555"/>
        <v>3.1534777610626981E-3</v>
      </c>
      <c r="BA154" s="149">
        <f t="shared" ca="1" si="556"/>
        <v>1.0000000000000564E-4</v>
      </c>
      <c r="BB154" s="149">
        <f t="shared" ca="1" si="557"/>
        <v>1.0000000000000564E-4</v>
      </c>
      <c r="BC154" s="149">
        <f t="shared" ca="1" si="558"/>
        <v>1.0000000000000564E-4</v>
      </c>
      <c r="BD154" s="143">
        <f t="shared" ca="1" si="498"/>
        <v>0</v>
      </c>
      <c r="BE154" s="144">
        <f t="shared" ca="1" si="499"/>
        <v>0</v>
      </c>
      <c r="BF154" s="40">
        <f t="shared" si="500"/>
        <v>2012</v>
      </c>
      <c r="BG154" s="139">
        <f t="shared" si="501"/>
        <v>7</v>
      </c>
      <c r="BH154" s="140">
        <f t="shared" ca="1" si="502"/>
        <v>4086</v>
      </c>
      <c r="BI154" s="304">
        <f t="shared" ca="1" si="440"/>
        <v>11.227926078028748</v>
      </c>
      <c r="BJ154" s="42">
        <f t="shared" ca="1" si="503"/>
        <v>11.282683093771389</v>
      </c>
      <c r="BK154" s="42">
        <f t="shared" ca="1" si="504"/>
        <v>11.285420944558522</v>
      </c>
      <c r="BL154" s="42">
        <f t="shared" ca="1" si="441"/>
        <v>11.31006160164271</v>
      </c>
      <c r="BM154" s="285">
        <f t="shared" si="442"/>
        <v>21</v>
      </c>
      <c r="BN154" s="41">
        <f t="shared" si="443"/>
        <v>14</v>
      </c>
      <c r="BO154" s="41">
        <f t="shared" si="444"/>
        <v>7</v>
      </c>
      <c r="BP154" s="297" t="str">
        <f t="shared" ca="1" si="505"/>
        <v/>
      </c>
      <c r="BQ154" s="297" t="str">
        <f t="shared" ca="1" si="506"/>
        <v/>
      </c>
      <c r="BR154" s="299" t="str">
        <f t="shared" ca="1" si="507"/>
        <v/>
      </c>
      <c r="BS154" s="153" t="str">
        <f t="shared" ca="1" si="508"/>
        <v/>
      </c>
      <c r="BT154" s="153" t="str">
        <f t="shared" ca="1" si="509"/>
        <v/>
      </c>
      <c r="BU154" s="300" t="str">
        <f t="shared" ca="1" si="510"/>
        <v/>
      </c>
      <c r="BV154" s="301" t="str">
        <f t="shared" ca="1" si="511"/>
        <v/>
      </c>
      <c r="BW154" s="300" t="str">
        <f t="shared" ca="1" si="512"/>
        <v/>
      </c>
      <c r="BX154" s="301" t="str">
        <f t="shared" ca="1" si="513"/>
        <v/>
      </c>
      <c r="BY154" s="146" t="str">
        <f t="shared" ca="1" si="514"/>
        <v/>
      </c>
      <c r="BZ154" s="146" t="str">
        <f t="shared" ca="1" si="515"/>
        <v/>
      </c>
      <c r="CA154" s="146" t="str">
        <f t="shared" ca="1" si="516"/>
        <v/>
      </c>
      <c r="CB154" s="146" t="str">
        <f t="shared" ca="1" si="517"/>
        <v/>
      </c>
      <c r="CC154" s="302">
        <v>1</v>
      </c>
      <c r="CD154" s="154">
        <f ca="1">IF(BD154,_xll.xCrudeAPO(BS154,BT154,BY154,BZ154,S155,S156,BI154,BL154,BN154,BO154,0,Strike1,AO154,CC154,0,BL154,IF(OptControl=4,0,1),0,1),0)</f>
        <v>0</v>
      </c>
      <c r="CE154" s="155">
        <f ca="1">IF(BD154,_xll.xCrudeAPO(BS154,BT154,BY154,BZ154,S155,S156,BI154,BL154,BN154,BO154,0,Strike1,AO154,CC154,0,BL154,IF(OptControl=4,0,1),1,1)+_xll.xCrudeAPO(BS154,BT154,BY154,BZ154,S155,S156,BI154,BL154,BN154,BO154,0,Strike1,AO154,CC154,0,BL154,IF(OptControl=4,0,1),1,2)+IF(OR(VolSkewFlag=2,ABS(BQ154)&lt;0.0001),0,IF(BQ154&gt;0,-1,1)*CF154*Strike1/BP154^2*BW154/10%),0)</f>
        <v>0</v>
      </c>
      <c r="CF154" s="155">
        <f ca="1">IF(BD154,(_xll.xCrudeAPO(BS154,BT154,BY154,BZ154,S155,S156,BI154,BL154,BN154,BO154,0,Strike1,AO154,CC154,0,BL154,IF(OptControl=4,0,1),3,1)+_xll.xCrudeAPO(BS154,BT154,BY154,BZ154,S155,S156,BI154,BL154,BN154,BO154,0,Strike1,AO154,CC154,0,BL154,IF(OptControl=4,0,1),3,2))/100,0)</f>
        <v>0</v>
      </c>
      <c r="CG154" s="155">
        <f ca="1">IF(BD154,_xll.xCrudeAPO(BS154,BT154,BY154,BZ154,S155,S156,BI154-DaysForThetaCalculation/365.25,BL154-DaysForThetaCalculation/365.25,BN154,BO154,0,Strike1,AO154,CC154,0,BL154,IF(OptControl=4,0,1),0,1)-_xll.xCrudeAPO(BS154,BT154,BY154,BZ154,S155,S156,BI154,BL154,BN154,BO154,0,Strike1,AO154,CC154,0,BL154,IF(OptControl=4,0,1),0,1),0)</f>
        <v>0</v>
      </c>
      <c r="CH154" s="303">
        <f ca="1">IF(BD154,_xll.xCrudeAPO(BS154,BT154,CA154,CB154,S155,S156,BI154,BL154,BN154,BO154,0,Strike2,AO154,CC154,0,BL154,IF(OptControl=3,1,0),0,1),0)</f>
        <v>0</v>
      </c>
      <c r="CI154" s="155">
        <f ca="1">IF(BD154,_xll.xCrudeAPO(BS154,BT154,CA154,CB154,S155,S156,BI154,BL154,BN154,BO154,0,Strike2,AO154,CC154,0,BL154,IF(OptControl=3,1,0),1,1)+_xll.xCrudeAPO(BS154,BT154,CA154,CB154,S155,S156,BI154,BL154,BN154,BO154,0,Strike2,AO154,CC154,0,BL154,IF(OptControl=3,1,0),1,2)+IF(OR(VolSkewFlag=2,ABS(BR154)&lt;0.0001),0,IF(BR154&gt;0,-1,1)*CJ154*Strike2/BP154^2*BX154/10%),0)</f>
        <v>0</v>
      </c>
      <c r="CJ154" s="155">
        <f ca="1">IF(BD154,(_xll.xCrudeAPO(BS154,BT154,CA154,CB154,S155,S156,BI154,BL154,BN154,BO154,0,Strike2,AO154,CC154,0,BL154,IF(OptControl=3,1,0),3,1)+_xll.xCrudeAPO(BS154,BT154,CA154,CB154,S155,S156,BI154,BL154,BN154,BO154,0,Strike2,AO154,CC154,0,BL154,IF(OptControl=3,1,0),3,2))/100,0)</f>
        <v>0</v>
      </c>
      <c r="CK154" s="156">
        <f ca="1">IF(BD154,_xll.xCrudeAPO(BS154,BT154,CA154,CB154,S155,S156,BI154-DaysForThetaCalculation/365.25,BL154-DaysForThetaCalculation/365.25,BN154,BO154,0,Strike2,AO154,CC154,0,BL154,IF(OptControl=3,1,0),0,1)-_xll.xCrudeAPO(BS154,BT154,CA154,CB154,S155,S156,BI154,BL154,BN154,BO154,0,Strike2,AO154,CC154,0,BL154,IF(OptControl=3,1,0),0,1),0)</f>
        <v>0</v>
      </c>
      <c r="CL154" s="51"/>
      <c r="CM154" s="779" t="str">
        <f t="shared" ca="1" si="534"/>
        <v/>
      </c>
      <c r="CN154" s="783" t="str">
        <f t="shared" ca="1" si="535"/>
        <v/>
      </c>
      <c r="CO154" s="780" t="str">
        <f t="shared" ca="1" si="536"/>
        <v/>
      </c>
      <c r="CP154" s="780" t="str">
        <f t="shared" ca="1" si="537"/>
        <v/>
      </c>
      <c r="CQ154" s="780" t="str">
        <f t="shared" ca="1" si="538"/>
        <v/>
      </c>
      <c r="CR154" s="780" t="str">
        <f t="shared" ca="1" si="539"/>
        <v/>
      </c>
      <c r="CS154" s="781" t="str">
        <f t="shared" ca="1" si="540"/>
        <v/>
      </c>
      <c r="CT154" s="782" t="str">
        <f t="shared" ca="1" si="541"/>
        <v/>
      </c>
      <c r="CU154" s="782" t="str">
        <f t="shared" ca="1" si="542"/>
        <v/>
      </c>
      <c r="CV154" s="155">
        <f ca="1">IF(BD154,_xll.EURO(CN154,Strike1,AO154,AO154,CT154,CM154,IF(OptControl=4,0,1),0),0)</f>
        <v>0</v>
      </c>
      <c r="CW154" s="155">
        <f ca="1">IF(BD154,_xll.EURO(CN154,Strike1,AO154,AO154,CT154,CM154,IF(OptControl=4,0,1),1)+IF(OR(VolSkewFlag=2,ABS(CO154)&lt;0.0001),0,IF(CO154&gt;0,-1,1)*CX154*100*Strike1/CN154^2*CQ154/10%),0)</f>
        <v>0</v>
      </c>
      <c r="CX154" s="155">
        <f ca="1">IF(BD154,_xll.EURO(CN154,Strike1,AO154,AO154,CT154,CM154,IF(OptControl=4,0,1),3)/100,0)</f>
        <v>0</v>
      </c>
      <c r="CY154" s="155">
        <f ca="1">IF(BD154,_xll.EURO(CN154,Strike1,AO154,AO154,CT154,CM154,IF(OptControl=4,0,1),0)-_xll.EURO(CN154,Strike1,AO154,AO154,CT154,CM154-1,IF(OptControl=4,0,1),0),0)</f>
        <v>0</v>
      </c>
      <c r="CZ154" s="155">
        <f ca="1">IF(BD154,_xll.EURO(CN154,Strike2,AO154,AO154,CU154,CM154,IF(OptControl=3,1,0),0),0)</f>
        <v>0</v>
      </c>
      <c r="DA154" s="155">
        <f ca="1">IF(BD154,_xll.EURO(CN154,Strike2,AO154,AO154,CU154,CM154,IF(OptControl=3,1,0),1)+IF(OR(VolSkewFlag=2,ABS(CP154)&lt;0.0001),0,IF(CP154&gt;0,-1,1)*DB154*100*Strike2/CN154^2*CR154/10%),0)</f>
        <v>0</v>
      </c>
      <c r="DB154" s="155">
        <f ca="1">IF(BD154,_xll.EURO(CN154,Strike2,AO154,AO154,CU154,CM154,IF(OptControl=3,1,0),3)/100,0)</f>
        <v>0</v>
      </c>
      <c r="DC154" s="156">
        <f ca="1">IF(BD154,_xll.EURO(CN154,Strike2,AO154,AO154,CU154,CM154,IF(OptControl=3,1,0),0)-_xll.EURO(CN154,Strike2,AO154,AO154,CU154,CM154-1,IF(OptControl=3,1,0),0),0)</f>
        <v>0</v>
      </c>
      <c r="DE154" s="651">
        <f t="shared" ca="1" si="543"/>
        <v>41000</v>
      </c>
      <c r="DF154" s="465">
        <v>1E-4</v>
      </c>
      <c r="DG154" s="649">
        <v>1E-4</v>
      </c>
      <c r="DH154" s="650">
        <f t="shared" ca="1" si="518"/>
        <v>41000</v>
      </c>
      <c r="DI154" s="465">
        <v>1E-4</v>
      </c>
      <c r="DJ154" s="649">
        <v>1E-4</v>
      </c>
      <c r="DK154" s="651">
        <f t="shared" ca="1" si="519"/>
        <v>41000</v>
      </c>
      <c r="DL154" s="652">
        <f t="shared" si="520"/>
        <v>5.0100000000000006E-2</v>
      </c>
      <c r="DM154" s="651">
        <f t="shared" ca="1" si="544"/>
        <v>41000</v>
      </c>
      <c r="DN154" s="563">
        <f t="shared" si="545"/>
        <v>-0.12990000000000002</v>
      </c>
      <c r="DO154" s="803">
        <v>-0.13</v>
      </c>
      <c r="DP154" s="650">
        <f t="shared" ca="1" si="521"/>
        <v>41000</v>
      </c>
      <c r="DQ154" s="653">
        <v>1E-4</v>
      </c>
      <c r="DR154" s="590">
        <v>1E-4</v>
      </c>
      <c r="DS154" s="650">
        <f t="shared" ca="1" si="522"/>
        <v>41000</v>
      </c>
      <c r="DT154" s="653">
        <v>1E-4</v>
      </c>
      <c r="DU154" s="590">
        <v>1E-4</v>
      </c>
      <c r="DV154" s="651">
        <f t="shared" ca="1" si="523"/>
        <v>41000</v>
      </c>
      <c r="DW154" s="590">
        <v>1E-4</v>
      </c>
      <c r="DX154" s="651">
        <f t="shared" ca="1" si="546"/>
        <v>41000</v>
      </c>
      <c r="DY154" s="590">
        <f t="shared" si="547"/>
        <v>1E-4</v>
      </c>
      <c r="DZ154" s="1"/>
      <c r="EA154" s="857"/>
      <c r="EB154" s="857"/>
      <c r="EC154" s="857"/>
      <c r="ED154" s="868" t="e">
        <f t="shared" ca="1" si="436"/>
        <v>#NAME?</v>
      </c>
      <c r="EE154" s="863" t="e">
        <f t="shared" ca="1" si="524"/>
        <v>#NAME?</v>
      </c>
      <c r="EF154" s="590" t="e">
        <f t="shared" ca="1" si="525"/>
        <v>#NAME?</v>
      </c>
      <c r="EG154" s="862" t="str">
        <f t="shared" ca="1" si="526"/>
        <v/>
      </c>
      <c r="EH154" s="114" t="str">
        <f t="shared" ca="1" si="527"/>
        <v/>
      </c>
      <c r="EI154" s="109" t="str">
        <f t="shared" ca="1" si="528"/>
        <v/>
      </c>
      <c r="EJ154" s="115">
        <f ca="1">IF(BD154,_xll.xASN(BP154,Strike1,AO154,EH154,0,BM154,0,BI154,BL154,IF(OptControl=4,0,1),0),0)</f>
        <v>0</v>
      </c>
      <c r="EK154" s="108">
        <f ca="1">IF(BD154,_xll.xASN(BP154,Strike2,AO154,EI154,0,BM154,0,BI154,BL154,IF(OptControl=3,1,0),0),0)</f>
        <v>0</v>
      </c>
      <c r="EP154" s="53"/>
      <c r="EQ154" s="1"/>
      <c r="ER154" s="103"/>
      <c r="ES154" s="103"/>
      <c r="ET154" s="1"/>
      <c r="EU154" s="667" t="s">
        <v>366</v>
      </c>
      <c r="EW154" s="445"/>
      <c r="EX154" s="36"/>
      <c r="EY154" s="104"/>
      <c r="EZ154" s="465"/>
      <c r="FA154" s="446"/>
      <c r="FB154" s="446"/>
      <c r="FC154" s="242"/>
      <c r="FD154" s="242"/>
      <c r="FE154" s="242"/>
      <c r="FF154" s="242"/>
      <c r="FG154" s="242"/>
      <c r="FH154" s="242"/>
      <c r="FI154" s="242"/>
      <c r="FJ154" s="242"/>
      <c r="FK154" s="242"/>
      <c r="FL154" s="242"/>
      <c r="FM154" s="242"/>
      <c r="FN154" s="657">
        <v>60</v>
      </c>
      <c r="FO154" s="450">
        <f t="shared" ca="1" si="477"/>
        <v>0.17290276533826576</v>
      </c>
      <c r="FP154" s="450">
        <f t="shared" ca="1" si="562"/>
        <v>0.17288269141023613</v>
      </c>
      <c r="FQ154" s="450">
        <f t="shared" ca="1" si="562"/>
        <v>0.17269428059176359</v>
      </c>
      <c r="FR154" s="450">
        <f t="shared" ca="1" si="562"/>
        <v>0.1725116979651532</v>
      </c>
      <c r="FS154" s="450">
        <f t="shared" ca="1" si="562"/>
        <v>0.17233532078045022</v>
      </c>
      <c r="FT154" s="450">
        <f t="shared" ca="1" si="562"/>
        <v>0.17216557090303905</v>
      </c>
      <c r="FU154" s="450">
        <f t="shared" ca="1" si="562"/>
        <v>0.17200291980565158</v>
      </c>
      <c r="FV154" s="450">
        <f t="shared" ca="1" si="562"/>
        <v>0.17184789413548993</v>
      </c>
      <c r="FW154" s="450">
        <f t="shared" ca="1" si="562"/>
        <v>0.17170108192568756</v>
      </c>
      <c r="FX154" s="450">
        <f t="shared" ca="1" si="562"/>
        <v>0.1715631395293491</v>
      </c>
      <c r="FY154" s="450">
        <f t="shared" ca="1" si="562"/>
        <v>0.17143479936473968</v>
      </c>
      <c r="FZ154" s="450">
        <f t="shared" ca="1" si="562"/>
        <v>0.17131687857207781</v>
      </c>
      <c r="GA154" s="450">
        <f t="shared" ca="1" si="562"/>
        <v>0.17121028869607724</v>
      </c>
      <c r="GB154" s="450">
        <f t="shared" ca="1" si="562"/>
        <v>0.17111604652422896</v>
      </c>
      <c r="GC154" s="450">
        <f t="shared" ca="1" si="562"/>
        <v>0.17103528622917022</v>
      </c>
      <c r="GD154" s="450">
        <f t="shared" ca="1" si="562"/>
        <v>0.1709692729848595</v>
      </c>
      <c r="GE154" s="450">
        <f t="shared" ca="1" si="562"/>
        <v>0.17091941825121379</v>
      </c>
      <c r="GF154" s="450">
        <f t="shared" ca="1" si="562"/>
        <v>0.17088729695106231</v>
      </c>
      <c r="GG154" s="450">
        <f t="shared" ca="1" si="562"/>
        <v>0.17087466679759944</v>
      </c>
      <c r="GH154" s="450">
        <f t="shared" ca="1" si="562"/>
        <v>0.1708834900709868</v>
      </c>
      <c r="GI154" s="450">
        <f t="shared" ca="1" si="562"/>
        <v>0.17091595819066938</v>
      </c>
      <c r="GJ154" s="450">
        <f t="shared" ca="1" si="562"/>
        <v>0.17097451948689546</v>
      </c>
      <c r="GK154" s="450">
        <f t="shared" ca="1" si="562"/>
        <v>0.17106191064281587</v>
      </c>
      <c r="GL154" s="450">
        <f t="shared" ca="1" si="562"/>
        <v>0.17118119235983123</v>
      </c>
      <c r="GM154" s="450">
        <f t="shared" ca="1" si="562"/>
        <v>0.1713357898965617</v>
      </c>
      <c r="GN154" s="450">
        <f t="shared" ca="1" si="562"/>
        <v>0.1715295392497414</v>
      </c>
      <c r="GO154" s="450">
        <f t="shared" ca="1" si="562"/>
        <v>0.17176673988824137</v>
      </c>
      <c r="GP154" s="450">
        <f t="shared" ca="1" si="562"/>
        <v>0.17205221512532437</v>
      </c>
      <c r="GQ154" s="450">
        <f t="shared" ca="1" si="562"/>
        <v>0.17239138142673191</v>
      </c>
      <c r="GR154" s="450">
        <f t="shared" ca="1" si="562"/>
        <v>0.17279032821301155</v>
      </c>
      <c r="GS154" s="450">
        <f t="shared" ca="1" si="562"/>
        <v>0.17325591003598345</v>
      </c>
      <c r="GT154" s="450">
        <f t="shared" ca="1" si="562"/>
        <v>0.17379585340734144</v>
      </c>
      <c r="GU154" s="450">
        <f t="shared" ca="1" si="562"/>
        <v>0.17441888105261996</v>
      </c>
      <c r="GV154" s="450">
        <f t="shared" ca="1" si="562"/>
        <v>0.17513485698277431</v>
      </c>
      <c r="GW154" s="450">
        <f t="shared" ca="1" si="562"/>
        <v>0.17595495655316976</v>
      </c>
      <c r="GX154" s="450">
        <f t="shared" ca="1" si="562"/>
        <v>0.17689186666143056</v>
      </c>
      <c r="GY154" s="450">
        <f t="shared" ca="1" si="562"/>
        <v>0.17796002248151183</v>
      </c>
      <c r="GZ154" s="450">
        <f t="shared" ca="1" si="562"/>
        <v>0.17917588872136533</v>
      </c>
      <c r="HA154" s="450">
        <f t="shared" ca="1" si="562"/>
        <v>0.1805582954323956</v>
      </c>
      <c r="HB154" s="450">
        <f t="shared" ca="1" si="562"/>
        <v>0.1821288410341361</v>
      </c>
      <c r="HC154" s="450">
        <f t="shared" ca="1" si="562"/>
        <v>0.18391237864181123</v>
      </c>
      <c r="HD154" s="450">
        <f t="shared" ca="1" si="562"/>
        <v>0.18593760626345257</v>
      </c>
      <c r="HE154" s="450">
        <f t="shared" ca="1" si="562"/>
        <v>0.18823778733276525</v>
      </c>
      <c r="HF154" s="450">
        <f t="shared" ca="1" si="562"/>
        <v>0.19085163587168349</v>
      </c>
      <c r="HG154" s="450">
        <f t="shared" ca="1" si="562"/>
        <v>0.19382441104332251</v>
      </c>
      <c r="HH154" s="450">
        <f t="shared" ca="1" si="562"/>
        <v>0.19720927996630594</v>
      </c>
      <c r="HI154" s="450">
        <f t="shared" ca="1" si="562"/>
        <v>0.20106902684851882</v>
      </c>
      <c r="HJ154" s="450">
        <f t="shared" ca="1" si="562"/>
        <v>0.20547821282847317</v>
      </c>
      <c r="HK154" s="450">
        <f t="shared" ca="1" si="562"/>
        <v>0.21052592739687298</v>
      </c>
      <c r="HL154" s="450">
        <f t="shared" ca="1" si="562"/>
        <v>0.21631932334842108</v>
      </c>
      <c r="HM154" s="450">
        <f t="shared" ca="1" si="562"/>
        <v>0.22298819950758372</v>
      </c>
      <c r="HN154" s="450">
        <f t="shared" ca="1" si="562"/>
        <v>0.23069099899250278</v>
      </c>
      <c r="HO154" s="450">
        <f t="shared" ca="1" si="562"/>
        <v>0.23962274086789892</v>
      </c>
      <c r="HP154" s="450">
        <f t="shared" ca="1" si="562"/>
        <v>0.25002562354126628</v>
      </c>
      <c r="HQ154" s="450">
        <f t="shared" ca="1" si="562"/>
        <v>0.26220336684458767</v>
      </c>
      <c r="HR154" s="450">
        <f t="shared" ca="1" si="562"/>
        <v>0.27654085690773533</v>
      </c>
      <c r="HS154" s="450">
        <f t="shared" ca="1" si="562"/>
        <v>0.29353142257275838</v>
      </c>
      <c r="HT154" s="450">
        <f t="shared" ca="1" si="562"/>
        <v>0.31381526907882573</v>
      </c>
      <c r="HU154" s="450">
        <f t="shared" ca="1" si="562"/>
        <v>0.3382345046522206</v>
      </c>
      <c r="HV154" s="450">
        <f t="shared" ca="1" si="562"/>
        <v>0.36791330692739327</v>
      </c>
      <c r="HW154" s="450" t="str">
        <f t="shared" si="562"/>
        <v/>
      </c>
      <c r="HX154" s="450" t="str">
        <f t="shared" si="562"/>
        <v/>
      </c>
      <c r="HY154" s="450" t="str">
        <f t="shared" si="562"/>
        <v/>
      </c>
      <c r="HZ154" s="450" t="str">
        <f t="shared" si="562"/>
        <v/>
      </c>
      <c r="IA154" s="450" t="str">
        <f t="shared" si="562"/>
        <v/>
      </c>
      <c r="IB154" s="450" t="str">
        <f t="shared" si="561"/>
        <v/>
      </c>
      <c r="IC154" s="450" t="str">
        <f t="shared" si="561"/>
        <v/>
      </c>
      <c r="ID154" s="450" t="str">
        <f t="shared" si="561"/>
        <v/>
      </c>
      <c r="IE154" s="450" t="str">
        <f t="shared" si="561"/>
        <v/>
      </c>
      <c r="IF154" s="450" t="str">
        <f t="shared" si="561"/>
        <v/>
      </c>
      <c r="IG154" s="450" t="str">
        <f t="shared" si="561"/>
        <v/>
      </c>
      <c r="IH154" s="658" t="str">
        <f t="shared" si="561"/>
        <v/>
      </c>
      <c r="II154" s="242"/>
    </row>
    <row r="155" spans="8:243">
      <c r="H155" s="49" t="e">
        <f t="shared" ca="1" si="529"/>
        <v>#N/A</v>
      </c>
      <c r="I155" s="369">
        <f t="shared" si="530"/>
        <v>41122</v>
      </c>
      <c r="J155" s="367">
        <v>22.759999999999902</v>
      </c>
      <c r="K155" s="101" t="s">
        <v>267</v>
      </c>
      <c r="L155" s="382">
        <f t="shared" si="531"/>
        <v>22.759999999999938</v>
      </c>
      <c r="M155" s="163">
        <v>0.15710000000000002</v>
      </c>
      <c r="N155" s="372">
        <v>0</v>
      </c>
      <c r="O155" s="163">
        <f t="shared" si="488"/>
        <v>0.15710000000000002</v>
      </c>
      <c r="P155" s="367">
        <v>21.320250856163398</v>
      </c>
      <c r="Q155" s="101" t="s">
        <v>267</v>
      </c>
      <c r="R155" s="367">
        <f t="shared" ca="1" si="549"/>
        <v>21.320250856163415</v>
      </c>
      <c r="S155" s="814">
        <f t="shared" si="474"/>
        <v>0.35300427306888654</v>
      </c>
      <c r="T155" s="813">
        <f t="shared" si="550"/>
        <v>0.9999999480991888</v>
      </c>
      <c r="U155" s="532">
        <f t="shared" si="551"/>
        <v>0.99999999999999978</v>
      </c>
      <c r="V155" s="379">
        <v>0</v>
      </c>
      <c r="W155" s="424">
        <f t="shared" si="489"/>
        <v>22.794782608695552</v>
      </c>
      <c r="X155" s="405">
        <f t="shared" si="490"/>
        <v>22.794782608695588</v>
      </c>
      <c r="Y155" s="313">
        <f t="shared" si="491"/>
        <v>21.476382608695552</v>
      </c>
      <c r="Z155" s="313">
        <f t="shared" ca="1" si="492"/>
        <v>21.476382608695587</v>
      </c>
      <c r="AA155" s="419">
        <f t="shared" si="493"/>
        <v>1.3184</v>
      </c>
      <c r="AB155" s="423">
        <f t="shared" ca="1" si="494"/>
        <v>1.3184</v>
      </c>
      <c r="AC155" s="221">
        <v>41110</v>
      </c>
      <c r="AD155" s="221">
        <v>41106</v>
      </c>
      <c r="AE155" s="221">
        <v>41105</v>
      </c>
      <c r="AF155" s="221">
        <v>41101</v>
      </c>
      <c r="AG155" s="241" t="s">
        <v>497</v>
      </c>
      <c r="AH155" s="239" t="s">
        <v>497</v>
      </c>
      <c r="AI155" s="141">
        <v>23</v>
      </c>
      <c r="AJ155" s="41">
        <v>14</v>
      </c>
      <c r="AK155" s="41">
        <v>9</v>
      </c>
      <c r="AL155" s="285">
        <v>23</v>
      </c>
      <c r="AM155" s="41">
        <v>10</v>
      </c>
      <c r="AN155" s="142">
        <v>13</v>
      </c>
      <c r="AO155" s="364">
        <v>5.9989951646917998E-2</v>
      </c>
      <c r="AP155" s="145">
        <f t="shared" ca="1" si="532"/>
        <v>0.50990538331642998</v>
      </c>
      <c r="AQ155" s="364">
        <v>5.1637292503047501E-2</v>
      </c>
      <c r="AR155" s="145">
        <f t="shared" ca="1" si="552"/>
        <v>0.56297771323978363</v>
      </c>
      <c r="AS155" s="264">
        <f t="shared" si="495"/>
        <v>0.15654347826086956</v>
      </c>
      <c r="AT155" s="149">
        <f t="shared" si="533"/>
        <v>0.15710000000000002</v>
      </c>
      <c r="AU155" s="149">
        <f t="shared" si="496"/>
        <v>0.15647391304347827</v>
      </c>
      <c r="AV155" s="263">
        <f t="shared" ca="1" si="560"/>
        <v>0.15474720599118622</v>
      </c>
      <c r="AW155" s="150" t="str">
        <f t="shared" ca="1" si="497"/>
        <v/>
      </c>
      <c r="AX155" s="149">
        <f t="shared" ca="1" si="553"/>
        <v>9.6796502327220531E-3</v>
      </c>
      <c r="AY155" s="149">
        <f t="shared" ca="1" si="554"/>
        <v>3.7489574175902456E-3</v>
      </c>
      <c r="AZ155" s="149">
        <f t="shared" ca="1" si="555"/>
        <v>3.1158948979207236E-3</v>
      </c>
      <c r="BA155" s="149">
        <f t="shared" ca="1" si="556"/>
        <v>1.0000000000000572E-4</v>
      </c>
      <c r="BB155" s="149">
        <f t="shared" ca="1" si="557"/>
        <v>1.0000000000000572E-4</v>
      </c>
      <c r="BC155" s="149">
        <f t="shared" ca="1" si="558"/>
        <v>1.0000000000000572E-4</v>
      </c>
      <c r="BD155" s="143">
        <f t="shared" ca="1" si="498"/>
        <v>0</v>
      </c>
      <c r="BE155" s="144">
        <f t="shared" ca="1" si="499"/>
        <v>0</v>
      </c>
      <c r="BF155" s="40">
        <f t="shared" si="500"/>
        <v>2012</v>
      </c>
      <c r="BG155" s="139">
        <f t="shared" si="501"/>
        <v>8</v>
      </c>
      <c r="BH155" s="140">
        <f t="shared" ca="1" si="502"/>
        <v>4116</v>
      </c>
      <c r="BI155" s="304">
        <f t="shared" ca="1" si="440"/>
        <v>11.312799452429843</v>
      </c>
      <c r="BJ155" s="42">
        <f t="shared" ca="1" si="503"/>
        <v>11.362794988542689</v>
      </c>
      <c r="BK155" s="42">
        <f t="shared" ca="1" si="504"/>
        <v>11.365532839329822</v>
      </c>
      <c r="BL155" s="42">
        <f t="shared" ca="1" si="441"/>
        <v>11.394934976043805</v>
      </c>
      <c r="BM155" s="285">
        <f t="shared" si="442"/>
        <v>23</v>
      </c>
      <c r="BN155" s="41">
        <f t="shared" si="443"/>
        <v>14</v>
      </c>
      <c r="BO155" s="41">
        <f t="shared" si="444"/>
        <v>9</v>
      </c>
      <c r="BP155" s="297" t="str">
        <f t="shared" ca="1" si="505"/>
        <v/>
      </c>
      <c r="BQ155" s="297" t="str">
        <f t="shared" ca="1" si="506"/>
        <v/>
      </c>
      <c r="BR155" s="299" t="str">
        <f t="shared" ca="1" si="507"/>
        <v/>
      </c>
      <c r="BS155" s="153" t="str">
        <f t="shared" ca="1" si="508"/>
        <v/>
      </c>
      <c r="BT155" s="153" t="str">
        <f t="shared" ca="1" si="509"/>
        <v/>
      </c>
      <c r="BU155" s="300" t="str">
        <f t="shared" ca="1" si="510"/>
        <v/>
      </c>
      <c r="BV155" s="301" t="str">
        <f t="shared" ca="1" si="511"/>
        <v/>
      </c>
      <c r="BW155" s="300" t="str">
        <f t="shared" ca="1" si="512"/>
        <v/>
      </c>
      <c r="BX155" s="301" t="str">
        <f t="shared" ca="1" si="513"/>
        <v/>
      </c>
      <c r="BY155" s="146" t="str">
        <f t="shared" ca="1" si="514"/>
        <v/>
      </c>
      <c r="BZ155" s="146" t="str">
        <f t="shared" ca="1" si="515"/>
        <v/>
      </c>
      <c r="CA155" s="146" t="str">
        <f t="shared" ca="1" si="516"/>
        <v/>
      </c>
      <c r="CB155" s="146" t="str">
        <f t="shared" ca="1" si="517"/>
        <v/>
      </c>
      <c r="CC155" s="302">
        <v>1</v>
      </c>
      <c r="CD155" s="154">
        <f ca="1">IF(BD155,_xll.xCrudeAPO(BS155,BT155,BY155,BZ155,S156,S157,BI155,BL155,BN155,BO155,0,Strike1,AO155,CC155,0,BL155,IF(OptControl=4,0,1),0,1),0)</f>
        <v>0</v>
      </c>
      <c r="CE155" s="155">
        <f ca="1">IF(BD155,_xll.xCrudeAPO(BS155,BT155,BY155,BZ155,S156,S157,BI155,BL155,BN155,BO155,0,Strike1,AO155,CC155,0,BL155,IF(OptControl=4,0,1),1,1)+_xll.xCrudeAPO(BS155,BT155,BY155,BZ155,S156,S157,BI155,BL155,BN155,BO155,0,Strike1,AO155,CC155,0,BL155,IF(OptControl=4,0,1),1,2)+IF(OR(VolSkewFlag=2,ABS(BQ155)&lt;0.0001),0,IF(BQ155&gt;0,-1,1)*CF155*Strike1/BP155^2*BW155/10%),0)</f>
        <v>0</v>
      </c>
      <c r="CF155" s="155">
        <f ca="1">IF(BD155,(_xll.xCrudeAPO(BS155,BT155,BY155,BZ155,S156,S157,BI155,BL155,BN155,BO155,0,Strike1,AO155,CC155,0,BL155,IF(OptControl=4,0,1),3,1)+_xll.xCrudeAPO(BS155,BT155,BY155,BZ155,S156,S157,BI155,BL155,BN155,BO155,0,Strike1,AO155,CC155,0,BL155,IF(OptControl=4,0,1),3,2))/100,0)</f>
        <v>0</v>
      </c>
      <c r="CG155" s="155">
        <f ca="1">IF(BD155,_xll.xCrudeAPO(BS155,BT155,BY155,BZ155,S156,S157,BI155-DaysForThetaCalculation/365.25,BL155-DaysForThetaCalculation/365.25,BN155,BO155,0,Strike1,AO155,CC155,0,BL155,IF(OptControl=4,0,1),0,1)-_xll.xCrudeAPO(BS155,BT155,BY155,BZ155,S156,S157,BI155,BL155,BN155,BO155,0,Strike1,AO155,CC155,0,BL155,IF(OptControl=4,0,1),0,1),0)</f>
        <v>0</v>
      </c>
      <c r="CH155" s="303">
        <f ca="1">IF(BD155,_xll.xCrudeAPO(BS155,BT155,CA155,CB155,S156,S157,BI155,BL155,BN155,BO155,0,Strike2,AO155,CC155,0,BL155,IF(OptControl=3,1,0),0,1),0)</f>
        <v>0</v>
      </c>
      <c r="CI155" s="155">
        <f ca="1">IF(BD155,_xll.xCrudeAPO(BS155,BT155,CA155,CB155,S156,S157,BI155,BL155,BN155,BO155,0,Strike2,AO155,CC155,0,BL155,IF(OptControl=3,1,0),1,1)+_xll.xCrudeAPO(BS155,BT155,CA155,CB155,S156,S157,BI155,BL155,BN155,BO155,0,Strike2,AO155,CC155,0,BL155,IF(OptControl=3,1,0),1,2)+IF(OR(VolSkewFlag=2,ABS(BR155)&lt;0.0001),0,IF(BR155&gt;0,-1,1)*CJ155*Strike2/BP155^2*BX155/10%),0)</f>
        <v>0</v>
      </c>
      <c r="CJ155" s="155">
        <f ca="1">IF(BD155,(_xll.xCrudeAPO(BS155,BT155,CA155,CB155,S156,S157,BI155,BL155,BN155,BO155,0,Strike2,AO155,CC155,0,BL155,IF(OptControl=3,1,0),3,1)+_xll.xCrudeAPO(BS155,BT155,CA155,CB155,S156,S157,BI155,BL155,BN155,BO155,0,Strike2,AO155,CC155,0,BL155,IF(OptControl=3,1,0),3,2))/100,0)</f>
        <v>0</v>
      </c>
      <c r="CK155" s="156">
        <f ca="1">IF(BD155,_xll.xCrudeAPO(BS155,BT155,CA155,CB155,S156,S157,BI155-DaysForThetaCalculation/365.25,BL155-DaysForThetaCalculation/365.25,BN155,BO155,0,Strike2,AO155,CC155,0,BL155,IF(OptControl=3,1,0),0,1)-_xll.xCrudeAPO(BS155,BT155,CA155,CB155,S156,S157,BI155,BL155,BN155,BO155,0,Strike2,AO155,CC155,0,BL155,IF(OptControl=3,1,0),0,1),0)</f>
        <v>0</v>
      </c>
      <c r="CL155" s="51"/>
      <c r="CM155" s="779" t="str">
        <f t="shared" ca="1" si="534"/>
        <v/>
      </c>
      <c r="CN155" s="783" t="str">
        <f t="shared" ca="1" si="535"/>
        <v/>
      </c>
      <c r="CO155" s="780" t="str">
        <f t="shared" ca="1" si="536"/>
        <v/>
      </c>
      <c r="CP155" s="780" t="str">
        <f t="shared" ca="1" si="537"/>
        <v/>
      </c>
      <c r="CQ155" s="780" t="str">
        <f t="shared" ca="1" si="538"/>
        <v/>
      </c>
      <c r="CR155" s="780" t="str">
        <f t="shared" ca="1" si="539"/>
        <v/>
      </c>
      <c r="CS155" s="781" t="str">
        <f t="shared" ca="1" si="540"/>
        <v/>
      </c>
      <c r="CT155" s="782" t="str">
        <f t="shared" ca="1" si="541"/>
        <v/>
      </c>
      <c r="CU155" s="782" t="str">
        <f t="shared" ca="1" si="542"/>
        <v/>
      </c>
      <c r="CV155" s="155">
        <f ca="1">IF(BD155,_xll.EURO(CN155,Strike1,AO155,AO155,CT155,CM155,IF(OptControl=4,0,1),0),0)</f>
        <v>0</v>
      </c>
      <c r="CW155" s="155">
        <f ca="1">IF(BD155,_xll.EURO(CN155,Strike1,AO155,AO155,CT155,CM155,IF(OptControl=4,0,1),1)+IF(OR(VolSkewFlag=2,ABS(CO155)&lt;0.0001),0,IF(CO155&gt;0,-1,1)*CX155*100*Strike1/CN155^2*CQ155/10%),0)</f>
        <v>0</v>
      </c>
      <c r="CX155" s="155">
        <f ca="1">IF(BD155,_xll.EURO(CN155,Strike1,AO155,AO155,CT155,CM155,IF(OptControl=4,0,1),3)/100,0)</f>
        <v>0</v>
      </c>
      <c r="CY155" s="155">
        <f ca="1">IF(BD155,_xll.EURO(CN155,Strike1,AO155,AO155,CT155,CM155,IF(OptControl=4,0,1),0)-_xll.EURO(CN155,Strike1,AO155,AO155,CT155,CM155-1,IF(OptControl=4,0,1),0),0)</f>
        <v>0</v>
      </c>
      <c r="CZ155" s="155">
        <f ca="1">IF(BD155,_xll.EURO(CN155,Strike2,AO155,AO155,CU155,CM155,IF(OptControl=3,1,0),0),0)</f>
        <v>0</v>
      </c>
      <c r="DA155" s="155">
        <f ca="1">IF(BD155,_xll.EURO(CN155,Strike2,AO155,AO155,CU155,CM155,IF(OptControl=3,1,0),1)+IF(OR(VolSkewFlag=2,ABS(CP155)&lt;0.0001),0,IF(CP155&gt;0,-1,1)*DB155*100*Strike2/CN155^2*CR155/10%),0)</f>
        <v>0</v>
      </c>
      <c r="DB155" s="155">
        <f ca="1">IF(BD155,_xll.EURO(CN155,Strike2,AO155,AO155,CU155,CM155,IF(OptControl=3,1,0),3)/100,0)</f>
        <v>0</v>
      </c>
      <c r="DC155" s="156">
        <f ca="1">IF(BD155,_xll.EURO(CN155,Strike2,AO155,AO155,CU155,CM155,IF(OptControl=3,1,0),0)-_xll.EURO(CN155,Strike2,AO155,AO155,CU155,CM155-1,IF(OptControl=3,1,0),0),0)</f>
        <v>0</v>
      </c>
      <c r="DE155" s="651">
        <f t="shared" ca="1" si="543"/>
        <v>41030</v>
      </c>
      <c r="DF155" s="465">
        <v>1E-4</v>
      </c>
      <c r="DG155" s="649">
        <v>1E-4</v>
      </c>
      <c r="DH155" s="650">
        <f t="shared" ca="1" si="518"/>
        <v>41030</v>
      </c>
      <c r="DI155" s="465">
        <v>1E-4</v>
      </c>
      <c r="DJ155" s="649">
        <v>1E-4</v>
      </c>
      <c r="DK155" s="651">
        <f t="shared" ca="1" si="519"/>
        <v>41030</v>
      </c>
      <c r="DL155" s="652">
        <f t="shared" si="520"/>
        <v>5.0100000000000006E-2</v>
      </c>
      <c r="DM155" s="651">
        <f t="shared" ca="1" si="544"/>
        <v>41030</v>
      </c>
      <c r="DN155" s="563">
        <f t="shared" si="545"/>
        <v>-0.12990000000000002</v>
      </c>
      <c r="DO155" s="803">
        <v>-0.13</v>
      </c>
      <c r="DP155" s="650">
        <f t="shared" ca="1" si="521"/>
        <v>41030</v>
      </c>
      <c r="DQ155" s="653">
        <v>1E-4</v>
      </c>
      <c r="DR155" s="590">
        <v>1E-4</v>
      </c>
      <c r="DS155" s="650">
        <f t="shared" ca="1" si="522"/>
        <v>41030</v>
      </c>
      <c r="DT155" s="653">
        <v>1E-4</v>
      </c>
      <c r="DU155" s="590">
        <v>1E-4</v>
      </c>
      <c r="DV155" s="651">
        <f t="shared" ca="1" si="523"/>
        <v>41030</v>
      </c>
      <c r="DW155" s="590">
        <v>1E-4</v>
      </c>
      <c r="DX155" s="651">
        <f t="shared" ca="1" si="546"/>
        <v>41030</v>
      </c>
      <c r="DY155" s="590">
        <f t="shared" si="547"/>
        <v>1E-4</v>
      </c>
      <c r="DZ155" s="1"/>
      <c r="EA155" s="857"/>
      <c r="EB155" s="857"/>
      <c r="EC155" s="857"/>
      <c r="ED155" s="868" t="e">
        <f t="shared" ca="1" si="436"/>
        <v>#NAME?</v>
      </c>
      <c r="EE155" s="863" t="e">
        <f t="shared" ca="1" si="524"/>
        <v>#NAME?</v>
      </c>
      <c r="EF155" s="590" t="e">
        <f t="shared" ca="1" si="525"/>
        <v>#NAME?</v>
      </c>
      <c r="EG155" s="862" t="str">
        <f t="shared" ca="1" si="526"/>
        <v/>
      </c>
      <c r="EH155" s="114" t="str">
        <f t="shared" ca="1" si="527"/>
        <v/>
      </c>
      <c r="EI155" s="109" t="str">
        <f t="shared" ca="1" si="528"/>
        <v/>
      </c>
      <c r="EJ155" s="115">
        <f ca="1">IF(BD155,_xll.xASN(BP155,Strike1,AO155,EH155,0,BM155,0,BI155,BL155,IF(OptControl=4,0,1),0),0)</f>
        <v>0</v>
      </c>
      <c r="EK155" s="108">
        <f ca="1">IF(BD155,_xll.xASN(BP155,Strike2,AO155,EI155,0,BM155,0,BI155,BL155,IF(OptControl=3,1,0),0),0)</f>
        <v>0</v>
      </c>
      <c r="EP155" s="53"/>
      <c r="EQ155" s="1"/>
      <c r="ER155" s="103"/>
      <c r="ES155" s="103"/>
      <c r="ET155" s="1"/>
      <c r="EU155" s="667" t="s">
        <v>367</v>
      </c>
      <c r="EW155" s="445"/>
      <c r="EX155" s="36"/>
      <c r="EY155" s="104"/>
      <c r="EZ155" s="465"/>
      <c r="FA155" s="446"/>
      <c r="FB155" s="446"/>
      <c r="FC155" s="242"/>
      <c r="FD155" s="242"/>
      <c r="FE155" s="242"/>
      <c r="FF155" s="242"/>
      <c r="FG155" s="242"/>
      <c r="FH155" s="242"/>
      <c r="FI155" s="242"/>
      <c r="FJ155" s="242"/>
      <c r="FK155" s="242"/>
      <c r="FL155" s="242"/>
      <c r="FM155" s="242"/>
      <c r="FN155" s="657">
        <v>61</v>
      </c>
      <c r="FO155" s="450">
        <f t="shared" ca="1" si="477"/>
        <v>0.17287581407012834</v>
      </c>
      <c r="FP155" s="450">
        <f t="shared" ca="1" si="562"/>
        <v>0.17285274877411128</v>
      </c>
      <c r="FQ155" s="450">
        <f t="shared" ca="1" si="562"/>
        <v>0.17266104693406911</v>
      </c>
      <c r="FR155" s="450">
        <f t="shared" ca="1" si="562"/>
        <v>0.17247481032502959</v>
      </c>
      <c r="FS155" s="450">
        <f t="shared" ca="1" si="562"/>
        <v>0.17229437593179156</v>
      </c>
      <c r="FT155" s="450">
        <f t="shared" ca="1" si="562"/>
        <v>0.17212012083844294</v>
      </c>
      <c r="FU155" s="450">
        <f t="shared" ca="1" si="562"/>
        <v>0.17195246670298048</v>
      </c>
      <c r="FV155" s="450">
        <f t="shared" ca="1" si="562"/>
        <v>0.17179188474530979</v>
      </c>
      <c r="FW155" s="450">
        <f t="shared" ca="1" si="562"/>
        <v>0.17163890130992879</v>
      </c>
      <c r="FX155" s="450">
        <f t="shared" ca="1" si="562"/>
        <v>0.17149410407247484</v>
      </c>
      <c r="FY155" s="450">
        <f t="shared" ca="1" si="562"/>
        <v>0.17135814896831911</v>
      </c>
      <c r="FZ155" s="450">
        <f t="shared" ca="1" si="562"/>
        <v>0.17123176793171915</v>
      </c>
      <c r="GA155" s="450">
        <f t="shared" ca="1" si="562"/>
        <v>0.17111577754591031</v>
      </c>
      <c r="GB155" s="450">
        <f t="shared" ca="1" si="562"/>
        <v>0.17101108871821086</v>
      </c>
      <c r="GC155" s="450">
        <f t="shared" ca="1" si="562"/>
        <v>0.17091871751003274</v>
      </c>
      <c r="GD155" s="450">
        <f t="shared" ca="1" si="562"/>
        <v>0.17083979727005019</v>
      </c>
      <c r="GE155" s="450">
        <f t="shared" ca="1" si="562"/>
        <v>0.17077559224012753</v>
      </c>
      <c r="GF155" s="450">
        <f t="shared" ca="1" si="562"/>
        <v>0.17072751282852422</v>
      </c>
      <c r="GG155" s="450">
        <f t="shared" ca="1" si="562"/>
        <v>0.17069713277408666</v>
      </c>
      <c r="GH155" s="450">
        <f t="shared" ca="1" si="562"/>
        <v>0.17068620845942495</v>
      </c>
      <c r="GI155" s="450">
        <f t="shared" ca="1" si="562"/>
        <v>0.17069670067152434</v>
      </c>
      <c r="GJ155" s="450">
        <f t="shared" ca="1" si="562"/>
        <v>0.17073079915612013</v>
      </c>
      <c r="GK155" s="450">
        <f t="shared" ca="1" si="562"/>
        <v>0.17079095036904435</v>
      </c>
      <c r="GL155" s="450">
        <f t="shared" ca="1" si="562"/>
        <v>0.17087988889560324</v>
      </c>
      <c r="GM155" s="450">
        <f t="shared" ca="1" si="562"/>
        <v>0.17100067309027045</v>
      </c>
      <c r="GN155" s="450">
        <f t="shared" ca="1" si="562"/>
        <v>0.17115672558662681</v>
      </c>
      <c r="GO155" s="450">
        <f t="shared" ca="1" si="562"/>
        <v>0.17135187944531824</v>
      </c>
      <c r="GP155" s="450">
        <f t="shared" ca="1" si="562"/>
        <v>0.17159043085061312</v>
      </c>
      <c r="GQ155" s="450">
        <f t="shared" ca="1" si="562"/>
        <v>0.17187719943991012</v>
      </c>
      <c r="GR155" s="450">
        <f t="shared" ca="1" si="562"/>
        <v>0.17221759756290675</v>
      </c>
      <c r="GS155" s="450">
        <f t="shared" ca="1" si="562"/>
        <v>0.17261771002775947</v>
      </c>
      <c r="GT155" s="450">
        <f t="shared" ca="1" si="562"/>
        <v>0.17308438621283637</v>
      </c>
      <c r="GU155" s="450">
        <f t="shared" ca="1" si="562"/>
        <v>0.17362534682048492</v>
      </c>
      <c r="GV155" s="450">
        <f t="shared" ca="1" si="562"/>
        <v>0.17424930804412853</v>
      </c>
      <c r="GW155" s="450">
        <f t="shared" ca="1" si="562"/>
        <v>0.1749661265385942</v>
      </c>
      <c r="GX155" s="450">
        <f t="shared" ca="1" si="562"/>
        <v>0.17578696936058208</v>
      </c>
      <c r="GY155" s="450">
        <f t="shared" ca="1" si="562"/>
        <v>0.17672451402716904</v>
      </c>
      <c r="GZ155" s="450">
        <f t="shared" ca="1" si="562"/>
        <v>0.17779318508528388</v>
      </c>
      <c r="HA155" s="450">
        <f t="shared" ca="1" si="562"/>
        <v>0.17900943517400628</v>
      </c>
      <c r="HB155" s="450">
        <f t="shared" ca="1" si="562"/>
        <v>0.18039208060096454</v>
      </c>
      <c r="HC155" s="450">
        <f t="shared" ca="1" si="562"/>
        <v>0.18196270408751805</v>
      </c>
      <c r="HD155" s="450">
        <f t="shared" ca="1" si="562"/>
        <v>0.18374614075930573</v>
      </c>
      <c r="HE155" s="450">
        <f t="shared" ca="1" si="562"/>
        <v>0.18577106793466108</v>
      </c>
      <c r="HF155" s="450">
        <f t="shared" ca="1" si="562"/>
        <v>0.18807072515888817</v>
      </c>
      <c r="HG155" s="450">
        <f t="shared" ca="1" si="562"/>
        <v>0.19068379875477826</v>
      </c>
      <c r="HH155" s="450">
        <f t="shared" ca="1" si="562"/>
        <v>0.19365551561936759</v>
      </c>
      <c r="HI155" s="450">
        <f t="shared" ca="1" si="562"/>
        <v>0.1970390050975897</v>
      </c>
      <c r="HJ155" s="450">
        <f t="shared" ca="1" si="562"/>
        <v>0.20089700693748008</v>
      </c>
      <c r="HK155" s="450">
        <f t="shared" ca="1" si="562"/>
        <v>0.20530402964383704</v>
      </c>
      <c r="HL155" s="450">
        <f t="shared" ca="1" si="562"/>
        <v>0.21034910000687673</v>
      </c>
      <c r="HM155" s="450">
        <f t="shared" ca="1" si="562"/>
        <v>0.21613929562527562</v>
      </c>
      <c r="HN155" s="450">
        <f t="shared" ca="1" si="562"/>
        <v>0.22280432448776283</v>
      </c>
      <c r="HO155" s="450">
        <f t="shared" ca="1" si="562"/>
        <v>0.23050251912799069</v>
      </c>
      <c r="HP155" s="450">
        <f t="shared" ca="1" si="562"/>
        <v>0.23942876285288803</v>
      </c>
      <c r="HQ155" s="450">
        <f t="shared" ca="1" si="562"/>
        <v>0.24982508589974525</v>
      </c>
      <c r="HR155" s="450">
        <f t="shared" ca="1" si="562"/>
        <v>0.26199499774446078</v>
      </c>
      <c r="HS155" s="450">
        <f t="shared" ca="1" si="562"/>
        <v>0.27632311861388137</v>
      </c>
      <c r="HT155" s="450">
        <f t="shared" ca="1" si="562"/>
        <v>0.2933024373863235</v>
      </c>
      <c r="HU155" s="450">
        <f t="shared" ca="1" si="562"/>
        <v>0.3135727192451076</v>
      </c>
      <c r="HV155" s="450">
        <f t="shared" ca="1" si="562"/>
        <v>0.33797549508076286</v>
      </c>
      <c r="HW155" s="450">
        <f t="shared" ca="1" si="562"/>
        <v>0.36763417385811936</v>
      </c>
      <c r="HX155" s="450" t="str">
        <f t="shared" si="562"/>
        <v/>
      </c>
      <c r="HY155" s="450" t="str">
        <f t="shared" si="562"/>
        <v/>
      </c>
      <c r="HZ155" s="450" t="str">
        <f t="shared" si="562"/>
        <v/>
      </c>
      <c r="IA155" s="450" t="str">
        <f t="shared" si="562"/>
        <v/>
      </c>
      <c r="IB155" s="450" t="str">
        <f t="shared" si="561"/>
        <v/>
      </c>
      <c r="IC155" s="450" t="str">
        <f t="shared" si="561"/>
        <v/>
      </c>
      <c r="ID155" s="450" t="str">
        <f t="shared" si="561"/>
        <v/>
      </c>
      <c r="IE155" s="450" t="str">
        <f t="shared" si="561"/>
        <v/>
      </c>
      <c r="IF155" s="450" t="str">
        <f t="shared" si="561"/>
        <v/>
      </c>
      <c r="IG155" s="450" t="str">
        <f t="shared" si="561"/>
        <v/>
      </c>
      <c r="IH155" s="658" t="str">
        <f t="shared" si="561"/>
        <v/>
      </c>
      <c r="II155" s="242"/>
    </row>
    <row r="156" spans="8:243">
      <c r="H156" s="49" t="e">
        <f t="shared" ca="1" si="529"/>
        <v>#N/A</v>
      </c>
      <c r="I156" s="369">
        <f t="shared" si="530"/>
        <v>41153</v>
      </c>
      <c r="J156" s="367">
        <v>22.784999999999901</v>
      </c>
      <c r="K156" s="101" t="s">
        <v>267</v>
      </c>
      <c r="L156" s="382">
        <f t="shared" si="531"/>
        <v>22.784999999999936</v>
      </c>
      <c r="M156" s="163">
        <v>0.15670000000000001</v>
      </c>
      <c r="N156" s="372">
        <v>0</v>
      </c>
      <c r="O156" s="163">
        <f t="shared" si="488"/>
        <v>0.15670000000000001</v>
      </c>
      <c r="P156" s="367">
        <v>21.558002064308198</v>
      </c>
      <c r="Q156" s="101" t="s">
        <v>267</v>
      </c>
      <c r="R156" s="367">
        <f t="shared" ca="1" si="549"/>
        <v>21.558002064308152</v>
      </c>
      <c r="S156" s="814">
        <f t="shared" si="474"/>
        <v>0.3528742303381977</v>
      </c>
      <c r="T156" s="813">
        <f t="shared" si="550"/>
        <v>0.99999995328927005</v>
      </c>
      <c r="U156" s="532">
        <f t="shared" si="551"/>
        <v>0.99999999999999978</v>
      </c>
      <c r="V156" s="379">
        <v>0</v>
      </c>
      <c r="W156" s="424">
        <f t="shared" si="489"/>
        <v>22.817499999999903</v>
      </c>
      <c r="X156" s="405">
        <f t="shared" si="490"/>
        <v>22.817499999999932</v>
      </c>
      <c r="Y156" s="313">
        <f t="shared" si="491"/>
        <v>21.499099999999903</v>
      </c>
      <c r="Z156" s="313">
        <f t="shared" ca="1" si="492"/>
        <v>21.499099999999931</v>
      </c>
      <c r="AA156" s="419">
        <f t="shared" si="493"/>
        <v>1.3184</v>
      </c>
      <c r="AB156" s="423">
        <f t="shared" ca="1" si="494"/>
        <v>1.3184</v>
      </c>
      <c r="AC156" s="221">
        <v>41141</v>
      </c>
      <c r="AD156" s="221">
        <v>41137</v>
      </c>
      <c r="AE156" s="221">
        <v>41136</v>
      </c>
      <c r="AF156" s="221">
        <v>41132</v>
      </c>
      <c r="AG156" s="241" t="s">
        <v>497</v>
      </c>
      <c r="AH156" s="239" t="s">
        <v>497</v>
      </c>
      <c r="AI156" s="141">
        <v>20</v>
      </c>
      <c r="AJ156" s="41">
        <v>14</v>
      </c>
      <c r="AK156" s="41">
        <v>6</v>
      </c>
      <c r="AL156" s="285">
        <v>20</v>
      </c>
      <c r="AM156" s="41">
        <v>10</v>
      </c>
      <c r="AN156" s="142">
        <v>10</v>
      </c>
      <c r="AO156" s="364">
        <v>6.0035274186852401E-2</v>
      </c>
      <c r="AP156" s="145">
        <f t="shared" ca="1" si="532"/>
        <v>0.50717966780136536</v>
      </c>
      <c r="AQ156" s="364">
        <v>5.1744319829286803E-2</v>
      </c>
      <c r="AR156" s="145">
        <f t="shared" ca="1" si="552"/>
        <v>0.55988335823979241</v>
      </c>
      <c r="AS156" s="264">
        <f t="shared" si="495"/>
        <v>0.15618000000000001</v>
      </c>
      <c r="AT156" s="149">
        <f t="shared" si="533"/>
        <v>0.15670000000000001</v>
      </c>
      <c r="AU156" s="149">
        <f t="shared" si="496"/>
        <v>0.15609999999999999</v>
      </c>
      <c r="AV156" s="263">
        <f t="shared" ca="1" si="560"/>
        <v>0.15427894443327977</v>
      </c>
      <c r="AW156" s="150" t="str">
        <f t="shared" ca="1" si="497"/>
        <v/>
      </c>
      <c r="AX156" s="149">
        <f t="shared" ca="1" si="553"/>
        <v>9.5436684374063403E-3</v>
      </c>
      <c r="AY156" s="149">
        <f t="shared" ca="1" si="554"/>
        <v>3.6844533492916272E-3</v>
      </c>
      <c r="AZ156" s="149">
        <f t="shared" ca="1" si="555"/>
        <v>3.0787599439472831E-3</v>
      </c>
      <c r="BA156" s="149">
        <f t="shared" ca="1" si="556"/>
        <v>1.0000000000000581E-4</v>
      </c>
      <c r="BB156" s="149">
        <f t="shared" ca="1" si="557"/>
        <v>1.0000000000000581E-4</v>
      </c>
      <c r="BC156" s="149">
        <f t="shared" ca="1" si="558"/>
        <v>1.0000000000000581E-4</v>
      </c>
      <c r="BD156" s="143">
        <f t="shared" ca="1" si="498"/>
        <v>0</v>
      </c>
      <c r="BE156" s="144">
        <f t="shared" ca="1" si="499"/>
        <v>0</v>
      </c>
      <c r="BF156" s="40">
        <f t="shared" si="500"/>
        <v>2012</v>
      </c>
      <c r="BG156" s="139">
        <f t="shared" si="501"/>
        <v>9</v>
      </c>
      <c r="BH156" s="140">
        <f t="shared" ca="1" si="502"/>
        <v>4147</v>
      </c>
      <c r="BI156" s="304">
        <f t="shared" ca="1" si="440"/>
        <v>11.397672826830938</v>
      </c>
      <c r="BJ156" s="42">
        <f t="shared" ca="1" si="503"/>
        <v>11.453251197809719</v>
      </c>
      <c r="BK156" s="42">
        <f t="shared" ca="1" si="504"/>
        <v>11.455989048596852</v>
      </c>
      <c r="BL156" s="42">
        <f t="shared" ca="1" si="441"/>
        <v>11.477070499657769</v>
      </c>
      <c r="BM156" s="285">
        <f t="shared" si="442"/>
        <v>20</v>
      </c>
      <c r="BN156" s="41">
        <f t="shared" si="443"/>
        <v>14</v>
      </c>
      <c r="BO156" s="41">
        <f t="shared" si="444"/>
        <v>6</v>
      </c>
      <c r="BP156" s="297" t="str">
        <f t="shared" ca="1" si="505"/>
        <v/>
      </c>
      <c r="BQ156" s="297" t="str">
        <f t="shared" ca="1" si="506"/>
        <v/>
      </c>
      <c r="BR156" s="299" t="str">
        <f t="shared" ca="1" si="507"/>
        <v/>
      </c>
      <c r="BS156" s="153" t="str">
        <f t="shared" ca="1" si="508"/>
        <v/>
      </c>
      <c r="BT156" s="153" t="str">
        <f t="shared" ca="1" si="509"/>
        <v/>
      </c>
      <c r="BU156" s="300" t="str">
        <f t="shared" ca="1" si="510"/>
        <v/>
      </c>
      <c r="BV156" s="301" t="str">
        <f t="shared" ca="1" si="511"/>
        <v/>
      </c>
      <c r="BW156" s="300" t="str">
        <f t="shared" ca="1" si="512"/>
        <v/>
      </c>
      <c r="BX156" s="301" t="str">
        <f t="shared" ca="1" si="513"/>
        <v/>
      </c>
      <c r="BY156" s="146" t="str">
        <f t="shared" ca="1" si="514"/>
        <v/>
      </c>
      <c r="BZ156" s="146" t="str">
        <f t="shared" ca="1" si="515"/>
        <v/>
      </c>
      <c r="CA156" s="146" t="str">
        <f t="shared" ca="1" si="516"/>
        <v/>
      </c>
      <c r="CB156" s="146" t="str">
        <f t="shared" ca="1" si="517"/>
        <v/>
      </c>
      <c r="CC156" s="302">
        <v>1</v>
      </c>
      <c r="CD156" s="154">
        <f ca="1">IF(BD156,_xll.xCrudeAPO(BS156,BT156,BY156,BZ156,S157,S158,BI156,BL156,BN156,BO156,0,Strike1,AO156,CC156,0,BL156,IF(OptControl=4,0,1),0,1),0)</f>
        <v>0</v>
      </c>
      <c r="CE156" s="155">
        <f ca="1">IF(BD156,_xll.xCrudeAPO(BS156,BT156,BY156,BZ156,S157,S158,BI156,BL156,BN156,BO156,0,Strike1,AO156,CC156,0,BL156,IF(OptControl=4,0,1),1,1)+_xll.xCrudeAPO(BS156,BT156,BY156,BZ156,S157,S158,BI156,BL156,BN156,BO156,0,Strike1,AO156,CC156,0,BL156,IF(OptControl=4,0,1),1,2)+IF(OR(VolSkewFlag=2,ABS(BQ156)&lt;0.0001),0,IF(BQ156&gt;0,-1,1)*CF156*Strike1/BP156^2*BW156/10%),0)</f>
        <v>0</v>
      </c>
      <c r="CF156" s="155">
        <f ca="1">IF(BD156,(_xll.xCrudeAPO(BS156,BT156,BY156,BZ156,S157,S158,BI156,BL156,BN156,BO156,0,Strike1,AO156,CC156,0,BL156,IF(OptControl=4,0,1),3,1)+_xll.xCrudeAPO(BS156,BT156,BY156,BZ156,S157,S158,BI156,BL156,BN156,BO156,0,Strike1,AO156,CC156,0,BL156,IF(OptControl=4,0,1),3,2))/100,0)</f>
        <v>0</v>
      </c>
      <c r="CG156" s="155">
        <f ca="1">IF(BD156,_xll.xCrudeAPO(BS156,BT156,BY156,BZ156,S157,S158,BI156-DaysForThetaCalculation/365.25,BL156-DaysForThetaCalculation/365.25,BN156,BO156,0,Strike1,AO156,CC156,0,BL156,IF(OptControl=4,0,1),0,1)-_xll.xCrudeAPO(BS156,BT156,BY156,BZ156,S157,S158,BI156,BL156,BN156,BO156,0,Strike1,AO156,CC156,0,BL156,IF(OptControl=4,0,1),0,1),0)</f>
        <v>0</v>
      </c>
      <c r="CH156" s="303">
        <f ca="1">IF(BD156,_xll.xCrudeAPO(BS156,BT156,CA156,CB156,S157,S158,BI156,BL156,BN156,BO156,0,Strike2,AO156,CC156,0,BL156,IF(OptControl=3,1,0),0,1),0)</f>
        <v>0</v>
      </c>
      <c r="CI156" s="155">
        <f ca="1">IF(BD156,_xll.xCrudeAPO(BS156,BT156,CA156,CB156,S157,S158,BI156,BL156,BN156,BO156,0,Strike2,AO156,CC156,0,BL156,IF(OptControl=3,1,0),1,1)+_xll.xCrudeAPO(BS156,BT156,CA156,CB156,S157,S158,BI156,BL156,BN156,BO156,0,Strike2,AO156,CC156,0,BL156,IF(OptControl=3,1,0),1,2)+IF(OR(VolSkewFlag=2,ABS(BR156)&lt;0.0001),0,IF(BR156&gt;0,-1,1)*CJ156*Strike2/BP156^2*BX156/10%),0)</f>
        <v>0</v>
      </c>
      <c r="CJ156" s="155">
        <f ca="1">IF(BD156,(_xll.xCrudeAPO(BS156,BT156,CA156,CB156,S157,S158,BI156,BL156,BN156,BO156,0,Strike2,AO156,CC156,0,BL156,IF(OptControl=3,1,0),3,1)+_xll.xCrudeAPO(BS156,BT156,CA156,CB156,S157,S158,BI156,BL156,BN156,BO156,0,Strike2,AO156,CC156,0,BL156,IF(OptControl=3,1,0),3,2))/100,0)</f>
        <v>0</v>
      </c>
      <c r="CK156" s="156">
        <f ca="1">IF(BD156,_xll.xCrudeAPO(BS156,BT156,CA156,CB156,S157,S158,BI156-DaysForThetaCalculation/365.25,BL156-DaysForThetaCalculation/365.25,BN156,BO156,0,Strike2,AO156,CC156,0,BL156,IF(OptControl=3,1,0),0,1)-_xll.xCrudeAPO(BS156,BT156,CA156,CB156,S157,S158,BI156,BL156,BN156,BO156,0,Strike2,AO156,CC156,0,BL156,IF(OptControl=3,1,0),0,1),0)</f>
        <v>0</v>
      </c>
      <c r="CL156" s="51"/>
      <c r="CM156" s="779" t="str">
        <f t="shared" ca="1" si="534"/>
        <v/>
      </c>
      <c r="CN156" s="783" t="str">
        <f t="shared" ca="1" si="535"/>
        <v/>
      </c>
      <c r="CO156" s="780" t="str">
        <f t="shared" ca="1" si="536"/>
        <v/>
      </c>
      <c r="CP156" s="780" t="str">
        <f t="shared" ca="1" si="537"/>
        <v/>
      </c>
      <c r="CQ156" s="780" t="str">
        <f t="shared" ca="1" si="538"/>
        <v/>
      </c>
      <c r="CR156" s="780" t="str">
        <f t="shared" ca="1" si="539"/>
        <v/>
      </c>
      <c r="CS156" s="781" t="str">
        <f t="shared" ca="1" si="540"/>
        <v/>
      </c>
      <c r="CT156" s="782" t="str">
        <f t="shared" ca="1" si="541"/>
        <v/>
      </c>
      <c r="CU156" s="782" t="str">
        <f t="shared" ca="1" si="542"/>
        <v/>
      </c>
      <c r="CV156" s="155">
        <f ca="1">IF(BD156,_xll.EURO(CN156,Strike1,AO156,AO156,CT156,CM156,IF(OptControl=4,0,1),0),0)</f>
        <v>0</v>
      </c>
      <c r="CW156" s="155">
        <f ca="1">IF(BD156,_xll.EURO(CN156,Strike1,AO156,AO156,CT156,CM156,IF(OptControl=4,0,1),1)+IF(OR(VolSkewFlag=2,ABS(CO156)&lt;0.0001),0,IF(CO156&gt;0,-1,1)*CX156*100*Strike1/CN156^2*CQ156/10%),0)</f>
        <v>0</v>
      </c>
      <c r="CX156" s="155">
        <f ca="1">IF(BD156,_xll.EURO(CN156,Strike1,AO156,AO156,CT156,CM156,IF(OptControl=4,0,1),3)/100,0)</f>
        <v>0</v>
      </c>
      <c r="CY156" s="155">
        <f ca="1">IF(BD156,_xll.EURO(CN156,Strike1,AO156,AO156,CT156,CM156,IF(OptControl=4,0,1),0)-_xll.EURO(CN156,Strike1,AO156,AO156,CT156,CM156-1,IF(OptControl=4,0,1),0),0)</f>
        <v>0</v>
      </c>
      <c r="CZ156" s="155">
        <f ca="1">IF(BD156,_xll.EURO(CN156,Strike2,AO156,AO156,CU156,CM156,IF(OptControl=3,1,0),0),0)</f>
        <v>0</v>
      </c>
      <c r="DA156" s="155">
        <f ca="1">IF(BD156,_xll.EURO(CN156,Strike2,AO156,AO156,CU156,CM156,IF(OptControl=3,1,0),1)+IF(OR(VolSkewFlag=2,ABS(CP156)&lt;0.0001),0,IF(CP156&gt;0,-1,1)*DB156*100*Strike2/CN156^2*CR156/10%),0)</f>
        <v>0</v>
      </c>
      <c r="DB156" s="155">
        <f ca="1">IF(BD156,_xll.EURO(CN156,Strike2,AO156,AO156,CU156,CM156,IF(OptControl=3,1,0),3)/100,0)</f>
        <v>0</v>
      </c>
      <c r="DC156" s="156">
        <f ca="1">IF(BD156,_xll.EURO(CN156,Strike2,AO156,AO156,CU156,CM156,IF(OptControl=3,1,0),0)-_xll.EURO(CN156,Strike2,AO156,AO156,CU156,CM156-1,IF(OptControl=3,1,0),0),0)</f>
        <v>0</v>
      </c>
      <c r="DE156" s="651">
        <f t="shared" ca="1" si="543"/>
        <v>41061</v>
      </c>
      <c r="DF156" s="465">
        <v>1E-4</v>
      </c>
      <c r="DG156" s="649">
        <v>1E-4</v>
      </c>
      <c r="DH156" s="650">
        <f t="shared" ca="1" si="518"/>
        <v>41061</v>
      </c>
      <c r="DI156" s="465">
        <v>1E-4</v>
      </c>
      <c r="DJ156" s="649">
        <v>1E-4</v>
      </c>
      <c r="DK156" s="651">
        <f t="shared" ca="1" si="519"/>
        <v>41061</v>
      </c>
      <c r="DL156" s="652">
        <f t="shared" si="520"/>
        <v>5.0100000000000006E-2</v>
      </c>
      <c r="DM156" s="651">
        <f t="shared" ca="1" si="544"/>
        <v>41061</v>
      </c>
      <c r="DN156" s="563">
        <f t="shared" si="545"/>
        <v>-0.12990000000000002</v>
      </c>
      <c r="DO156" s="803">
        <v>-0.13</v>
      </c>
      <c r="DP156" s="650">
        <f t="shared" ca="1" si="521"/>
        <v>41061</v>
      </c>
      <c r="DQ156" s="653">
        <v>1E-4</v>
      </c>
      <c r="DR156" s="590">
        <v>1E-4</v>
      </c>
      <c r="DS156" s="650">
        <f t="shared" ca="1" si="522"/>
        <v>41061</v>
      </c>
      <c r="DT156" s="653">
        <v>1E-4</v>
      </c>
      <c r="DU156" s="590">
        <v>1E-4</v>
      </c>
      <c r="DV156" s="651">
        <f t="shared" ca="1" si="523"/>
        <v>41061</v>
      </c>
      <c r="DW156" s="590">
        <v>1E-4</v>
      </c>
      <c r="DX156" s="651">
        <f t="shared" ca="1" si="546"/>
        <v>41061</v>
      </c>
      <c r="DY156" s="590">
        <f t="shared" si="547"/>
        <v>1E-4</v>
      </c>
      <c r="DZ156" s="1"/>
      <c r="EA156" s="857"/>
      <c r="EB156" s="857"/>
      <c r="EC156" s="857"/>
      <c r="ED156" s="868" t="e">
        <f t="shared" ca="1" si="436"/>
        <v>#NAME?</v>
      </c>
      <c r="EE156" s="863" t="e">
        <f t="shared" ca="1" si="524"/>
        <v>#NAME?</v>
      </c>
      <c r="EF156" s="590" t="e">
        <f t="shared" ca="1" si="525"/>
        <v>#NAME?</v>
      </c>
      <c r="EG156" s="862" t="str">
        <f t="shared" ca="1" si="526"/>
        <v/>
      </c>
      <c r="EH156" s="114" t="str">
        <f t="shared" ca="1" si="527"/>
        <v/>
      </c>
      <c r="EI156" s="109" t="str">
        <f t="shared" ca="1" si="528"/>
        <v/>
      </c>
      <c r="EJ156" s="115">
        <f ca="1">IF(BD156,_xll.xASN(BP156,Strike1,AO156,EH156,0,BM156,0,BI156,BL156,IF(OptControl=4,0,1),0),0)</f>
        <v>0</v>
      </c>
      <c r="EK156" s="108">
        <f ca="1">IF(BD156,_xll.xASN(BP156,Strike2,AO156,EI156,0,BM156,0,BI156,BL156,IF(OptControl=3,1,0),0),0)</f>
        <v>0</v>
      </c>
      <c r="EP156" s="53"/>
      <c r="EQ156" s="1"/>
      <c r="ER156" s="103"/>
      <c r="ES156" s="103"/>
      <c r="ET156" s="1"/>
      <c r="EU156" s="667" t="s">
        <v>368</v>
      </c>
      <c r="EW156" s="445"/>
      <c r="EX156" s="36"/>
      <c r="EY156" s="104"/>
      <c r="EZ156" s="465"/>
      <c r="FA156" s="446"/>
      <c r="FB156" s="446"/>
      <c r="FC156" s="242"/>
      <c r="FD156" s="242"/>
      <c r="FE156" s="242"/>
      <c r="FF156" s="242"/>
      <c r="FG156" s="242"/>
      <c r="FH156" s="242"/>
      <c r="FI156" s="242"/>
      <c r="FJ156" s="242"/>
      <c r="FK156" s="242"/>
      <c r="FL156" s="242"/>
      <c r="FM156" s="242"/>
      <c r="FN156" s="657">
        <v>62</v>
      </c>
      <c r="FO156" s="450">
        <f t="shared" ca="1" si="477"/>
        <v>0.17285156189878137</v>
      </c>
      <c r="FP156" s="450">
        <f t="shared" ca="1" si="562"/>
        <v>0.17282580530232014</v>
      </c>
      <c r="FQ156" s="450">
        <f t="shared" ca="1" si="562"/>
        <v>0.17263114268593927</v>
      </c>
      <c r="FR156" s="450">
        <f t="shared" ca="1" si="562"/>
        <v>0.17244161890266385</v>
      </c>
      <c r="FS156" s="450">
        <f t="shared" ca="1" si="562"/>
        <v>0.17225753476096281</v>
      </c>
      <c r="FT156" s="450">
        <f t="shared" ca="1" si="562"/>
        <v>0.17207922711876364</v>
      </c>
      <c r="FU156" s="450">
        <f t="shared" ca="1" si="562"/>
        <v>0.17190707289585563</v>
      </c>
      <c r="FV156" s="450">
        <f t="shared" ca="1" si="562"/>
        <v>0.17174149354492252</v>
      </c>
      <c r="FW156" s="450">
        <f t="shared" ca="1" si="562"/>
        <v>0.17158296003557147</v>
      </c>
      <c r="FX156" s="450">
        <f t="shared" ca="1" si="562"/>
        <v>0.17143199841262324</v>
      </c>
      <c r="FY156" s="450">
        <f t="shared" ca="1" si="562"/>
        <v>0.17128919599779407</v>
      </c>
      <c r="FZ156" s="450">
        <f t="shared" ca="1" si="562"/>
        <v>0.17115520831289968</v>
      </c>
      <c r="GA156" s="450">
        <f t="shared" ca="1" si="562"/>
        <v>0.17103076681302873</v>
      </c>
      <c r="GB156" s="450">
        <f t="shared" ca="1" si="562"/>
        <v>0.17091668753000455</v>
      </c>
      <c r="GC156" s="450">
        <f t="shared" ca="1" si="562"/>
        <v>0.17081388074012324</v>
      </c>
      <c r="GD156" s="450">
        <f t="shared" ca="1" si="562"/>
        <v>0.17072336178597824</v>
      </c>
      <c r="GE156" s="450">
        <f t="shared" ca="1" si="562"/>
        <v>0.17064626320052148</v>
      </c>
      <c r="GF156" s="450">
        <f t="shared" ca="1" si="562"/>
        <v>0.17058384830284279</v>
      </c>
      <c r="GG156" s="450">
        <f t="shared" ca="1" si="562"/>
        <v>0.17053752646006154</v>
      </c>
      <c r="GH156" s="450">
        <f t="shared" ca="1" si="562"/>
        <v>0.17050887023888089</v>
      </c>
      <c r="GI156" s="450">
        <f t="shared" ca="1" si="562"/>
        <v>0.17049963470463206</v>
      </c>
      <c r="GJ156" s="450">
        <f t="shared" ca="1" si="562"/>
        <v>0.17051177916605662</v>
      </c>
      <c r="GK156" s="450">
        <f t="shared" ca="1" si="562"/>
        <v>0.17054749171191641</v>
      </c>
      <c r="GL156" s="450">
        <f t="shared" ca="1" si="562"/>
        <v>0.17060921694237177</v>
      </c>
      <c r="GM156" s="450">
        <f t="shared" ca="1" si="562"/>
        <v>0.17069968736586263</v>
      </c>
      <c r="GN156" s="450">
        <f t="shared" ca="1" si="562"/>
        <v>0.17082195901340538</v>
      </c>
      <c r="GO156" s="450">
        <f t="shared" ca="1" si="562"/>
        <v>0.17097945191979122</v>
      </c>
      <c r="GP156" s="450">
        <f t="shared" ca="1" si="562"/>
        <v>0.17117599623893931</v>
      </c>
      <c r="GQ156" s="450">
        <f t="shared" ca="1" si="562"/>
        <v>0.17141588490336115</v>
      </c>
      <c r="GR156" s="450">
        <f t="shared" ca="1" si="562"/>
        <v>0.17170393391134994</v>
      </c>
      <c r="GS156" s="450">
        <f t="shared" ca="1" si="562"/>
        <v>0.17204555153771992</v>
      </c>
      <c r="GT156" s="450">
        <f t="shared" ca="1" si="562"/>
        <v>0.17244681802435996</v>
      </c>
      <c r="GU156" s="450">
        <f t="shared" ca="1" si="562"/>
        <v>0.1729145776279207</v>
      </c>
      <c r="GV156" s="450">
        <f t="shared" ca="1" si="562"/>
        <v>0.17345654529949686</v>
      </c>
      <c r="GW156" s="450">
        <f t="shared" ca="1" si="562"/>
        <v>0.17408143076572213</v>
      </c>
      <c r="GX156" s="450">
        <f t="shared" ca="1" si="562"/>
        <v>0.17479908339885589</v>
      </c>
      <c r="GY156" s="450">
        <f t="shared" ca="1" si="562"/>
        <v>0.17562066203992019</v>
      </c>
      <c r="GZ156" s="450">
        <f t="shared" ca="1" si="562"/>
        <v>0.17655883491925023</v>
      </c>
      <c r="HA156" s="450">
        <f t="shared" ca="1" si="562"/>
        <v>0.17762801606301806</v>
      </c>
      <c r="HB156" s="450">
        <f t="shared" ca="1" si="562"/>
        <v>0.17884464616212087</v>
      </c>
      <c r="HC156" s="450">
        <f t="shared" ca="1" si="562"/>
        <v>0.18022752791784777</v>
      </c>
      <c r="HD156" s="450">
        <f t="shared" ca="1" si="562"/>
        <v>0.18179822851036623</v>
      </c>
      <c r="HE156" s="450">
        <f t="shared" ca="1" si="562"/>
        <v>0.1835815652556253</v>
      </c>
      <c r="HF156" s="450">
        <f t="shared" ca="1" si="562"/>
        <v>0.18560619498915751</v>
      </c>
      <c r="HG156" s="450">
        <f t="shared" ca="1" si="562"/>
        <v>0.18790533360674991</v>
      </c>
      <c r="HH156" s="450">
        <f t="shared" ca="1" si="562"/>
        <v>0.19051764000904198</v>
      </c>
      <c r="HI156" s="450">
        <f t="shared" ca="1" si="562"/>
        <v>0.19348830914965229</v>
      </c>
      <c r="HJ156" s="450">
        <f t="shared" ca="1" si="562"/>
        <v>0.1968704329775606</v>
      </c>
      <c r="HK156" s="450">
        <f t="shared" ca="1" si="562"/>
        <v>0.20072670722555175</v>
      </c>
      <c r="HL156" s="450">
        <f t="shared" ca="1" si="562"/>
        <v>0.2051315882910473</v>
      </c>
      <c r="HM156" s="450">
        <f t="shared" ca="1" si="562"/>
        <v>0.21017404089078037</v>
      </c>
      <c r="HN156" s="450">
        <f t="shared" ca="1" si="562"/>
        <v>0.21596106817936175</v>
      </c>
      <c r="HO156" s="450">
        <f t="shared" ca="1" si="562"/>
        <v>0.22262228821813998</v>
      </c>
      <c r="HP156" s="450">
        <f t="shared" ca="1" si="562"/>
        <v>0.23031592406212376</v>
      </c>
      <c r="HQ156" s="450">
        <f t="shared" ca="1" si="562"/>
        <v>0.23923672461802731</v>
      </c>
      <c r="HR156" s="450">
        <f t="shared" ca="1" si="562"/>
        <v>0.24962655363463931</v>
      </c>
      <c r="HS156" s="450">
        <f t="shared" ca="1" si="562"/>
        <v>0.26178871233533518</v>
      </c>
      <c r="HT156" s="450">
        <f t="shared" ca="1" si="562"/>
        <v>0.27610755770296597</v>
      </c>
      <c r="HU156" s="450">
        <f t="shared" ca="1" si="562"/>
        <v>0.29307574205175285</v>
      </c>
      <c r="HV156" s="450">
        <f t="shared" ca="1" si="562"/>
        <v>0.31333259490972659</v>
      </c>
      <c r="HW156" s="450">
        <f t="shared" ca="1" si="562"/>
        <v>0.33771907560501963</v>
      </c>
      <c r="HX156" s="450">
        <f t="shared" ca="1" si="562"/>
        <v>0.36735783211953815</v>
      </c>
      <c r="HY156" s="450" t="str">
        <f t="shared" si="562"/>
        <v/>
      </c>
      <c r="HZ156" s="450" t="str">
        <f t="shared" si="562"/>
        <v/>
      </c>
      <c r="IA156" s="450" t="str">
        <f t="shared" ref="IA156:IH163" si="563">IF($FN81&lt;IA$94,"",SQRT(IA81/IA$15))</f>
        <v/>
      </c>
      <c r="IB156" s="450" t="str">
        <f t="shared" si="563"/>
        <v/>
      </c>
      <c r="IC156" s="450" t="str">
        <f t="shared" si="563"/>
        <v/>
      </c>
      <c r="ID156" s="450" t="str">
        <f t="shared" si="563"/>
        <v/>
      </c>
      <c r="IE156" s="450" t="str">
        <f t="shared" si="563"/>
        <v/>
      </c>
      <c r="IF156" s="450" t="str">
        <f t="shared" si="563"/>
        <v/>
      </c>
      <c r="IG156" s="450" t="str">
        <f t="shared" si="563"/>
        <v/>
      </c>
      <c r="IH156" s="658" t="str">
        <f t="shared" si="563"/>
        <v/>
      </c>
      <c r="II156" s="242"/>
    </row>
    <row r="157" spans="8:243">
      <c r="H157" s="49" t="e">
        <f t="shared" ca="1" si="529"/>
        <v>#N/A</v>
      </c>
      <c r="I157" s="369">
        <f t="shared" si="530"/>
        <v>41183</v>
      </c>
      <c r="J157" s="367">
        <v>22.809999999999899</v>
      </c>
      <c r="K157" s="101" t="s">
        <v>267</v>
      </c>
      <c r="L157" s="382">
        <f t="shared" si="531"/>
        <v>22.809999999999935</v>
      </c>
      <c r="M157" s="163">
        <v>0.15629999999999999</v>
      </c>
      <c r="N157" s="372">
        <v>0</v>
      </c>
      <c r="O157" s="163">
        <f t="shared" si="488"/>
        <v>0.15629999999999999</v>
      </c>
      <c r="P157" s="367">
        <v>21.413598412070499</v>
      </c>
      <c r="Q157" s="101" t="s">
        <v>267</v>
      </c>
      <c r="R157" s="367">
        <f t="shared" ca="1" si="549"/>
        <v>21.413598412070538</v>
      </c>
      <c r="S157" s="814">
        <f t="shared" si="474"/>
        <v>0.3527454880348157</v>
      </c>
      <c r="T157" s="813">
        <f t="shared" si="550"/>
        <v>0.99999995796034313</v>
      </c>
      <c r="U157" s="532">
        <f t="shared" si="551"/>
        <v>0.99999999999999978</v>
      </c>
      <c r="V157" s="379">
        <v>0</v>
      </c>
      <c r="W157" s="424">
        <f t="shared" si="489"/>
        <v>22.843695652173814</v>
      </c>
      <c r="X157" s="405">
        <f t="shared" si="490"/>
        <v>22.843695652173846</v>
      </c>
      <c r="Y157" s="313">
        <f t="shared" si="491"/>
        <v>21.602095652173816</v>
      </c>
      <c r="Z157" s="313">
        <f t="shared" ca="1" si="492"/>
        <v>21.602095652173844</v>
      </c>
      <c r="AA157" s="419">
        <f t="shared" si="493"/>
        <v>1.2416</v>
      </c>
      <c r="AB157" s="423">
        <f t="shared" ca="1" si="494"/>
        <v>1.2416</v>
      </c>
      <c r="AC157" s="221">
        <v>41172</v>
      </c>
      <c r="AD157" s="221">
        <v>41168</v>
      </c>
      <c r="AE157" s="221">
        <v>41167</v>
      </c>
      <c r="AF157" s="221">
        <v>41163</v>
      </c>
      <c r="AG157" s="241" t="s">
        <v>497</v>
      </c>
      <c r="AH157" s="239" t="s">
        <v>497</v>
      </c>
      <c r="AI157" s="141">
        <v>23</v>
      </c>
      <c r="AJ157" s="41">
        <v>15</v>
      </c>
      <c r="AK157" s="41">
        <v>8</v>
      </c>
      <c r="AL157" s="285">
        <v>23</v>
      </c>
      <c r="AM157" s="41">
        <v>10</v>
      </c>
      <c r="AN157" s="142">
        <v>13</v>
      </c>
      <c r="AO157" s="364">
        <v>6.0079134710019598E-2</v>
      </c>
      <c r="AP157" s="145">
        <f t="shared" ca="1" si="532"/>
        <v>0.50439140758659928</v>
      </c>
      <c r="AQ157" s="364">
        <v>5.18478947375378E-2</v>
      </c>
      <c r="AR157" s="145">
        <f t="shared" ca="1" si="552"/>
        <v>0.55681761826882159</v>
      </c>
      <c r="AS157" s="264">
        <f t="shared" si="495"/>
        <v>0.15576086956521742</v>
      </c>
      <c r="AT157" s="149">
        <f t="shared" si="533"/>
        <v>0.15629999999999999</v>
      </c>
      <c r="AU157" s="149">
        <f t="shared" si="496"/>
        <v>0.15567391304347827</v>
      </c>
      <c r="AV157" s="263">
        <f t="shared" ca="1" si="560"/>
        <v>0.15389010360844882</v>
      </c>
      <c r="AW157" s="150" t="str">
        <f t="shared" ca="1" si="497"/>
        <v/>
      </c>
      <c r="AX157" s="149">
        <f t="shared" ca="1" si="553"/>
        <v>9.4095969434148195E-3</v>
      </c>
      <c r="AY157" s="149">
        <f t="shared" ca="1" si="554"/>
        <v>3.6210591295091723E-3</v>
      </c>
      <c r="AZ157" s="149">
        <f t="shared" ca="1" si="555"/>
        <v>3.0420675610013602E-3</v>
      </c>
      <c r="BA157" s="149">
        <f t="shared" ca="1" si="556"/>
        <v>1.0000000000000589E-4</v>
      </c>
      <c r="BB157" s="149">
        <f t="shared" ca="1" si="557"/>
        <v>1.0000000000000589E-4</v>
      </c>
      <c r="BC157" s="149">
        <f t="shared" ca="1" si="558"/>
        <v>1.0000000000000589E-4</v>
      </c>
      <c r="BD157" s="143">
        <f t="shared" ca="1" si="498"/>
        <v>0</v>
      </c>
      <c r="BE157" s="144">
        <f t="shared" ca="1" si="499"/>
        <v>0</v>
      </c>
      <c r="BF157" s="40">
        <f t="shared" si="500"/>
        <v>2012</v>
      </c>
      <c r="BG157" s="139">
        <f t="shared" si="501"/>
        <v>10</v>
      </c>
      <c r="BH157" s="140">
        <f t="shared" ca="1" si="502"/>
        <v>4178</v>
      </c>
      <c r="BI157" s="304">
        <f t="shared" ca="1" si="440"/>
        <v>11.4798083504449</v>
      </c>
      <c r="BJ157" s="42">
        <f t="shared" ca="1" si="503"/>
        <v>11.533374996280093</v>
      </c>
      <c r="BK157" s="42">
        <f t="shared" ca="1" si="504"/>
        <v>11.536112847067226</v>
      </c>
      <c r="BL157" s="42">
        <f t="shared" ca="1" si="441"/>
        <v>11.561943874058864</v>
      </c>
      <c r="BM157" s="285">
        <f t="shared" si="442"/>
        <v>23</v>
      </c>
      <c r="BN157" s="41">
        <f t="shared" si="443"/>
        <v>15</v>
      </c>
      <c r="BO157" s="41">
        <f t="shared" si="444"/>
        <v>8</v>
      </c>
      <c r="BP157" s="297" t="str">
        <f t="shared" ca="1" si="505"/>
        <v/>
      </c>
      <c r="BQ157" s="297" t="str">
        <f t="shared" ca="1" si="506"/>
        <v/>
      </c>
      <c r="BR157" s="299" t="str">
        <f t="shared" ca="1" si="507"/>
        <v/>
      </c>
      <c r="BS157" s="153" t="str">
        <f t="shared" ca="1" si="508"/>
        <v/>
      </c>
      <c r="BT157" s="153" t="str">
        <f t="shared" ca="1" si="509"/>
        <v/>
      </c>
      <c r="BU157" s="300" t="str">
        <f t="shared" ca="1" si="510"/>
        <v/>
      </c>
      <c r="BV157" s="301" t="str">
        <f t="shared" ca="1" si="511"/>
        <v/>
      </c>
      <c r="BW157" s="300" t="str">
        <f t="shared" ca="1" si="512"/>
        <v/>
      </c>
      <c r="BX157" s="301" t="str">
        <f t="shared" ca="1" si="513"/>
        <v/>
      </c>
      <c r="BY157" s="146" t="str">
        <f t="shared" ca="1" si="514"/>
        <v/>
      </c>
      <c r="BZ157" s="146" t="str">
        <f t="shared" ca="1" si="515"/>
        <v/>
      </c>
      <c r="CA157" s="146" t="str">
        <f t="shared" ca="1" si="516"/>
        <v/>
      </c>
      <c r="CB157" s="146" t="str">
        <f t="shared" ca="1" si="517"/>
        <v/>
      </c>
      <c r="CC157" s="302">
        <v>1</v>
      </c>
      <c r="CD157" s="154">
        <f ca="1">IF(BD157,_xll.xCrudeAPO(BS157,BT157,BY157,BZ157,S158,S159,BI157,BL157,BN157,BO157,0,Strike1,AO157,CC157,0,BL157,IF(OptControl=4,0,1),0,1),0)</f>
        <v>0</v>
      </c>
      <c r="CE157" s="155">
        <f ca="1">IF(BD157,_xll.xCrudeAPO(BS157,BT157,BY157,BZ157,S158,S159,BI157,BL157,BN157,BO157,0,Strike1,AO157,CC157,0,BL157,IF(OptControl=4,0,1),1,1)+_xll.xCrudeAPO(BS157,BT157,BY157,BZ157,S158,S159,BI157,BL157,BN157,BO157,0,Strike1,AO157,CC157,0,BL157,IF(OptControl=4,0,1),1,2)+IF(OR(VolSkewFlag=2,ABS(BQ157)&lt;0.0001),0,IF(BQ157&gt;0,-1,1)*CF157*Strike1/BP157^2*BW157/10%),0)</f>
        <v>0</v>
      </c>
      <c r="CF157" s="155">
        <f ca="1">IF(BD157,(_xll.xCrudeAPO(BS157,BT157,BY157,BZ157,S158,S159,BI157,BL157,BN157,BO157,0,Strike1,AO157,CC157,0,BL157,IF(OptControl=4,0,1),3,1)+_xll.xCrudeAPO(BS157,BT157,BY157,BZ157,S158,S159,BI157,BL157,BN157,BO157,0,Strike1,AO157,CC157,0,BL157,IF(OptControl=4,0,1),3,2))/100,0)</f>
        <v>0</v>
      </c>
      <c r="CG157" s="155">
        <f ca="1">IF(BD157,_xll.xCrudeAPO(BS157,BT157,BY157,BZ157,S158,S159,BI157-DaysForThetaCalculation/365.25,BL157-DaysForThetaCalculation/365.25,BN157,BO157,0,Strike1,AO157,CC157,0,BL157,IF(OptControl=4,0,1),0,1)-_xll.xCrudeAPO(BS157,BT157,BY157,BZ157,S158,S159,BI157,BL157,BN157,BO157,0,Strike1,AO157,CC157,0,BL157,IF(OptControl=4,0,1),0,1),0)</f>
        <v>0</v>
      </c>
      <c r="CH157" s="303">
        <f ca="1">IF(BD157,_xll.xCrudeAPO(BS157,BT157,CA157,CB157,S158,S159,BI157,BL157,BN157,BO157,0,Strike2,AO157,CC157,0,BL157,IF(OptControl=3,1,0),0,1),0)</f>
        <v>0</v>
      </c>
      <c r="CI157" s="155">
        <f ca="1">IF(BD157,_xll.xCrudeAPO(BS157,BT157,CA157,CB157,S158,S159,BI157,BL157,BN157,BO157,0,Strike2,AO157,CC157,0,BL157,IF(OptControl=3,1,0),1,1)+_xll.xCrudeAPO(BS157,BT157,CA157,CB157,S158,S159,BI157,BL157,BN157,BO157,0,Strike2,AO157,CC157,0,BL157,IF(OptControl=3,1,0),1,2)+IF(OR(VolSkewFlag=2,ABS(BR157)&lt;0.0001),0,IF(BR157&gt;0,-1,1)*CJ157*Strike2/BP157^2*BX157/10%),0)</f>
        <v>0</v>
      </c>
      <c r="CJ157" s="155">
        <f ca="1">IF(BD157,(_xll.xCrudeAPO(BS157,BT157,CA157,CB157,S158,S159,BI157,BL157,BN157,BO157,0,Strike2,AO157,CC157,0,BL157,IF(OptControl=3,1,0),3,1)+_xll.xCrudeAPO(BS157,BT157,CA157,CB157,S158,S159,BI157,BL157,BN157,BO157,0,Strike2,AO157,CC157,0,BL157,IF(OptControl=3,1,0),3,2))/100,0)</f>
        <v>0</v>
      </c>
      <c r="CK157" s="156">
        <f ca="1">IF(BD157,_xll.xCrudeAPO(BS157,BT157,CA157,CB157,S158,S159,BI157-DaysForThetaCalculation/365.25,BL157-DaysForThetaCalculation/365.25,BN157,BO157,0,Strike2,AO157,CC157,0,BL157,IF(OptControl=3,1,0),0,1)-_xll.xCrudeAPO(BS157,BT157,CA157,CB157,S158,S159,BI157,BL157,BN157,BO157,0,Strike2,AO157,CC157,0,BL157,IF(OptControl=3,1,0),0,1),0)</f>
        <v>0</v>
      </c>
      <c r="CL157" s="51"/>
      <c r="CM157" s="779" t="str">
        <f t="shared" ca="1" si="534"/>
        <v/>
      </c>
      <c r="CN157" s="783" t="str">
        <f t="shared" ca="1" si="535"/>
        <v/>
      </c>
      <c r="CO157" s="780" t="str">
        <f t="shared" ca="1" si="536"/>
        <v/>
      </c>
      <c r="CP157" s="780" t="str">
        <f t="shared" ca="1" si="537"/>
        <v/>
      </c>
      <c r="CQ157" s="780" t="str">
        <f t="shared" ca="1" si="538"/>
        <v/>
      </c>
      <c r="CR157" s="780" t="str">
        <f t="shared" ca="1" si="539"/>
        <v/>
      </c>
      <c r="CS157" s="781" t="str">
        <f t="shared" ca="1" si="540"/>
        <v/>
      </c>
      <c r="CT157" s="782" t="str">
        <f t="shared" ca="1" si="541"/>
        <v/>
      </c>
      <c r="CU157" s="782" t="str">
        <f t="shared" ca="1" si="542"/>
        <v/>
      </c>
      <c r="CV157" s="155">
        <f ca="1">IF(BD157,_xll.EURO(CN157,Strike1,AO157,AO157,CT157,CM157,IF(OptControl=4,0,1),0),0)</f>
        <v>0</v>
      </c>
      <c r="CW157" s="155">
        <f ca="1">IF(BD157,_xll.EURO(CN157,Strike1,AO157,AO157,CT157,CM157,IF(OptControl=4,0,1),1)+IF(OR(VolSkewFlag=2,ABS(CO157)&lt;0.0001),0,IF(CO157&gt;0,-1,1)*CX157*100*Strike1/CN157^2*CQ157/10%),0)</f>
        <v>0</v>
      </c>
      <c r="CX157" s="155">
        <f ca="1">IF(BD157,_xll.EURO(CN157,Strike1,AO157,AO157,CT157,CM157,IF(OptControl=4,0,1),3)/100,0)</f>
        <v>0</v>
      </c>
      <c r="CY157" s="155">
        <f ca="1">IF(BD157,_xll.EURO(CN157,Strike1,AO157,AO157,CT157,CM157,IF(OptControl=4,0,1),0)-_xll.EURO(CN157,Strike1,AO157,AO157,CT157,CM157-1,IF(OptControl=4,0,1),0),0)</f>
        <v>0</v>
      </c>
      <c r="CZ157" s="155">
        <f ca="1">IF(BD157,_xll.EURO(CN157,Strike2,AO157,AO157,CU157,CM157,IF(OptControl=3,1,0),0),0)</f>
        <v>0</v>
      </c>
      <c r="DA157" s="155">
        <f ca="1">IF(BD157,_xll.EURO(CN157,Strike2,AO157,AO157,CU157,CM157,IF(OptControl=3,1,0),1)+IF(OR(VolSkewFlag=2,ABS(CP157)&lt;0.0001),0,IF(CP157&gt;0,-1,1)*DB157*100*Strike2/CN157^2*CR157/10%),0)</f>
        <v>0</v>
      </c>
      <c r="DB157" s="155">
        <f ca="1">IF(BD157,_xll.EURO(CN157,Strike2,AO157,AO157,CU157,CM157,IF(OptControl=3,1,0),3)/100,0)</f>
        <v>0</v>
      </c>
      <c r="DC157" s="156">
        <f ca="1">IF(BD157,_xll.EURO(CN157,Strike2,AO157,AO157,CU157,CM157,IF(OptControl=3,1,0),0)-_xll.EURO(CN157,Strike2,AO157,AO157,CU157,CM157-1,IF(OptControl=3,1,0),0),0)</f>
        <v>0</v>
      </c>
      <c r="DE157" s="651">
        <f t="shared" ca="1" si="543"/>
        <v>41091</v>
      </c>
      <c r="DF157" s="465">
        <v>1E-4</v>
      </c>
      <c r="DG157" s="649">
        <v>1E-4</v>
      </c>
      <c r="DH157" s="650">
        <f t="shared" ca="1" si="518"/>
        <v>41091</v>
      </c>
      <c r="DI157" s="465">
        <v>1E-4</v>
      </c>
      <c r="DJ157" s="649">
        <v>1E-4</v>
      </c>
      <c r="DK157" s="651">
        <f t="shared" ca="1" si="519"/>
        <v>41091</v>
      </c>
      <c r="DL157" s="652">
        <f t="shared" si="520"/>
        <v>5.0100000000000006E-2</v>
      </c>
      <c r="DM157" s="651">
        <f t="shared" ca="1" si="544"/>
        <v>41091</v>
      </c>
      <c r="DN157" s="563">
        <f t="shared" si="545"/>
        <v>-0.12990000000000002</v>
      </c>
      <c r="DO157" s="803">
        <v>-0.13</v>
      </c>
      <c r="DP157" s="650">
        <f t="shared" ca="1" si="521"/>
        <v>41091</v>
      </c>
      <c r="DQ157" s="653">
        <v>1E-4</v>
      </c>
      <c r="DR157" s="590">
        <v>1E-4</v>
      </c>
      <c r="DS157" s="650">
        <f t="shared" ca="1" si="522"/>
        <v>41091</v>
      </c>
      <c r="DT157" s="653">
        <v>1E-4</v>
      </c>
      <c r="DU157" s="590">
        <v>1E-4</v>
      </c>
      <c r="DV157" s="651">
        <f t="shared" ca="1" si="523"/>
        <v>41091</v>
      </c>
      <c r="DW157" s="590">
        <v>1E-4</v>
      </c>
      <c r="DX157" s="651">
        <f t="shared" ca="1" si="546"/>
        <v>41091</v>
      </c>
      <c r="DY157" s="590">
        <f t="shared" si="547"/>
        <v>1E-4</v>
      </c>
      <c r="DZ157" s="1"/>
      <c r="EA157" s="857"/>
      <c r="EB157" s="857"/>
      <c r="EC157" s="857"/>
      <c r="ED157" s="868" t="e">
        <f t="shared" ca="1" si="436"/>
        <v>#NAME?</v>
      </c>
      <c r="EE157" s="863" t="e">
        <f t="shared" ca="1" si="524"/>
        <v>#NAME?</v>
      </c>
      <c r="EF157" s="590" t="e">
        <f t="shared" ca="1" si="525"/>
        <v>#NAME?</v>
      </c>
      <c r="EG157" s="862" t="str">
        <f t="shared" ca="1" si="526"/>
        <v/>
      </c>
      <c r="EH157" s="114" t="str">
        <f t="shared" ca="1" si="527"/>
        <v/>
      </c>
      <c r="EI157" s="109" t="str">
        <f t="shared" ca="1" si="528"/>
        <v/>
      </c>
      <c r="EJ157" s="115">
        <f ca="1">IF(BD157,_xll.xASN(BP157,Strike1,AO157,EH157,0,BM157,0,BI157,BL157,IF(OptControl=4,0,1),0),0)</f>
        <v>0</v>
      </c>
      <c r="EK157" s="108">
        <f ca="1">IF(BD157,_xll.xASN(BP157,Strike2,AO157,EI157,0,BM157,0,BI157,BL157,IF(OptControl=3,1,0),0),0)</f>
        <v>0</v>
      </c>
      <c r="EP157" s="53"/>
      <c r="EQ157" s="1"/>
      <c r="ER157" s="103"/>
      <c r="ES157" s="103"/>
      <c r="ET157" s="1"/>
      <c r="EU157" s="667" t="s">
        <v>369</v>
      </c>
      <c r="EW157" s="445"/>
      <c r="EX157" s="36"/>
      <c r="EY157" s="104"/>
      <c r="EZ157" s="465"/>
      <c r="FA157" s="446"/>
      <c r="FB157" s="446"/>
      <c r="FC157" s="242"/>
      <c r="FD157" s="242"/>
      <c r="FE157" s="242"/>
      <c r="FF157" s="242"/>
      <c r="FG157" s="242"/>
      <c r="FH157" s="242"/>
      <c r="FI157" s="242"/>
      <c r="FJ157" s="242"/>
      <c r="FK157" s="242"/>
      <c r="FL157" s="242"/>
      <c r="FM157" s="242"/>
      <c r="FN157" s="657">
        <v>63</v>
      </c>
      <c r="FO157" s="450">
        <f t="shared" ca="1" si="477"/>
        <v>0.17282973815969907</v>
      </c>
      <c r="FP157" s="450">
        <f t="shared" ref="FP157:IA160" ca="1" si="564">IF($FN82&lt;FP$94,"",SQRT(FP82/FP$15))</f>
        <v>0.17280156014653641</v>
      </c>
      <c r="FQ157" s="450">
        <f t="shared" ca="1" si="564"/>
        <v>0.17260423375706069</v>
      </c>
      <c r="FR157" s="450">
        <f t="shared" ca="1" si="564"/>
        <v>0.17241175265864911</v>
      </c>
      <c r="FS157" s="450">
        <f t="shared" ca="1" si="564"/>
        <v>0.17222438515157257</v>
      </c>
      <c r="FT157" s="450">
        <f t="shared" ca="1" si="564"/>
        <v>0.1720424319525368</v>
      </c>
      <c r="FU157" s="450">
        <f t="shared" ca="1" si="564"/>
        <v>0.1718662297938659</v>
      </c>
      <c r="FV157" s="450">
        <f t="shared" ca="1" si="564"/>
        <v>0.17169615543269426</v>
      </c>
      <c r="FW157" s="450">
        <f t="shared" ca="1" si="564"/>
        <v>0.17153263011844522</v>
      </c>
      <c r="FX157" s="450">
        <f t="shared" ca="1" si="564"/>
        <v>0.17137612457293055</v>
      </c>
      <c r="FY157" s="450">
        <f t="shared" ca="1" si="564"/>
        <v>0.17122716454429057</v>
      </c>
      <c r="FZ157" s="450">
        <f t="shared" ca="1" si="564"/>
        <v>0.17108633700386033</v>
      </c>
      <c r="GA157" s="450">
        <f t="shared" ca="1" si="564"/>
        <v>0.17095429706403431</v>
      </c>
      <c r="GB157" s="450">
        <f t="shared" ca="1" si="564"/>
        <v>0.17083177570552521</v>
      </c>
      <c r="GC157" s="450">
        <f t="shared" ca="1" si="564"/>
        <v>0.17071958841425794</v>
      </c>
      <c r="GD157" s="450">
        <f t="shared" ca="1" si="564"/>
        <v>0.17061864484181627</v>
      </c>
      <c r="GE157" s="450">
        <f t="shared" ca="1" si="564"/>
        <v>0.17052995961916442</v>
      </c>
      <c r="GF157" s="450">
        <f t="shared" ca="1" si="564"/>
        <v>0.17045466447168803</v>
      </c>
      <c r="GG157" s="450">
        <f t="shared" ca="1" si="564"/>
        <v>0.17039402180493091</v>
      </c>
      <c r="GH157" s="450">
        <f t="shared" ca="1" si="564"/>
        <v>0.17034943995528362</v>
      </c>
      <c r="GI157" s="450">
        <f t="shared" ca="1" si="564"/>
        <v>0.17032249032902708</v>
      </c>
      <c r="GJ157" s="450">
        <f t="shared" ca="1" si="564"/>
        <v>0.17031492668738721</v>
      </c>
      <c r="GK157" s="450">
        <f t="shared" ca="1" si="564"/>
        <v>0.17032870687564355</v>
      </c>
      <c r="GL157" s="450">
        <f t="shared" ca="1" si="564"/>
        <v>0.17036601734215473</v>
      </c>
      <c r="GM157" s="450">
        <f t="shared" ca="1" si="564"/>
        <v>0.1704293008499658</v>
      </c>
      <c r="GN157" s="450">
        <f t="shared" ca="1" si="564"/>
        <v>0.17052128785141954</v>
      </c>
      <c r="GO157" s="450">
        <f t="shared" ca="1" si="564"/>
        <v>0.17064503207730891</v>
      </c>
      <c r="GP157" s="450">
        <f t="shared" ca="1" si="564"/>
        <v>0.17080395098962392</v>
      </c>
      <c r="GQ157" s="450">
        <f t="shared" ca="1" si="564"/>
        <v>0.17100187186462421</v>
      </c>
      <c r="GR157" s="450">
        <f t="shared" ca="1" si="564"/>
        <v>0.17124308441558167</v>
      </c>
      <c r="GS157" s="450">
        <f t="shared" ca="1" si="564"/>
        <v>0.17153240103807549</v>
      </c>
      <c r="GT157" s="450">
        <f t="shared" ca="1" si="564"/>
        <v>0.17187522597278496</v>
      </c>
      <c r="GU157" s="450">
        <f t="shared" ca="1" si="564"/>
        <v>0.17227763494099438</v>
      </c>
      <c r="GV157" s="450">
        <f t="shared" ca="1" si="564"/>
        <v>0.17274646712885414</v>
      </c>
      <c r="GW157" s="450">
        <f t="shared" ca="1" si="564"/>
        <v>0.17328943179371881</v>
      </c>
      <c r="GX157" s="450">
        <f t="shared" ca="1" si="564"/>
        <v>0.17391523226009978</v>
      </c>
      <c r="GY157" s="450">
        <f t="shared" ca="1" si="564"/>
        <v>0.17463371069051487</v>
      </c>
      <c r="GZ157" s="450">
        <f t="shared" ca="1" si="564"/>
        <v>0.175456017792465</v>
      </c>
      <c r="HA157" s="450">
        <f t="shared" ca="1" si="564"/>
        <v>0.17639481260241049</v>
      </c>
      <c r="HB157" s="450">
        <f t="shared" ca="1" si="564"/>
        <v>0.177464498730975</v>
      </c>
      <c r="HC157" s="450">
        <f t="shared" ca="1" si="564"/>
        <v>0.17868150504035432</v>
      </c>
      <c r="HD157" s="450">
        <f t="shared" ca="1" si="564"/>
        <v>0.18006462076156218</v>
      </c>
      <c r="HE157" s="450">
        <f t="shared" ca="1" si="564"/>
        <v>0.1816353976889859</v>
      </c>
      <c r="HF157" s="450">
        <f t="shared" ca="1" si="564"/>
        <v>0.1834186355069817</v>
      </c>
      <c r="HG157" s="450">
        <f t="shared" ca="1" si="564"/>
        <v>0.18544297077310898</v>
      </c>
      <c r="HH157" s="450">
        <f t="shared" ca="1" si="564"/>
        <v>0.18774159597013296</v>
      </c>
      <c r="HI157" s="450">
        <f t="shared" ca="1" si="564"/>
        <v>0.19035314285076316</v>
      </c>
      <c r="HJ157" s="450">
        <f t="shared" ca="1" si="564"/>
        <v>0.19332277474463408</v>
      </c>
      <c r="HK157" s="450">
        <f t="shared" ca="1" si="564"/>
        <v>0.19670354657873176</v>
      </c>
      <c r="HL157" s="450">
        <f t="shared" ca="1" si="564"/>
        <v>0.20055811051074274</v>
      </c>
      <c r="HM157" s="450">
        <f t="shared" ca="1" si="564"/>
        <v>0.2049608713517854</v>
      </c>
      <c r="HN157" s="450">
        <f t="shared" ca="1" si="564"/>
        <v>0.2100007323658451</v>
      </c>
      <c r="HO157" s="450">
        <f t="shared" ca="1" si="564"/>
        <v>0.21578462300790685</v>
      </c>
      <c r="HP157" s="450">
        <f t="shared" ca="1" si="564"/>
        <v>0.22244207231121341</v>
      </c>
      <c r="HQ157" s="450">
        <f t="shared" ca="1" si="564"/>
        <v>0.23013119494691556</v>
      </c>
      <c r="HR157" s="450">
        <f t="shared" ca="1" si="564"/>
        <v>0.23904660676551509</v>
      </c>
      <c r="HS157" s="450">
        <f t="shared" ca="1" si="564"/>
        <v>0.24943000669218451</v>
      </c>
      <c r="HT157" s="450">
        <f t="shared" ca="1" si="564"/>
        <v>0.26158448978030091</v>
      </c>
      <c r="HU157" s="450">
        <f t="shared" ca="1" si="564"/>
        <v>0.27589415240115972</v>
      </c>
      <c r="HV157" s="450">
        <f t="shared" ca="1" si="564"/>
        <v>0.29285131367052797</v>
      </c>
      <c r="HW157" s="450">
        <f t="shared" ca="1" si="564"/>
        <v>0.31309487181769941</v>
      </c>
      <c r="HX157" s="450">
        <f t="shared" ca="1" si="564"/>
        <v>0.33746522032403387</v>
      </c>
      <c r="HY157" s="450">
        <f t="shared" ca="1" si="564"/>
        <v>0.36708425379834275</v>
      </c>
      <c r="HZ157" s="450" t="str">
        <f t="shared" si="564"/>
        <v/>
      </c>
      <c r="IA157" s="450" t="str">
        <f t="shared" si="564"/>
        <v/>
      </c>
      <c r="IB157" s="450" t="str">
        <f t="shared" si="563"/>
        <v/>
      </c>
      <c r="IC157" s="450" t="str">
        <f t="shared" si="563"/>
        <v/>
      </c>
      <c r="ID157" s="450" t="str">
        <f t="shared" si="563"/>
        <v/>
      </c>
      <c r="IE157" s="450" t="str">
        <f t="shared" si="563"/>
        <v/>
      </c>
      <c r="IF157" s="450" t="str">
        <f t="shared" si="563"/>
        <v/>
      </c>
      <c r="IG157" s="450" t="str">
        <f t="shared" si="563"/>
        <v/>
      </c>
      <c r="IH157" s="658" t="str">
        <f t="shared" si="563"/>
        <v/>
      </c>
      <c r="II157" s="242"/>
    </row>
    <row r="158" spans="8:243">
      <c r="H158" s="49" t="e">
        <f t="shared" ca="1" si="529"/>
        <v>#N/A</v>
      </c>
      <c r="I158" s="369">
        <f t="shared" si="530"/>
        <v>41214</v>
      </c>
      <c r="J158" s="367">
        <v>22.834999999999901</v>
      </c>
      <c r="K158" s="101" t="s">
        <v>267</v>
      </c>
      <c r="L158" s="382">
        <f t="shared" si="531"/>
        <v>22.834999999999933</v>
      </c>
      <c r="M158" s="163">
        <v>0.15590000000000001</v>
      </c>
      <c r="N158" s="372">
        <v>0</v>
      </c>
      <c r="O158" s="163">
        <f t="shared" si="488"/>
        <v>0.15590000000000001</v>
      </c>
      <c r="P158" s="367">
        <v>21.584601587929299</v>
      </c>
      <c r="Q158" s="101" t="s">
        <v>267</v>
      </c>
      <c r="R158" s="367">
        <f t="shared" ca="1" si="549"/>
        <v>21.58460158792932</v>
      </c>
      <c r="S158" s="814">
        <f t="shared" si="474"/>
        <v>0.35261803315446755</v>
      </c>
      <c r="T158" s="813">
        <f t="shared" si="550"/>
        <v>0.99999996216430886</v>
      </c>
      <c r="U158" s="532">
        <f t="shared" si="551"/>
        <v>0.99999999999999978</v>
      </c>
      <c r="V158" s="379">
        <v>0</v>
      </c>
      <c r="W158" s="424">
        <f t="shared" si="489"/>
        <v>22.869090909090811</v>
      </c>
      <c r="X158" s="405">
        <f t="shared" si="490"/>
        <v>22.869090909090843</v>
      </c>
      <c r="Y158" s="313">
        <f t="shared" si="491"/>
        <v>21.62749090909081</v>
      </c>
      <c r="Z158" s="313">
        <f t="shared" ca="1" si="492"/>
        <v>21.627490909090845</v>
      </c>
      <c r="AA158" s="419">
        <f t="shared" si="493"/>
        <v>1.2416</v>
      </c>
      <c r="AB158" s="423">
        <f t="shared" ca="1" si="494"/>
        <v>1.2416</v>
      </c>
      <c r="AC158" s="221">
        <v>41202</v>
      </c>
      <c r="AD158" s="221">
        <v>41198</v>
      </c>
      <c r="AE158" s="221">
        <v>41197</v>
      </c>
      <c r="AF158" s="221">
        <v>41193</v>
      </c>
      <c r="AG158" s="241" t="s">
        <v>497</v>
      </c>
      <c r="AH158" s="239" t="s">
        <v>497</v>
      </c>
      <c r="AI158" s="141">
        <v>22</v>
      </c>
      <c r="AJ158" s="41">
        <v>14</v>
      </c>
      <c r="AK158" s="41">
        <v>8</v>
      </c>
      <c r="AL158" s="285">
        <v>22</v>
      </c>
      <c r="AM158" s="41">
        <v>10</v>
      </c>
      <c r="AN158" s="142">
        <v>12</v>
      </c>
      <c r="AO158" s="364">
        <v>6.01244572512964E-2</v>
      </c>
      <c r="AP158" s="145">
        <f t="shared" ca="1" si="532"/>
        <v>0.50168792367257897</v>
      </c>
      <c r="AQ158" s="364">
        <v>5.1954922221681105E-2</v>
      </c>
      <c r="AR158" s="145">
        <f t="shared" ca="1" si="552"/>
        <v>0.55381549997893809</v>
      </c>
      <c r="AS158" s="264">
        <f t="shared" si="495"/>
        <v>0.15535454545454547</v>
      </c>
      <c r="AT158" s="149">
        <f t="shared" si="533"/>
        <v>0.15590000000000001</v>
      </c>
      <c r="AU158" s="149">
        <f t="shared" si="496"/>
        <v>0.15528181818181819</v>
      </c>
      <c r="AV158" s="263">
        <f t="shared" ca="1" si="560"/>
        <v>0.15357901601482982</v>
      </c>
      <c r="AW158" s="150" t="str">
        <f t="shared" ca="1" si="497"/>
        <v/>
      </c>
      <c r="AX158" s="149">
        <f t="shared" ca="1" si="553"/>
        <v>9.2774089144261971E-3</v>
      </c>
      <c r="AY158" s="149">
        <f t="shared" ca="1" si="554"/>
        <v>3.5587556623352689E-3</v>
      </c>
      <c r="AZ158" s="149">
        <f t="shared" ca="1" si="555"/>
        <v>3.005812474561421E-3</v>
      </c>
      <c r="BA158" s="149">
        <f t="shared" ca="1" si="556"/>
        <v>1.0000000000000598E-4</v>
      </c>
      <c r="BB158" s="149">
        <f t="shared" ca="1" si="557"/>
        <v>1.0000000000000598E-4</v>
      </c>
      <c r="BC158" s="149">
        <f t="shared" ca="1" si="558"/>
        <v>1.0000000000000598E-4</v>
      </c>
      <c r="BD158" s="143">
        <f t="shared" ca="1" si="498"/>
        <v>0</v>
      </c>
      <c r="BE158" s="144">
        <f t="shared" ca="1" si="499"/>
        <v>0</v>
      </c>
      <c r="BF158" s="40">
        <f t="shared" si="500"/>
        <v>2012</v>
      </c>
      <c r="BG158" s="139">
        <f t="shared" si="501"/>
        <v>11</v>
      </c>
      <c r="BH158" s="140">
        <f t="shared" ca="1" si="502"/>
        <v>4208</v>
      </c>
      <c r="BI158" s="304">
        <f t="shared" ca="1" si="440"/>
        <v>11.564681724845997</v>
      </c>
      <c r="BJ158" s="42">
        <f t="shared" ca="1" si="503"/>
        <v>11.615207516644888</v>
      </c>
      <c r="BK158" s="42">
        <f t="shared" ca="1" si="504"/>
        <v>11.617945367432021</v>
      </c>
      <c r="BL158" s="42">
        <f t="shared" ca="1" si="441"/>
        <v>11.644079397672828</v>
      </c>
      <c r="BM158" s="285">
        <f t="shared" si="442"/>
        <v>22</v>
      </c>
      <c r="BN158" s="41">
        <f t="shared" si="443"/>
        <v>14</v>
      </c>
      <c r="BO158" s="41">
        <f t="shared" si="444"/>
        <v>8</v>
      </c>
      <c r="BP158" s="297" t="str">
        <f t="shared" ca="1" si="505"/>
        <v/>
      </c>
      <c r="BQ158" s="297" t="str">
        <f t="shared" ca="1" si="506"/>
        <v/>
      </c>
      <c r="BR158" s="299" t="str">
        <f t="shared" ca="1" si="507"/>
        <v/>
      </c>
      <c r="BS158" s="153" t="str">
        <f t="shared" ca="1" si="508"/>
        <v/>
      </c>
      <c r="BT158" s="153" t="str">
        <f t="shared" ca="1" si="509"/>
        <v/>
      </c>
      <c r="BU158" s="300" t="str">
        <f t="shared" ca="1" si="510"/>
        <v/>
      </c>
      <c r="BV158" s="301" t="str">
        <f t="shared" ca="1" si="511"/>
        <v/>
      </c>
      <c r="BW158" s="300" t="str">
        <f t="shared" ca="1" si="512"/>
        <v/>
      </c>
      <c r="BX158" s="301" t="str">
        <f t="shared" ca="1" si="513"/>
        <v/>
      </c>
      <c r="BY158" s="146" t="str">
        <f t="shared" ca="1" si="514"/>
        <v/>
      </c>
      <c r="BZ158" s="146" t="str">
        <f t="shared" ca="1" si="515"/>
        <v/>
      </c>
      <c r="CA158" s="146" t="str">
        <f t="shared" ca="1" si="516"/>
        <v/>
      </c>
      <c r="CB158" s="146" t="str">
        <f t="shared" ca="1" si="517"/>
        <v/>
      </c>
      <c r="CC158" s="302">
        <v>1</v>
      </c>
      <c r="CD158" s="154">
        <f ca="1">IF(BD158,_xll.xCrudeAPO(BS158,BT158,BY158,BZ158,S159,S160,BI158,BL158,BN158,BO158,0,Strike1,AO158,CC158,0,BL158,IF(OptControl=4,0,1),0,1),0)</f>
        <v>0</v>
      </c>
      <c r="CE158" s="155">
        <f ca="1">IF(BD158,_xll.xCrudeAPO(BS158,BT158,BY158,BZ158,S159,S160,BI158,BL158,BN158,BO158,0,Strike1,AO158,CC158,0,BL158,IF(OptControl=4,0,1),1,1)+_xll.xCrudeAPO(BS158,BT158,BY158,BZ158,S159,S160,BI158,BL158,BN158,BO158,0,Strike1,AO158,CC158,0,BL158,IF(OptControl=4,0,1),1,2)+IF(OR(VolSkewFlag=2,ABS(BQ158)&lt;0.0001),0,IF(BQ158&gt;0,-1,1)*CF158*Strike1/BP158^2*BW158/10%),0)</f>
        <v>0</v>
      </c>
      <c r="CF158" s="155">
        <f ca="1">IF(BD158,(_xll.xCrudeAPO(BS158,BT158,BY158,BZ158,S159,S160,BI158,BL158,BN158,BO158,0,Strike1,AO158,CC158,0,BL158,IF(OptControl=4,0,1),3,1)+_xll.xCrudeAPO(BS158,BT158,BY158,BZ158,S159,S160,BI158,BL158,BN158,BO158,0,Strike1,AO158,CC158,0,BL158,IF(OptControl=4,0,1),3,2))/100,0)</f>
        <v>0</v>
      </c>
      <c r="CG158" s="155">
        <f ca="1">IF(BD158,_xll.xCrudeAPO(BS158,BT158,BY158,BZ158,S159,S160,BI158-DaysForThetaCalculation/365.25,BL158-DaysForThetaCalculation/365.25,BN158,BO158,0,Strike1,AO158,CC158,0,BL158,IF(OptControl=4,0,1),0,1)-_xll.xCrudeAPO(BS158,BT158,BY158,BZ158,S159,S160,BI158,BL158,BN158,BO158,0,Strike1,AO158,CC158,0,BL158,IF(OptControl=4,0,1),0,1),0)</f>
        <v>0</v>
      </c>
      <c r="CH158" s="303">
        <f ca="1">IF(BD158,_xll.xCrudeAPO(BS158,BT158,CA158,CB158,S159,S160,BI158,BL158,BN158,BO158,0,Strike2,AO158,CC158,0,BL158,IF(OptControl=3,1,0),0,1),0)</f>
        <v>0</v>
      </c>
      <c r="CI158" s="155">
        <f ca="1">IF(BD158,_xll.xCrudeAPO(BS158,BT158,CA158,CB158,S159,S160,BI158,BL158,BN158,BO158,0,Strike2,AO158,CC158,0,BL158,IF(OptControl=3,1,0),1,1)+_xll.xCrudeAPO(BS158,BT158,CA158,CB158,S159,S160,BI158,BL158,BN158,BO158,0,Strike2,AO158,CC158,0,BL158,IF(OptControl=3,1,0),1,2)+IF(OR(VolSkewFlag=2,ABS(BR158)&lt;0.0001),0,IF(BR158&gt;0,-1,1)*CJ158*Strike2/BP158^2*BX158/10%),0)</f>
        <v>0</v>
      </c>
      <c r="CJ158" s="155">
        <f ca="1">IF(BD158,(_xll.xCrudeAPO(BS158,BT158,CA158,CB158,S159,S160,BI158,BL158,BN158,BO158,0,Strike2,AO158,CC158,0,BL158,IF(OptControl=3,1,0),3,1)+_xll.xCrudeAPO(BS158,BT158,CA158,CB158,S159,S160,BI158,BL158,BN158,BO158,0,Strike2,AO158,CC158,0,BL158,IF(OptControl=3,1,0),3,2))/100,0)</f>
        <v>0</v>
      </c>
      <c r="CK158" s="156">
        <f ca="1">IF(BD158,_xll.xCrudeAPO(BS158,BT158,CA158,CB158,S159,S160,BI158-DaysForThetaCalculation/365.25,BL158-DaysForThetaCalculation/365.25,BN158,BO158,0,Strike2,AO158,CC158,0,BL158,IF(OptControl=3,1,0),0,1)-_xll.xCrudeAPO(BS158,BT158,CA158,CB158,S159,S160,BI158,BL158,BN158,BO158,0,Strike2,AO158,CC158,0,BL158,IF(OptControl=3,1,0),0,1),0)</f>
        <v>0</v>
      </c>
      <c r="CL158" s="51"/>
      <c r="CM158" s="779" t="str">
        <f t="shared" ca="1" si="534"/>
        <v/>
      </c>
      <c r="CN158" s="783" t="str">
        <f t="shared" ca="1" si="535"/>
        <v/>
      </c>
      <c r="CO158" s="780" t="str">
        <f t="shared" ca="1" si="536"/>
        <v/>
      </c>
      <c r="CP158" s="780" t="str">
        <f t="shared" ca="1" si="537"/>
        <v/>
      </c>
      <c r="CQ158" s="780" t="str">
        <f t="shared" ca="1" si="538"/>
        <v/>
      </c>
      <c r="CR158" s="780" t="str">
        <f t="shared" ca="1" si="539"/>
        <v/>
      </c>
      <c r="CS158" s="781" t="str">
        <f t="shared" ca="1" si="540"/>
        <v/>
      </c>
      <c r="CT158" s="782" t="str">
        <f t="shared" ca="1" si="541"/>
        <v/>
      </c>
      <c r="CU158" s="782" t="str">
        <f t="shared" ca="1" si="542"/>
        <v/>
      </c>
      <c r="CV158" s="155">
        <f ca="1">IF(BD158,_xll.EURO(CN158,Strike1,AO158,AO158,CT158,CM158,IF(OptControl=4,0,1),0),0)</f>
        <v>0</v>
      </c>
      <c r="CW158" s="155">
        <f ca="1">IF(BD158,_xll.EURO(CN158,Strike1,AO158,AO158,CT158,CM158,IF(OptControl=4,0,1),1)+IF(OR(VolSkewFlag=2,ABS(CO158)&lt;0.0001),0,IF(CO158&gt;0,-1,1)*CX158*100*Strike1/CN158^2*CQ158/10%),0)</f>
        <v>0</v>
      </c>
      <c r="CX158" s="155">
        <f ca="1">IF(BD158,_xll.EURO(CN158,Strike1,AO158,AO158,CT158,CM158,IF(OptControl=4,0,1),3)/100,0)</f>
        <v>0</v>
      </c>
      <c r="CY158" s="155">
        <f ca="1">IF(BD158,_xll.EURO(CN158,Strike1,AO158,AO158,CT158,CM158,IF(OptControl=4,0,1),0)-_xll.EURO(CN158,Strike1,AO158,AO158,CT158,CM158-1,IF(OptControl=4,0,1),0),0)</f>
        <v>0</v>
      </c>
      <c r="CZ158" s="155">
        <f ca="1">IF(BD158,_xll.EURO(CN158,Strike2,AO158,AO158,CU158,CM158,IF(OptControl=3,1,0),0),0)</f>
        <v>0</v>
      </c>
      <c r="DA158" s="155">
        <f ca="1">IF(BD158,_xll.EURO(CN158,Strike2,AO158,AO158,CU158,CM158,IF(OptControl=3,1,0),1)+IF(OR(VolSkewFlag=2,ABS(CP158)&lt;0.0001),0,IF(CP158&gt;0,-1,1)*DB158*100*Strike2/CN158^2*CR158/10%),0)</f>
        <v>0</v>
      </c>
      <c r="DB158" s="155">
        <f ca="1">IF(BD158,_xll.EURO(CN158,Strike2,AO158,AO158,CU158,CM158,IF(OptControl=3,1,0),3)/100,0)</f>
        <v>0</v>
      </c>
      <c r="DC158" s="156">
        <f ca="1">IF(BD158,_xll.EURO(CN158,Strike2,AO158,AO158,CU158,CM158,IF(OptControl=3,1,0),0)-_xll.EURO(CN158,Strike2,AO158,AO158,CU158,CM158-1,IF(OptControl=3,1,0),0),0)</f>
        <v>0</v>
      </c>
      <c r="DE158" s="651">
        <f t="shared" ca="1" si="543"/>
        <v>41122</v>
      </c>
      <c r="DF158" s="465">
        <v>1E-4</v>
      </c>
      <c r="DG158" s="649">
        <v>1E-4</v>
      </c>
      <c r="DH158" s="650">
        <f t="shared" ca="1" si="518"/>
        <v>41122</v>
      </c>
      <c r="DI158" s="465">
        <v>1E-4</v>
      </c>
      <c r="DJ158" s="649">
        <v>1E-4</v>
      </c>
      <c r="DK158" s="651">
        <f t="shared" ca="1" si="519"/>
        <v>41122</v>
      </c>
      <c r="DL158" s="652">
        <f t="shared" si="520"/>
        <v>5.0100000000000006E-2</v>
      </c>
      <c r="DM158" s="651">
        <f t="shared" ca="1" si="544"/>
        <v>41122</v>
      </c>
      <c r="DN158" s="563">
        <f t="shared" si="545"/>
        <v>-0.12990000000000002</v>
      </c>
      <c r="DO158" s="803">
        <v>-0.13</v>
      </c>
      <c r="DP158" s="650">
        <f t="shared" ca="1" si="521"/>
        <v>41122</v>
      </c>
      <c r="DQ158" s="653">
        <v>1E-4</v>
      </c>
      <c r="DR158" s="590">
        <v>1E-4</v>
      </c>
      <c r="DS158" s="650">
        <f t="shared" ca="1" si="522"/>
        <v>41122</v>
      </c>
      <c r="DT158" s="653">
        <v>1E-4</v>
      </c>
      <c r="DU158" s="590">
        <v>1E-4</v>
      </c>
      <c r="DV158" s="651">
        <f t="shared" ca="1" si="523"/>
        <v>41122</v>
      </c>
      <c r="DW158" s="590">
        <v>1E-4</v>
      </c>
      <c r="DX158" s="651">
        <f t="shared" ca="1" si="546"/>
        <v>41122</v>
      </c>
      <c r="DY158" s="590">
        <f t="shared" si="547"/>
        <v>1E-4</v>
      </c>
      <c r="DZ158" s="1"/>
      <c r="EA158" s="857"/>
      <c r="EB158" s="857"/>
      <c r="EC158" s="857"/>
      <c r="ED158" s="868" t="e">
        <f t="shared" ca="1" si="436"/>
        <v>#NAME?</v>
      </c>
      <c r="EE158" s="863" t="e">
        <f t="shared" ca="1" si="524"/>
        <v>#NAME?</v>
      </c>
      <c r="EF158" s="590" t="e">
        <f t="shared" ca="1" si="525"/>
        <v>#NAME?</v>
      </c>
      <c r="EG158" s="862" t="str">
        <f t="shared" ca="1" si="526"/>
        <v/>
      </c>
      <c r="EH158" s="114" t="str">
        <f t="shared" ca="1" si="527"/>
        <v/>
      </c>
      <c r="EI158" s="109" t="str">
        <f t="shared" ca="1" si="528"/>
        <v/>
      </c>
      <c r="EJ158" s="115">
        <f ca="1">IF(BD158,_xll.xASN(BP158,Strike1,AO158,EH158,0,BM158,0,BI158,BL158,IF(OptControl=4,0,1),0),0)</f>
        <v>0</v>
      </c>
      <c r="EK158" s="108">
        <f ca="1">IF(BD158,_xll.xASN(BP158,Strike2,AO158,EI158,0,BM158,0,BI158,BL158,IF(OptControl=3,1,0),0),0)</f>
        <v>0</v>
      </c>
      <c r="EP158" s="53"/>
      <c r="EQ158" s="1"/>
      <c r="ER158" s="103"/>
      <c r="ES158" s="103"/>
      <c r="ET158" s="1"/>
      <c r="EU158" s="667" t="s">
        <v>370</v>
      </c>
      <c r="EW158" s="445"/>
      <c r="EX158" s="36"/>
      <c r="EY158" s="104"/>
      <c r="EZ158" s="465"/>
      <c r="FA158" s="446"/>
      <c r="FB158" s="446"/>
      <c r="FC158" s="242"/>
      <c r="FD158" s="242"/>
      <c r="FE158" s="242"/>
      <c r="FF158" s="242"/>
      <c r="FG158" s="242"/>
      <c r="FH158" s="242"/>
      <c r="FI158" s="242"/>
      <c r="FJ158" s="242"/>
      <c r="FK158" s="242"/>
      <c r="FL158" s="242"/>
      <c r="FM158" s="242"/>
      <c r="FN158" s="657">
        <v>64</v>
      </c>
      <c r="FO158" s="450">
        <f t="shared" ca="1" si="477"/>
        <v>0.17281009939837857</v>
      </c>
      <c r="FP158" s="450">
        <f t="shared" ca="1" si="564"/>
        <v>0.17277974272053095</v>
      </c>
      <c r="FQ158" s="450">
        <f t="shared" ca="1" si="564"/>
        <v>0.17258001968481002</v>
      </c>
      <c r="FR158" s="450">
        <f t="shared" ca="1" si="564"/>
        <v>0.17238487792725396</v>
      </c>
      <c r="FS158" s="450">
        <f t="shared" ca="1" si="564"/>
        <v>0.17219455653163174</v>
      </c>
      <c r="FT158" s="450">
        <f t="shared" ca="1" si="564"/>
        <v>0.1720093237379923</v>
      </c>
      <c r="FU158" s="450">
        <f t="shared" ca="1" si="564"/>
        <v>0.17182948017219493</v>
      </c>
      <c r="FV158" s="450">
        <f t="shared" ca="1" si="564"/>
        <v>0.17165536244221716</v>
      </c>
      <c r="FW158" s="450">
        <f t="shared" ca="1" si="564"/>
        <v>0.17148734714416455</v>
      </c>
      <c r="FX158" s="450">
        <f t="shared" ca="1" si="564"/>
        <v>0.17132585532623271</v>
      </c>
      <c r="FY158" s="450">
        <f t="shared" ca="1" si="564"/>
        <v>0.17117135746491582</v>
      </c>
      <c r="FZ158" s="450">
        <f t="shared" ca="1" si="564"/>
        <v>0.17102437901464149</v>
      </c>
      <c r="GA158" s="450">
        <f t="shared" ca="1" si="564"/>
        <v>0.17088550659986582</v>
      </c>
      <c r="GB158" s="450">
        <f t="shared" ca="1" si="564"/>
        <v>0.17075539492765759</v>
      </c>
      <c r="GC158" s="450">
        <f t="shared" ca="1" si="564"/>
        <v>0.17063477450909686</v>
      </c>
      <c r="GD158" s="450">
        <f t="shared" ca="1" si="564"/>
        <v>0.17052446028966856</v>
      </c>
      <c r="GE158" s="450">
        <f t="shared" ca="1" si="564"/>
        <v>0.17042536130249253</v>
      </c>
      <c r="GF158" s="450">
        <f t="shared" ca="1" si="564"/>
        <v>0.17033849147401867</v>
      </c>
      <c r="GG158" s="450">
        <f t="shared" ca="1" si="564"/>
        <v>0.17026498173014284</v>
      </c>
      <c r="GH158" s="450">
        <f t="shared" ca="1" si="564"/>
        <v>0.17020609357199826</v>
      </c>
      <c r="GI158" s="450">
        <f t="shared" ca="1" si="564"/>
        <v>0.17016323431555333</v>
      </c>
      <c r="GJ158" s="450">
        <f t="shared" ca="1" si="564"/>
        <v>0.17013797421827184</v>
      </c>
      <c r="GK158" s="450">
        <f t="shared" ca="1" si="564"/>
        <v>0.17013206575031478</v>
      </c>
      <c r="GL158" s="450">
        <f t="shared" ca="1" si="564"/>
        <v>0.17014746530813465</v>
      </c>
      <c r="GM158" s="450">
        <f t="shared" ca="1" si="564"/>
        <v>0.17018635771609053</v>
      </c>
      <c r="GN158" s="450">
        <f t="shared" ca="1" si="564"/>
        <v>0.17025118391848401</v>
      </c>
      <c r="GO158" s="450">
        <f t="shared" ca="1" si="564"/>
        <v>0.17034467233212081</v>
      </c>
      <c r="GP158" s="450">
        <f t="shared" ca="1" si="564"/>
        <v>0.17046987441057335</v>
      </c>
      <c r="GQ158" s="450">
        <f t="shared" ca="1" si="564"/>
        <v>0.17063020506875834</v>
      </c>
      <c r="GR158" s="450">
        <f t="shared" ca="1" si="564"/>
        <v>0.17082948873405218</v>
      </c>
      <c r="GS158" s="450">
        <f t="shared" ca="1" si="564"/>
        <v>0.17107201193268007</v>
      </c>
      <c r="GT158" s="450">
        <f t="shared" ca="1" si="564"/>
        <v>0.17136258349353378</v>
      </c>
      <c r="GU158" s="450">
        <f t="shared" ca="1" si="564"/>
        <v>0.1717066036634993</v>
      </c>
      <c r="GV158" s="450">
        <f t="shared" ca="1" si="564"/>
        <v>0.17211014368846239</v>
      </c>
      <c r="GW158" s="450">
        <f t="shared" ca="1" si="564"/>
        <v>0.17258003773477831</v>
      </c>
      <c r="GX158" s="450">
        <f t="shared" ca="1" si="564"/>
        <v>0.1731239894229985</v>
      </c>
      <c r="GY158" s="450">
        <f t="shared" ca="1" si="564"/>
        <v>0.17375069573953361</v>
      </c>
      <c r="GZ158" s="450">
        <f t="shared" ca="1" si="564"/>
        <v>0.17446999170925737</v>
      </c>
      <c r="HA158" s="450">
        <f t="shared" ca="1" si="564"/>
        <v>0.17529301998748428</v>
      </c>
      <c r="HB158" s="450">
        <f t="shared" ca="1" si="564"/>
        <v>0.1762324305087393</v>
      </c>
      <c r="HC158" s="450">
        <f t="shared" ca="1" si="564"/>
        <v>0.17730261657225235</v>
      </c>
      <c r="HD158" s="450">
        <f t="shared" ca="1" si="564"/>
        <v>0.17851999532980542</v>
      </c>
      <c r="HE158" s="450">
        <f t="shared" ca="1" si="564"/>
        <v>0.17990334267683938</v>
      </c>
      <c r="HF158" s="450">
        <f t="shared" ca="1" si="564"/>
        <v>0.18147419517581936</v>
      </c>
      <c r="HG158" s="450">
        <f t="shared" ca="1" si="564"/>
        <v>0.18325733505582453</v>
      </c>
      <c r="HH158" s="450">
        <f t="shared" ca="1" si="564"/>
        <v>0.18528137879922091</v>
      </c>
      <c r="HI158" s="450">
        <f t="shared" ca="1" si="564"/>
        <v>0.18757949570988222</v>
      </c>
      <c r="HJ158" s="450">
        <f t="shared" ca="1" si="564"/>
        <v>0.19019029066406712</v>
      </c>
      <c r="HK158" s="450">
        <f t="shared" ca="1" si="564"/>
        <v>0.19315889568366607</v>
      </c>
      <c r="HL158" s="450">
        <f t="shared" ca="1" si="564"/>
        <v>0.19653832904389126</v>
      </c>
      <c r="HM158" s="450">
        <f t="shared" ca="1" si="564"/>
        <v>0.20039119976308173</v>
      </c>
      <c r="HN158" s="450">
        <f t="shared" ca="1" si="564"/>
        <v>0.20479186158191623</v>
      </c>
      <c r="HO158" s="450">
        <f t="shared" ca="1" si="564"/>
        <v>0.20982915692615906</v>
      </c>
      <c r="HP158" s="450">
        <f t="shared" ca="1" si="564"/>
        <v>0.21560994228816657</v>
      </c>
      <c r="HQ158" s="450">
        <f t="shared" ca="1" si="564"/>
        <v>0.22226365856335614</v>
      </c>
      <c r="HR158" s="450">
        <f t="shared" ca="1" si="564"/>
        <v>0.22994831312285938</v>
      </c>
      <c r="HS158" s="450">
        <f t="shared" ca="1" si="564"/>
        <v>0.23885839009152804</v>
      </c>
      <c r="HT158" s="450">
        <f t="shared" ca="1" si="564"/>
        <v>0.24923542521915429</v>
      </c>
      <c r="HU158" s="450">
        <f t="shared" ca="1" si="564"/>
        <v>0.26138230945081692</v>
      </c>
      <c r="HV158" s="450">
        <f t="shared" ca="1" si="564"/>
        <v>0.27568288115237155</v>
      </c>
      <c r="HW158" s="450">
        <f t="shared" ca="1" si="564"/>
        <v>0.29262912957311532</v>
      </c>
      <c r="HX158" s="450">
        <f t="shared" ca="1" si="564"/>
        <v>0.31285952595659255</v>
      </c>
      <c r="HY158" s="450">
        <f t="shared" ca="1" si="564"/>
        <v>0.33721390359585796</v>
      </c>
      <c r="HZ158" s="450">
        <f t="shared" ca="1" si="564"/>
        <v>0.36681341126035932</v>
      </c>
      <c r="IA158" s="450" t="str">
        <f t="shared" si="564"/>
        <v/>
      </c>
      <c r="IB158" s="450" t="str">
        <f t="shared" si="563"/>
        <v/>
      </c>
      <c r="IC158" s="450" t="str">
        <f t="shared" si="563"/>
        <v/>
      </c>
      <c r="ID158" s="450" t="str">
        <f t="shared" si="563"/>
        <v/>
      </c>
      <c r="IE158" s="450" t="str">
        <f t="shared" si="563"/>
        <v/>
      </c>
      <c r="IF158" s="450" t="str">
        <f t="shared" si="563"/>
        <v/>
      </c>
      <c r="IG158" s="450" t="str">
        <f t="shared" si="563"/>
        <v/>
      </c>
      <c r="IH158" s="658" t="str">
        <f t="shared" si="563"/>
        <v/>
      </c>
      <c r="II158" s="242"/>
    </row>
    <row r="159" spans="8:243">
      <c r="H159" s="49" t="e">
        <f t="shared" ca="1" si="529"/>
        <v>#N/A</v>
      </c>
      <c r="I159" s="369">
        <f t="shared" si="530"/>
        <v>41244</v>
      </c>
      <c r="J159" s="367">
        <v>22.8599999999999</v>
      </c>
      <c r="K159" s="101" t="s">
        <v>267</v>
      </c>
      <c r="L159" s="382">
        <f t="shared" si="531"/>
        <v>22.859999999999932</v>
      </c>
      <c r="M159" s="163">
        <v>0.1555</v>
      </c>
      <c r="N159" s="372">
        <v>0</v>
      </c>
      <c r="O159" s="163">
        <f t="shared" si="488"/>
        <v>0.1555</v>
      </c>
      <c r="P159" s="367">
        <v>21.615552624669597</v>
      </c>
      <c r="Q159" s="101" t="s">
        <v>267</v>
      </c>
      <c r="R159" s="367">
        <f t="shared" ca="1" si="549"/>
        <v>21.615552624669633</v>
      </c>
      <c r="S159" s="814">
        <f t="shared" si="474"/>
        <v>0.35249185282292289</v>
      </c>
      <c r="T159" s="813">
        <f t="shared" si="550"/>
        <v>0.99999996594787799</v>
      </c>
      <c r="U159" s="532">
        <f t="shared" si="551"/>
        <v>0.99999999999999978</v>
      </c>
      <c r="V159" s="379">
        <v>0</v>
      </c>
      <c r="W159" s="424">
        <f t="shared" si="489"/>
        <v>22.892499999999902</v>
      </c>
      <c r="X159" s="405">
        <f t="shared" si="490"/>
        <v>22.892499999999931</v>
      </c>
      <c r="Y159" s="313">
        <f t="shared" si="491"/>
        <v>21.650899999999901</v>
      </c>
      <c r="Z159" s="313">
        <f t="shared" ca="1" si="492"/>
        <v>21.650899999999929</v>
      </c>
      <c r="AA159" s="419">
        <f t="shared" si="493"/>
        <v>1.2416</v>
      </c>
      <c r="AB159" s="423">
        <f t="shared" ca="1" si="494"/>
        <v>1.2416</v>
      </c>
      <c r="AC159" s="221">
        <v>41233</v>
      </c>
      <c r="AD159" s="221">
        <v>41229</v>
      </c>
      <c r="AE159" s="221">
        <v>41228</v>
      </c>
      <c r="AF159" s="221">
        <v>41224</v>
      </c>
      <c r="AG159" s="241" t="s">
        <v>497</v>
      </c>
      <c r="AH159" s="239" t="s">
        <v>497</v>
      </c>
      <c r="AI159" s="141">
        <v>20</v>
      </c>
      <c r="AJ159" s="41">
        <v>14</v>
      </c>
      <c r="AK159" s="41">
        <v>6</v>
      </c>
      <c r="AL159" s="285">
        <v>20</v>
      </c>
      <c r="AM159" s="41">
        <v>10</v>
      </c>
      <c r="AN159" s="142">
        <v>10</v>
      </c>
      <c r="AO159" s="364">
        <v>6.0168317775763501E-2</v>
      </c>
      <c r="AP159" s="145">
        <f t="shared" ca="1" si="532"/>
        <v>0.49892265102713984</v>
      </c>
      <c r="AQ159" s="364">
        <v>5.2058497282734699E-2</v>
      </c>
      <c r="AR159" s="145">
        <f t="shared" ca="1" si="552"/>
        <v>0.55076416813559537</v>
      </c>
      <c r="AS159" s="264">
        <f t="shared" si="495"/>
        <v>0.15498000000000001</v>
      </c>
      <c r="AT159" s="149">
        <f t="shared" si="533"/>
        <v>0.1555</v>
      </c>
      <c r="AU159" s="149">
        <f t="shared" si="496"/>
        <v>0.15490000000000001</v>
      </c>
      <c r="AV159" s="263">
        <f t="shared" ca="1" si="560"/>
        <v>0.15311120276514856</v>
      </c>
      <c r="AW159" s="150" t="str">
        <f t="shared" ca="1" si="497"/>
        <v/>
      </c>
      <c r="AX159" s="149">
        <f t="shared" ca="1" si="553"/>
        <v>9.1470778911215567E-3</v>
      </c>
      <c r="AY159" s="149">
        <f t="shared" ca="1" si="554"/>
        <v>3.4975241804239801E-3</v>
      </c>
      <c r="AZ159" s="149">
        <f t="shared" ca="1" si="555"/>
        <v>2.9699894729672024E-3</v>
      </c>
      <c r="BA159" s="149">
        <f t="shared" ca="1" si="556"/>
        <v>1.0000000000000608E-4</v>
      </c>
      <c r="BB159" s="149">
        <f t="shared" ca="1" si="557"/>
        <v>1.0000000000000608E-4</v>
      </c>
      <c r="BC159" s="149">
        <f t="shared" ca="1" si="558"/>
        <v>1.0000000000000608E-4</v>
      </c>
      <c r="BD159" s="143">
        <f t="shared" ca="1" si="498"/>
        <v>0</v>
      </c>
      <c r="BE159" s="144">
        <f t="shared" ca="1" si="499"/>
        <v>0</v>
      </c>
      <c r="BF159" s="40">
        <f t="shared" si="500"/>
        <v>2012</v>
      </c>
      <c r="BG159" s="139">
        <f t="shared" si="501"/>
        <v>12</v>
      </c>
      <c r="BH159" s="140">
        <f t="shared" ca="1" si="502"/>
        <v>4239</v>
      </c>
      <c r="BI159" s="304">
        <f t="shared" ca="1" si="440"/>
        <v>11.646817248459959</v>
      </c>
      <c r="BJ159" s="42">
        <f t="shared" ca="1" si="503"/>
        <v>11.704312114989733</v>
      </c>
      <c r="BK159" s="42">
        <f t="shared" ca="1" si="504"/>
        <v>11.707049965776866</v>
      </c>
      <c r="BL159" s="42">
        <f t="shared" ca="1" si="441"/>
        <v>11.728952772073923</v>
      </c>
      <c r="BM159" s="285">
        <f t="shared" si="442"/>
        <v>20</v>
      </c>
      <c r="BN159" s="41">
        <f t="shared" si="443"/>
        <v>14</v>
      </c>
      <c r="BO159" s="41">
        <f t="shared" si="444"/>
        <v>6</v>
      </c>
      <c r="BP159" s="297" t="str">
        <f t="shared" ca="1" si="505"/>
        <v/>
      </c>
      <c r="BQ159" s="297" t="str">
        <f t="shared" ca="1" si="506"/>
        <v/>
      </c>
      <c r="BR159" s="299" t="str">
        <f t="shared" ca="1" si="507"/>
        <v/>
      </c>
      <c r="BS159" s="153" t="str">
        <f t="shared" ca="1" si="508"/>
        <v/>
      </c>
      <c r="BT159" s="153" t="str">
        <f t="shared" ca="1" si="509"/>
        <v/>
      </c>
      <c r="BU159" s="300" t="str">
        <f t="shared" ca="1" si="510"/>
        <v/>
      </c>
      <c r="BV159" s="301" t="str">
        <f t="shared" ca="1" si="511"/>
        <v/>
      </c>
      <c r="BW159" s="300" t="str">
        <f t="shared" ca="1" si="512"/>
        <v/>
      </c>
      <c r="BX159" s="301" t="str">
        <f t="shared" ca="1" si="513"/>
        <v/>
      </c>
      <c r="BY159" s="146" t="str">
        <f t="shared" ca="1" si="514"/>
        <v/>
      </c>
      <c r="BZ159" s="146" t="str">
        <f t="shared" ca="1" si="515"/>
        <v/>
      </c>
      <c r="CA159" s="146" t="str">
        <f t="shared" ca="1" si="516"/>
        <v/>
      </c>
      <c r="CB159" s="146" t="str">
        <f t="shared" ca="1" si="517"/>
        <v/>
      </c>
      <c r="CC159" s="302">
        <v>1</v>
      </c>
      <c r="CD159" s="154">
        <f ca="1">IF(BD159,_xll.xCrudeAPO(BS159,BT159,BY159,BZ159,S160,S161,BI159,BL159,BN159,BO159,0,Strike1,AO159,CC159,0,BL159,IF(OptControl=4,0,1),0,1),0)</f>
        <v>0</v>
      </c>
      <c r="CE159" s="155">
        <f ca="1">IF(BD159,_xll.xCrudeAPO(BS159,BT159,BY159,BZ159,S160,S161,BI159,BL159,BN159,BO159,0,Strike1,AO159,CC159,0,BL159,IF(OptControl=4,0,1),1,1)+_xll.xCrudeAPO(BS159,BT159,BY159,BZ159,S160,S161,BI159,BL159,BN159,BO159,0,Strike1,AO159,CC159,0,BL159,IF(OptControl=4,0,1),1,2)+IF(OR(VolSkewFlag=2,ABS(BQ159)&lt;0.0001),0,IF(BQ159&gt;0,-1,1)*CF159*Strike1/BP159^2*BW159/10%),0)</f>
        <v>0</v>
      </c>
      <c r="CF159" s="155">
        <f ca="1">IF(BD159,(_xll.xCrudeAPO(BS159,BT159,BY159,BZ159,S160,S161,BI159,BL159,BN159,BO159,0,Strike1,AO159,CC159,0,BL159,IF(OptControl=4,0,1),3,1)+_xll.xCrudeAPO(BS159,BT159,BY159,BZ159,S160,S161,BI159,BL159,BN159,BO159,0,Strike1,AO159,CC159,0,BL159,IF(OptControl=4,0,1),3,2))/100,0)</f>
        <v>0</v>
      </c>
      <c r="CG159" s="155">
        <f ca="1">IF(BD159,_xll.xCrudeAPO(BS159,BT159,BY159,BZ159,S160,S161,BI159-DaysForThetaCalculation/365.25,BL159-DaysForThetaCalculation/365.25,BN159,BO159,0,Strike1,AO159,CC159,0,BL159,IF(OptControl=4,0,1),0,1)-_xll.xCrudeAPO(BS159,BT159,BY159,BZ159,S160,S161,BI159,BL159,BN159,BO159,0,Strike1,AO159,CC159,0,BL159,IF(OptControl=4,0,1),0,1),0)</f>
        <v>0</v>
      </c>
      <c r="CH159" s="303">
        <f ca="1">IF(BD159,_xll.xCrudeAPO(BS159,BT159,CA159,CB159,S160,S161,BI159,BL159,BN159,BO159,0,Strike2,AO159,CC159,0,BL159,IF(OptControl=3,1,0),0,1),0)</f>
        <v>0</v>
      </c>
      <c r="CI159" s="155">
        <f ca="1">IF(BD159,_xll.xCrudeAPO(BS159,BT159,CA159,CB159,S160,S161,BI159,BL159,BN159,BO159,0,Strike2,AO159,CC159,0,BL159,IF(OptControl=3,1,0),1,1)+_xll.xCrudeAPO(BS159,BT159,CA159,CB159,S160,S161,BI159,BL159,BN159,BO159,0,Strike2,AO159,CC159,0,BL159,IF(OptControl=3,1,0),1,2)+IF(OR(VolSkewFlag=2,ABS(BR159)&lt;0.0001),0,IF(BR159&gt;0,-1,1)*CJ159*Strike2/BP159^2*BX159/10%),0)</f>
        <v>0</v>
      </c>
      <c r="CJ159" s="155">
        <f ca="1">IF(BD159,(_xll.xCrudeAPO(BS159,BT159,CA159,CB159,S160,S161,BI159,BL159,BN159,BO159,0,Strike2,AO159,CC159,0,BL159,IF(OptControl=3,1,0),3,1)+_xll.xCrudeAPO(BS159,BT159,CA159,CB159,S160,S161,BI159,BL159,BN159,BO159,0,Strike2,AO159,CC159,0,BL159,IF(OptControl=3,1,0),3,2))/100,0)</f>
        <v>0</v>
      </c>
      <c r="CK159" s="156">
        <f ca="1">IF(BD159,_xll.xCrudeAPO(BS159,BT159,CA159,CB159,S160,S161,BI159-DaysForThetaCalculation/365.25,BL159-DaysForThetaCalculation/365.25,BN159,BO159,0,Strike2,AO159,CC159,0,BL159,IF(OptControl=3,1,0),0,1)-_xll.xCrudeAPO(BS159,BT159,CA159,CB159,S160,S161,BI159,BL159,BN159,BO159,0,Strike2,AO159,CC159,0,BL159,IF(OptControl=3,1,0),0,1),0)</f>
        <v>0</v>
      </c>
      <c r="CL159" s="51"/>
      <c r="CM159" s="779" t="str">
        <f t="shared" ca="1" si="534"/>
        <v/>
      </c>
      <c r="CN159" s="783" t="str">
        <f t="shared" ca="1" si="535"/>
        <v/>
      </c>
      <c r="CO159" s="780" t="str">
        <f t="shared" ca="1" si="536"/>
        <v/>
      </c>
      <c r="CP159" s="780" t="str">
        <f t="shared" ca="1" si="537"/>
        <v/>
      </c>
      <c r="CQ159" s="780" t="str">
        <f t="shared" ca="1" si="538"/>
        <v/>
      </c>
      <c r="CR159" s="780" t="str">
        <f t="shared" ca="1" si="539"/>
        <v/>
      </c>
      <c r="CS159" s="781" t="str">
        <f t="shared" ca="1" si="540"/>
        <v/>
      </c>
      <c r="CT159" s="782" t="str">
        <f t="shared" ca="1" si="541"/>
        <v/>
      </c>
      <c r="CU159" s="782" t="str">
        <f t="shared" ca="1" si="542"/>
        <v/>
      </c>
      <c r="CV159" s="155">
        <f ca="1">IF(BD159,_xll.EURO(CN159,Strike1,AO159,AO159,CT159,CM159,IF(OptControl=4,0,1),0),0)</f>
        <v>0</v>
      </c>
      <c r="CW159" s="155">
        <f ca="1">IF(BD159,_xll.EURO(CN159,Strike1,AO159,AO159,CT159,CM159,IF(OptControl=4,0,1),1)+IF(OR(VolSkewFlag=2,ABS(CO159)&lt;0.0001),0,IF(CO159&gt;0,-1,1)*CX159*100*Strike1/CN159^2*CQ159/10%),0)</f>
        <v>0</v>
      </c>
      <c r="CX159" s="155">
        <f ca="1">IF(BD159,_xll.EURO(CN159,Strike1,AO159,AO159,CT159,CM159,IF(OptControl=4,0,1),3)/100,0)</f>
        <v>0</v>
      </c>
      <c r="CY159" s="155">
        <f ca="1">IF(BD159,_xll.EURO(CN159,Strike1,AO159,AO159,CT159,CM159,IF(OptControl=4,0,1),0)-_xll.EURO(CN159,Strike1,AO159,AO159,CT159,CM159-1,IF(OptControl=4,0,1),0),0)</f>
        <v>0</v>
      </c>
      <c r="CZ159" s="155">
        <f ca="1">IF(BD159,_xll.EURO(CN159,Strike2,AO159,AO159,CU159,CM159,IF(OptControl=3,1,0),0),0)</f>
        <v>0</v>
      </c>
      <c r="DA159" s="155">
        <f ca="1">IF(BD159,_xll.EURO(CN159,Strike2,AO159,AO159,CU159,CM159,IF(OptControl=3,1,0),1)+IF(OR(VolSkewFlag=2,ABS(CP159)&lt;0.0001),0,IF(CP159&gt;0,-1,1)*DB159*100*Strike2/CN159^2*CR159/10%),0)</f>
        <v>0</v>
      </c>
      <c r="DB159" s="155">
        <f ca="1">IF(BD159,_xll.EURO(CN159,Strike2,AO159,AO159,CU159,CM159,IF(OptControl=3,1,0),3)/100,0)</f>
        <v>0</v>
      </c>
      <c r="DC159" s="156">
        <f ca="1">IF(BD159,_xll.EURO(CN159,Strike2,AO159,AO159,CU159,CM159,IF(OptControl=3,1,0),0)-_xll.EURO(CN159,Strike2,AO159,AO159,CU159,CM159-1,IF(OptControl=3,1,0),0),0)</f>
        <v>0</v>
      </c>
      <c r="DE159" s="651">
        <f t="shared" ca="1" si="543"/>
        <v>41153</v>
      </c>
      <c r="DF159" s="465">
        <v>1E-4</v>
      </c>
      <c r="DG159" s="649">
        <v>1E-4</v>
      </c>
      <c r="DH159" s="650">
        <f t="shared" ca="1" si="518"/>
        <v>41153</v>
      </c>
      <c r="DI159" s="465">
        <v>1E-4</v>
      </c>
      <c r="DJ159" s="649">
        <v>1E-4</v>
      </c>
      <c r="DK159" s="651">
        <f t="shared" ca="1" si="519"/>
        <v>41153</v>
      </c>
      <c r="DL159" s="652">
        <f t="shared" si="520"/>
        <v>5.0100000000000006E-2</v>
      </c>
      <c r="DM159" s="651">
        <f t="shared" ca="1" si="544"/>
        <v>41153</v>
      </c>
      <c r="DN159" s="563">
        <f t="shared" si="545"/>
        <v>-0.12990000000000002</v>
      </c>
      <c r="DO159" s="803">
        <v>-0.13</v>
      </c>
      <c r="DP159" s="650">
        <f t="shared" ca="1" si="521"/>
        <v>41153</v>
      </c>
      <c r="DQ159" s="653">
        <v>1E-4</v>
      </c>
      <c r="DR159" s="590">
        <v>1E-4</v>
      </c>
      <c r="DS159" s="650">
        <f t="shared" ca="1" si="522"/>
        <v>41153</v>
      </c>
      <c r="DT159" s="653">
        <v>1E-4</v>
      </c>
      <c r="DU159" s="590">
        <v>1E-4</v>
      </c>
      <c r="DV159" s="651">
        <f t="shared" ca="1" si="523"/>
        <v>41153</v>
      </c>
      <c r="DW159" s="590">
        <v>1E-4</v>
      </c>
      <c r="DX159" s="651">
        <f t="shared" ca="1" si="546"/>
        <v>41153</v>
      </c>
      <c r="DY159" s="590">
        <f t="shared" si="547"/>
        <v>1E-4</v>
      </c>
      <c r="DZ159" s="1"/>
      <c r="EA159" s="857"/>
      <c r="EB159" s="857"/>
      <c r="EC159" s="857"/>
      <c r="ED159" s="868" t="e">
        <f t="shared" ca="1" si="436"/>
        <v>#NAME?</v>
      </c>
      <c r="EE159" s="863" t="e">
        <f t="shared" ca="1" si="524"/>
        <v>#NAME?</v>
      </c>
      <c r="EF159" s="590" t="e">
        <f t="shared" ca="1" si="525"/>
        <v>#NAME?</v>
      </c>
      <c r="EG159" s="862" t="str">
        <f t="shared" ca="1" si="526"/>
        <v/>
      </c>
      <c r="EH159" s="114" t="str">
        <f t="shared" ca="1" si="527"/>
        <v/>
      </c>
      <c r="EI159" s="109" t="str">
        <f t="shared" ca="1" si="528"/>
        <v/>
      </c>
      <c r="EJ159" s="115">
        <f ca="1">IF(BD159,_xll.xASN(BP159,Strike1,AO159,EH159,0,BM159,0,BI159,BL159,IF(OptControl=4,0,1),0),0)</f>
        <v>0</v>
      </c>
      <c r="EK159" s="108">
        <f ca="1">IF(BD159,_xll.xASN(BP159,Strike2,AO159,EI159,0,BM159,0,BI159,BL159,IF(OptControl=3,1,0),0),0)</f>
        <v>0</v>
      </c>
      <c r="EP159" s="53"/>
      <c r="EQ159" s="1"/>
      <c r="ER159" s="103"/>
      <c r="ES159" s="103"/>
      <c r="ET159" s="1"/>
      <c r="EU159" s="667" t="s">
        <v>371</v>
      </c>
      <c r="EW159" s="445"/>
      <c r="EX159" s="36"/>
      <c r="EY159" s="104"/>
      <c r="EZ159" s="465"/>
      <c r="FA159" s="446"/>
      <c r="FB159" s="446"/>
      <c r="FC159" s="242"/>
      <c r="FD159" s="242"/>
      <c r="FE159" s="242"/>
      <c r="FF159" s="242"/>
      <c r="FG159" s="242"/>
      <c r="FH159" s="242"/>
      <c r="FI159" s="242"/>
      <c r="FJ159" s="242"/>
      <c r="FK159" s="242"/>
      <c r="FL159" s="242"/>
      <c r="FM159" s="242"/>
      <c r="FN159" s="657">
        <v>65</v>
      </c>
      <c r="FO159" s="450">
        <f t="shared" ref="FO159:FO166" ca="1" si="565">IF($FN84&lt;FO$94,"",SQRT(FO84/FO$15))</f>
        <v>0.17279242662201877</v>
      </c>
      <c r="FP159" s="450">
        <f t="shared" ca="1" si="564"/>
        <v>0.17276010964022639</v>
      </c>
      <c r="FQ159" s="450">
        <f t="shared" ca="1" si="564"/>
        <v>0.17255823022986358</v>
      </c>
      <c r="FR159" s="450">
        <f t="shared" ca="1" si="564"/>
        <v>0.17236069462770101</v>
      </c>
      <c r="FS159" s="450">
        <f t="shared" ca="1" si="564"/>
        <v>0.17216771565574518</v>
      </c>
      <c r="FT159" s="450">
        <f t="shared" ca="1" si="564"/>
        <v>0.17197953236588465</v>
      </c>
      <c r="FU159" s="450">
        <f t="shared" ca="1" si="564"/>
        <v>0.17179641293854772</v>
      </c>
      <c r="FV159" s="450">
        <f t="shared" ca="1" si="564"/>
        <v>0.17161865790965652</v>
      </c>
      <c r="FW159" s="450">
        <f t="shared" ca="1" si="564"/>
        <v>0.17144660376408499</v>
      </c>
      <c r="FX159" s="450">
        <f t="shared" ca="1" si="564"/>
        <v>0.17128062693852014</v>
      </c>
      <c r="FY159" s="450">
        <f t="shared" ca="1" si="564"/>
        <v>0.17112114828194214</v>
      </c>
      <c r="FZ159" s="450">
        <f t="shared" ca="1" si="564"/>
        <v>0.17096863802798154</v>
      </c>
      <c r="GA159" s="450">
        <f t="shared" ca="1" si="564"/>
        <v>0.17082362134028875</v>
      </c>
      <c r="GB159" s="450">
        <f t="shared" ca="1" si="564"/>
        <v>0.17068668449991123</v>
      </c>
      <c r="GC159" s="450">
        <f t="shared" ca="1" si="564"/>
        <v>0.1705584818126448</v>
      </c>
      <c r="GD159" s="450">
        <f t="shared" ca="1" si="564"/>
        <v>0.17043974332463255</v>
      </c>
      <c r="GE159" s="450">
        <f t="shared" ca="1" si="564"/>
        <v>0.17033128344632523</v>
      </c>
      <c r="GF159" s="450">
        <f t="shared" ca="1" si="564"/>
        <v>0.17023401059856194</v>
      </c>
      <c r="GG159" s="450">
        <f t="shared" ca="1" si="564"/>
        <v>0.17014893801032438</v>
      </c>
      <c r="GH159" s="450">
        <f t="shared" ca="1" si="564"/>
        <v>0.17007719581601327</v>
      </c>
      <c r="GI159" s="450">
        <f t="shared" ca="1" si="564"/>
        <v>0.17002004462139481</v>
      </c>
      <c r="GJ159" s="450">
        <f t="shared" ca="1" si="564"/>
        <v>0.16997889073222044</v>
      </c>
      <c r="GK159" s="450">
        <f t="shared" ca="1" si="564"/>
        <v>0.16995530326862418</v>
      </c>
      <c r="GL159" s="450">
        <f t="shared" ca="1" si="564"/>
        <v>0.16995103342261308</v>
      </c>
      <c r="GM159" s="450">
        <f t="shared" ca="1" si="564"/>
        <v>0.16996803615630074</v>
      </c>
      <c r="GN159" s="450">
        <f t="shared" ca="1" si="564"/>
        <v>0.17000849468628715</v>
      </c>
      <c r="GO159" s="450">
        <f t="shared" ca="1" si="564"/>
        <v>0.17007484815631696</v>
      </c>
      <c r="GP159" s="450">
        <f t="shared" ca="1" si="564"/>
        <v>0.17016982296801503</v>
      </c>
      <c r="GQ159" s="450">
        <f t="shared" ca="1" si="564"/>
        <v>0.17029646832050518</v>
      </c>
      <c r="GR159" s="450">
        <f t="shared" ca="1" si="564"/>
        <v>0.17045819660710135</v>
      </c>
      <c r="GS159" s="450">
        <f t="shared" ca="1" si="564"/>
        <v>0.17065882943478602</v>
      </c>
      <c r="GT159" s="450">
        <f t="shared" ca="1" si="564"/>
        <v>0.17090265017460748</v>
      </c>
      <c r="GU159" s="450">
        <f t="shared" ca="1" si="564"/>
        <v>0.17119446412443745</v>
      </c>
      <c r="GV159" s="450">
        <f t="shared" ca="1" si="564"/>
        <v>0.17153966757730643</v>
      </c>
      <c r="GW159" s="450">
        <f t="shared" ca="1" si="564"/>
        <v>0.17194432734845583</v>
      </c>
      <c r="GX159" s="450">
        <f t="shared" ca="1" si="564"/>
        <v>0.17241527263464326</v>
      </c>
      <c r="GY159" s="450">
        <f t="shared" ca="1" si="564"/>
        <v>0.17296020147598537</v>
      </c>
      <c r="GZ159" s="450">
        <f t="shared" ca="1" si="564"/>
        <v>0.17358780458417314</v>
      </c>
      <c r="HA159" s="450">
        <f t="shared" ca="1" si="564"/>
        <v>0.17430790991781234</v>
      </c>
      <c r="HB159" s="450">
        <f t="shared" ca="1" si="564"/>
        <v>0.17513165216055346</v>
      </c>
      <c r="HC159" s="450">
        <f t="shared" ca="1" si="564"/>
        <v>0.1760716722360047</v>
      </c>
      <c r="HD159" s="450">
        <f t="shared" ca="1" si="564"/>
        <v>0.17714235323511693</v>
      </c>
      <c r="HE159" s="450">
        <f t="shared" ca="1" si="564"/>
        <v>0.17836010071636199</v>
      </c>
      <c r="HF159" s="450">
        <f t="shared" ca="1" si="564"/>
        <v>0.17974367737296387</v>
      </c>
      <c r="HG159" s="450">
        <f t="shared" ca="1" si="564"/>
        <v>0.18131460468778451</v>
      </c>
      <c r="HH159" s="450">
        <f t="shared" ca="1" si="564"/>
        <v>0.18309764760917888</v>
      </c>
      <c r="HI159" s="450">
        <f t="shared" ca="1" si="564"/>
        <v>0.18512140274507174</v>
      </c>
      <c r="HJ159" s="450">
        <f t="shared" ca="1" si="564"/>
        <v>0.18741901645223402</v>
      </c>
      <c r="HK159" s="450">
        <f t="shared" ca="1" si="564"/>
        <v>0.19002906699923802</v>
      </c>
      <c r="HL159" s="450">
        <f t="shared" ca="1" si="564"/>
        <v>0.19299665541330777</v>
      </c>
      <c r="HM159" s="450">
        <f t="shared" ca="1" si="564"/>
        <v>0.1963747636843991</v>
      </c>
      <c r="HN159" s="450">
        <f t="shared" ca="1" si="564"/>
        <v>0.20022595812289748</v>
      </c>
      <c r="HO159" s="450">
        <f t="shared" ca="1" si="564"/>
        <v>0.20462454190974558</v>
      </c>
      <c r="HP159" s="450">
        <f t="shared" ca="1" si="564"/>
        <v>0.2096592972408699</v>
      </c>
      <c r="HQ159" s="450">
        <f t="shared" ca="1" si="564"/>
        <v>0.21543700837562368</v>
      </c>
      <c r="HR159" s="450">
        <f t="shared" ca="1" si="564"/>
        <v>0.22208702895297738</v>
      </c>
      <c r="HS159" s="450">
        <f t="shared" ca="1" si="564"/>
        <v>0.22976726011704376</v>
      </c>
      <c r="HT159" s="450">
        <f t="shared" ca="1" si="564"/>
        <v>0.2386720555842809</v>
      </c>
      <c r="HU159" s="450">
        <f t="shared" ca="1" si="564"/>
        <v>0.24904278956085432</v>
      </c>
      <c r="HV159" s="450">
        <f t="shared" ca="1" si="564"/>
        <v>0.26118215092462782</v>
      </c>
      <c r="HW159" s="450">
        <f t="shared" ca="1" si="564"/>
        <v>0.27547372261607117</v>
      </c>
      <c r="HX159" s="450">
        <f t="shared" ca="1" si="564"/>
        <v>0.29240916731667688</v>
      </c>
      <c r="HY159" s="450">
        <f t="shared" ca="1" si="564"/>
        <v>0.31262653355409675</v>
      </c>
      <c r="HZ159" s="450">
        <f t="shared" ca="1" si="564"/>
        <v>0.33696510003496383</v>
      </c>
      <c r="IA159" s="450">
        <f t="shared" ca="1" si="564"/>
        <v>0.36654527714775575</v>
      </c>
      <c r="IB159" s="450" t="str">
        <f t="shared" si="563"/>
        <v/>
      </c>
      <c r="IC159" s="450" t="str">
        <f t="shared" si="563"/>
        <v/>
      </c>
      <c r="ID159" s="450" t="str">
        <f t="shared" si="563"/>
        <v/>
      </c>
      <c r="IE159" s="450" t="str">
        <f t="shared" si="563"/>
        <v/>
      </c>
      <c r="IF159" s="450" t="str">
        <f t="shared" si="563"/>
        <v/>
      </c>
      <c r="IG159" s="450" t="str">
        <f t="shared" si="563"/>
        <v/>
      </c>
      <c r="IH159" s="658" t="str">
        <f t="shared" si="563"/>
        <v/>
      </c>
      <c r="II159" s="242"/>
    </row>
    <row r="160" spans="8:243">
      <c r="H160" s="49" t="e">
        <f t="shared" ca="1" si="529"/>
        <v>#N/A</v>
      </c>
      <c r="I160" s="369">
        <f t="shared" si="530"/>
        <v>41275</v>
      </c>
      <c r="J160" s="367">
        <v>22.884999999999902</v>
      </c>
      <c r="K160" s="101" t="s">
        <v>267</v>
      </c>
      <c r="L160" s="382">
        <f t="shared" si="531"/>
        <v>22.884999999999931</v>
      </c>
      <c r="M160" s="163">
        <v>0.15510000000000002</v>
      </c>
      <c r="N160" s="372">
        <v>0</v>
      </c>
      <c r="O160" s="163">
        <f t="shared" si="488"/>
        <v>0.15510000000000002</v>
      </c>
      <c r="P160" s="367">
        <v>21.637439479441902</v>
      </c>
      <c r="Q160" s="101" t="s">
        <v>267</v>
      </c>
      <c r="R160" s="367">
        <f t="shared" ca="1" si="549"/>
        <v>21.637439479441856</v>
      </c>
      <c r="S160" s="814">
        <f t="shared" si="474"/>
        <v>0.35236693429469368</v>
      </c>
      <c r="T160" s="813">
        <f t="shared" si="550"/>
        <v>0.99999996935309021</v>
      </c>
      <c r="U160" s="532">
        <f t="shared" si="551"/>
        <v>0.99999999999999978</v>
      </c>
      <c r="V160" s="379">
        <v>0</v>
      </c>
      <c r="W160" s="424">
        <f t="shared" si="489"/>
        <v>22.920227272727175</v>
      </c>
      <c r="X160" s="405">
        <f t="shared" si="490"/>
        <v>22.9202272727272</v>
      </c>
      <c r="Y160" s="313">
        <f t="shared" si="491"/>
        <v>21.704227272727174</v>
      </c>
      <c r="Z160" s="313">
        <f t="shared" ca="1" si="492"/>
        <v>21.704227272727199</v>
      </c>
      <c r="AA160" s="419">
        <f t="shared" si="493"/>
        <v>1.216</v>
      </c>
      <c r="AB160" s="423">
        <f t="shared" ca="1" si="494"/>
        <v>1.216</v>
      </c>
      <c r="AC160" s="221">
        <v>41263</v>
      </c>
      <c r="AD160" s="221">
        <v>41259</v>
      </c>
      <c r="AE160" s="221">
        <v>41258</v>
      </c>
      <c r="AF160" s="221">
        <v>41254</v>
      </c>
      <c r="AG160" s="241" t="s">
        <v>497</v>
      </c>
      <c r="AH160" s="239" t="s">
        <v>497</v>
      </c>
      <c r="AI160" s="141">
        <v>22</v>
      </c>
      <c r="AJ160" s="41">
        <v>13</v>
      </c>
      <c r="AK160" s="41">
        <v>9</v>
      </c>
      <c r="AL160" s="285">
        <v>22</v>
      </c>
      <c r="AM160" s="41">
        <v>9</v>
      </c>
      <c r="AN160" s="142">
        <v>13</v>
      </c>
      <c r="AO160" s="364">
        <v>6.0213640318383298E-2</v>
      </c>
      <c r="AP160" s="145">
        <f t="shared" ca="1" si="532"/>
        <v>0.49616072016494361</v>
      </c>
      <c r="AQ160" s="364">
        <v>5.2165524924765901E-2</v>
      </c>
      <c r="AR160" s="145">
        <f t="shared" ca="1" si="552"/>
        <v>0.54777597557697288</v>
      </c>
      <c r="AS160" s="264">
        <f t="shared" si="495"/>
        <v>0.15453636363636364</v>
      </c>
      <c r="AT160" s="149">
        <f t="shared" si="533"/>
        <v>0.15510000000000002</v>
      </c>
      <c r="AU160" s="149">
        <f t="shared" si="496"/>
        <v>0.15446363636363639</v>
      </c>
      <c r="AV160" s="263">
        <f t="shared" ca="1" si="560"/>
        <v>0.15279902676534651</v>
      </c>
      <c r="AW160" s="150" t="str">
        <f t="shared" ca="1" si="497"/>
        <v/>
      </c>
      <c r="AX160" s="149">
        <f t="shared" ca="1" si="553"/>
        <v>9.0185777858881478E-3</v>
      </c>
      <c r="AY160" s="149">
        <f t="shared" ca="1" si="554"/>
        <v>3.4373462393378551E-3</v>
      </c>
      <c r="AZ160" s="149">
        <f t="shared" ca="1" si="555"/>
        <v>2.9345934066705381E-3</v>
      </c>
      <c r="BA160" s="149">
        <f t="shared" ca="1" si="556"/>
        <v>1.0000000000000616E-4</v>
      </c>
      <c r="BB160" s="149">
        <f t="shared" ca="1" si="557"/>
        <v>1.0000000000000616E-4</v>
      </c>
      <c r="BC160" s="149">
        <f t="shared" ca="1" si="558"/>
        <v>1.0000000000000616E-4</v>
      </c>
      <c r="BD160" s="143">
        <f t="shared" ca="1" si="498"/>
        <v>0</v>
      </c>
      <c r="BE160" s="144">
        <f t="shared" ca="1" si="499"/>
        <v>0</v>
      </c>
      <c r="BF160" s="40">
        <f t="shared" si="500"/>
        <v>2013</v>
      </c>
      <c r="BG160" s="139">
        <f t="shared" si="501"/>
        <v>1</v>
      </c>
      <c r="BH160" s="140">
        <f t="shared" ca="1" si="502"/>
        <v>4269</v>
      </c>
      <c r="BI160" s="304">
        <f t="shared" ca="1" si="440"/>
        <v>11.731690622861054</v>
      </c>
      <c r="BJ160" s="42">
        <f t="shared" ca="1" si="503"/>
        <v>11.780225250451123</v>
      </c>
      <c r="BK160" s="42">
        <f t="shared" ca="1" si="504"/>
        <v>11.782963101238256</v>
      </c>
      <c r="BL160" s="42">
        <f t="shared" ca="1" si="441"/>
        <v>11.813826146475018</v>
      </c>
      <c r="BM160" s="285">
        <f t="shared" si="442"/>
        <v>22</v>
      </c>
      <c r="BN160" s="41">
        <f t="shared" si="443"/>
        <v>13</v>
      </c>
      <c r="BO160" s="41">
        <f t="shared" si="444"/>
        <v>9</v>
      </c>
      <c r="BP160" s="297" t="str">
        <f t="shared" ca="1" si="505"/>
        <v/>
      </c>
      <c r="BQ160" s="297" t="str">
        <f t="shared" ca="1" si="506"/>
        <v/>
      </c>
      <c r="BR160" s="299" t="str">
        <f t="shared" ca="1" si="507"/>
        <v/>
      </c>
      <c r="BS160" s="153" t="str">
        <f t="shared" ca="1" si="508"/>
        <v/>
      </c>
      <c r="BT160" s="153" t="str">
        <f t="shared" ca="1" si="509"/>
        <v/>
      </c>
      <c r="BU160" s="300" t="str">
        <f t="shared" ca="1" si="510"/>
        <v/>
      </c>
      <c r="BV160" s="301" t="str">
        <f t="shared" ca="1" si="511"/>
        <v/>
      </c>
      <c r="BW160" s="300" t="str">
        <f t="shared" ca="1" si="512"/>
        <v/>
      </c>
      <c r="BX160" s="301" t="str">
        <f t="shared" ca="1" si="513"/>
        <v/>
      </c>
      <c r="BY160" s="146" t="str">
        <f t="shared" ca="1" si="514"/>
        <v/>
      </c>
      <c r="BZ160" s="146" t="str">
        <f t="shared" ca="1" si="515"/>
        <v/>
      </c>
      <c r="CA160" s="146" t="str">
        <f t="shared" ca="1" si="516"/>
        <v/>
      </c>
      <c r="CB160" s="146" t="str">
        <f t="shared" ca="1" si="517"/>
        <v/>
      </c>
      <c r="CC160" s="302">
        <v>1</v>
      </c>
      <c r="CD160" s="154">
        <f ca="1">IF(BD160,_xll.xCrudeAPO(BS160,BT160,BY160,BZ160,S161,S162,BI160,BL160,BN160,BO160,0,Strike1,AO160,CC160,0,BL160,IF(OptControl=4,0,1),0,1),0)</f>
        <v>0</v>
      </c>
      <c r="CE160" s="155">
        <f ca="1">IF(BD160,_xll.xCrudeAPO(BS160,BT160,BY160,BZ160,S161,S162,BI160,BL160,BN160,BO160,0,Strike1,AO160,CC160,0,BL160,IF(OptControl=4,0,1),1,1)+_xll.xCrudeAPO(BS160,BT160,BY160,BZ160,S161,S162,BI160,BL160,BN160,BO160,0,Strike1,AO160,CC160,0,BL160,IF(OptControl=4,0,1),1,2)+IF(OR(VolSkewFlag=2,ABS(BQ160)&lt;0.0001),0,IF(BQ160&gt;0,-1,1)*CF160*Strike1/BP160^2*BW160/10%),0)</f>
        <v>0</v>
      </c>
      <c r="CF160" s="155">
        <f ca="1">IF(BD160,(_xll.xCrudeAPO(BS160,BT160,BY160,BZ160,S161,S162,BI160,BL160,BN160,BO160,0,Strike1,AO160,CC160,0,BL160,IF(OptControl=4,0,1),3,1)+_xll.xCrudeAPO(BS160,BT160,BY160,BZ160,S161,S162,BI160,BL160,BN160,BO160,0,Strike1,AO160,CC160,0,BL160,IF(OptControl=4,0,1),3,2))/100,0)</f>
        <v>0</v>
      </c>
      <c r="CG160" s="155">
        <f ca="1">IF(BD160,_xll.xCrudeAPO(BS160,BT160,BY160,BZ160,S161,S162,BI160-DaysForThetaCalculation/365.25,BL160-DaysForThetaCalculation/365.25,BN160,BO160,0,Strike1,AO160,CC160,0,BL160,IF(OptControl=4,0,1),0,1)-_xll.xCrudeAPO(BS160,BT160,BY160,BZ160,S161,S162,BI160,BL160,BN160,BO160,0,Strike1,AO160,CC160,0,BL160,IF(OptControl=4,0,1),0,1),0)</f>
        <v>0</v>
      </c>
      <c r="CH160" s="303">
        <f ca="1">IF(BD160,_xll.xCrudeAPO(BS160,BT160,CA160,CB160,S161,S162,BI160,BL160,BN160,BO160,0,Strike2,AO160,CC160,0,BL160,IF(OptControl=3,1,0),0,1),0)</f>
        <v>0</v>
      </c>
      <c r="CI160" s="155">
        <f ca="1">IF(BD160,_xll.xCrudeAPO(BS160,BT160,CA160,CB160,S161,S162,BI160,BL160,BN160,BO160,0,Strike2,AO160,CC160,0,BL160,IF(OptControl=3,1,0),1,1)+_xll.xCrudeAPO(BS160,BT160,CA160,CB160,S161,S162,BI160,BL160,BN160,BO160,0,Strike2,AO160,CC160,0,BL160,IF(OptControl=3,1,0),1,2)+IF(OR(VolSkewFlag=2,ABS(BR160)&lt;0.0001),0,IF(BR160&gt;0,-1,1)*CJ160*Strike2/BP160^2*BX160/10%),0)</f>
        <v>0</v>
      </c>
      <c r="CJ160" s="155">
        <f ca="1">IF(BD160,(_xll.xCrudeAPO(BS160,BT160,CA160,CB160,S161,S162,BI160,BL160,BN160,BO160,0,Strike2,AO160,CC160,0,BL160,IF(OptControl=3,1,0),3,1)+_xll.xCrudeAPO(BS160,BT160,CA160,CB160,S161,S162,BI160,BL160,BN160,BO160,0,Strike2,AO160,CC160,0,BL160,IF(OptControl=3,1,0),3,2))/100,0)</f>
        <v>0</v>
      </c>
      <c r="CK160" s="156">
        <f ca="1">IF(BD160,_xll.xCrudeAPO(BS160,BT160,CA160,CB160,S161,S162,BI160-DaysForThetaCalculation/365.25,BL160-DaysForThetaCalculation/365.25,BN160,BO160,0,Strike2,AO160,CC160,0,BL160,IF(OptControl=3,1,0),0,1)-_xll.xCrudeAPO(BS160,BT160,CA160,CB160,S161,S162,BI160,BL160,BN160,BO160,0,Strike2,AO160,CC160,0,BL160,IF(OptControl=3,1,0),0,1),0)</f>
        <v>0</v>
      </c>
      <c r="CL160" s="51"/>
      <c r="CM160" s="779" t="str">
        <f t="shared" ca="1" si="534"/>
        <v/>
      </c>
      <c r="CN160" s="783" t="str">
        <f t="shared" ca="1" si="535"/>
        <v/>
      </c>
      <c r="CO160" s="780" t="str">
        <f t="shared" ca="1" si="536"/>
        <v/>
      </c>
      <c r="CP160" s="780" t="str">
        <f t="shared" ca="1" si="537"/>
        <v/>
      </c>
      <c r="CQ160" s="780" t="str">
        <f t="shared" ca="1" si="538"/>
        <v/>
      </c>
      <c r="CR160" s="780" t="str">
        <f t="shared" ca="1" si="539"/>
        <v/>
      </c>
      <c r="CS160" s="781" t="str">
        <f t="shared" ca="1" si="540"/>
        <v/>
      </c>
      <c r="CT160" s="782" t="str">
        <f t="shared" ca="1" si="541"/>
        <v/>
      </c>
      <c r="CU160" s="782" t="str">
        <f t="shared" ca="1" si="542"/>
        <v/>
      </c>
      <c r="CV160" s="155">
        <f ca="1">IF(BD160,_xll.EURO(CN160,Strike1,AO160,AO160,CT160,CM160,IF(OptControl=4,0,1),0),0)</f>
        <v>0</v>
      </c>
      <c r="CW160" s="155">
        <f ca="1">IF(BD160,_xll.EURO(CN160,Strike1,AO160,AO160,CT160,CM160,IF(OptControl=4,0,1),1)+IF(OR(VolSkewFlag=2,ABS(CO160)&lt;0.0001),0,IF(CO160&gt;0,-1,1)*CX160*100*Strike1/CN160^2*CQ160/10%),0)</f>
        <v>0</v>
      </c>
      <c r="CX160" s="155">
        <f ca="1">IF(BD160,_xll.EURO(CN160,Strike1,AO160,AO160,CT160,CM160,IF(OptControl=4,0,1),3)/100,0)</f>
        <v>0</v>
      </c>
      <c r="CY160" s="155">
        <f ca="1">IF(BD160,_xll.EURO(CN160,Strike1,AO160,AO160,CT160,CM160,IF(OptControl=4,0,1),0)-_xll.EURO(CN160,Strike1,AO160,AO160,CT160,CM160-1,IF(OptControl=4,0,1),0),0)</f>
        <v>0</v>
      </c>
      <c r="CZ160" s="155">
        <f ca="1">IF(BD160,_xll.EURO(CN160,Strike2,AO160,AO160,CU160,CM160,IF(OptControl=3,1,0),0),0)</f>
        <v>0</v>
      </c>
      <c r="DA160" s="155">
        <f ca="1">IF(BD160,_xll.EURO(CN160,Strike2,AO160,AO160,CU160,CM160,IF(OptControl=3,1,0),1)+IF(OR(VolSkewFlag=2,ABS(CP160)&lt;0.0001),0,IF(CP160&gt;0,-1,1)*DB160*100*Strike2/CN160^2*CR160/10%),0)</f>
        <v>0</v>
      </c>
      <c r="DB160" s="155">
        <f ca="1">IF(BD160,_xll.EURO(CN160,Strike2,AO160,AO160,CU160,CM160,IF(OptControl=3,1,0),3)/100,0)</f>
        <v>0</v>
      </c>
      <c r="DC160" s="156">
        <f ca="1">IF(BD160,_xll.EURO(CN160,Strike2,AO160,AO160,CU160,CM160,IF(OptControl=3,1,0),0)-_xll.EURO(CN160,Strike2,AO160,AO160,CU160,CM160-1,IF(OptControl=3,1,0),0),0)</f>
        <v>0</v>
      </c>
      <c r="DE160" s="651">
        <f t="shared" ca="1" si="543"/>
        <v>41183</v>
      </c>
      <c r="DF160" s="465">
        <v>1E-4</v>
      </c>
      <c r="DG160" s="649">
        <v>1E-4</v>
      </c>
      <c r="DH160" s="650">
        <f t="shared" ca="1" si="518"/>
        <v>41183</v>
      </c>
      <c r="DI160" s="465">
        <v>1E-4</v>
      </c>
      <c r="DJ160" s="649">
        <v>1E-4</v>
      </c>
      <c r="DK160" s="651">
        <f t="shared" ca="1" si="519"/>
        <v>41183</v>
      </c>
      <c r="DL160" s="652">
        <f t="shared" si="520"/>
        <v>5.0100000000000006E-2</v>
      </c>
      <c r="DM160" s="651">
        <f t="shared" ca="1" si="544"/>
        <v>41183</v>
      </c>
      <c r="DN160" s="563">
        <f t="shared" si="545"/>
        <v>-0.12990000000000002</v>
      </c>
      <c r="DO160" s="803">
        <v>-0.13</v>
      </c>
      <c r="DP160" s="650">
        <f t="shared" ca="1" si="521"/>
        <v>41183</v>
      </c>
      <c r="DQ160" s="653">
        <v>1E-4</v>
      </c>
      <c r="DR160" s="590">
        <v>1E-4</v>
      </c>
      <c r="DS160" s="650">
        <f t="shared" ca="1" si="522"/>
        <v>41183</v>
      </c>
      <c r="DT160" s="653">
        <v>1E-4</v>
      </c>
      <c r="DU160" s="590">
        <v>1E-4</v>
      </c>
      <c r="DV160" s="651">
        <f t="shared" ca="1" si="523"/>
        <v>41183</v>
      </c>
      <c r="DW160" s="590">
        <v>1E-4</v>
      </c>
      <c r="DX160" s="651">
        <f t="shared" ca="1" si="546"/>
        <v>41183</v>
      </c>
      <c r="DY160" s="590">
        <f t="shared" si="547"/>
        <v>1E-4</v>
      </c>
      <c r="DZ160" s="1"/>
      <c r="EA160" s="857"/>
      <c r="EB160" s="857"/>
      <c r="EC160" s="857"/>
      <c r="ED160" s="868" t="e">
        <f t="shared" ref="ED160:ED223" ca="1" si="566">ED159</f>
        <v>#NAME?</v>
      </c>
      <c r="EE160" s="863" t="e">
        <f t="shared" ca="1" si="524"/>
        <v>#NAME?</v>
      </c>
      <c r="EF160" s="590" t="e">
        <f t="shared" ca="1" si="525"/>
        <v>#NAME?</v>
      </c>
      <c r="EG160" s="862" t="str">
        <f t="shared" ca="1" si="526"/>
        <v/>
      </c>
      <c r="EH160" s="114" t="str">
        <f t="shared" ca="1" si="527"/>
        <v/>
      </c>
      <c r="EI160" s="109" t="str">
        <f t="shared" ca="1" si="528"/>
        <v/>
      </c>
      <c r="EJ160" s="115">
        <f ca="1">IF(BD160,_xll.xASN(BP160,Strike1,AO160,EH160,0,BM160,0,BI160,BL160,IF(OptControl=4,0,1),0),0)</f>
        <v>0</v>
      </c>
      <c r="EK160" s="108">
        <f ca="1">IF(BD160,_xll.xASN(BP160,Strike2,AO160,EI160,0,BM160,0,BI160,BL160,IF(OptControl=3,1,0),0),0)</f>
        <v>0</v>
      </c>
      <c r="EP160" s="53"/>
      <c r="EQ160" s="1"/>
      <c r="ER160" s="103"/>
      <c r="ES160" s="103"/>
      <c r="ET160" s="1"/>
      <c r="EU160" s="667" t="s">
        <v>372</v>
      </c>
      <c r="EW160" s="445"/>
      <c r="EX160" s="36"/>
      <c r="EY160" s="104"/>
      <c r="EZ160" s="465"/>
      <c r="FA160" s="446"/>
      <c r="FB160" s="446"/>
      <c r="FC160" s="242"/>
      <c r="FD160" s="242"/>
      <c r="FE160" s="242"/>
      <c r="FF160" s="242"/>
      <c r="FG160" s="242"/>
      <c r="FH160" s="242"/>
      <c r="FI160" s="242"/>
      <c r="FJ160" s="242"/>
      <c r="FK160" s="242"/>
      <c r="FL160" s="242"/>
      <c r="FM160" s="242"/>
      <c r="FN160" s="657">
        <v>66</v>
      </c>
      <c r="FO160" s="450">
        <f t="shared" ca="1" si="565"/>
        <v>0.17277652283123265</v>
      </c>
      <c r="FP160" s="450">
        <f t="shared" ref="FP160:GD160" ca="1" si="567">IF($FN85&lt;FP$94,"",SQRT(FP85/FP$15))</f>
        <v>0.17274244197617086</v>
      </c>
      <c r="FQ160" s="450">
        <f t="shared" ca="1" si="567"/>
        <v>0.17253862232017481</v>
      </c>
      <c r="FR160" s="450">
        <f t="shared" ca="1" si="567"/>
        <v>0.17233893286410293</v>
      </c>
      <c r="FS160" s="450">
        <f t="shared" ca="1" si="567"/>
        <v>0.17214356282116297</v>
      </c>
      <c r="FT160" s="450">
        <f t="shared" ca="1" si="567"/>
        <v>0.17195272500695158</v>
      </c>
      <c r="FU160" s="450">
        <f t="shared" ca="1" si="567"/>
        <v>0.17176665844179495</v>
      </c>
      <c r="FV160" s="450">
        <f t="shared" ca="1" si="567"/>
        <v>0.17158563124709761</v>
      </c>
      <c r="FW160" s="450">
        <f t="shared" ca="1" si="567"/>
        <v>0.17140994386974356</v>
      </c>
      <c r="FX160" s="450">
        <f t="shared" ca="1" si="567"/>
        <v>0.17123993267273413</v>
      </c>
      <c r="FY160" s="450">
        <f t="shared" ca="1" si="567"/>
        <v>0.17107597393493199</v>
      </c>
      <c r="FZ160" s="450">
        <f t="shared" ca="1" si="567"/>
        <v>0.17091848830809475</v>
      </c>
      <c r="GA160" s="450">
        <f t="shared" ca="1" si="567"/>
        <v>0.17076794578541643</v>
      </c>
      <c r="GB160" s="450">
        <f t="shared" ca="1" si="567"/>
        <v>0.17062487124267955</v>
      </c>
      <c r="GC160" s="450">
        <f t="shared" ca="1" si="567"/>
        <v>0.17048985062095634</v>
      </c>
      <c r="GD160" s="450">
        <f t="shared" ca="1" si="567"/>
        <v>0.17036353782878189</v>
      </c>
      <c r="GE160" s="450">
        <f t="shared" ca="1" si="564"/>
        <v>0.17024666245201306</v>
      </c>
      <c r="GF160" s="450">
        <f t="shared" ca="1" si="564"/>
        <v>0.17014003837141525</v>
      </c>
      <c r="GG160" s="450">
        <f t="shared" ca="1" si="564"/>
        <v>0.17004457340167065</v>
      </c>
      <c r="GH160" s="450">
        <f t="shared" ca="1" si="564"/>
        <v>0.16996128008126715</v>
      </c>
      <c r="GI160" s="450">
        <f t="shared" ca="1" si="564"/>
        <v>0.16989128776102486</v>
      </c>
      <c r="GJ160" s="450">
        <f t="shared" ca="1" si="564"/>
        <v>0.1698358561602975</v>
      </c>
      <c r="GK160" s="450">
        <f t="shared" ca="1" si="564"/>
        <v>0.1697963905847209</v>
      </c>
      <c r="GL160" s="450">
        <f t="shared" ca="1" si="564"/>
        <v>0.16977445902847302</v>
      </c>
      <c r="GM160" s="450">
        <f t="shared" ca="1" si="564"/>
        <v>0.16977181141818831</v>
      </c>
      <c r="GN160" s="450">
        <f t="shared" ca="1" si="564"/>
        <v>0.1697904012959853</v>
      </c>
      <c r="GO160" s="450">
        <f t="shared" ca="1" si="564"/>
        <v>0.16983241028678167</v>
      </c>
      <c r="GP160" s="450">
        <f t="shared" ca="1" si="564"/>
        <v>0.16990027575177155</v>
      </c>
      <c r="GQ160" s="450">
        <f t="shared" ca="1" si="564"/>
        <v>0.16999672209755037</v>
      </c>
      <c r="GR160" s="450">
        <f t="shared" ca="1" si="564"/>
        <v>0.17012479629133764</v>
      </c>
      <c r="GS160" s="450">
        <f t="shared" ca="1" si="564"/>
        <v>0.1702879082300611</v>
      </c>
      <c r="GT160" s="450">
        <f t="shared" ca="1" si="564"/>
        <v>0.17048987672851248</v>
      </c>
      <c r="GU160" s="450">
        <f t="shared" ca="1" si="564"/>
        <v>0.17073498203411561</v>
      </c>
      <c r="GV160" s="450">
        <f t="shared" ca="1" si="564"/>
        <v>0.17102802594903202</v>
      </c>
      <c r="GW160" s="450">
        <f t="shared" ca="1" si="564"/>
        <v>0.17137440085197561</v>
      </c>
      <c r="GX160" s="450">
        <f t="shared" ca="1" si="564"/>
        <v>0.17178016917184932</v>
      </c>
      <c r="GY160" s="450">
        <f t="shared" ca="1" si="564"/>
        <v>0.17225215518550951</v>
      </c>
      <c r="GZ160" s="450">
        <f t="shared" ca="1" si="564"/>
        <v>0.1727980514084424</v>
      </c>
      <c r="HA160" s="450">
        <f t="shared" ca="1" si="564"/>
        <v>0.1734265423403662</v>
      </c>
      <c r="HB160" s="450">
        <f t="shared" ca="1" si="564"/>
        <v>0.17414744894428183</v>
      </c>
      <c r="HC160" s="450">
        <f t="shared" ca="1" si="564"/>
        <v>0.17497189801189189</v>
      </c>
      <c r="HD160" s="450">
        <f t="shared" ca="1" si="564"/>
        <v>0.17591252154599751</v>
      </c>
      <c r="HE160" s="450">
        <f t="shared" ca="1" si="564"/>
        <v>0.17698369253135285</v>
      </c>
      <c r="HF160" s="450">
        <f t="shared" ca="1" si="564"/>
        <v>0.17820180504905297</v>
      </c>
      <c r="HG160" s="450">
        <f t="shared" ca="1" si="564"/>
        <v>0.17958560872212709</v>
      </c>
      <c r="HH160" s="450">
        <f t="shared" ca="1" si="564"/>
        <v>0.18115661010462999</v>
      </c>
      <c r="HI160" s="450">
        <f t="shared" ca="1" si="564"/>
        <v>0.18293955703699974</v>
      </c>
      <c r="HJ160" s="450">
        <f t="shared" ca="1" si="564"/>
        <v>0.18496302645146406</v>
      </c>
      <c r="HK160" s="450">
        <f t="shared" ca="1" si="564"/>
        <v>0.18726014198716229</v>
      </c>
      <c r="HL160" s="450">
        <f t="shared" ca="1" si="564"/>
        <v>0.18986945557105725</v>
      </c>
      <c r="HM160" s="450">
        <f t="shared" ca="1" si="564"/>
        <v>0.19283603754565301</v>
      </c>
      <c r="HN160" s="450">
        <f t="shared" ca="1" si="564"/>
        <v>0.19621283397850198</v>
      </c>
      <c r="HO160" s="450">
        <f t="shared" ca="1" si="564"/>
        <v>0.20006236889911491</v>
      </c>
      <c r="HP160" s="450">
        <f t="shared" ca="1" si="564"/>
        <v>0.20445889543429674</v>
      </c>
      <c r="HQ160" s="450">
        <f t="shared" ca="1" si="564"/>
        <v>0.20949113615243367</v>
      </c>
      <c r="HR160" s="450">
        <f t="shared" ca="1" si="564"/>
        <v>0.2152658038022062</v>
      </c>
      <c r="HS160" s="450">
        <f t="shared" ca="1" si="564"/>
        <v>0.22191216563870247</v>
      </c>
      <c r="HT160" s="450">
        <f t="shared" ca="1" si="564"/>
        <v>0.22958801764128639</v>
      </c>
      <c r="HU160" s="450">
        <f t="shared" ca="1" si="564"/>
        <v>0.23848758442210621</v>
      </c>
      <c r="HV160" s="450">
        <f t="shared" ca="1" si="564"/>
        <v>0.24885208025913735</v>
      </c>
      <c r="HW160" s="450">
        <f t="shared" ca="1" si="564"/>
        <v>0.26098399398370054</v>
      </c>
      <c r="HX160" s="450">
        <f t="shared" ca="1" si="564"/>
        <v>0.27526665566513386</v>
      </c>
      <c r="HY160" s="450">
        <f t="shared" ca="1" si="564"/>
        <v>0.2921914046828028</v>
      </c>
      <c r="HZ160" s="450">
        <f t="shared" ca="1" si="564"/>
        <v>0.31239587107562589</v>
      </c>
      <c r="IA160" s="450">
        <f t="shared" ca="1" si="564"/>
        <v>0.33671878450967857</v>
      </c>
      <c r="IB160" s="450">
        <f t="shared" ca="1" si="563"/>
        <v>0.36627982437627821</v>
      </c>
      <c r="IC160" s="450" t="str">
        <f t="shared" si="563"/>
        <v/>
      </c>
      <c r="ID160" s="450" t="str">
        <f t="shared" si="563"/>
        <v/>
      </c>
      <c r="IE160" s="450" t="str">
        <f t="shared" si="563"/>
        <v/>
      </c>
      <c r="IF160" s="450" t="str">
        <f t="shared" si="563"/>
        <v/>
      </c>
      <c r="IG160" s="450" t="str">
        <f t="shared" si="563"/>
        <v/>
      </c>
      <c r="IH160" s="658" t="str">
        <f t="shared" si="563"/>
        <v/>
      </c>
      <c r="II160" s="242"/>
    </row>
    <row r="161" spans="8:243">
      <c r="H161" s="49" t="e">
        <f t="shared" ca="1" si="529"/>
        <v>#N/A</v>
      </c>
      <c r="I161" s="369">
        <f t="shared" si="530"/>
        <v>41306</v>
      </c>
      <c r="J161" s="367">
        <v>22.909999999999901</v>
      </c>
      <c r="K161" s="101" t="s">
        <v>267</v>
      </c>
      <c r="L161" s="382">
        <f t="shared" si="531"/>
        <v>22.909999999999929</v>
      </c>
      <c r="M161" s="163">
        <v>0.1547</v>
      </c>
      <c r="N161" s="372">
        <v>0</v>
      </c>
      <c r="O161" s="163">
        <f t="shared" si="488"/>
        <v>0.1547</v>
      </c>
      <c r="P161" s="367">
        <v>21.664360520558002</v>
      </c>
      <c r="Q161" s="101" t="s">
        <v>267</v>
      </c>
      <c r="R161" s="367">
        <f t="shared" ca="1" si="549"/>
        <v>21.664360520557999</v>
      </c>
      <c r="S161" s="814">
        <f t="shared" si="474"/>
        <v>0.35224326495174674</v>
      </c>
      <c r="T161" s="813">
        <f t="shared" si="550"/>
        <v>0.99999997241778127</v>
      </c>
      <c r="U161" s="532">
        <f t="shared" si="551"/>
        <v>0.99999999999999978</v>
      </c>
      <c r="V161" s="379">
        <v>0</v>
      </c>
      <c r="W161" s="424">
        <f t="shared" si="489"/>
        <v>22.942499999999903</v>
      </c>
      <c r="X161" s="405">
        <f t="shared" si="490"/>
        <v>22.942499999999928</v>
      </c>
      <c r="Y161" s="313">
        <f t="shared" si="491"/>
        <v>21.726499999999902</v>
      </c>
      <c r="Z161" s="313">
        <f t="shared" ca="1" si="492"/>
        <v>21.726499999999927</v>
      </c>
      <c r="AA161" s="419">
        <f t="shared" si="493"/>
        <v>1.216</v>
      </c>
      <c r="AB161" s="423">
        <f t="shared" ca="1" si="494"/>
        <v>1.216</v>
      </c>
      <c r="AC161" s="221">
        <v>41294</v>
      </c>
      <c r="AD161" s="221">
        <v>41290</v>
      </c>
      <c r="AE161" s="221">
        <v>41289</v>
      </c>
      <c r="AF161" s="221">
        <v>41285</v>
      </c>
      <c r="AG161" s="241" t="s">
        <v>497</v>
      </c>
      <c r="AH161" s="239" t="s">
        <v>497</v>
      </c>
      <c r="AI161" s="141">
        <v>20</v>
      </c>
      <c r="AJ161" s="41">
        <v>14</v>
      </c>
      <c r="AK161" s="41">
        <v>6</v>
      </c>
      <c r="AL161" s="285">
        <v>20</v>
      </c>
      <c r="AM161" s="41">
        <v>10</v>
      </c>
      <c r="AN161" s="142">
        <v>10</v>
      </c>
      <c r="AO161" s="364">
        <v>6.0258962861686499E-2</v>
      </c>
      <c r="AP161" s="145">
        <f t="shared" ca="1" si="532"/>
        <v>0.49365105997292674</v>
      </c>
      <c r="AQ161" s="364">
        <v>5.2272552647029402E-2</v>
      </c>
      <c r="AR161" s="145">
        <f t="shared" ca="1" si="552"/>
        <v>0.54471773370750709</v>
      </c>
      <c r="AS161" s="264">
        <f t="shared" si="495"/>
        <v>0.15418000000000001</v>
      </c>
      <c r="AT161" s="149">
        <f t="shared" si="533"/>
        <v>0.1547</v>
      </c>
      <c r="AU161" s="149">
        <f t="shared" si="496"/>
        <v>0.15410000000000001</v>
      </c>
      <c r="AV161" s="263">
        <f t="shared" ca="1" si="560"/>
        <v>0.15233149559987139</v>
      </c>
      <c r="AW161" s="150" t="str">
        <f t="shared" ca="1" si="497"/>
        <v/>
      </c>
      <c r="AX161" s="149">
        <f t="shared" ca="1" si="553"/>
        <v>8.8918828775975817E-3</v>
      </c>
      <c r="AY161" s="149">
        <f t="shared" ca="1" si="554"/>
        <v>3.3782037119920081E-3</v>
      </c>
      <c r="AZ161" s="149">
        <f t="shared" ca="1" si="555"/>
        <v>2.8996191874951114E-3</v>
      </c>
      <c r="BA161" s="149">
        <f t="shared" ca="1" si="556"/>
        <v>1.0000000000000624E-4</v>
      </c>
      <c r="BB161" s="149">
        <f t="shared" ca="1" si="557"/>
        <v>1.0000000000000624E-4</v>
      </c>
      <c r="BC161" s="149">
        <f t="shared" ca="1" si="558"/>
        <v>1.0000000000000624E-4</v>
      </c>
      <c r="BD161" s="143">
        <f t="shared" ca="1" si="498"/>
        <v>0</v>
      </c>
      <c r="BE161" s="144">
        <f t="shared" ca="1" si="499"/>
        <v>0</v>
      </c>
      <c r="BF161" s="40">
        <f t="shared" si="500"/>
        <v>2013</v>
      </c>
      <c r="BG161" s="139">
        <f t="shared" si="501"/>
        <v>2</v>
      </c>
      <c r="BH161" s="140">
        <f t="shared" ca="1" si="502"/>
        <v>4300</v>
      </c>
      <c r="BI161" s="304">
        <f t="shared" ca="1" si="440"/>
        <v>11.816563997262149</v>
      </c>
      <c r="BJ161" s="42">
        <f t="shared" ca="1" si="503"/>
        <v>11.868309377138946</v>
      </c>
      <c r="BK161" s="42">
        <f t="shared" ca="1" si="504"/>
        <v>11.871047227926079</v>
      </c>
      <c r="BL161" s="42">
        <f t="shared" ca="1" si="441"/>
        <v>11.890485968514716</v>
      </c>
      <c r="BM161" s="285">
        <f t="shared" si="442"/>
        <v>20</v>
      </c>
      <c r="BN161" s="41">
        <f t="shared" si="443"/>
        <v>14</v>
      </c>
      <c r="BO161" s="41">
        <f t="shared" si="444"/>
        <v>6</v>
      </c>
      <c r="BP161" s="297" t="str">
        <f t="shared" ca="1" si="505"/>
        <v/>
      </c>
      <c r="BQ161" s="297" t="str">
        <f t="shared" ca="1" si="506"/>
        <v/>
      </c>
      <c r="BR161" s="299" t="str">
        <f t="shared" ca="1" si="507"/>
        <v/>
      </c>
      <c r="BS161" s="153" t="str">
        <f t="shared" ca="1" si="508"/>
        <v/>
      </c>
      <c r="BT161" s="153" t="str">
        <f t="shared" ca="1" si="509"/>
        <v/>
      </c>
      <c r="BU161" s="300" t="str">
        <f t="shared" ca="1" si="510"/>
        <v/>
      </c>
      <c r="BV161" s="301" t="str">
        <f t="shared" ca="1" si="511"/>
        <v/>
      </c>
      <c r="BW161" s="300" t="str">
        <f t="shared" ca="1" si="512"/>
        <v/>
      </c>
      <c r="BX161" s="301" t="str">
        <f t="shared" ca="1" si="513"/>
        <v/>
      </c>
      <c r="BY161" s="146" t="str">
        <f t="shared" ca="1" si="514"/>
        <v/>
      </c>
      <c r="BZ161" s="146" t="str">
        <f t="shared" ca="1" si="515"/>
        <v/>
      </c>
      <c r="CA161" s="146" t="str">
        <f t="shared" ca="1" si="516"/>
        <v/>
      </c>
      <c r="CB161" s="146" t="str">
        <f t="shared" ca="1" si="517"/>
        <v/>
      </c>
      <c r="CC161" s="302">
        <v>1</v>
      </c>
      <c r="CD161" s="154">
        <f ca="1">IF(BD161,_xll.xCrudeAPO(BS161,BT161,BY161,BZ161,S162,S163,BI161,BL161,BN161,BO161,0,Strike1,AO161,CC161,0,BL161,IF(OptControl=4,0,1),0,1),0)</f>
        <v>0</v>
      </c>
      <c r="CE161" s="155">
        <f ca="1">IF(BD161,_xll.xCrudeAPO(BS161,BT161,BY161,BZ161,S162,S163,BI161,BL161,BN161,BO161,0,Strike1,AO161,CC161,0,BL161,IF(OptControl=4,0,1),1,1)+_xll.xCrudeAPO(BS161,BT161,BY161,BZ161,S162,S163,BI161,BL161,BN161,BO161,0,Strike1,AO161,CC161,0,BL161,IF(OptControl=4,0,1),1,2)+IF(OR(VolSkewFlag=2,ABS(BQ161)&lt;0.0001),0,IF(BQ161&gt;0,-1,1)*CF161*Strike1/BP161^2*BW161/10%),0)</f>
        <v>0</v>
      </c>
      <c r="CF161" s="155">
        <f ca="1">IF(BD161,(_xll.xCrudeAPO(BS161,BT161,BY161,BZ161,S162,S163,BI161,BL161,BN161,BO161,0,Strike1,AO161,CC161,0,BL161,IF(OptControl=4,0,1),3,1)+_xll.xCrudeAPO(BS161,BT161,BY161,BZ161,S162,S163,BI161,BL161,BN161,BO161,0,Strike1,AO161,CC161,0,BL161,IF(OptControl=4,0,1),3,2))/100,0)</f>
        <v>0</v>
      </c>
      <c r="CG161" s="155">
        <f ca="1">IF(BD161,_xll.xCrudeAPO(BS161,BT161,BY161,BZ161,S162,S163,BI161-DaysForThetaCalculation/365.25,BL161-DaysForThetaCalculation/365.25,BN161,BO161,0,Strike1,AO161,CC161,0,BL161,IF(OptControl=4,0,1),0,1)-_xll.xCrudeAPO(BS161,BT161,BY161,BZ161,S162,S163,BI161,BL161,BN161,BO161,0,Strike1,AO161,CC161,0,BL161,IF(OptControl=4,0,1),0,1),0)</f>
        <v>0</v>
      </c>
      <c r="CH161" s="303">
        <f ca="1">IF(BD161,_xll.xCrudeAPO(BS161,BT161,CA161,CB161,S162,S163,BI161,BL161,BN161,BO161,0,Strike2,AO161,CC161,0,BL161,IF(OptControl=3,1,0),0,1),0)</f>
        <v>0</v>
      </c>
      <c r="CI161" s="155">
        <f ca="1">IF(BD161,_xll.xCrudeAPO(BS161,BT161,CA161,CB161,S162,S163,BI161,BL161,BN161,BO161,0,Strike2,AO161,CC161,0,BL161,IF(OptControl=3,1,0),1,1)+_xll.xCrudeAPO(BS161,BT161,CA161,CB161,S162,S163,BI161,BL161,BN161,BO161,0,Strike2,AO161,CC161,0,BL161,IF(OptControl=3,1,0),1,2)+IF(OR(VolSkewFlag=2,ABS(BR161)&lt;0.0001),0,IF(BR161&gt;0,-1,1)*CJ161*Strike2/BP161^2*BX161/10%),0)</f>
        <v>0</v>
      </c>
      <c r="CJ161" s="155">
        <f ca="1">IF(BD161,(_xll.xCrudeAPO(BS161,BT161,CA161,CB161,S162,S163,BI161,BL161,BN161,BO161,0,Strike2,AO161,CC161,0,BL161,IF(OptControl=3,1,0),3,1)+_xll.xCrudeAPO(BS161,BT161,CA161,CB161,S162,S163,BI161,BL161,BN161,BO161,0,Strike2,AO161,CC161,0,BL161,IF(OptControl=3,1,0),3,2))/100,0)</f>
        <v>0</v>
      </c>
      <c r="CK161" s="156">
        <f ca="1">IF(BD161,_xll.xCrudeAPO(BS161,BT161,CA161,CB161,S162,S163,BI161-DaysForThetaCalculation/365.25,BL161-DaysForThetaCalculation/365.25,BN161,BO161,0,Strike2,AO161,CC161,0,BL161,IF(OptControl=3,1,0),0,1)-_xll.xCrudeAPO(BS161,BT161,CA161,CB161,S162,S163,BI161,BL161,BN161,BO161,0,Strike2,AO161,CC161,0,BL161,IF(OptControl=3,1,0),0,1),0)</f>
        <v>0</v>
      </c>
      <c r="CL161" s="51"/>
      <c r="CM161" s="779" t="str">
        <f t="shared" ca="1" si="534"/>
        <v/>
      </c>
      <c r="CN161" s="783" t="str">
        <f t="shared" ca="1" si="535"/>
        <v/>
      </c>
      <c r="CO161" s="780" t="str">
        <f t="shared" ca="1" si="536"/>
        <v/>
      </c>
      <c r="CP161" s="780" t="str">
        <f t="shared" ca="1" si="537"/>
        <v/>
      </c>
      <c r="CQ161" s="780" t="str">
        <f t="shared" ca="1" si="538"/>
        <v/>
      </c>
      <c r="CR161" s="780" t="str">
        <f t="shared" ca="1" si="539"/>
        <v/>
      </c>
      <c r="CS161" s="781" t="str">
        <f t="shared" ca="1" si="540"/>
        <v/>
      </c>
      <c r="CT161" s="782" t="str">
        <f t="shared" ca="1" si="541"/>
        <v/>
      </c>
      <c r="CU161" s="782" t="str">
        <f t="shared" ca="1" si="542"/>
        <v/>
      </c>
      <c r="CV161" s="155">
        <f ca="1">IF(BD161,_xll.EURO(CN161,Strike1,AO161,AO161,CT161,CM161,IF(OptControl=4,0,1),0),0)</f>
        <v>0</v>
      </c>
      <c r="CW161" s="155">
        <f ca="1">IF(BD161,_xll.EURO(CN161,Strike1,AO161,AO161,CT161,CM161,IF(OptControl=4,0,1),1)+IF(OR(VolSkewFlag=2,ABS(CO161)&lt;0.0001),0,IF(CO161&gt;0,-1,1)*CX161*100*Strike1/CN161^2*CQ161/10%),0)</f>
        <v>0</v>
      </c>
      <c r="CX161" s="155">
        <f ca="1">IF(BD161,_xll.EURO(CN161,Strike1,AO161,AO161,CT161,CM161,IF(OptControl=4,0,1),3)/100,0)</f>
        <v>0</v>
      </c>
      <c r="CY161" s="155">
        <f ca="1">IF(BD161,_xll.EURO(CN161,Strike1,AO161,AO161,CT161,CM161,IF(OptControl=4,0,1),0)-_xll.EURO(CN161,Strike1,AO161,AO161,CT161,CM161-1,IF(OptControl=4,0,1),0),0)</f>
        <v>0</v>
      </c>
      <c r="CZ161" s="155">
        <f ca="1">IF(BD161,_xll.EURO(CN161,Strike2,AO161,AO161,CU161,CM161,IF(OptControl=3,1,0),0),0)</f>
        <v>0</v>
      </c>
      <c r="DA161" s="155">
        <f ca="1">IF(BD161,_xll.EURO(CN161,Strike2,AO161,AO161,CU161,CM161,IF(OptControl=3,1,0),1)+IF(OR(VolSkewFlag=2,ABS(CP161)&lt;0.0001),0,IF(CP161&gt;0,-1,1)*DB161*100*Strike2/CN161^2*CR161/10%),0)</f>
        <v>0</v>
      </c>
      <c r="DB161" s="155">
        <f ca="1">IF(BD161,_xll.EURO(CN161,Strike2,AO161,AO161,CU161,CM161,IF(OptControl=3,1,0),3)/100,0)</f>
        <v>0</v>
      </c>
      <c r="DC161" s="156">
        <f ca="1">IF(BD161,_xll.EURO(CN161,Strike2,AO161,AO161,CU161,CM161,IF(OptControl=3,1,0),0)-_xll.EURO(CN161,Strike2,AO161,AO161,CU161,CM161-1,IF(OptControl=3,1,0),0),0)</f>
        <v>0</v>
      </c>
      <c r="DE161" s="651">
        <f t="shared" ca="1" si="543"/>
        <v>41214</v>
      </c>
      <c r="DF161" s="465">
        <v>1E-4</v>
      </c>
      <c r="DG161" s="649">
        <v>1E-4</v>
      </c>
      <c r="DH161" s="650">
        <f t="shared" ca="1" si="518"/>
        <v>41214</v>
      </c>
      <c r="DI161" s="465">
        <v>1E-4</v>
      </c>
      <c r="DJ161" s="649">
        <v>1E-4</v>
      </c>
      <c r="DK161" s="651">
        <f t="shared" ca="1" si="519"/>
        <v>41214</v>
      </c>
      <c r="DL161" s="652">
        <f t="shared" si="520"/>
        <v>5.0100000000000006E-2</v>
      </c>
      <c r="DM161" s="651">
        <f t="shared" ca="1" si="544"/>
        <v>41214</v>
      </c>
      <c r="DN161" s="563">
        <f t="shared" si="545"/>
        <v>-0.12990000000000002</v>
      </c>
      <c r="DO161" s="803">
        <v>-0.13</v>
      </c>
      <c r="DP161" s="650">
        <f t="shared" ca="1" si="521"/>
        <v>41214</v>
      </c>
      <c r="DQ161" s="653">
        <v>1E-4</v>
      </c>
      <c r="DR161" s="590">
        <v>1E-4</v>
      </c>
      <c r="DS161" s="650">
        <f t="shared" ca="1" si="522"/>
        <v>41214</v>
      </c>
      <c r="DT161" s="653">
        <v>1E-4</v>
      </c>
      <c r="DU161" s="590">
        <v>1E-4</v>
      </c>
      <c r="DV161" s="651">
        <f t="shared" ca="1" si="523"/>
        <v>41214</v>
      </c>
      <c r="DW161" s="590">
        <v>1E-4</v>
      </c>
      <c r="DX161" s="651">
        <f t="shared" ca="1" si="546"/>
        <v>41214</v>
      </c>
      <c r="DY161" s="590">
        <f t="shared" si="547"/>
        <v>1E-4</v>
      </c>
      <c r="DZ161" s="1"/>
      <c r="EA161" s="857"/>
      <c r="EB161" s="857"/>
      <c r="EC161" s="857"/>
      <c r="ED161" s="868" t="e">
        <f t="shared" ca="1" si="566"/>
        <v>#NAME?</v>
      </c>
      <c r="EE161" s="863" t="e">
        <f t="shared" ca="1" si="524"/>
        <v>#NAME?</v>
      </c>
      <c r="EF161" s="590" t="e">
        <f t="shared" ca="1" si="525"/>
        <v>#NAME?</v>
      </c>
      <c r="EG161" s="862" t="str">
        <f t="shared" ca="1" si="526"/>
        <v/>
      </c>
      <c r="EH161" s="114" t="str">
        <f t="shared" ca="1" si="527"/>
        <v/>
      </c>
      <c r="EI161" s="109" t="str">
        <f t="shared" ca="1" si="528"/>
        <v/>
      </c>
      <c r="EJ161" s="115">
        <f ca="1">IF(BD161,_xll.xASN(BP161,Strike1,AO161,EH161,0,BM161,0,BI161,BL161,IF(OptControl=4,0,1),0),0)</f>
        <v>0</v>
      </c>
      <c r="EK161" s="108">
        <f ca="1">IF(BD161,_xll.xASN(BP161,Strike2,AO161,EI161,0,BM161,0,BI161,BL161,IF(OptControl=3,1,0),0),0)</f>
        <v>0</v>
      </c>
      <c r="EP161" s="53"/>
      <c r="EQ161" s="1"/>
      <c r="ER161" s="103"/>
      <c r="ES161" s="103"/>
      <c r="ET161" s="1"/>
      <c r="EU161" s="667" t="s">
        <v>373</v>
      </c>
      <c r="EW161" s="445"/>
      <c r="EX161" s="36"/>
      <c r="EY161" s="104"/>
      <c r="EZ161" s="465"/>
      <c r="FA161" s="446"/>
      <c r="FB161" s="446"/>
      <c r="FC161" s="242"/>
      <c r="FD161" s="242"/>
      <c r="FE161" s="242"/>
      <c r="FF161" s="242"/>
      <c r="FG161" s="242"/>
      <c r="FH161" s="242"/>
      <c r="FI161" s="242"/>
      <c r="FJ161" s="242"/>
      <c r="FK161" s="242"/>
      <c r="FL161" s="242"/>
      <c r="FM161" s="242"/>
      <c r="FN161" s="657">
        <v>67</v>
      </c>
      <c r="FO161" s="450">
        <f t="shared" ca="1" si="565"/>
        <v>0.17276221080279922</v>
      </c>
      <c r="FP161" s="450">
        <f t="shared" ref="FP161:IA164" ca="1" si="568">IF($FN86&lt;FP$94,"",SQRT(FP86/FP$15))</f>
        <v>0.17272654278596458</v>
      </c>
      <c r="FQ161" s="450">
        <f t="shared" ca="1" si="568"/>
        <v>0.17252097730697064</v>
      </c>
      <c r="FR161" s="450">
        <f t="shared" ca="1" si="568"/>
        <v>0.17231934987332376</v>
      </c>
      <c r="FS161" s="450">
        <f t="shared" ca="1" si="568"/>
        <v>0.1721218284719998</v>
      </c>
      <c r="FT161" s="450">
        <f t="shared" ca="1" si="568"/>
        <v>0.17192860233269042</v>
      </c>
      <c r="FU161" s="450">
        <f t="shared" ca="1" si="568"/>
        <v>0.17173988426464587</v>
      </c>
      <c r="FV161" s="450">
        <f t="shared" ca="1" si="568"/>
        <v>0.17155591325694616</v>
      </c>
      <c r="FW161" s="450">
        <f t="shared" ca="1" si="568"/>
        <v>0.17137695737256206</v>
      </c>
      <c r="FX161" s="450">
        <f t="shared" ca="1" si="568"/>
        <v>0.17120331697022972</v>
      </c>
      <c r="FY161" s="450">
        <f t="shared" ca="1" si="568"/>
        <v>0.17103532829229659</v>
      </c>
      <c r="FZ161" s="450">
        <f t="shared" ca="1" si="568"/>
        <v>0.17087336746138002</v>
      </c>
      <c r="GA161" s="450">
        <f t="shared" ca="1" si="568"/>
        <v>0.17071785493398564</v>
      </c>
      <c r="GB161" s="450">
        <f t="shared" ca="1" si="568"/>
        <v>0.17056926046527698</v>
      </c>
      <c r="GC161" s="450">
        <f t="shared" ca="1" si="568"/>
        <v>0.17042810864604654</v>
      </c>
      <c r="GD161" s="450">
        <f t="shared" ca="1" si="568"/>
        <v>0.17029498508079077</v>
      </c>
      <c r="GE161" s="450">
        <f t="shared" ca="1" si="568"/>
        <v>0.17017054328475775</v>
      </c>
      <c r="GF161" s="450">
        <f t="shared" ca="1" si="568"/>
        <v>0.17005551238811964</v>
      </c>
      <c r="GG161" s="450">
        <f t="shared" ca="1" si="568"/>
        <v>0.16995070574725438</v>
      </c>
      <c r="GH161" s="450">
        <f t="shared" ca="1" si="568"/>
        <v>0.16985703057674839</v>
      </c>
      <c r="GI161" s="450">
        <f t="shared" ca="1" si="568"/>
        <v>0.16977549873150036</v>
      </c>
      <c r="GJ161" s="450">
        <f t="shared" ca="1" si="568"/>
        <v>0.16970723878658642</v>
      </c>
      <c r="GK161" s="450">
        <f t="shared" ca="1" si="568"/>
        <v>0.16965350958381117</v>
      </c>
      <c r="GL161" s="450">
        <f t="shared" ca="1" si="568"/>
        <v>0.16961571543869636</v>
      </c>
      <c r="GM161" s="450">
        <f t="shared" ca="1" si="568"/>
        <v>0.16959542323072324</v>
      </c>
      <c r="GN161" s="450">
        <f t="shared" ca="1" si="568"/>
        <v>0.16959438163380794</v>
      </c>
      <c r="GO161" s="450">
        <f t="shared" ca="1" si="568"/>
        <v>0.16961454278427288</v>
      </c>
      <c r="GP161" s="450">
        <f t="shared" ca="1" si="568"/>
        <v>0.16965808673127125</v>
      </c>
      <c r="GQ161" s="450">
        <f t="shared" ca="1" si="568"/>
        <v>0.16972744907127163</v>
      </c>
      <c r="GR161" s="450">
        <f t="shared" ca="1" si="568"/>
        <v>0.16982535223579026</v>
      </c>
      <c r="GS161" s="450">
        <f t="shared" ca="1" si="568"/>
        <v>0.16995484098246191</v>
      </c>
      <c r="GT161" s="450">
        <f t="shared" ca="1" si="568"/>
        <v>0.17011932273679117</v>
      </c>
      <c r="GU161" s="450">
        <f t="shared" ca="1" si="568"/>
        <v>0.17032261354930164</v>
      </c>
      <c r="GV161" s="450">
        <f t="shared" ca="1" si="568"/>
        <v>0.17056899057502858</v>
      </c>
      <c r="GW161" s="450">
        <f t="shared" ca="1" si="568"/>
        <v>0.17086325215538073</v>
      </c>
      <c r="GX161" s="450">
        <f t="shared" ca="1" si="568"/>
        <v>0.17121078679389806</v>
      </c>
      <c r="GY161" s="450">
        <f t="shared" ca="1" si="568"/>
        <v>0.17161765257700884</v>
      </c>
      <c r="GZ161" s="450">
        <f t="shared" ca="1" si="568"/>
        <v>0.17209066891086713</v>
      </c>
      <c r="HA161" s="450">
        <f t="shared" ca="1" si="568"/>
        <v>0.17263752284157477</v>
      </c>
      <c r="HB161" s="450">
        <f t="shared" ca="1" si="568"/>
        <v>0.17326689271899742</v>
      </c>
      <c r="HC161" s="450">
        <f t="shared" ca="1" si="568"/>
        <v>0.1739885925804866</v>
      </c>
      <c r="HD161" s="450">
        <f t="shared" ca="1" si="568"/>
        <v>0.174813741404717</v>
      </c>
      <c r="HE161" s="450">
        <f t="shared" ca="1" si="568"/>
        <v>0.17575496236289037</v>
      </c>
      <c r="HF161" s="450">
        <f t="shared" ca="1" si="568"/>
        <v>0.17682661843462638</v>
      </c>
      <c r="HG161" s="450">
        <f t="shared" ca="1" si="568"/>
        <v>0.17804509233841709</v>
      </c>
      <c r="HH161" s="450">
        <f t="shared" ca="1" si="568"/>
        <v>0.17942912075779868</v>
      </c>
      <c r="HI161" s="450">
        <f t="shared" ca="1" si="568"/>
        <v>0.18100019546730703</v>
      </c>
      <c r="HJ161" s="450">
        <f t="shared" ca="1" si="568"/>
        <v>0.18278304737054235</v>
      </c>
      <c r="HK161" s="450">
        <f t="shared" ca="1" si="568"/>
        <v>0.18480623392079246</v>
      </c>
      <c r="HL161" s="450">
        <f t="shared" ca="1" si="568"/>
        <v>0.18710285626674128</v>
      </c>
      <c r="HM161" s="450">
        <f t="shared" ca="1" si="568"/>
        <v>0.18971144025715822</v>
      </c>
      <c r="HN161" s="450">
        <f t="shared" ca="1" si="568"/>
        <v>0.1926770258566749</v>
      </c>
      <c r="HO161" s="450">
        <f t="shared" ca="1" si="568"/>
        <v>0.19605252356966368</v>
      </c>
      <c r="HP161" s="450">
        <f t="shared" ca="1" si="568"/>
        <v>0.19990041556757021</v>
      </c>
      <c r="HQ161" s="450">
        <f t="shared" ca="1" si="568"/>
        <v>0.20429490542360237</v>
      </c>
      <c r="HR161" s="450">
        <f t="shared" ca="1" si="568"/>
        <v>0.20932465667488176</v>
      </c>
      <c r="HS161" s="450">
        <f t="shared" ca="1" si="568"/>
        <v>0.21509631127452292</v>
      </c>
      <c r="HT161" s="450">
        <f t="shared" ca="1" si="568"/>
        <v>0.22173905095757035</v>
      </c>
      <c r="HU161" s="450">
        <f t="shared" ca="1" si="568"/>
        <v>0.2294105675902865</v>
      </c>
      <c r="HV161" s="450">
        <f t="shared" ca="1" si="568"/>
        <v>0.23830495797155324</v>
      </c>
      <c r="HW161" s="450">
        <f t="shared" ca="1" si="568"/>
        <v>0.24866327805043753</v>
      </c>
      <c r="HX161" s="450">
        <f t="shared" ca="1" si="568"/>
        <v>0.26078781861218259</v>
      </c>
      <c r="HY161" s="450">
        <f t="shared" ca="1" si="568"/>
        <v>0.27506165938370597</v>
      </c>
      <c r="HZ161" s="450">
        <f t="shared" ca="1" si="568"/>
        <v>0.29197581967526737</v>
      </c>
      <c r="IA161" s="450">
        <f t="shared" ca="1" si="568"/>
        <v>0.31216751522193975</v>
      </c>
      <c r="IB161" s="450">
        <f t="shared" ca="1" si="563"/>
        <v>0.33647493213964624</v>
      </c>
      <c r="IC161" s="450">
        <f t="shared" ca="1" si="563"/>
        <v>0.36601702613251541</v>
      </c>
      <c r="ID161" s="450" t="str">
        <f t="shared" si="563"/>
        <v/>
      </c>
      <c r="IE161" s="450" t="str">
        <f t="shared" si="563"/>
        <v/>
      </c>
      <c r="IF161" s="450" t="str">
        <f t="shared" si="563"/>
        <v/>
      </c>
      <c r="IG161" s="450" t="str">
        <f t="shared" si="563"/>
        <v/>
      </c>
      <c r="IH161" s="658" t="str">
        <f t="shared" si="563"/>
        <v/>
      </c>
      <c r="II161" s="242"/>
    </row>
    <row r="162" spans="8:243">
      <c r="H162" s="49" t="e">
        <f t="shared" ca="1" si="529"/>
        <v>#N/A</v>
      </c>
      <c r="I162" s="369">
        <f t="shared" si="530"/>
        <v>41334</v>
      </c>
      <c r="J162" s="367">
        <v>22.934999999999899</v>
      </c>
      <c r="K162" s="101" t="s">
        <v>267</v>
      </c>
      <c r="L162" s="382">
        <f t="shared" si="531"/>
        <v>22.934999999999928</v>
      </c>
      <c r="M162" s="163">
        <v>0.15430000000000002</v>
      </c>
      <c r="N162" s="372">
        <v>0</v>
      </c>
      <c r="O162" s="163">
        <f t="shared" si="488"/>
        <v>0.15430000000000002</v>
      </c>
      <c r="P162" s="367">
        <v>21.731827331921298</v>
      </c>
      <c r="Q162" s="101" t="s">
        <v>267</v>
      </c>
      <c r="R162" s="367">
        <f t="shared" ca="1" si="549"/>
        <v>21.731827331921259</v>
      </c>
      <c r="S162" s="814">
        <f t="shared" si="474"/>
        <v>0.35212083230222929</v>
      </c>
      <c r="T162" s="813">
        <f t="shared" si="550"/>
        <v>0.99999997517600314</v>
      </c>
      <c r="U162" s="532">
        <f t="shared" si="551"/>
        <v>0.99999999999999978</v>
      </c>
      <c r="V162" s="379">
        <v>0</v>
      </c>
      <c r="W162" s="424">
        <f t="shared" si="489"/>
        <v>22.968333333333234</v>
      </c>
      <c r="X162" s="405">
        <f t="shared" si="490"/>
        <v>22.968333333333259</v>
      </c>
      <c r="Y162" s="313">
        <f t="shared" si="491"/>
        <v>21.752333333333233</v>
      </c>
      <c r="Z162" s="313">
        <f t="shared" ca="1" si="492"/>
        <v>21.752333333333258</v>
      </c>
      <c r="AA162" s="419">
        <f t="shared" si="493"/>
        <v>1.216</v>
      </c>
      <c r="AB162" s="423">
        <f t="shared" ca="1" si="494"/>
        <v>1.216</v>
      </c>
      <c r="AC162" s="221">
        <v>41325</v>
      </c>
      <c r="AD162" s="221">
        <v>41321</v>
      </c>
      <c r="AE162" s="221">
        <v>41320</v>
      </c>
      <c r="AF162" s="221">
        <v>41316</v>
      </c>
      <c r="AG162" s="241" t="s">
        <v>497</v>
      </c>
      <c r="AH162" s="239" t="s">
        <v>497</v>
      </c>
      <c r="AI162" s="141">
        <v>21</v>
      </c>
      <c r="AJ162" s="41">
        <v>14</v>
      </c>
      <c r="AK162" s="41">
        <v>7</v>
      </c>
      <c r="AL162" s="285">
        <v>21</v>
      </c>
      <c r="AM162" s="41">
        <v>10</v>
      </c>
      <c r="AN162" s="142">
        <v>11</v>
      </c>
      <c r="AO162" s="364">
        <v>6.0299899352998003E-2</v>
      </c>
      <c r="AP162" s="145">
        <f t="shared" ca="1" si="532"/>
        <v>0.49093619831831903</v>
      </c>
      <c r="AQ162" s="364">
        <v>5.2369222916741204E-2</v>
      </c>
      <c r="AR162" s="145">
        <f t="shared" ca="1" si="552"/>
        <v>0.54173184150546827</v>
      </c>
      <c r="AS162" s="264">
        <f t="shared" si="495"/>
        <v>0.15376666666666669</v>
      </c>
      <c r="AT162" s="149">
        <f t="shared" si="533"/>
        <v>0.15430000000000002</v>
      </c>
      <c r="AU162" s="149">
        <f t="shared" si="496"/>
        <v>0.15369047619047618</v>
      </c>
      <c r="AV162" s="263">
        <f t="shared" ca="1" si="560"/>
        <v>0.15194162640841091</v>
      </c>
      <c r="AW162" s="150" t="str">
        <f t="shared" ca="1" si="497"/>
        <v/>
      </c>
      <c r="AX162" s="149">
        <f t="shared" ca="1" si="553"/>
        <v>8.7669678064573788E-3</v>
      </c>
      <c r="AY162" s="149">
        <f t="shared" ca="1" si="554"/>
        <v>3.3200787831937917E-3</v>
      </c>
      <c r="AZ162" s="149">
        <f t="shared" ca="1" si="555"/>
        <v>2.8650617879050319E-3</v>
      </c>
      <c r="BA162" s="149">
        <f t="shared" ca="1" si="556"/>
        <v>1.0000000000000632E-4</v>
      </c>
      <c r="BB162" s="149">
        <f t="shared" ca="1" si="557"/>
        <v>1.0000000000000632E-4</v>
      </c>
      <c r="BC162" s="149">
        <f t="shared" ca="1" si="558"/>
        <v>1.0000000000000632E-4</v>
      </c>
      <c r="BD162" s="143">
        <f t="shared" ca="1" si="498"/>
        <v>0</v>
      </c>
      <c r="BE162" s="144">
        <f t="shared" ca="1" si="499"/>
        <v>0</v>
      </c>
      <c r="BF162" s="40">
        <f t="shared" si="500"/>
        <v>2013</v>
      </c>
      <c r="BG162" s="139">
        <f t="shared" si="501"/>
        <v>3</v>
      </c>
      <c r="BH162" s="140">
        <f t="shared" ca="1" si="502"/>
        <v>4331</v>
      </c>
      <c r="BI162" s="304">
        <f t="shared" ca="1" si="440"/>
        <v>11.893223819301848</v>
      </c>
      <c r="BJ162" s="42">
        <f t="shared" ca="1" si="503"/>
        <v>11.94798083504449</v>
      </c>
      <c r="BK162" s="42">
        <f t="shared" ca="1" si="504"/>
        <v>11.950718685831623</v>
      </c>
      <c r="BL162" s="42">
        <f t="shared" ca="1" si="441"/>
        <v>11.975359342915811</v>
      </c>
      <c r="BM162" s="285">
        <f t="shared" si="442"/>
        <v>21</v>
      </c>
      <c r="BN162" s="41">
        <f t="shared" si="443"/>
        <v>14</v>
      </c>
      <c r="BO162" s="41">
        <f t="shared" si="444"/>
        <v>7</v>
      </c>
      <c r="BP162" s="297" t="str">
        <f t="shared" ca="1" si="505"/>
        <v/>
      </c>
      <c r="BQ162" s="297" t="str">
        <f t="shared" ca="1" si="506"/>
        <v/>
      </c>
      <c r="BR162" s="299" t="str">
        <f t="shared" ca="1" si="507"/>
        <v/>
      </c>
      <c r="BS162" s="153" t="str">
        <f t="shared" ca="1" si="508"/>
        <v/>
      </c>
      <c r="BT162" s="153" t="str">
        <f t="shared" ca="1" si="509"/>
        <v/>
      </c>
      <c r="BU162" s="300" t="str">
        <f t="shared" ca="1" si="510"/>
        <v/>
      </c>
      <c r="BV162" s="301" t="str">
        <f t="shared" ca="1" si="511"/>
        <v/>
      </c>
      <c r="BW162" s="300" t="str">
        <f t="shared" ca="1" si="512"/>
        <v/>
      </c>
      <c r="BX162" s="301" t="str">
        <f t="shared" ca="1" si="513"/>
        <v/>
      </c>
      <c r="BY162" s="146" t="str">
        <f t="shared" ca="1" si="514"/>
        <v/>
      </c>
      <c r="BZ162" s="146" t="str">
        <f t="shared" ca="1" si="515"/>
        <v/>
      </c>
      <c r="CA162" s="146" t="str">
        <f t="shared" ca="1" si="516"/>
        <v/>
      </c>
      <c r="CB162" s="146" t="str">
        <f t="shared" ca="1" si="517"/>
        <v/>
      </c>
      <c r="CC162" s="302">
        <v>1</v>
      </c>
      <c r="CD162" s="154">
        <f ca="1">IF(BD162,_xll.xCrudeAPO(BS162,BT162,BY162,BZ162,S163,S164,BI162,BL162,BN162,BO162,0,Strike1,AO162,CC162,0,BL162,IF(OptControl=4,0,1),0,1),0)</f>
        <v>0</v>
      </c>
      <c r="CE162" s="155">
        <f ca="1">IF(BD162,_xll.xCrudeAPO(BS162,BT162,BY162,BZ162,S163,S164,BI162,BL162,BN162,BO162,0,Strike1,AO162,CC162,0,BL162,IF(OptControl=4,0,1),1,1)+_xll.xCrudeAPO(BS162,BT162,BY162,BZ162,S163,S164,BI162,BL162,BN162,BO162,0,Strike1,AO162,CC162,0,BL162,IF(OptControl=4,0,1),1,2)+IF(OR(VolSkewFlag=2,ABS(BQ162)&lt;0.0001),0,IF(BQ162&gt;0,-1,1)*CF162*Strike1/BP162^2*BW162/10%),0)</f>
        <v>0</v>
      </c>
      <c r="CF162" s="155">
        <f ca="1">IF(BD162,(_xll.xCrudeAPO(BS162,BT162,BY162,BZ162,S163,S164,BI162,BL162,BN162,BO162,0,Strike1,AO162,CC162,0,BL162,IF(OptControl=4,0,1),3,1)+_xll.xCrudeAPO(BS162,BT162,BY162,BZ162,S163,S164,BI162,BL162,BN162,BO162,0,Strike1,AO162,CC162,0,BL162,IF(OptControl=4,0,1),3,2))/100,0)</f>
        <v>0</v>
      </c>
      <c r="CG162" s="155">
        <f ca="1">IF(BD162,_xll.xCrudeAPO(BS162,BT162,BY162,BZ162,S163,S164,BI162-DaysForThetaCalculation/365.25,BL162-DaysForThetaCalculation/365.25,BN162,BO162,0,Strike1,AO162,CC162,0,BL162,IF(OptControl=4,0,1),0,1)-_xll.xCrudeAPO(BS162,BT162,BY162,BZ162,S163,S164,BI162,BL162,BN162,BO162,0,Strike1,AO162,CC162,0,BL162,IF(OptControl=4,0,1),0,1),0)</f>
        <v>0</v>
      </c>
      <c r="CH162" s="303">
        <f ca="1">IF(BD162,_xll.xCrudeAPO(BS162,BT162,CA162,CB162,S163,S164,BI162,BL162,BN162,BO162,0,Strike2,AO162,CC162,0,BL162,IF(OptControl=3,1,0),0,1),0)</f>
        <v>0</v>
      </c>
      <c r="CI162" s="155">
        <f ca="1">IF(BD162,_xll.xCrudeAPO(BS162,BT162,CA162,CB162,S163,S164,BI162,BL162,BN162,BO162,0,Strike2,AO162,CC162,0,BL162,IF(OptControl=3,1,0),1,1)+_xll.xCrudeAPO(BS162,BT162,CA162,CB162,S163,S164,BI162,BL162,BN162,BO162,0,Strike2,AO162,CC162,0,BL162,IF(OptControl=3,1,0),1,2)+IF(OR(VolSkewFlag=2,ABS(BR162)&lt;0.0001),0,IF(BR162&gt;0,-1,1)*CJ162*Strike2/BP162^2*BX162/10%),0)</f>
        <v>0</v>
      </c>
      <c r="CJ162" s="155">
        <f ca="1">IF(BD162,(_xll.xCrudeAPO(BS162,BT162,CA162,CB162,S163,S164,BI162,BL162,BN162,BO162,0,Strike2,AO162,CC162,0,BL162,IF(OptControl=3,1,0),3,1)+_xll.xCrudeAPO(BS162,BT162,CA162,CB162,S163,S164,BI162,BL162,BN162,BO162,0,Strike2,AO162,CC162,0,BL162,IF(OptControl=3,1,0),3,2))/100,0)</f>
        <v>0</v>
      </c>
      <c r="CK162" s="156">
        <f ca="1">IF(BD162,_xll.xCrudeAPO(BS162,BT162,CA162,CB162,S163,S164,BI162-DaysForThetaCalculation/365.25,BL162-DaysForThetaCalculation/365.25,BN162,BO162,0,Strike2,AO162,CC162,0,BL162,IF(OptControl=3,1,0),0,1)-_xll.xCrudeAPO(BS162,BT162,CA162,CB162,S163,S164,BI162,BL162,BN162,BO162,0,Strike2,AO162,CC162,0,BL162,IF(OptControl=3,1,0),0,1),0)</f>
        <v>0</v>
      </c>
      <c r="CL162" s="51"/>
      <c r="CM162" s="779" t="str">
        <f t="shared" ca="1" si="534"/>
        <v/>
      </c>
      <c r="CN162" s="783" t="str">
        <f t="shared" ca="1" si="535"/>
        <v/>
      </c>
      <c r="CO162" s="780" t="str">
        <f t="shared" ca="1" si="536"/>
        <v/>
      </c>
      <c r="CP162" s="780" t="str">
        <f t="shared" ca="1" si="537"/>
        <v/>
      </c>
      <c r="CQ162" s="780" t="str">
        <f t="shared" ca="1" si="538"/>
        <v/>
      </c>
      <c r="CR162" s="780" t="str">
        <f t="shared" ca="1" si="539"/>
        <v/>
      </c>
      <c r="CS162" s="781" t="str">
        <f t="shared" ca="1" si="540"/>
        <v/>
      </c>
      <c r="CT162" s="782" t="str">
        <f t="shared" ca="1" si="541"/>
        <v/>
      </c>
      <c r="CU162" s="782" t="str">
        <f t="shared" ca="1" si="542"/>
        <v/>
      </c>
      <c r="CV162" s="155">
        <f ca="1">IF(BD162,_xll.EURO(CN162,Strike1,AO162,AO162,CT162,CM162,IF(OptControl=4,0,1),0),0)</f>
        <v>0</v>
      </c>
      <c r="CW162" s="155">
        <f ca="1">IF(BD162,_xll.EURO(CN162,Strike1,AO162,AO162,CT162,CM162,IF(OptControl=4,0,1),1)+IF(OR(VolSkewFlag=2,ABS(CO162)&lt;0.0001),0,IF(CO162&gt;0,-1,1)*CX162*100*Strike1/CN162^2*CQ162/10%),0)</f>
        <v>0</v>
      </c>
      <c r="CX162" s="155">
        <f ca="1">IF(BD162,_xll.EURO(CN162,Strike1,AO162,AO162,CT162,CM162,IF(OptControl=4,0,1),3)/100,0)</f>
        <v>0</v>
      </c>
      <c r="CY162" s="155">
        <f ca="1">IF(BD162,_xll.EURO(CN162,Strike1,AO162,AO162,CT162,CM162,IF(OptControl=4,0,1),0)-_xll.EURO(CN162,Strike1,AO162,AO162,CT162,CM162-1,IF(OptControl=4,0,1),0),0)</f>
        <v>0</v>
      </c>
      <c r="CZ162" s="155">
        <f ca="1">IF(BD162,_xll.EURO(CN162,Strike2,AO162,AO162,CU162,CM162,IF(OptControl=3,1,0),0),0)</f>
        <v>0</v>
      </c>
      <c r="DA162" s="155">
        <f ca="1">IF(BD162,_xll.EURO(CN162,Strike2,AO162,AO162,CU162,CM162,IF(OptControl=3,1,0),1)+IF(OR(VolSkewFlag=2,ABS(CP162)&lt;0.0001),0,IF(CP162&gt;0,-1,1)*DB162*100*Strike2/CN162^2*CR162/10%),0)</f>
        <v>0</v>
      </c>
      <c r="DB162" s="155">
        <f ca="1">IF(BD162,_xll.EURO(CN162,Strike2,AO162,AO162,CU162,CM162,IF(OptControl=3,1,0),3)/100,0)</f>
        <v>0</v>
      </c>
      <c r="DC162" s="156">
        <f ca="1">IF(BD162,_xll.EURO(CN162,Strike2,AO162,AO162,CU162,CM162,IF(OptControl=3,1,0),0)-_xll.EURO(CN162,Strike2,AO162,AO162,CU162,CM162-1,IF(OptControl=3,1,0),0),0)</f>
        <v>0</v>
      </c>
      <c r="DE162" s="651">
        <f t="shared" ca="1" si="543"/>
        <v>41244</v>
      </c>
      <c r="DF162" s="465">
        <v>1E-4</v>
      </c>
      <c r="DG162" s="649">
        <v>1E-4</v>
      </c>
      <c r="DH162" s="650">
        <f t="shared" ca="1" si="518"/>
        <v>41244</v>
      </c>
      <c r="DI162" s="465">
        <v>1E-4</v>
      </c>
      <c r="DJ162" s="649">
        <v>1E-4</v>
      </c>
      <c r="DK162" s="651">
        <f t="shared" ca="1" si="519"/>
        <v>41244</v>
      </c>
      <c r="DL162" s="652">
        <f t="shared" si="520"/>
        <v>5.0100000000000006E-2</v>
      </c>
      <c r="DM162" s="651">
        <f t="shared" ca="1" si="544"/>
        <v>41244</v>
      </c>
      <c r="DN162" s="563">
        <f t="shared" si="545"/>
        <v>-0.12990000000000002</v>
      </c>
      <c r="DO162" s="803">
        <v>-0.13</v>
      </c>
      <c r="DP162" s="650">
        <f t="shared" ca="1" si="521"/>
        <v>41244</v>
      </c>
      <c r="DQ162" s="653">
        <v>1E-4</v>
      </c>
      <c r="DR162" s="590">
        <v>1E-4</v>
      </c>
      <c r="DS162" s="650">
        <f t="shared" ca="1" si="522"/>
        <v>41244</v>
      </c>
      <c r="DT162" s="653">
        <v>1E-4</v>
      </c>
      <c r="DU162" s="590">
        <v>1E-4</v>
      </c>
      <c r="DV162" s="651">
        <f t="shared" ca="1" si="523"/>
        <v>41244</v>
      </c>
      <c r="DW162" s="590">
        <v>1E-4</v>
      </c>
      <c r="DX162" s="651">
        <f t="shared" ca="1" si="546"/>
        <v>41244</v>
      </c>
      <c r="DY162" s="590">
        <f t="shared" si="547"/>
        <v>1E-4</v>
      </c>
      <c r="DZ162" s="1"/>
      <c r="EA162" s="857"/>
      <c r="EB162" s="857"/>
      <c r="EC162" s="857"/>
      <c r="ED162" s="868" t="e">
        <f t="shared" ca="1" si="566"/>
        <v>#NAME?</v>
      </c>
      <c r="EE162" s="863" t="e">
        <f t="shared" ca="1" si="524"/>
        <v>#NAME?</v>
      </c>
      <c r="EF162" s="590" t="e">
        <f t="shared" ca="1" si="525"/>
        <v>#NAME?</v>
      </c>
      <c r="EG162" s="862" t="str">
        <f t="shared" ca="1" si="526"/>
        <v/>
      </c>
      <c r="EH162" s="114" t="str">
        <f t="shared" ca="1" si="527"/>
        <v/>
      </c>
      <c r="EI162" s="109" t="str">
        <f t="shared" ca="1" si="528"/>
        <v/>
      </c>
      <c r="EJ162" s="115">
        <f ca="1">IF(BD162,_xll.xASN(BP162,Strike1,AO162,EH162,0,BM162,0,BI162,BL162,IF(OptControl=4,0,1),0),0)</f>
        <v>0</v>
      </c>
      <c r="EK162" s="108">
        <f ca="1">IF(BD162,_xll.xASN(BP162,Strike2,AO162,EI162,0,BM162,0,BI162,BL162,IF(OptControl=3,1,0),0),0)</f>
        <v>0</v>
      </c>
      <c r="EP162" s="53"/>
      <c r="EQ162" s="1"/>
      <c r="ER162" s="103"/>
      <c r="ES162" s="103"/>
      <c r="ET162" s="1"/>
      <c r="EU162" s="667" t="s">
        <v>374</v>
      </c>
      <c r="EW162" s="445"/>
      <c r="EX162" s="36"/>
      <c r="EY162" s="104"/>
      <c r="EZ162" s="465"/>
      <c r="FA162" s="446"/>
      <c r="FB162" s="446"/>
      <c r="FC162" s="242"/>
      <c r="FD162" s="242"/>
      <c r="FE162" s="242"/>
      <c r="FF162" s="242"/>
      <c r="FG162" s="242"/>
      <c r="FH162" s="242"/>
      <c r="FI162" s="242"/>
      <c r="FJ162" s="242"/>
      <c r="FK162" s="242"/>
      <c r="FL162" s="242"/>
      <c r="FM162" s="242"/>
      <c r="FN162" s="657">
        <v>68</v>
      </c>
      <c r="FO162" s="450">
        <f t="shared" ca="1" si="565"/>
        <v>0.17274933109754764</v>
      </c>
      <c r="FP162" s="450">
        <f t="shared" ca="1" si="568"/>
        <v>0.17271223489765281</v>
      </c>
      <c r="FQ162" s="450">
        <f t="shared" ca="1" si="568"/>
        <v>0.17250509850034151</v>
      </c>
      <c r="FR162" s="450">
        <f t="shared" ca="1" si="568"/>
        <v>0.17230172728446244</v>
      </c>
      <c r="FS162" s="450">
        <f t="shared" ca="1" si="568"/>
        <v>0.17210227015094118</v>
      </c>
      <c r="FT162" s="450">
        <f t="shared" ca="1" si="568"/>
        <v>0.17190689512381782</v>
      </c>
      <c r="FU162" s="450">
        <f t="shared" ca="1" si="568"/>
        <v>0.17171579144910251</v>
      </c>
      <c r="FV162" s="450">
        <f t="shared" ca="1" si="568"/>
        <v>0.17152917192976319</v>
      </c>
      <c r="FW162" s="450">
        <f t="shared" ca="1" si="568"/>
        <v>0.17134727552394591</v>
      </c>
      <c r="FX162" s="450">
        <f t="shared" ca="1" si="568"/>
        <v>0.1711703702367719</v>
      </c>
      <c r="FY162" s="450">
        <f t="shared" ca="1" si="568"/>
        <v>0.17099875633971084</v>
      </c>
      <c r="FZ162" s="450">
        <f t="shared" ca="1" si="568"/>
        <v>0.17083276995566374</v>
      </c>
      <c r="GA162" s="450">
        <f t="shared" ca="1" si="568"/>
        <v>0.17067278705256336</v>
      </c>
      <c r="GB162" s="450">
        <f t="shared" ca="1" si="568"/>
        <v>0.17051922789361765</v>
      </c>
      <c r="GC162" s="450">
        <f t="shared" ca="1" si="568"/>
        <v>0.17037256199833903</v>
      </c>
      <c r="GD162" s="450">
        <f t="shared" ca="1" si="568"/>
        <v>0.17023331367537969</v>
      </c>
      <c r="GE162" s="450">
        <f t="shared" ca="1" si="568"/>
        <v>0.170102068196027</v>
      </c>
      <c r="GF162" s="450">
        <f t="shared" ca="1" si="568"/>
        <v>0.16997947868617375</v>
      </c>
      <c r="GG162" s="450">
        <f t="shared" ca="1" si="568"/>
        <v>0.16986627382486519</v>
      </c>
      <c r="GH162" s="450">
        <f t="shared" ca="1" si="568"/>
        <v>0.1697632664493352</v>
      </c>
      <c r="GI162" s="450">
        <f t="shared" ca="1" si="568"/>
        <v>0.1696713631800752</v>
      </c>
      <c r="GJ162" s="450">
        <f t="shared" ca="1" si="568"/>
        <v>0.16959157519523135</v>
      </c>
      <c r="GK162" s="450">
        <f t="shared" ca="1" si="568"/>
        <v>0.16952503030189237</v>
      </c>
      <c r="GL162" s="450">
        <f t="shared" ca="1" si="568"/>
        <v>0.1694729864730897</v>
      </c>
      <c r="GM162" s="450">
        <f t="shared" ca="1" si="568"/>
        <v>0.16943684704413192</v>
      </c>
      <c r="GN162" s="450">
        <f t="shared" ca="1" si="568"/>
        <v>0.16941817779095111</v>
      </c>
      <c r="GO162" s="450">
        <f t="shared" ca="1" si="568"/>
        <v>0.16941872614727124</v>
      </c>
      <c r="GP162" s="450">
        <f t="shared" ca="1" si="568"/>
        <v>0.16944044285767762</v>
      </c>
      <c r="GQ162" s="450">
        <f t="shared" ca="1" si="568"/>
        <v>0.16948550641131596</v>
      </c>
      <c r="GR162" s="450">
        <f t="shared" ca="1" si="568"/>
        <v>0.16955635065757665</v>
      </c>
      <c r="GS162" s="450">
        <f t="shared" ca="1" si="568"/>
        <v>0.16965569607264791</v>
      </c>
      <c r="GT162" s="450">
        <f t="shared" ca="1" si="568"/>
        <v>0.16978658522667492</v>
      </c>
      <c r="GU162" s="450">
        <f t="shared" ca="1" si="568"/>
        <v>0.16995242309845393</v>
      </c>
      <c r="GV162" s="450">
        <f t="shared" ca="1" si="568"/>
        <v>0.17015702300188287</v>
      </c>
      <c r="GW162" s="450">
        <f t="shared" ca="1" si="568"/>
        <v>0.17040465903053251</v>
      </c>
      <c r="GX162" s="450">
        <f t="shared" ca="1" si="568"/>
        <v>0.17070012609966595</v>
      </c>
      <c r="GY162" s="450">
        <f t="shared" ca="1" si="568"/>
        <v>0.17104880887640128</v>
      </c>
      <c r="GZ162" s="450">
        <f t="shared" ca="1" si="568"/>
        <v>0.17145676114811678</v>
      </c>
      <c r="HA162" s="450">
        <f t="shared" ca="1" si="568"/>
        <v>0.17193079749897108</v>
      </c>
      <c r="HB162" s="450">
        <f t="shared" ca="1" si="568"/>
        <v>0.17247859956037595</v>
      </c>
      <c r="HC162" s="450">
        <f t="shared" ca="1" si="568"/>
        <v>0.17310883959384227</v>
      </c>
      <c r="HD162" s="450">
        <f t="shared" ca="1" si="568"/>
        <v>0.17383132478032937</v>
      </c>
      <c r="HE162" s="450">
        <f t="shared" ca="1" si="568"/>
        <v>0.17465716636361378</v>
      </c>
      <c r="HF162" s="450">
        <f t="shared" ca="1" si="568"/>
        <v>0.17559897877161429</v>
      </c>
      <c r="HG162" s="450">
        <f t="shared" ca="1" si="568"/>
        <v>0.17667111507886724</v>
      </c>
      <c r="HH162" s="450">
        <f t="shared" ca="1" si="568"/>
        <v>0.17788994675488753</v>
      </c>
      <c r="HI162" s="450">
        <f t="shared" ca="1" si="568"/>
        <v>0.17927419767311356</v>
      </c>
      <c r="HJ162" s="450">
        <f t="shared" ca="1" si="568"/>
        <v>0.18084534497635729</v>
      </c>
      <c r="HK162" s="450">
        <f t="shared" ca="1" si="568"/>
        <v>0.18262810280074959</v>
      </c>
      <c r="HL162" s="450">
        <f t="shared" ca="1" si="568"/>
        <v>0.18465100931542761</v>
      </c>
      <c r="HM162" s="450">
        <f t="shared" ca="1" si="568"/>
        <v>0.18694714340352442</v>
      </c>
      <c r="HN162" s="450">
        <f t="shared" ca="1" si="568"/>
        <v>0.1895550050963983</v>
      </c>
      <c r="HO162" s="450">
        <f t="shared" ca="1" si="568"/>
        <v>0.19251960428458642</v>
      </c>
      <c r="HP162" s="450">
        <f t="shared" ca="1" si="568"/>
        <v>0.19589381626491384</v>
      </c>
      <c r="HQ162" s="450">
        <f t="shared" ca="1" si="568"/>
        <v>0.19974008176934099</v>
      </c>
      <c r="HR162" s="450">
        <f t="shared" ca="1" si="568"/>
        <v>0.20413255531301491</v>
      </c>
      <c r="HS162" s="450">
        <f t="shared" ca="1" si="568"/>
        <v>0.20915984199210538</v>
      </c>
      <c r="HT162" s="450">
        <f t="shared" ca="1" si="568"/>
        <v>0.21492851367211652</v>
      </c>
      <c r="HU162" s="450">
        <f t="shared" ca="1" si="568"/>
        <v>0.22156766742324949</v>
      </c>
      <c r="HV162" s="450">
        <f t="shared" ca="1" si="568"/>
        <v>0.22923489203979661</v>
      </c>
      <c r="HW162" s="450">
        <f t="shared" ca="1" si="568"/>
        <v>0.2381241577855058</v>
      </c>
      <c r="HX162" s="450">
        <f t="shared" ca="1" si="568"/>
        <v>0.24847636386382474</v>
      </c>
      <c r="HY162" s="450">
        <f t="shared" ca="1" si="568"/>
        <v>0.26059360499437978</v>
      </c>
      <c r="HZ162" s="450">
        <f t="shared" ca="1" si="568"/>
        <v>0.2748587130650923</v>
      </c>
      <c r="IA162" s="450">
        <f t="shared" ca="1" si="568"/>
        <v>0.29176239051780739</v>
      </c>
      <c r="IB162" s="450">
        <f t="shared" ca="1" si="563"/>
        <v>0.31194144292679049</v>
      </c>
      <c r="IC162" s="450">
        <f t="shared" ca="1" si="563"/>
        <v>0.33623351829331416</v>
      </c>
      <c r="ID162" s="450">
        <f t="shared" ca="1" si="563"/>
        <v>0.36575685587119028</v>
      </c>
      <c r="IE162" s="450" t="str">
        <f t="shared" si="563"/>
        <v/>
      </c>
      <c r="IF162" s="450" t="str">
        <f t="shared" si="563"/>
        <v/>
      </c>
      <c r="IG162" s="450" t="str">
        <f t="shared" si="563"/>
        <v/>
      </c>
      <c r="IH162" s="658" t="str">
        <f t="shared" si="563"/>
        <v/>
      </c>
      <c r="II162" s="242"/>
    </row>
    <row r="163" spans="8:243">
      <c r="H163" s="49" t="e">
        <f t="shared" ca="1" si="529"/>
        <v>#N/A</v>
      </c>
      <c r="I163" s="369">
        <f t="shared" si="530"/>
        <v>41365</v>
      </c>
      <c r="J163" s="367">
        <v>22.959999999999901</v>
      </c>
      <c r="K163" s="101" t="s">
        <v>267</v>
      </c>
      <c r="L163" s="382">
        <f t="shared" si="531"/>
        <v>22.959999999999926</v>
      </c>
      <c r="M163" s="163">
        <v>0.15390000000000001</v>
      </c>
      <c r="N163" s="372">
        <v>0</v>
      </c>
      <c r="O163" s="163">
        <f t="shared" si="488"/>
        <v>0.15390000000000001</v>
      </c>
      <c r="P163" s="367">
        <v>21.721172668078598</v>
      </c>
      <c r="Q163" s="101" t="s">
        <v>267</v>
      </c>
      <c r="R163" s="367">
        <f t="shared" ca="1" si="549"/>
        <v>21.721172668078594</v>
      </c>
      <c r="S163" s="814">
        <f t="shared" si="474"/>
        <v>0.35199962397920698</v>
      </c>
      <c r="T163" s="813">
        <f t="shared" si="550"/>
        <v>0.99999997765840287</v>
      </c>
      <c r="U163" s="532">
        <f t="shared" si="551"/>
        <v>0.99999999999999978</v>
      </c>
      <c r="V163" s="379">
        <v>0</v>
      </c>
      <c r="W163" s="424">
        <f t="shared" si="489"/>
        <v>22.992954545454445</v>
      </c>
      <c r="X163" s="405">
        <f t="shared" si="490"/>
        <v>22.99295454545447</v>
      </c>
      <c r="Y163" s="313">
        <f t="shared" si="491"/>
        <v>21.648954545454444</v>
      </c>
      <c r="Z163" s="313">
        <f t="shared" ca="1" si="492"/>
        <v>21.648954545454469</v>
      </c>
      <c r="AA163" s="419">
        <f t="shared" si="493"/>
        <v>1.3440000000000001</v>
      </c>
      <c r="AB163" s="423">
        <f t="shared" ca="1" si="494"/>
        <v>1.3440000000000001</v>
      </c>
      <c r="AC163" s="221">
        <v>41353</v>
      </c>
      <c r="AD163" s="221">
        <v>41349</v>
      </c>
      <c r="AE163" s="221">
        <v>41348</v>
      </c>
      <c r="AF163" s="221">
        <v>41344</v>
      </c>
      <c r="AG163" s="241" t="s">
        <v>497</v>
      </c>
      <c r="AH163" s="239" t="s">
        <v>497</v>
      </c>
      <c r="AI163" s="141">
        <v>22</v>
      </c>
      <c r="AJ163" s="41">
        <v>15</v>
      </c>
      <c r="AK163" s="41">
        <v>7</v>
      </c>
      <c r="AL163" s="285">
        <v>22</v>
      </c>
      <c r="AM163" s="41">
        <v>10</v>
      </c>
      <c r="AN163" s="142">
        <v>12</v>
      </c>
      <c r="AO163" s="364">
        <v>6.0345221897599298E-2</v>
      </c>
      <c r="AP163" s="145">
        <f t="shared" ca="1" si="532"/>
        <v>0.48828738291065976</v>
      </c>
      <c r="AQ163" s="364">
        <v>5.2476250791693602E-2</v>
      </c>
      <c r="AR163" s="145">
        <f t="shared" ca="1" si="552"/>
        <v>0.53891803454418385</v>
      </c>
      <c r="AS163" s="264">
        <f t="shared" si="495"/>
        <v>0.15337272727272727</v>
      </c>
      <c r="AT163" s="149">
        <f t="shared" si="533"/>
        <v>0.15390000000000001</v>
      </c>
      <c r="AU163" s="149">
        <f t="shared" si="496"/>
        <v>0.15328181818181819</v>
      </c>
      <c r="AV163" s="263">
        <f t="shared" ca="1" si="560"/>
        <v>0.15178041793054556</v>
      </c>
      <c r="AW163" s="150" t="str">
        <f t="shared" ca="1" si="497"/>
        <v/>
      </c>
      <c r="AX163" s="149">
        <f t="shared" ca="1" si="553"/>
        <v>8.6438075689348436E-3</v>
      </c>
      <c r="AY163" s="149">
        <f t="shared" ca="1" si="554"/>
        <v>3.2629539442764208E-3</v>
      </c>
      <c r="AZ163" s="149">
        <f t="shared" ca="1" si="555"/>
        <v>2.8309162402821277E-3</v>
      </c>
      <c r="BA163" s="149">
        <f t="shared" ca="1" si="556"/>
        <v>1.000000000000064E-4</v>
      </c>
      <c r="BB163" s="149">
        <f t="shared" ca="1" si="557"/>
        <v>1.000000000000064E-4</v>
      </c>
      <c r="BC163" s="149">
        <f t="shared" ca="1" si="558"/>
        <v>1.000000000000064E-4</v>
      </c>
      <c r="BD163" s="143">
        <f t="shared" ca="1" si="498"/>
        <v>0</v>
      </c>
      <c r="BE163" s="144">
        <f t="shared" ca="1" si="499"/>
        <v>0</v>
      </c>
      <c r="BF163" s="40">
        <f t="shared" si="500"/>
        <v>2013</v>
      </c>
      <c r="BG163" s="139">
        <f t="shared" si="501"/>
        <v>4</v>
      </c>
      <c r="BH163" s="140">
        <f t="shared" ca="1" si="502"/>
        <v>4359</v>
      </c>
      <c r="BI163" s="304">
        <f t="shared" ca="1" si="440"/>
        <v>11.978097193702943</v>
      </c>
      <c r="BJ163" s="42">
        <f t="shared" ca="1" si="503"/>
        <v>12.032231970630328</v>
      </c>
      <c r="BK163" s="42">
        <f t="shared" ca="1" si="504"/>
        <v>12.034969821417461</v>
      </c>
      <c r="BL163" s="42">
        <f t="shared" ca="1" si="441"/>
        <v>12.057494866529774</v>
      </c>
      <c r="BM163" s="285">
        <f t="shared" si="442"/>
        <v>22</v>
      </c>
      <c r="BN163" s="41">
        <f t="shared" si="443"/>
        <v>15</v>
      </c>
      <c r="BO163" s="41">
        <f t="shared" si="444"/>
        <v>7</v>
      </c>
      <c r="BP163" s="297" t="str">
        <f t="shared" ca="1" si="505"/>
        <v/>
      </c>
      <c r="BQ163" s="297" t="str">
        <f t="shared" ca="1" si="506"/>
        <v/>
      </c>
      <c r="BR163" s="299" t="str">
        <f t="shared" ca="1" si="507"/>
        <v/>
      </c>
      <c r="BS163" s="153" t="str">
        <f t="shared" ca="1" si="508"/>
        <v/>
      </c>
      <c r="BT163" s="153" t="str">
        <f t="shared" ca="1" si="509"/>
        <v/>
      </c>
      <c r="BU163" s="300" t="str">
        <f t="shared" ca="1" si="510"/>
        <v/>
      </c>
      <c r="BV163" s="301" t="str">
        <f t="shared" ca="1" si="511"/>
        <v/>
      </c>
      <c r="BW163" s="300" t="str">
        <f t="shared" ca="1" si="512"/>
        <v/>
      </c>
      <c r="BX163" s="301" t="str">
        <f t="shared" ca="1" si="513"/>
        <v/>
      </c>
      <c r="BY163" s="146" t="str">
        <f t="shared" ca="1" si="514"/>
        <v/>
      </c>
      <c r="BZ163" s="146" t="str">
        <f t="shared" ca="1" si="515"/>
        <v/>
      </c>
      <c r="CA163" s="146" t="str">
        <f t="shared" ca="1" si="516"/>
        <v/>
      </c>
      <c r="CB163" s="146" t="str">
        <f t="shared" ca="1" si="517"/>
        <v/>
      </c>
      <c r="CC163" s="302">
        <v>1</v>
      </c>
      <c r="CD163" s="154">
        <f ca="1">IF(BD163,_xll.xCrudeAPO(BS163,BT163,BY163,BZ163,S164,S165,BI163,BL163,BN163,BO163,0,Strike1,AO163,CC163,0,BL163,IF(OptControl=4,0,1),0,1),0)</f>
        <v>0</v>
      </c>
      <c r="CE163" s="155">
        <f ca="1">IF(BD163,_xll.xCrudeAPO(BS163,BT163,BY163,BZ163,S164,S165,BI163,BL163,BN163,BO163,0,Strike1,AO163,CC163,0,BL163,IF(OptControl=4,0,1),1,1)+_xll.xCrudeAPO(BS163,BT163,BY163,BZ163,S164,S165,BI163,BL163,BN163,BO163,0,Strike1,AO163,CC163,0,BL163,IF(OptControl=4,0,1),1,2)+IF(OR(VolSkewFlag=2,ABS(BQ163)&lt;0.0001),0,IF(BQ163&gt;0,-1,1)*CF163*Strike1/BP163^2*BW163/10%),0)</f>
        <v>0</v>
      </c>
      <c r="CF163" s="155">
        <f ca="1">IF(BD163,(_xll.xCrudeAPO(BS163,BT163,BY163,BZ163,S164,S165,BI163,BL163,BN163,BO163,0,Strike1,AO163,CC163,0,BL163,IF(OptControl=4,0,1),3,1)+_xll.xCrudeAPO(BS163,BT163,BY163,BZ163,S164,S165,BI163,BL163,BN163,BO163,0,Strike1,AO163,CC163,0,BL163,IF(OptControl=4,0,1),3,2))/100,0)</f>
        <v>0</v>
      </c>
      <c r="CG163" s="155">
        <f ca="1">IF(BD163,_xll.xCrudeAPO(BS163,BT163,BY163,BZ163,S164,S165,BI163-DaysForThetaCalculation/365.25,BL163-DaysForThetaCalculation/365.25,BN163,BO163,0,Strike1,AO163,CC163,0,BL163,IF(OptControl=4,0,1),0,1)-_xll.xCrudeAPO(BS163,BT163,BY163,BZ163,S164,S165,BI163,BL163,BN163,BO163,0,Strike1,AO163,CC163,0,BL163,IF(OptControl=4,0,1),0,1),0)</f>
        <v>0</v>
      </c>
      <c r="CH163" s="303">
        <f ca="1">IF(BD163,_xll.xCrudeAPO(BS163,BT163,CA163,CB163,S164,S165,BI163,BL163,BN163,BO163,0,Strike2,AO163,CC163,0,BL163,IF(OptControl=3,1,0),0,1),0)</f>
        <v>0</v>
      </c>
      <c r="CI163" s="155">
        <f ca="1">IF(BD163,_xll.xCrudeAPO(BS163,BT163,CA163,CB163,S164,S165,BI163,BL163,BN163,BO163,0,Strike2,AO163,CC163,0,BL163,IF(OptControl=3,1,0),1,1)+_xll.xCrudeAPO(BS163,BT163,CA163,CB163,S164,S165,BI163,BL163,BN163,BO163,0,Strike2,AO163,CC163,0,BL163,IF(OptControl=3,1,0),1,2)+IF(OR(VolSkewFlag=2,ABS(BR163)&lt;0.0001),0,IF(BR163&gt;0,-1,1)*CJ163*Strike2/BP163^2*BX163/10%),0)</f>
        <v>0</v>
      </c>
      <c r="CJ163" s="155">
        <f ca="1">IF(BD163,(_xll.xCrudeAPO(BS163,BT163,CA163,CB163,S164,S165,BI163,BL163,BN163,BO163,0,Strike2,AO163,CC163,0,BL163,IF(OptControl=3,1,0),3,1)+_xll.xCrudeAPO(BS163,BT163,CA163,CB163,S164,S165,BI163,BL163,BN163,BO163,0,Strike2,AO163,CC163,0,BL163,IF(OptControl=3,1,0),3,2))/100,0)</f>
        <v>0</v>
      </c>
      <c r="CK163" s="156">
        <f ca="1">IF(BD163,_xll.xCrudeAPO(BS163,BT163,CA163,CB163,S164,S165,BI163-DaysForThetaCalculation/365.25,BL163-DaysForThetaCalculation/365.25,BN163,BO163,0,Strike2,AO163,CC163,0,BL163,IF(OptControl=3,1,0),0,1)-_xll.xCrudeAPO(BS163,BT163,CA163,CB163,S164,S165,BI163,BL163,BN163,BO163,0,Strike2,AO163,CC163,0,BL163,IF(OptControl=3,1,0),0,1),0)</f>
        <v>0</v>
      </c>
      <c r="CL163" s="51"/>
      <c r="CM163" s="779" t="str">
        <f t="shared" ca="1" si="534"/>
        <v/>
      </c>
      <c r="CN163" s="783" t="str">
        <f t="shared" ca="1" si="535"/>
        <v/>
      </c>
      <c r="CO163" s="780" t="str">
        <f t="shared" ca="1" si="536"/>
        <v/>
      </c>
      <c r="CP163" s="780" t="str">
        <f t="shared" ca="1" si="537"/>
        <v/>
      </c>
      <c r="CQ163" s="780" t="str">
        <f t="shared" ca="1" si="538"/>
        <v/>
      </c>
      <c r="CR163" s="780" t="str">
        <f t="shared" ca="1" si="539"/>
        <v/>
      </c>
      <c r="CS163" s="781" t="str">
        <f t="shared" ca="1" si="540"/>
        <v/>
      </c>
      <c r="CT163" s="782" t="str">
        <f t="shared" ca="1" si="541"/>
        <v/>
      </c>
      <c r="CU163" s="782" t="str">
        <f t="shared" ca="1" si="542"/>
        <v/>
      </c>
      <c r="CV163" s="155">
        <f ca="1">IF(BD163,_xll.EURO(CN163,Strike1,AO163,AO163,CT163,CM163,IF(OptControl=4,0,1),0),0)</f>
        <v>0</v>
      </c>
      <c r="CW163" s="155">
        <f ca="1">IF(BD163,_xll.EURO(CN163,Strike1,AO163,AO163,CT163,CM163,IF(OptControl=4,0,1),1)+IF(OR(VolSkewFlag=2,ABS(CO163)&lt;0.0001),0,IF(CO163&gt;0,-1,1)*CX163*100*Strike1/CN163^2*CQ163/10%),0)</f>
        <v>0</v>
      </c>
      <c r="CX163" s="155">
        <f ca="1">IF(BD163,_xll.EURO(CN163,Strike1,AO163,AO163,CT163,CM163,IF(OptControl=4,0,1),3)/100,0)</f>
        <v>0</v>
      </c>
      <c r="CY163" s="155">
        <f ca="1">IF(BD163,_xll.EURO(CN163,Strike1,AO163,AO163,CT163,CM163,IF(OptControl=4,0,1),0)-_xll.EURO(CN163,Strike1,AO163,AO163,CT163,CM163-1,IF(OptControl=4,0,1),0),0)</f>
        <v>0</v>
      </c>
      <c r="CZ163" s="155">
        <f ca="1">IF(BD163,_xll.EURO(CN163,Strike2,AO163,AO163,CU163,CM163,IF(OptControl=3,1,0),0),0)</f>
        <v>0</v>
      </c>
      <c r="DA163" s="155">
        <f ca="1">IF(BD163,_xll.EURO(CN163,Strike2,AO163,AO163,CU163,CM163,IF(OptControl=3,1,0),1)+IF(OR(VolSkewFlag=2,ABS(CP163)&lt;0.0001),0,IF(CP163&gt;0,-1,1)*DB163*100*Strike2/CN163^2*CR163/10%),0)</f>
        <v>0</v>
      </c>
      <c r="DB163" s="155">
        <f ca="1">IF(BD163,_xll.EURO(CN163,Strike2,AO163,AO163,CU163,CM163,IF(OptControl=3,1,0),3)/100,0)</f>
        <v>0</v>
      </c>
      <c r="DC163" s="156">
        <f ca="1">IF(BD163,_xll.EURO(CN163,Strike2,AO163,AO163,CU163,CM163,IF(OptControl=3,1,0),0)-_xll.EURO(CN163,Strike2,AO163,AO163,CU163,CM163-1,IF(OptControl=3,1,0),0),0)</f>
        <v>0</v>
      </c>
      <c r="DE163" s="651">
        <f t="shared" ca="1" si="543"/>
        <v>41275</v>
      </c>
      <c r="DF163" s="465">
        <v>1E-4</v>
      </c>
      <c r="DG163" s="649">
        <v>1E-4</v>
      </c>
      <c r="DH163" s="650">
        <f t="shared" ca="1" si="518"/>
        <v>41275</v>
      </c>
      <c r="DI163" s="465">
        <v>1E-4</v>
      </c>
      <c r="DJ163" s="649">
        <v>1E-4</v>
      </c>
      <c r="DK163" s="651">
        <f t="shared" ca="1" si="519"/>
        <v>41275</v>
      </c>
      <c r="DL163" s="652">
        <f t="shared" si="520"/>
        <v>5.0100000000000006E-2</v>
      </c>
      <c r="DM163" s="651">
        <f t="shared" ca="1" si="544"/>
        <v>41275</v>
      </c>
      <c r="DN163" s="563">
        <f t="shared" si="545"/>
        <v>-0.12990000000000002</v>
      </c>
      <c r="DO163" s="803">
        <v>-0.13</v>
      </c>
      <c r="DP163" s="650">
        <f t="shared" ca="1" si="521"/>
        <v>41275</v>
      </c>
      <c r="DQ163" s="653">
        <v>1E-4</v>
      </c>
      <c r="DR163" s="590">
        <v>1E-4</v>
      </c>
      <c r="DS163" s="650">
        <f t="shared" ca="1" si="522"/>
        <v>41275</v>
      </c>
      <c r="DT163" s="653">
        <v>1E-4</v>
      </c>
      <c r="DU163" s="590">
        <v>1E-4</v>
      </c>
      <c r="DV163" s="651">
        <f t="shared" ca="1" si="523"/>
        <v>41275</v>
      </c>
      <c r="DW163" s="590">
        <v>1E-4</v>
      </c>
      <c r="DX163" s="651">
        <f t="shared" ca="1" si="546"/>
        <v>41275</v>
      </c>
      <c r="DY163" s="590">
        <f t="shared" si="547"/>
        <v>1E-4</v>
      </c>
      <c r="DZ163" s="1"/>
      <c r="EA163" s="857"/>
      <c r="EB163" s="857"/>
      <c r="EC163" s="857"/>
      <c r="ED163" s="868" t="e">
        <f t="shared" ca="1" si="566"/>
        <v>#NAME?</v>
      </c>
      <c r="EE163" s="863" t="e">
        <f t="shared" ca="1" si="524"/>
        <v>#NAME?</v>
      </c>
      <c r="EF163" s="590" t="e">
        <f t="shared" ca="1" si="525"/>
        <v>#NAME?</v>
      </c>
      <c r="EG163" s="862" t="str">
        <f t="shared" ca="1" si="526"/>
        <v/>
      </c>
      <c r="EH163" s="114" t="str">
        <f t="shared" ca="1" si="527"/>
        <v/>
      </c>
      <c r="EI163" s="109" t="str">
        <f t="shared" ca="1" si="528"/>
        <v/>
      </c>
      <c r="EJ163" s="115">
        <f ca="1">IF(BD163,_xll.xASN(BP163,Strike1,AO163,EH163,0,BM163,0,BI163,BL163,IF(OptControl=4,0,1),0),0)</f>
        <v>0</v>
      </c>
      <c r="EK163" s="108">
        <f ca="1">IF(BD163,_xll.xASN(BP163,Strike2,AO163,EI163,0,BM163,0,BI163,BL163,IF(OptControl=3,1,0),0),0)</f>
        <v>0</v>
      </c>
      <c r="EP163" s="53"/>
      <c r="EQ163" s="1"/>
      <c r="ER163" s="103"/>
      <c r="ES163" s="103"/>
      <c r="ET163" s="1"/>
      <c r="EU163" s="667" t="s">
        <v>375</v>
      </c>
      <c r="EW163" s="445"/>
      <c r="EX163" s="36"/>
      <c r="EY163" s="104"/>
      <c r="EZ163" s="465"/>
      <c r="FA163" s="446"/>
      <c r="FB163" s="446"/>
      <c r="FC163" s="242"/>
      <c r="FD163" s="242"/>
      <c r="FE163" s="242"/>
      <c r="FF163" s="242"/>
      <c r="FG163" s="242"/>
      <c r="FH163" s="242"/>
      <c r="FI163" s="242"/>
      <c r="FJ163" s="242"/>
      <c r="FK163" s="242"/>
      <c r="FL163" s="242"/>
      <c r="FM163" s="242"/>
      <c r="FN163" s="657">
        <v>69</v>
      </c>
      <c r="FO163" s="450">
        <f t="shared" ca="1" si="565"/>
        <v>0.17273774027021285</v>
      </c>
      <c r="FP163" s="450">
        <f t="shared" ca="1" si="568"/>
        <v>0.17269935891818669</v>
      </c>
      <c r="FQ163" s="450">
        <f t="shared" ca="1" si="568"/>
        <v>0.1724908089554763</v>
      </c>
      <c r="FR163" s="450">
        <f t="shared" ca="1" si="568"/>
        <v>0.17228586865757475</v>
      </c>
      <c r="FS163" s="450">
        <f t="shared" ca="1" si="568"/>
        <v>0.17208466976217926</v>
      </c>
      <c r="FT163" s="450">
        <f t="shared" ca="1" si="568"/>
        <v>0.17188736122578249</v>
      </c>
      <c r="FU163" s="450">
        <f t="shared" ca="1" si="568"/>
        <v>0.17169411110911759</v>
      </c>
      <c r="FV163" s="450">
        <f t="shared" ca="1" si="568"/>
        <v>0.17150510867435051</v>
      </c>
      <c r="FW163" s="450">
        <f t="shared" ca="1" si="568"/>
        <v>0.17132056671822943</v>
      </c>
      <c r="FX163" s="450">
        <f t="shared" ca="1" si="568"/>
        <v>0.17114072416827567</v>
      </c>
      <c r="FY163" s="450">
        <f t="shared" ca="1" si="568"/>
        <v>0.17096584897233938</v>
      </c>
      <c r="FZ163" s="450">
        <f t="shared" ca="1" si="568"/>
        <v>0.17079624131549745</v>
      </c>
      <c r="GA163" s="450">
        <f t="shared" ca="1" si="568"/>
        <v>0.17063223720239704</v>
      </c>
      <c r="GB163" s="450">
        <f t="shared" ca="1" si="568"/>
        <v>0.17047421244783492</v>
      </c>
      <c r="GC163" s="450">
        <f t="shared" ca="1" si="568"/>
        <v>0.17032258712365345</v>
      </c>
      <c r="GD163" s="450">
        <f t="shared" ca="1" si="568"/>
        <v>0.1701778305160703</v>
      </c>
      <c r="GE163" s="450">
        <f t="shared" ca="1" si="568"/>
        <v>0.17004046665441963</v>
      </c>
      <c r="GF163" s="450">
        <f t="shared" ca="1" si="568"/>
        <v>0.16991108048011075</v>
      </c>
      <c r="GG163" s="450">
        <f t="shared" ca="1" si="568"/>
        <v>0.16979032473357564</v>
      </c>
      <c r="GH163" s="450">
        <f t="shared" ca="1" si="568"/>
        <v>0.16967892764724338</v>
      </c>
      <c r="GI163" s="450">
        <f t="shared" ca="1" si="568"/>
        <v>0.16957770154439511</v>
      </c>
      <c r="GJ163" s="450">
        <f t="shared" ca="1" si="568"/>
        <v>0.16948755245736888</v>
      </c>
      <c r="GK163" s="450">
        <f t="shared" ca="1" si="568"/>
        <v>0.169409490894325</v>
      </c>
      <c r="GL163" s="450">
        <f t="shared" ca="1" si="568"/>
        <v>0.16934464390204529</v>
      </c>
      <c r="GM163" s="450">
        <f t="shared" ca="1" si="568"/>
        <v>0.16929426859347529</v>
      </c>
      <c r="GN163" s="450">
        <f t="shared" ca="1" si="568"/>
        <v>0.16925976733351331</v>
      </c>
      <c r="GO163" s="450">
        <f t="shared" ca="1" si="568"/>
        <v>0.1692427048055766</v>
      </c>
      <c r="GP163" s="450">
        <f t="shared" ca="1" si="568"/>
        <v>0.16924482721559991</v>
      </c>
      <c r="GQ163" s="450">
        <f t="shared" ca="1" si="568"/>
        <v>0.16926808393034831</v>
      </c>
      <c r="GR163" s="450">
        <f t="shared" ca="1" si="568"/>
        <v>0.16931465189456016</v>
      </c>
      <c r="GS163" s="450">
        <f t="shared" ca="1" si="568"/>
        <v>0.16938696322801877</v>
      </c>
      <c r="GT163" s="450">
        <f t="shared" ca="1" si="568"/>
        <v>0.16948773647113696</v>
      </c>
      <c r="GU163" s="450">
        <f t="shared" ca="1" si="568"/>
        <v>0.16962001202844573</v>
      </c>
      <c r="GV163" s="450">
        <f t="shared" ca="1" si="568"/>
        <v>0.16978719245650001</v>
      </c>
      <c r="GW163" s="450">
        <f t="shared" ca="1" si="568"/>
        <v>0.16999308835993837</v>
      </c>
      <c r="GX163" s="450">
        <f t="shared" ca="1" si="568"/>
        <v>0.1702419708014814</v>
      </c>
      <c r="GY163" s="450">
        <f t="shared" ca="1" si="568"/>
        <v>0.17053863130450828</v>
      </c>
      <c r="GZ163" s="450">
        <f t="shared" ca="1" si="568"/>
        <v>0.17088845073807946</v>
      </c>
      <c r="HA163" s="450">
        <f t="shared" ca="1" si="568"/>
        <v>0.17129747863351358</v>
      </c>
      <c r="HB163" s="450">
        <f t="shared" ca="1" si="568"/>
        <v>0.17177252480119409</v>
      </c>
      <c r="HC163" s="450">
        <f t="shared" ca="1" si="568"/>
        <v>0.17232126551198901</v>
      </c>
      <c r="HD163" s="450">
        <f t="shared" ca="1" si="568"/>
        <v>0.17295236699993874</v>
      </c>
      <c r="HE163" s="450">
        <f t="shared" ca="1" si="568"/>
        <v>0.17367562965817365</v>
      </c>
      <c r="HF163" s="450">
        <f t="shared" ca="1" si="568"/>
        <v>0.1745021570729216</v>
      </c>
      <c r="HG163" s="450">
        <f t="shared" ca="1" si="568"/>
        <v>0.17544455501625097</v>
      </c>
      <c r="HH163" s="450">
        <f t="shared" ca="1" si="568"/>
        <v>0.17651716675666562</v>
      </c>
      <c r="HI163" s="450">
        <f t="shared" ca="1" si="568"/>
        <v>0.17773635262719328</v>
      </c>
      <c r="HJ163" s="450">
        <f t="shared" ca="1" si="568"/>
        <v>0.17912082381927527</v>
      </c>
      <c r="HK163" s="450">
        <f t="shared" ca="1" si="568"/>
        <v>0.18069204299031708</v>
      </c>
      <c r="HL163" s="450">
        <f t="shared" ca="1" si="568"/>
        <v>0.18247470767665475</v>
      </c>
      <c r="HM163" s="450">
        <f t="shared" ca="1" si="568"/>
        <v>0.18449733695611636</v>
      </c>
      <c r="HN163" s="450">
        <f t="shared" ca="1" si="568"/>
        <v>0.18679298766893987</v>
      </c>
      <c r="HO163" s="450">
        <f t="shared" ca="1" si="568"/>
        <v>0.18940013428724584</v>
      </c>
      <c r="HP163" s="450">
        <f t="shared" ca="1" si="568"/>
        <v>0.19236375692821889</v>
      </c>
      <c r="HQ163" s="450">
        <f t="shared" ca="1" si="568"/>
        <v>0.19573669603321148</v>
      </c>
      <c r="HR163" s="450">
        <f t="shared" ca="1" si="568"/>
        <v>0.19958135130909402</v>
      </c>
      <c r="HS163" s="450">
        <f t="shared" ca="1" si="568"/>
        <v>0.20397182870353336</v>
      </c>
      <c r="HT163" s="450">
        <f t="shared" ca="1" si="568"/>
        <v>0.20899667545615683</v>
      </c>
      <c r="HU163" s="450">
        <f t="shared" ca="1" si="568"/>
        <v>0.21476239404573413</v>
      </c>
      <c r="HV163" s="450">
        <f t="shared" ca="1" si="568"/>
        <v>0.22139799772427179</v>
      </c>
      <c r="HW163" s="450">
        <f t="shared" ca="1" si="568"/>
        <v>0.22906097324481162</v>
      </c>
      <c r="HX163" s="450">
        <f t="shared" ca="1" si="568"/>
        <v>0.23794516560131884</v>
      </c>
      <c r="HY163" s="450">
        <f t="shared" ca="1" si="568"/>
        <v>0.24829131881907812</v>
      </c>
      <c r="HZ163" s="450">
        <f t="shared" ca="1" si="568"/>
        <v>0.26040133351275502</v>
      </c>
      <c r="IA163" s="450">
        <f t="shared" ca="1" si="568"/>
        <v>0.2746577962096648</v>
      </c>
      <c r="IB163" s="450">
        <f t="shared" ca="1" si="563"/>
        <v>0.29155109565192194</v>
      </c>
      <c r="IC163" s="450">
        <f t="shared" ca="1" si="563"/>
        <v>0.31171763135459263</v>
      </c>
      <c r="ID163" s="450">
        <f t="shared" ca="1" si="563"/>
        <v>0.33599451858544549</v>
      </c>
      <c r="IE163" s="450">
        <f t="shared" ca="1" si="563"/>
        <v>0.36549928731247838</v>
      </c>
      <c r="IF163" s="450" t="str">
        <f t="shared" si="563"/>
        <v/>
      </c>
      <c r="IG163" s="450" t="str">
        <f t="shared" si="563"/>
        <v/>
      </c>
      <c r="IH163" s="658" t="str">
        <f t="shared" si="563"/>
        <v/>
      </c>
      <c r="II163" s="242"/>
    </row>
    <row r="164" spans="8:243">
      <c r="H164" s="49" t="e">
        <f t="shared" ca="1" si="529"/>
        <v>#N/A</v>
      </c>
      <c r="I164" s="369">
        <f t="shared" si="530"/>
        <v>41395</v>
      </c>
      <c r="J164" s="367">
        <v>22.9849999999999</v>
      </c>
      <c r="K164" s="101" t="s">
        <v>267</v>
      </c>
      <c r="L164" s="382">
        <f t="shared" si="531"/>
        <v>22.984999999999925</v>
      </c>
      <c r="M164" s="163">
        <v>0.1535</v>
      </c>
      <c r="N164" s="372">
        <v>0</v>
      </c>
      <c r="O164" s="163">
        <f t="shared" si="488"/>
        <v>0.1535</v>
      </c>
      <c r="P164" s="367">
        <v>21.780661210837497</v>
      </c>
      <c r="Q164" s="101" t="s">
        <v>267</v>
      </c>
      <c r="R164" s="367">
        <f t="shared" ca="1" si="549"/>
        <v>21.780661210837501</v>
      </c>
      <c r="S164" s="814">
        <f t="shared" si="474"/>
        <v>0.35187962773941489</v>
      </c>
      <c r="T164" s="813">
        <f t="shared" si="550"/>
        <v>0.99999997989256262</v>
      </c>
      <c r="U164" s="532">
        <f t="shared" si="551"/>
        <v>0.99999999999999978</v>
      </c>
      <c r="V164" s="379">
        <v>0</v>
      </c>
      <c r="W164" s="424">
        <f t="shared" si="489"/>
        <v>23.019782608695554</v>
      </c>
      <c r="X164" s="405">
        <f t="shared" si="490"/>
        <v>23.019782608695575</v>
      </c>
      <c r="Y164" s="313">
        <f t="shared" si="491"/>
        <v>21.675782608695553</v>
      </c>
      <c r="Z164" s="313">
        <f t="shared" ca="1" si="492"/>
        <v>21.675782608695574</v>
      </c>
      <c r="AA164" s="419">
        <f t="shared" si="493"/>
        <v>1.3440000000000001</v>
      </c>
      <c r="AB164" s="423">
        <f t="shared" ca="1" si="494"/>
        <v>1.3440000000000001</v>
      </c>
      <c r="AC164" s="221">
        <v>41384</v>
      </c>
      <c r="AD164" s="221">
        <v>41380</v>
      </c>
      <c r="AE164" s="221">
        <v>41379</v>
      </c>
      <c r="AF164" s="221">
        <v>41375</v>
      </c>
      <c r="AG164" s="241" t="s">
        <v>497</v>
      </c>
      <c r="AH164" s="239" t="s">
        <v>497</v>
      </c>
      <c r="AI164" s="141">
        <v>23</v>
      </c>
      <c r="AJ164" s="41">
        <v>14</v>
      </c>
      <c r="AK164" s="41">
        <v>9</v>
      </c>
      <c r="AL164" s="285">
        <v>23</v>
      </c>
      <c r="AM164" s="41">
        <v>10</v>
      </c>
      <c r="AN164" s="142">
        <v>13</v>
      </c>
      <c r="AO164" s="364">
        <v>6.0389082425282806E-2</v>
      </c>
      <c r="AP164" s="145">
        <f t="shared" ca="1" si="532"/>
        <v>0.48557861973022909</v>
      </c>
      <c r="AQ164" s="364">
        <v>5.2579826230930903E-2</v>
      </c>
      <c r="AR164" s="145">
        <f t="shared" ca="1" si="552"/>
        <v>0.5359034691343515</v>
      </c>
      <c r="AS164" s="264">
        <f t="shared" si="495"/>
        <v>0.1529434782608696</v>
      </c>
      <c r="AT164" s="149">
        <f t="shared" si="533"/>
        <v>0.1535</v>
      </c>
      <c r="AU164" s="149">
        <f t="shared" si="496"/>
        <v>0.15287391304347828</v>
      </c>
      <c r="AV164" s="263">
        <f t="shared" ca="1" si="560"/>
        <v>0.15115968325108778</v>
      </c>
      <c r="AW164" s="150" t="str">
        <f t="shared" ca="1" si="497"/>
        <v/>
      </c>
      <c r="AX164" s="149">
        <f t="shared" ca="1" si="553"/>
        <v>8.5223775127522515E-3</v>
      </c>
      <c r="AY164" s="149">
        <f t="shared" ca="1" si="554"/>
        <v>3.2068119878249281E-3</v>
      </c>
      <c r="AZ164" s="149">
        <f t="shared" ca="1" si="555"/>
        <v>2.7971776362118511E-3</v>
      </c>
      <c r="BA164" s="149">
        <f t="shared" ca="1" si="556"/>
        <v>1.0000000000000648E-4</v>
      </c>
      <c r="BB164" s="149">
        <f t="shared" ca="1" si="557"/>
        <v>1.0000000000000648E-4</v>
      </c>
      <c r="BC164" s="149">
        <f t="shared" ca="1" si="558"/>
        <v>1.0000000000000648E-4</v>
      </c>
      <c r="BD164" s="143">
        <f t="shared" ca="1" si="498"/>
        <v>0</v>
      </c>
      <c r="BE164" s="144">
        <f t="shared" ca="1" si="499"/>
        <v>0</v>
      </c>
      <c r="BF164" s="40">
        <f t="shared" si="500"/>
        <v>2013</v>
      </c>
      <c r="BG164" s="139">
        <f t="shared" si="501"/>
        <v>5</v>
      </c>
      <c r="BH164" s="140">
        <f t="shared" ca="1" si="502"/>
        <v>4390</v>
      </c>
      <c r="BI164" s="304">
        <f t="shared" ca="1" si="440"/>
        <v>12.060232717316905</v>
      </c>
      <c r="BJ164" s="42">
        <f t="shared" ca="1" si="503"/>
        <v>12.110228253429753</v>
      </c>
      <c r="BK164" s="42">
        <f t="shared" ca="1" si="504"/>
        <v>12.112966104216886</v>
      </c>
      <c r="BL164" s="42">
        <f t="shared" ca="1" si="441"/>
        <v>12.142368240930869</v>
      </c>
      <c r="BM164" s="285">
        <f t="shared" si="442"/>
        <v>23</v>
      </c>
      <c r="BN164" s="41">
        <f t="shared" si="443"/>
        <v>14</v>
      </c>
      <c r="BO164" s="41">
        <f t="shared" si="444"/>
        <v>9</v>
      </c>
      <c r="BP164" s="297" t="str">
        <f t="shared" ca="1" si="505"/>
        <v/>
      </c>
      <c r="BQ164" s="297" t="str">
        <f t="shared" ca="1" si="506"/>
        <v/>
      </c>
      <c r="BR164" s="299" t="str">
        <f t="shared" ca="1" si="507"/>
        <v/>
      </c>
      <c r="BS164" s="153" t="str">
        <f t="shared" ca="1" si="508"/>
        <v/>
      </c>
      <c r="BT164" s="153" t="str">
        <f t="shared" ca="1" si="509"/>
        <v/>
      </c>
      <c r="BU164" s="300" t="str">
        <f t="shared" ca="1" si="510"/>
        <v/>
      </c>
      <c r="BV164" s="301" t="str">
        <f t="shared" ca="1" si="511"/>
        <v/>
      </c>
      <c r="BW164" s="300" t="str">
        <f t="shared" ca="1" si="512"/>
        <v/>
      </c>
      <c r="BX164" s="301" t="str">
        <f t="shared" ca="1" si="513"/>
        <v/>
      </c>
      <c r="BY164" s="146" t="str">
        <f t="shared" ca="1" si="514"/>
        <v/>
      </c>
      <c r="BZ164" s="146" t="str">
        <f t="shared" ca="1" si="515"/>
        <v/>
      </c>
      <c r="CA164" s="146" t="str">
        <f t="shared" ca="1" si="516"/>
        <v/>
      </c>
      <c r="CB164" s="146" t="str">
        <f t="shared" ca="1" si="517"/>
        <v/>
      </c>
      <c r="CC164" s="302">
        <v>1</v>
      </c>
      <c r="CD164" s="154">
        <f ca="1">IF(BD164,_xll.xCrudeAPO(BS164,BT164,BY164,BZ164,S165,S166,BI164,BL164,BN164,BO164,0,Strike1,AO164,CC164,0,BL164,IF(OptControl=4,0,1),0,1),0)</f>
        <v>0</v>
      </c>
      <c r="CE164" s="155">
        <f ca="1">IF(BD164,_xll.xCrudeAPO(BS164,BT164,BY164,BZ164,S165,S166,BI164,BL164,BN164,BO164,0,Strike1,AO164,CC164,0,BL164,IF(OptControl=4,0,1),1,1)+_xll.xCrudeAPO(BS164,BT164,BY164,BZ164,S165,S166,BI164,BL164,BN164,BO164,0,Strike1,AO164,CC164,0,BL164,IF(OptControl=4,0,1),1,2)+IF(OR(VolSkewFlag=2,ABS(BQ164)&lt;0.0001),0,IF(BQ164&gt;0,-1,1)*CF164*Strike1/BP164^2*BW164/10%),0)</f>
        <v>0</v>
      </c>
      <c r="CF164" s="155">
        <f ca="1">IF(BD164,(_xll.xCrudeAPO(BS164,BT164,BY164,BZ164,S165,S166,BI164,BL164,BN164,BO164,0,Strike1,AO164,CC164,0,BL164,IF(OptControl=4,0,1),3,1)+_xll.xCrudeAPO(BS164,BT164,BY164,BZ164,S165,S166,BI164,BL164,BN164,BO164,0,Strike1,AO164,CC164,0,BL164,IF(OptControl=4,0,1),3,2))/100,0)</f>
        <v>0</v>
      </c>
      <c r="CG164" s="155">
        <f ca="1">IF(BD164,_xll.xCrudeAPO(BS164,BT164,BY164,BZ164,S165,S166,BI164-DaysForThetaCalculation/365.25,BL164-DaysForThetaCalculation/365.25,BN164,BO164,0,Strike1,AO164,CC164,0,BL164,IF(OptControl=4,0,1),0,1)-_xll.xCrudeAPO(BS164,BT164,BY164,BZ164,S165,S166,BI164,BL164,BN164,BO164,0,Strike1,AO164,CC164,0,BL164,IF(OptControl=4,0,1),0,1),0)</f>
        <v>0</v>
      </c>
      <c r="CH164" s="303">
        <f ca="1">IF(BD164,_xll.xCrudeAPO(BS164,BT164,CA164,CB164,S165,S166,BI164,BL164,BN164,BO164,0,Strike2,AO164,CC164,0,BL164,IF(OptControl=3,1,0),0,1),0)</f>
        <v>0</v>
      </c>
      <c r="CI164" s="155">
        <f ca="1">IF(BD164,_xll.xCrudeAPO(BS164,BT164,CA164,CB164,S165,S166,BI164,BL164,BN164,BO164,0,Strike2,AO164,CC164,0,BL164,IF(OptControl=3,1,0),1,1)+_xll.xCrudeAPO(BS164,BT164,CA164,CB164,S165,S166,BI164,BL164,BN164,BO164,0,Strike2,AO164,CC164,0,BL164,IF(OptControl=3,1,0),1,2)+IF(OR(VolSkewFlag=2,ABS(BR164)&lt;0.0001),0,IF(BR164&gt;0,-1,1)*CJ164*Strike2/BP164^2*BX164/10%),0)</f>
        <v>0</v>
      </c>
      <c r="CJ164" s="155">
        <f ca="1">IF(BD164,(_xll.xCrudeAPO(BS164,BT164,CA164,CB164,S165,S166,BI164,BL164,BN164,BO164,0,Strike2,AO164,CC164,0,BL164,IF(OptControl=3,1,0),3,1)+_xll.xCrudeAPO(BS164,BT164,CA164,CB164,S165,S166,BI164,BL164,BN164,BO164,0,Strike2,AO164,CC164,0,BL164,IF(OptControl=3,1,0),3,2))/100,0)</f>
        <v>0</v>
      </c>
      <c r="CK164" s="156">
        <f ca="1">IF(BD164,_xll.xCrudeAPO(BS164,BT164,CA164,CB164,S165,S166,BI164-DaysForThetaCalculation/365.25,BL164-DaysForThetaCalculation/365.25,BN164,BO164,0,Strike2,AO164,CC164,0,BL164,IF(OptControl=3,1,0),0,1)-_xll.xCrudeAPO(BS164,BT164,CA164,CB164,S165,S166,BI164,BL164,BN164,BO164,0,Strike2,AO164,CC164,0,BL164,IF(OptControl=3,1,0),0,1),0)</f>
        <v>0</v>
      </c>
      <c r="CL164" s="51"/>
      <c r="CM164" s="779" t="str">
        <f t="shared" ca="1" si="534"/>
        <v/>
      </c>
      <c r="CN164" s="783" t="str">
        <f t="shared" ca="1" si="535"/>
        <v/>
      </c>
      <c r="CO164" s="780" t="str">
        <f t="shared" ca="1" si="536"/>
        <v/>
      </c>
      <c r="CP164" s="780" t="str">
        <f t="shared" ca="1" si="537"/>
        <v/>
      </c>
      <c r="CQ164" s="780" t="str">
        <f t="shared" ca="1" si="538"/>
        <v/>
      </c>
      <c r="CR164" s="780" t="str">
        <f t="shared" ca="1" si="539"/>
        <v/>
      </c>
      <c r="CS164" s="781" t="str">
        <f t="shared" ca="1" si="540"/>
        <v/>
      </c>
      <c r="CT164" s="782" t="str">
        <f t="shared" ca="1" si="541"/>
        <v/>
      </c>
      <c r="CU164" s="782" t="str">
        <f t="shared" ca="1" si="542"/>
        <v/>
      </c>
      <c r="CV164" s="155">
        <f ca="1">IF(BD164,_xll.EURO(CN164,Strike1,AO164,AO164,CT164,CM164,IF(OptControl=4,0,1),0),0)</f>
        <v>0</v>
      </c>
      <c r="CW164" s="155">
        <f ca="1">IF(BD164,_xll.EURO(CN164,Strike1,AO164,AO164,CT164,CM164,IF(OptControl=4,0,1),1)+IF(OR(VolSkewFlag=2,ABS(CO164)&lt;0.0001),0,IF(CO164&gt;0,-1,1)*CX164*100*Strike1/CN164^2*CQ164/10%),0)</f>
        <v>0</v>
      </c>
      <c r="CX164" s="155">
        <f ca="1">IF(BD164,_xll.EURO(CN164,Strike1,AO164,AO164,CT164,CM164,IF(OptControl=4,0,1),3)/100,0)</f>
        <v>0</v>
      </c>
      <c r="CY164" s="155">
        <f ca="1">IF(BD164,_xll.EURO(CN164,Strike1,AO164,AO164,CT164,CM164,IF(OptControl=4,0,1),0)-_xll.EURO(CN164,Strike1,AO164,AO164,CT164,CM164-1,IF(OptControl=4,0,1),0),0)</f>
        <v>0</v>
      </c>
      <c r="CZ164" s="155">
        <f ca="1">IF(BD164,_xll.EURO(CN164,Strike2,AO164,AO164,CU164,CM164,IF(OptControl=3,1,0),0),0)</f>
        <v>0</v>
      </c>
      <c r="DA164" s="155">
        <f ca="1">IF(BD164,_xll.EURO(CN164,Strike2,AO164,AO164,CU164,CM164,IF(OptControl=3,1,0),1)+IF(OR(VolSkewFlag=2,ABS(CP164)&lt;0.0001),0,IF(CP164&gt;0,-1,1)*DB164*100*Strike2/CN164^2*CR164/10%),0)</f>
        <v>0</v>
      </c>
      <c r="DB164" s="155">
        <f ca="1">IF(BD164,_xll.EURO(CN164,Strike2,AO164,AO164,CU164,CM164,IF(OptControl=3,1,0),3)/100,0)</f>
        <v>0</v>
      </c>
      <c r="DC164" s="156">
        <f ca="1">IF(BD164,_xll.EURO(CN164,Strike2,AO164,AO164,CU164,CM164,IF(OptControl=3,1,0),0)-_xll.EURO(CN164,Strike2,AO164,AO164,CU164,CM164-1,IF(OptControl=3,1,0),0),0)</f>
        <v>0</v>
      </c>
      <c r="DE164" s="651">
        <f t="shared" ca="1" si="543"/>
        <v>41306</v>
      </c>
      <c r="DF164" s="465">
        <v>1E-4</v>
      </c>
      <c r="DG164" s="649">
        <v>1E-4</v>
      </c>
      <c r="DH164" s="650">
        <f t="shared" ca="1" si="518"/>
        <v>41306</v>
      </c>
      <c r="DI164" s="465">
        <v>1E-4</v>
      </c>
      <c r="DJ164" s="649">
        <v>1E-4</v>
      </c>
      <c r="DK164" s="651">
        <f t="shared" ca="1" si="519"/>
        <v>41306</v>
      </c>
      <c r="DL164" s="652">
        <f t="shared" si="520"/>
        <v>5.0100000000000006E-2</v>
      </c>
      <c r="DM164" s="651">
        <f t="shared" ca="1" si="544"/>
        <v>41306</v>
      </c>
      <c r="DN164" s="563">
        <f t="shared" si="545"/>
        <v>-0.12990000000000002</v>
      </c>
      <c r="DO164" s="803">
        <v>-0.13</v>
      </c>
      <c r="DP164" s="650">
        <f t="shared" ca="1" si="521"/>
        <v>41306</v>
      </c>
      <c r="DQ164" s="653">
        <v>1E-4</v>
      </c>
      <c r="DR164" s="590">
        <v>1E-4</v>
      </c>
      <c r="DS164" s="650">
        <f t="shared" ca="1" si="522"/>
        <v>41306</v>
      </c>
      <c r="DT164" s="653">
        <v>1E-4</v>
      </c>
      <c r="DU164" s="590">
        <v>1E-4</v>
      </c>
      <c r="DV164" s="651">
        <f t="shared" ca="1" si="523"/>
        <v>41306</v>
      </c>
      <c r="DW164" s="590">
        <v>1E-4</v>
      </c>
      <c r="DX164" s="651">
        <f t="shared" ca="1" si="546"/>
        <v>41306</v>
      </c>
      <c r="DY164" s="590">
        <f t="shared" si="547"/>
        <v>1E-4</v>
      </c>
      <c r="DZ164" s="1"/>
      <c r="EA164" s="857"/>
      <c r="EB164" s="857"/>
      <c r="EC164" s="857"/>
      <c r="ED164" s="868" t="e">
        <f t="shared" ca="1" si="566"/>
        <v>#NAME?</v>
      </c>
      <c r="EE164" s="863" t="e">
        <f t="shared" ca="1" si="524"/>
        <v>#NAME?</v>
      </c>
      <c r="EF164" s="590" t="e">
        <f t="shared" ca="1" si="525"/>
        <v>#NAME?</v>
      </c>
      <c r="EG164" s="862" t="str">
        <f t="shared" ca="1" si="526"/>
        <v/>
      </c>
      <c r="EH164" s="114" t="str">
        <f t="shared" ca="1" si="527"/>
        <v/>
      </c>
      <c r="EI164" s="109" t="str">
        <f t="shared" ca="1" si="528"/>
        <v/>
      </c>
      <c r="EJ164" s="115">
        <f ca="1">IF(BD164,_xll.xASN(BP164,Strike1,AO164,EH164,0,BM164,0,BI164,BL164,IF(OptControl=4,0,1),0),0)</f>
        <v>0</v>
      </c>
      <c r="EK164" s="108">
        <f ca="1">IF(BD164,_xll.xASN(BP164,Strike2,AO164,EI164,0,BM164,0,BI164,BL164,IF(OptControl=3,1,0),0),0)</f>
        <v>0</v>
      </c>
      <c r="EP164" s="53"/>
      <c r="EQ164" s="1"/>
      <c r="ER164" s="103"/>
      <c r="ES164" s="103"/>
      <c r="ET164" s="1"/>
      <c r="EU164" s="667" t="s">
        <v>376</v>
      </c>
      <c r="EW164" s="445"/>
      <c r="EX164" s="36"/>
      <c r="EY164" s="104"/>
      <c r="EZ164" s="465"/>
      <c r="FA164" s="446"/>
      <c r="FB164" s="446"/>
      <c r="FC164" s="242"/>
      <c r="FD164" s="242"/>
      <c r="FE164" s="242"/>
      <c r="FF164" s="242"/>
      <c r="FG164" s="242"/>
      <c r="FH164" s="242"/>
      <c r="FI164" s="242"/>
      <c r="FJ164" s="242"/>
      <c r="FK164" s="242"/>
      <c r="FL164" s="242"/>
      <c r="FM164" s="242"/>
      <c r="FN164" s="657">
        <v>70</v>
      </c>
      <c r="FO164" s="450">
        <f t="shared" ca="1" si="565"/>
        <v>0.17272730926053848</v>
      </c>
      <c r="FP164" s="450">
        <f t="shared" ca="1" si="568"/>
        <v>0.17268777144379627</v>
      </c>
      <c r="FQ164" s="450">
        <f t="shared" ca="1" si="568"/>
        <v>0.17247794948367617</v>
      </c>
      <c r="FR164" s="450">
        <f t="shared" ca="1" si="568"/>
        <v>0.17227159727272162</v>
      </c>
      <c r="FS164" s="450">
        <f t="shared" ca="1" si="568"/>
        <v>0.17206883111323559</v>
      </c>
      <c r="FT164" s="450">
        <f t="shared" ca="1" si="568"/>
        <v>0.171869782815119</v>
      </c>
      <c r="FU164" s="450">
        <f t="shared" ca="1" si="568"/>
        <v>0.17167460138987534</v>
      </c>
      <c r="FV164" s="450">
        <f t="shared" ca="1" si="568"/>
        <v>0.17148345493456435</v>
      </c>
      <c r="FW164" s="450">
        <f t="shared" ca="1" si="568"/>
        <v>0.1712965327273461</v>
      </c>
      <c r="FX164" s="450">
        <f t="shared" ca="1" si="568"/>
        <v>0.17111404755881099</v>
      </c>
      <c r="FY164" s="450">
        <f t="shared" ca="1" si="568"/>
        <v>0.17093623832616192</v>
      </c>
      <c r="FZ164" s="450">
        <f t="shared" ca="1" si="568"/>
        <v>0.17076337292055158</v>
      </c>
      <c r="GA164" s="450">
        <f t="shared" ca="1" si="568"/>
        <v>0.17059575144152603</v>
      </c>
      <c r="GB164" s="450">
        <f t="shared" ca="1" si="568"/>
        <v>0.170433709776663</v>
      </c>
      <c r="GC164" s="450">
        <f t="shared" ca="1" si="568"/>
        <v>0.17027762358915383</v>
      </c>
      <c r="GD164" s="450">
        <f t="shared" ca="1" si="568"/>
        <v>0.17012791276138872</v>
      </c>
      <c r="GE164" s="450">
        <f t="shared" ca="1" si="568"/>
        <v>0.16998504634862438</v>
      </c>
      <c r="GF164" s="450">
        <f t="shared" ca="1" si="568"/>
        <v>0.16984954810366906</v>
      </c>
      <c r="GG164" s="450">
        <f t="shared" ca="1" si="568"/>
        <v>0.16972200264135373</v>
      </c>
      <c r="GH164" s="450">
        <f t="shared" ca="1" si="568"/>
        <v>0.16960306232050359</v>
      </c>
      <c r="GI164" s="450">
        <f t="shared" ca="1" si="568"/>
        <v>0.16949345493139767</v>
      </c>
      <c r="GJ164" s="450">
        <f t="shared" ca="1" si="568"/>
        <v>0.16939399228850455</v>
      </c>
      <c r="GK164" s="450">
        <f t="shared" ca="1" si="568"/>
        <v>0.1693055798418896</v>
      </c>
      <c r="GL164" s="450">
        <f t="shared" ca="1" si="568"/>
        <v>0.16922922743642774</v>
      </c>
      <c r="GM164" s="450">
        <f t="shared" ca="1" si="568"/>
        <v>0.1691660613661965</v>
      </c>
      <c r="GN164" s="450">
        <f t="shared" ca="1" si="568"/>
        <v>0.1691173378926572</v>
      </c>
      <c r="GO164" s="450">
        <f t="shared" ca="1" si="568"/>
        <v>0.16908445842000075</v>
      </c>
      <c r="GP164" s="450">
        <f t="shared" ca="1" si="568"/>
        <v>0.16906898655005584</v>
      </c>
      <c r="GQ164" s="450">
        <f t="shared" ca="1" si="568"/>
        <v>0.16907266727324533</v>
      </c>
      <c r="GR164" s="450">
        <f t="shared" ca="1" si="568"/>
        <v>0.1690974485922922</v>
      </c>
      <c r="GS164" s="450">
        <f t="shared" ca="1" si="568"/>
        <v>0.16914550592297209</v>
      </c>
      <c r="GT164" s="450">
        <f t="shared" ca="1" si="568"/>
        <v>0.16921926967275641</v>
      </c>
      <c r="GU164" s="450">
        <f t="shared" ca="1" si="568"/>
        <v>0.16932145646564106</v>
      </c>
      <c r="GV164" s="450">
        <f t="shared" ca="1" si="568"/>
        <v>0.16945510456219881</v>
      </c>
      <c r="GW164" s="450">
        <f t="shared" ca="1" si="568"/>
        <v>0.16962361412096572</v>
      </c>
      <c r="GX164" s="450">
        <f t="shared" ca="1" si="568"/>
        <v>0.16983079306441332</v>
      </c>
      <c r="GY164" s="450">
        <f t="shared" ca="1" si="568"/>
        <v>0.17008090945472076</v>
      </c>
      <c r="GZ164" s="450">
        <f t="shared" ca="1" si="568"/>
        <v>0.17037875145730219</v>
      </c>
      <c r="HA164" s="450">
        <f t="shared" ca="1" si="568"/>
        <v>0.17072969618114078</v>
      </c>
      <c r="HB164" s="450">
        <f t="shared" ca="1" si="568"/>
        <v>0.17113978894405651</v>
      </c>
      <c r="HC164" s="450">
        <f t="shared" ca="1" si="568"/>
        <v>0.17161583483039483</v>
      </c>
      <c r="HD164" s="450">
        <f t="shared" ca="1" si="568"/>
        <v>0.17216550480408604</v>
      </c>
      <c r="HE164" s="450">
        <f t="shared" ca="1" si="568"/>
        <v>0.17279745913197417</v>
      </c>
      <c r="HF164" s="450">
        <f t="shared" ca="1" si="568"/>
        <v>0.1735214914872395</v>
      </c>
      <c r="HG164" s="450">
        <f t="shared" ca="1" si="568"/>
        <v>0.17434869787513638</v>
      </c>
      <c r="HH164" s="450">
        <f t="shared" ca="1" si="568"/>
        <v>0.1752916754984413</v>
      </c>
      <c r="HI164" s="450">
        <f t="shared" ca="1" si="568"/>
        <v>0.17636475791768605</v>
      </c>
      <c r="HJ164" s="450">
        <f t="shared" ca="1" si="568"/>
        <v>0.17758429444077597</v>
      </c>
      <c r="HK164" s="450">
        <f t="shared" ca="1" si="568"/>
        <v>0.1789689837039754</v>
      </c>
      <c r="HL164" s="450">
        <f t="shared" ca="1" si="568"/>
        <v>0.18054027402413728</v>
      </c>
      <c r="HM164" s="450">
        <f t="shared" ca="1" si="568"/>
        <v>0.18232284650380085</v>
      </c>
      <c r="HN164" s="450">
        <f t="shared" ca="1" si="568"/>
        <v>0.18434520132039831</v>
      </c>
      <c r="HO164" s="450">
        <f t="shared" ca="1" si="568"/>
        <v>0.18664037349170098</v>
      </c>
      <c r="HP164" s="450">
        <f t="shared" ca="1" si="568"/>
        <v>0.18924681218618494</v>
      </c>
      <c r="HQ164" s="450">
        <f t="shared" ca="1" si="568"/>
        <v>0.19220946804541503</v>
      </c>
      <c r="HR164" s="450">
        <f t="shared" ca="1" si="568"/>
        <v>0.19558114700382614</v>
      </c>
      <c r="HS164" s="450">
        <f t="shared" ca="1" si="568"/>
        <v>0.19942420815344955</v>
      </c>
      <c r="HT164" s="450">
        <f t="shared" ca="1" si="568"/>
        <v>0.20381270936014667</v>
      </c>
      <c r="HU164" s="450">
        <f t="shared" ca="1" si="568"/>
        <v>0.20883514058556771</v>
      </c>
      <c r="HV164" s="450">
        <f t="shared" ca="1" si="568"/>
        <v>0.21459793561561555</v>
      </c>
      <c r="HW164" s="450">
        <f t="shared" ca="1" si="568"/>
        <v>0.2212300247222839</v>
      </c>
      <c r="HX164" s="450">
        <f t="shared" ca="1" si="568"/>
        <v>0.22888879363777651</v>
      </c>
      <c r="HY164" s="450">
        <f t="shared" ca="1" si="568"/>
        <v>0.23776796333897385</v>
      </c>
      <c r="HZ164" s="450">
        <f t="shared" ca="1" si="568"/>
        <v>0.24810812422477888</v>
      </c>
      <c r="IA164" s="450">
        <f t="shared" ref="IA164:IH166" ca="1" si="569">IF($FN89&lt;IA$94,"",SQRT(IA89/IA$15))</f>
        <v>0.26021098474594651</v>
      </c>
      <c r="IB164" s="450">
        <f t="shared" ca="1" si="569"/>
        <v>0.2744588885227916</v>
      </c>
      <c r="IC164" s="450">
        <f t="shared" ca="1" si="569"/>
        <v>0.29134191373469537</v>
      </c>
      <c r="ID164" s="450">
        <f t="shared" ca="1" si="569"/>
        <v>0.3114960578981168</v>
      </c>
      <c r="IE164" s="450">
        <f t="shared" ca="1" si="569"/>
        <v>0.33575790887465545</v>
      </c>
      <c r="IF164" s="450">
        <f t="shared" ca="1" si="569"/>
        <v>0.36524429443935358</v>
      </c>
      <c r="IG164" s="450" t="str">
        <f t="shared" si="569"/>
        <v/>
      </c>
      <c r="IH164" s="658" t="str">
        <f t="shared" si="569"/>
        <v/>
      </c>
      <c r="II164" s="242"/>
    </row>
    <row r="165" spans="8:243">
      <c r="H165" s="49" t="e">
        <f t="shared" ca="1" si="529"/>
        <v>#N/A</v>
      </c>
      <c r="I165" s="369">
        <f t="shared" si="530"/>
        <v>41426</v>
      </c>
      <c r="J165" s="367">
        <v>23.009999999999902</v>
      </c>
      <c r="K165" s="101" t="s">
        <v>267</v>
      </c>
      <c r="L165" s="382">
        <f t="shared" si="531"/>
        <v>23.009999999999923</v>
      </c>
      <c r="M165" s="163">
        <v>0.15310000000000001</v>
      </c>
      <c r="N165" s="372">
        <v>0</v>
      </c>
      <c r="O165" s="163">
        <f t="shared" si="488"/>
        <v>0.15310000000000001</v>
      </c>
      <c r="P165" s="367">
        <v>21.5391989909686</v>
      </c>
      <c r="Q165" s="101" t="s">
        <v>267</v>
      </c>
      <c r="R165" s="367">
        <f t="shared" ca="1" si="549"/>
        <v>21.539198990968611</v>
      </c>
      <c r="S165" s="814">
        <f t="shared" si="474"/>
        <v>0.35176083146202075</v>
      </c>
      <c r="T165" s="813">
        <f t="shared" si="550"/>
        <v>0.99999998190330641</v>
      </c>
      <c r="U165" s="532">
        <f t="shared" si="551"/>
        <v>0.99999999999999978</v>
      </c>
      <c r="V165" s="379">
        <v>0</v>
      </c>
      <c r="W165" s="424">
        <f t="shared" si="489"/>
        <v>23.042499999999897</v>
      </c>
      <c r="X165" s="405">
        <f t="shared" si="490"/>
        <v>23.042499999999922</v>
      </c>
      <c r="Y165" s="313">
        <f t="shared" si="491"/>
        <v>21.698499999999896</v>
      </c>
      <c r="Z165" s="313">
        <f t="shared" ca="1" si="492"/>
        <v>21.698499999999921</v>
      </c>
      <c r="AA165" s="419">
        <f t="shared" si="493"/>
        <v>1.3440000000000001</v>
      </c>
      <c r="AB165" s="423">
        <f t="shared" ca="1" si="494"/>
        <v>1.3440000000000001</v>
      </c>
      <c r="AC165" s="221">
        <v>41414</v>
      </c>
      <c r="AD165" s="221">
        <v>41410</v>
      </c>
      <c r="AE165" s="221">
        <v>41409</v>
      </c>
      <c r="AF165" s="221">
        <v>41405</v>
      </c>
      <c r="AG165" s="241" t="s">
        <v>497</v>
      </c>
      <c r="AH165" s="239" t="s">
        <v>497</v>
      </c>
      <c r="AI165" s="141">
        <v>20</v>
      </c>
      <c r="AJ165" s="41">
        <v>14</v>
      </c>
      <c r="AK165" s="41">
        <v>6</v>
      </c>
      <c r="AL165" s="285">
        <v>20</v>
      </c>
      <c r="AM165" s="41">
        <v>10</v>
      </c>
      <c r="AN165" s="142">
        <v>10</v>
      </c>
      <c r="AO165" s="364">
        <v>6.0434404971227096E-2</v>
      </c>
      <c r="AP165" s="145">
        <f t="shared" ca="1" si="532"/>
        <v>0.48295173936801628</v>
      </c>
      <c r="AQ165" s="364">
        <v>5.2686854263732603E-2</v>
      </c>
      <c r="AR165" s="145">
        <f t="shared" ca="1" si="552"/>
        <v>0.53295084880874644</v>
      </c>
      <c r="AS165" s="264">
        <f t="shared" si="495"/>
        <v>0.15257999999999999</v>
      </c>
      <c r="AT165" s="149">
        <f t="shared" si="533"/>
        <v>0.15310000000000001</v>
      </c>
      <c r="AU165" s="149">
        <f t="shared" si="496"/>
        <v>0.15250000000000002</v>
      </c>
      <c r="AV165" s="263">
        <f t="shared" ca="1" si="560"/>
        <v>0.15084500464635731</v>
      </c>
      <c r="AW165" s="150" t="str">
        <f t="shared" ca="1" si="497"/>
        <v/>
      </c>
      <c r="AX165" s="149">
        <f t="shared" ca="1" si="553"/>
        <v>8.4026533319523436E-3</v>
      </c>
      <c r="AY165" s="149">
        <f t="shared" ca="1" si="554"/>
        <v>3.1516360024928655E-3</v>
      </c>
      <c r="AZ165" s="149">
        <f t="shared" ca="1" si="555"/>
        <v>2.7638411257776959E-3</v>
      </c>
      <c r="BA165" s="149">
        <f t="shared" ca="1" si="556"/>
        <v>1.0000000000000656E-4</v>
      </c>
      <c r="BB165" s="149">
        <f t="shared" ca="1" si="557"/>
        <v>1.0000000000000656E-4</v>
      </c>
      <c r="BC165" s="149">
        <f t="shared" ca="1" si="558"/>
        <v>1.0000000000000656E-4</v>
      </c>
      <c r="BD165" s="143">
        <f t="shared" ca="1" si="498"/>
        <v>0</v>
      </c>
      <c r="BE165" s="144">
        <f t="shared" ca="1" si="499"/>
        <v>0</v>
      </c>
      <c r="BF165" s="40">
        <f t="shared" si="500"/>
        <v>2013</v>
      </c>
      <c r="BG165" s="139">
        <f t="shared" si="501"/>
        <v>6</v>
      </c>
      <c r="BH165" s="140">
        <f t="shared" ca="1" si="502"/>
        <v>4420</v>
      </c>
      <c r="BI165" s="304">
        <f t="shared" ref="BI165:BI196" ca="1" si="570">(I165-DateToday+1)/365.25</f>
        <v>12.145106091718</v>
      </c>
      <c r="BJ165" s="42">
        <f t="shared" ca="1" si="503"/>
        <v>12.200684462696783</v>
      </c>
      <c r="BK165" s="42">
        <f t="shared" ca="1" si="504"/>
        <v>12.203422313483916</v>
      </c>
      <c r="BL165" s="42">
        <f t="shared" ref="BL165:BL196" ca="1" si="571">(I166-DateToday)/365.25</f>
        <v>12.224503764544833</v>
      </c>
      <c r="BM165" s="285">
        <f t="shared" ref="BM165:BM196" si="572">CHOOSE(Underlying,AI165,AL165)</f>
        <v>20</v>
      </c>
      <c r="BN165" s="41">
        <f t="shared" ref="BN165:BN196" si="573">CHOOSE(Underlying,AJ165,AM165)</f>
        <v>14</v>
      </c>
      <c r="BO165" s="41">
        <f t="shared" ref="BO165:BO196" si="574">CHOOSE(Underlying,AK165,AN165)</f>
        <v>6</v>
      </c>
      <c r="BP165" s="297" t="str">
        <f t="shared" ca="1" si="505"/>
        <v/>
      </c>
      <c r="BQ165" s="297" t="str">
        <f t="shared" ca="1" si="506"/>
        <v/>
      </c>
      <c r="BR165" s="299" t="str">
        <f t="shared" ca="1" si="507"/>
        <v/>
      </c>
      <c r="BS165" s="153" t="str">
        <f t="shared" ca="1" si="508"/>
        <v/>
      </c>
      <c r="BT165" s="153" t="str">
        <f t="shared" ca="1" si="509"/>
        <v/>
      </c>
      <c r="BU165" s="300" t="str">
        <f t="shared" ca="1" si="510"/>
        <v/>
      </c>
      <c r="BV165" s="301" t="str">
        <f t="shared" ca="1" si="511"/>
        <v/>
      </c>
      <c r="BW165" s="300" t="str">
        <f t="shared" ca="1" si="512"/>
        <v/>
      </c>
      <c r="BX165" s="301" t="str">
        <f t="shared" ca="1" si="513"/>
        <v/>
      </c>
      <c r="BY165" s="146" t="str">
        <f t="shared" ca="1" si="514"/>
        <v/>
      </c>
      <c r="BZ165" s="146" t="str">
        <f t="shared" ca="1" si="515"/>
        <v/>
      </c>
      <c r="CA165" s="146" t="str">
        <f t="shared" ca="1" si="516"/>
        <v/>
      </c>
      <c r="CB165" s="146" t="str">
        <f t="shared" ca="1" si="517"/>
        <v/>
      </c>
      <c r="CC165" s="302">
        <v>1</v>
      </c>
      <c r="CD165" s="154">
        <f ca="1">IF(BD165,_xll.xCrudeAPO(BS165,BT165,BY165,BZ165,S166,S167,BI165,BL165,BN165,BO165,0,Strike1,AO165,CC165,0,BL165,IF(OptControl=4,0,1),0,1),0)</f>
        <v>0</v>
      </c>
      <c r="CE165" s="155">
        <f ca="1">IF(BD165,_xll.xCrudeAPO(BS165,BT165,BY165,BZ165,S166,S167,BI165,BL165,BN165,BO165,0,Strike1,AO165,CC165,0,BL165,IF(OptControl=4,0,1),1,1)+_xll.xCrudeAPO(BS165,BT165,BY165,BZ165,S166,S167,BI165,BL165,BN165,BO165,0,Strike1,AO165,CC165,0,BL165,IF(OptControl=4,0,1),1,2)+IF(OR(VolSkewFlag=2,ABS(BQ165)&lt;0.0001),0,IF(BQ165&gt;0,-1,1)*CF165*Strike1/BP165^2*BW165/10%),0)</f>
        <v>0</v>
      </c>
      <c r="CF165" s="155">
        <f ca="1">IF(BD165,(_xll.xCrudeAPO(BS165,BT165,BY165,BZ165,S166,S167,BI165,BL165,BN165,BO165,0,Strike1,AO165,CC165,0,BL165,IF(OptControl=4,0,1),3,1)+_xll.xCrudeAPO(BS165,BT165,BY165,BZ165,S166,S167,BI165,BL165,BN165,BO165,0,Strike1,AO165,CC165,0,BL165,IF(OptControl=4,0,1),3,2))/100,0)</f>
        <v>0</v>
      </c>
      <c r="CG165" s="155">
        <f ca="1">IF(BD165,_xll.xCrudeAPO(BS165,BT165,BY165,BZ165,S166,S167,BI165-DaysForThetaCalculation/365.25,BL165-DaysForThetaCalculation/365.25,BN165,BO165,0,Strike1,AO165,CC165,0,BL165,IF(OptControl=4,0,1),0,1)-_xll.xCrudeAPO(BS165,BT165,BY165,BZ165,S166,S167,BI165,BL165,BN165,BO165,0,Strike1,AO165,CC165,0,BL165,IF(OptControl=4,0,1),0,1),0)</f>
        <v>0</v>
      </c>
      <c r="CH165" s="303">
        <f ca="1">IF(BD165,_xll.xCrudeAPO(BS165,BT165,CA165,CB165,S166,S167,BI165,BL165,BN165,BO165,0,Strike2,AO165,CC165,0,BL165,IF(OptControl=3,1,0),0,1),0)</f>
        <v>0</v>
      </c>
      <c r="CI165" s="155">
        <f ca="1">IF(BD165,_xll.xCrudeAPO(BS165,BT165,CA165,CB165,S166,S167,BI165,BL165,BN165,BO165,0,Strike2,AO165,CC165,0,BL165,IF(OptControl=3,1,0),1,1)+_xll.xCrudeAPO(BS165,BT165,CA165,CB165,S166,S167,BI165,BL165,BN165,BO165,0,Strike2,AO165,CC165,0,BL165,IF(OptControl=3,1,0),1,2)+IF(OR(VolSkewFlag=2,ABS(BR165)&lt;0.0001),0,IF(BR165&gt;0,-1,1)*CJ165*Strike2/BP165^2*BX165/10%),0)</f>
        <v>0</v>
      </c>
      <c r="CJ165" s="155">
        <f ca="1">IF(BD165,(_xll.xCrudeAPO(BS165,BT165,CA165,CB165,S166,S167,BI165,BL165,BN165,BO165,0,Strike2,AO165,CC165,0,BL165,IF(OptControl=3,1,0),3,1)+_xll.xCrudeAPO(BS165,BT165,CA165,CB165,S166,S167,BI165,BL165,BN165,BO165,0,Strike2,AO165,CC165,0,BL165,IF(OptControl=3,1,0),3,2))/100,0)</f>
        <v>0</v>
      </c>
      <c r="CK165" s="156">
        <f ca="1">IF(BD165,_xll.xCrudeAPO(BS165,BT165,CA165,CB165,S166,S167,BI165-DaysForThetaCalculation/365.25,BL165-DaysForThetaCalculation/365.25,BN165,BO165,0,Strike2,AO165,CC165,0,BL165,IF(OptControl=3,1,0),0,1)-_xll.xCrudeAPO(BS165,BT165,CA165,CB165,S166,S167,BI165,BL165,BN165,BO165,0,Strike2,AO165,CC165,0,BL165,IF(OptControl=3,1,0),0,1),0)</f>
        <v>0</v>
      </c>
      <c r="CL165" s="51"/>
      <c r="CM165" s="779" t="str">
        <f t="shared" ca="1" si="534"/>
        <v/>
      </c>
      <c r="CN165" s="783" t="str">
        <f t="shared" ca="1" si="535"/>
        <v/>
      </c>
      <c r="CO165" s="780" t="str">
        <f t="shared" ca="1" si="536"/>
        <v/>
      </c>
      <c r="CP165" s="780" t="str">
        <f t="shared" ca="1" si="537"/>
        <v/>
      </c>
      <c r="CQ165" s="780" t="str">
        <f t="shared" ca="1" si="538"/>
        <v/>
      </c>
      <c r="CR165" s="780" t="str">
        <f t="shared" ca="1" si="539"/>
        <v/>
      </c>
      <c r="CS165" s="781" t="str">
        <f t="shared" ca="1" si="540"/>
        <v/>
      </c>
      <c r="CT165" s="782" t="str">
        <f t="shared" ca="1" si="541"/>
        <v/>
      </c>
      <c r="CU165" s="782" t="str">
        <f t="shared" ca="1" si="542"/>
        <v/>
      </c>
      <c r="CV165" s="155">
        <f ca="1">IF(BD165,_xll.EURO(CN165,Strike1,AO165,AO165,CT165,CM165,IF(OptControl=4,0,1),0),0)</f>
        <v>0</v>
      </c>
      <c r="CW165" s="155">
        <f ca="1">IF(BD165,_xll.EURO(CN165,Strike1,AO165,AO165,CT165,CM165,IF(OptControl=4,0,1),1)+IF(OR(VolSkewFlag=2,ABS(CO165)&lt;0.0001),0,IF(CO165&gt;0,-1,1)*CX165*100*Strike1/CN165^2*CQ165/10%),0)</f>
        <v>0</v>
      </c>
      <c r="CX165" s="155">
        <f ca="1">IF(BD165,_xll.EURO(CN165,Strike1,AO165,AO165,CT165,CM165,IF(OptControl=4,0,1),3)/100,0)</f>
        <v>0</v>
      </c>
      <c r="CY165" s="155">
        <f ca="1">IF(BD165,_xll.EURO(CN165,Strike1,AO165,AO165,CT165,CM165,IF(OptControl=4,0,1),0)-_xll.EURO(CN165,Strike1,AO165,AO165,CT165,CM165-1,IF(OptControl=4,0,1),0),0)</f>
        <v>0</v>
      </c>
      <c r="CZ165" s="155">
        <f ca="1">IF(BD165,_xll.EURO(CN165,Strike2,AO165,AO165,CU165,CM165,IF(OptControl=3,1,0),0),0)</f>
        <v>0</v>
      </c>
      <c r="DA165" s="155">
        <f ca="1">IF(BD165,_xll.EURO(CN165,Strike2,AO165,AO165,CU165,CM165,IF(OptControl=3,1,0),1)+IF(OR(VolSkewFlag=2,ABS(CP165)&lt;0.0001),0,IF(CP165&gt;0,-1,1)*DB165*100*Strike2/CN165^2*CR165/10%),0)</f>
        <v>0</v>
      </c>
      <c r="DB165" s="155">
        <f ca="1">IF(BD165,_xll.EURO(CN165,Strike2,AO165,AO165,CU165,CM165,IF(OptControl=3,1,0),3)/100,0)</f>
        <v>0</v>
      </c>
      <c r="DC165" s="156">
        <f ca="1">IF(BD165,_xll.EURO(CN165,Strike2,AO165,AO165,CU165,CM165,IF(OptControl=3,1,0),0)-_xll.EURO(CN165,Strike2,AO165,AO165,CU165,CM165-1,IF(OptControl=3,1,0),0),0)</f>
        <v>0</v>
      </c>
      <c r="DE165" s="651">
        <f t="shared" ca="1" si="543"/>
        <v>41334</v>
      </c>
      <c r="DF165" s="465">
        <v>1E-4</v>
      </c>
      <c r="DG165" s="649">
        <v>1E-4</v>
      </c>
      <c r="DH165" s="650">
        <f t="shared" ca="1" si="518"/>
        <v>41334</v>
      </c>
      <c r="DI165" s="465">
        <v>1E-4</v>
      </c>
      <c r="DJ165" s="649">
        <v>1E-4</v>
      </c>
      <c r="DK165" s="651">
        <f t="shared" ca="1" si="519"/>
        <v>41334</v>
      </c>
      <c r="DL165" s="652">
        <f t="shared" si="520"/>
        <v>5.0100000000000006E-2</v>
      </c>
      <c r="DM165" s="651">
        <f t="shared" ca="1" si="544"/>
        <v>41334</v>
      </c>
      <c r="DN165" s="563">
        <f t="shared" si="545"/>
        <v>-0.12990000000000002</v>
      </c>
      <c r="DO165" s="803">
        <v>-0.13</v>
      </c>
      <c r="DP165" s="650">
        <f t="shared" ca="1" si="521"/>
        <v>41334</v>
      </c>
      <c r="DQ165" s="653">
        <v>1E-4</v>
      </c>
      <c r="DR165" s="590">
        <v>1E-4</v>
      </c>
      <c r="DS165" s="650">
        <f t="shared" ca="1" si="522"/>
        <v>41334</v>
      </c>
      <c r="DT165" s="653">
        <v>1E-4</v>
      </c>
      <c r="DU165" s="590">
        <v>1E-4</v>
      </c>
      <c r="DV165" s="651">
        <f t="shared" ca="1" si="523"/>
        <v>41334</v>
      </c>
      <c r="DW165" s="590">
        <v>1E-4</v>
      </c>
      <c r="DX165" s="651">
        <f t="shared" ca="1" si="546"/>
        <v>41334</v>
      </c>
      <c r="DY165" s="590">
        <f t="shared" si="547"/>
        <v>1E-4</v>
      </c>
      <c r="DZ165" s="1"/>
      <c r="EA165" s="857"/>
      <c r="EB165" s="857"/>
      <c r="EC165" s="857"/>
      <c r="ED165" s="868" t="e">
        <f t="shared" ca="1" si="566"/>
        <v>#NAME?</v>
      </c>
      <c r="EE165" s="863" t="e">
        <f t="shared" ca="1" si="524"/>
        <v>#NAME?</v>
      </c>
      <c r="EF165" s="590" t="e">
        <f t="shared" ca="1" si="525"/>
        <v>#NAME?</v>
      </c>
      <c r="EG165" s="862" t="str">
        <f t="shared" ca="1" si="526"/>
        <v/>
      </c>
      <c r="EH165" s="114" t="str">
        <f t="shared" ca="1" si="527"/>
        <v/>
      </c>
      <c r="EI165" s="109" t="str">
        <f t="shared" ca="1" si="528"/>
        <v/>
      </c>
      <c r="EJ165" s="115">
        <f ca="1">IF(BD165,_xll.xASN(BP165,Strike1,AO165,EH165,0,BM165,0,BI165,BL165,IF(OptControl=4,0,1),0),0)</f>
        <v>0</v>
      </c>
      <c r="EK165" s="108">
        <f ca="1">IF(BD165,_xll.xASN(BP165,Strike2,AO165,EI165,0,BM165,0,BI165,BL165,IF(OptControl=3,1,0),0),0)</f>
        <v>0</v>
      </c>
      <c r="EP165" s="53"/>
      <c r="EQ165" s="1"/>
      <c r="ER165" s="103"/>
      <c r="ES165" s="103"/>
      <c r="ET165" s="1"/>
      <c r="EU165" s="667" t="s">
        <v>377</v>
      </c>
      <c r="EW165" s="445"/>
      <c r="EX165" s="36"/>
      <c r="EY165" s="104"/>
      <c r="EZ165" s="465"/>
      <c r="FA165" s="446"/>
      <c r="FB165" s="446"/>
      <c r="FC165" s="242"/>
      <c r="FD165" s="242"/>
      <c r="FE165" s="242"/>
      <c r="FF165" s="242"/>
      <c r="FG165" s="242"/>
      <c r="FH165" s="242"/>
      <c r="FI165" s="242"/>
      <c r="FJ165" s="242"/>
      <c r="FK165" s="242"/>
      <c r="FL165" s="242"/>
      <c r="FM165" s="242"/>
      <c r="FN165" s="657">
        <v>71</v>
      </c>
      <c r="FO165" s="450">
        <f t="shared" ca="1" si="565"/>
        <v>0.17271792194707838</v>
      </c>
      <c r="FP165" s="450">
        <f t="shared" ref="FP165:IA166" ca="1" si="575">IF($FN90&lt;FP$94,"",SQRT(FP90/FP$15))</f>
        <v>0.17267734345155925</v>
      </c>
      <c r="FQ165" s="450">
        <f t="shared" ca="1" si="575"/>
        <v>0.17246637686502214</v>
      </c>
      <c r="FR165" s="450">
        <f t="shared" ca="1" si="575"/>
        <v>0.17225875414351083</v>
      </c>
      <c r="FS165" s="450">
        <f t="shared" ca="1" si="575"/>
        <v>0.17205457770679441</v>
      </c>
      <c r="FT165" s="450">
        <f t="shared" ca="1" si="575"/>
        <v>0.17185396394433988</v>
      </c>
      <c r="FU165" s="450">
        <f t="shared" ca="1" si="575"/>
        <v>0.17165704473752927</v>
      </c>
      <c r="FV165" s="450">
        <f t="shared" ca="1" si="575"/>
        <v>0.17146396915232726</v>
      </c>
      <c r="FW165" s="450">
        <f t="shared" ca="1" si="575"/>
        <v>0.17127490532175671</v>
      </c>
      <c r="FX165" s="450">
        <f t="shared" ca="1" si="575"/>
        <v>0.17109004253981172</v>
      </c>
      <c r="FY165" s="450">
        <f t="shared" ca="1" si="575"/>
        <v>0.17090959359098654</v>
      </c>
      <c r="FZ165" s="450">
        <f t="shared" ca="1" si="575"/>
        <v>0.17073379734246966</v>
      </c>
      <c r="GA165" s="450">
        <f t="shared" ca="1" si="575"/>
        <v>0.17056292162928144</v>
      </c>
      <c r="GB165" s="450">
        <f t="shared" ca="1" si="575"/>
        <v>0.1703972664662943</v>
      </c>
      <c r="GC165" s="450">
        <f t="shared" ca="1" si="575"/>
        <v>0.17023716762518637</v>
      </c>
      <c r="GD165" s="450">
        <f t="shared" ca="1" si="575"/>
        <v>0.1700830006190594</v>
      </c>
      <c r="GE165" s="450">
        <f t="shared" ca="1" si="575"/>
        <v>0.16993518514274678</v>
      </c>
      <c r="GF165" s="450">
        <f t="shared" ca="1" si="575"/>
        <v>0.16979419002285279</v>
      </c>
      <c r="GG165" s="450">
        <f t="shared" ca="1" si="575"/>
        <v>0.16966053873842607</v>
      </c>
      <c r="GH165" s="450">
        <f t="shared" ca="1" si="575"/>
        <v>0.16953481558098435</v>
      </c>
      <c r="GI165" s="450">
        <f t="shared" ca="1" si="575"/>
        <v>0.16941767253156212</v>
      </c>
      <c r="GJ165" s="450">
        <f t="shared" ca="1" si="575"/>
        <v>0.16930983694271051</v>
      </c>
      <c r="GK165" s="450">
        <f t="shared" ca="1" si="575"/>
        <v>0.16921212012517284</v>
      </c>
      <c r="GL165" s="450">
        <f t="shared" ca="1" si="575"/>
        <v>0.16912542695256513</v>
      </c>
      <c r="GM165" s="450">
        <f t="shared" ca="1" si="575"/>
        <v>0.16905076661310928</v>
      </c>
      <c r="GN165" s="450">
        <f t="shared" ca="1" si="575"/>
        <v>0.16898926465570641</v>
      </c>
      <c r="GO165" s="450">
        <f t="shared" ca="1" si="575"/>
        <v>0.16894217649884721</v>
      </c>
      <c r="GP165" s="450">
        <f t="shared" ca="1" si="575"/>
        <v>0.16891090259562333</v>
      </c>
      <c r="GQ165" s="450">
        <f t="shared" ca="1" si="575"/>
        <v>0.16889700547709027</v>
      </c>
      <c r="GR165" s="450">
        <f t="shared" ca="1" si="575"/>
        <v>0.1689022289303142</v>
      </c>
      <c r="GS165" s="450">
        <f t="shared" ca="1" si="575"/>
        <v>0.16892851960761687</v>
      </c>
      <c r="GT165" s="450">
        <f t="shared" ca="1" si="575"/>
        <v>0.16897805141109981</v>
      </c>
      <c r="GU165" s="450">
        <f t="shared" ca="1" si="575"/>
        <v>0.16905325305304666</v>
      </c>
      <c r="GV165" s="450">
        <f t="shared" ca="1" si="575"/>
        <v>0.16915683926020009</v>
      </c>
      <c r="GW165" s="450">
        <f t="shared" ca="1" si="575"/>
        <v>0.16929184617061446</v>
      </c>
      <c r="GX165" s="450">
        <f t="shared" ca="1" si="575"/>
        <v>0.16946167156878675</v>
      </c>
      <c r="GY165" s="450">
        <f t="shared" ca="1" si="575"/>
        <v>0.16967012072184345</v>
      </c>
      <c r="GZ165" s="450">
        <f t="shared" ca="1" si="575"/>
        <v>0.16992145872142775</v>
      </c>
      <c r="HA165" s="450">
        <f t="shared" ca="1" si="575"/>
        <v>0.17022047040856808</v>
      </c>
      <c r="HB165" s="450">
        <f t="shared" ca="1" si="575"/>
        <v>0.17057252916977159</v>
      </c>
      <c r="HC165" s="450">
        <f t="shared" ca="1" si="575"/>
        <v>0.17098367615149393</v>
      </c>
      <c r="HD165" s="450">
        <f t="shared" ca="1" si="575"/>
        <v>0.17146071175930366</v>
      </c>
      <c r="HE165" s="450">
        <f t="shared" ca="1" si="575"/>
        <v>0.17201130170326204</v>
      </c>
      <c r="HF165" s="450">
        <f t="shared" ca="1" si="575"/>
        <v>0.17264410034268929</v>
      </c>
      <c r="HG165" s="450">
        <f t="shared" ca="1" si="575"/>
        <v>0.1733688946980147</v>
      </c>
      <c r="HH165" s="450">
        <f t="shared" ca="1" si="575"/>
        <v>0.174196773269329</v>
      </c>
      <c r="HI165" s="450">
        <f t="shared" ca="1" si="575"/>
        <v>0.17514032477580971</v>
      </c>
      <c r="HJ165" s="450">
        <f t="shared" ca="1" si="575"/>
        <v>0.17621387316709627</v>
      </c>
      <c r="HK165" s="450">
        <f t="shared" ca="1" si="575"/>
        <v>0.17743375683622287</v>
      </c>
      <c r="HL165" s="450">
        <f t="shared" ca="1" si="575"/>
        <v>0.17881866198982851</v>
      </c>
      <c r="HM165" s="450">
        <f t="shared" ca="1" si="575"/>
        <v>0.18039002274761923</v>
      </c>
      <c r="HN165" s="450">
        <f t="shared" ca="1" si="575"/>
        <v>0.18217250394267553</v>
      </c>
      <c r="HO165" s="450">
        <f t="shared" ca="1" si="575"/>
        <v>0.18419458704103733</v>
      </c>
      <c r="HP165" s="450">
        <f t="shared" ca="1" si="575"/>
        <v>0.18648928545623458</v>
      </c>
      <c r="HQ165" s="450">
        <f t="shared" ca="1" si="575"/>
        <v>0.18909502330613467</v>
      </c>
      <c r="HR165" s="450">
        <f t="shared" ca="1" si="575"/>
        <v>0.1920567220514392</v>
      </c>
      <c r="HS165" s="450">
        <f t="shared" ca="1" si="575"/>
        <v>0.19542715346473466</v>
      </c>
      <c r="HT165" s="450">
        <f t="shared" ca="1" si="575"/>
        <v>0.19926863642936155</v>
      </c>
      <c r="HU165" s="450">
        <f t="shared" ca="1" si="575"/>
        <v>0.2036551812101938</v>
      </c>
      <c r="HV165" s="450">
        <f t="shared" ca="1" si="575"/>
        <v>0.20867522106368447</v>
      </c>
      <c r="HW165" s="450">
        <f t="shared" ca="1" si="575"/>
        <v>0.21443512176979815</v>
      </c>
      <c r="HX165" s="450">
        <f t="shared" ca="1" si="575"/>
        <v>0.22106373145031591</v>
      </c>
      <c r="HY165" s="450">
        <f t="shared" ca="1" si="575"/>
        <v>0.22871833582681181</v>
      </c>
      <c r="HZ165" s="450">
        <f t="shared" ca="1" si="575"/>
        <v>0.23759253309925216</v>
      </c>
      <c r="IA165" s="450">
        <f t="shared" ca="1" si="575"/>
        <v>0.24792676157642268</v>
      </c>
      <c r="IB165" s="450">
        <f t="shared" ca="1" si="569"/>
        <v>0.26002253946680609</v>
      </c>
      <c r="IC165" s="450">
        <f t="shared" ca="1" si="569"/>
        <v>0.27426196991278701</v>
      </c>
      <c r="ID165" s="450">
        <f t="shared" ca="1" si="569"/>
        <v>0.29113482363664106</v>
      </c>
      <c r="IE165" s="450">
        <f t="shared" ca="1" si="569"/>
        <v>0.31127670017620573</v>
      </c>
      <c r="IF165" s="450">
        <f t="shared" ca="1" si="569"/>
        <v>0.33552366526097332</v>
      </c>
      <c r="IG165" s="450">
        <f t="shared" ca="1" si="569"/>
        <v>0.36499185149496005</v>
      </c>
      <c r="IH165" s="658" t="str">
        <f t="shared" si="569"/>
        <v/>
      </c>
      <c r="II165" s="242"/>
    </row>
    <row r="166" spans="8:243">
      <c r="H166" s="49" t="e">
        <f t="shared" ca="1" si="529"/>
        <v>#N/A</v>
      </c>
      <c r="I166" s="369">
        <f t="shared" si="530"/>
        <v>41456</v>
      </c>
      <c r="J166" s="367">
        <v>23.034999999999901</v>
      </c>
      <c r="K166" s="101" t="s">
        <v>267</v>
      </c>
      <c r="L166" s="382">
        <f t="shared" si="531"/>
        <v>23.034999999999922</v>
      </c>
      <c r="M166" s="163">
        <v>0.1527</v>
      </c>
      <c r="N166" s="372">
        <v>0</v>
      </c>
      <c r="O166" s="163">
        <f t="shared" si="488"/>
        <v>0.1527</v>
      </c>
      <c r="P166" s="367">
        <v>21.780846930023998</v>
      </c>
      <c r="Q166" s="101" t="s">
        <v>267</v>
      </c>
      <c r="R166" s="367">
        <f t="shared" ca="1" si="549"/>
        <v>21.780846930024005</v>
      </c>
      <c r="S166" s="814">
        <f t="shared" si="474"/>
        <v>0.35164322314740054</v>
      </c>
      <c r="T166" s="813">
        <f t="shared" si="550"/>
        <v>0.99999998371297583</v>
      </c>
      <c r="U166" s="532">
        <f t="shared" si="551"/>
        <v>0.99999999999999978</v>
      </c>
      <c r="V166" s="379">
        <v>0</v>
      </c>
      <c r="W166" s="424">
        <f t="shared" si="489"/>
        <v>23.069090909090811</v>
      </c>
      <c r="X166" s="405">
        <f t="shared" si="490"/>
        <v>23.069090909090832</v>
      </c>
      <c r="Y166" s="313">
        <f t="shared" si="491"/>
        <v>21.75069090909081</v>
      </c>
      <c r="Z166" s="313">
        <f t="shared" ca="1" si="492"/>
        <v>21.750690909090832</v>
      </c>
      <c r="AA166" s="419">
        <f t="shared" si="493"/>
        <v>1.3184</v>
      </c>
      <c r="AB166" s="423">
        <f t="shared" ca="1" si="494"/>
        <v>1.3184</v>
      </c>
      <c r="AC166" s="221">
        <v>41445</v>
      </c>
      <c r="AD166" s="221">
        <v>41441</v>
      </c>
      <c r="AE166" s="221">
        <v>41440</v>
      </c>
      <c r="AF166" s="221">
        <v>41436</v>
      </c>
      <c r="AG166" s="241" t="s">
        <v>497</v>
      </c>
      <c r="AH166" s="239" t="s">
        <v>497</v>
      </c>
      <c r="AI166" s="141">
        <v>22</v>
      </c>
      <c r="AJ166" s="41">
        <v>14</v>
      </c>
      <c r="AK166" s="41">
        <v>8</v>
      </c>
      <c r="AL166" s="285">
        <v>23</v>
      </c>
      <c r="AM166" s="41">
        <v>10</v>
      </c>
      <c r="AN166" s="142">
        <v>13</v>
      </c>
      <c r="AO166" s="364">
        <v>6.0478265500210099E-2</v>
      </c>
      <c r="AP166" s="145">
        <f t="shared" ca="1" si="532"/>
        <v>0.48026564275672118</v>
      </c>
      <c r="AQ166" s="364">
        <v>5.2790429855719807E-2</v>
      </c>
      <c r="AR166" s="145">
        <f t="shared" ca="1" si="552"/>
        <v>0.52995156533151222</v>
      </c>
      <c r="AS166" s="264">
        <f t="shared" si="495"/>
        <v>0.15215454545454546</v>
      </c>
      <c r="AT166" s="149">
        <f t="shared" si="533"/>
        <v>0.1527</v>
      </c>
      <c r="AU166" s="149">
        <f t="shared" si="496"/>
        <v>0.15207391304347825</v>
      </c>
      <c r="AV166" s="263">
        <f t="shared" ca="1" si="560"/>
        <v>0.15037811779870414</v>
      </c>
      <c r="AW166" s="150" t="str">
        <f t="shared" ca="1" si="497"/>
        <v/>
      </c>
      <c r="AX166" s="149">
        <f t="shared" ca="1" si="553"/>
        <v>8.2846110620331433E-3</v>
      </c>
      <c r="AY166" s="149">
        <f t="shared" ca="1" si="554"/>
        <v>3.0974093679081876E-3</v>
      </c>
      <c r="AZ166" s="149">
        <f t="shared" ca="1" si="555"/>
        <v>2.7309019168640235E-3</v>
      </c>
      <c r="BA166" s="149">
        <f t="shared" ca="1" si="556"/>
        <v>1.0000000000000663E-4</v>
      </c>
      <c r="BB166" s="149">
        <f t="shared" ca="1" si="557"/>
        <v>1.0000000000000663E-4</v>
      </c>
      <c r="BC166" s="149">
        <f t="shared" ca="1" si="558"/>
        <v>1.0000000000000663E-4</v>
      </c>
      <c r="BD166" s="143">
        <f t="shared" ca="1" si="498"/>
        <v>0</v>
      </c>
      <c r="BE166" s="144">
        <f t="shared" ca="1" si="499"/>
        <v>0</v>
      </c>
      <c r="BF166" s="40">
        <f t="shared" si="500"/>
        <v>2013</v>
      </c>
      <c r="BG166" s="139">
        <f t="shared" si="501"/>
        <v>7</v>
      </c>
      <c r="BH166" s="140">
        <f t="shared" ca="1" si="502"/>
        <v>4451</v>
      </c>
      <c r="BI166" s="304">
        <f t="shared" ca="1" si="570"/>
        <v>12.227241615331964</v>
      </c>
      <c r="BJ166" s="42">
        <f t="shared" ca="1" si="503"/>
        <v>12.279509675813578</v>
      </c>
      <c r="BK166" s="42">
        <f t="shared" ca="1" si="504"/>
        <v>12.282247526600711</v>
      </c>
      <c r="BL166" s="42">
        <f t="shared" ca="1" si="571"/>
        <v>12.309377138945928</v>
      </c>
      <c r="BM166" s="285">
        <f t="shared" si="572"/>
        <v>22</v>
      </c>
      <c r="BN166" s="41">
        <f t="shared" si="573"/>
        <v>14</v>
      </c>
      <c r="BO166" s="41">
        <f t="shared" si="574"/>
        <v>8</v>
      </c>
      <c r="BP166" s="297" t="str">
        <f t="shared" ca="1" si="505"/>
        <v/>
      </c>
      <c r="BQ166" s="297" t="str">
        <f t="shared" ca="1" si="506"/>
        <v/>
      </c>
      <c r="BR166" s="299" t="str">
        <f t="shared" ca="1" si="507"/>
        <v/>
      </c>
      <c r="BS166" s="153" t="str">
        <f t="shared" ca="1" si="508"/>
        <v/>
      </c>
      <c r="BT166" s="153" t="str">
        <f t="shared" ca="1" si="509"/>
        <v/>
      </c>
      <c r="BU166" s="300" t="str">
        <f t="shared" ca="1" si="510"/>
        <v/>
      </c>
      <c r="BV166" s="301" t="str">
        <f t="shared" ca="1" si="511"/>
        <v/>
      </c>
      <c r="BW166" s="300" t="str">
        <f t="shared" ca="1" si="512"/>
        <v/>
      </c>
      <c r="BX166" s="301" t="str">
        <f t="shared" ca="1" si="513"/>
        <v/>
      </c>
      <c r="BY166" s="146" t="str">
        <f t="shared" ca="1" si="514"/>
        <v/>
      </c>
      <c r="BZ166" s="146" t="str">
        <f t="shared" ca="1" si="515"/>
        <v/>
      </c>
      <c r="CA166" s="146" t="str">
        <f t="shared" ca="1" si="516"/>
        <v/>
      </c>
      <c r="CB166" s="146" t="str">
        <f t="shared" ca="1" si="517"/>
        <v/>
      </c>
      <c r="CC166" s="302">
        <v>1</v>
      </c>
      <c r="CD166" s="154">
        <f ca="1">IF(BD166,_xll.xCrudeAPO(BS166,BT166,BY166,BZ166,S167,S168,BI166,BL166,BN166,BO166,0,Strike1,AO166,CC166,0,BL166,IF(OptControl=4,0,1),0,1),0)</f>
        <v>0</v>
      </c>
      <c r="CE166" s="155">
        <f ca="1">IF(BD166,_xll.xCrudeAPO(BS166,BT166,BY166,BZ166,S167,S168,BI166,BL166,BN166,BO166,0,Strike1,AO166,CC166,0,BL166,IF(OptControl=4,0,1),1,1)+_xll.xCrudeAPO(BS166,BT166,BY166,BZ166,S167,S168,BI166,BL166,BN166,BO166,0,Strike1,AO166,CC166,0,BL166,IF(OptControl=4,0,1),1,2)+IF(OR(VolSkewFlag=2,ABS(BQ166)&lt;0.0001),0,IF(BQ166&gt;0,-1,1)*CF166*Strike1/BP166^2*BW166/10%),0)</f>
        <v>0</v>
      </c>
      <c r="CF166" s="155">
        <f ca="1">IF(BD166,(_xll.xCrudeAPO(BS166,BT166,BY166,BZ166,S167,S168,BI166,BL166,BN166,BO166,0,Strike1,AO166,CC166,0,BL166,IF(OptControl=4,0,1),3,1)+_xll.xCrudeAPO(BS166,BT166,BY166,BZ166,S167,S168,BI166,BL166,BN166,BO166,0,Strike1,AO166,CC166,0,BL166,IF(OptControl=4,0,1),3,2))/100,0)</f>
        <v>0</v>
      </c>
      <c r="CG166" s="155">
        <f ca="1">IF(BD166,_xll.xCrudeAPO(BS166,BT166,BY166,BZ166,S167,S168,BI166-DaysForThetaCalculation/365.25,BL166-DaysForThetaCalculation/365.25,BN166,BO166,0,Strike1,AO166,CC166,0,BL166,IF(OptControl=4,0,1),0,1)-_xll.xCrudeAPO(BS166,BT166,BY166,BZ166,S167,S168,BI166,BL166,BN166,BO166,0,Strike1,AO166,CC166,0,BL166,IF(OptControl=4,0,1),0,1),0)</f>
        <v>0</v>
      </c>
      <c r="CH166" s="303">
        <f ca="1">IF(BD166,_xll.xCrudeAPO(BS166,BT166,CA166,CB166,S167,S168,BI166,BL166,BN166,BO166,0,Strike2,AO166,CC166,0,BL166,IF(OptControl=3,1,0),0,1),0)</f>
        <v>0</v>
      </c>
      <c r="CI166" s="155">
        <f ca="1">IF(BD166,_xll.xCrudeAPO(BS166,BT166,CA166,CB166,S167,S168,BI166,BL166,BN166,BO166,0,Strike2,AO166,CC166,0,BL166,IF(OptControl=3,1,0),1,1)+_xll.xCrudeAPO(BS166,BT166,CA166,CB166,S167,S168,BI166,BL166,BN166,BO166,0,Strike2,AO166,CC166,0,BL166,IF(OptControl=3,1,0),1,2)+IF(OR(VolSkewFlag=2,ABS(BR166)&lt;0.0001),0,IF(BR166&gt;0,-1,1)*CJ166*Strike2/BP166^2*BX166/10%),0)</f>
        <v>0</v>
      </c>
      <c r="CJ166" s="155">
        <f ca="1">IF(BD166,(_xll.xCrudeAPO(BS166,BT166,CA166,CB166,S167,S168,BI166,BL166,BN166,BO166,0,Strike2,AO166,CC166,0,BL166,IF(OptControl=3,1,0),3,1)+_xll.xCrudeAPO(BS166,BT166,CA166,CB166,S167,S168,BI166,BL166,BN166,BO166,0,Strike2,AO166,CC166,0,BL166,IF(OptControl=3,1,0),3,2))/100,0)</f>
        <v>0</v>
      </c>
      <c r="CK166" s="156">
        <f ca="1">IF(BD166,_xll.xCrudeAPO(BS166,BT166,CA166,CB166,S167,S168,BI166-DaysForThetaCalculation/365.25,BL166-DaysForThetaCalculation/365.25,BN166,BO166,0,Strike2,AO166,CC166,0,BL166,IF(OptControl=3,1,0),0,1)-_xll.xCrudeAPO(BS166,BT166,CA166,CB166,S167,S168,BI166,BL166,BN166,BO166,0,Strike2,AO166,CC166,0,BL166,IF(OptControl=3,1,0),0,1),0)</f>
        <v>0</v>
      </c>
      <c r="CL166" s="51"/>
      <c r="CM166" s="779" t="str">
        <f t="shared" ca="1" si="534"/>
        <v/>
      </c>
      <c r="CN166" s="783" t="str">
        <f t="shared" ca="1" si="535"/>
        <v/>
      </c>
      <c r="CO166" s="780" t="str">
        <f t="shared" ca="1" si="536"/>
        <v/>
      </c>
      <c r="CP166" s="780" t="str">
        <f t="shared" ca="1" si="537"/>
        <v/>
      </c>
      <c r="CQ166" s="780" t="str">
        <f t="shared" ca="1" si="538"/>
        <v/>
      </c>
      <c r="CR166" s="780" t="str">
        <f t="shared" ca="1" si="539"/>
        <v/>
      </c>
      <c r="CS166" s="781" t="str">
        <f t="shared" ca="1" si="540"/>
        <v/>
      </c>
      <c r="CT166" s="782" t="str">
        <f t="shared" ca="1" si="541"/>
        <v/>
      </c>
      <c r="CU166" s="782" t="str">
        <f t="shared" ca="1" si="542"/>
        <v/>
      </c>
      <c r="CV166" s="155">
        <f ca="1">IF(BD166,_xll.EURO(CN166,Strike1,AO166,AO166,CT166,CM166,IF(OptControl=4,0,1),0),0)</f>
        <v>0</v>
      </c>
      <c r="CW166" s="155">
        <f ca="1">IF(BD166,_xll.EURO(CN166,Strike1,AO166,AO166,CT166,CM166,IF(OptControl=4,0,1),1)+IF(OR(VolSkewFlag=2,ABS(CO166)&lt;0.0001),0,IF(CO166&gt;0,-1,1)*CX166*100*Strike1/CN166^2*CQ166/10%),0)</f>
        <v>0</v>
      </c>
      <c r="CX166" s="155">
        <f ca="1">IF(BD166,_xll.EURO(CN166,Strike1,AO166,AO166,CT166,CM166,IF(OptControl=4,0,1),3)/100,0)</f>
        <v>0</v>
      </c>
      <c r="CY166" s="155">
        <f ca="1">IF(BD166,_xll.EURO(CN166,Strike1,AO166,AO166,CT166,CM166,IF(OptControl=4,0,1),0)-_xll.EURO(CN166,Strike1,AO166,AO166,CT166,CM166-1,IF(OptControl=4,0,1),0),0)</f>
        <v>0</v>
      </c>
      <c r="CZ166" s="155">
        <f ca="1">IF(BD166,_xll.EURO(CN166,Strike2,AO166,AO166,CU166,CM166,IF(OptControl=3,1,0),0),0)</f>
        <v>0</v>
      </c>
      <c r="DA166" s="155">
        <f ca="1">IF(BD166,_xll.EURO(CN166,Strike2,AO166,AO166,CU166,CM166,IF(OptControl=3,1,0),1)+IF(OR(VolSkewFlag=2,ABS(CP166)&lt;0.0001),0,IF(CP166&gt;0,-1,1)*DB166*100*Strike2/CN166^2*CR166/10%),0)</f>
        <v>0</v>
      </c>
      <c r="DB166" s="155">
        <f ca="1">IF(BD166,_xll.EURO(CN166,Strike2,AO166,AO166,CU166,CM166,IF(OptControl=3,1,0),3)/100,0)</f>
        <v>0</v>
      </c>
      <c r="DC166" s="156">
        <f ca="1">IF(BD166,_xll.EURO(CN166,Strike2,AO166,AO166,CU166,CM166,IF(OptControl=3,1,0),0)-_xll.EURO(CN166,Strike2,AO166,AO166,CU166,CM166-1,IF(OptControl=3,1,0),0),0)</f>
        <v>0</v>
      </c>
      <c r="DE166" s="651">
        <f t="shared" ca="1" si="543"/>
        <v>41365</v>
      </c>
      <c r="DF166" s="465">
        <v>1E-4</v>
      </c>
      <c r="DG166" s="649">
        <v>1E-4</v>
      </c>
      <c r="DH166" s="650">
        <f t="shared" ca="1" si="518"/>
        <v>41365</v>
      </c>
      <c r="DI166" s="465">
        <v>1E-4</v>
      </c>
      <c r="DJ166" s="649">
        <v>1E-4</v>
      </c>
      <c r="DK166" s="651">
        <f t="shared" ca="1" si="519"/>
        <v>41365</v>
      </c>
      <c r="DL166" s="652">
        <f t="shared" si="520"/>
        <v>5.0100000000000006E-2</v>
      </c>
      <c r="DM166" s="651">
        <f t="shared" ca="1" si="544"/>
        <v>41365</v>
      </c>
      <c r="DN166" s="563">
        <f t="shared" si="545"/>
        <v>-0.12990000000000002</v>
      </c>
      <c r="DO166" s="803">
        <v>-0.13</v>
      </c>
      <c r="DP166" s="650">
        <f t="shared" ca="1" si="521"/>
        <v>41365</v>
      </c>
      <c r="DQ166" s="653">
        <v>1E-4</v>
      </c>
      <c r="DR166" s="590">
        <v>1E-4</v>
      </c>
      <c r="DS166" s="650">
        <f t="shared" ca="1" si="522"/>
        <v>41365</v>
      </c>
      <c r="DT166" s="653">
        <v>1E-4</v>
      </c>
      <c r="DU166" s="590">
        <v>1E-4</v>
      </c>
      <c r="DV166" s="651">
        <f t="shared" ca="1" si="523"/>
        <v>41365</v>
      </c>
      <c r="DW166" s="590">
        <v>1E-4</v>
      </c>
      <c r="DX166" s="651">
        <f t="shared" ca="1" si="546"/>
        <v>41365</v>
      </c>
      <c r="DY166" s="590">
        <f t="shared" si="547"/>
        <v>1E-4</v>
      </c>
      <c r="DZ166" s="1"/>
      <c r="EA166" s="857"/>
      <c r="EB166" s="857"/>
      <c r="EC166" s="857"/>
      <c r="ED166" s="868" t="e">
        <f t="shared" ca="1" si="566"/>
        <v>#NAME?</v>
      </c>
      <c r="EE166" s="863" t="e">
        <f t="shared" ca="1" si="524"/>
        <v>#NAME?</v>
      </c>
      <c r="EF166" s="590" t="e">
        <f t="shared" ca="1" si="525"/>
        <v>#NAME?</v>
      </c>
      <c r="EG166" s="862" t="str">
        <f t="shared" ca="1" si="526"/>
        <v/>
      </c>
      <c r="EH166" s="114" t="str">
        <f t="shared" ca="1" si="527"/>
        <v/>
      </c>
      <c r="EI166" s="109" t="str">
        <f t="shared" ca="1" si="528"/>
        <v/>
      </c>
      <c r="EJ166" s="115">
        <f ca="1">IF(BD166,_xll.xASN(BP166,Strike1,AO166,EH166,0,BM166,0,BI166,BL166,IF(OptControl=4,0,1),0),0)</f>
        <v>0</v>
      </c>
      <c r="EK166" s="108">
        <f ca="1">IF(BD166,_xll.xASN(BP166,Strike2,AO166,EI166,0,BM166,0,BI166,BL166,IF(OptControl=3,1,0),0),0)</f>
        <v>0</v>
      </c>
      <c r="EP166" s="53"/>
      <c r="EQ166" s="1"/>
      <c r="ER166" s="103"/>
      <c r="ES166" s="103"/>
      <c r="ET166" s="1"/>
      <c r="EU166" s="667" t="s">
        <v>378</v>
      </c>
      <c r="EW166" s="445"/>
      <c r="EX166" s="36"/>
      <c r="EY166" s="104"/>
      <c r="EZ166" s="465"/>
      <c r="FA166" s="446"/>
      <c r="FB166" s="446"/>
      <c r="FC166" s="242"/>
      <c r="FD166" s="242"/>
      <c r="FE166" s="242"/>
      <c r="FF166" s="242"/>
      <c r="FG166" s="242"/>
      <c r="FH166" s="242"/>
      <c r="FI166" s="242"/>
      <c r="FJ166" s="242"/>
      <c r="FK166" s="242"/>
      <c r="FL166" s="242"/>
      <c r="FM166" s="242"/>
      <c r="FN166" s="659">
        <v>72</v>
      </c>
      <c r="FO166" s="660">
        <f t="shared" ca="1" si="565"/>
        <v>0.17270947384708235</v>
      </c>
      <c r="FP166" s="660">
        <f t="shared" ca="1" si="575"/>
        <v>0.17266795885362066</v>
      </c>
      <c r="FQ166" s="660">
        <f t="shared" ca="1" si="575"/>
        <v>0.17245596224200596</v>
      </c>
      <c r="FR166" s="660">
        <f t="shared" ca="1" si="575"/>
        <v>0.17224719623203585</v>
      </c>
      <c r="FS166" s="660">
        <f t="shared" ca="1" si="575"/>
        <v>0.17204175075674705</v>
      </c>
      <c r="FT166" s="660">
        <f t="shared" ca="1" si="575"/>
        <v>0.17183972833652655</v>
      </c>
      <c r="FU166" s="660">
        <f t="shared" ca="1" si="575"/>
        <v>0.17164124544713308</v>
      </c>
      <c r="FV166" s="660">
        <f t="shared" ca="1" si="575"/>
        <v>0.17144643404071544</v>
      </c>
      <c r="FW166" s="660">
        <f t="shared" ca="1" si="575"/>
        <v>0.17125544323715472</v>
      </c>
      <c r="FX166" s="660">
        <f t="shared" ca="1" si="575"/>
        <v>0.17106844120507717</v>
      </c>
      <c r="FY166" s="660">
        <f t="shared" ca="1" si="575"/>
        <v>0.17088561725415249</v>
      </c>
      <c r="FZ166" s="660">
        <f t="shared" ca="1" si="575"/>
        <v>0.17070718416284067</v>
      </c>
      <c r="GA166" s="660">
        <f t="shared" ca="1" si="575"/>
        <v>0.1705333807686141</v>
      </c>
      <c r="GB166" s="660">
        <f t="shared" ca="1" si="575"/>
        <v>0.17036447485092396</v>
      </c>
      <c r="GC166" s="660">
        <f t="shared" ca="1" si="575"/>
        <v>0.17020076634081502</v>
      </c>
      <c r="GD166" s="660">
        <f t="shared" ca="1" si="575"/>
        <v>0.17004259089522439</v>
      </c>
      <c r="GE166" s="660">
        <f t="shared" ca="1" si="575"/>
        <v>0.16989032387866607</v>
      </c>
      <c r="GF166" s="660">
        <f t="shared" ca="1" si="575"/>
        <v>0.16974438480029111</v>
      </c>
      <c r="GG166" s="660">
        <f t="shared" ca="1" si="575"/>
        <v>0.16960524226033899</v>
      </c>
      <c r="GH166" s="660">
        <f t="shared" ca="1" si="575"/>
        <v>0.16947341946683556</v>
      </c>
      <c r="GI166" s="660">
        <f t="shared" ca="1" si="575"/>
        <v>0.16934950039121852</v>
      </c>
      <c r="GJ166" s="660">
        <f t="shared" ca="1" si="575"/>
        <v>0.16923413664051021</v>
      </c>
      <c r="GK166" s="660">
        <f t="shared" ca="1" si="575"/>
        <v>0.16912805513391022</v>
      </c>
      <c r="GL166" s="660">
        <f t="shared" ca="1" si="575"/>
        <v>0.16903206668347445</v>
      </c>
      <c r="GM166" s="660">
        <f t="shared" ca="1" si="575"/>
        <v>0.16894707559213373</v>
      </c>
      <c r="GN166" s="660">
        <f t="shared" ca="1" si="575"/>
        <v>0.16887409039802423</v>
      </c>
      <c r="GO166" s="660">
        <f t="shared" ca="1" si="575"/>
        <v>0.16881423591232109</v>
      </c>
      <c r="GP166" s="660">
        <f t="shared" ca="1" si="575"/>
        <v>0.16876876671897528</v>
      </c>
      <c r="GQ166" s="660">
        <f t="shared" ca="1" si="575"/>
        <v>0.1687390823294897</v>
      </c>
      <c r="GR166" s="660">
        <f t="shared" ca="1" si="575"/>
        <v>0.16872674421485431</v>
      </c>
      <c r="GS166" s="660">
        <f t="shared" ca="1" si="575"/>
        <v>0.16873349497081258</v>
      </c>
      <c r="GT166" s="660">
        <f t="shared" ca="1" si="575"/>
        <v>0.16876127991278816</v>
      </c>
      <c r="GU166" s="660">
        <f t="shared" ca="1" si="575"/>
        <v>0.16881227144434624</v>
      </c>
      <c r="GV166" s="660">
        <f t="shared" ca="1" si="575"/>
        <v>0.16888889659953396</v>
      </c>
      <c r="GW166" s="660">
        <f t="shared" ca="1" si="575"/>
        <v>0.16899386822681361</v>
      </c>
      <c r="GX166" s="660">
        <f t="shared" ca="1" si="575"/>
        <v>0.16913022036294592</v>
      </c>
      <c r="GY166" s="660">
        <f t="shared" ca="1" si="575"/>
        <v>0.16930134844212957</v>
      </c>
      <c r="GZ166" s="660">
        <f t="shared" ca="1" si="575"/>
        <v>0.16951105510269934</v>
      </c>
      <c r="HA166" s="660">
        <f t="shared" ca="1" si="575"/>
        <v>0.16976360249546754</v>
      </c>
      <c r="HB166" s="660">
        <f t="shared" ca="1" si="575"/>
        <v>0.17006377217032145</v>
      </c>
      <c r="HC166" s="660">
        <f t="shared" ca="1" si="575"/>
        <v>0.17041693382851605</v>
      </c>
      <c r="HD166" s="660">
        <f t="shared" ca="1" si="575"/>
        <v>0.17082912448685708</v>
      </c>
      <c r="HE166" s="660">
        <f t="shared" ca="1" si="575"/>
        <v>0.17130713991892327</v>
      </c>
      <c r="HF166" s="660">
        <f t="shared" ca="1" si="575"/>
        <v>0.17185864063344627</v>
      </c>
      <c r="HG166" s="660">
        <f t="shared" ca="1" si="575"/>
        <v>0.17249227514129722</v>
      </c>
      <c r="HH166" s="660">
        <f t="shared" ca="1" si="575"/>
        <v>0.17321782387668216</v>
      </c>
      <c r="HI166" s="660">
        <f t="shared" ca="1" si="575"/>
        <v>0.17404636790957964</v>
      </c>
      <c r="HJ166" s="660">
        <f t="shared" ca="1" si="575"/>
        <v>0.17499048756040442</v>
      </c>
      <c r="HK166" s="660">
        <f t="shared" ca="1" si="575"/>
        <v>0.17606449726401244</v>
      </c>
      <c r="HL166" s="660">
        <f t="shared" ca="1" si="575"/>
        <v>0.1772847246077153</v>
      </c>
      <c r="HM166" s="660">
        <f t="shared" ca="1" si="575"/>
        <v>0.17866984349282311</v>
      </c>
      <c r="HN166" s="660">
        <f t="shared" ca="1" si="575"/>
        <v>0.18024127398386644</v>
      </c>
      <c r="HO166" s="660">
        <f t="shared" ca="1" si="575"/>
        <v>0.18202366480716137</v>
      </c>
      <c r="HP166" s="660">
        <f t="shared" ca="1" si="575"/>
        <v>0.18404547890446998</v>
      </c>
      <c r="HQ166" s="660">
        <f t="shared" ca="1" si="575"/>
        <v>0.18633970830112284</v>
      </c>
      <c r="HR166" s="660">
        <f t="shared" ca="1" si="575"/>
        <v>0.18894475231488489</v>
      </c>
      <c r="HS166" s="660">
        <f t="shared" ca="1" si="575"/>
        <v>0.19190550351740313</v>
      </c>
      <c r="HT166" s="660">
        <f t="shared" ca="1" si="575"/>
        <v>0.1952746998610341</v>
      </c>
      <c r="HU166" s="660">
        <f t="shared" ca="1" si="575"/>
        <v>0.19911462042251443</v>
      </c>
      <c r="HV166" s="660">
        <f t="shared" ca="1" si="575"/>
        <v>0.20349922834174045</v>
      </c>
      <c r="HW166" s="660">
        <f t="shared" ca="1" si="575"/>
        <v>0.20851690073702003</v>
      </c>
      <c r="HX166" s="660">
        <f t="shared" ca="1" si="575"/>
        <v>0.21427393606243897</v>
      </c>
      <c r="HY166" s="660">
        <f t="shared" ca="1" si="575"/>
        <v>0.2208991011110677</v>
      </c>
      <c r="HZ166" s="660">
        <f t="shared" ca="1" si="575"/>
        <v>0.22854958259395664</v>
      </c>
      <c r="IA166" s="660">
        <f t="shared" ca="1" si="575"/>
        <v>0.23741885716192776</v>
      </c>
      <c r="IB166" s="660">
        <f t="shared" ca="1" si="569"/>
        <v>0.24774721255455007</v>
      </c>
      <c r="IC166" s="660">
        <f t="shared" ca="1" si="569"/>
        <v>0.25983597864045704</v>
      </c>
      <c r="ID166" s="660">
        <f t="shared" ca="1" si="569"/>
        <v>0.27406702048888254</v>
      </c>
      <c r="IE166" s="660">
        <f t="shared" ca="1" si="569"/>
        <v>0.29092980443956734</v>
      </c>
      <c r="IF166" s="660">
        <f t="shared" ca="1" si="569"/>
        <v>0.31105953603151376</v>
      </c>
      <c r="IG166" s="660">
        <f t="shared" ca="1" si="569"/>
        <v>0.33529176408342803</v>
      </c>
      <c r="IH166" s="661">
        <f t="shared" ca="1" si="569"/>
        <v>0.36474193298001045</v>
      </c>
      <c r="II166" s="242"/>
    </row>
    <row r="167" spans="8:243">
      <c r="H167" s="49" t="e">
        <f t="shared" ca="1" si="529"/>
        <v>#N/A</v>
      </c>
      <c r="I167" s="369">
        <f t="shared" si="530"/>
        <v>41487</v>
      </c>
      <c r="J167" s="367">
        <v>23.059999999999899</v>
      </c>
      <c r="K167" s="101" t="s">
        <v>267</v>
      </c>
      <c r="L167" s="382">
        <f t="shared" si="531"/>
        <v>23.059999999999921</v>
      </c>
      <c r="M167" s="163">
        <v>0.15230000000000002</v>
      </c>
      <c r="N167" s="372">
        <v>0</v>
      </c>
      <c r="O167" s="163">
        <f t="shared" si="488"/>
        <v>0.15230000000000002</v>
      </c>
      <c r="P167" s="367">
        <v>21.616153069975802</v>
      </c>
      <c r="Q167" s="101" t="s">
        <v>267</v>
      </c>
      <c r="R167" s="367">
        <f t="shared" ca="1" si="549"/>
        <v>21.616153069975837</v>
      </c>
      <c r="S167" s="814">
        <f t="shared" si="474"/>
        <v>0.35152679091592653</v>
      </c>
      <c r="T167" s="813">
        <f t="shared" si="550"/>
        <v>0.99999998534167822</v>
      </c>
      <c r="U167" s="532">
        <f t="shared" si="551"/>
        <v>0.99999999999999978</v>
      </c>
      <c r="V167" s="379">
        <v>0</v>
      </c>
      <c r="W167" s="424">
        <f t="shared" si="489"/>
        <v>23.094090909090809</v>
      </c>
      <c r="X167" s="405">
        <f t="shared" si="490"/>
        <v>23.094090909090827</v>
      </c>
      <c r="Y167" s="313">
        <f t="shared" si="491"/>
        <v>21.775690909090809</v>
      </c>
      <c r="Z167" s="313">
        <f t="shared" ca="1" si="492"/>
        <v>21.775690909090827</v>
      </c>
      <c r="AA167" s="419">
        <f t="shared" si="493"/>
        <v>1.3184</v>
      </c>
      <c r="AB167" s="423">
        <f t="shared" ca="1" si="494"/>
        <v>1.3184</v>
      </c>
      <c r="AC167" s="221">
        <v>41475</v>
      </c>
      <c r="AD167" s="221">
        <v>41471</v>
      </c>
      <c r="AE167" s="221">
        <v>41470</v>
      </c>
      <c r="AF167" s="221">
        <v>41466</v>
      </c>
      <c r="AG167" s="241" t="s">
        <v>497</v>
      </c>
      <c r="AH167" s="239" t="s">
        <v>497</v>
      </c>
      <c r="AI167" s="141">
        <v>22</v>
      </c>
      <c r="AJ167" s="41">
        <v>14</v>
      </c>
      <c r="AK167" s="41">
        <v>8</v>
      </c>
      <c r="AL167" s="285">
        <v>22</v>
      </c>
      <c r="AM167" s="41">
        <v>10</v>
      </c>
      <c r="AN167" s="142">
        <v>12</v>
      </c>
      <c r="AO167" s="364">
        <v>6.0523588047496801E-2</v>
      </c>
      <c r="AP167" s="145">
        <f t="shared" ca="1" si="532"/>
        <v>0.4775826397193369</v>
      </c>
      <c r="AQ167" s="364">
        <v>5.2897458046355296E-2</v>
      </c>
      <c r="AR167" s="145">
        <f t="shared" ca="1" si="552"/>
        <v>0.52701374461112527</v>
      </c>
      <c r="AS167" s="264">
        <f t="shared" si="495"/>
        <v>0.15175454545454548</v>
      </c>
      <c r="AT167" s="149">
        <f t="shared" si="533"/>
        <v>0.15230000000000002</v>
      </c>
      <c r="AU167" s="149">
        <f t="shared" si="496"/>
        <v>0.1516818181818182</v>
      </c>
      <c r="AV167" s="263">
        <f t="shared" ca="1" si="560"/>
        <v>0.15006249125005594</v>
      </c>
      <c r="AW167" s="150" t="str">
        <f t="shared" ca="1" si="497"/>
        <v/>
      </c>
      <c r="AX167" s="149">
        <f t="shared" ca="1" si="553"/>
        <v>8.1682270751511233E-3</v>
      </c>
      <c r="AY167" s="149">
        <f t="shared" ca="1" si="554"/>
        <v>3.0441157496667853E-3</v>
      </c>
      <c r="AZ167" s="149">
        <f t="shared" ca="1" si="555"/>
        <v>2.6983552744671959E-3</v>
      </c>
      <c r="BA167" s="149">
        <f t="shared" ca="1" si="556"/>
        <v>1.000000000000067E-4</v>
      </c>
      <c r="BB167" s="149">
        <f t="shared" ca="1" si="557"/>
        <v>1.000000000000067E-4</v>
      </c>
      <c r="BC167" s="149">
        <f t="shared" ca="1" si="558"/>
        <v>1.000000000000067E-4</v>
      </c>
      <c r="BD167" s="143">
        <f t="shared" ca="1" si="498"/>
        <v>0</v>
      </c>
      <c r="BE167" s="144">
        <f t="shared" ca="1" si="499"/>
        <v>0</v>
      </c>
      <c r="BF167" s="40">
        <f t="shared" si="500"/>
        <v>2013</v>
      </c>
      <c r="BG167" s="139">
        <f t="shared" si="501"/>
        <v>8</v>
      </c>
      <c r="BH167" s="140">
        <f t="shared" ca="1" si="502"/>
        <v>4481</v>
      </c>
      <c r="BI167" s="304">
        <f t="shared" ca="1" si="570"/>
        <v>12.312114989733059</v>
      </c>
      <c r="BJ167" s="42">
        <f t="shared" ca="1" si="503"/>
        <v>12.364383050214673</v>
      </c>
      <c r="BK167" s="42">
        <f t="shared" ca="1" si="504"/>
        <v>12.367120901001806</v>
      </c>
      <c r="BL167" s="42">
        <f t="shared" ca="1" si="571"/>
        <v>12.394250513347023</v>
      </c>
      <c r="BM167" s="285">
        <f t="shared" si="572"/>
        <v>22</v>
      </c>
      <c r="BN167" s="41">
        <f t="shared" si="573"/>
        <v>14</v>
      </c>
      <c r="BO167" s="41">
        <f t="shared" si="574"/>
        <v>8</v>
      </c>
      <c r="BP167" s="297" t="str">
        <f t="shared" ca="1" si="505"/>
        <v/>
      </c>
      <c r="BQ167" s="297" t="str">
        <f t="shared" ca="1" si="506"/>
        <v/>
      </c>
      <c r="BR167" s="299" t="str">
        <f t="shared" ca="1" si="507"/>
        <v/>
      </c>
      <c r="BS167" s="153" t="str">
        <f t="shared" ca="1" si="508"/>
        <v/>
      </c>
      <c r="BT167" s="153" t="str">
        <f t="shared" ca="1" si="509"/>
        <v/>
      </c>
      <c r="BU167" s="300" t="str">
        <f t="shared" ca="1" si="510"/>
        <v/>
      </c>
      <c r="BV167" s="301" t="str">
        <f t="shared" ca="1" si="511"/>
        <v/>
      </c>
      <c r="BW167" s="300" t="str">
        <f t="shared" ca="1" si="512"/>
        <v/>
      </c>
      <c r="BX167" s="301" t="str">
        <f t="shared" ca="1" si="513"/>
        <v/>
      </c>
      <c r="BY167" s="146" t="str">
        <f t="shared" ca="1" si="514"/>
        <v/>
      </c>
      <c r="BZ167" s="146" t="str">
        <f t="shared" ca="1" si="515"/>
        <v/>
      </c>
      <c r="CA167" s="146" t="str">
        <f t="shared" ca="1" si="516"/>
        <v/>
      </c>
      <c r="CB167" s="146" t="str">
        <f t="shared" ca="1" si="517"/>
        <v/>
      </c>
      <c r="CC167" s="302">
        <v>1</v>
      </c>
      <c r="CD167" s="154">
        <f ca="1">IF(BD167,_xll.xCrudeAPO(BS167,BT167,BY167,BZ167,S168,S169,BI167,BL167,BN167,BO167,0,Strike1,AO167,CC167,0,BL167,IF(OptControl=4,0,1),0,1),0)</f>
        <v>0</v>
      </c>
      <c r="CE167" s="155">
        <f ca="1">IF(BD167,_xll.xCrudeAPO(BS167,BT167,BY167,BZ167,S168,S169,BI167,BL167,BN167,BO167,0,Strike1,AO167,CC167,0,BL167,IF(OptControl=4,0,1),1,1)+_xll.xCrudeAPO(BS167,BT167,BY167,BZ167,S168,S169,BI167,BL167,BN167,BO167,0,Strike1,AO167,CC167,0,BL167,IF(OptControl=4,0,1),1,2)+IF(OR(VolSkewFlag=2,ABS(BQ167)&lt;0.0001),0,IF(BQ167&gt;0,-1,1)*CF167*Strike1/BP167^2*BW167/10%),0)</f>
        <v>0</v>
      </c>
      <c r="CF167" s="155">
        <f ca="1">IF(BD167,(_xll.xCrudeAPO(BS167,BT167,BY167,BZ167,S168,S169,BI167,BL167,BN167,BO167,0,Strike1,AO167,CC167,0,BL167,IF(OptControl=4,0,1),3,1)+_xll.xCrudeAPO(BS167,BT167,BY167,BZ167,S168,S169,BI167,BL167,BN167,BO167,0,Strike1,AO167,CC167,0,BL167,IF(OptControl=4,0,1),3,2))/100,0)</f>
        <v>0</v>
      </c>
      <c r="CG167" s="155">
        <f ca="1">IF(BD167,_xll.xCrudeAPO(BS167,BT167,BY167,BZ167,S168,S169,BI167-DaysForThetaCalculation/365.25,BL167-DaysForThetaCalculation/365.25,BN167,BO167,0,Strike1,AO167,CC167,0,BL167,IF(OptControl=4,0,1),0,1)-_xll.xCrudeAPO(BS167,BT167,BY167,BZ167,S168,S169,BI167,BL167,BN167,BO167,0,Strike1,AO167,CC167,0,BL167,IF(OptControl=4,0,1),0,1),0)</f>
        <v>0</v>
      </c>
      <c r="CH167" s="303">
        <f ca="1">IF(BD167,_xll.xCrudeAPO(BS167,BT167,CA167,CB167,S168,S169,BI167,BL167,BN167,BO167,0,Strike2,AO167,CC167,0,BL167,IF(OptControl=3,1,0),0,1),0)</f>
        <v>0</v>
      </c>
      <c r="CI167" s="155">
        <f ca="1">IF(BD167,_xll.xCrudeAPO(BS167,BT167,CA167,CB167,S168,S169,BI167,BL167,BN167,BO167,0,Strike2,AO167,CC167,0,BL167,IF(OptControl=3,1,0),1,1)+_xll.xCrudeAPO(BS167,BT167,CA167,CB167,S168,S169,BI167,BL167,BN167,BO167,0,Strike2,AO167,CC167,0,BL167,IF(OptControl=3,1,0),1,2)+IF(OR(VolSkewFlag=2,ABS(BR167)&lt;0.0001),0,IF(BR167&gt;0,-1,1)*CJ167*Strike2/BP167^2*BX167/10%),0)</f>
        <v>0</v>
      </c>
      <c r="CJ167" s="155">
        <f ca="1">IF(BD167,(_xll.xCrudeAPO(BS167,BT167,CA167,CB167,S168,S169,BI167,BL167,BN167,BO167,0,Strike2,AO167,CC167,0,BL167,IF(OptControl=3,1,0),3,1)+_xll.xCrudeAPO(BS167,BT167,CA167,CB167,S168,S169,BI167,BL167,BN167,BO167,0,Strike2,AO167,CC167,0,BL167,IF(OptControl=3,1,0),3,2))/100,0)</f>
        <v>0</v>
      </c>
      <c r="CK167" s="156">
        <f ca="1">IF(BD167,_xll.xCrudeAPO(BS167,BT167,CA167,CB167,S168,S169,BI167-DaysForThetaCalculation/365.25,BL167-DaysForThetaCalculation/365.25,BN167,BO167,0,Strike2,AO167,CC167,0,BL167,IF(OptControl=3,1,0),0,1)-_xll.xCrudeAPO(BS167,BT167,CA167,CB167,S168,S169,BI167,BL167,BN167,BO167,0,Strike2,AO167,CC167,0,BL167,IF(OptControl=3,1,0),0,1),0)</f>
        <v>0</v>
      </c>
      <c r="CL167" s="51"/>
      <c r="CM167" s="779" t="str">
        <f t="shared" ca="1" si="534"/>
        <v/>
      </c>
      <c r="CN167" s="783" t="str">
        <f t="shared" ca="1" si="535"/>
        <v/>
      </c>
      <c r="CO167" s="780" t="str">
        <f t="shared" ca="1" si="536"/>
        <v/>
      </c>
      <c r="CP167" s="780" t="str">
        <f t="shared" ca="1" si="537"/>
        <v/>
      </c>
      <c r="CQ167" s="780" t="str">
        <f t="shared" ca="1" si="538"/>
        <v/>
      </c>
      <c r="CR167" s="780" t="str">
        <f t="shared" ca="1" si="539"/>
        <v/>
      </c>
      <c r="CS167" s="781" t="str">
        <f t="shared" ca="1" si="540"/>
        <v/>
      </c>
      <c r="CT167" s="782" t="str">
        <f t="shared" ca="1" si="541"/>
        <v/>
      </c>
      <c r="CU167" s="782" t="str">
        <f t="shared" ca="1" si="542"/>
        <v/>
      </c>
      <c r="CV167" s="155">
        <f ca="1">IF(BD167,_xll.EURO(CN167,Strike1,AO167,AO167,CT167,CM167,IF(OptControl=4,0,1),0),0)</f>
        <v>0</v>
      </c>
      <c r="CW167" s="155">
        <f ca="1">IF(BD167,_xll.EURO(CN167,Strike1,AO167,AO167,CT167,CM167,IF(OptControl=4,0,1),1)+IF(OR(VolSkewFlag=2,ABS(CO167)&lt;0.0001),0,IF(CO167&gt;0,-1,1)*CX167*100*Strike1/CN167^2*CQ167/10%),0)</f>
        <v>0</v>
      </c>
      <c r="CX167" s="155">
        <f ca="1">IF(BD167,_xll.EURO(CN167,Strike1,AO167,AO167,CT167,CM167,IF(OptControl=4,0,1),3)/100,0)</f>
        <v>0</v>
      </c>
      <c r="CY167" s="155">
        <f ca="1">IF(BD167,_xll.EURO(CN167,Strike1,AO167,AO167,CT167,CM167,IF(OptControl=4,0,1),0)-_xll.EURO(CN167,Strike1,AO167,AO167,CT167,CM167-1,IF(OptControl=4,0,1),0),0)</f>
        <v>0</v>
      </c>
      <c r="CZ167" s="155">
        <f ca="1">IF(BD167,_xll.EURO(CN167,Strike2,AO167,AO167,CU167,CM167,IF(OptControl=3,1,0),0),0)</f>
        <v>0</v>
      </c>
      <c r="DA167" s="155">
        <f ca="1">IF(BD167,_xll.EURO(CN167,Strike2,AO167,AO167,CU167,CM167,IF(OptControl=3,1,0),1)+IF(OR(VolSkewFlag=2,ABS(CP167)&lt;0.0001),0,IF(CP167&gt;0,-1,1)*DB167*100*Strike2/CN167^2*CR167/10%),0)</f>
        <v>0</v>
      </c>
      <c r="DB167" s="155">
        <f ca="1">IF(BD167,_xll.EURO(CN167,Strike2,AO167,AO167,CU167,CM167,IF(OptControl=3,1,0),3)/100,0)</f>
        <v>0</v>
      </c>
      <c r="DC167" s="156">
        <f ca="1">IF(BD167,_xll.EURO(CN167,Strike2,AO167,AO167,CU167,CM167,IF(OptControl=3,1,0),0)-_xll.EURO(CN167,Strike2,AO167,AO167,CU167,CM167-1,IF(OptControl=3,1,0),0),0)</f>
        <v>0</v>
      </c>
      <c r="DE167" s="651">
        <f t="shared" ca="1" si="543"/>
        <v>41395</v>
      </c>
      <c r="DF167" s="465">
        <v>1E-4</v>
      </c>
      <c r="DG167" s="649">
        <v>1E-4</v>
      </c>
      <c r="DH167" s="650">
        <f t="shared" ca="1" si="518"/>
        <v>41395</v>
      </c>
      <c r="DI167" s="465">
        <v>1E-4</v>
      </c>
      <c r="DJ167" s="649">
        <v>1E-4</v>
      </c>
      <c r="DK167" s="651">
        <f t="shared" ca="1" si="519"/>
        <v>41395</v>
      </c>
      <c r="DL167" s="652">
        <f t="shared" si="520"/>
        <v>5.0100000000000006E-2</v>
      </c>
      <c r="DM167" s="651">
        <f t="shared" ca="1" si="544"/>
        <v>41395</v>
      </c>
      <c r="DN167" s="563">
        <f t="shared" si="545"/>
        <v>-0.12990000000000002</v>
      </c>
      <c r="DO167" s="803">
        <v>-0.13</v>
      </c>
      <c r="DP167" s="650">
        <f t="shared" ca="1" si="521"/>
        <v>41395</v>
      </c>
      <c r="DQ167" s="653">
        <v>1E-4</v>
      </c>
      <c r="DR167" s="590">
        <v>1E-4</v>
      </c>
      <c r="DS167" s="650">
        <f t="shared" ca="1" si="522"/>
        <v>41395</v>
      </c>
      <c r="DT167" s="653">
        <v>1E-4</v>
      </c>
      <c r="DU167" s="590">
        <v>1E-4</v>
      </c>
      <c r="DV167" s="651">
        <f t="shared" ca="1" si="523"/>
        <v>41395</v>
      </c>
      <c r="DW167" s="590">
        <v>1E-4</v>
      </c>
      <c r="DX167" s="651">
        <f t="shared" ca="1" si="546"/>
        <v>41395</v>
      </c>
      <c r="DY167" s="590">
        <f t="shared" si="547"/>
        <v>1E-4</v>
      </c>
      <c r="DZ167" s="1"/>
      <c r="EA167" s="857"/>
      <c r="EB167" s="857"/>
      <c r="EC167" s="857"/>
      <c r="ED167" s="868" t="e">
        <f t="shared" ca="1" si="566"/>
        <v>#NAME?</v>
      </c>
      <c r="EE167" s="863" t="e">
        <f t="shared" ca="1" si="524"/>
        <v>#NAME?</v>
      </c>
      <c r="EF167" s="590" t="e">
        <f t="shared" ca="1" si="525"/>
        <v>#NAME?</v>
      </c>
      <c r="EG167" s="862" t="str">
        <f t="shared" ca="1" si="526"/>
        <v/>
      </c>
      <c r="EH167" s="114" t="str">
        <f t="shared" ca="1" si="527"/>
        <v/>
      </c>
      <c r="EI167" s="109" t="str">
        <f t="shared" ca="1" si="528"/>
        <v/>
      </c>
      <c r="EJ167" s="115">
        <f ca="1">IF(BD167,_xll.xASN(BP167,Strike1,AO167,EH167,0,BM167,0,BI167,BL167,IF(OptControl=4,0,1),0),0)</f>
        <v>0</v>
      </c>
      <c r="EK167" s="108">
        <f ca="1">IF(BD167,_xll.xASN(BP167,Strike2,AO167,EI167,0,BM167,0,BI167,BL167,IF(OptControl=3,1,0),0),0)</f>
        <v>0</v>
      </c>
      <c r="EP167" s="53"/>
      <c r="EQ167" s="1"/>
      <c r="ER167" s="103"/>
      <c r="ES167" s="103"/>
      <c r="ET167" s="1"/>
      <c r="EU167" s="667" t="s">
        <v>379</v>
      </c>
      <c r="EW167" s="445"/>
      <c r="EX167" s="36"/>
      <c r="EY167" s="104"/>
      <c r="EZ167" s="465"/>
      <c r="FA167" s="446"/>
      <c r="FB167" s="446"/>
      <c r="FC167" s="242"/>
      <c r="FD167" s="242"/>
      <c r="FE167" s="242"/>
      <c r="FF167" s="242"/>
      <c r="FG167" s="242"/>
      <c r="FH167" s="242"/>
      <c r="FI167" s="242"/>
      <c r="FJ167" s="242"/>
      <c r="FK167" s="242"/>
      <c r="FL167" s="242"/>
      <c r="FM167" s="242"/>
      <c r="FN167" s="242"/>
      <c r="FO167" s="242"/>
      <c r="FP167" s="242"/>
      <c r="FQ167" s="242"/>
      <c r="FR167" s="242"/>
      <c r="FS167" s="242"/>
      <c r="FT167" s="242"/>
      <c r="FU167" s="242"/>
      <c r="FV167" s="242"/>
      <c r="FW167" s="242"/>
      <c r="FX167" s="242"/>
      <c r="FY167" s="242"/>
      <c r="FZ167" s="242"/>
      <c r="GA167" s="242"/>
      <c r="GB167" s="242"/>
      <c r="GC167" s="242"/>
      <c r="GD167" s="242"/>
      <c r="GE167" s="242"/>
      <c r="GF167" s="242"/>
      <c r="GG167" s="242"/>
      <c r="GH167" s="242"/>
      <c r="GI167" s="242"/>
      <c r="GJ167" s="242"/>
      <c r="GK167" s="242"/>
      <c r="GL167" s="242"/>
      <c r="GM167" s="242"/>
      <c r="GN167" s="242"/>
      <c r="GO167" s="242"/>
      <c r="GP167" s="242"/>
      <c r="GQ167" s="242"/>
      <c r="GR167" s="242"/>
      <c r="GS167" s="242"/>
      <c r="GT167" s="242"/>
      <c r="GU167" s="242"/>
      <c r="GV167" s="242"/>
      <c r="GW167" s="242"/>
      <c r="GX167" s="242"/>
      <c r="GY167" s="242"/>
      <c r="GZ167" s="242"/>
      <c r="HA167" s="242"/>
      <c r="HB167" s="242"/>
      <c r="HC167" s="242"/>
      <c r="HD167" s="242"/>
      <c r="HE167" s="242"/>
      <c r="HF167" s="242"/>
      <c r="HG167" s="242"/>
      <c r="HH167" s="242"/>
      <c r="HI167" s="242"/>
      <c r="HJ167" s="242"/>
      <c r="HK167" s="242"/>
      <c r="HL167" s="242"/>
      <c r="HM167" s="242"/>
      <c r="HN167" s="242"/>
      <c r="HO167" s="242"/>
      <c r="HP167" s="242"/>
      <c r="HQ167" s="242"/>
      <c r="HR167" s="242"/>
      <c r="HS167" s="242"/>
      <c r="HT167" s="242"/>
      <c r="HU167" s="242"/>
      <c r="HV167" s="242"/>
      <c r="HW167" s="242"/>
      <c r="HX167" s="242"/>
      <c r="HY167" s="242"/>
      <c r="HZ167" s="242"/>
      <c r="IA167" s="242"/>
      <c r="IB167" s="242"/>
      <c r="IC167" s="242"/>
      <c r="ID167" s="242"/>
      <c r="IE167" s="242"/>
      <c r="IF167" s="242"/>
      <c r="IG167" s="242"/>
      <c r="IH167" s="242"/>
      <c r="II167" s="242"/>
    </row>
    <row r="168" spans="8:243">
      <c r="H168" s="49" t="e">
        <f t="shared" ca="1" si="529"/>
        <v>#N/A</v>
      </c>
      <c r="I168" s="369">
        <f t="shared" si="530"/>
        <v>41518</v>
      </c>
      <c r="J168" s="367">
        <v>23.084999999999901</v>
      </c>
      <c r="K168" s="101" t="s">
        <v>267</v>
      </c>
      <c r="L168" s="382">
        <f t="shared" si="531"/>
        <v>23.084999999999919</v>
      </c>
      <c r="M168" s="163">
        <v>0.15190000000000001</v>
      </c>
      <c r="N168" s="372">
        <v>0</v>
      </c>
      <c r="O168" s="163">
        <f t="shared" si="488"/>
        <v>0.15190000000000001</v>
      </c>
      <c r="P168" s="367">
        <v>21.854181554563901</v>
      </c>
      <c r="Q168" s="101" t="s">
        <v>267</v>
      </c>
      <c r="R168" s="367">
        <f t="shared" ca="1" si="549"/>
        <v>21.854181554563905</v>
      </c>
      <c r="S168" s="814">
        <f t="shared" si="474"/>
        <v>0.35141152300676726</v>
      </c>
      <c r="T168" s="813">
        <f t="shared" si="550"/>
        <v>0.99999998680751045</v>
      </c>
      <c r="U168" s="532">
        <f t="shared" si="551"/>
        <v>0.99999999999999978</v>
      </c>
      <c r="V168" s="379">
        <v>0</v>
      </c>
      <c r="W168" s="424">
        <f t="shared" si="489"/>
        <v>23.117142857142756</v>
      </c>
      <c r="X168" s="405">
        <f t="shared" si="490"/>
        <v>23.117142857142774</v>
      </c>
      <c r="Y168" s="313">
        <f t="shared" si="491"/>
        <v>21.798742857142756</v>
      </c>
      <c r="Z168" s="313">
        <f t="shared" ca="1" si="492"/>
        <v>21.798742857142773</v>
      </c>
      <c r="AA168" s="419">
        <f t="shared" si="493"/>
        <v>1.3184</v>
      </c>
      <c r="AB168" s="423">
        <f t="shared" ca="1" si="494"/>
        <v>1.3184</v>
      </c>
      <c r="AC168" s="221">
        <v>41506</v>
      </c>
      <c r="AD168" s="221">
        <v>41502</v>
      </c>
      <c r="AE168" s="221">
        <v>41501</v>
      </c>
      <c r="AF168" s="221">
        <v>41497</v>
      </c>
      <c r="AG168" s="241" t="s">
        <v>497</v>
      </c>
      <c r="AH168" s="239" t="s">
        <v>497</v>
      </c>
      <c r="AI168" s="141">
        <v>21</v>
      </c>
      <c r="AJ168" s="41">
        <v>15</v>
      </c>
      <c r="AK168" s="41">
        <v>6</v>
      </c>
      <c r="AL168" s="285">
        <v>21</v>
      </c>
      <c r="AM168" s="41">
        <v>10</v>
      </c>
      <c r="AN168" s="142">
        <v>11</v>
      </c>
      <c r="AO168" s="364">
        <v>6.0568910595466506E-2</v>
      </c>
      <c r="AP168" s="145">
        <f t="shared" ca="1" si="532"/>
        <v>0.47498867584079862</v>
      </c>
      <c r="AQ168" s="364">
        <v>5.3004486317194101E-2</v>
      </c>
      <c r="AR168" s="145">
        <f t="shared" ca="1" si="552"/>
        <v>0.52400820905195522</v>
      </c>
      <c r="AS168" s="264">
        <f t="shared" si="495"/>
        <v>0.15138571428571429</v>
      </c>
      <c r="AT168" s="149">
        <f t="shared" si="533"/>
        <v>0.15190000000000001</v>
      </c>
      <c r="AU168" s="149">
        <f t="shared" si="496"/>
        <v>0.1512904761904762</v>
      </c>
      <c r="AV168" s="263">
        <f t="shared" ca="1" si="560"/>
        <v>0.14959585256388627</v>
      </c>
      <c r="AW168" s="150" t="str">
        <f t="shared" ca="1" si="497"/>
        <v/>
      </c>
      <c r="AX168" s="149">
        <f t="shared" ca="1" si="553"/>
        <v>8.0534780753917495E-3</v>
      </c>
      <c r="AY168" s="149">
        <f t="shared" ca="1" si="554"/>
        <v>2.9917390944121575E-3</v>
      </c>
      <c r="AZ168" s="149">
        <f t="shared" ca="1" si="555"/>
        <v>2.6661965200149209E-3</v>
      </c>
      <c r="BA168" s="149">
        <f t="shared" ca="1" si="556"/>
        <v>1.0000000000000677E-4</v>
      </c>
      <c r="BB168" s="149">
        <f t="shared" ca="1" si="557"/>
        <v>1.0000000000000677E-4</v>
      </c>
      <c r="BC168" s="149">
        <f t="shared" ca="1" si="558"/>
        <v>1.0000000000000677E-4</v>
      </c>
      <c r="BD168" s="143">
        <f t="shared" ca="1" si="498"/>
        <v>0</v>
      </c>
      <c r="BE168" s="144">
        <f t="shared" ca="1" si="499"/>
        <v>0</v>
      </c>
      <c r="BF168" s="40">
        <f t="shared" si="500"/>
        <v>2013</v>
      </c>
      <c r="BG168" s="139">
        <f t="shared" si="501"/>
        <v>9</v>
      </c>
      <c r="BH168" s="140">
        <f t="shared" ca="1" si="502"/>
        <v>4512</v>
      </c>
      <c r="BI168" s="304">
        <f t="shared" ca="1" si="570"/>
        <v>12.396988364134154</v>
      </c>
      <c r="BJ168" s="42">
        <f t="shared" ca="1" si="503"/>
        <v>12.453700987581891</v>
      </c>
      <c r="BK168" s="42">
        <f t="shared" ca="1" si="504"/>
        <v>12.456438838369024</v>
      </c>
      <c r="BL168" s="42">
        <f t="shared" ca="1" si="571"/>
        <v>12.476386036960985</v>
      </c>
      <c r="BM168" s="285">
        <f t="shared" si="572"/>
        <v>21</v>
      </c>
      <c r="BN168" s="41">
        <f t="shared" si="573"/>
        <v>15</v>
      </c>
      <c r="BO168" s="41">
        <f t="shared" si="574"/>
        <v>6</v>
      </c>
      <c r="BP168" s="297" t="str">
        <f t="shared" ca="1" si="505"/>
        <v/>
      </c>
      <c r="BQ168" s="297" t="str">
        <f t="shared" ca="1" si="506"/>
        <v/>
      </c>
      <c r="BR168" s="299" t="str">
        <f t="shared" ca="1" si="507"/>
        <v/>
      </c>
      <c r="BS168" s="153" t="str">
        <f t="shared" ca="1" si="508"/>
        <v/>
      </c>
      <c r="BT168" s="153" t="str">
        <f t="shared" ca="1" si="509"/>
        <v/>
      </c>
      <c r="BU168" s="300" t="str">
        <f t="shared" ca="1" si="510"/>
        <v/>
      </c>
      <c r="BV168" s="301" t="str">
        <f t="shared" ca="1" si="511"/>
        <v/>
      </c>
      <c r="BW168" s="300" t="str">
        <f t="shared" ca="1" si="512"/>
        <v/>
      </c>
      <c r="BX168" s="301" t="str">
        <f t="shared" ca="1" si="513"/>
        <v/>
      </c>
      <c r="BY168" s="146" t="str">
        <f t="shared" ca="1" si="514"/>
        <v/>
      </c>
      <c r="BZ168" s="146" t="str">
        <f t="shared" ca="1" si="515"/>
        <v/>
      </c>
      <c r="CA168" s="146" t="str">
        <f t="shared" ca="1" si="516"/>
        <v/>
      </c>
      <c r="CB168" s="146" t="str">
        <f t="shared" ca="1" si="517"/>
        <v/>
      </c>
      <c r="CC168" s="302">
        <v>1</v>
      </c>
      <c r="CD168" s="154">
        <f ca="1">IF(BD168,_xll.xCrudeAPO(BS168,BT168,BY168,BZ168,S169,S170,BI168,BL168,BN168,BO168,0,Strike1,AO168,CC168,0,BL168,IF(OptControl=4,0,1),0,1),0)</f>
        <v>0</v>
      </c>
      <c r="CE168" s="155">
        <f ca="1">IF(BD168,_xll.xCrudeAPO(BS168,BT168,BY168,BZ168,S169,S170,BI168,BL168,BN168,BO168,0,Strike1,AO168,CC168,0,BL168,IF(OptControl=4,0,1),1,1)+_xll.xCrudeAPO(BS168,BT168,BY168,BZ168,S169,S170,BI168,BL168,BN168,BO168,0,Strike1,AO168,CC168,0,BL168,IF(OptControl=4,0,1),1,2)+IF(OR(VolSkewFlag=2,ABS(BQ168)&lt;0.0001),0,IF(BQ168&gt;0,-1,1)*CF168*Strike1/BP168^2*BW168/10%),0)</f>
        <v>0</v>
      </c>
      <c r="CF168" s="155">
        <f ca="1">IF(BD168,(_xll.xCrudeAPO(BS168,BT168,BY168,BZ168,S169,S170,BI168,BL168,BN168,BO168,0,Strike1,AO168,CC168,0,BL168,IF(OptControl=4,0,1),3,1)+_xll.xCrudeAPO(BS168,BT168,BY168,BZ168,S169,S170,BI168,BL168,BN168,BO168,0,Strike1,AO168,CC168,0,BL168,IF(OptControl=4,0,1),3,2))/100,0)</f>
        <v>0</v>
      </c>
      <c r="CG168" s="155">
        <f ca="1">IF(BD168,_xll.xCrudeAPO(BS168,BT168,BY168,BZ168,S169,S170,BI168-DaysForThetaCalculation/365.25,BL168-DaysForThetaCalculation/365.25,BN168,BO168,0,Strike1,AO168,CC168,0,BL168,IF(OptControl=4,0,1),0,1)-_xll.xCrudeAPO(BS168,BT168,BY168,BZ168,S169,S170,BI168,BL168,BN168,BO168,0,Strike1,AO168,CC168,0,BL168,IF(OptControl=4,0,1),0,1),0)</f>
        <v>0</v>
      </c>
      <c r="CH168" s="303">
        <f ca="1">IF(BD168,_xll.xCrudeAPO(BS168,BT168,CA168,CB168,S169,S170,BI168,BL168,BN168,BO168,0,Strike2,AO168,CC168,0,BL168,IF(OptControl=3,1,0),0,1),0)</f>
        <v>0</v>
      </c>
      <c r="CI168" s="155">
        <f ca="1">IF(BD168,_xll.xCrudeAPO(BS168,BT168,CA168,CB168,S169,S170,BI168,BL168,BN168,BO168,0,Strike2,AO168,CC168,0,BL168,IF(OptControl=3,1,0),1,1)+_xll.xCrudeAPO(BS168,BT168,CA168,CB168,S169,S170,BI168,BL168,BN168,BO168,0,Strike2,AO168,CC168,0,BL168,IF(OptControl=3,1,0),1,2)+IF(OR(VolSkewFlag=2,ABS(BR168)&lt;0.0001),0,IF(BR168&gt;0,-1,1)*CJ168*Strike2/BP168^2*BX168/10%),0)</f>
        <v>0</v>
      </c>
      <c r="CJ168" s="155">
        <f ca="1">IF(BD168,(_xll.xCrudeAPO(BS168,BT168,CA168,CB168,S169,S170,BI168,BL168,BN168,BO168,0,Strike2,AO168,CC168,0,BL168,IF(OptControl=3,1,0),3,1)+_xll.xCrudeAPO(BS168,BT168,CA168,CB168,S169,S170,BI168,BL168,BN168,BO168,0,Strike2,AO168,CC168,0,BL168,IF(OptControl=3,1,0),3,2))/100,0)</f>
        <v>0</v>
      </c>
      <c r="CK168" s="156">
        <f ca="1">IF(BD168,_xll.xCrudeAPO(BS168,BT168,CA168,CB168,S169,S170,BI168-DaysForThetaCalculation/365.25,BL168-DaysForThetaCalculation/365.25,BN168,BO168,0,Strike2,AO168,CC168,0,BL168,IF(OptControl=3,1,0),0,1)-_xll.xCrudeAPO(BS168,BT168,CA168,CB168,S169,S170,BI168,BL168,BN168,BO168,0,Strike2,AO168,CC168,0,BL168,IF(OptControl=3,1,0),0,1),0)</f>
        <v>0</v>
      </c>
      <c r="CL168" s="51"/>
      <c r="CM168" s="779" t="str">
        <f t="shared" ca="1" si="534"/>
        <v/>
      </c>
      <c r="CN168" s="783" t="str">
        <f t="shared" ca="1" si="535"/>
        <v/>
      </c>
      <c r="CO168" s="780" t="str">
        <f t="shared" ca="1" si="536"/>
        <v/>
      </c>
      <c r="CP168" s="780" t="str">
        <f t="shared" ca="1" si="537"/>
        <v/>
      </c>
      <c r="CQ168" s="780" t="str">
        <f t="shared" ca="1" si="538"/>
        <v/>
      </c>
      <c r="CR168" s="780" t="str">
        <f t="shared" ca="1" si="539"/>
        <v/>
      </c>
      <c r="CS168" s="781" t="str">
        <f t="shared" ca="1" si="540"/>
        <v/>
      </c>
      <c r="CT168" s="782" t="str">
        <f t="shared" ca="1" si="541"/>
        <v/>
      </c>
      <c r="CU168" s="782" t="str">
        <f t="shared" ca="1" si="542"/>
        <v/>
      </c>
      <c r="CV168" s="155">
        <f ca="1">IF(BD168,_xll.EURO(CN168,Strike1,AO168,AO168,CT168,CM168,IF(OptControl=4,0,1),0),0)</f>
        <v>0</v>
      </c>
      <c r="CW168" s="155">
        <f ca="1">IF(BD168,_xll.EURO(CN168,Strike1,AO168,AO168,CT168,CM168,IF(OptControl=4,0,1),1)+IF(OR(VolSkewFlag=2,ABS(CO168)&lt;0.0001),0,IF(CO168&gt;0,-1,1)*CX168*100*Strike1/CN168^2*CQ168/10%),0)</f>
        <v>0</v>
      </c>
      <c r="CX168" s="155">
        <f ca="1">IF(BD168,_xll.EURO(CN168,Strike1,AO168,AO168,CT168,CM168,IF(OptControl=4,0,1),3)/100,0)</f>
        <v>0</v>
      </c>
      <c r="CY168" s="155">
        <f ca="1">IF(BD168,_xll.EURO(CN168,Strike1,AO168,AO168,CT168,CM168,IF(OptControl=4,0,1),0)-_xll.EURO(CN168,Strike1,AO168,AO168,CT168,CM168-1,IF(OptControl=4,0,1),0),0)</f>
        <v>0</v>
      </c>
      <c r="CZ168" s="155">
        <f ca="1">IF(BD168,_xll.EURO(CN168,Strike2,AO168,AO168,CU168,CM168,IF(OptControl=3,1,0),0),0)</f>
        <v>0</v>
      </c>
      <c r="DA168" s="155">
        <f ca="1">IF(BD168,_xll.EURO(CN168,Strike2,AO168,AO168,CU168,CM168,IF(OptControl=3,1,0),1)+IF(OR(VolSkewFlag=2,ABS(CP168)&lt;0.0001),0,IF(CP168&gt;0,-1,1)*DB168*100*Strike2/CN168^2*CR168/10%),0)</f>
        <v>0</v>
      </c>
      <c r="DB168" s="155">
        <f ca="1">IF(BD168,_xll.EURO(CN168,Strike2,AO168,AO168,CU168,CM168,IF(OptControl=3,1,0),3)/100,0)</f>
        <v>0</v>
      </c>
      <c r="DC168" s="156">
        <f ca="1">IF(BD168,_xll.EURO(CN168,Strike2,AO168,AO168,CU168,CM168,IF(OptControl=3,1,0),0)-_xll.EURO(CN168,Strike2,AO168,AO168,CU168,CM168-1,IF(OptControl=3,1,0),0),0)</f>
        <v>0</v>
      </c>
      <c r="DE168" s="651">
        <f t="shared" ca="1" si="543"/>
        <v>41426</v>
      </c>
      <c r="DF168" s="465">
        <v>1E-4</v>
      </c>
      <c r="DG168" s="649">
        <v>1E-4</v>
      </c>
      <c r="DH168" s="650">
        <f t="shared" ca="1" si="518"/>
        <v>41426</v>
      </c>
      <c r="DI168" s="465">
        <v>1E-4</v>
      </c>
      <c r="DJ168" s="649">
        <v>1E-4</v>
      </c>
      <c r="DK168" s="651">
        <f t="shared" ca="1" si="519"/>
        <v>41426</v>
      </c>
      <c r="DL168" s="652">
        <f t="shared" si="520"/>
        <v>5.0100000000000006E-2</v>
      </c>
      <c r="DM168" s="651">
        <f t="shared" ca="1" si="544"/>
        <v>41426</v>
      </c>
      <c r="DN168" s="563">
        <f t="shared" si="545"/>
        <v>-0.12990000000000002</v>
      </c>
      <c r="DO168" s="803">
        <v>-0.13</v>
      </c>
      <c r="DP168" s="650">
        <f t="shared" ca="1" si="521"/>
        <v>41426</v>
      </c>
      <c r="DQ168" s="653">
        <v>1E-4</v>
      </c>
      <c r="DR168" s="590">
        <v>1E-4</v>
      </c>
      <c r="DS168" s="650">
        <f t="shared" ca="1" si="522"/>
        <v>41426</v>
      </c>
      <c r="DT168" s="653">
        <v>1E-4</v>
      </c>
      <c r="DU168" s="590">
        <v>1E-4</v>
      </c>
      <c r="DV168" s="651">
        <f t="shared" ca="1" si="523"/>
        <v>41426</v>
      </c>
      <c r="DW168" s="590">
        <v>1E-4</v>
      </c>
      <c r="DX168" s="651">
        <f t="shared" ca="1" si="546"/>
        <v>41426</v>
      </c>
      <c r="DY168" s="590">
        <f t="shared" si="547"/>
        <v>1E-4</v>
      </c>
      <c r="DZ168" s="1"/>
      <c r="EA168" s="857"/>
      <c r="EB168" s="857"/>
      <c r="EC168" s="857"/>
      <c r="ED168" s="868" t="e">
        <f t="shared" ca="1" si="566"/>
        <v>#NAME?</v>
      </c>
      <c r="EE168" s="863" t="e">
        <f t="shared" ca="1" si="524"/>
        <v>#NAME?</v>
      </c>
      <c r="EF168" s="590" t="e">
        <f t="shared" ca="1" si="525"/>
        <v>#NAME?</v>
      </c>
      <c r="EG168" s="862" t="str">
        <f t="shared" ca="1" si="526"/>
        <v/>
      </c>
      <c r="EH168" s="114" t="str">
        <f t="shared" ca="1" si="527"/>
        <v/>
      </c>
      <c r="EI168" s="109" t="str">
        <f t="shared" ca="1" si="528"/>
        <v/>
      </c>
      <c r="EJ168" s="115">
        <f ca="1">IF(BD168,_xll.xASN(BP168,Strike1,AO168,EH168,0,BM168,0,BI168,BL168,IF(OptControl=4,0,1),0),0)</f>
        <v>0</v>
      </c>
      <c r="EK168" s="108">
        <f ca="1">IF(BD168,_xll.xASN(BP168,Strike2,AO168,EI168,0,BM168,0,BI168,BL168,IF(OptControl=3,1,0),0),0)</f>
        <v>0</v>
      </c>
      <c r="EP168" s="53"/>
      <c r="EQ168" s="1"/>
      <c r="ER168" s="103"/>
      <c r="ES168" s="103"/>
      <c r="ET168" s="1"/>
      <c r="EU168" s="667" t="s">
        <v>380</v>
      </c>
      <c r="EW168" s="445"/>
      <c r="EX168" s="36"/>
      <c r="EY168" s="104"/>
      <c r="EZ168" s="465"/>
      <c r="FA168" s="446"/>
      <c r="FB168" s="446"/>
      <c r="FC168" s="242"/>
      <c r="FD168" s="242"/>
      <c r="FE168" s="242"/>
      <c r="FF168" s="242"/>
      <c r="FG168" s="242"/>
      <c r="FH168" s="242"/>
      <c r="FI168" s="242"/>
      <c r="FJ168" s="242"/>
      <c r="FK168" s="242"/>
      <c r="FL168" s="242"/>
      <c r="FM168" s="242"/>
      <c r="FN168" s="457" t="s">
        <v>237</v>
      </c>
      <c r="FO168" s="242"/>
      <c r="FP168" s="242"/>
      <c r="FQ168" s="242"/>
      <c r="FR168" s="242"/>
      <c r="FS168" s="242"/>
      <c r="FT168" s="242"/>
      <c r="FU168" s="242"/>
      <c r="FV168" s="242"/>
      <c r="FW168" s="242"/>
      <c r="FX168" s="242"/>
      <c r="FY168" s="242"/>
      <c r="FZ168" s="242"/>
      <c r="GA168" s="242"/>
      <c r="GB168" s="242"/>
      <c r="GC168" s="242"/>
      <c r="GD168" s="242"/>
      <c r="GE168" s="242"/>
      <c r="GF168" s="242"/>
      <c r="GG168" s="242"/>
      <c r="GH168" s="242"/>
      <c r="GI168" s="242"/>
      <c r="GJ168" s="242"/>
      <c r="GK168" s="242"/>
      <c r="GL168" s="242"/>
      <c r="GM168" s="242"/>
      <c r="GN168" s="242"/>
      <c r="GO168" s="242"/>
      <c r="GP168" s="242"/>
      <c r="GQ168" s="242"/>
      <c r="GR168" s="242"/>
      <c r="GS168" s="242"/>
      <c r="GT168" s="242"/>
      <c r="GU168" s="242"/>
      <c r="GV168" s="242"/>
      <c r="GW168" s="242"/>
      <c r="GX168" s="242"/>
      <c r="GY168" s="242"/>
      <c r="GZ168" s="242"/>
      <c r="HA168" s="242"/>
      <c r="HB168" s="242"/>
      <c r="HC168" s="242"/>
      <c r="HD168" s="242"/>
      <c r="HE168" s="242"/>
      <c r="HF168" s="242"/>
      <c r="HG168" s="242"/>
      <c r="HH168" s="242"/>
      <c r="HI168" s="242"/>
      <c r="HJ168" s="242"/>
      <c r="HK168" s="242"/>
      <c r="HL168" s="242"/>
      <c r="HM168" s="242"/>
      <c r="HN168" s="242"/>
      <c r="HO168" s="242"/>
      <c r="HP168" s="242"/>
      <c r="HQ168" s="242"/>
      <c r="HR168" s="242"/>
      <c r="HS168" s="242"/>
      <c r="HT168" s="242"/>
      <c r="HU168" s="242"/>
      <c r="HV168" s="242"/>
      <c r="HW168" s="242"/>
      <c r="HX168" s="242"/>
      <c r="HY168" s="242"/>
      <c r="HZ168" s="242"/>
      <c r="IA168" s="242"/>
      <c r="IB168" s="242"/>
      <c r="IC168" s="242"/>
      <c r="ID168" s="242"/>
      <c r="IE168" s="242"/>
      <c r="IF168" s="242"/>
      <c r="IG168" s="242"/>
      <c r="IH168" s="242"/>
      <c r="II168" s="242"/>
    </row>
    <row r="169" spans="8:243">
      <c r="H169" s="49" t="e">
        <f t="shared" ca="1" si="529"/>
        <v>#N/A</v>
      </c>
      <c r="I169" s="369">
        <f t="shared" si="530"/>
        <v>41548</v>
      </c>
      <c r="J169" s="367">
        <v>23.1099999999999</v>
      </c>
      <c r="K169" s="101" t="s">
        <v>267</v>
      </c>
      <c r="L169" s="382">
        <f t="shared" si="531"/>
        <v>23.109999999999918</v>
      </c>
      <c r="M169" s="163">
        <v>0.1515</v>
      </c>
      <c r="N169" s="372">
        <v>0</v>
      </c>
      <c r="O169" s="163">
        <f t="shared" si="488"/>
        <v>0.1515</v>
      </c>
      <c r="P169" s="367">
        <v>21.710282037863298</v>
      </c>
      <c r="Q169" s="101" t="s">
        <v>267</v>
      </c>
      <c r="R169" s="367">
        <f t="shared" ca="1" si="549"/>
        <v>21.710282037863262</v>
      </c>
      <c r="S169" s="814">
        <f t="shared" si="474"/>
        <v>0.3512974077766996</v>
      </c>
      <c r="T169" s="813">
        <f t="shared" si="550"/>
        <v>0.99999998812675939</v>
      </c>
      <c r="U169" s="532">
        <f t="shared" si="551"/>
        <v>0.99999999999999978</v>
      </c>
      <c r="V169" s="379">
        <v>0</v>
      </c>
      <c r="W169" s="424">
        <f t="shared" si="489"/>
        <v>23.144782608695554</v>
      </c>
      <c r="X169" s="405">
        <f t="shared" si="490"/>
        <v>23.144782608695571</v>
      </c>
      <c r="Y169" s="313">
        <f t="shared" si="491"/>
        <v>21.903182608695552</v>
      </c>
      <c r="Z169" s="313">
        <f t="shared" ca="1" si="492"/>
        <v>21.903182608695573</v>
      </c>
      <c r="AA169" s="419">
        <f t="shared" si="493"/>
        <v>1.2416</v>
      </c>
      <c r="AB169" s="423">
        <f t="shared" ca="1" si="494"/>
        <v>1.2416</v>
      </c>
      <c r="AC169" s="221">
        <v>41537</v>
      </c>
      <c r="AD169" s="221">
        <v>41533</v>
      </c>
      <c r="AE169" s="221">
        <v>41532</v>
      </c>
      <c r="AF169" s="221">
        <v>41528</v>
      </c>
      <c r="AG169" s="241" t="s">
        <v>497</v>
      </c>
      <c r="AH169" s="239" t="s">
        <v>497</v>
      </c>
      <c r="AI169" s="141">
        <v>23</v>
      </c>
      <c r="AJ169" s="41">
        <v>14</v>
      </c>
      <c r="AK169" s="41">
        <v>9</v>
      </c>
      <c r="AL169" s="285">
        <v>23</v>
      </c>
      <c r="AM169" s="41">
        <v>10</v>
      </c>
      <c r="AN169" s="142">
        <v>13</v>
      </c>
      <c r="AO169" s="364">
        <v>6.0612771126409302E-2</v>
      </c>
      <c r="AP169" s="145">
        <f t="shared" ca="1" si="532"/>
        <v>0.47233658585910626</v>
      </c>
      <c r="AQ169" s="364">
        <v>5.3108062139529497E-2</v>
      </c>
      <c r="AR169" s="145">
        <f t="shared" ca="1" si="552"/>
        <v>0.52103242246232906</v>
      </c>
      <c r="AS169" s="264">
        <f t="shared" si="495"/>
        <v>0.15094347826086957</v>
      </c>
      <c r="AT169" s="149">
        <f t="shared" si="533"/>
        <v>0.1515</v>
      </c>
      <c r="AU169" s="149">
        <f t="shared" si="496"/>
        <v>0.15087391304347827</v>
      </c>
      <c r="AV169" s="263">
        <f t="shared" ca="1" si="560"/>
        <v>0.14920472231879092</v>
      </c>
      <c r="AW169" s="150" t="str">
        <f t="shared" ca="1" si="497"/>
        <v/>
      </c>
      <c r="AX169" s="149">
        <f t="shared" ca="1" si="553"/>
        <v>7.9403410941064744E-3</v>
      </c>
      <c r="AY169" s="149">
        <f t="shared" ca="1" si="554"/>
        <v>2.9402636249997441E-3</v>
      </c>
      <c r="AZ169" s="149">
        <f t="shared" ca="1" si="555"/>
        <v>2.6344210306937085E-3</v>
      </c>
      <c r="BA169" s="149">
        <f t="shared" ca="1" si="556"/>
        <v>1.0000000000000684E-4</v>
      </c>
      <c r="BB169" s="149">
        <f t="shared" ca="1" si="557"/>
        <v>1.0000000000000684E-4</v>
      </c>
      <c r="BC169" s="149">
        <f t="shared" ca="1" si="558"/>
        <v>1.0000000000000684E-4</v>
      </c>
      <c r="BD169" s="143">
        <f t="shared" ca="1" si="498"/>
        <v>0</v>
      </c>
      <c r="BE169" s="144">
        <f t="shared" ca="1" si="499"/>
        <v>0</v>
      </c>
      <c r="BF169" s="40">
        <f t="shared" si="500"/>
        <v>2013</v>
      </c>
      <c r="BG169" s="139">
        <f t="shared" si="501"/>
        <v>10</v>
      </c>
      <c r="BH169" s="140">
        <f t="shared" ca="1" si="502"/>
        <v>4543</v>
      </c>
      <c r="BI169" s="304">
        <f t="shared" ca="1" si="570"/>
        <v>12.479123887748118</v>
      </c>
      <c r="BJ169" s="42">
        <f t="shared" ca="1" si="503"/>
        <v>12.529119423860964</v>
      </c>
      <c r="BK169" s="42">
        <f t="shared" ca="1" si="504"/>
        <v>12.531857274648097</v>
      </c>
      <c r="BL169" s="42">
        <f t="shared" ca="1" si="571"/>
        <v>12.56125941136208</v>
      </c>
      <c r="BM169" s="285">
        <f t="shared" si="572"/>
        <v>23</v>
      </c>
      <c r="BN169" s="41">
        <f t="shared" si="573"/>
        <v>14</v>
      </c>
      <c r="BO169" s="41">
        <f t="shared" si="574"/>
        <v>9</v>
      </c>
      <c r="BP169" s="297" t="str">
        <f t="shared" ca="1" si="505"/>
        <v/>
      </c>
      <c r="BQ169" s="297" t="str">
        <f t="shared" ca="1" si="506"/>
        <v/>
      </c>
      <c r="BR169" s="299" t="str">
        <f t="shared" ca="1" si="507"/>
        <v/>
      </c>
      <c r="BS169" s="153" t="str">
        <f t="shared" ca="1" si="508"/>
        <v/>
      </c>
      <c r="BT169" s="153" t="str">
        <f t="shared" ca="1" si="509"/>
        <v/>
      </c>
      <c r="BU169" s="300" t="str">
        <f t="shared" ca="1" si="510"/>
        <v/>
      </c>
      <c r="BV169" s="301" t="str">
        <f t="shared" ca="1" si="511"/>
        <v/>
      </c>
      <c r="BW169" s="300" t="str">
        <f t="shared" ca="1" si="512"/>
        <v/>
      </c>
      <c r="BX169" s="301" t="str">
        <f t="shared" ca="1" si="513"/>
        <v/>
      </c>
      <c r="BY169" s="146" t="str">
        <f t="shared" ca="1" si="514"/>
        <v/>
      </c>
      <c r="BZ169" s="146" t="str">
        <f t="shared" ca="1" si="515"/>
        <v/>
      </c>
      <c r="CA169" s="146" t="str">
        <f t="shared" ca="1" si="516"/>
        <v/>
      </c>
      <c r="CB169" s="146" t="str">
        <f t="shared" ca="1" si="517"/>
        <v/>
      </c>
      <c r="CC169" s="302">
        <v>1</v>
      </c>
      <c r="CD169" s="154">
        <f ca="1">IF(BD169,_xll.xCrudeAPO(BS169,BT169,BY169,BZ169,S170,S171,BI169,BL169,BN169,BO169,0,Strike1,AO169,CC169,0,BL169,IF(OptControl=4,0,1),0,1),0)</f>
        <v>0</v>
      </c>
      <c r="CE169" s="155">
        <f ca="1">IF(BD169,_xll.xCrudeAPO(BS169,BT169,BY169,BZ169,S170,S171,BI169,BL169,BN169,BO169,0,Strike1,AO169,CC169,0,BL169,IF(OptControl=4,0,1),1,1)+_xll.xCrudeAPO(BS169,BT169,BY169,BZ169,S170,S171,BI169,BL169,BN169,BO169,0,Strike1,AO169,CC169,0,BL169,IF(OptControl=4,0,1),1,2)+IF(OR(VolSkewFlag=2,ABS(BQ169)&lt;0.0001),0,IF(BQ169&gt;0,-1,1)*CF169*Strike1/BP169^2*BW169/10%),0)</f>
        <v>0</v>
      </c>
      <c r="CF169" s="155">
        <f ca="1">IF(BD169,(_xll.xCrudeAPO(BS169,BT169,BY169,BZ169,S170,S171,BI169,BL169,BN169,BO169,0,Strike1,AO169,CC169,0,BL169,IF(OptControl=4,0,1),3,1)+_xll.xCrudeAPO(BS169,BT169,BY169,BZ169,S170,S171,BI169,BL169,BN169,BO169,0,Strike1,AO169,CC169,0,BL169,IF(OptControl=4,0,1),3,2))/100,0)</f>
        <v>0</v>
      </c>
      <c r="CG169" s="155">
        <f ca="1">IF(BD169,_xll.xCrudeAPO(BS169,BT169,BY169,BZ169,S170,S171,BI169-DaysForThetaCalculation/365.25,BL169-DaysForThetaCalculation/365.25,BN169,BO169,0,Strike1,AO169,CC169,0,BL169,IF(OptControl=4,0,1),0,1)-_xll.xCrudeAPO(BS169,BT169,BY169,BZ169,S170,S171,BI169,BL169,BN169,BO169,0,Strike1,AO169,CC169,0,BL169,IF(OptControl=4,0,1),0,1),0)</f>
        <v>0</v>
      </c>
      <c r="CH169" s="303">
        <f ca="1">IF(BD169,_xll.xCrudeAPO(BS169,BT169,CA169,CB169,S170,S171,BI169,BL169,BN169,BO169,0,Strike2,AO169,CC169,0,BL169,IF(OptControl=3,1,0),0,1),0)</f>
        <v>0</v>
      </c>
      <c r="CI169" s="155">
        <f ca="1">IF(BD169,_xll.xCrudeAPO(BS169,BT169,CA169,CB169,S170,S171,BI169,BL169,BN169,BO169,0,Strike2,AO169,CC169,0,BL169,IF(OptControl=3,1,0),1,1)+_xll.xCrudeAPO(BS169,BT169,CA169,CB169,S170,S171,BI169,BL169,BN169,BO169,0,Strike2,AO169,CC169,0,BL169,IF(OptControl=3,1,0),1,2)+IF(OR(VolSkewFlag=2,ABS(BR169)&lt;0.0001),0,IF(BR169&gt;0,-1,1)*CJ169*Strike2/BP169^2*BX169/10%),0)</f>
        <v>0</v>
      </c>
      <c r="CJ169" s="155">
        <f ca="1">IF(BD169,(_xll.xCrudeAPO(BS169,BT169,CA169,CB169,S170,S171,BI169,BL169,BN169,BO169,0,Strike2,AO169,CC169,0,BL169,IF(OptControl=3,1,0),3,1)+_xll.xCrudeAPO(BS169,BT169,CA169,CB169,S170,S171,BI169,BL169,BN169,BO169,0,Strike2,AO169,CC169,0,BL169,IF(OptControl=3,1,0),3,2))/100,0)</f>
        <v>0</v>
      </c>
      <c r="CK169" s="156">
        <f ca="1">IF(BD169,_xll.xCrudeAPO(BS169,BT169,CA169,CB169,S170,S171,BI169-DaysForThetaCalculation/365.25,BL169-DaysForThetaCalculation/365.25,BN169,BO169,0,Strike2,AO169,CC169,0,BL169,IF(OptControl=3,1,0),0,1)-_xll.xCrudeAPO(BS169,BT169,CA169,CB169,S170,S171,BI169,BL169,BN169,BO169,0,Strike2,AO169,CC169,0,BL169,IF(OptControl=3,1,0),0,1),0)</f>
        <v>0</v>
      </c>
      <c r="CL169" s="51"/>
      <c r="CM169" s="779" t="str">
        <f t="shared" ca="1" si="534"/>
        <v/>
      </c>
      <c r="CN169" s="783" t="str">
        <f t="shared" ca="1" si="535"/>
        <v/>
      </c>
      <c r="CO169" s="780" t="str">
        <f t="shared" ca="1" si="536"/>
        <v/>
      </c>
      <c r="CP169" s="780" t="str">
        <f t="shared" ca="1" si="537"/>
        <v/>
      </c>
      <c r="CQ169" s="780" t="str">
        <f t="shared" ca="1" si="538"/>
        <v/>
      </c>
      <c r="CR169" s="780" t="str">
        <f t="shared" ca="1" si="539"/>
        <v/>
      </c>
      <c r="CS169" s="781" t="str">
        <f t="shared" ca="1" si="540"/>
        <v/>
      </c>
      <c r="CT169" s="782" t="str">
        <f t="shared" ca="1" si="541"/>
        <v/>
      </c>
      <c r="CU169" s="782" t="str">
        <f t="shared" ca="1" si="542"/>
        <v/>
      </c>
      <c r="CV169" s="155">
        <f ca="1">IF(BD169,_xll.EURO(CN169,Strike1,AO169,AO169,CT169,CM169,IF(OptControl=4,0,1),0),0)</f>
        <v>0</v>
      </c>
      <c r="CW169" s="155">
        <f ca="1">IF(BD169,_xll.EURO(CN169,Strike1,AO169,AO169,CT169,CM169,IF(OptControl=4,0,1),1)+IF(OR(VolSkewFlag=2,ABS(CO169)&lt;0.0001),0,IF(CO169&gt;0,-1,1)*CX169*100*Strike1/CN169^2*CQ169/10%),0)</f>
        <v>0</v>
      </c>
      <c r="CX169" s="155">
        <f ca="1">IF(BD169,_xll.EURO(CN169,Strike1,AO169,AO169,CT169,CM169,IF(OptControl=4,0,1),3)/100,0)</f>
        <v>0</v>
      </c>
      <c r="CY169" s="155">
        <f ca="1">IF(BD169,_xll.EURO(CN169,Strike1,AO169,AO169,CT169,CM169,IF(OptControl=4,0,1),0)-_xll.EURO(CN169,Strike1,AO169,AO169,CT169,CM169-1,IF(OptControl=4,0,1),0),0)</f>
        <v>0</v>
      </c>
      <c r="CZ169" s="155">
        <f ca="1">IF(BD169,_xll.EURO(CN169,Strike2,AO169,AO169,CU169,CM169,IF(OptControl=3,1,0),0),0)</f>
        <v>0</v>
      </c>
      <c r="DA169" s="155">
        <f ca="1">IF(BD169,_xll.EURO(CN169,Strike2,AO169,AO169,CU169,CM169,IF(OptControl=3,1,0),1)+IF(OR(VolSkewFlag=2,ABS(CP169)&lt;0.0001),0,IF(CP169&gt;0,-1,1)*DB169*100*Strike2/CN169^2*CR169/10%),0)</f>
        <v>0</v>
      </c>
      <c r="DB169" s="155">
        <f ca="1">IF(BD169,_xll.EURO(CN169,Strike2,AO169,AO169,CU169,CM169,IF(OptControl=3,1,0),3)/100,0)</f>
        <v>0</v>
      </c>
      <c r="DC169" s="156">
        <f ca="1">IF(BD169,_xll.EURO(CN169,Strike2,AO169,AO169,CU169,CM169,IF(OptControl=3,1,0),0)-_xll.EURO(CN169,Strike2,AO169,AO169,CU169,CM169-1,IF(OptControl=3,1,0),0),0)</f>
        <v>0</v>
      </c>
      <c r="DE169" s="651">
        <f t="shared" ca="1" si="543"/>
        <v>41456</v>
      </c>
      <c r="DF169" s="465">
        <v>1E-4</v>
      </c>
      <c r="DG169" s="649">
        <v>1E-4</v>
      </c>
      <c r="DH169" s="650">
        <f t="shared" ca="1" si="518"/>
        <v>41456</v>
      </c>
      <c r="DI169" s="465">
        <v>1E-4</v>
      </c>
      <c r="DJ169" s="649">
        <v>1E-4</v>
      </c>
      <c r="DK169" s="651">
        <f t="shared" ca="1" si="519"/>
        <v>41456</v>
      </c>
      <c r="DL169" s="652">
        <f t="shared" si="520"/>
        <v>5.0100000000000006E-2</v>
      </c>
      <c r="DM169" s="651">
        <f t="shared" ca="1" si="544"/>
        <v>41456</v>
      </c>
      <c r="DN169" s="563">
        <f t="shared" si="545"/>
        <v>-0.12990000000000002</v>
      </c>
      <c r="DO169" s="803">
        <v>-0.13</v>
      </c>
      <c r="DP169" s="650">
        <f t="shared" ca="1" si="521"/>
        <v>41456</v>
      </c>
      <c r="DQ169" s="653">
        <v>1E-4</v>
      </c>
      <c r="DR169" s="590">
        <v>1E-4</v>
      </c>
      <c r="DS169" s="650">
        <f t="shared" ca="1" si="522"/>
        <v>41456</v>
      </c>
      <c r="DT169" s="653">
        <v>1E-4</v>
      </c>
      <c r="DU169" s="590">
        <v>1E-4</v>
      </c>
      <c r="DV169" s="651">
        <f t="shared" ca="1" si="523"/>
        <v>41456</v>
      </c>
      <c r="DW169" s="590">
        <v>1E-4</v>
      </c>
      <c r="DX169" s="651">
        <f t="shared" ca="1" si="546"/>
        <v>41456</v>
      </c>
      <c r="DY169" s="590">
        <f t="shared" si="547"/>
        <v>1E-4</v>
      </c>
      <c r="DZ169" s="1"/>
      <c r="EA169" s="857"/>
      <c r="EB169" s="857"/>
      <c r="EC169" s="857"/>
      <c r="ED169" s="868" t="e">
        <f t="shared" ca="1" si="566"/>
        <v>#NAME?</v>
      </c>
      <c r="EE169" s="863" t="e">
        <f t="shared" ca="1" si="524"/>
        <v>#NAME?</v>
      </c>
      <c r="EF169" s="590" t="e">
        <f t="shared" ca="1" si="525"/>
        <v>#NAME?</v>
      </c>
      <c r="EG169" s="862" t="str">
        <f t="shared" ca="1" si="526"/>
        <v/>
      </c>
      <c r="EH169" s="114" t="str">
        <f t="shared" ca="1" si="527"/>
        <v/>
      </c>
      <c r="EI169" s="109" t="str">
        <f t="shared" ca="1" si="528"/>
        <v/>
      </c>
      <c r="EJ169" s="115">
        <f ca="1">IF(BD169,_xll.xASN(BP169,Strike1,AO169,EH169,0,BM169,0,BI169,BL169,IF(OptControl=4,0,1),0),0)</f>
        <v>0</v>
      </c>
      <c r="EK169" s="108">
        <f ca="1">IF(BD169,_xll.xASN(BP169,Strike2,AO169,EI169,0,BM169,0,BI169,BL169,IF(OptControl=3,1,0),0),0)</f>
        <v>0</v>
      </c>
      <c r="EP169" s="53"/>
      <c r="EQ169" s="1"/>
      <c r="ER169" s="103"/>
      <c r="ES169" s="103"/>
      <c r="ET169" s="1"/>
      <c r="EU169" s="667" t="s">
        <v>381</v>
      </c>
      <c r="EW169" s="445"/>
      <c r="EX169" s="36"/>
      <c r="EY169" s="104"/>
      <c r="EZ169" s="465"/>
      <c r="FA169" s="446"/>
      <c r="FB169" s="446"/>
      <c r="FC169" s="242"/>
      <c r="FD169" s="242"/>
      <c r="FE169" s="242"/>
      <c r="FF169" s="242"/>
      <c r="FG169" s="242"/>
      <c r="FH169" s="242"/>
      <c r="FI169" s="242"/>
      <c r="FJ169" s="242"/>
      <c r="FK169" s="242"/>
      <c r="FL169" s="242"/>
      <c r="FM169" s="242"/>
      <c r="FN169" s="654"/>
      <c r="FO169" s="655">
        <v>1</v>
      </c>
      <c r="FP169" s="655">
        <v>2</v>
      </c>
      <c r="FQ169" s="655">
        <v>3</v>
      </c>
      <c r="FR169" s="655">
        <v>4</v>
      </c>
      <c r="FS169" s="655">
        <v>5</v>
      </c>
      <c r="FT169" s="655">
        <v>6</v>
      </c>
      <c r="FU169" s="655">
        <v>7</v>
      </c>
      <c r="FV169" s="655">
        <v>8</v>
      </c>
      <c r="FW169" s="655">
        <v>9</v>
      </c>
      <c r="FX169" s="655">
        <v>10</v>
      </c>
      <c r="FY169" s="655">
        <v>11</v>
      </c>
      <c r="FZ169" s="655">
        <v>12</v>
      </c>
      <c r="GA169" s="655">
        <v>13</v>
      </c>
      <c r="GB169" s="655">
        <v>14</v>
      </c>
      <c r="GC169" s="655">
        <v>15</v>
      </c>
      <c r="GD169" s="655">
        <v>16</v>
      </c>
      <c r="GE169" s="655">
        <v>17</v>
      </c>
      <c r="GF169" s="655">
        <v>18</v>
      </c>
      <c r="GG169" s="655">
        <v>19</v>
      </c>
      <c r="GH169" s="655">
        <v>20</v>
      </c>
      <c r="GI169" s="655">
        <v>21</v>
      </c>
      <c r="GJ169" s="655">
        <v>22</v>
      </c>
      <c r="GK169" s="655">
        <v>23</v>
      </c>
      <c r="GL169" s="655">
        <v>24</v>
      </c>
      <c r="GM169" s="655">
        <v>25</v>
      </c>
      <c r="GN169" s="655">
        <v>26</v>
      </c>
      <c r="GO169" s="655">
        <v>27</v>
      </c>
      <c r="GP169" s="655">
        <v>28</v>
      </c>
      <c r="GQ169" s="655">
        <v>29</v>
      </c>
      <c r="GR169" s="655">
        <v>30</v>
      </c>
      <c r="GS169" s="655">
        <v>31</v>
      </c>
      <c r="GT169" s="655">
        <v>32</v>
      </c>
      <c r="GU169" s="655">
        <v>33</v>
      </c>
      <c r="GV169" s="655">
        <v>34</v>
      </c>
      <c r="GW169" s="655">
        <v>35</v>
      </c>
      <c r="GX169" s="655">
        <v>36</v>
      </c>
      <c r="GY169" s="655">
        <v>37</v>
      </c>
      <c r="GZ169" s="655">
        <v>38</v>
      </c>
      <c r="HA169" s="655">
        <v>39</v>
      </c>
      <c r="HB169" s="655">
        <v>40</v>
      </c>
      <c r="HC169" s="655">
        <v>41</v>
      </c>
      <c r="HD169" s="655">
        <v>42</v>
      </c>
      <c r="HE169" s="655">
        <v>43</v>
      </c>
      <c r="HF169" s="655">
        <v>44</v>
      </c>
      <c r="HG169" s="655">
        <v>45</v>
      </c>
      <c r="HH169" s="655">
        <v>46</v>
      </c>
      <c r="HI169" s="655">
        <v>47</v>
      </c>
      <c r="HJ169" s="655">
        <v>48</v>
      </c>
      <c r="HK169" s="655">
        <v>49</v>
      </c>
      <c r="HL169" s="655">
        <v>50</v>
      </c>
      <c r="HM169" s="655">
        <v>51</v>
      </c>
      <c r="HN169" s="655">
        <v>52</v>
      </c>
      <c r="HO169" s="655">
        <v>53</v>
      </c>
      <c r="HP169" s="655">
        <v>54</v>
      </c>
      <c r="HQ169" s="655">
        <v>55</v>
      </c>
      <c r="HR169" s="655">
        <v>56</v>
      </c>
      <c r="HS169" s="655">
        <v>57</v>
      </c>
      <c r="HT169" s="655">
        <v>58</v>
      </c>
      <c r="HU169" s="655">
        <v>59</v>
      </c>
      <c r="HV169" s="655">
        <v>60</v>
      </c>
      <c r="HW169" s="655">
        <v>61</v>
      </c>
      <c r="HX169" s="655">
        <v>62</v>
      </c>
      <c r="HY169" s="655">
        <v>63</v>
      </c>
      <c r="HZ169" s="655">
        <v>64</v>
      </c>
      <c r="IA169" s="655">
        <v>65</v>
      </c>
      <c r="IB169" s="655">
        <v>66</v>
      </c>
      <c r="IC169" s="655">
        <v>67</v>
      </c>
      <c r="ID169" s="655">
        <v>68</v>
      </c>
      <c r="IE169" s="655">
        <v>69</v>
      </c>
      <c r="IF169" s="655">
        <v>70</v>
      </c>
      <c r="IG169" s="655">
        <v>71</v>
      </c>
      <c r="IH169" s="656">
        <v>72</v>
      </c>
      <c r="II169" s="242"/>
    </row>
    <row r="170" spans="8:243">
      <c r="H170" s="49" t="e">
        <f t="shared" ca="1" si="529"/>
        <v>#N/A</v>
      </c>
      <c r="I170" s="369">
        <f t="shared" si="530"/>
        <v>41579</v>
      </c>
      <c r="J170" s="367">
        <v>23.134999999999902</v>
      </c>
      <c r="K170" s="101" t="s">
        <v>267</v>
      </c>
      <c r="L170" s="382">
        <f t="shared" si="531"/>
        <v>23.134999999999916</v>
      </c>
      <c r="M170" s="163">
        <v>0.15110000000000001</v>
      </c>
      <c r="N170" s="372">
        <v>0</v>
      </c>
      <c r="O170" s="163">
        <f t="shared" si="488"/>
        <v>0.15110000000000001</v>
      </c>
      <c r="P170" s="367">
        <v>21.879161783760498</v>
      </c>
      <c r="Q170" s="101" t="s">
        <v>267</v>
      </c>
      <c r="R170" s="367">
        <f t="shared" ca="1" si="549"/>
        <v>21.879161783760509</v>
      </c>
      <c r="S170" s="814">
        <f t="shared" si="474"/>
        <v>0.3511844336989326</v>
      </c>
      <c r="T170" s="813">
        <f t="shared" si="550"/>
        <v>0.9999999893140834</v>
      </c>
      <c r="U170" s="532">
        <f t="shared" si="551"/>
        <v>0.99999999999999978</v>
      </c>
      <c r="V170" s="379">
        <v>0</v>
      </c>
      <c r="W170" s="424">
        <f t="shared" si="489"/>
        <v>23.168333333333234</v>
      </c>
      <c r="X170" s="405">
        <f t="shared" si="490"/>
        <v>23.168333333333248</v>
      </c>
      <c r="Y170" s="313">
        <f t="shared" si="491"/>
        <v>21.926733333333232</v>
      </c>
      <c r="Z170" s="313">
        <f t="shared" ca="1" si="492"/>
        <v>21.926733333333246</v>
      </c>
      <c r="AA170" s="419">
        <f t="shared" si="493"/>
        <v>1.2416</v>
      </c>
      <c r="AB170" s="423">
        <f t="shared" ca="1" si="494"/>
        <v>1.2416</v>
      </c>
      <c r="AC170" s="221">
        <v>41567</v>
      </c>
      <c r="AD170" s="221">
        <v>41563</v>
      </c>
      <c r="AE170" s="221">
        <v>41562</v>
      </c>
      <c r="AF170" s="221">
        <v>41558</v>
      </c>
      <c r="AG170" s="241" t="s">
        <v>497</v>
      </c>
      <c r="AH170" s="239" t="s">
        <v>497</v>
      </c>
      <c r="AI170" s="141">
        <v>21</v>
      </c>
      <c r="AJ170" s="41">
        <v>14</v>
      </c>
      <c r="AK170" s="41">
        <v>7</v>
      </c>
      <c r="AL170" s="285">
        <v>21</v>
      </c>
      <c r="AM170" s="41">
        <v>10</v>
      </c>
      <c r="AN170" s="142">
        <v>11</v>
      </c>
      <c r="AO170" s="364">
        <v>6.06580936757211E-2</v>
      </c>
      <c r="AP170" s="145">
        <f t="shared" ca="1" si="532"/>
        <v>0.46976433567054077</v>
      </c>
      <c r="AQ170" s="364">
        <v>5.3215090568178997E-2</v>
      </c>
      <c r="AR170" s="145">
        <f t="shared" ca="1" si="552"/>
        <v>0.51811737144482706</v>
      </c>
      <c r="AS170" s="264">
        <f t="shared" si="495"/>
        <v>0.15056666666666668</v>
      </c>
      <c r="AT170" s="149">
        <f t="shared" si="533"/>
        <v>0.15110000000000001</v>
      </c>
      <c r="AU170" s="149">
        <f t="shared" si="496"/>
        <v>0.1504904761904762</v>
      </c>
      <c r="AV170" s="263">
        <f t="shared" ca="1" si="560"/>
        <v>0.14888773042218034</v>
      </c>
      <c r="AW170" s="150" t="str">
        <f t="shared" ca="1" si="497"/>
        <v/>
      </c>
      <c r="AX170" s="149">
        <f t="shared" ca="1" si="553"/>
        <v>7.8287934853152347E-3</v>
      </c>
      <c r="AY170" s="149">
        <f t="shared" ca="1" si="554"/>
        <v>2.8896738357444595E-3</v>
      </c>
      <c r="AZ170" s="149">
        <f t="shared" ca="1" si="555"/>
        <v>2.6030242387843423E-3</v>
      </c>
      <c r="BA170" s="149">
        <f t="shared" ca="1" si="556"/>
        <v>1.000000000000069E-4</v>
      </c>
      <c r="BB170" s="149">
        <f t="shared" ca="1" si="557"/>
        <v>1.000000000000069E-4</v>
      </c>
      <c r="BC170" s="149">
        <f t="shared" ca="1" si="558"/>
        <v>1.000000000000069E-4</v>
      </c>
      <c r="BD170" s="143">
        <f t="shared" ca="1" si="498"/>
        <v>0</v>
      </c>
      <c r="BE170" s="144">
        <f t="shared" ca="1" si="499"/>
        <v>0</v>
      </c>
      <c r="BF170" s="40">
        <f t="shared" si="500"/>
        <v>2013</v>
      </c>
      <c r="BG170" s="139">
        <f t="shared" si="501"/>
        <v>11</v>
      </c>
      <c r="BH170" s="140">
        <f t="shared" ca="1" si="502"/>
        <v>4573</v>
      </c>
      <c r="BI170" s="304">
        <f t="shared" ca="1" si="570"/>
        <v>12.563997262149213</v>
      </c>
      <c r="BJ170" s="42">
        <f t="shared" ca="1" si="503"/>
        <v>12.616929044033768</v>
      </c>
      <c r="BK170" s="42">
        <f t="shared" ca="1" si="504"/>
        <v>12.619666894820901</v>
      </c>
      <c r="BL170" s="42">
        <f t="shared" ca="1" si="571"/>
        <v>12.643394934976044</v>
      </c>
      <c r="BM170" s="285">
        <f t="shared" si="572"/>
        <v>21</v>
      </c>
      <c r="BN170" s="41">
        <f t="shared" si="573"/>
        <v>14</v>
      </c>
      <c r="BO170" s="41">
        <f t="shared" si="574"/>
        <v>7</v>
      </c>
      <c r="BP170" s="297" t="str">
        <f t="shared" ca="1" si="505"/>
        <v/>
      </c>
      <c r="BQ170" s="297" t="str">
        <f t="shared" ca="1" si="506"/>
        <v/>
      </c>
      <c r="BR170" s="299" t="str">
        <f t="shared" ca="1" si="507"/>
        <v/>
      </c>
      <c r="BS170" s="153" t="str">
        <f t="shared" ca="1" si="508"/>
        <v/>
      </c>
      <c r="BT170" s="153" t="str">
        <f t="shared" ca="1" si="509"/>
        <v/>
      </c>
      <c r="BU170" s="300" t="str">
        <f t="shared" ca="1" si="510"/>
        <v/>
      </c>
      <c r="BV170" s="301" t="str">
        <f t="shared" ca="1" si="511"/>
        <v/>
      </c>
      <c r="BW170" s="300" t="str">
        <f t="shared" ca="1" si="512"/>
        <v/>
      </c>
      <c r="BX170" s="301" t="str">
        <f t="shared" ca="1" si="513"/>
        <v/>
      </c>
      <c r="BY170" s="146" t="str">
        <f t="shared" ca="1" si="514"/>
        <v/>
      </c>
      <c r="BZ170" s="146" t="str">
        <f t="shared" ca="1" si="515"/>
        <v/>
      </c>
      <c r="CA170" s="146" t="str">
        <f t="shared" ca="1" si="516"/>
        <v/>
      </c>
      <c r="CB170" s="146" t="str">
        <f t="shared" ca="1" si="517"/>
        <v/>
      </c>
      <c r="CC170" s="302">
        <v>1</v>
      </c>
      <c r="CD170" s="154">
        <f ca="1">IF(BD170,_xll.xCrudeAPO(BS170,BT170,BY170,BZ170,S171,S172,BI170,BL170,BN170,BO170,0,Strike1,AO170,CC170,0,BL170,IF(OptControl=4,0,1),0,1),0)</f>
        <v>0</v>
      </c>
      <c r="CE170" s="155">
        <f ca="1">IF(BD170,_xll.xCrudeAPO(BS170,BT170,BY170,BZ170,S171,S172,BI170,BL170,BN170,BO170,0,Strike1,AO170,CC170,0,BL170,IF(OptControl=4,0,1),1,1)+_xll.xCrudeAPO(BS170,BT170,BY170,BZ170,S171,S172,BI170,BL170,BN170,BO170,0,Strike1,AO170,CC170,0,BL170,IF(OptControl=4,0,1),1,2)+IF(OR(VolSkewFlag=2,ABS(BQ170)&lt;0.0001),0,IF(BQ170&gt;0,-1,1)*CF170*Strike1/BP170^2*BW170/10%),0)</f>
        <v>0</v>
      </c>
      <c r="CF170" s="155">
        <f ca="1">IF(BD170,(_xll.xCrudeAPO(BS170,BT170,BY170,BZ170,S171,S172,BI170,BL170,BN170,BO170,0,Strike1,AO170,CC170,0,BL170,IF(OptControl=4,0,1),3,1)+_xll.xCrudeAPO(BS170,BT170,BY170,BZ170,S171,S172,BI170,BL170,BN170,BO170,0,Strike1,AO170,CC170,0,BL170,IF(OptControl=4,0,1),3,2))/100,0)</f>
        <v>0</v>
      </c>
      <c r="CG170" s="155">
        <f ca="1">IF(BD170,_xll.xCrudeAPO(BS170,BT170,BY170,BZ170,S171,S172,BI170-DaysForThetaCalculation/365.25,BL170-DaysForThetaCalculation/365.25,BN170,BO170,0,Strike1,AO170,CC170,0,BL170,IF(OptControl=4,0,1),0,1)-_xll.xCrudeAPO(BS170,BT170,BY170,BZ170,S171,S172,BI170,BL170,BN170,BO170,0,Strike1,AO170,CC170,0,BL170,IF(OptControl=4,0,1),0,1),0)</f>
        <v>0</v>
      </c>
      <c r="CH170" s="303">
        <f ca="1">IF(BD170,_xll.xCrudeAPO(BS170,BT170,CA170,CB170,S171,S172,BI170,BL170,BN170,BO170,0,Strike2,AO170,CC170,0,BL170,IF(OptControl=3,1,0),0,1),0)</f>
        <v>0</v>
      </c>
      <c r="CI170" s="155">
        <f ca="1">IF(BD170,_xll.xCrudeAPO(BS170,BT170,CA170,CB170,S171,S172,BI170,BL170,BN170,BO170,0,Strike2,AO170,CC170,0,BL170,IF(OptControl=3,1,0),1,1)+_xll.xCrudeAPO(BS170,BT170,CA170,CB170,S171,S172,BI170,BL170,BN170,BO170,0,Strike2,AO170,CC170,0,BL170,IF(OptControl=3,1,0),1,2)+IF(OR(VolSkewFlag=2,ABS(BR170)&lt;0.0001),0,IF(BR170&gt;0,-1,1)*CJ170*Strike2/BP170^2*BX170/10%),0)</f>
        <v>0</v>
      </c>
      <c r="CJ170" s="155">
        <f ca="1">IF(BD170,(_xll.xCrudeAPO(BS170,BT170,CA170,CB170,S171,S172,BI170,BL170,BN170,BO170,0,Strike2,AO170,CC170,0,BL170,IF(OptControl=3,1,0),3,1)+_xll.xCrudeAPO(BS170,BT170,CA170,CB170,S171,S172,BI170,BL170,BN170,BO170,0,Strike2,AO170,CC170,0,BL170,IF(OptControl=3,1,0),3,2))/100,0)</f>
        <v>0</v>
      </c>
      <c r="CK170" s="156">
        <f ca="1">IF(BD170,_xll.xCrudeAPO(BS170,BT170,CA170,CB170,S171,S172,BI170-DaysForThetaCalculation/365.25,BL170-DaysForThetaCalculation/365.25,BN170,BO170,0,Strike2,AO170,CC170,0,BL170,IF(OptControl=3,1,0),0,1)-_xll.xCrudeAPO(BS170,BT170,CA170,CB170,S171,S172,BI170,BL170,BN170,BO170,0,Strike2,AO170,CC170,0,BL170,IF(OptControl=3,1,0),0,1),0)</f>
        <v>0</v>
      </c>
      <c r="CL170" s="51"/>
      <c r="CM170" s="779" t="str">
        <f t="shared" ca="1" si="534"/>
        <v/>
      </c>
      <c r="CN170" s="783" t="str">
        <f t="shared" ca="1" si="535"/>
        <v/>
      </c>
      <c r="CO170" s="780" t="str">
        <f t="shared" ca="1" si="536"/>
        <v/>
      </c>
      <c r="CP170" s="780" t="str">
        <f t="shared" ca="1" si="537"/>
        <v/>
      </c>
      <c r="CQ170" s="780" t="str">
        <f t="shared" ca="1" si="538"/>
        <v/>
      </c>
      <c r="CR170" s="780" t="str">
        <f t="shared" ca="1" si="539"/>
        <v/>
      </c>
      <c r="CS170" s="781" t="str">
        <f t="shared" ca="1" si="540"/>
        <v/>
      </c>
      <c r="CT170" s="782" t="str">
        <f t="shared" ca="1" si="541"/>
        <v/>
      </c>
      <c r="CU170" s="782" t="str">
        <f t="shared" ca="1" si="542"/>
        <v/>
      </c>
      <c r="CV170" s="155">
        <f ca="1">IF(BD170,_xll.EURO(CN170,Strike1,AO170,AO170,CT170,CM170,IF(OptControl=4,0,1),0),0)</f>
        <v>0</v>
      </c>
      <c r="CW170" s="155">
        <f ca="1">IF(BD170,_xll.EURO(CN170,Strike1,AO170,AO170,CT170,CM170,IF(OptControl=4,0,1),1)+IF(OR(VolSkewFlag=2,ABS(CO170)&lt;0.0001),0,IF(CO170&gt;0,-1,1)*CX170*100*Strike1/CN170^2*CQ170/10%),0)</f>
        <v>0</v>
      </c>
      <c r="CX170" s="155">
        <f ca="1">IF(BD170,_xll.EURO(CN170,Strike1,AO170,AO170,CT170,CM170,IF(OptControl=4,0,1),3)/100,0)</f>
        <v>0</v>
      </c>
      <c r="CY170" s="155">
        <f ca="1">IF(BD170,_xll.EURO(CN170,Strike1,AO170,AO170,CT170,CM170,IF(OptControl=4,0,1),0)-_xll.EURO(CN170,Strike1,AO170,AO170,CT170,CM170-1,IF(OptControl=4,0,1),0),0)</f>
        <v>0</v>
      </c>
      <c r="CZ170" s="155">
        <f ca="1">IF(BD170,_xll.EURO(CN170,Strike2,AO170,AO170,CU170,CM170,IF(OptControl=3,1,0),0),0)</f>
        <v>0</v>
      </c>
      <c r="DA170" s="155">
        <f ca="1">IF(BD170,_xll.EURO(CN170,Strike2,AO170,AO170,CU170,CM170,IF(OptControl=3,1,0),1)+IF(OR(VolSkewFlag=2,ABS(CP170)&lt;0.0001),0,IF(CP170&gt;0,-1,1)*DB170*100*Strike2/CN170^2*CR170/10%),0)</f>
        <v>0</v>
      </c>
      <c r="DB170" s="155">
        <f ca="1">IF(BD170,_xll.EURO(CN170,Strike2,AO170,AO170,CU170,CM170,IF(OptControl=3,1,0),3)/100,0)</f>
        <v>0</v>
      </c>
      <c r="DC170" s="156">
        <f ca="1">IF(BD170,_xll.EURO(CN170,Strike2,AO170,AO170,CU170,CM170,IF(OptControl=3,1,0),0)-_xll.EURO(CN170,Strike2,AO170,AO170,CU170,CM170-1,IF(OptControl=3,1,0),0),0)</f>
        <v>0</v>
      </c>
      <c r="DE170" s="651">
        <f t="shared" ca="1" si="543"/>
        <v>41487</v>
      </c>
      <c r="DF170" s="465">
        <v>1E-4</v>
      </c>
      <c r="DG170" s="649">
        <v>1E-4</v>
      </c>
      <c r="DH170" s="650">
        <f t="shared" ca="1" si="518"/>
        <v>41487</v>
      </c>
      <c r="DI170" s="465">
        <v>1E-4</v>
      </c>
      <c r="DJ170" s="649">
        <v>1E-4</v>
      </c>
      <c r="DK170" s="651">
        <f t="shared" ca="1" si="519"/>
        <v>41487</v>
      </c>
      <c r="DL170" s="652">
        <f t="shared" si="520"/>
        <v>5.0100000000000006E-2</v>
      </c>
      <c r="DM170" s="651">
        <f t="shared" ca="1" si="544"/>
        <v>41487</v>
      </c>
      <c r="DN170" s="563">
        <f t="shared" si="545"/>
        <v>-0.12990000000000002</v>
      </c>
      <c r="DO170" s="803">
        <v>-0.13</v>
      </c>
      <c r="DP170" s="650">
        <f t="shared" ca="1" si="521"/>
        <v>41487</v>
      </c>
      <c r="DQ170" s="653">
        <v>1E-4</v>
      </c>
      <c r="DR170" s="590">
        <v>1E-4</v>
      </c>
      <c r="DS170" s="650">
        <f t="shared" ca="1" si="522"/>
        <v>41487</v>
      </c>
      <c r="DT170" s="653">
        <v>1E-4</v>
      </c>
      <c r="DU170" s="590">
        <v>1E-4</v>
      </c>
      <c r="DV170" s="651">
        <f t="shared" ca="1" si="523"/>
        <v>41487</v>
      </c>
      <c r="DW170" s="590">
        <v>1E-4</v>
      </c>
      <c r="DX170" s="651">
        <f t="shared" ca="1" si="546"/>
        <v>41487</v>
      </c>
      <c r="DY170" s="590">
        <f t="shared" si="547"/>
        <v>1E-4</v>
      </c>
      <c r="DZ170" s="1"/>
      <c r="EA170" s="857"/>
      <c r="EB170" s="857"/>
      <c r="EC170" s="857"/>
      <c r="ED170" s="868" t="e">
        <f t="shared" ca="1" si="566"/>
        <v>#NAME?</v>
      </c>
      <c r="EE170" s="863" t="e">
        <f t="shared" ca="1" si="524"/>
        <v>#NAME?</v>
      </c>
      <c r="EF170" s="590" t="e">
        <f t="shared" ca="1" si="525"/>
        <v>#NAME?</v>
      </c>
      <c r="EG170" s="862" t="str">
        <f t="shared" ca="1" si="526"/>
        <v/>
      </c>
      <c r="EH170" s="114" t="str">
        <f t="shared" ca="1" si="527"/>
        <v/>
      </c>
      <c r="EI170" s="109" t="str">
        <f t="shared" ca="1" si="528"/>
        <v/>
      </c>
      <c r="EJ170" s="115">
        <f ca="1">IF(BD170,_xll.xASN(BP170,Strike1,AO170,EH170,0,BM170,0,BI170,BL170,IF(OptControl=4,0,1),0),0)</f>
        <v>0</v>
      </c>
      <c r="EK170" s="108">
        <f ca="1">IF(BD170,_xll.xASN(BP170,Strike2,AO170,EI170,0,BM170,0,BI170,BL170,IF(OptControl=3,1,0),0),0)</f>
        <v>0</v>
      </c>
      <c r="EP170" s="53"/>
      <c r="EQ170" s="1"/>
      <c r="ER170" s="103"/>
      <c r="ES170" s="103"/>
      <c r="ET170" s="1"/>
      <c r="EU170" s="667" t="s">
        <v>382</v>
      </c>
      <c r="EW170" s="445"/>
      <c r="EX170" s="36"/>
      <c r="EY170" s="104"/>
      <c r="EZ170" s="465"/>
      <c r="FA170" s="446"/>
      <c r="FB170" s="446"/>
      <c r="FC170" s="242"/>
      <c r="FD170" s="242"/>
      <c r="FE170" s="242"/>
      <c r="FF170" s="242"/>
      <c r="FG170" s="242"/>
      <c r="FH170" s="242"/>
      <c r="FI170" s="242"/>
      <c r="FJ170" s="242"/>
      <c r="FK170" s="242"/>
      <c r="FL170" s="242"/>
      <c r="FM170" s="242"/>
      <c r="FN170" s="657">
        <v>1</v>
      </c>
      <c r="FO170" s="469" t="str">
        <f ca="1">IF(OR(FO$169&lt;SwaptionFirstMonthPosition+1,$FN170&lt;SwaptionFirstMonthPosition+1,FO$169&gt;SwaptionFirstMonthPosition+SwaptionNumOfMonths+1,$FN170&gt;SwaptionFirstMonthPosition+SwaptionNumOfMonths+1),"",IF($FN170=FO$169,1,IF($FN170&lt;FO$169,INDEX($FO$170:$IH$241,FO$169,$FN170),SUMPRODUCT(INDEX($FO$325:$IH$396,FO$169,1+SwaptionShift):INDEX($FO$325:$IH$396,FO$169,SwaptionMonthsToGo+SwaptionShift),INDEX($FO$245:$IH$316,$FN170-FO$169,73-FO$169+SwaptionShift):INDEX($FO$245:$IH$316,$FN170-FO$169,72-FO$169+SwaptionMonthsToGo+SwaptionShift))/SQRT(SUM(INDEX($FO325:$IH325,1+SwaptionShift):INDEX($FO325:$IH325,SwaptionMonthsToGo+SwaptionShift))*SUM(INDEX($FO$325:$IH$396,FO$169,1+SwaptionShift):INDEX($FO$325:$IH$396,FO$169,SwaptionMonthsToGo+SwaptionShift))))))</f>
        <v/>
      </c>
      <c r="FP170" s="469" t="str">
        <f ca="1">IF(OR(FP$169&lt;SwaptionFirstMonthPosition+1,$FN170&lt;SwaptionFirstMonthPosition+1,FP$169&gt;SwaptionFirstMonthPosition+SwaptionNumOfMonths+1,$FN170&gt;SwaptionFirstMonthPosition+SwaptionNumOfMonths+1),"",IF($FN170=FP$169,1,IF($FN170&lt;FP$169,INDEX($FO$170:$IH$241,FP$169,$FN170),SUMPRODUCT(INDEX($FO$325:$IH$396,FP$169,1+SwaptionShift):INDEX($FO$325:$IH$396,FP$169,SwaptionMonthsToGo+SwaptionShift),INDEX($FO$245:$IH$316,$FN170-FP$169,73-FP$169+SwaptionShift):INDEX($FO$245:$IH$316,$FN170-FP$169,72-FP$169+SwaptionMonthsToGo+SwaptionShift))/SQRT(SUM(INDEX($FO325:$IH325,1+SwaptionShift):INDEX($FO325:$IH325,SwaptionMonthsToGo+SwaptionShift))*SUM(INDEX($FO$325:$IH$396,FP$169,1+SwaptionShift):INDEX($FO$325:$IH$396,FP$169,SwaptionMonthsToGo+SwaptionShift))))))</f>
        <v/>
      </c>
      <c r="FQ170" s="469" t="str">
        <f ca="1">IF(OR(FQ$169&lt;SwaptionFirstMonthPosition+1,$FN170&lt;SwaptionFirstMonthPosition+1,FQ$169&gt;SwaptionFirstMonthPosition+SwaptionNumOfMonths+1,$FN170&gt;SwaptionFirstMonthPosition+SwaptionNumOfMonths+1),"",IF($FN170=FQ$169,1,IF($FN170&lt;FQ$169,INDEX($FO$170:$IH$241,FQ$169,$FN170),SUMPRODUCT(INDEX($FO$325:$IH$396,FQ$169,1+SwaptionShift):INDEX($FO$325:$IH$396,FQ$169,SwaptionMonthsToGo+SwaptionShift),INDEX($FO$245:$IH$316,$FN170-FQ$169,73-FQ$169+SwaptionShift):INDEX($FO$245:$IH$316,$FN170-FQ$169,72-FQ$169+SwaptionMonthsToGo+SwaptionShift))/SQRT(SUM(INDEX($FO325:$IH325,1+SwaptionShift):INDEX($FO325:$IH325,SwaptionMonthsToGo+SwaptionShift))*SUM(INDEX($FO$325:$IH$396,FQ$169,1+SwaptionShift):INDEX($FO$325:$IH$396,FQ$169,SwaptionMonthsToGo+SwaptionShift))))))</f>
        <v/>
      </c>
      <c r="FR170" s="469" t="str">
        <f ca="1">IF(OR(FR$169&lt;SwaptionFirstMonthPosition+1,$FN170&lt;SwaptionFirstMonthPosition+1,FR$169&gt;SwaptionFirstMonthPosition+SwaptionNumOfMonths+1,$FN170&gt;SwaptionFirstMonthPosition+SwaptionNumOfMonths+1),"",IF($FN170=FR$169,1,IF($FN170&lt;FR$169,INDEX($FO$170:$IH$241,FR$169,$FN170),SUMPRODUCT(INDEX($FO$325:$IH$396,FR$169,1+SwaptionShift):INDEX($FO$325:$IH$396,FR$169,SwaptionMonthsToGo+SwaptionShift),INDEX($FO$245:$IH$316,$FN170-FR$169,73-FR$169+SwaptionShift):INDEX($FO$245:$IH$316,$FN170-FR$169,72-FR$169+SwaptionMonthsToGo+SwaptionShift))/SQRT(SUM(INDEX($FO325:$IH325,1+SwaptionShift):INDEX($FO325:$IH325,SwaptionMonthsToGo+SwaptionShift))*SUM(INDEX($FO$325:$IH$396,FR$169,1+SwaptionShift):INDEX($FO$325:$IH$396,FR$169,SwaptionMonthsToGo+SwaptionShift))))))</f>
        <v/>
      </c>
      <c r="FS170" s="469" t="str">
        <f ca="1">IF(OR(FS$169&lt;SwaptionFirstMonthPosition+1,$FN170&lt;SwaptionFirstMonthPosition+1,FS$169&gt;SwaptionFirstMonthPosition+SwaptionNumOfMonths+1,$FN170&gt;SwaptionFirstMonthPosition+SwaptionNumOfMonths+1),"",IF($FN170=FS$169,1,IF($FN170&lt;FS$169,INDEX($FO$170:$IH$241,FS$169,$FN170),SUMPRODUCT(INDEX($FO$325:$IH$396,FS$169,1+SwaptionShift):INDEX($FO$325:$IH$396,FS$169,SwaptionMonthsToGo+SwaptionShift),INDEX($FO$245:$IH$316,$FN170-FS$169,73-FS$169+SwaptionShift):INDEX($FO$245:$IH$316,$FN170-FS$169,72-FS$169+SwaptionMonthsToGo+SwaptionShift))/SQRT(SUM(INDEX($FO325:$IH325,1+SwaptionShift):INDEX($FO325:$IH325,SwaptionMonthsToGo+SwaptionShift))*SUM(INDEX($FO$325:$IH$396,FS$169,1+SwaptionShift):INDEX($FO$325:$IH$396,FS$169,SwaptionMonthsToGo+SwaptionShift))))))</f>
        <v/>
      </c>
      <c r="FT170" s="469" t="str">
        <f ca="1">IF(OR(FT$169&lt;SwaptionFirstMonthPosition+1,$FN170&lt;SwaptionFirstMonthPosition+1,FT$169&gt;SwaptionFirstMonthPosition+SwaptionNumOfMonths+1,$FN170&gt;SwaptionFirstMonthPosition+SwaptionNumOfMonths+1),"",IF($FN170=FT$169,1,IF($FN170&lt;FT$169,INDEX($FO$170:$IH$241,FT$169,$FN170),SUMPRODUCT(INDEX($FO$325:$IH$396,FT$169,1+SwaptionShift):INDEX($FO$325:$IH$396,FT$169,SwaptionMonthsToGo+SwaptionShift),INDEX($FO$245:$IH$316,$FN170-FT$169,73-FT$169+SwaptionShift):INDEX($FO$245:$IH$316,$FN170-FT$169,72-FT$169+SwaptionMonthsToGo+SwaptionShift))/SQRT(SUM(INDEX($FO325:$IH325,1+SwaptionShift):INDEX($FO325:$IH325,SwaptionMonthsToGo+SwaptionShift))*SUM(INDEX($FO$325:$IH$396,FT$169,1+SwaptionShift):INDEX($FO$325:$IH$396,FT$169,SwaptionMonthsToGo+SwaptionShift))))))</f>
        <v/>
      </c>
      <c r="FU170" s="469" t="str">
        <f ca="1">IF(OR(FU$169&lt;SwaptionFirstMonthPosition+1,$FN170&lt;SwaptionFirstMonthPosition+1,FU$169&gt;SwaptionFirstMonthPosition+SwaptionNumOfMonths+1,$FN170&gt;SwaptionFirstMonthPosition+SwaptionNumOfMonths+1),"",IF($FN170=FU$169,1,IF($FN170&lt;FU$169,INDEX($FO$170:$IH$241,FU$169,$FN170),SUMPRODUCT(INDEX($FO$325:$IH$396,FU$169,1+SwaptionShift):INDEX($FO$325:$IH$396,FU$169,SwaptionMonthsToGo+SwaptionShift),INDEX($FO$245:$IH$316,$FN170-FU$169,73-FU$169+SwaptionShift):INDEX($FO$245:$IH$316,$FN170-FU$169,72-FU$169+SwaptionMonthsToGo+SwaptionShift))/SQRT(SUM(INDEX($FO325:$IH325,1+SwaptionShift):INDEX($FO325:$IH325,SwaptionMonthsToGo+SwaptionShift))*SUM(INDEX($FO$325:$IH$396,FU$169,1+SwaptionShift):INDEX($FO$325:$IH$396,FU$169,SwaptionMonthsToGo+SwaptionShift))))))</f>
        <v/>
      </c>
      <c r="FV170" s="469" t="str">
        <f ca="1">IF(OR(FV$169&lt;SwaptionFirstMonthPosition+1,$FN170&lt;SwaptionFirstMonthPosition+1,FV$169&gt;SwaptionFirstMonthPosition+SwaptionNumOfMonths+1,$FN170&gt;SwaptionFirstMonthPosition+SwaptionNumOfMonths+1),"",IF($FN170=FV$169,1,IF($FN170&lt;FV$169,INDEX($FO$170:$IH$241,FV$169,$FN170),SUMPRODUCT(INDEX($FO$325:$IH$396,FV$169,1+SwaptionShift):INDEX($FO$325:$IH$396,FV$169,SwaptionMonthsToGo+SwaptionShift),INDEX($FO$245:$IH$316,$FN170-FV$169,73-FV$169+SwaptionShift):INDEX($FO$245:$IH$316,$FN170-FV$169,72-FV$169+SwaptionMonthsToGo+SwaptionShift))/SQRT(SUM(INDEX($FO325:$IH325,1+SwaptionShift):INDEX($FO325:$IH325,SwaptionMonthsToGo+SwaptionShift))*SUM(INDEX($FO$325:$IH$396,FV$169,1+SwaptionShift):INDEX($FO$325:$IH$396,FV$169,SwaptionMonthsToGo+SwaptionShift))))))</f>
        <v/>
      </c>
      <c r="FW170" s="469" t="str">
        <f ca="1">IF(OR(FW$169&lt;SwaptionFirstMonthPosition+1,$FN170&lt;SwaptionFirstMonthPosition+1,FW$169&gt;SwaptionFirstMonthPosition+SwaptionNumOfMonths+1,$FN170&gt;SwaptionFirstMonthPosition+SwaptionNumOfMonths+1),"",IF($FN170=FW$169,1,IF($FN170&lt;FW$169,INDEX($FO$170:$IH$241,FW$169,$FN170),SUMPRODUCT(INDEX($FO$325:$IH$396,FW$169,1+SwaptionShift):INDEX($FO$325:$IH$396,FW$169,SwaptionMonthsToGo+SwaptionShift),INDEX($FO$245:$IH$316,$FN170-FW$169,73-FW$169+SwaptionShift):INDEX($FO$245:$IH$316,$FN170-FW$169,72-FW$169+SwaptionMonthsToGo+SwaptionShift))/SQRT(SUM(INDEX($FO325:$IH325,1+SwaptionShift):INDEX($FO325:$IH325,SwaptionMonthsToGo+SwaptionShift))*SUM(INDEX($FO$325:$IH$396,FW$169,1+SwaptionShift):INDEX($FO$325:$IH$396,FW$169,SwaptionMonthsToGo+SwaptionShift))))))</f>
        <v/>
      </c>
      <c r="FX170" s="469" t="str">
        <f ca="1">IF(OR(FX$169&lt;SwaptionFirstMonthPosition+1,$FN170&lt;SwaptionFirstMonthPosition+1,FX$169&gt;SwaptionFirstMonthPosition+SwaptionNumOfMonths+1,$FN170&gt;SwaptionFirstMonthPosition+SwaptionNumOfMonths+1),"",IF($FN170=FX$169,1,IF($FN170&lt;FX$169,INDEX($FO$170:$IH$241,FX$169,$FN170),SUMPRODUCT(INDEX($FO$325:$IH$396,FX$169,1+SwaptionShift):INDEX($FO$325:$IH$396,FX$169,SwaptionMonthsToGo+SwaptionShift),INDEX($FO$245:$IH$316,$FN170-FX$169,73-FX$169+SwaptionShift):INDEX($FO$245:$IH$316,$FN170-FX$169,72-FX$169+SwaptionMonthsToGo+SwaptionShift))/SQRT(SUM(INDEX($FO325:$IH325,1+SwaptionShift):INDEX($FO325:$IH325,SwaptionMonthsToGo+SwaptionShift))*SUM(INDEX($FO$325:$IH$396,FX$169,1+SwaptionShift):INDEX($FO$325:$IH$396,FX$169,SwaptionMonthsToGo+SwaptionShift))))))</f>
        <v/>
      </c>
      <c r="FY170" s="469" t="str">
        <f ca="1">IF(OR(FY$169&lt;SwaptionFirstMonthPosition+1,$FN170&lt;SwaptionFirstMonthPosition+1,FY$169&gt;SwaptionFirstMonthPosition+SwaptionNumOfMonths+1,$FN170&gt;SwaptionFirstMonthPosition+SwaptionNumOfMonths+1),"",IF($FN170=FY$169,1,IF($FN170&lt;FY$169,INDEX($FO$170:$IH$241,FY$169,$FN170),SUMPRODUCT(INDEX($FO$325:$IH$396,FY$169,1+SwaptionShift):INDEX($FO$325:$IH$396,FY$169,SwaptionMonthsToGo+SwaptionShift),INDEX($FO$245:$IH$316,$FN170-FY$169,73-FY$169+SwaptionShift):INDEX($FO$245:$IH$316,$FN170-FY$169,72-FY$169+SwaptionMonthsToGo+SwaptionShift))/SQRT(SUM(INDEX($FO325:$IH325,1+SwaptionShift):INDEX($FO325:$IH325,SwaptionMonthsToGo+SwaptionShift))*SUM(INDEX($FO$325:$IH$396,FY$169,1+SwaptionShift):INDEX($FO$325:$IH$396,FY$169,SwaptionMonthsToGo+SwaptionShift))))))</f>
        <v/>
      </c>
      <c r="FZ170" s="469" t="str">
        <f ca="1">IF(OR(FZ$169&lt;SwaptionFirstMonthPosition+1,$FN170&lt;SwaptionFirstMonthPosition+1,FZ$169&gt;SwaptionFirstMonthPosition+SwaptionNumOfMonths+1,$FN170&gt;SwaptionFirstMonthPosition+SwaptionNumOfMonths+1),"",IF($FN170=FZ$169,1,IF($FN170&lt;FZ$169,INDEX($FO$170:$IH$241,FZ$169,$FN170),SUMPRODUCT(INDEX($FO$325:$IH$396,FZ$169,1+SwaptionShift):INDEX($FO$325:$IH$396,FZ$169,SwaptionMonthsToGo+SwaptionShift),INDEX($FO$245:$IH$316,$FN170-FZ$169,73-FZ$169+SwaptionShift):INDEX($FO$245:$IH$316,$FN170-FZ$169,72-FZ$169+SwaptionMonthsToGo+SwaptionShift))/SQRT(SUM(INDEX($FO325:$IH325,1+SwaptionShift):INDEX($FO325:$IH325,SwaptionMonthsToGo+SwaptionShift))*SUM(INDEX($FO$325:$IH$396,FZ$169,1+SwaptionShift):INDEX($FO$325:$IH$396,FZ$169,SwaptionMonthsToGo+SwaptionShift))))))</f>
        <v/>
      </c>
      <c r="GA170" s="469" t="str">
        <f ca="1">IF(OR(GA$169&lt;SwaptionFirstMonthPosition+1,$FN170&lt;SwaptionFirstMonthPosition+1,GA$169&gt;SwaptionFirstMonthPosition+SwaptionNumOfMonths+1,$FN170&gt;SwaptionFirstMonthPosition+SwaptionNumOfMonths+1),"",IF($FN170=GA$169,1,IF($FN170&lt;GA$169,INDEX($FO$170:$IH$241,GA$169,$FN170),SUMPRODUCT(INDEX($FO$325:$IH$396,GA$169,1+SwaptionShift):INDEX($FO$325:$IH$396,GA$169,SwaptionMonthsToGo+SwaptionShift),INDEX($FO$245:$IH$316,$FN170-GA$169,73-GA$169+SwaptionShift):INDEX($FO$245:$IH$316,$FN170-GA$169,72-GA$169+SwaptionMonthsToGo+SwaptionShift))/SQRT(SUM(INDEX($FO325:$IH325,1+SwaptionShift):INDEX($FO325:$IH325,SwaptionMonthsToGo+SwaptionShift))*SUM(INDEX($FO$325:$IH$396,GA$169,1+SwaptionShift):INDEX($FO$325:$IH$396,GA$169,SwaptionMonthsToGo+SwaptionShift))))))</f>
        <v/>
      </c>
      <c r="GB170" s="469" t="str">
        <f ca="1">IF(OR(GB$169&lt;SwaptionFirstMonthPosition+1,$FN170&lt;SwaptionFirstMonthPosition+1,GB$169&gt;SwaptionFirstMonthPosition+SwaptionNumOfMonths+1,$FN170&gt;SwaptionFirstMonthPosition+SwaptionNumOfMonths+1),"",IF($FN170=GB$169,1,IF($FN170&lt;GB$169,INDEX($FO$170:$IH$241,GB$169,$FN170),SUMPRODUCT(INDEX($FO$325:$IH$396,GB$169,1+SwaptionShift):INDEX($FO$325:$IH$396,GB$169,SwaptionMonthsToGo+SwaptionShift),INDEX($FO$245:$IH$316,$FN170-GB$169,73-GB$169+SwaptionShift):INDEX($FO$245:$IH$316,$FN170-GB$169,72-GB$169+SwaptionMonthsToGo+SwaptionShift))/SQRT(SUM(INDEX($FO325:$IH325,1+SwaptionShift):INDEX($FO325:$IH325,SwaptionMonthsToGo+SwaptionShift))*SUM(INDEX($FO$325:$IH$396,GB$169,1+SwaptionShift):INDEX($FO$325:$IH$396,GB$169,SwaptionMonthsToGo+SwaptionShift))))))</f>
        <v/>
      </c>
      <c r="GC170" s="469" t="str">
        <f ca="1">IF(OR(GC$169&lt;SwaptionFirstMonthPosition+1,$FN170&lt;SwaptionFirstMonthPosition+1,GC$169&gt;SwaptionFirstMonthPosition+SwaptionNumOfMonths+1,$FN170&gt;SwaptionFirstMonthPosition+SwaptionNumOfMonths+1),"",IF($FN170=GC$169,1,IF($FN170&lt;GC$169,INDEX($FO$170:$IH$241,GC$169,$FN170),SUMPRODUCT(INDEX($FO$325:$IH$396,GC$169,1+SwaptionShift):INDEX($FO$325:$IH$396,GC$169,SwaptionMonthsToGo+SwaptionShift),INDEX($FO$245:$IH$316,$FN170-GC$169,73-GC$169+SwaptionShift):INDEX($FO$245:$IH$316,$FN170-GC$169,72-GC$169+SwaptionMonthsToGo+SwaptionShift))/SQRT(SUM(INDEX($FO325:$IH325,1+SwaptionShift):INDEX($FO325:$IH325,SwaptionMonthsToGo+SwaptionShift))*SUM(INDEX($FO$325:$IH$396,GC$169,1+SwaptionShift):INDEX($FO$325:$IH$396,GC$169,SwaptionMonthsToGo+SwaptionShift))))))</f>
        <v/>
      </c>
      <c r="GD170" s="469" t="str">
        <f ca="1">IF(OR(GD$169&lt;SwaptionFirstMonthPosition+1,$FN170&lt;SwaptionFirstMonthPosition+1,GD$169&gt;SwaptionFirstMonthPosition+SwaptionNumOfMonths+1,$FN170&gt;SwaptionFirstMonthPosition+SwaptionNumOfMonths+1),"",IF($FN170=GD$169,1,IF($FN170&lt;GD$169,INDEX($FO$170:$IH$241,GD$169,$FN170),SUMPRODUCT(INDEX($FO$325:$IH$396,GD$169,1+SwaptionShift):INDEX($FO$325:$IH$396,GD$169,SwaptionMonthsToGo+SwaptionShift),INDEX($FO$245:$IH$316,$FN170-GD$169,73-GD$169+SwaptionShift):INDEX($FO$245:$IH$316,$FN170-GD$169,72-GD$169+SwaptionMonthsToGo+SwaptionShift))/SQRT(SUM(INDEX($FO325:$IH325,1+SwaptionShift):INDEX($FO325:$IH325,SwaptionMonthsToGo+SwaptionShift))*SUM(INDEX($FO$325:$IH$396,GD$169,1+SwaptionShift):INDEX($FO$325:$IH$396,GD$169,SwaptionMonthsToGo+SwaptionShift))))))</f>
        <v/>
      </c>
      <c r="GE170" s="469" t="str">
        <f ca="1">IF(OR(GE$169&lt;SwaptionFirstMonthPosition+1,$FN170&lt;SwaptionFirstMonthPosition+1,GE$169&gt;SwaptionFirstMonthPosition+SwaptionNumOfMonths+1,$FN170&gt;SwaptionFirstMonthPosition+SwaptionNumOfMonths+1),"",IF($FN170=GE$169,1,IF($FN170&lt;GE$169,INDEX($FO$170:$IH$241,GE$169,$FN170),SUMPRODUCT(INDEX($FO$325:$IH$396,GE$169,1+SwaptionShift):INDEX($FO$325:$IH$396,GE$169,SwaptionMonthsToGo+SwaptionShift),INDEX($FO$245:$IH$316,$FN170-GE$169,73-GE$169+SwaptionShift):INDEX($FO$245:$IH$316,$FN170-GE$169,72-GE$169+SwaptionMonthsToGo+SwaptionShift))/SQRT(SUM(INDEX($FO325:$IH325,1+SwaptionShift):INDEX($FO325:$IH325,SwaptionMonthsToGo+SwaptionShift))*SUM(INDEX($FO$325:$IH$396,GE$169,1+SwaptionShift):INDEX($FO$325:$IH$396,GE$169,SwaptionMonthsToGo+SwaptionShift))))))</f>
        <v/>
      </c>
      <c r="GF170" s="469" t="str">
        <f ca="1">IF(OR(GF$169&lt;SwaptionFirstMonthPosition+1,$FN170&lt;SwaptionFirstMonthPosition+1,GF$169&gt;SwaptionFirstMonthPosition+SwaptionNumOfMonths+1,$FN170&gt;SwaptionFirstMonthPosition+SwaptionNumOfMonths+1),"",IF($FN170=GF$169,1,IF($FN170&lt;GF$169,INDEX($FO$170:$IH$241,GF$169,$FN170),SUMPRODUCT(INDEX($FO$325:$IH$396,GF$169,1+SwaptionShift):INDEX($FO$325:$IH$396,GF$169,SwaptionMonthsToGo+SwaptionShift),INDEX($FO$245:$IH$316,$FN170-GF$169,73-GF$169+SwaptionShift):INDEX($FO$245:$IH$316,$FN170-GF$169,72-GF$169+SwaptionMonthsToGo+SwaptionShift))/SQRT(SUM(INDEX($FO325:$IH325,1+SwaptionShift):INDEX($FO325:$IH325,SwaptionMonthsToGo+SwaptionShift))*SUM(INDEX($FO$325:$IH$396,GF$169,1+SwaptionShift):INDEX($FO$325:$IH$396,GF$169,SwaptionMonthsToGo+SwaptionShift))))))</f>
        <v/>
      </c>
      <c r="GG170" s="469" t="str">
        <f ca="1">IF(OR(GG$169&lt;SwaptionFirstMonthPosition+1,$FN170&lt;SwaptionFirstMonthPosition+1,GG$169&gt;SwaptionFirstMonthPosition+SwaptionNumOfMonths+1,$FN170&gt;SwaptionFirstMonthPosition+SwaptionNumOfMonths+1),"",IF($FN170=GG$169,1,IF($FN170&lt;GG$169,INDEX($FO$170:$IH$241,GG$169,$FN170),SUMPRODUCT(INDEX($FO$325:$IH$396,GG$169,1+SwaptionShift):INDEX($FO$325:$IH$396,GG$169,SwaptionMonthsToGo+SwaptionShift),INDEX($FO$245:$IH$316,$FN170-GG$169,73-GG$169+SwaptionShift):INDEX($FO$245:$IH$316,$FN170-GG$169,72-GG$169+SwaptionMonthsToGo+SwaptionShift))/SQRT(SUM(INDEX($FO325:$IH325,1+SwaptionShift):INDEX($FO325:$IH325,SwaptionMonthsToGo+SwaptionShift))*SUM(INDEX($FO$325:$IH$396,GG$169,1+SwaptionShift):INDEX($FO$325:$IH$396,GG$169,SwaptionMonthsToGo+SwaptionShift))))))</f>
        <v/>
      </c>
      <c r="GH170" s="469" t="str">
        <f ca="1">IF(OR(GH$169&lt;SwaptionFirstMonthPosition+1,$FN170&lt;SwaptionFirstMonthPosition+1,GH$169&gt;SwaptionFirstMonthPosition+SwaptionNumOfMonths+1,$FN170&gt;SwaptionFirstMonthPosition+SwaptionNumOfMonths+1),"",IF($FN170=GH$169,1,IF($FN170&lt;GH$169,INDEX($FO$170:$IH$241,GH$169,$FN170),SUMPRODUCT(INDEX($FO$325:$IH$396,GH$169,1+SwaptionShift):INDEX($FO$325:$IH$396,GH$169,SwaptionMonthsToGo+SwaptionShift),INDEX($FO$245:$IH$316,$FN170-GH$169,73-GH$169+SwaptionShift):INDEX($FO$245:$IH$316,$FN170-GH$169,72-GH$169+SwaptionMonthsToGo+SwaptionShift))/SQRT(SUM(INDEX($FO325:$IH325,1+SwaptionShift):INDEX($FO325:$IH325,SwaptionMonthsToGo+SwaptionShift))*SUM(INDEX($FO$325:$IH$396,GH$169,1+SwaptionShift):INDEX($FO$325:$IH$396,GH$169,SwaptionMonthsToGo+SwaptionShift))))))</f>
        <v/>
      </c>
      <c r="GI170" s="469" t="str">
        <f ca="1">IF(OR(GI$169&lt;SwaptionFirstMonthPosition+1,$FN170&lt;SwaptionFirstMonthPosition+1,GI$169&gt;SwaptionFirstMonthPosition+SwaptionNumOfMonths+1,$FN170&gt;SwaptionFirstMonthPosition+SwaptionNumOfMonths+1),"",IF($FN170=GI$169,1,IF($FN170&lt;GI$169,INDEX($FO$170:$IH$241,GI$169,$FN170),SUMPRODUCT(INDEX($FO$325:$IH$396,GI$169,1+SwaptionShift):INDEX($FO$325:$IH$396,GI$169,SwaptionMonthsToGo+SwaptionShift),INDEX($FO$245:$IH$316,$FN170-GI$169,73-GI$169+SwaptionShift):INDEX($FO$245:$IH$316,$FN170-GI$169,72-GI$169+SwaptionMonthsToGo+SwaptionShift))/SQRT(SUM(INDEX($FO325:$IH325,1+SwaptionShift):INDEX($FO325:$IH325,SwaptionMonthsToGo+SwaptionShift))*SUM(INDEX($FO$325:$IH$396,GI$169,1+SwaptionShift):INDEX($FO$325:$IH$396,GI$169,SwaptionMonthsToGo+SwaptionShift))))))</f>
        <v/>
      </c>
      <c r="GJ170" s="469" t="str">
        <f ca="1">IF(OR(GJ$169&lt;SwaptionFirstMonthPosition+1,$FN170&lt;SwaptionFirstMonthPosition+1,GJ$169&gt;SwaptionFirstMonthPosition+SwaptionNumOfMonths+1,$FN170&gt;SwaptionFirstMonthPosition+SwaptionNumOfMonths+1),"",IF($FN170=GJ$169,1,IF($FN170&lt;GJ$169,INDEX($FO$170:$IH$241,GJ$169,$FN170),SUMPRODUCT(INDEX($FO$325:$IH$396,GJ$169,1+SwaptionShift):INDEX($FO$325:$IH$396,GJ$169,SwaptionMonthsToGo+SwaptionShift),INDEX($FO$245:$IH$316,$FN170-GJ$169,73-GJ$169+SwaptionShift):INDEX($FO$245:$IH$316,$FN170-GJ$169,72-GJ$169+SwaptionMonthsToGo+SwaptionShift))/SQRT(SUM(INDEX($FO325:$IH325,1+SwaptionShift):INDEX($FO325:$IH325,SwaptionMonthsToGo+SwaptionShift))*SUM(INDEX($FO$325:$IH$396,GJ$169,1+SwaptionShift):INDEX($FO$325:$IH$396,GJ$169,SwaptionMonthsToGo+SwaptionShift))))))</f>
        <v/>
      </c>
      <c r="GK170" s="469" t="str">
        <f ca="1">IF(OR(GK$169&lt;SwaptionFirstMonthPosition+1,$FN170&lt;SwaptionFirstMonthPosition+1,GK$169&gt;SwaptionFirstMonthPosition+SwaptionNumOfMonths+1,$FN170&gt;SwaptionFirstMonthPosition+SwaptionNumOfMonths+1),"",IF($FN170=GK$169,1,IF($FN170&lt;GK$169,INDEX($FO$170:$IH$241,GK$169,$FN170),SUMPRODUCT(INDEX($FO$325:$IH$396,GK$169,1+SwaptionShift):INDEX($FO$325:$IH$396,GK$169,SwaptionMonthsToGo+SwaptionShift),INDEX($FO$245:$IH$316,$FN170-GK$169,73-GK$169+SwaptionShift):INDEX($FO$245:$IH$316,$FN170-GK$169,72-GK$169+SwaptionMonthsToGo+SwaptionShift))/SQRT(SUM(INDEX($FO325:$IH325,1+SwaptionShift):INDEX($FO325:$IH325,SwaptionMonthsToGo+SwaptionShift))*SUM(INDEX($FO$325:$IH$396,GK$169,1+SwaptionShift):INDEX($FO$325:$IH$396,GK$169,SwaptionMonthsToGo+SwaptionShift))))))</f>
        <v/>
      </c>
      <c r="GL170" s="469" t="str">
        <f ca="1">IF(OR(GL$169&lt;SwaptionFirstMonthPosition+1,$FN170&lt;SwaptionFirstMonthPosition+1,GL$169&gt;SwaptionFirstMonthPosition+SwaptionNumOfMonths+1,$FN170&gt;SwaptionFirstMonthPosition+SwaptionNumOfMonths+1),"",IF($FN170=GL$169,1,IF($FN170&lt;GL$169,INDEX($FO$170:$IH$241,GL$169,$FN170),SUMPRODUCT(INDEX($FO$325:$IH$396,GL$169,1+SwaptionShift):INDEX($FO$325:$IH$396,GL$169,SwaptionMonthsToGo+SwaptionShift),INDEX($FO$245:$IH$316,$FN170-GL$169,73-GL$169+SwaptionShift):INDEX($FO$245:$IH$316,$FN170-GL$169,72-GL$169+SwaptionMonthsToGo+SwaptionShift))/SQRT(SUM(INDEX($FO325:$IH325,1+SwaptionShift):INDEX($FO325:$IH325,SwaptionMonthsToGo+SwaptionShift))*SUM(INDEX($FO$325:$IH$396,GL$169,1+SwaptionShift):INDEX($FO$325:$IH$396,GL$169,SwaptionMonthsToGo+SwaptionShift))))))</f>
        <v/>
      </c>
      <c r="GM170" s="469" t="str">
        <f ca="1">IF(OR(GM$169&lt;SwaptionFirstMonthPosition+1,$FN170&lt;SwaptionFirstMonthPosition+1,GM$169&gt;SwaptionFirstMonthPosition+SwaptionNumOfMonths+1,$FN170&gt;SwaptionFirstMonthPosition+SwaptionNumOfMonths+1),"",IF($FN170=GM$169,1,IF($FN170&lt;GM$169,INDEX($FO$170:$IH$241,GM$169,$FN170),SUMPRODUCT(INDEX($FO$325:$IH$396,GM$169,1+SwaptionShift):INDEX($FO$325:$IH$396,GM$169,SwaptionMonthsToGo+SwaptionShift),INDEX($FO$245:$IH$316,$FN170-GM$169,73-GM$169+SwaptionShift):INDEX($FO$245:$IH$316,$FN170-GM$169,72-GM$169+SwaptionMonthsToGo+SwaptionShift))/SQRT(SUM(INDEX($FO325:$IH325,1+SwaptionShift):INDEX($FO325:$IH325,SwaptionMonthsToGo+SwaptionShift))*SUM(INDEX($FO$325:$IH$396,GM$169,1+SwaptionShift):INDEX($FO$325:$IH$396,GM$169,SwaptionMonthsToGo+SwaptionShift))))))</f>
        <v/>
      </c>
      <c r="GN170" s="469" t="str">
        <f ca="1">IF(OR(GN$169&lt;SwaptionFirstMonthPosition+1,$FN170&lt;SwaptionFirstMonthPosition+1,GN$169&gt;SwaptionFirstMonthPosition+SwaptionNumOfMonths+1,$FN170&gt;SwaptionFirstMonthPosition+SwaptionNumOfMonths+1),"",IF($FN170=GN$169,1,IF($FN170&lt;GN$169,INDEX($FO$170:$IH$241,GN$169,$FN170),SUMPRODUCT(INDEX($FO$325:$IH$396,GN$169,1+SwaptionShift):INDEX($FO$325:$IH$396,GN$169,SwaptionMonthsToGo+SwaptionShift),INDEX($FO$245:$IH$316,$FN170-GN$169,73-GN$169+SwaptionShift):INDEX($FO$245:$IH$316,$FN170-GN$169,72-GN$169+SwaptionMonthsToGo+SwaptionShift))/SQRT(SUM(INDEX($FO325:$IH325,1+SwaptionShift):INDEX($FO325:$IH325,SwaptionMonthsToGo+SwaptionShift))*SUM(INDEX($FO$325:$IH$396,GN$169,1+SwaptionShift):INDEX($FO$325:$IH$396,GN$169,SwaptionMonthsToGo+SwaptionShift))))))</f>
        <v/>
      </c>
      <c r="GO170" s="469" t="str">
        <f ca="1">IF(OR(GO$169&lt;SwaptionFirstMonthPosition+1,$FN170&lt;SwaptionFirstMonthPosition+1,GO$169&gt;SwaptionFirstMonthPosition+SwaptionNumOfMonths+1,$FN170&gt;SwaptionFirstMonthPosition+SwaptionNumOfMonths+1),"",IF($FN170=GO$169,1,IF($FN170&lt;GO$169,INDEX($FO$170:$IH$241,GO$169,$FN170),SUMPRODUCT(INDEX($FO$325:$IH$396,GO$169,1+SwaptionShift):INDEX($FO$325:$IH$396,GO$169,SwaptionMonthsToGo+SwaptionShift),INDEX($FO$245:$IH$316,$FN170-GO$169,73-GO$169+SwaptionShift):INDEX($FO$245:$IH$316,$FN170-GO$169,72-GO$169+SwaptionMonthsToGo+SwaptionShift))/SQRT(SUM(INDEX($FO325:$IH325,1+SwaptionShift):INDEX($FO325:$IH325,SwaptionMonthsToGo+SwaptionShift))*SUM(INDEX($FO$325:$IH$396,GO$169,1+SwaptionShift):INDEX($FO$325:$IH$396,GO$169,SwaptionMonthsToGo+SwaptionShift))))))</f>
        <v/>
      </c>
      <c r="GP170" s="469" t="str">
        <f ca="1">IF(OR(GP$169&lt;SwaptionFirstMonthPosition+1,$FN170&lt;SwaptionFirstMonthPosition+1,GP$169&gt;SwaptionFirstMonthPosition+SwaptionNumOfMonths+1,$FN170&gt;SwaptionFirstMonthPosition+SwaptionNumOfMonths+1),"",IF($FN170=GP$169,1,IF($FN170&lt;GP$169,INDEX($FO$170:$IH$241,GP$169,$FN170),SUMPRODUCT(INDEX($FO$325:$IH$396,GP$169,1+SwaptionShift):INDEX($FO$325:$IH$396,GP$169,SwaptionMonthsToGo+SwaptionShift),INDEX($FO$245:$IH$316,$FN170-GP$169,73-GP$169+SwaptionShift):INDEX($FO$245:$IH$316,$FN170-GP$169,72-GP$169+SwaptionMonthsToGo+SwaptionShift))/SQRT(SUM(INDEX($FO325:$IH325,1+SwaptionShift):INDEX($FO325:$IH325,SwaptionMonthsToGo+SwaptionShift))*SUM(INDEX($FO$325:$IH$396,GP$169,1+SwaptionShift):INDEX($FO$325:$IH$396,GP$169,SwaptionMonthsToGo+SwaptionShift))))))</f>
        <v/>
      </c>
      <c r="GQ170" s="469" t="str">
        <f ca="1">IF(OR(GQ$169&lt;SwaptionFirstMonthPosition+1,$FN170&lt;SwaptionFirstMonthPosition+1,GQ$169&gt;SwaptionFirstMonthPosition+SwaptionNumOfMonths+1,$FN170&gt;SwaptionFirstMonthPosition+SwaptionNumOfMonths+1),"",IF($FN170=GQ$169,1,IF($FN170&lt;GQ$169,INDEX($FO$170:$IH$241,GQ$169,$FN170),SUMPRODUCT(INDEX($FO$325:$IH$396,GQ$169,1+SwaptionShift):INDEX($FO$325:$IH$396,GQ$169,SwaptionMonthsToGo+SwaptionShift),INDEX($FO$245:$IH$316,$FN170-GQ$169,73-GQ$169+SwaptionShift):INDEX($FO$245:$IH$316,$FN170-GQ$169,72-GQ$169+SwaptionMonthsToGo+SwaptionShift))/SQRT(SUM(INDEX($FO325:$IH325,1+SwaptionShift):INDEX($FO325:$IH325,SwaptionMonthsToGo+SwaptionShift))*SUM(INDEX($FO$325:$IH$396,GQ$169,1+SwaptionShift):INDEX($FO$325:$IH$396,GQ$169,SwaptionMonthsToGo+SwaptionShift))))))</f>
        <v/>
      </c>
      <c r="GR170" s="469" t="str">
        <f ca="1">IF(OR(GR$169&lt;SwaptionFirstMonthPosition+1,$FN170&lt;SwaptionFirstMonthPosition+1,GR$169&gt;SwaptionFirstMonthPosition+SwaptionNumOfMonths+1,$FN170&gt;SwaptionFirstMonthPosition+SwaptionNumOfMonths+1),"",IF($FN170=GR$169,1,IF($FN170&lt;GR$169,INDEX($FO$170:$IH$241,GR$169,$FN170),SUMPRODUCT(INDEX($FO$325:$IH$396,GR$169,1+SwaptionShift):INDEX($FO$325:$IH$396,GR$169,SwaptionMonthsToGo+SwaptionShift),INDEX($FO$245:$IH$316,$FN170-GR$169,73-GR$169+SwaptionShift):INDEX($FO$245:$IH$316,$FN170-GR$169,72-GR$169+SwaptionMonthsToGo+SwaptionShift))/SQRT(SUM(INDEX($FO325:$IH325,1+SwaptionShift):INDEX($FO325:$IH325,SwaptionMonthsToGo+SwaptionShift))*SUM(INDEX($FO$325:$IH$396,GR$169,1+SwaptionShift):INDEX($FO$325:$IH$396,GR$169,SwaptionMonthsToGo+SwaptionShift))))))</f>
        <v/>
      </c>
      <c r="GS170" s="469" t="str">
        <f ca="1">IF(OR(GS$169&lt;SwaptionFirstMonthPosition+1,$FN170&lt;SwaptionFirstMonthPosition+1,GS$169&gt;SwaptionFirstMonthPosition+SwaptionNumOfMonths+1,$FN170&gt;SwaptionFirstMonthPosition+SwaptionNumOfMonths+1),"",IF($FN170=GS$169,1,IF($FN170&lt;GS$169,INDEX($FO$170:$IH$241,GS$169,$FN170),SUMPRODUCT(INDEX($FO$325:$IH$396,GS$169,1+SwaptionShift):INDEX($FO$325:$IH$396,GS$169,SwaptionMonthsToGo+SwaptionShift),INDEX($FO$245:$IH$316,$FN170-GS$169,73-GS$169+SwaptionShift):INDEX($FO$245:$IH$316,$FN170-GS$169,72-GS$169+SwaptionMonthsToGo+SwaptionShift))/SQRT(SUM(INDEX($FO325:$IH325,1+SwaptionShift):INDEX($FO325:$IH325,SwaptionMonthsToGo+SwaptionShift))*SUM(INDEX($FO$325:$IH$396,GS$169,1+SwaptionShift):INDEX($FO$325:$IH$396,GS$169,SwaptionMonthsToGo+SwaptionShift))))))</f>
        <v/>
      </c>
      <c r="GT170" s="469" t="str">
        <f ca="1">IF(OR(GT$169&lt;SwaptionFirstMonthPosition+1,$FN170&lt;SwaptionFirstMonthPosition+1,GT$169&gt;SwaptionFirstMonthPosition+SwaptionNumOfMonths+1,$FN170&gt;SwaptionFirstMonthPosition+SwaptionNumOfMonths+1),"",IF($FN170=GT$169,1,IF($FN170&lt;GT$169,INDEX($FO$170:$IH$241,GT$169,$FN170),SUMPRODUCT(INDEX($FO$325:$IH$396,GT$169,1+SwaptionShift):INDEX($FO$325:$IH$396,GT$169,SwaptionMonthsToGo+SwaptionShift),INDEX($FO$245:$IH$316,$FN170-GT$169,73-GT$169+SwaptionShift):INDEX($FO$245:$IH$316,$FN170-GT$169,72-GT$169+SwaptionMonthsToGo+SwaptionShift))/SQRT(SUM(INDEX($FO325:$IH325,1+SwaptionShift):INDEX($FO325:$IH325,SwaptionMonthsToGo+SwaptionShift))*SUM(INDEX($FO$325:$IH$396,GT$169,1+SwaptionShift):INDEX($FO$325:$IH$396,GT$169,SwaptionMonthsToGo+SwaptionShift))))))</f>
        <v/>
      </c>
      <c r="GU170" s="469" t="str">
        <f ca="1">IF(OR(GU$169&lt;SwaptionFirstMonthPosition+1,$FN170&lt;SwaptionFirstMonthPosition+1,GU$169&gt;SwaptionFirstMonthPosition+SwaptionNumOfMonths+1,$FN170&gt;SwaptionFirstMonthPosition+SwaptionNumOfMonths+1),"",IF($FN170=GU$169,1,IF($FN170&lt;GU$169,INDEX($FO$170:$IH$241,GU$169,$FN170),SUMPRODUCT(INDEX($FO$325:$IH$396,GU$169,1+SwaptionShift):INDEX($FO$325:$IH$396,GU$169,SwaptionMonthsToGo+SwaptionShift),INDEX($FO$245:$IH$316,$FN170-GU$169,73-GU$169+SwaptionShift):INDEX($FO$245:$IH$316,$FN170-GU$169,72-GU$169+SwaptionMonthsToGo+SwaptionShift))/SQRT(SUM(INDEX($FO325:$IH325,1+SwaptionShift):INDEX($FO325:$IH325,SwaptionMonthsToGo+SwaptionShift))*SUM(INDEX($FO$325:$IH$396,GU$169,1+SwaptionShift):INDEX($FO$325:$IH$396,GU$169,SwaptionMonthsToGo+SwaptionShift))))))</f>
        <v/>
      </c>
      <c r="GV170" s="469" t="str">
        <f ca="1">IF(OR(GV$169&lt;SwaptionFirstMonthPosition+1,$FN170&lt;SwaptionFirstMonthPosition+1,GV$169&gt;SwaptionFirstMonthPosition+SwaptionNumOfMonths+1,$FN170&gt;SwaptionFirstMonthPosition+SwaptionNumOfMonths+1),"",IF($FN170=GV$169,1,IF($FN170&lt;GV$169,INDEX($FO$170:$IH$241,GV$169,$FN170),SUMPRODUCT(INDEX($FO$325:$IH$396,GV$169,1+SwaptionShift):INDEX($FO$325:$IH$396,GV$169,SwaptionMonthsToGo+SwaptionShift),INDEX($FO$245:$IH$316,$FN170-GV$169,73-GV$169+SwaptionShift):INDEX($FO$245:$IH$316,$FN170-GV$169,72-GV$169+SwaptionMonthsToGo+SwaptionShift))/SQRT(SUM(INDEX($FO325:$IH325,1+SwaptionShift):INDEX($FO325:$IH325,SwaptionMonthsToGo+SwaptionShift))*SUM(INDEX($FO$325:$IH$396,GV$169,1+SwaptionShift):INDEX($FO$325:$IH$396,GV$169,SwaptionMonthsToGo+SwaptionShift))))))</f>
        <v/>
      </c>
      <c r="GW170" s="469" t="str">
        <f ca="1">IF(OR(GW$169&lt;SwaptionFirstMonthPosition+1,$FN170&lt;SwaptionFirstMonthPosition+1,GW$169&gt;SwaptionFirstMonthPosition+SwaptionNumOfMonths+1,$FN170&gt;SwaptionFirstMonthPosition+SwaptionNumOfMonths+1),"",IF($FN170=GW$169,1,IF($FN170&lt;GW$169,INDEX($FO$170:$IH$241,GW$169,$FN170),SUMPRODUCT(INDEX($FO$325:$IH$396,GW$169,1+SwaptionShift):INDEX($FO$325:$IH$396,GW$169,SwaptionMonthsToGo+SwaptionShift),INDEX($FO$245:$IH$316,$FN170-GW$169,73-GW$169+SwaptionShift):INDEX($FO$245:$IH$316,$FN170-GW$169,72-GW$169+SwaptionMonthsToGo+SwaptionShift))/SQRT(SUM(INDEX($FO325:$IH325,1+SwaptionShift):INDEX($FO325:$IH325,SwaptionMonthsToGo+SwaptionShift))*SUM(INDEX($FO$325:$IH$396,GW$169,1+SwaptionShift):INDEX($FO$325:$IH$396,GW$169,SwaptionMonthsToGo+SwaptionShift))))))</f>
        <v/>
      </c>
      <c r="GX170" s="469" t="str">
        <f ca="1">IF(OR(GX$169&lt;SwaptionFirstMonthPosition+1,$FN170&lt;SwaptionFirstMonthPosition+1,GX$169&gt;SwaptionFirstMonthPosition+SwaptionNumOfMonths+1,$FN170&gt;SwaptionFirstMonthPosition+SwaptionNumOfMonths+1),"",IF($FN170=GX$169,1,IF($FN170&lt;GX$169,INDEX($FO$170:$IH$241,GX$169,$FN170),SUMPRODUCT(INDEX($FO$325:$IH$396,GX$169,1+SwaptionShift):INDEX($FO$325:$IH$396,GX$169,SwaptionMonthsToGo+SwaptionShift),INDEX($FO$245:$IH$316,$FN170-GX$169,73-GX$169+SwaptionShift):INDEX($FO$245:$IH$316,$FN170-GX$169,72-GX$169+SwaptionMonthsToGo+SwaptionShift))/SQRT(SUM(INDEX($FO325:$IH325,1+SwaptionShift):INDEX($FO325:$IH325,SwaptionMonthsToGo+SwaptionShift))*SUM(INDEX($FO$325:$IH$396,GX$169,1+SwaptionShift):INDEX($FO$325:$IH$396,GX$169,SwaptionMonthsToGo+SwaptionShift))))))</f>
        <v/>
      </c>
      <c r="GY170" s="469" t="str">
        <f ca="1">IF(OR(GY$169&lt;SwaptionFirstMonthPosition+1,$FN170&lt;SwaptionFirstMonthPosition+1,GY$169&gt;SwaptionFirstMonthPosition+SwaptionNumOfMonths+1,$FN170&gt;SwaptionFirstMonthPosition+SwaptionNumOfMonths+1),"",IF($FN170=GY$169,1,IF($FN170&lt;GY$169,INDEX($FO$170:$IH$241,GY$169,$FN170),SUMPRODUCT(INDEX($FO$325:$IH$396,GY$169,1+SwaptionShift):INDEX($FO$325:$IH$396,GY$169,SwaptionMonthsToGo+SwaptionShift),INDEX($FO$245:$IH$316,$FN170-GY$169,73-GY$169+SwaptionShift):INDEX($FO$245:$IH$316,$FN170-GY$169,72-GY$169+SwaptionMonthsToGo+SwaptionShift))/SQRT(SUM(INDEX($FO325:$IH325,1+SwaptionShift):INDEX($FO325:$IH325,SwaptionMonthsToGo+SwaptionShift))*SUM(INDEX($FO$325:$IH$396,GY$169,1+SwaptionShift):INDEX($FO$325:$IH$396,GY$169,SwaptionMonthsToGo+SwaptionShift))))))</f>
        <v/>
      </c>
      <c r="GZ170" s="469" t="str">
        <f ca="1">IF(OR(GZ$169&lt;SwaptionFirstMonthPosition+1,$FN170&lt;SwaptionFirstMonthPosition+1,GZ$169&gt;SwaptionFirstMonthPosition+SwaptionNumOfMonths+1,$FN170&gt;SwaptionFirstMonthPosition+SwaptionNumOfMonths+1),"",IF($FN170=GZ$169,1,IF($FN170&lt;GZ$169,INDEX($FO$170:$IH$241,GZ$169,$FN170),SUMPRODUCT(INDEX($FO$325:$IH$396,GZ$169,1+SwaptionShift):INDEX($FO$325:$IH$396,GZ$169,SwaptionMonthsToGo+SwaptionShift),INDEX($FO$245:$IH$316,$FN170-GZ$169,73-GZ$169+SwaptionShift):INDEX($FO$245:$IH$316,$FN170-GZ$169,72-GZ$169+SwaptionMonthsToGo+SwaptionShift))/SQRT(SUM(INDEX($FO325:$IH325,1+SwaptionShift):INDEX($FO325:$IH325,SwaptionMonthsToGo+SwaptionShift))*SUM(INDEX($FO$325:$IH$396,GZ$169,1+SwaptionShift):INDEX($FO$325:$IH$396,GZ$169,SwaptionMonthsToGo+SwaptionShift))))))</f>
        <v/>
      </c>
      <c r="HA170" s="469" t="str">
        <f ca="1">IF(OR(HA$169&lt;SwaptionFirstMonthPosition+1,$FN170&lt;SwaptionFirstMonthPosition+1,HA$169&gt;SwaptionFirstMonthPosition+SwaptionNumOfMonths+1,$FN170&gt;SwaptionFirstMonthPosition+SwaptionNumOfMonths+1),"",IF($FN170=HA$169,1,IF($FN170&lt;HA$169,INDEX($FO$170:$IH$241,HA$169,$FN170),SUMPRODUCT(INDEX($FO$325:$IH$396,HA$169,1+SwaptionShift):INDEX($FO$325:$IH$396,HA$169,SwaptionMonthsToGo+SwaptionShift),INDEX($FO$245:$IH$316,$FN170-HA$169,73-HA$169+SwaptionShift):INDEX($FO$245:$IH$316,$FN170-HA$169,72-HA$169+SwaptionMonthsToGo+SwaptionShift))/SQRT(SUM(INDEX($FO325:$IH325,1+SwaptionShift):INDEX($FO325:$IH325,SwaptionMonthsToGo+SwaptionShift))*SUM(INDEX($FO$325:$IH$396,HA$169,1+SwaptionShift):INDEX($FO$325:$IH$396,HA$169,SwaptionMonthsToGo+SwaptionShift))))))</f>
        <v/>
      </c>
      <c r="HB170" s="469" t="str">
        <f ca="1">IF(OR(HB$169&lt;SwaptionFirstMonthPosition+1,$FN170&lt;SwaptionFirstMonthPosition+1,HB$169&gt;SwaptionFirstMonthPosition+SwaptionNumOfMonths+1,$FN170&gt;SwaptionFirstMonthPosition+SwaptionNumOfMonths+1),"",IF($FN170=HB$169,1,IF($FN170&lt;HB$169,INDEX($FO$170:$IH$241,HB$169,$FN170),SUMPRODUCT(INDEX($FO$325:$IH$396,HB$169,1+SwaptionShift):INDEX($FO$325:$IH$396,HB$169,SwaptionMonthsToGo+SwaptionShift),INDEX($FO$245:$IH$316,$FN170-HB$169,73-HB$169+SwaptionShift):INDEX($FO$245:$IH$316,$FN170-HB$169,72-HB$169+SwaptionMonthsToGo+SwaptionShift))/SQRT(SUM(INDEX($FO325:$IH325,1+SwaptionShift):INDEX($FO325:$IH325,SwaptionMonthsToGo+SwaptionShift))*SUM(INDEX($FO$325:$IH$396,HB$169,1+SwaptionShift):INDEX($FO$325:$IH$396,HB$169,SwaptionMonthsToGo+SwaptionShift))))))</f>
        <v/>
      </c>
      <c r="HC170" s="469" t="str">
        <f ca="1">IF(OR(HC$169&lt;SwaptionFirstMonthPosition+1,$FN170&lt;SwaptionFirstMonthPosition+1,HC$169&gt;SwaptionFirstMonthPosition+SwaptionNumOfMonths+1,$FN170&gt;SwaptionFirstMonthPosition+SwaptionNumOfMonths+1),"",IF($FN170=HC$169,1,IF($FN170&lt;HC$169,INDEX($FO$170:$IH$241,HC$169,$FN170),SUMPRODUCT(INDEX($FO$325:$IH$396,HC$169,1+SwaptionShift):INDEX($FO$325:$IH$396,HC$169,SwaptionMonthsToGo+SwaptionShift),INDEX($FO$245:$IH$316,$FN170-HC$169,73-HC$169+SwaptionShift):INDEX($FO$245:$IH$316,$FN170-HC$169,72-HC$169+SwaptionMonthsToGo+SwaptionShift))/SQRT(SUM(INDEX($FO325:$IH325,1+SwaptionShift):INDEX($FO325:$IH325,SwaptionMonthsToGo+SwaptionShift))*SUM(INDEX($FO$325:$IH$396,HC$169,1+SwaptionShift):INDEX($FO$325:$IH$396,HC$169,SwaptionMonthsToGo+SwaptionShift))))))</f>
        <v/>
      </c>
      <c r="HD170" s="469" t="str">
        <f ca="1">IF(OR(HD$169&lt;SwaptionFirstMonthPosition+1,$FN170&lt;SwaptionFirstMonthPosition+1,HD$169&gt;SwaptionFirstMonthPosition+SwaptionNumOfMonths+1,$FN170&gt;SwaptionFirstMonthPosition+SwaptionNumOfMonths+1),"",IF($FN170=HD$169,1,IF($FN170&lt;HD$169,INDEX($FO$170:$IH$241,HD$169,$FN170),SUMPRODUCT(INDEX($FO$325:$IH$396,HD$169,1+SwaptionShift):INDEX($FO$325:$IH$396,HD$169,SwaptionMonthsToGo+SwaptionShift),INDEX($FO$245:$IH$316,$FN170-HD$169,73-HD$169+SwaptionShift):INDEX($FO$245:$IH$316,$FN170-HD$169,72-HD$169+SwaptionMonthsToGo+SwaptionShift))/SQRT(SUM(INDEX($FO325:$IH325,1+SwaptionShift):INDEX($FO325:$IH325,SwaptionMonthsToGo+SwaptionShift))*SUM(INDEX($FO$325:$IH$396,HD$169,1+SwaptionShift):INDEX($FO$325:$IH$396,HD$169,SwaptionMonthsToGo+SwaptionShift))))))</f>
        <v/>
      </c>
      <c r="HE170" s="469" t="str">
        <f ca="1">IF(OR(HE$169&lt;SwaptionFirstMonthPosition+1,$FN170&lt;SwaptionFirstMonthPosition+1,HE$169&gt;SwaptionFirstMonthPosition+SwaptionNumOfMonths+1,$FN170&gt;SwaptionFirstMonthPosition+SwaptionNumOfMonths+1),"",IF($FN170=HE$169,1,IF($FN170&lt;HE$169,INDEX($FO$170:$IH$241,HE$169,$FN170),SUMPRODUCT(INDEX($FO$325:$IH$396,HE$169,1+SwaptionShift):INDEX($FO$325:$IH$396,HE$169,SwaptionMonthsToGo+SwaptionShift),INDEX($FO$245:$IH$316,$FN170-HE$169,73-HE$169+SwaptionShift):INDEX($FO$245:$IH$316,$FN170-HE$169,72-HE$169+SwaptionMonthsToGo+SwaptionShift))/SQRT(SUM(INDEX($FO325:$IH325,1+SwaptionShift):INDEX($FO325:$IH325,SwaptionMonthsToGo+SwaptionShift))*SUM(INDEX($FO$325:$IH$396,HE$169,1+SwaptionShift):INDEX($FO$325:$IH$396,HE$169,SwaptionMonthsToGo+SwaptionShift))))))</f>
        <v/>
      </c>
      <c r="HF170" s="469" t="str">
        <f ca="1">IF(OR(HF$169&lt;SwaptionFirstMonthPosition+1,$FN170&lt;SwaptionFirstMonthPosition+1,HF$169&gt;SwaptionFirstMonthPosition+SwaptionNumOfMonths+1,$FN170&gt;SwaptionFirstMonthPosition+SwaptionNumOfMonths+1),"",IF($FN170=HF$169,1,IF($FN170&lt;HF$169,INDEX($FO$170:$IH$241,HF$169,$FN170),SUMPRODUCT(INDEX($FO$325:$IH$396,HF$169,1+SwaptionShift):INDEX($FO$325:$IH$396,HF$169,SwaptionMonthsToGo+SwaptionShift),INDEX($FO$245:$IH$316,$FN170-HF$169,73-HF$169+SwaptionShift):INDEX($FO$245:$IH$316,$FN170-HF$169,72-HF$169+SwaptionMonthsToGo+SwaptionShift))/SQRT(SUM(INDEX($FO325:$IH325,1+SwaptionShift):INDEX($FO325:$IH325,SwaptionMonthsToGo+SwaptionShift))*SUM(INDEX($FO$325:$IH$396,HF$169,1+SwaptionShift):INDEX($FO$325:$IH$396,HF$169,SwaptionMonthsToGo+SwaptionShift))))))</f>
        <v/>
      </c>
      <c r="HG170" s="469" t="str">
        <f ca="1">IF(OR(HG$169&lt;SwaptionFirstMonthPosition+1,$FN170&lt;SwaptionFirstMonthPosition+1,HG$169&gt;SwaptionFirstMonthPosition+SwaptionNumOfMonths+1,$FN170&gt;SwaptionFirstMonthPosition+SwaptionNumOfMonths+1),"",IF($FN170=HG$169,1,IF($FN170&lt;HG$169,INDEX($FO$170:$IH$241,HG$169,$FN170),SUMPRODUCT(INDEX($FO$325:$IH$396,HG$169,1+SwaptionShift):INDEX($FO$325:$IH$396,HG$169,SwaptionMonthsToGo+SwaptionShift),INDEX($FO$245:$IH$316,$FN170-HG$169,73-HG$169+SwaptionShift):INDEX($FO$245:$IH$316,$FN170-HG$169,72-HG$169+SwaptionMonthsToGo+SwaptionShift))/SQRT(SUM(INDEX($FO325:$IH325,1+SwaptionShift):INDEX($FO325:$IH325,SwaptionMonthsToGo+SwaptionShift))*SUM(INDEX($FO$325:$IH$396,HG$169,1+SwaptionShift):INDEX($FO$325:$IH$396,HG$169,SwaptionMonthsToGo+SwaptionShift))))))</f>
        <v/>
      </c>
      <c r="HH170" s="469" t="str">
        <f ca="1">IF(OR(HH$169&lt;SwaptionFirstMonthPosition+1,$FN170&lt;SwaptionFirstMonthPosition+1,HH$169&gt;SwaptionFirstMonthPosition+SwaptionNumOfMonths+1,$FN170&gt;SwaptionFirstMonthPosition+SwaptionNumOfMonths+1),"",IF($FN170=HH$169,1,IF($FN170&lt;HH$169,INDEX($FO$170:$IH$241,HH$169,$FN170),SUMPRODUCT(INDEX($FO$325:$IH$396,HH$169,1+SwaptionShift):INDEX($FO$325:$IH$396,HH$169,SwaptionMonthsToGo+SwaptionShift),INDEX($FO$245:$IH$316,$FN170-HH$169,73-HH$169+SwaptionShift):INDEX($FO$245:$IH$316,$FN170-HH$169,72-HH$169+SwaptionMonthsToGo+SwaptionShift))/SQRT(SUM(INDEX($FO325:$IH325,1+SwaptionShift):INDEX($FO325:$IH325,SwaptionMonthsToGo+SwaptionShift))*SUM(INDEX($FO$325:$IH$396,HH$169,1+SwaptionShift):INDEX($FO$325:$IH$396,HH$169,SwaptionMonthsToGo+SwaptionShift))))))</f>
        <v/>
      </c>
      <c r="HI170" s="469" t="str">
        <f ca="1">IF(OR(HI$169&lt;SwaptionFirstMonthPosition+1,$FN170&lt;SwaptionFirstMonthPosition+1,HI$169&gt;SwaptionFirstMonthPosition+SwaptionNumOfMonths+1,$FN170&gt;SwaptionFirstMonthPosition+SwaptionNumOfMonths+1),"",IF($FN170=HI$169,1,IF($FN170&lt;HI$169,INDEX($FO$170:$IH$241,HI$169,$FN170),SUMPRODUCT(INDEX($FO$325:$IH$396,HI$169,1+SwaptionShift):INDEX($FO$325:$IH$396,HI$169,SwaptionMonthsToGo+SwaptionShift),INDEX($FO$245:$IH$316,$FN170-HI$169,73-HI$169+SwaptionShift):INDEX($FO$245:$IH$316,$FN170-HI$169,72-HI$169+SwaptionMonthsToGo+SwaptionShift))/SQRT(SUM(INDEX($FO325:$IH325,1+SwaptionShift):INDEX($FO325:$IH325,SwaptionMonthsToGo+SwaptionShift))*SUM(INDEX($FO$325:$IH$396,HI$169,1+SwaptionShift):INDEX($FO$325:$IH$396,HI$169,SwaptionMonthsToGo+SwaptionShift))))))</f>
        <v/>
      </c>
      <c r="HJ170" s="469" t="str">
        <f ca="1">IF(OR(HJ$169&lt;SwaptionFirstMonthPosition+1,$FN170&lt;SwaptionFirstMonthPosition+1,HJ$169&gt;SwaptionFirstMonthPosition+SwaptionNumOfMonths+1,$FN170&gt;SwaptionFirstMonthPosition+SwaptionNumOfMonths+1),"",IF($FN170=HJ$169,1,IF($FN170&lt;HJ$169,INDEX($FO$170:$IH$241,HJ$169,$FN170),SUMPRODUCT(INDEX($FO$325:$IH$396,HJ$169,1+SwaptionShift):INDEX($FO$325:$IH$396,HJ$169,SwaptionMonthsToGo+SwaptionShift),INDEX($FO$245:$IH$316,$FN170-HJ$169,73-HJ$169+SwaptionShift):INDEX($FO$245:$IH$316,$FN170-HJ$169,72-HJ$169+SwaptionMonthsToGo+SwaptionShift))/SQRT(SUM(INDEX($FO325:$IH325,1+SwaptionShift):INDEX($FO325:$IH325,SwaptionMonthsToGo+SwaptionShift))*SUM(INDEX($FO$325:$IH$396,HJ$169,1+SwaptionShift):INDEX($FO$325:$IH$396,HJ$169,SwaptionMonthsToGo+SwaptionShift))))))</f>
        <v/>
      </c>
      <c r="HK170" s="469" t="str">
        <f ca="1">IF(OR(HK$169&lt;SwaptionFirstMonthPosition+1,$FN170&lt;SwaptionFirstMonthPosition+1,HK$169&gt;SwaptionFirstMonthPosition+SwaptionNumOfMonths+1,$FN170&gt;SwaptionFirstMonthPosition+SwaptionNumOfMonths+1),"",IF($FN170=HK$169,1,IF($FN170&lt;HK$169,INDEX($FO$170:$IH$241,HK$169,$FN170),SUMPRODUCT(INDEX($FO$325:$IH$396,HK$169,1+SwaptionShift):INDEX($FO$325:$IH$396,HK$169,SwaptionMonthsToGo+SwaptionShift),INDEX($FO$245:$IH$316,$FN170-HK$169,73-HK$169+SwaptionShift):INDEX($FO$245:$IH$316,$FN170-HK$169,72-HK$169+SwaptionMonthsToGo+SwaptionShift))/SQRT(SUM(INDEX($FO325:$IH325,1+SwaptionShift):INDEX($FO325:$IH325,SwaptionMonthsToGo+SwaptionShift))*SUM(INDEX($FO$325:$IH$396,HK$169,1+SwaptionShift):INDEX($FO$325:$IH$396,HK$169,SwaptionMonthsToGo+SwaptionShift))))))</f>
        <v/>
      </c>
      <c r="HL170" s="469" t="str">
        <f ca="1">IF(OR(HL$169&lt;SwaptionFirstMonthPosition+1,$FN170&lt;SwaptionFirstMonthPosition+1,HL$169&gt;SwaptionFirstMonthPosition+SwaptionNumOfMonths+1,$FN170&gt;SwaptionFirstMonthPosition+SwaptionNumOfMonths+1),"",IF($FN170=HL$169,1,IF($FN170&lt;HL$169,INDEX($FO$170:$IH$241,HL$169,$FN170),SUMPRODUCT(INDEX($FO$325:$IH$396,HL$169,1+SwaptionShift):INDEX($FO$325:$IH$396,HL$169,SwaptionMonthsToGo+SwaptionShift),INDEX($FO$245:$IH$316,$FN170-HL$169,73-HL$169+SwaptionShift):INDEX($FO$245:$IH$316,$FN170-HL$169,72-HL$169+SwaptionMonthsToGo+SwaptionShift))/SQRT(SUM(INDEX($FO325:$IH325,1+SwaptionShift):INDEX($FO325:$IH325,SwaptionMonthsToGo+SwaptionShift))*SUM(INDEX($FO$325:$IH$396,HL$169,1+SwaptionShift):INDEX($FO$325:$IH$396,HL$169,SwaptionMonthsToGo+SwaptionShift))))))</f>
        <v/>
      </c>
      <c r="HM170" s="469" t="str">
        <f ca="1">IF(OR(HM$169&lt;SwaptionFirstMonthPosition+1,$FN170&lt;SwaptionFirstMonthPosition+1,HM$169&gt;SwaptionFirstMonthPosition+SwaptionNumOfMonths+1,$FN170&gt;SwaptionFirstMonthPosition+SwaptionNumOfMonths+1),"",IF($FN170=HM$169,1,IF($FN170&lt;HM$169,INDEX($FO$170:$IH$241,HM$169,$FN170),SUMPRODUCT(INDEX($FO$325:$IH$396,HM$169,1+SwaptionShift):INDEX($FO$325:$IH$396,HM$169,SwaptionMonthsToGo+SwaptionShift),INDEX($FO$245:$IH$316,$FN170-HM$169,73-HM$169+SwaptionShift):INDEX($FO$245:$IH$316,$FN170-HM$169,72-HM$169+SwaptionMonthsToGo+SwaptionShift))/SQRT(SUM(INDEX($FO325:$IH325,1+SwaptionShift):INDEX($FO325:$IH325,SwaptionMonthsToGo+SwaptionShift))*SUM(INDEX($FO$325:$IH$396,HM$169,1+SwaptionShift):INDEX($FO$325:$IH$396,HM$169,SwaptionMonthsToGo+SwaptionShift))))))</f>
        <v/>
      </c>
      <c r="HN170" s="469" t="str">
        <f ca="1">IF(OR(HN$169&lt;SwaptionFirstMonthPosition+1,$FN170&lt;SwaptionFirstMonthPosition+1,HN$169&gt;SwaptionFirstMonthPosition+SwaptionNumOfMonths+1,$FN170&gt;SwaptionFirstMonthPosition+SwaptionNumOfMonths+1),"",IF($FN170=HN$169,1,IF($FN170&lt;HN$169,INDEX($FO$170:$IH$241,HN$169,$FN170),SUMPRODUCT(INDEX($FO$325:$IH$396,HN$169,1+SwaptionShift):INDEX($FO$325:$IH$396,HN$169,SwaptionMonthsToGo+SwaptionShift),INDEX($FO$245:$IH$316,$FN170-HN$169,73-HN$169+SwaptionShift):INDEX($FO$245:$IH$316,$FN170-HN$169,72-HN$169+SwaptionMonthsToGo+SwaptionShift))/SQRT(SUM(INDEX($FO325:$IH325,1+SwaptionShift):INDEX($FO325:$IH325,SwaptionMonthsToGo+SwaptionShift))*SUM(INDEX($FO$325:$IH$396,HN$169,1+SwaptionShift):INDEX($FO$325:$IH$396,HN$169,SwaptionMonthsToGo+SwaptionShift))))))</f>
        <v/>
      </c>
      <c r="HO170" s="469" t="str">
        <f ca="1">IF(OR(HO$169&lt;SwaptionFirstMonthPosition+1,$FN170&lt;SwaptionFirstMonthPosition+1,HO$169&gt;SwaptionFirstMonthPosition+SwaptionNumOfMonths+1,$FN170&gt;SwaptionFirstMonthPosition+SwaptionNumOfMonths+1),"",IF($FN170=HO$169,1,IF($FN170&lt;HO$169,INDEX($FO$170:$IH$241,HO$169,$FN170),SUMPRODUCT(INDEX($FO$325:$IH$396,HO$169,1+SwaptionShift):INDEX($FO$325:$IH$396,HO$169,SwaptionMonthsToGo+SwaptionShift),INDEX($FO$245:$IH$316,$FN170-HO$169,73-HO$169+SwaptionShift):INDEX($FO$245:$IH$316,$FN170-HO$169,72-HO$169+SwaptionMonthsToGo+SwaptionShift))/SQRT(SUM(INDEX($FO325:$IH325,1+SwaptionShift):INDEX($FO325:$IH325,SwaptionMonthsToGo+SwaptionShift))*SUM(INDEX($FO$325:$IH$396,HO$169,1+SwaptionShift):INDEX($FO$325:$IH$396,HO$169,SwaptionMonthsToGo+SwaptionShift))))))</f>
        <v/>
      </c>
      <c r="HP170" s="469" t="str">
        <f ca="1">IF(OR(HP$169&lt;SwaptionFirstMonthPosition+1,$FN170&lt;SwaptionFirstMonthPosition+1,HP$169&gt;SwaptionFirstMonthPosition+SwaptionNumOfMonths+1,$FN170&gt;SwaptionFirstMonthPosition+SwaptionNumOfMonths+1),"",IF($FN170=HP$169,1,IF($FN170&lt;HP$169,INDEX($FO$170:$IH$241,HP$169,$FN170),SUMPRODUCT(INDEX($FO$325:$IH$396,HP$169,1+SwaptionShift):INDEX($FO$325:$IH$396,HP$169,SwaptionMonthsToGo+SwaptionShift),INDEX($FO$245:$IH$316,$FN170-HP$169,73-HP$169+SwaptionShift):INDEX($FO$245:$IH$316,$FN170-HP$169,72-HP$169+SwaptionMonthsToGo+SwaptionShift))/SQRT(SUM(INDEX($FO325:$IH325,1+SwaptionShift):INDEX($FO325:$IH325,SwaptionMonthsToGo+SwaptionShift))*SUM(INDEX($FO$325:$IH$396,HP$169,1+SwaptionShift):INDEX($FO$325:$IH$396,HP$169,SwaptionMonthsToGo+SwaptionShift))))))</f>
        <v/>
      </c>
      <c r="HQ170" s="469" t="str">
        <f ca="1">IF(OR(HQ$169&lt;SwaptionFirstMonthPosition+1,$FN170&lt;SwaptionFirstMonthPosition+1,HQ$169&gt;SwaptionFirstMonthPosition+SwaptionNumOfMonths+1,$FN170&gt;SwaptionFirstMonthPosition+SwaptionNumOfMonths+1),"",IF($FN170=HQ$169,1,IF($FN170&lt;HQ$169,INDEX($FO$170:$IH$241,HQ$169,$FN170),SUMPRODUCT(INDEX($FO$325:$IH$396,HQ$169,1+SwaptionShift):INDEX($FO$325:$IH$396,HQ$169,SwaptionMonthsToGo+SwaptionShift),INDEX($FO$245:$IH$316,$FN170-HQ$169,73-HQ$169+SwaptionShift):INDEX($FO$245:$IH$316,$FN170-HQ$169,72-HQ$169+SwaptionMonthsToGo+SwaptionShift))/SQRT(SUM(INDEX($FO325:$IH325,1+SwaptionShift):INDEX($FO325:$IH325,SwaptionMonthsToGo+SwaptionShift))*SUM(INDEX($FO$325:$IH$396,HQ$169,1+SwaptionShift):INDEX($FO$325:$IH$396,HQ$169,SwaptionMonthsToGo+SwaptionShift))))))</f>
        <v/>
      </c>
      <c r="HR170" s="469" t="str">
        <f ca="1">IF(OR(HR$169&lt;SwaptionFirstMonthPosition+1,$FN170&lt;SwaptionFirstMonthPosition+1,HR$169&gt;SwaptionFirstMonthPosition+SwaptionNumOfMonths+1,$FN170&gt;SwaptionFirstMonthPosition+SwaptionNumOfMonths+1),"",IF($FN170=HR$169,1,IF($FN170&lt;HR$169,INDEX($FO$170:$IH$241,HR$169,$FN170),SUMPRODUCT(INDEX($FO$325:$IH$396,HR$169,1+SwaptionShift):INDEX($FO$325:$IH$396,HR$169,SwaptionMonthsToGo+SwaptionShift),INDEX($FO$245:$IH$316,$FN170-HR$169,73-HR$169+SwaptionShift):INDEX($FO$245:$IH$316,$FN170-HR$169,72-HR$169+SwaptionMonthsToGo+SwaptionShift))/SQRT(SUM(INDEX($FO325:$IH325,1+SwaptionShift):INDEX($FO325:$IH325,SwaptionMonthsToGo+SwaptionShift))*SUM(INDEX($FO$325:$IH$396,HR$169,1+SwaptionShift):INDEX($FO$325:$IH$396,HR$169,SwaptionMonthsToGo+SwaptionShift))))))</f>
        <v/>
      </c>
      <c r="HS170" s="469" t="str">
        <f ca="1">IF(OR(HS$169&lt;SwaptionFirstMonthPosition+1,$FN170&lt;SwaptionFirstMonthPosition+1,HS$169&gt;SwaptionFirstMonthPosition+SwaptionNumOfMonths+1,$FN170&gt;SwaptionFirstMonthPosition+SwaptionNumOfMonths+1),"",IF($FN170=HS$169,1,IF($FN170&lt;HS$169,INDEX($FO$170:$IH$241,HS$169,$FN170),SUMPRODUCT(INDEX($FO$325:$IH$396,HS$169,1+SwaptionShift):INDEX($FO$325:$IH$396,HS$169,SwaptionMonthsToGo+SwaptionShift),INDEX($FO$245:$IH$316,$FN170-HS$169,73-HS$169+SwaptionShift):INDEX($FO$245:$IH$316,$FN170-HS$169,72-HS$169+SwaptionMonthsToGo+SwaptionShift))/SQRT(SUM(INDEX($FO325:$IH325,1+SwaptionShift):INDEX($FO325:$IH325,SwaptionMonthsToGo+SwaptionShift))*SUM(INDEX($FO$325:$IH$396,HS$169,1+SwaptionShift):INDEX($FO$325:$IH$396,HS$169,SwaptionMonthsToGo+SwaptionShift))))))</f>
        <v/>
      </c>
      <c r="HT170" s="469" t="str">
        <f ca="1">IF(OR(HT$169&lt;SwaptionFirstMonthPosition+1,$FN170&lt;SwaptionFirstMonthPosition+1,HT$169&gt;SwaptionFirstMonthPosition+SwaptionNumOfMonths+1,$FN170&gt;SwaptionFirstMonthPosition+SwaptionNumOfMonths+1),"",IF($FN170=HT$169,1,IF($FN170&lt;HT$169,INDEX($FO$170:$IH$241,HT$169,$FN170),SUMPRODUCT(INDEX($FO$325:$IH$396,HT$169,1+SwaptionShift):INDEX($FO$325:$IH$396,HT$169,SwaptionMonthsToGo+SwaptionShift),INDEX($FO$245:$IH$316,$FN170-HT$169,73-HT$169+SwaptionShift):INDEX($FO$245:$IH$316,$FN170-HT$169,72-HT$169+SwaptionMonthsToGo+SwaptionShift))/SQRT(SUM(INDEX($FO325:$IH325,1+SwaptionShift):INDEX($FO325:$IH325,SwaptionMonthsToGo+SwaptionShift))*SUM(INDEX($FO$325:$IH$396,HT$169,1+SwaptionShift):INDEX($FO$325:$IH$396,HT$169,SwaptionMonthsToGo+SwaptionShift))))))</f>
        <v/>
      </c>
      <c r="HU170" s="469" t="str">
        <f ca="1">IF(OR(HU$169&lt;SwaptionFirstMonthPosition+1,$FN170&lt;SwaptionFirstMonthPosition+1,HU$169&gt;SwaptionFirstMonthPosition+SwaptionNumOfMonths+1,$FN170&gt;SwaptionFirstMonthPosition+SwaptionNumOfMonths+1),"",IF($FN170=HU$169,1,IF($FN170&lt;HU$169,INDEX($FO$170:$IH$241,HU$169,$FN170),SUMPRODUCT(INDEX($FO$325:$IH$396,HU$169,1+SwaptionShift):INDEX($FO$325:$IH$396,HU$169,SwaptionMonthsToGo+SwaptionShift),INDEX($FO$245:$IH$316,$FN170-HU$169,73-HU$169+SwaptionShift):INDEX($FO$245:$IH$316,$FN170-HU$169,72-HU$169+SwaptionMonthsToGo+SwaptionShift))/SQRT(SUM(INDEX($FO325:$IH325,1+SwaptionShift):INDEX($FO325:$IH325,SwaptionMonthsToGo+SwaptionShift))*SUM(INDEX($FO$325:$IH$396,HU$169,1+SwaptionShift):INDEX($FO$325:$IH$396,HU$169,SwaptionMonthsToGo+SwaptionShift))))))</f>
        <v/>
      </c>
      <c r="HV170" s="469" t="str">
        <f ca="1">IF(OR(HV$169&lt;SwaptionFirstMonthPosition+1,$FN170&lt;SwaptionFirstMonthPosition+1,HV$169&gt;SwaptionFirstMonthPosition+SwaptionNumOfMonths+1,$FN170&gt;SwaptionFirstMonthPosition+SwaptionNumOfMonths+1),"",IF($FN170=HV$169,1,IF($FN170&lt;HV$169,INDEX($FO$170:$IH$241,HV$169,$FN170),SUMPRODUCT(INDEX($FO$325:$IH$396,HV$169,1+SwaptionShift):INDEX($FO$325:$IH$396,HV$169,SwaptionMonthsToGo+SwaptionShift),INDEX($FO$245:$IH$316,$FN170-HV$169,73-HV$169+SwaptionShift):INDEX($FO$245:$IH$316,$FN170-HV$169,72-HV$169+SwaptionMonthsToGo+SwaptionShift))/SQRT(SUM(INDEX($FO325:$IH325,1+SwaptionShift):INDEX($FO325:$IH325,SwaptionMonthsToGo+SwaptionShift))*SUM(INDEX($FO$325:$IH$396,HV$169,1+SwaptionShift):INDEX($FO$325:$IH$396,HV$169,SwaptionMonthsToGo+SwaptionShift))))))</f>
        <v/>
      </c>
      <c r="HW170" s="469" t="str">
        <f ca="1">IF(OR(HW$169&lt;SwaptionFirstMonthPosition+1,$FN170&lt;SwaptionFirstMonthPosition+1,HW$169&gt;SwaptionFirstMonthPosition+SwaptionNumOfMonths+1,$FN170&gt;SwaptionFirstMonthPosition+SwaptionNumOfMonths+1),"",IF($FN170=HW$169,1,IF($FN170&lt;HW$169,INDEX($FO$170:$IH$241,HW$169,$FN170),SUMPRODUCT(INDEX($FO$325:$IH$396,HW$169,1+SwaptionShift):INDEX($FO$325:$IH$396,HW$169,SwaptionMonthsToGo+SwaptionShift),INDEX($FO$245:$IH$316,$FN170-HW$169,73-HW$169+SwaptionShift):INDEX($FO$245:$IH$316,$FN170-HW$169,72-HW$169+SwaptionMonthsToGo+SwaptionShift))/SQRT(SUM(INDEX($FO325:$IH325,1+SwaptionShift):INDEX($FO325:$IH325,SwaptionMonthsToGo+SwaptionShift))*SUM(INDEX($FO$325:$IH$396,HW$169,1+SwaptionShift):INDEX($FO$325:$IH$396,HW$169,SwaptionMonthsToGo+SwaptionShift))))))</f>
        <v/>
      </c>
      <c r="HX170" s="469" t="str">
        <f ca="1">IF(OR(HX$169&lt;SwaptionFirstMonthPosition+1,$FN170&lt;SwaptionFirstMonthPosition+1,HX$169&gt;SwaptionFirstMonthPosition+SwaptionNumOfMonths+1,$FN170&gt;SwaptionFirstMonthPosition+SwaptionNumOfMonths+1),"",IF($FN170=HX$169,1,IF($FN170&lt;HX$169,INDEX($FO$170:$IH$241,HX$169,$FN170),SUMPRODUCT(INDEX($FO$325:$IH$396,HX$169,1+SwaptionShift):INDEX($FO$325:$IH$396,HX$169,SwaptionMonthsToGo+SwaptionShift),INDEX($FO$245:$IH$316,$FN170-HX$169,73-HX$169+SwaptionShift):INDEX($FO$245:$IH$316,$FN170-HX$169,72-HX$169+SwaptionMonthsToGo+SwaptionShift))/SQRT(SUM(INDEX($FO325:$IH325,1+SwaptionShift):INDEX($FO325:$IH325,SwaptionMonthsToGo+SwaptionShift))*SUM(INDEX($FO$325:$IH$396,HX$169,1+SwaptionShift):INDEX($FO$325:$IH$396,HX$169,SwaptionMonthsToGo+SwaptionShift))))))</f>
        <v/>
      </c>
      <c r="HY170" s="469" t="str">
        <f ca="1">IF(OR(HY$169&lt;SwaptionFirstMonthPosition+1,$FN170&lt;SwaptionFirstMonthPosition+1,HY$169&gt;SwaptionFirstMonthPosition+SwaptionNumOfMonths+1,$FN170&gt;SwaptionFirstMonthPosition+SwaptionNumOfMonths+1),"",IF($FN170=HY$169,1,IF($FN170&lt;HY$169,INDEX($FO$170:$IH$241,HY$169,$FN170),SUMPRODUCT(INDEX($FO$325:$IH$396,HY$169,1+SwaptionShift):INDEX($FO$325:$IH$396,HY$169,SwaptionMonthsToGo+SwaptionShift),INDEX($FO$245:$IH$316,$FN170-HY$169,73-HY$169+SwaptionShift):INDEX($FO$245:$IH$316,$FN170-HY$169,72-HY$169+SwaptionMonthsToGo+SwaptionShift))/SQRT(SUM(INDEX($FO325:$IH325,1+SwaptionShift):INDEX($FO325:$IH325,SwaptionMonthsToGo+SwaptionShift))*SUM(INDEX($FO$325:$IH$396,HY$169,1+SwaptionShift):INDEX($FO$325:$IH$396,HY$169,SwaptionMonthsToGo+SwaptionShift))))))</f>
        <v/>
      </c>
      <c r="HZ170" s="469" t="str">
        <f ca="1">IF(OR(HZ$169&lt;SwaptionFirstMonthPosition+1,$FN170&lt;SwaptionFirstMonthPosition+1,HZ$169&gt;SwaptionFirstMonthPosition+SwaptionNumOfMonths+1,$FN170&gt;SwaptionFirstMonthPosition+SwaptionNumOfMonths+1),"",IF($FN170=HZ$169,1,IF($FN170&lt;HZ$169,INDEX($FO$170:$IH$241,HZ$169,$FN170),SUMPRODUCT(INDEX($FO$325:$IH$396,HZ$169,1+SwaptionShift):INDEX($FO$325:$IH$396,HZ$169,SwaptionMonthsToGo+SwaptionShift),INDEX($FO$245:$IH$316,$FN170-HZ$169,73-HZ$169+SwaptionShift):INDEX($FO$245:$IH$316,$FN170-HZ$169,72-HZ$169+SwaptionMonthsToGo+SwaptionShift))/SQRT(SUM(INDEX($FO325:$IH325,1+SwaptionShift):INDEX($FO325:$IH325,SwaptionMonthsToGo+SwaptionShift))*SUM(INDEX($FO$325:$IH$396,HZ$169,1+SwaptionShift):INDEX($FO$325:$IH$396,HZ$169,SwaptionMonthsToGo+SwaptionShift))))))</f>
        <v/>
      </c>
      <c r="IA170" s="469" t="str">
        <f ca="1">IF(OR(IA$169&lt;SwaptionFirstMonthPosition+1,$FN170&lt;SwaptionFirstMonthPosition+1,IA$169&gt;SwaptionFirstMonthPosition+SwaptionNumOfMonths+1,$FN170&gt;SwaptionFirstMonthPosition+SwaptionNumOfMonths+1),"",IF($FN170=IA$169,1,IF($FN170&lt;IA$169,INDEX($FO$170:$IH$241,IA$169,$FN170),SUMPRODUCT(INDEX($FO$325:$IH$396,IA$169,1+SwaptionShift):INDEX($FO$325:$IH$396,IA$169,SwaptionMonthsToGo+SwaptionShift),INDEX($FO$245:$IH$316,$FN170-IA$169,73-IA$169+SwaptionShift):INDEX($FO$245:$IH$316,$FN170-IA$169,72-IA$169+SwaptionMonthsToGo+SwaptionShift))/SQRT(SUM(INDEX($FO325:$IH325,1+SwaptionShift):INDEX($FO325:$IH325,SwaptionMonthsToGo+SwaptionShift))*SUM(INDEX($FO$325:$IH$396,IA$169,1+SwaptionShift):INDEX($FO$325:$IH$396,IA$169,SwaptionMonthsToGo+SwaptionShift))))))</f>
        <v/>
      </c>
      <c r="IB170" s="469" t="str">
        <f ca="1">IF(OR(IB$169&lt;SwaptionFirstMonthPosition+1,$FN170&lt;SwaptionFirstMonthPosition+1,IB$169&gt;SwaptionFirstMonthPosition+SwaptionNumOfMonths+1,$FN170&gt;SwaptionFirstMonthPosition+SwaptionNumOfMonths+1),"",IF($FN170=IB$169,1,IF($FN170&lt;IB$169,INDEX($FO$170:$IH$241,IB$169,$FN170),SUMPRODUCT(INDEX($FO$325:$IH$396,IB$169,1+SwaptionShift):INDEX($FO$325:$IH$396,IB$169,SwaptionMonthsToGo+SwaptionShift),INDEX($FO$245:$IH$316,$FN170-IB$169,73-IB$169+SwaptionShift):INDEX($FO$245:$IH$316,$FN170-IB$169,72-IB$169+SwaptionMonthsToGo+SwaptionShift))/SQRT(SUM(INDEX($FO325:$IH325,1+SwaptionShift):INDEX($FO325:$IH325,SwaptionMonthsToGo+SwaptionShift))*SUM(INDEX($FO$325:$IH$396,IB$169,1+SwaptionShift):INDEX($FO$325:$IH$396,IB$169,SwaptionMonthsToGo+SwaptionShift))))))</f>
        <v/>
      </c>
      <c r="IC170" s="469" t="str">
        <f ca="1">IF(OR(IC$169&lt;SwaptionFirstMonthPosition+1,$FN170&lt;SwaptionFirstMonthPosition+1,IC$169&gt;SwaptionFirstMonthPosition+SwaptionNumOfMonths+1,$FN170&gt;SwaptionFirstMonthPosition+SwaptionNumOfMonths+1),"",IF($FN170=IC$169,1,IF($FN170&lt;IC$169,INDEX($FO$170:$IH$241,IC$169,$FN170),SUMPRODUCT(INDEX($FO$325:$IH$396,IC$169,1+SwaptionShift):INDEX($FO$325:$IH$396,IC$169,SwaptionMonthsToGo+SwaptionShift),INDEX($FO$245:$IH$316,$FN170-IC$169,73-IC$169+SwaptionShift):INDEX($FO$245:$IH$316,$FN170-IC$169,72-IC$169+SwaptionMonthsToGo+SwaptionShift))/SQRT(SUM(INDEX($FO325:$IH325,1+SwaptionShift):INDEX($FO325:$IH325,SwaptionMonthsToGo+SwaptionShift))*SUM(INDEX($FO$325:$IH$396,IC$169,1+SwaptionShift):INDEX($FO$325:$IH$396,IC$169,SwaptionMonthsToGo+SwaptionShift))))))</f>
        <v/>
      </c>
      <c r="ID170" s="469" t="str">
        <f ca="1">IF(OR(ID$169&lt;SwaptionFirstMonthPosition+1,$FN170&lt;SwaptionFirstMonthPosition+1,ID$169&gt;SwaptionFirstMonthPosition+SwaptionNumOfMonths+1,$FN170&gt;SwaptionFirstMonthPosition+SwaptionNumOfMonths+1),"",IF($FN170=ID$169,1,IF($FN170&lt;ID$169,INDEX($FO$170:$IH$241,ID$169,$FN170),SUMPRODUCT(INDEX($FO$325:$IH$396,ID$169,1+SwaptionShift):INDEX($FO$325:$IH$396,ID$169,SwaptionMonthsToGo+SwaptionShift),INDEX($FO$245:$IH$316,$FN170-ID$169,73-ID$169+SwaptionShift):INDEX($FO$245:$IH$316,$FN170-ID$169,72-ID$169+SwaptionMonthsToGo+SwaptionShift))/SQRT(SUM(INDEX($FO325:$IH325,1+SwaptionShift):INDEX($FO325:$IH325,SwaptionMonthsToGo+SwaptionShift))*SUM(INDEX($FO$325:$IH$396,ID$169,1+SwaptionShift):INDEX($FO$325:$IH$396,ID$169,SwaptionMonthsToGo+SwaptionShift))))))</f>
        <v/>
      </c>
      <c r="IE170" s="469" t="str">
        <f ca="1">IF(OR(IE$169&lt;SwaptionFirstMonthPosition+1,$FN170&lt;SwaptionFirstMonthPosition+1,IE$169&gt;SwaptionFirstMonthPosition+SwaptionNumOfMonths+1,$FN170&gt;SwaptionFirstMonthPosition+SwaptionNumOfMonths+1),"",IF($FN170=IE$169,1,IF($FN170&lt;IE$169,INDEX($FO$170:$IH$241,IE$169,$FN170),SUMPRODUCT(INDEX($FO$325:$IH$396,IE$169,1+SwaptionShift):INDEX($FO$325:$IH$396,IE$169,SwaptionMonthsToGo+SwaptionShift),INDEX($FO$245:$IH$316,$FN170-IE$169,73-IE$169+SwaptionShift):INDEX($FO$245:$IH$316,$FN170-IE$169,72-IE$169+SwaptionMonthsToGo+SwaptionShift))/SQRT(SUM(INDEX($FO325:$IH325,1+SwaptionShift):INDEX($FO325:$IH325,SwaptionMonthsToGo+SwaptionShift))*SUM(INDEX($FO$325:$IH$396,IE$169,1+SwaptionShift):INDEX($FO$325:$IH$396,IE$169,SwaptionMonthsToGo+SwaptionShift))))))</f>
        <v/>
      </c>
      <c r="IF170" s="469" t="str">
        <f ca="1">IF(OR(IF$169&lt;SwaptionFirstMonthPosition+1,$FN170&lt;SwaptionFirstMonthPosition+1,IF$169&gt;SwaptionFirstMonthPosition+SwaptionNumOfMonths+1,$FN170&gt;SwaptionFirstMonthPosition+SwaptionNumOfMonths+1),"",IF($FN170=IF$169,1,IF($FN170&lt;IF$169,INDEX($FO$170:$IH$241,IF$169,$FN170),SUMPRODUCT(INDEX($FO$325:$IH$396,IF$169,1+SwaptionShift):INDEX($FO$325:$IH$396,IF$169,SwaptionMonthsToGo+SwaptionShift),INDEX($FO$245:$IH$316,$FN170-IF$169,73-IF$169+SwaptionShift):INDEX($FO$245:$IH$316,$FN170-IF$169,72-IF$169+SwaptionMonthsToGo+SwaptionShift))/SQRT(SUM(INDEX($FO325:$IH325,1+SwaptionShift):INDEX($FO325:$IH325,SwaptionMonthsToGo+SwaptionShift))*SUM(INDEX($FO$325:$IH$396,IF$169,1+SwaptionShift):INDEX($FO$325:$IH$396,IF$169,SwaptionMonthsToGo+SwaptionShift))))))</f>
        <v/>
      </c>
      <c r="IG170" s="469" t="str">
        <f ca="1">IF(OR(IG$169&lt;SwaptionFirstMonthPosition+1,$FN170&lt;SwaptionFirstMonthPosition+1,IG$169&gt;SwaptionFirstMonthPosition+SwaptionNumOfMonths+1,$FN170&gt;SwaptionFirstMonthPosition+SwaptionNumOfMonths+1),"",IF($FN170=IG$169,1,IF($FN170&lt;IG$169,INDEX($FO$170:$IH$241,IG$169,$FN170),SUMPRODUCT(INDEX($FO$325:$IH$396,IG$169,1+SwaptionShift):INDEX($FO$325:$IH$396,IG$169,SwaptionMonthsToGo+SwaptionShift),INDEX($FO$245:$IH$316,$FN170-IG$169,73-IG$169+SwaptionShift):INDEX($FO$245:$IH$316,$FN170-IG$169,72-IG$169+SwaptionMonthsToGo+SwaptionShift))/SQRT(SUM(INDEX($FO325:$IH325,1+SwaptionShift):INDEX($FO325:$IH325,SwaptionMonthsToGo+SwaptionShift))*SUM(INDEX($FO$325:$IH$396,IG$169,1+SwaptionShift):INDEX($FO$325:$IH$396,IG$169,SwaptionMonthsToGo+SwaptionShift))))))</f>
        <v/>
      </c>
      <c r="IH170" s="662" t="str">
        <f ca="1">IF(OR(IH$169&lt;SwaptionFirstMonthPosition+1,$FN170&lt;SwaptionFirstMonthPosition+1,IH$169&gt;SwaptionFirstMonthPosition+SwaptionNumOfMonths+1,$FN170&gt;SwaptionFirstMonthPosition+SwaptionNumOfMonths+1),"",IF($FN170=IH$169,1,IF($FN170&lt;IH$169,INDEX($FO$170:$IH$241,IH$169,$FN170),SUMPRODUCT(INDEX($FO$325:$IH$396,IH$169,1+SwaptionShift):INDEX($FO$325:$IH$396,IH$169,SwaptionMonthsToGo+SwaptionShift),INDEX($FO$245:$IH$316,$FN170-IH$169,73-IH$169+SwaptionShift):INDEX($FO$245:$IH$316,$FN170-IH$169,72-IH$169+SwaptionMonthsToGo+SwaptionShift))/SQRT(SUM(INDEX($FO325:$IH325,1+SwaptionShift):INDEX($FO325:$IH325,SwaptionMonthsToGo+SwaptionShift))*SUM(INDEX($FO$325:$IH$396,IH$169,1+SwaptionShift):INDEX($FO$325:$IH$396,IH$169,SwaptionMonthsToGo+SwaptionShift))))))</f>
        <v/>
      </c>
      <c r="II170" s="242"/>
    </row>
    <row r="171" spans="8:243">
      <c r="H171" s="49" t="e">
        <f t="shared" ca="1" si="529"/>
        <v>#N/A</v>
      </c>
      <c r="I171" s="369">
        <f t="shared" si="530"/>
        <v>41609</v>
      </c>
      <c r="J171" s="367">
        <v>23.159999999999901</v>
      </c>
      <c r="K171" s="101" t="s">
        <v>267</v>
      </c>
      <c r="L171" s="382">
        <f t="shared" si="531"/>
        <v>23.159999999999915</v>
      </c>
      <c r="M171" s="163">
        <v>0.1507</v>
      </c>
      <c r="N171" s="372">
        <v>0</v>
      </c>
      <c r="O171" s="163">
        <f t="shared" si="488"/>
        <v>0.1507</v>
      </c>
      <c r="P171" s="367">
        <v>21.921660166337901</v>
      </c>
      <c r="Q171" s="101" t="s">
        <v>267</v>
      </c>
      <c r="R171" s="367">
        <f t="shared" ca="1" si="549"/>
        <v>21.921660166337929</v>
      </c>
      <c r="S171" s="814">
        <f t="shared" si="474"/>
        <v>0.3510725893619433</v>
      </c>
      <c r="T171" s="813">
        <f t="shared" si="550"/>
        <v>0.99999999038267506</v>
      </c>
      <c r="U171" s="532">
        <f t="shared" si="551"/>
        <v>0.99999999999999978</v>
      </c>
      <c r="V171" s="379">
        <v>0</v>
      </c>
      <c r="W171" s="424">
        <f t="shared" si="489"/>
        <v>23.192142857142759</v>
      </c>
      <c r="X171" s="405">
        <f t="shared" si="490"/>
        <v>23.192142857142773</v>
      </c>
      <c r="Y171" s="313">
        <f t="shared" si="491"/>
        <v>21.950542857142757</v>
      </c>
      <c r="Z171" s="313">
        <f t="shared" ca="1" si="492"/>
        <v>21.950542857142771</v>
      </c>
      <c r="AA171" s="419">
        <f t="shared" si="493"/>
        <v>1.2416</v>
      </c>
      <c r="AB171" s="423">
        <f t="shared" ca="1" si="494"/>
        <v>1.2416</v>
      </c>
      <c r="AC171" s="221">
        <v>41598</v>
      </c>
      <c r="AD171" s="221">
        <v>41594</v>
      </c>
      <c r="AE171" s="221">
        <v>41593</v>
      </c>
      <c r="AF171" s="221">
        <v>41589</v>
      </c>
      <c r="AG171" s="241" t="s">
        <v>497</v>
      </c>
      <c r="AH171" s="239" t="s">
        <v>497</v>
      </c>
      <c r="AI171" s="141">
        <v>21</v>
      </c>
      <c r="AJ171" s="41">
        <v>15</v>
      </c>
      <c r="AK171" s="41">
        <v>6</v>
      </c>
      <c r="AL171" s="285">
        <v>21</v>
      </c>
      <c r="AM171" s="41">
        <v>10</v>
      </c>
      <c r="AN171" s="142">
        <v>11</v>
      </c>
      <c r="AO171" s="364">
        <v>6.0701954207962802E-2</v>
      </c>
      <c r="AP171" s="145">
        <f t="shared" ca="1" si="532"/>
        <v>0.46713467353812982</v>
      </c>
      <c r="AQ171" s="364">
        <v>5.3318666543225507E-2</v>
      </c>
      <c r="AR171" s="145">
        <f t="shared" ca="1" si="552"/>
        <v>0.51515745320045891</v>
      </c>
      <c r="AS171" s="264">
        <f t="shared" si="495"/>
        <v>0.15018571428571428</v>
      </c>
      <c r="AT171" s="149">
        <f t="shared" si="533"/>
        <v>0.1507</v>
      </c>
      <c r="AU171" s="149">
        <f t="shared" si="496"/>
        <v>0.15009047619047622</v>
      </c>
      <c r="AV171" s="263">
        <f t="shared" ca="1" si="560"/>
        <v>0.14842145203219667</v>
      </c>
      <c r="AW171" s="150" t="str">
        <f t="shared" ca="1" si="497"/>
        <v/>
      </c>
      <c r="AX171" s="149">
        <f t="shared" ca="1" si="553"/>
        <v>7.7188129211735361E-3</v>
      </c>
      <c r="AY171" s="149">
        <f t="shared" ca="1" si="554"/>
        <v>2.8399544877499971E-3</v>
      </c>
      <c r="AZ171" s="149">
        <f t="shared" ca="1" si="555"/>
        <v>2.5720016310052706E-3</v>
      </c>
      <c r="BA171" s="149">
        <f t="shared" ca="1" si="556"/>
        <v>1.0000000000000697E-4</v>
      </c>
      <c r="BB171" s="149">
        <f t="shared" ca="1" si="557"/>
        <v>1.0000000000000697E-4</v>
      </c>
      <c r="BC171" s="149">
        <f t="shared" ca="1" si="558"/>
        <v>1.0000000000000697E-4</v>
      </c>
      <c r="BD171" s="143">
        <f t="shared" ca="1" si="498"/>
        <v>0</v>
      </c>
      <c r="BE171" s="144">
        <f t="shared" ca="1" si="499"/>
        <v>0</v>
      </c>
      <c r="BF171" s="40">
        <f t="shared" si="500"/>
        <v>2013</v>
      </c>
      <c r="BG171" s="139">
        <f t="shared" si="501"/>
        <v>12</v>
      </c>
      <c r="BH171" s="140">
        <f t="shared" ca="1" si="502"/>
        <v>4604</v>
      </c>
      <c r="BI171" s="304">
        <f t="shared" ca="1" si="570"/>
        <v>12.646132785763175</v>
      </c>
      <c r="BJ171" s="42">
        <f t="shared" ca="1" si="503"/>
        <v>12.704801016916006</v>
      </c>
      <c r="BK171" s="42">
        <f t="shared" ca="1" si="504"/>
        <v>12.707538867703139</v>
      </c>
      <c r="BL171" s="42">
        <f t="shared" ca="1" si="571"/>
        <v>12.728268309377139</v>
      </c>
      <c r="BM171" s="285">
        <f t="shared" si="572"/>
        <v>21</v>
      </c>
      <c r="BN171" s="41">
        <f t="shared" si="573"/>
        <v>15</v>
      </c>
      <c r="BO171" s="41">
        <f t="shared" si="574"/>
        <v>6</v>
      </c>
      <c r="BP171" s="297" t="str">
        <f t="shared" ca="1" si="505"/>
        <v/>
      </c>
      <c r="BQ171" s="297" t="str">
        <f t="shared" ca="1" si="506"/>
        <v/>
      </c>
      <c r="BR171" s="299" t="str">
        <f t="shared" ca="1" si="507"/>
        <v/>
      </c>
      <c r="BS171" s="153" t="str">
        <f t="shared" ca="1" si="508"/>
        <v/>
      </c>
      <c r="BT171" s="153" t="str">
        <f t="shared" ca="1" si="509"/>
        <v/>
      </c>
      <c r="BU171" s="300" t="str">
        <f t="shared" ca="1" si="510"/>
        <v/>
      </c>
      <c r="BV171" s="301" t="str">
        <f t="shared" ca="1" si="511"/>
        <v/>
      </c>
      <c r="BW171" s="300" t="str">
        <f t="shared" ca="1" si="512"/>
        <v/>
      </c>
      <c r="BX171" s="301" t="str">
        <f t="shared" ca="1" si="513"/>
        <v/>
      </c>
      <c r="BY171" s="146" t="str">
        <f t="shared" ca="1" si="514"/>
        <v/>
      </c>
      <c r="BZ171" s="146" t="str">
        <f t="shared" ca="1" si="515"/>
        <v/>
      </c>
      <c r="CA171" s="146" t="str">
        <f t="shared" ca="1" si="516"/>
        <v/>
      </c>
      <c r="CB171" s="146" t="str">
        <f t="shared" ca="1" si="517"/>
        <v/>
      </c>
      <c r="CC171" s="302">
        <v>1</v>
      </c>
      <c r="CD171" s="154">
        <f ca="1">IF(BD171,_xll.xCrudeAPO(BS171,BT171,BY171,BZ171,S172,S173,BI171,BL171,BN171,BO171,0,Strike1,AO171,CC171,0,BL171,IF(OptControl=4,0,1),0,1),0)</f>
        <v>0</v>
      </c>
      <c r="CE171" s="155">
        <f ca="1">IF(BD171,_xll.xCrudeAPO(BS171,BT171,BY171,BZ171,S172,S173,BI171,BL171,BN171,BO171,0,Strike1,AO171,CC171,0,BL171,IF(OptControl=4,0,1),1,1)+_xll.xCrudeAPO(BS171,BT171,BY171,BZ171,S172,S173,BI171,BL171,BN171,BO171,0,Strike1,AO171,CC171,0,BL171,IF(OptControl=4,0,1),1,2)+IF(OR(VolSkewFlag=2,ABS(BQ171)&lt;0.0001),0,IF(BQ171&gt;0,-1,1)*CF171*Strike1/BP171^2*BW171/10%),0)</f>
        <v>0</v>
      </c>
      <c r="CF171" s="155">
        <f ca="1">IF(BD171,(_xll.xCrudeAPO(BS171,BT171,BY171,BZ171,S172,S173,BI171,BL171,BN171,BO171,0,Strike1,AO171,CC171,0,BL171,IF(OptControl=4,0,1),3,1)+_xll.xCrudeAPO(BS171,BT171,BY171,BZ171,S172,S173,BI171,BL171,BN171,BO171,0,Strike1,AO171,CC171,0,BL171,IF(OptControl=4,0,1),3,2))/100,0)</f>
        <v>0</v>
      </c>
      <c r="CG171" s="155">
        <f ca="1">IF(BD171,_xll.xCrudeAPO(BS171,BT171,BY171,BZ171,S172,S173,BI171-DaysForThetaCalculation/365.25,BL171-DaysForThetaCalculation/365.25,BN171,BO171,0,Strike1,AO171,CC171,0,BL171,IF(OptControl=4,0,1),0,1)-_xll.xCrudeAPO(BS171,BT171,BY171,BZ171,S172,S173,BI171,BL171,BN171,BO171,0,Strike1,AO171,CC171,0,BL171,IF(OptControl=4,0,1),0,1),0)</f>
        <v>0</v>
      </c>
      <c r="CH171" s="303">
        <f ca="1">IF(BD171,_xll.xCrudeAPO(BS171,BT171,CA171,CB171,S172,S173,BI171,BL171,BN171,BO171,0,Strike2,AO171,CC171,0,BL171,IF(OptControl=3,1,0),0,1),0)</f>
        <v>0</v>
      </c>
      <c r="CI171" s="155">
        <f ca="1">IF(BD171,_xll.xCrudeAPO(BS171,BT171,CA171,CB171,S172,S173,BI171,BL171,BN171,BO171,0,Strike2,AO171,CC171,0,BL171,IF(OptControl=3,1,0),1,1)+_xll.xCrudeAPO(BS171,BT171,CA171,CB171,S172,S173,BI171,BL171,BN171,BO171,0,Strike2,AO171,CC171,0,BL171,IF(OptControl=3,1,0),1,2)+IF(OR(VolSkewFlag=2,ABS(BR171)&lt;0.0001),0,IF(BR171&gt;0,-1,1)*CJ171*Strike2/BP171^2*BX171/10%),0)</f>
        <v>0</v>
      </c>
      <c r="CJ171" s="155">
        <f ca="1">IF(BD171,(_xll.xCrudeAPO(BS171,BT171,CA171,CB171,S172,S173,BI171,BL171,BN171,BO171,0,Strike2,AO171,CC171,0,BL171,IF(OptControl=3,1,0),3,1)+_xll.xCrudeAPO(BS171,BT171,CA171,CB171,S172,S173,BI171,BL171,BN171,BO171,0,Strike2,AO171,CC171,0,BL171,IF(OptControl=3,1,0),3,2))/100,0)</f>
        <v>0</v>
      </c>
      <c r="CK171" s="156">
        <f ca="1">IF(BD171,_xll.xCrudeAPO(BS171,BT171,CA171,CB171,S172,S173,BI171-DaysForThetaCalculation/365.25,BL171-DaysForThetaCalculation/365.25,BN171,BO171,0,Strike2,AO171,CC171,0,BL171,IF(OptControl=3,1,0),0,1)-_xll.xCrudeAPO(BS171,BT171,CA171,CB171,S172,S173,BI171,BL171,BN171,BO171,0,Strike2,AO171,CC171,0,BL171,IF(OptControl=3,1,0),0,1),0)</f>
        <v>0</v>
      </c>
      <c r="CL171" s="51"/>
      <c r="CM171" s="779" t="str">
        <f t="shared" ca="1" si="534"/>
        <v/>
      </c>
      <c r="CN171" s="783" t="str">
        <f t="shared" ca="1" si="535"/>
        <v/>
      </c>
      <c r="CO171" s="780" t="str">
        <f t="shared" ca="1" si="536"/>
        <v/>
      </c>
      <c r="CP171" s="780" t="str">
        <f t="shared" ca="1" si="537"/>
        <v/>
      </c>
      <c r="CQ171" s="780" t="str">
        <f t="shared" ca="1" si="538"/>
        <v/>
      </c>
      <c r="CR171" s="780" t="str">
        <f t="shared" ca="1" si="539"/>
        <v/>
      </c>
      <c r="CS171" s="781" t="str">
        <f t="shared" ca="1" si="540"/>
        <v/>
      </c>
      <c r="CT171" s="782" t="str">
        <f t="shared" ca="1" si="541"/>
        <v/>
      </c>
      <c r="CU171" s="782" t="str">
        <f t="shared" ca="1" si="542"/>
        <v/>
      </c>
      <c r="CV171" s="155">
        <f ca="1">IF(BD171,_xll.EURO(CN171,Strike1,AO171,AO171,CT171,CM171,IF(OptControl=4,0,1),0),0)</f>
        <v>0</v>
      </c>
      <c r="CW171" s="155">
        <f ca="1">IF(BD171,_xll.EURO(CN171,Strike1,AO171,AO171,CT171,CM171,IF(OptControl=4,0,1),1)+IF(OR(VolSkewFlag=2,ABS(CO171)&lt;0.0001),0,IF(CO171&gt;0,-1,1)*CX171*100*Strike1/CN171^2*CQ171/10%),0)</f>
        <v>0</v>
      </c>
      <c r="CX171" s="155">
        <f ca="1">IF(BD171,_xll.EURO(CN171,Strike1,AO171,AO171,CT171,CM171,IF(OptControl=4,0,1),3)/100,0)</f>
        <v>0</v>
      </c>
      <c r="CY171" s="155">
        <f ca="1">IF(BD171,_xll.EURO(CN171,Strike1,AO171,AO171,CT171,CM171,IF(OptControl=4,0,1),0)-_xll.EURO(CN171,Strike1,AO171,AO171,CT171,CM171-1,IF(OptControl=4,0,1),0),0)</f>
        <v>0</v>
      </c>
      <c r="CZ171" s="155">
        <f ca="1">IF(BD171,_xll.EURO(CN171,Strike2,AO171,AO171,CU171,CM171,IF(OptControl=3,1,0),0),0)</f>
        <v>0</v>
      </c>
      <c r="DA171" s="155">
        <f ca="1">IF(BD171,_xll.EURO(CN171,Strike2,AO171,AO171,CU171,CM171,IF(OptControl=3,1,0),1)+IF(OR(VolSkewFlag=2,ABS(CP171)&lt;0.0001),0,IF(CP171&gt;0,-1,1)*DB171*100*Strike2/CN171^2*CR171/10%),0)</f>
        <v>0</v>
      </c>
      <c r="DB171" s="155">
        <f ca="1">IF(BD171,_xll.EURO(CN171,Strike2,AO171,AO171,CU171,CM171,IF(OptControl=3,1,0),3)/100,0)</f>
        <v>0</v>
      </c>
      <c r="DC171" s="156">
        <f ca="1">IF(BD171,_xll.EURO(CN171,Strike2,AO171,AO171,CU171,CM171,IF(OptControl=3,1,0),0)-_xll.EURO(CN171,Strike2,AO171,AO171,CU171,CM171-1,IF(OptControl=3,1,0),0),0)</f>
        <v>0</v>
      </c>
      <c r="DE171" s="651">
        <f t="shared" ca="1" si="543"/>
        <v>41518</v>
      </c>
      <c r="DF171" s="465">
        <v>1E-4</v>
      </c>
      <c r="DG171" s="649">
        <v>1E-4</v>
      </c>
      <c r="DH171" s="650">
        <f t="shared" ca="1" si="518"/>
        <v>41518</v>
      </c>
      <c r="DI171" s="465">
        <v>1E-4</v>
      </c>
      <c r="DJ171" s="649">
        <v>1E-4</v>
      </c>
      <c r="DK171" s="651">
        <f t="shared" ca="1" si="519"/>
        <v>41518</v>
      </c>
      <c r="DL171" s="652">
        <f t="shared" si="520"/>
        <v>5.0100000000000006E-2</v>
      </c>
      <c r="DM171" s="651">
        <f t="shared" ca="1" si="544"/>
        <v>41518</v>
      </c>
      <c r="DN171" s="563">
        <f t="shared" si="545"/>
        <v>-0.12990000000000002</v>
      </c>
      <c r="DO171" s="803">
        <v>-0.13</v>
      </c>
      <c r="DP171" s="650">
        <f t="shared" ca="1" si="521"/>
        <v>41518</v>
      </c>
      <c r="DQ171" s="653">
        <v>1E-4</v>
      </c>
      <c r="DR171" s="590">
        <v>1E-4</v>
      </c>
      <c r="DS171" s="650">
        <f t="shared" ca="1" si="522"/>
        <v>41518</v>
      </c>
      <c r="DT171" s="653">
        <v>1E-4</v>
      </c>
      <c r="DU171" s="590">
        <v>1E-4</v>
      </c>
      <c r="DV171" s="651">
        <f t="shared" ca="1" si="523"/>
        <v>41518</v>
      </c>
      <c r="DW171" s="590">
        <v>1E-4</v>
      </c>
      <c r="DX171" s="651">
        <f t="shared" ca="1" si="546"/>
        <v>41518</v>
      </c>
      <c r="DY171" s="590">
        <f t="shared" si="547"/>
        <v>1E-4</v>
      </c>
      <c r="DZ171" s="1"/>
      <c r="EA171" s="857"/>
      <c r="EB171" s="857"/>
      <c r="EC171" s="857"/>
      <c r="ED171" s="868" t="e">
        <f t="shared" ca="1" si="566"/>
        <v>#NAME?</v>
      </c>
      <c r="EE171" s="863" t="e">
        <f t="shared" ca="1" si="524"/>
        <v>#NAME?</v>
      </c>
      <c r="EF171" s="590" t="e">
        <f t="shared" ca="1" si="525"/>
        <v>#NAME?</v>
      </c>
      <c r="EG171" s="862" t="str">
        <f t="shared" ca="1" si="526"/>
        <v/>
      </c>
      <c r="EH171" s="114" t="str">
        <f t="shared" ca="1" si="527"/>
        <v/>
      </c>
      <c r="EI171" s="109" t="str">
        <f t="shared" ca="1" si="528"/>
        <v/>
      </c>
      <c r="EJ171" s="115">
        <f ca="1">IF(BD171,_xll.xASN(BP171,Strike1,AO171,EH171,0,BM171,0,BI171,BL171,IF(OptControl=4,0,1),0),0)</f>
        <v>0</v>
      </c>
      <c r="EK171" s="108">
        <f ca="1">IF(BD171,_xll.xASN(BP171,Strike2,AO171,EI171,0,BM171,0,BI171,BL171,IF(OptControl=3,1,0),0),0)</f>
        <v>0</v>
      </c>
      <c r="EP171" s="53"/>
      <c r="EQ171" s="1"/>
      <c r="ER171" s="103"/>
      <c r="ES171" s="103"/>
      <c r="ET171" s="1"/>
      <c r="EU171" s="667" t="s">
        <v>383</v>
      </c>
      <c r="EW171" s="445"/>
      <c r="EX171" s="36"/>
      <c r="EY171" s="104"/>
      <c r="EZ171" s="465"/>
      <c r="FA171" s="446"/>
      <c r="FB171" s="446"/>
      <c r="FC171" s="242"/>
      <c r="FD171" s="242"/>
      <c r="FE171" s="242"/>
      <c r="FF171" s="242"/>
      <c r="FG171" s="242"/>
      <c r="FH171" s="242"/>
      <c r="FI171" s="242"/>
      <c r="FJ171" s="242"/>
      <c r="FK171" s="242"/>
      <c r="FL171" s="242"/>
      <c r="FM171" s="242"/>
      <c r="FN171" s="657">
        <v>2</v>
      </c>
      <c r="FO171" s="469" t="str">
        <f ca="1">IF(OR(FO$169&lt;SwaptionFirstMonthPosition+1,$FN171&lt;SwaptionFirstMonthPosition+1,FO$169&gt;SwaptionFirstMonthPosition+SwaptionNumOfMonths+1,$FN171&gt;SwaptionFirstMonthPosition+SwaptionNumOfMonths+1),"",IF($FN171=FO$169,1,IF($FN171&lt;FO$169,INDEX($FO$170:$IH$241,FO$169,$FN171),SUMPRODUCT(INDEX($FO$325:$IH$396,FO$169,1+SwaptionShift):INDEX($FO$325:$IH$396,FO$169,SwaptionMonthsToGo+SwaptionShift),INDEX($FO$245:$IH$316,$FN171-FO$169,73-FO$169+SwaptionShift):INDEX($FO$245:$IH$316,$FN171-FO$169,72-FO$169+SwaptionMonthsToGo+SwaptionShift))/SQRT(SUM(INDEX($FO326:$IH326,1+SwaptionShift):INDEX($FO326:$IH326,SwaptionMonthsToGo+SwaptionShift))*SUM(INDEX($FO$325:$IH$396,FO$169,1+SwaptionShift):INDEX($FO$325:$IH$396,FO$169,SwaptionMonthsToGo+SwaptionShift))))))</f>
        <v/>
      </c>
      <c r="FP171" s="469">
        <f ca="1">IF(OR(FP$169&lt;SwaptionFirstMonthPosition+1,$FN171&lt;SwaptionFirstMonthPosition+1,FP$169&gt;SwaptionFirstMonthPosition+SwaptionNumOfMonths+1,$FN171&gt;SwaptionFirstMonthPosition+SwaptionNumOfMonths+1),"",IF($FN171=FP$169,1,IF($FN171&lt;FP$169,INDEX($FO$170:$IH$241,FP$169,$FN171),SUMPRODUCT(INDEX($FO$325:$IH$396,FP$169,1+SwaptionShift):INDEX($FO$325:$IH$396,FP$169,SwaptionMonthsToGo+SwaptionShift),INDEX($FO$245:$IH$316,$FN171-FP$169,73-FP$169+SwaptionShift):INDEX($FO$245:$IH$316,$FN171-FP$169,72-FP$169+SwaptionMonthsToGo+SwaptionShift))/SQRT(SUM(INDEX($FO326:$IH326,1+SwaptionShift):INDEX($FO326:$IH326,SwaptionMonthsToGo+SwaptionShift))*SUM(INDEX($FO$325:$IH$396,FP$169,1+SwaptionShift):INDEX($FO$325:$IH$396,FP$169,SwaptionMonthsToGo+SwaptionShift))))))</f>
        <v>1</v>
      </c>
      <c r="FQ171" s="469">
        <f ca="1">IF(OR(FQ$169&lt;SwaptionFirstMonthPosition+1,$FN171&lt;SwaptionFirstMonthPosition+1,FQ$169&gt;SwaptionFirstMonthPosition+SwaptionNumOfMonths+1,$FN171&gt;SwaptionFirstMonthPosition+SwaptionNumOfMonths+1),"",IF($FN171=FQ$169,1,IF($FN171&lt;FQ$169,INDEX($FO$170:$IH$241,FQ$169,$FN171),SUMPRODUCT(INDEX($FO$325:$IH$396,FQ$169,1+SwaptionShift):INDEX($FO$325:$IH$396,FQ$169,SwaptionMonthsToGo+SwaptionShift),INDEX($FO$245:$IH$316,$FN171-FQ$169,73-FQ$169+SwaptionShift):INDEX($FO$245:$IH$316,$FN171-FQ$169,72-FQ$169+SwaptionMonthsToGo+SwaptionShift))/SQRT(SUM(INDEX($FO326:$IH326,1+SwaptionShift):INDEX($FO326:$IH326,SwaptionMonthsToGo+SwaptionShift))*SUM(INDEX($FO$325:$IH$396,FQ$169,1+SwaptionShift):INDEX($FO$325:$IH$396,FQ$169,SwaptionMonthsToGo+SwaptionShift))))))</f>
        <v>0.98098349874030955</v>
      </c>
      <c r="FR171" s="469">
        <f ca="1">IF(OR(FR$169&lt;SwaptionFirstMonthPosition+1,$FN171&lt;SwaptionFirstMonthPosition+1,FR$169&gt;SwaptionFirstMonthPosition+SwaptionNumOfMonths+1,$FN171&gt;SwaptionFirstMonthPosition+SwaptionNumOfMonths+1),"",IF($FN171=FR$169,1,IF($FN171&lt;FR$169,INDEX($FO$170:$IH$241,FR$169,$FN171),SUMPRODUCT(INDEX($FO$325:$IH$396,FR$169,1+SwaptionShift):INDEX($FO$325:$IH$396,FR$169,SwaptionMonthsToGo+SwaptionShift),INDEX($FO$245:$IH$316,$FN171-FR$169,73-FR$169+SwaptionShift):INDEX($FO$245:$IH$316,$FN171-FR$169,72-FR$169+SwaptionMonthsToGo+SwaptionShift))/SQRT(SUM(INDEX($FO326:$IH326,1+SwaptionShift):INDEX($FO326:$IH326,SwaptionMonthsToGo+SwaptionShift))*SUM(INDEX($FO$325:$IH$396,FR$169,1+SwaptionShift):INDEX($FO$325:$IH$396,FR$169,SwaptionMonthsToGo+SwaptionShift))))))</f>
        <v>0.96568923249892225</v>
      </c>
      <c r="FS171" s="469">
        <f ca="1">IF(OR(FS$169&lt;SwaptionFirstMonthPosition+1,$FN171&lt;SwaptionFirstMonthPosition+1,FS$169&gt;SwaptionFirstMonthPosition+SwaptionNumOfMonths+1,$FN171&gt;SwaptionFirstMonthPosition+SwaptionNumOfMonths+1),"",IF($FN171=FS$169,1,IF($FN171&lt;FS$169,INDEX($FO$170:$IH$241,FS$169,$FN171),SUMPRODUCT(INDEX($FO$325:$IH$396,FS$169,1+SwaptionShift):INDEX($FO$325:$IH$396,FS$169,SwaptionMonthsToGo+SwaptionShift),INDEX($FO$245:$IH$316,$FN171-FS$169,73-FS$169+SwaptionShift):INDEX($FO$245:$IH$316,$FN171-FS$169,72-FS$169+SwaptionMonthsToGo+SwaptionShift))/SQRT(SUM(INDEX($FO326:$IH326,1+SwaptionShift):INDEX($FO326:$IH326,SwaptionMonthsToGo+SwaptionShift))*SUM(INDEX($FO$325:$IH$396,FS$169,1+SwaptionShift):INDEX($FO$325:$IH$396,FS$169,SwaptionMonthsToGo+SwaptionShift))))))</f>
        <v>0.95324503657131987</v>
      </c>
      <c r="FT171" s="469">
        <f ca="1">IF(OR(FT$169&lt;SwaptionFirstMonthPosition+1,$FN171&lt;SwaptionFirstMonthPosition+1,FT$169&gt;SwaptionFirstMonthPosition+SwaptionNumOfMonths+1,$FN171&gt;SwaptionFirstMonthPosition+SwaptionNumOfMonths+1),"",IF($FN171=FT$169,1,IF($FN171&lt;FT$169,INDEX($FO$170:$IH$241,FT$169,$FN171),SUMPRODUCT(INDEX($FO$325:$IH$396,FT$169,1+SwaptionShift):INDEX($FO$325:$IH$396,FT$169,SwaptionMonthsToGo+SwaptionShift),INDEX($FO$245:$IH$316,$FN171-FT$169,73-FT$169+SwaptionShift):INDEX($FO$245:$IH$316,$FN171-FT$169,72-FT$169+SwaptionMonthsToGo+SwaptionShift))/SQRT(SUM(INDEX($FO326:$IH326,1+SwaptionShift):INDEX($FO326:$IH326,SwaptionMonthsToGo+SwaptionShift))*SUM(INDEX($FO$325:$IH$396,FT$169,1+SwaptionShift):INDEX($FO$325:$IH$396,FT$169,SwaptionMonthsToGo+SwaptionShift))))))</f>
        <v>0.94301103428841015</v>
      </c>
      <c r="FU171" s="469">
        <f ca="1">IF(OR(FU$169&lt;SwaptionFirstMonthPosition+1,$FN171&lt;SwaptionFirstMonthPosition+1,FU$169&gt;SwaptionFirstMonthPosition+SwaptionNumOfMonths+1,$FN171&gt;SwaptionFirstMonthPosition+SwaptionNumOfMonths+1),"",IF($FN171=FU$169,1,IF($FN171&lt;FU$169,INDEX($FO$170:$IH$241,FU$169,$FN171),SUMPRODUCT(INDEX($FO$325:$IH$396,FU$169,1+SwaptionShift):INDEX($FO$325:$IH$396,FU$169,SwaptionMonthsToGo+SwaptionShift),INDEX($FO$245:$IH$316,$FN171-FU$169,73-FU$169+SwaptionShift):INDEX($FO$245:$IH$316,$FN171-FU$169,72-FU$169+SwaptionMonthsToGo+SwaptionShift))/SQRT(SUM(INDEX($FO326:$IH326,1+SwaptionShift):INDEX($FO326:$IH326,SwaptionMonthsToGo+SwaptionShift))*SUM(INDEX($FO$325:$IH$396,FU$169,1+SwaptionShift):INDEX($FO$325:$IH$396,FU$169,SwaptionMonthsToGo+SwaptionShift))))))</f>
        <v>0.93451137408109308</v>
      </c>
      <c r="FV171" s="469">
        <f ca="1">IF(OR(FV$169&lt;SwaptionFirstMonthPosition+1,$FN171&lt;SwaptionFirstMonthPosition+1,FV$169&gt;SwaptionFirstMonthPosition+SwaptionNumOfMonths+1,$FN171&gt;SwaptionFirstMonthPosition+SwaptionNumOfMonths+1),"",IF($FN171=FV$169,1,IF($FN171&lt;FV$169,INDEX($FO$170:$IH$241,FV$169,$FN171),SUMPRODUCT(INDEX($FO$325:$IH$396,FV$169,1+SwaptionShift):INDEX($FO$325:$IH$396,FV$169,SwaptionMonthsToGo+SwaptionShift),INDEX($FO$245:$IH$316,$FN171-FV$169,73-FV$169+SwaptionShift):INDEX($FO$245:$IH$316,$FN171-FV$169,72-FV$169+SwaptionMonthsToGo+SwaptionShift))/SQRT(SUM(INDEX($FO326:$IH326,1+SwaptionShift):INDEX($FO326:$IH326,SwaptionMonthsToGo+SwaptionShift))*SUM(INDEX($FO$325:$IH$396,FV$169,1+SwaptionShift):INDEX($FO$325:$IH$396,FV$169,SwaptionMonthsToGo+SwaptionShift))))))</f>
        <v>0.92738789186158133</v>
      </c>
      <c r="FW171" s="469">
        <f ca="1">IF(OR(FW$169&lt;SwaptionFirstMonthPosition+1,$FN171&lt;SwaptionFirstMonthPosition+1,FW$169&gt;SwaptionFirstMonthPosition+SwaptionNumOfMonths+1,$FN171&gt;SwaptionFirstMonthPosition+SwaptionNumOfMonths+1),"",IF($FN171=FW$169,1,IF($FN171&lt;FW$169,INDEX($FO$170:$IH$241,FW$169,$FN171),SUMPRODUCT(INDEX($FO$325:$IH$396,FW$169,1+SwaptionShift):INDEX($FO$325:$IH$396,FW$169,SwaptionMonthsToGo+SwaptionShift),INDEX($FO$245:$IH$316,$FN171-FW$169,73-FW$169+SwaptionShift):INDEX($FO$245:$IH$316,$FN171-FW$169,72-FW$169+SwaptionMonthsToGo+SwaptionShift))/SQRT(SUM(INDEX($FO326:$IH326,1+SwaptionShift):INDEX($FO326:$IH326,SwaptionMonthsToGo+SwaptionShift))*SUM(INDEX($FO$325:$IH$396,FW$169,1+SwaptionShift):INDEX($FO$325:$IH$396,FW$169,SwaptionMonthsToGo+SwaptionShift))))))</f>
        <v>0.92136802034465393</v>
      </c>
      <c r="FX171" s="469">
        <f ca="1">IF(OR(FX$169&lt;SwaptionFirstMonthPosition+1,$FN171&lt;SwaptionFirstMonthPosition+1,FX$169&gt;SwaptionFirstMonthPosition+SwaptionNumOfMonths+1,$FN171&gt;SwaptionFirstMonthPosition+SwaptionNumOfMonths+1),"",IF($FN171=FX$169,1,IF($FN171&lt;FX$169,INDEX($FO$170:$IH$241,FX$169,$FN171),SUMPRODUCT(INDEX($FO$325:$IH$396,FX$169,1+SwaptionShift):INDEX($FO$325:$IH$396,FX$169,SwaptionMonthsToGo+SwaptionShift),INDEX($FO$245:$IH$316,$FN171-FX$169,73-FX$169+SwaptionShift):INDEX($FO$245:$IH$316,$FN171-FX$169,72-FX$169+SwaptionMonthsToGo+SwaptionShift))/SQRT(SUM(INDEX($FO326:$IH326,1+SwaptionShift):INDEX($FO326:$IH326,SwaptionMonthsToGo+SwaptionShift))*SUM(INDEX($FO$325:$IH$396,FX$169,1+SwaptionShift):INDEX($FO$325:$IH$396,FX$169,SwaptionMonthsToGo+SwaptionShift))))))</f>
        <v>0.91624218599321239</v>
      </c>
      <c r="FY171" s="469">
        <f ca="1">IF(OR(FY$169&lt;SwaptionFirstMonthPosition+1,$FN171&lt;SwaptionFirstMonthPosition+1,FY$169&gt;SwaptionFirstMonthPosition+SwaptionNumOfMonths+1,$FN171&gt;SwaptionFirstMonthPosition+SwaptionNumOfMonths+1),"",IF($FN171=FY$169,1,IF($FN171&lt;FY$169,INDEX($FO$170:$IH$241,FY$169,$FN171),SUMPRODUCT(INDEX($FO$325:$IH$396,FY$169,1+SwaptionShift):INDEX($FO$325:$IH$396,FY$169,SwaptionMonthsToGo+SwaptionShift),INDEX($FO$245:$IH$316,$FN171-FY$169,73-FY$169+SwaptionShift):INDEX($FO$245:$IH$316,$FN171-FY$169,72-FY$169+SwaptionMonthsToGo+SwaptionShift))/SQRT(SUM(INDEX($FO326:$IH326,1+SwaptionShift):INDEX($FO326:$IH326,SwaptionMonthsToGo+SwaptionShift))*SUM(INDEX($FO$325:$IH$396,FY$169,1+SwaptionShift):INDEX($FO$325:$IH$396,FY$169,SwaptionMonthsToGo+SwaptionShift))))))</f>
        <v>0.91184765922894662</v>
      </c>
      <c r="FZ171" s="469">
        <f ca="1">IF(OR(FZ$169&lt;SwaptionFirstMonthPosition+1,$FN171&lt;SwaptionFirstMonthPosition+1,FZ$169&gt;SwaptionFirstMonthPosition+SwaptionNumOfMonths+1,$FN171&gt;SwaptionFirstMonthPosition+SwaptionNumOfMonths+1),"",IF($FN171=FZ$169,1,IF($FN171&lt;FZ$169,INDEX($FO$170:$IH$241,FZ$169,$FN171),SUMPRODUCT(INDEX($FO$325:$IH$396,FZ$169,1+SwaptionShift):INDEX($FO$325:$IH$396,FZ$169,SwaptionMonthsToGo+SwaptionShift),INDEX($FO$245:$IH$316,$FN171-FZ$169,73-FZ$169+SwaptionShift):INDEX($FO$245:$IH$316,$FN171-FZ$169,72-FZ$169+SwaptionMonthsToGo+SwaptionShift))/SQRT(SUM(INDEX($FO326:$IH326,1+SwaptionShift):INDEX($FO326:$IH326,SwaptionMonthsToGo+SwaptionShift))*SUM(INDEX($FO$325:$IH$396,FZ$169,1+SwaptionShift):INDEX($FO$325:$IH$396,FZ$169,SwaptionMonthsToGo+SwaptionShift))))))</f>
        <v>0.90805687418695091</v>
      </c>
      <c r="GA171" s="469">
        <f ca="1">IF(OR(GA$169&lt;SwaptionFirstMonthPosition+1,$FN171&lt;SwaptionFirstMonthPosition+1,GA$169&gt;SwaptionFirstMonthPosition+SwaptionNumOfMonths+1,$FN171&gt;SwaptionFirstMonthPosition+SwaptionNumOfMonths+1),"",IF($FN171=GA$169,1,IF($FN171&lt;GA$169,INDEX($FO$170:$IH$241,GA$169,$FN171),SUMPRODUCT(INDEX($FO$325:$IH$396,GA$169,1+SwaptionShift):INDEX($FO$325:$IH$396,GA$169,SwaptionMonthsToGo+SwaptionShift),INDEX($FO$245:$IH$316,$FN171-GA$169,73-GA$169+SwaptionShift):INDEX($FO$245:$IH$316,$FN171-GA$169,72-GA$169+SwaptionMonthsToGo+SwaptionShift))/SQRT(SUM(INDEX($FO326:$IH326,1+SwaptionShift):INDEX($FO326:$IH326,SwaptionMonthsToGo+SwaptionShift))*SUM(INDEX($FO$325:$IH$396,GA$169,1+SwaptionShift):INDEX($FO$325:$IH$396,GA$169,SwaptionMonthsToGo+SwaptionShift))))))</f>
        <v>0.90476889216708756</v>
      </c>
      <c r="GB171" s="469">
        <f ca="1">IF(OR(GB$169&lt;SwaptionFirstMonthPosition+1,$FN171&lt;SwaptionFirstMonthPosition+1,GB$169&gt;SwaptionFirstMonthPosition+SwaptionNumOfMonths+1,$FN171&gt;SwaptionFirstMonthPosition+SwaptionNumOfMonths+1),"",IF($FN171=GB$169,1,IF($FN171&lt;GB$169,INDEX($FO$170:$IH$241,GB$169,$FN171),SUMPRODUCT(INDEX($FO$325:$IH$396,GB$169,1+SwaptionShift):INDEX($FO$325:$IH$396,GB$169,SwaptionMonthsToGo+SwaptionShift),INDEX($FO$245:$IH$316,$FN171-GB$169,73-GB$169+SwaptionShift):INDEX($FO$245:$IH$316,$FN171-GB$169,72-GB$169+SwaptionMonthsToGo+SwaptionShift))/SQRT(SUM(INDEX($FO326:$IH326,1+SwaptionShift):INDEX($FO326:$IH326,SwaptionMonthsToGo+SwaptionShift))*SUM(INDEX($FO$325:$IH$396,GB$169,1+SwaptionShift):INDEX($FO$325:$IH$396,GB$169,SwaptionMonthsToGo+SwaptionShift))))))</f>
        <v>0.90190310537675022</v>
      </c>
      <c r="GC171" s="469" t="str">
        <f ca="1">IF(OR(GC$169&lt;SwaptionFirstMonthPosition+1,$FN171&lt;SwaptionFirstMonthPosition+1,GC$169&gt;SwaptionFirstMonthPosition+SwaptionNumOfMonths+1,$FN171&gt;SwaptionFirstMonthPosition+SwaptionNumOfMonths+1),"",IF($FN171=GC$169,1,IF($FN171&lt;GC$169,INDEX($FO$170:$IH$241,GC$169,$FN171),SUMPRODUCT(INDEX($FO$325:$IH$396,GC$169,1+SwaptionShift):INDEX($FO$325:$IH$396,GC$169,SwaptionMonthsToGo+SwaptionShift),INDEX($FO$245:$IH$316,$FN171-GC$169,73-GC$169+SwaptionShift):INDEX($FO$245:$IH$316,$FN171-GC$169,72-GC$169+SwaptionMonthsToGo+SwaptionShift))/SQRT(SUM(INDEX($FO326:$IH326,1+SwaptionShift):INDEX($FO326:$IH326,SwaptionMonthsToGo+SwaptionShift))*SUM(INDEX($FO$325:$IH$396,GC$169,1+SwaptionShift):INDEX($FO$325:$IH$396,GC$169,SwaptionMonthsToGo+SwaptionShift))))))</f>
        <v/>
      </c>
      <c r="GD171" s="469" t="str">
        <f ca="1">IF(OR(GD$169&lt;SwaptionFirstMonthPosition+1,$FN171&lt;SwaptionFirstMonthPosition+1,GD$169&gt;SwaptionFirstMonthPosition+SwaptionNumOfMonths+1,$FN171&gt;SwaptionFirstMonthPosition+SwaptionNumOfMonths+1),"",IF($FN171=GD$169,1,IF($FN171&lt;GD$169,INDEX($FO$170:$IH$241,GD$169,$FN171),SUMPRODUCT(INDEX($FO$325:$IH$396,GD$169,1+SwaptionShift):INDEX($FO$325:$IH$396,GD$169,SwaptionMonthsToGo+SwaptionShift),INDEX($FO$245:$IH$316,$FN171-GD$169,73-GD$169+SwaptionShift):INDEX($FO$245:$IH$316,$FN171-GD$169,72-GD$169+SwaptionMonthsToGo+SwaptionShift))/SQRT(SUM(INDEX($FO326:$IH326,1+SwaptionShift):INDEX($FO326:$IH326,SwaptionMonthsToGo+SwaptionShift))*SUM(INDEX($FO$325:$IH$396,GD$169,1+SwaptionShift):INDEX($FO$325:$IH$396,GD$169,SwaptionMonthsToGo+SwaptionShift))))))</f>
        <v/>
      </c>
      <c r="GE171" s="469" t="str">
        <f ca="1">IF(OR(GE$169&lt;SwaptionFirstMonthPosition+1,$FN171&lt;SwaptionFirstMonthPosition+1,GE$169&gt;SwaptionFirstMonthPosition+SwaptionNumOfMonths+1,$FN171&gt;SwaptionFirstMonthPosition+SwaptionNumOfMonths+1),"",IF($FN171=GE$169,1,IF($FN171&lt;GE$169,INDEX($FO$170:$IH$241,GE$169,$FN171),SUMPRODUCT(INDEX($FO$325:$IH$396,GE$169,1+SwaptionShift):INDEX($FO$325:$IH$396,GE$169,SwaptionMonthsToGo+SwaptionShift),INDEX($FO$245:$IH$316,$FN171-GE$169,73-GE$169+SwaptionShift):INDEX($FO$245:$IH$316,$FN171-GE$169,72-GE$169+SwaptionMonthsToGo+SwaptionShift))/SQRT(SUM(INDEX($FO326:$IH326,1+SwaptionShift):INDEX($FO326:$IH326,SwaptionMonthsToGo+SwaptionShift))*SUM(INDEX($FO$325:$IH$396,GE$169,1+SwaptionShift):INDEX($FO$325:$IH$396,GE$169,SwaptionMonthsToGo+SwaptionShift))))))</f>
        <v/>
      </c>
      <c r="GF171" s="469" t="str">
        <f ca="1">IF(OR(GF$169&lt;SwaptionFirstMonthPosition+1,$FN171&lt;SwaptionFirstMonthPosition+1,GF$169&gt;SwaptionFirstMonthPosition+SwaptionNumOfMonths+1,$FN171&gt;SwaptionFirstMonthPosition+SwaptionNumOfMonths+1),"",IF($FN171=GF$169,1,IF($FN171&lt;GF$169,INDEX($FO$170:$IH$241,GF$169,$FN171),SUMPRODUCT(INDEX($FO$325:$IH$396,GF$169,1+SwaptionShift):INDEX($FO$325:$IH$396,GF$169,SwaptionMonthsToGo+SwaptionShift),INDEX($FO$245:$IH$316,$FN171-GF$169,73-GF$169+SwaptionShift):INDEX($FO$245:$IH$316,$FN171-GF$169,72-GF$169+SwaptionMonthsToGo+SwaptionShift))/SQRT(SUM(INDEX($FO326:$IH326,1+SwaptionShift):INDEX($FO326:$IH326,SwaptionMonthsToGo+SwaptionShift))*SUM(INDEX($FO$325:$IH$396,GF$169,1+SwaptionShift):INDEX($FO$325:$IH$396,GF$169,SwaptionMonthsToGo+SwaptionShift))))))</f>
        <v/>
      </c>
      <c r="GG171" s="469" t="str">
        <f ca="1">IF(OR(GG$169&lt;SwaptionFirstMonthPosition+1,$FN171&lt;SwaptionFirstMonthPosition+1,GG$169&gt;SwaptionFirstMonthPosition+SwaptionNumOfMonths+1,$FN171&gt;SwaptionFirstMonthPosition+SwaptionNumOfMonths+1),"",IF($FN171=GG$169,1,IF($FN171&lt;GG$169,INDEX($FO$170:$IH$241,GG$169,$FN171),SUMPRODUCT(INDEX($FO$325:$IH$396,GG$169,1+SwaptionShift):INDEX($FO$325:$IH$396,GG$169,SwaptionMonthsToGo+SwaptionShift),INDEX($FO$245:$IH$316,$FN171-GG$169,73-GG$169+SwaptionShift):INDEX($FO$245:$IH$316,$FN171-GG$169,72-GG$169+SwaptionMonthsToGo+SwaptionShift))/SQRT(SUM(INDEX($FO326:$IH326,1+SwaptionShift):INDEX($FO326:$IH326,SwaptionMonthsToGo+SwaptionShift))*SUM(INDEX($FO$325:$IH$396,GG$169,1+SwaptionShift):INDEX($FO$325:$IH$396,GG$169,SwaptionMonthsToGo+SwaptionShift))))))</f>
        <v/>
      </c>
      <c r="GH171" s="469" t="str">
        <f ca="1">IF(OR(GH$169&lt;SwaptionFirstMonthPosition+1,$FN171&lt;SwaptionFirstMonthPosition+1,GH$169&gt;SwaptionFirstMonthPosition+SwaptionNumOfMonths+1,$FN171&gt;SwaptionFirstMonthPosition+SwaptionNumOfMonths+1),"",IF($FN171=GH$169,1,IF($FN171&lt;GH$169,INDEX($FO$170:$IH$241,GH$169,$FN171),SUMPRODUCT(INDEX($FO$325:$IH$396,GH$169,1+SwaptionShift):INDEX($FO$325:$IH$396,GH$169,SwaptionMonthsToGo+SwaptionShift),INDEX($FO$245:$IH$316,$FN171-GH$169,73-GH$169+SwaptionShift):INDEX($FO$245:$IH$316,$FN171-GH$169,72-GH$169+SwaptionMonthsToGo+SwaptionShift))/SQRT(SUM(INDEX($FO326:$IH326,1+SwaptionShift):INDEX($FO326:$IH326,SwaptionMonthsToGo+SwaptionShift))*SUM(INDEX($FO$325:$IH$396,GH$169,1+SwaptionShift):INDEX($FO$325:$IH$396,GH$169,SwaptionMonthsToGo+SwaptionShift))))))</f>
        <v/>
      </c>
      <c r="GI171" s="469" t="str">
        <f ca="1">IF(OR(GI$169&lt;SwaptionFirstMonthPosition+1,$FN171&lt;SwaptionFirstMonthPosition+1,GI$169&gt;SwaptionFirstMonthPosition+SwaptionNumOfMonths+1,$FN171&gt;SwaptionFirstMonthPosition+SwaptionNumOfMonths+1),"",IF($FN171=GI$169,1,IF($FN171&lt;GI$169,INDEX($FO$170:$IH$241,GI$169,$FN171),SUMPRODUCT(INDEX($FO$325:$IH$396,GI$169,1+SwaptionShift):INDEX($FO$325:$IH$396,GI$169,SwaptionMonthsToGo+SwaptionShift),INDEX($FO$245:$IH$316,$FN171-GI$169,73-GI$169+SwaptionShift):INDEX($FO$245:$IH$316,$FN171-GI$169,72-GI$169+SwaptionMonthsToGo+SwaptionShift))/SQRT(SUM(INDEX($FO326:$IH326,1+SwaptionShift):INDEX($FO326:$IH326,SwaptionMonthsToGo+SwaptionShift))*SUM(INDEX($FO$325:$IH$396,GI$169,1+SwaptionShift):INDEX($FO$325:$IH$396,GI$169,SwaptionMonthsToGo+SwaptionShift))))))</f>
        <v/>
      </c>
      <c r="GJ171" s="469" t="str">
        <f ca="1">IF(OR(GJ$169&lt;SwaptionFirstMonthPosition+1,$FN171&lt;SwaptionFirstMonthPosition+1,GJ$169&gt;SwaptionFirstMonthPosition+SwaptionNumOfMonths+1,$FN171&gt;SwaptionFirstMonthPosition+SwaptionNumOfMonths+1),"",IF($FN171=GJ$169,1,IF($FN171&lt;GJ$169,INDEX($FO$170:$IH$241,GJ$169,$FN171),SUMPRODUCT(INDEX($FO$325:$IH$396,GJ$169,1+SwaptionShift):INDEX($FO$325:$IH$396,GJ$169,SwaptionMonthsToGo+SwaptionShift),INDEX($FO$245:$IH$316,$FN171-GJ$169,73-GJ$169+SwaptionShift):INDEX($FO$245:$IH$316,$FN171-GJ$169,72-GJ$169+SwaptionMonthsToGo+SwaptionShift))/SQRT(SUM(INDEX($FO326:$IH326,1+SwaptionShift):INDEX($FO326:$IH326,SwaptionMonthsToGo+SwaptionShift))*SUM(INDEX($FO$325:$IH$396,GJ$169,1+SwaptionShift):INDEX($FO$325:$IH$396,GJ$169,SwaptionMonthsToGo+SwaptionShift))))))</f>
        <v/>
      </c>
      <c r="GK171" s="469" t="str">
        <f ca="1">IF(OR(GK$169&lt;SwaptionFirstMonthPosition+1,$FN171&lt;SwaptionFirstMonthPosition+1,GK$169&gt;SwaptionFirstMonthPosition+SwaptionNumOfMonths+1,$FN171&gt;SwaptionFirstMonthPosition+SwaptionNumOfMonths+1),"",IF($FN171=GK$169,1,IF($FN171&lt;GK$169,INDEX($FO$170:$IH$241,GK$169,$FN171),SUMPRODUCT(INDEX($FO$325:$IH$396,GK$169,1+SwaptionShift):INDEX($FO$325:$IH$396,GK$169,SwaptionMonthsToGo+SwaptionShift),INDEX($FO$245:$IH$316,$FN171-GK$169,73-GK$169+SwaptionShift):INDEX($FO$245:$IH$316,$FN171-GK$169,72-GK$169+SwaptionMonthsToGo+SwaptionShift))/SQRT(SUM(INDEX($FO326:$IH326,1+SwaptionShift):INDEX($FO326:$IH326,SwaptionMonthsToGo+SwaptionShift))*SUM(INDEX($FO$325:$IH$396,GK$169,1+SwaptionShift):INDEX($FO$325:$IH$396,GK$169,SwaptionMonthsToGo+SwaptionShift))))))</f>
        <v/>
      </c>
      <c r="GL171" s="469" t="str">
        <f ca="1">IF(OR(GL$169&lt;SwaptionFirstMonthPosition+1,$FN171&lt;SwaptionFirstMonthPosition+1,GL$169&gt;SwaptionFirstMonthPosition+SwaptionNumOfMonths+1,$FN171&gt;SwaptionFirstMonthPosition+SwaptionNumOfMonths+1),"",IF($FN171=GL$169,1,IF($FN171&lt;GL$169,INDEX($FO$170:$IH$241,GL$169,$FN171),SUMPRODUCT(INDEX($FO$325:$IH$396,GL$169,1+SwaptionShift):INDEX($FO$325:$IH$396,GL$169,SwaptionMonthsToGo+SwaptionShift),INDEX($FO$245:$IH$316,$FN171-GL$169,73-GL$169+SwaptionShift):INDEX($FO$245:$IH$316,$FN171-GL$169,72-GL$169+SwaptionMonthsToGo+SwaptionShift))/SQRT(SUM(INDEX($FO326:$IH326,1+SwaptionShift):INDEX($FO326:$IH326,SwaptionMonthsToGo+SwaptionShift))*SUM(INDEX($FO$325:$IH$396,GL$169,1+SwaptionShift):INDEX($FO$325:$IH$396,GL$169,SwaptionMonthsToGo+SwaptionShift))))))</f>
        <v/>
      </c>
      <c r="GM171" s="469" t="str">
        <f ca="1">IF(OR(GM$169&lt;SwaptionFirstMonthPosition+1,$FN171&lt;SwaptionFirstMonthPosition+1,GM$169&gt;SwaptionFirstMonthPosition+SwaptionNumOfMonths+1,$FN171&gt;SwaptionFirstMonthPosition+SwaptionNumOfMonths+1),"",IF($FN171=GM$169,1,IF($FN171&lt;GM$169,INDEX($FO$170:$IH$241,GM$169,$FN171),SUMPRODUCT(INDEX($FO$325:$IH$396,GM$169,1+SwaptionShift):INDEX($FO$325:$IH$396,GM$169,SwaptionMonthsToGo+SwaptionShift),INDEX($FO$245:$IH$316,$FN171-GM$169,73-GM$169+SwaptionShift):INDEX($FO$245:$IH$316,$FN171-GM$169,72-GM$169+SwaptionMonthsToGo+SwaptionShift))/SQRT(SUM(INDEX($FO326:$IH326,1+SwaptionShift):INDEX($FO326:$IH326,SwaptionMonthsToGo+SwaptionShift))*SUM(INDEX($FO$325:$IH$396,GM$169,1+SwaptionShift):INDEX($FO$325:$IH$396,GM$169,SwaptionMonthsToGo+SwaptionShift))))))</f>
        <v/>
      </c>
      <c r="GN171" s="469" t="str">
        <f ca="1">IF(OR(GN$169&lt;SwaptionFirstMonthPosition+1,$FN171&lt;SwaptionFirstMonthPosition+1,GN$169&gt;SwaptionFirstMonthPosition+SwaptionNumOfMonths+1,$FN171&gt;SwaptionFirstMonthPosition+SwaptionNumOfMonths+1),"",IF($FN171=GN$169,1,IF($FN171&lt;GN$169,INDEX($FO$170:$IH$241,GN$169,$FN171),SUMPRODUCT(INDEX($FO$325:$IH$396,GN$169,1+SwaptionShift):INDEX($FO$325:$IH$396,GN$169,SwaptionMonthsToGo+SwaptionShift),INDEX($FO$245:$IH$316,$FN171-GN$169,73-GN$169+SwaptionShift):INDEX($FO$245:$IH$316,$FN171-GN$169,72-GN$169+SwaptionMonthsToGo+SwaptionShift))/SQRT(SUM(INDEX($FO326:$IH326,1+SwaptionShift):INDEX($FO326:$IH326,SwaptionMonthsToGo+SwaptionShift))*SUM(INDEX($FO$325:$IH$396,GN$169,1+SwaptionShift):INDEX($FO$325:$IH$396,GN$169,SwaptionMonthsToGo+SwaptionShift))))))</f>
        <v/>
      </c>
      <c r="GO171" s="469" t="str">
        <f ca="1">IF(OR(GO$169&lt;SwaptionFirstMonthPosition+1,$FN171&lt;SwaptionFirstMonthPosition+1,GO$169&gt;SwaptionFirstMonthPosition+SwaptionNumOfMonths+1,$FN171&gt;SwaptionFirstMonthPosition+SwaptionNumOfMonths+1),"",IF($FN171=GO$169,1,IF($FN171&lt;GO$169,INDEX($FO$170:$IH$241,GO$169,$FN171),SUMPRODUCT(INDEX($FO$325:$IH$396,GO$169,1+SwaptionShift):INDEX($FO$325:$IH$396,GO$169,SwaptionMonthsToGo+SwaptionShift),INDEX($FO$245:$IH$316,$FN171-GO$169,73-GO$169+SwaptionShift):INDEX($FO$245:$IH$316,$FN171-GO$169,72-GO$169+SwaptionMonthsToGo+SwaptionShift))/SQRT(SUM(INDEX($FO326:$IH326,1+SwaptionShift):INDEX($FO326:$IH326,SwaptionMonthsToGo+SwaptionShift))*SUM(INDEX($FO$325:$IH$396,GO$169,1+SwaptionShift):INDEX($FO$325:$IH$396,GO$169,SwaptionMonthsToGo+SwaptionShift))))))</f>
        <v/>
      </c>
      <c r="GP171" s="469" t="str">
        <f ca="1">IF(OR(GP$169&lt;SwaptionFirstMonthPosition+1,$FN171&lt;SwaptionFirstMonthPosition+1,GP$169&gt;SwaptionFirstMonthPosition+SwaptionNumOfMonths+1,$FN171&gt;SwaptionFirstMonthPosition+SwaptionNumOfMonths+1),"",IF($FN171=GP$169,1,IF($FN171&lt;GP$169,INDEX($FO$170:$IH$241,GP$169,$FN171),SUMPRODUCT(INDEX($FO$325:$IH$396,GP$169,1+SwaptionShift):INDEX($FO$325:$IH$396,GP$169,SwaptionMonthsToGo+SwaptionShift),INDEX($FO$245:$IH$316,$FN171-GP$169,73-GP$169+SwaptionShift):INDEX($FO$245:$IH$316,$FN171-GP$169,72-GP$169+SwaptionMonthsToGo+SwaptionShift))/SQRT(SUM(INDEX($FO326:$IH326,1+SwaptionShift):INDEX($FO326:$IH326,SwaptionMonthsToGo+SwaptionShift))*SUM(INDEX($FO$325:$IH$396,GP$169,1+SwaptionShift):INDEX($FO$325:$IH$396,GP$169,SwaptionMonthsToGo+SwaptionShift))))))</f>
        <v/>
      </c>
      <c r="GQ171" s="469" t="str">
        <f ca="1">IF(OR(GQ$169&lt;SwaptionFirstMonthPosition+1,$FN171&lt;SwaptionFirstMonthPosition+1,GQ$169&gt;SwaptionFirstMonthPosition+SwaptionNumOfMonths+1,$FN171&gt;SwaptionFirstMonthPosition+SwaptionNumOfMonths+1),"",IF($FN171=GQ$169,1,IF($FN171&lt;GQ$169,INDEX($FO$170:$IH$241,GQ$169,$FN171),SUMPRODUCT(INDEX($FO$325:$IH$396,GQ$169,1+SwaptionShift):INDEX($FO$325:$IH$396,GQ$169,SwaptionMonthsToGo+SwaptionShift),INDEX($FO$245:$IH$316,$FN171-GQ$169,73-GQ$169+SwaptionShift):INDEX($FO$245:$IH$316,$FN171-GQ$169,72-GQ$169+SwaptionMonthsToGo+SwaptionShift))/SQRT(SUM(INDEX($FO326:$IH326,1+SwaptionShift):INDEX($FO326:$IH326,SwaptionMonthsToGo+SwaptionShift))*SUM(INDEX($FO$325:$IH$396,GQ$169,1+SwaptionShift):INDEX($FO$325:$IH$396,GQ$169,SwaptionMonthsToGo+SwaptionShift))))))</f>
        <v/>
      </c>
      <c r="GR171" s="469" t="str">
        <f ca="1">IF(OR(GR$169&lt;SwaptionFirstMonthPosition+1,$FN171&lt;SwaptionFirstMonthPosition+1,GR$169&gt;SwaptionFirstMonthPosition+SwaptionNumOfMonths+1,$FN171&gt;SwaptionFirstMonthPosition+SwaptionNumOfMonths+1),"",IF($FN171=GR$169,1,IF($FN171&lt;GR$169,INDEX($FO$170:$IH$241,GR$169,$FN171),SUMPRODUCT(INDEX($FO$325:$IH$396,GR$169,1+SwaptionShift):INDEX($FO$325:$IH$396,GR$169,SwaptionMonthsToGo+SwaptionShift),INDEX($FO$245:$IH$316,$FN171-GR$169,73-GR$169+SwaptionShift):INDEX($FO$245:$IH$316,$FN171-GR$169,72-GR$169+SwaptionMonthsToGo+SwaptionShift))/SQRT(SUM(INDEX($FO326:$IH326,1+SwaptionShift):INDEX($FO326:$IH326,SwaptionMonthsToGo+SwaptionShift))*SUM(INDEX($FO$325:$IH$396,GR$169,1+SwaptionShift):INDEX($FO$325:$IH$396,GR$169,SwaptionMonthsToGo+SwaptionShift))))))</f>
        <v/>
      </c>
      <c r="GS171" s="469" t="str">
        <f ca="1">IF(OR(GS$169&lt;SwaptionFirstMonthPosition+1,$FN171&lt;SwaptionFirstMonthPosition+1,GS$169&gt;SwaptionFirstMonthPosition+SwaptionNumOfMonths+1,$FN171&gt;SwaptionFirstMonthPosition+SwaptionNumOfMonths+1),"",IF($FN171=GS$169,1,IF($FN171&lt;GS$169,INDEX($FO$170:$IH$241,GS$169,$FN171),SUMPRODUCT(INDEX($FO$325:$IH$396,GS$169,1+SwaptionShift):INDEX($FO$325:$IH$396,GS$169,SwaptionMonthsToGo+SwaptionShift),INDEX($FO$245:$IH$316,$FN171-GS$169,73-GS$169+SwaptionShift):INDEX($FO$245:$IH$316,$FN171-GS$169,72-GS$169+SwaptionMonthsToGo+SwaptionShift))/SQRT(SUM(INDEX($FO326:$IH326,1+SwaptionShift):INDEX($FO326:$IH326,SwaptionMonthsToGo+SwaptionShift))*SUM(INDEX($FO$325:$IH$396,GS$169,1+SwaptionShift):INDEX($FO$325:$IH$396,GS$169,SwaptionMonthsToGo+SwaptionShift))))))</f>
        <v/>
      </c>
      <c r="GT171" s="469" t="str">
        <f ca="1">IF(OR(GT$169&lt;SwaptionFirstMonthPosition+1,$FN171&lt;SwaptionFirstMonthPosition+1,GT$169&gt;SwaptionFirstMonthPosition+SwaptionNumOfMonths+1,$FN171&gt;SwaptionFirstMonthPosition+SwaptionNumOfMonths+1),"",IF($FN171=GT$169,1,IF($FN171&lt;GT$169,INDEX($FO$170:$IH$241,GT$169,$FN171),SUMPRODUCT(INDEX($FO$325:$IH$396,GT$169,1+SwaptionShift):INDEX($FO$325:$IH$396,GT$169,SwaptionMonthsToGo+SwaptionShift),INDEX($FO$245:$IH$316,$FN171-GT$169,73-GT$169+SwaptionShift):INDEX($FO$245:$IH$316,$FN171-GT$169,72-GT$169+SwaptionMonthsToGo+SwaptionShift))/SQRT(SUM(INDEX($FO326:$IH326,1+SwaptionShift):INDEX($FO326:$IH326,SwaptionMonthsToGo+SwaptionShift))*SUM(INDEX($FO$325:$IH$396,GT$169,1+SwaptionShift):INDEX($FO$325:$IH$396,GT$169,SwaptionMonthsToGo+SwaptionShift))))))</f>
        <v/>
      </c>
      <c r="GU171" s="469" t="str">
        <f ca="1">IF(OR(GU$169&lt;SwaptionFirstMonthPosition+1,$FN171&lt;SwaptionFirstMonthPosition+1,GU$169&gt;SwaptionFirstMonthPosition+SwaptionNumOfMonths+1,$FN171&gt;SwaptionFirstMonthPosition+SwaptionNumOfMonths+1),"",IF($FN171=GU$169,1,IF($FN171&lt;GU$169,INDEX($FO$170:$IH$241,GU$169,$FN171),SUMPRODUCT(INDEX($FO$325:$IH$396,GU$169,1+SwaptionShift):INDEX($FO$325:$IH$396,GU$169,SwaptionMonthsToGo+SwaptionShift),INDEX($FO$245:$IH$316,$FN171-GU$169,73-GU$169+SwaptionShift):INDEX($FO$245:$IH$316,$FN171-GU$169,72-GU$169+SwaptionMonthsToGo+SwaptionShift))/SQRT(SUM(INDEX($FO326:$IH326,1+SwaptionShift):INDEX($FO326:$IH326,SwaptionMonthsToGo+SwaptionShift))*SUM(INDEX($FO$325:$IH$396,GU$169,1+SwaptionShift):INDEX($FO$325:$IH$396,GU$169,SwaptionMonthsToGo+SwaptionShift))))))</f>
        <v/>
      </c>
      <c r="GV171" s="469" t="str">
        <f ca="1">IF(OR(GV$169&lt;SwaptionFirstMonthPosition+1,$FN171&lt;SwaptionFirstMonthPosition+1,GV$169&gt;SwaptionFirstMonthPosition+SwaptionNumOfMonths+1,$FN171&gt;SwaptionFirstMonthPosition+SwaptionNumOfMonths+1),"",IF($FN171=GV$169,1,IF($FN171&lt;GV$169,INDEX($FO$170:$IH$241,GV$169,$FN171),SUMPRODUCT(INDEX($FO$325:$IH$396,GV$169,1+SwaptionShift):INDEX($FO$325:$IH$396,GV$169,SwaptionMonthsToGo+SwaptionShift),INDEX($FO$245:$IH$316,$FN171-GV$169,73-GV$169+SwaptionShift):INDEX($FO$245:$IH$316,$FN171-GV$169,72-GV$169+SwaptionMonthsToGo+SwaptionShift))/SQRT(SUM(INDEX($FO326:$IH326,1+SwaptionShift):INDEX($FO326:$IH326,SwaptionMonthsToGo+SwaptionShift))*SUM(INDEX($FO$325:$IH$396,GV$169,1+SwaptionShift):INDEX($FO$325:$IH$396,GV$169,SwaptionMonthsToGo+SwaptionShift))))))</f>
        <v/>
      </c>
      <c r="GW171" s="469" t="str">
        <f ca="1">IF(OR(GW$169&lt;SwaptionFirstMonthPosition+1,$FN171&lt;SwaptionFirstMonthPosition+1,GW$169&gt;SwaptionFirstMonthPosition+SwaptionNumOfMonths+1,$FN171&gt;SwaptionFirstMonthPosition+SwaptionNumOfMonths+1),"",IF($FN171=GW$169,1,IF($FN171&lt;GW$169,INDEX($FO$170:$IH$241,GW$169,$FN171),SUMPRODUCT(INDEX($FO$325:$IH$396,GW$169,1+SwaptionShift):INDEX($FO$325:$IH$396,GW$169,SwaptionMonthsToGo+SwaptionShift),INDEX($FO$245:$IH$316,$FN171-GW$169,73-GW$169+SwaptionShift):INDEX($FO$245:$IH$316,$FN171-GW$169,72-GW$169+SwaptionMonthsToGo+SwaptionShift))/SQRT(SUM(INDEX($FO326:$IH326,1+SwaptionShift):INDEX($FO326:$IH326,SwaptionMonthsToGo+SwaptionShift))*SUM(INDEX($FO$325:$IH$396,GW$169,1+SwaptionShift):INDEX($FO$325:$IH$396,GW$169,SwaptionMonthsToGo+SwaptionShift))))))</f>
        <v/>
      </c>
      <c r="GX171" s="469" t="str">
        <f ca="1">IF(OR(GX$169&lt;SwaptionFirstMonthPosition+1,$FN171&lt;SwaptionFirstMonthPosition+1,GX$169&gt;SwaptionFirstMonthPosition+SwaptionNumOfMonths+1,$FN171&gt;SwaptionFirstMonthPosition+SwaptionNumOfMonths+1),"",IF($FN171=GX$169,1,IF($FN171&lt;GX$169,INDEX($FO$170:$IH$241,GX$169,$FN171),SUMPRODUCT(INDEX($FO$325:$IH$396,GX$169,1+SwaptionShift):INDEX($FO$325:$IH$396,GX$169,SwaptionMonthsToGo+SwaptionShift),INDEX($FO$245:$IH$316,$FN171-GX$169,73-GX$169+SwaptionShift):INDEX($FO$245:$IH$316,$FN171-GX$169,72-GX$169+SwaptionMonthsToGo+SwaptionShift))/SQRT(SUM(INDEX($FO326:$IH326,1+SwaptionShift):INDEX($FO326:$IH326,SwaptionMonthsToGo+SwaptionShift))*SUM(INDEX($FO$325:$IH$396,GX$169,1+SwaptionShift):INDEX($FO$325:$IH$396,GX$169,SwaptionMonthsToGo+SwaptionShift))))))</f>
        <v/>
      </c>
      <c r="GY171" s="469" t="str">
        <f ca="1">IF(OR(GY$169&lt;SwaptionFirstMonthPosition+1,$FN171&lt;SwaptionFirstMonthPosition+1,GY$169&gt;SwaptionFirstMonthPosition+SwaptionNumOfMonths+1,$FN171&gt;SwaptionFirstMonthPosition+SwaptionNumOfMonths+1),"",IF($FN171=GY$169,1,IF($FN171&lt;GY$169,INDEX($FO$170:$IH$241,GY$169,$FN171),SUMPRODUCT(INDEX($FO$325:$IH$396,GY$169,1+SwaptionShift):INDEX($FO$325:$IH$396,GY$169,SwaptionMonthsToGo+SwaptionShift),INDEX($FO$245:$IH$316,$FN171-GY$169,73-GY$169+SwaptionShift):INDEX($FO$245:$IH$316,$FN171-GY$169,72-GY$169+SwaptionMonthsToGo+SwaptionShift))/SQRT(SUM(INDEX($FO326:$IH326,1+SwaptionShift):INDEX($FO326:$IH326,SwaptionMonthsToGo+SwaptionShift))*SUM(INDEX($FO$325:$IH$396,GY$169,1+SwaptionShift):INDEX($FO$325:$IH$396,GY$169,SwaptionMonthsToGo+SwaptionShift))))))</f>
        <v/>
      </c>
      <c r="GZ171" s="469" t="str">
        <f ca="1">IF(OR(GZ$169&lt;SwaptionFirstMonthPosition+1,$FN171&lt;SwaptionFirstMonthPosition+1,GZ$169&gt;SwaptionFirstMonthPosition+SwaptionNumOfMonths+1,$FN171&gt;SwaptionFirstMonthPosition+SwaptionNumOfMonths+1),"",IF($FN171=GZ$169,1,IF($FN171&lt;GZ$169,INDEX($FO$170:$IH$241,GZ$169,$FN171),SUMPRODUCT(INDEX($FO$325:$IH$396,GZ$169,1+SwaptionShift):INDEX($FO$325:$IH$396,GZ$169,SwaptionMonthsToGo+SwaptionShift),INDEX($FO$245:$IH$316,$FN171-GZ$169,73-GZ$169+SwaptionShift):INDEX($FO$245:$IH$316,$FN171-GZ$169,72-GZ$169+SwaptionMonthsToGo+SwaptionShift))/SQRT(SUM(INDEX($FO326:$IH326,1+SwaptionShift):INDEX($FO326:$IH326,SwaptionMonthsToGo+SwaptionShift))*SUM(INDEX($FO$325:$IH$396,GZ$169,1+SwaptionShift):INDEX($FO$325:$IH$396,GZ$169,SwaptionMonthsToGo+SwaptionShift))))))</f>
        <v/>
      </c>
      <c r="HA171" s="469" t="str">
        <f ca="1">IF(OR(HA$169&lt;SwaptionFirstMonthPosition+1,$FN171&lt;SwaptionFirstMonthPosition+1,HA$169&gt;SwaptionFirstMonthPosition+SwaptionNumOfMonths+1,$FN171&gt;SwaptionFirstMonthPosition+SwaptionNumOfMonths+1),"",IF($FN171=HA$169,1,IF($FN171&lt;HA$169,INDEX($FO$170:$IH$241,HA$169,$FN171),SUMPRODUCT(INDEX($FO$325:$IH$396,HA$169,1+SwaptionShift):INDEX($FO$325:$IH$396,HA$169,SwaptionMonthsToGo+SwaptionShift),INDEX($FO$245:$IH$316,$FN171-HA$169,73-HA$169+SwaptionShift):INDEX($FO$245:$IH$316,$FN171-HA$169,72-HA$169+SwaptionMonthsToGo+SwaptionShift))/SQRT(SUM(INDEX($FO326:$IH326,1+SwaptionShift):INDEX($FO326:$IH326,SwaptionMonthsToGo+SwaptionShift))*SUM(INDEX($FO$325:$IH$396,HA$169,1+SwaptionShift):INDEX($FO$325:$IH$396,HA$169,SwaptionMonthsToGo+SwaptionShift))))))</f>
        <v/>
      </c>
      <c r="HB171" s="469" t="str">
        <f ca="1">IF(OR(HB$169&lt;SwaptionFirstMonthPosition+1,$FN171&lt;SwaptionFirstMonthPosition+1,HB$169&gt;SwaptionFirstMonthPosition+SwaptionNumOfMonths+1,$FN171&gt;SwaptionFirstMonthPosition+SwaptionNumOfMonths+1),"",IF($FN171=HB$169,1,IF($FN171&lt;HB$169,INDEX($FO$170:$IH$241,HB$169,$FN171),SUMPRODUCT(INDEX($FO$325:$IH$396,HB$169,1+SwaptionShift):INDEX($FO$325:$IH$396,HB$169,SwaptionMonthsToGo+SwaptionShift),INDEX($FO$245:$IH$316,$FN171-HB$169,73-HB$169+SwaptionShift):INDEX($FO$245:$IH$316,$FN171-HB$169,72-HB$169+SwaptionMonthsToGo+SwaptionShift))/SQRT(SUM(INDEX($FO326:$IH326,1+SwaptionShift):INDEX($FO326:$IH326,SwaptionMonthsToGo+SwaptionShift))*SUM(INDEX($FO$325:$IH$396,HB$169,1+SwaptionShift):INDEX($FO$325:$IH$396,HB$169,SwaptionMonthsToGo+SwaptionShift))))))</f>
        <v/>
      </c>
      <c r="HC171" s="469" t="str">
        <f ca="1">IF(OR(HC$169&lt;SwaptionFirstMonthPosition+1,$FN171&lt;SwaptionFirstMonthPosition+1,HC$169&gt;SwaptionFirstMonthPosition+SwaptionNumOfMonths+1,$FN171&gt;SwaptionFirstMonthPosition+SwaptionNumOfMonths+1),"",IF($FN171=HC$169,1,IF($FN171&lt;HC$169,INDEX($FO$170:$IH$241,HC$169,$FN171),SUMPRODUCT(INDEX($FO$325:$IH$396,HC$169,1+SwaptionShift):INDEX($FO$325:$IH$396,HC$169,SwaptionMonthsToGo+SwaptionShift),INDEX($FO$245:$IH$316,$FN171-HC$169,73-HC$169+SwaptionShift):INDEX($FO$245:$IH$316,$FN171-HC$169,72-HC$169+SwaptionMonthsToGo+SwaptionShift))/SQRT(SUM(INDEX($FO326:$IH326,1+SwaptionShift):INDEX($FO326:$IH326,SwaptionMonthsToGo+SwaptionShift))*SUM(INDEX($FO$325:$IH$396,HC$169,1+SwaptionShift):INDEX($FO$325:$IH$396,HC$169,SwaptionMonthsToGo+SwaptionShift))))))</f>
        <v/>
      </c>
      <c r="HD171" s="469" t="str">
        <f ca="1">IF(OR(HD$169&lt;SwaptionFirstMonthPosition+1,$FN171&lt;SwaptionFirstMonthPosition+1,HD$169&gt;SwaptionFirstMonthPosition+SwaptionNumOfMonths+1,$FN171&gt;SwaptionFirstMonthPosition+SwaptionNumOfMonths+1),"",IF($FN171=HD$169,1,IF($FN171&lt;HD$169,INDEX($FO$170:$IH$241,HD$169,$FN171),SUMPRODUCT(INDEX($FO$325:$IH$396,HD$169,1+SwaptionShift):INDEX($FO$325:$IH$396,HD$169,SwaptionMonthsToGo+SwaptionShift),INDEX($FO$245:$IH$316,$FN171-HD$169,73-HD$169+SwaptionShift):INDEX($FO$245:$IH$316,$FN171-HD$169,72-HD$169+SwaptionMonthsToGo+SwaptionShift))/SQRT(SUM(INDEX($FO326:$IH326,1+SwaptionShift):INDEX($FO326:$IH326,SwaptionMonthsToGo+SwaptionShift))*SUM(INDEX($FO$325:$IH$396,HD$169,1+SwaptionShift):INDEX($FO$325:$IH$396,HD$169,SwaptionMonthsToGo+SwaptionShift))))))</f>
        <v/>
      </c>
      <c r="HE171" s="469" t="str">
        <f ca="1">IF(OR(HE$169&lt;SwaptionFirstMonthPosition+1,$FN171&lt;SwaptionFirstMonthPosition+1,HE$169&gt;SwaptionFirstMonthPosition+SwaptionNumOfMonths+1,$FN171&gt;SwaptionFirstMonthPosition+SwaptionNumOfMonths+1),"",IF($FN171=HE$169,1,IF($FN171&lt;HE$169,INDEX($FO$170:$IH$241,HE$169,$FN171),SUMPRODUCT(INDEX($FO$325:$IH$396,HE$169,1+SwaptionShift):INDEX($FO$325:$IH$396,HE$169,SwaptionMonthsToGo+SwaptionShift),INDEX($FO$245:$IH$316,$FN171-HE$169,73-HE$169+SwaptionShift):INDEX($FO$245:$IH$316,$FN171-HE$169,72-HE$169+SwaptionMonthsToGo+SwaptionShift))/SQRT(SUM(INDEX($FO326:$IH326,1+SwaptionShift):INDEX($FO326:$IH326,SwaptionMonthsToGo+SwaptionShift))*SUM(INDEX($FO$325:$IH$396,HE$169,1+SwaptionShift):INDEX($FO$325:$IH$396,HE$169,SwaptionMonthsToGo+SwaptionShift))))))</f>
        <v/>
      </c>
      <c r="HF171" s="469" t="str">
        <f ca="1">IF(OR(HF$169&lt;SwaptionFirstMonthPosition+1,$FN171&lt;SwaptionFirstMonthPosition+1,HF$169&gt;SwaptionFirstMonthPosition+SwaptionNumOfMonths+1,$FN171&gt;SwaptionFirstMonthPosition+SwaptionNumOfMonths+1),"",IF($FN171=HF$169,1,IF($FN171&lt;HF$169,INDEX($FO$170:$IH$241,HF$169,$FN171),SUMPRODUCT(INDEX($FO$325:$IH$396,HF$169,1+SwaptionShift):INDEX($FO$325:$IH$396,HF$169,SwaptionMonthsToGo+SwaptionShift),INDEX($FO$245:$IH$316,$FN171-HF$169,73-HF$169+SwaptionShift):INDEX($FO$245:$IH$316,$FN171-HF$169,72-HF$169+SwaptionMonthsToGo+SwaptionShift))/SQRT(SUM(INDEX($FO326:$IH326,1+SwaptionShift):INDEX($FO326:$IH326,SwaptionMonthsToGo+SwaptionShift))*SUM(INDEX($FO$325:$IH$396,HF$169,1+SwaptionShift):INDEX($FO$325:$IH$396,HF$169,SwaptionMonthsToGo+SwaptionShift))))))</f>
        <v/>
      </c>
      <c r="HG171" s="469" t="str">
        <f ca="1">IF(OR(HG$169&lt;SwaptionFirstMonthPosition+1,$FN171&lt;SwaptionFirstMonthPosition+1,HG$169&gt;SwaptionFirstMonthPosition+SwaptionNumOfMonths+1,$FN171&gt;SwaptionFirstMonthPosition+SwaptionNumOfMonths+1),"",IF($FN171=HG$169,1,IF($FN171&lt;HG$169,INDEX($FO$170:$IH$241,HG$169,$FN171),SUMPRODUCT(INDEX($FO$325:$IH$396,HG$169,1+SwaptionShift):INDEX($FO$325:$IH$396,HG$169,SwaptionMonthsToGo+SwaptionShift),INDEX($FO$245:$IH$316,$FN171-HG$169,73-HG$169+SwaptionShift):INDEX($FO$245:$IH$316,$FN171-HG$169,72-HG$169+SwaptionMonthsToGo+SwaptionShift))/SQRT(SUM(INDEX($FO326:$IH326,1+SwaptionShift):INDEX($FO326:$IH326,SwaptionMonthsToGo+SwaptionShift))*SUM(INDEX($FO$325:$IH$396,HG$169,1+SwaptionShift):INDEX($FO$325:$IH$396,HG$169,SwaptionMonthsToGo+SwaptionShift))))))</f>
        <v/>
      </c>
      <c r="HH171" s="469" t="str">
        <f ca="1">IF(OR(HH$169&lt;SwaptionFirstMonthPosition+1,$FN171&lt;SwaptionFirstMonthPosition+1,HH$169&gt;SwaptionFirstMonthPosition+SwaptionNumOfMonths+1,$FN171&gt;SwaptionFirstMonthPosition+SwaptionNumOfMonths+1),"",IF($FN171=HH$169,1,IF($FN171&lt;HH$169,INDEX($FO$170:$IH$241,HH$169,$FN171),SUMPRODUCT(INDEX($FO$325:$IH$396,HH$169,1+SwaptionShift):INDEX($FO$325:$IH$396,HH$169,SwaptionMonthsToGo+SwaptionShift),INDEX($FO$245:$IH$316,$FN171-HH$169,73-HH$169+SwaptionShift):INDEX($FO$245:$IH$316,$FN171-HH$169,72-HH$169+SwaptionMonthsToGo+SwaptionShift))/SQRT(SUM(INDEX($FO326:$IH326,1+SwaptionShift):INDEX($FO326:$IH326,SwaptionMonthsToGo+SwaptionShift))*SUM(INDEX($FO$325:$IH$396,HH$169,1+SwaptionShift):INDEX($FO$325:$IH$396,HH$169,SwaptionMonthsToGo+SwaptionShift))))))</f>
        <v/>
      </c>
      <c r="HI171" s="469" t="str">
        <f ca="1">IF(OR(HI$169&lt;SwaptionFirstMonthPosition+1,$FN171&lt;SwaptionFirstMonthPosition+1,HI$169&gt;SwaptionFirstMonthPosition+SwaptionNumOfMonths+1,$FN171&gt;SwaptionFirstMonthPosition+SwaptionNumOfMonths+1),"",IF($FN171=HI$169,1,IF($FN171&lt;HI$169,INDEX($FO$170:$IH$241,HI$169,$FN171),SUMPRODUCT(INDEX($FO$325:$IH$396,HI$169,1+SwaptionShift):INDEX($FO$325:$IH$396,HI$169,SwaptionMonthsToGo+SwaptionShift),INDEX($FO$245:$IH$316,$FN171-HI$169,73-HI$169+SwaptionShift):INDEX($FO$245:$IH$316,$FN171-HI$169,72-HI$169+SwaptionMonthsToGo+SwaptionShift))/SQRT(SUM(INDEX($FO326:$IH326,1+SwaptionShift):INDEX($FO326:$IH326,SwaptionMonthsToGo+SwaptionShift))*SUM(INDEX($FO$325:$IH$396,HI$169,1+SwaptionShift):INDEX($FO$325:$IH$396,HI$169,SwaptionMonthsToGo+SwaptionShift))))))</f>
        <v/>
      </c>
      <c r="HJ171" s="469" t="str">
        <f ca="1">IF(OR(HJ$169&lt;SwaptionFirstMonthPosition+1,$FN171&lt;SwaptionFirstMonthPosition+1,HJ$169&gt;SwaptionFirstMonthPosition+SwaptionNumOfMonths+1,$FN171&gt;SwaptionFirstMonthPosition+SwaptionNumOfMonths+1),"",IF($FN171=HJ$169,1,IF($FN171&lt;HJ$169,INDEX($FO$170:$IH$241,HJ$169,$FN171),SUMPRODUCT(INDEX($FO$325:$IH$396,HJ$169,1+SwaptionShift):INDEX($FO$325:$IH$396,HJ$169,SwaptionMonthsToGo+SwaptionShift),INDEX($FO$245:$IH$316,$FN171-HJ$169,73-HJ$169+SwaptionShift):INDEX($FO$245:$IH$316,$FN171-HJ$169,72-HJ$169+SwaptionMonthsToGo+SwaptionShift))/SQRT(SUM(INDEX($FO326:$IH326,1+SwaptionShift):INDEX($FO326:$IH326,SwaptionMonthsToGo+SwaptionShift))*SUM(INDEX($FO$325:$IH$396,HJ$169,1+SwaptionShift):INDEX($FO$325:$IH$396,HJ$169,SwaptionMonthsToGo+SwaptionShift))))))</f>
        <v/>
      </c>
      <c r="HK171" s="469" t="str">
        <f ca="1">IF(OR(HK$169&lt;SwaptionFirstMonthPosition+1,$FN171&lt;SwaptionFirstMonthPosition+1,HK$169&gt;SwaptionFirstMonthPosition+SwaptionNumOfMonths+1,$FN171&gt;SwaptionFirstMonthPosition+SwaptionNumOfMonths+1),"",IF($FN171=HK$169,1,IF($FN171&lt;HK$169,INDEX($FO$170:$IH$241,HK$169,$FN171),SUMPRODUCT(INDEX($FO$325:$IH$396,HK$169,1+SwaptionShift):INDEX($FO$325:$IH$396,HK$169,SwaptionMonthsToGo+SwaptionShift),INDEX($FO$245:$IH$316,$FN171-HK$169,73-HK$169+SwaptionShift):INDEX($FO$245:$IH$316,$FN171-HK$169,72-HK$169+SwaptionMonthsToGo+SwaptionShift))/SQRT(SUM(INDEX($FO326:$IH326,1+SwaptionShift):INDEX($FO326:$IH326,SwaptionMonthsToGo+SwaptionShift))*SUM(INDEX($FO$325:$IH$396,HK$169,1+SwaptionShift):INDEX($FO$325:$IH$396,HK$169,SwaptionMonthsToGo+SwaptionShift))))))</f>
        <v/>
      </c>
      <c r="HL171" s="469" t="str">
        <f ca="1">IF(OR(HL$169&lt;SwaptionFirstMonthPosition+1,$FN171&lt;SwaptionFirstMonthPosition+1,HL$169&gt;SwaptionFirstMonthPosition+SwaptionNumOfMonths+1,$FN171&gt;SwaptionFirstMonthPosition+SwaptionNumOfMonths+1),"",IF($FN171=HL$169,1,IF($FN171&lt;HL$169,INDEX($FO$170:$IH$241,HL$169,$FN171),SUMPRODUCT(INDEX($FO$325:$IH$396,HL$169,1+SwaptionShift):INDEX($FO$325:$IH$396,HL$169,SwaptionMonthsToGo+SwaptionShift),INDEX($FO$245:$IH$316,$FN171-HL$169,73-HL$169+SwaptionShift):INDEX($FO$245:$IH$316,$FN171-HL$169,72-HL$169+SwaptionMonthsToGo+SwaptionShift))/SQRT(SUM(INDEX($FO326:$IH326,1+SwaptionShift):INDEX($FO326:$IH326,SwaptionMonthsToGo+SwaptionShift))*SUM(INDEX($FO$325:$IH$396,HL$169,1+SwaptionShift):INDEX($FO$325:$IH$396,HL$169,SwaptionMonthsToGo+SwaptionShift))))))</f>
        <v/>
      </c>
      <c r="HM171" s="469" t="str">
        <f ca="1">IF(OR(HM$169&lt;SwaptionFirstMonthPosition+1,$FN171&lt;SwaptionFirstMonthPosition+1,HM$169&gt;SwaptionFirstMonthPosition+SwaptionNumOfMonths+1,$FN171&gt;SwaptionFirstMonthPosition+SwaptionNumOfMonths+1),"",IF($FN171=HM$169,1,IF($FN171&lt;HM$169,INDEX($FO$170:$IH$241,HM$169,$FN171),SUMPRODUCT(INDEX($FO$325:$IH$396,HM$169,1+SwaptionShift):INDEX($FO$325:$IH$396,HM$169,SwaptionMonthsToGo+SwaptionShift),INDEX($FO$245:$IH$316,$FN171-HM$169,73-HM$169+SwaptionShift):INDEX($FO$245:$IH$316,$FN171-HM$169,72-HM$169+SwaptionMonthsToGo+SwaptionShift))/SQRT(SUM(INDEX($FO326:$IH326,1+SwaptionShift):INDEX($FO326:$IH326,SwaptionMonthsToGo+SwaptionShift))*SUM(INDEX($FO$325:$IH$396,HM$169,1+SwaptionShift):INDEX($FO$325:$IH$396,HM$169,SwaptionMonthsToGo+SwaptionShift))))))</f>
        <v/>
      </c>
      <c r="HN171" s="469" t="str">
        <f ca="1">IF(OR(HN$169&lt;SwaptionFirstMonthPosition+1,$FN171&lt;SwaptionFirstMonthPosition+1,HN$169&gt;SwaptionFirstMonthPosition+SwaptionNumOfMonths+1,$FN171&gt;SwaptionFirstMonthPosition+SwaptionNumOfMonths+1),"",IF($FN171=HN$169,1,IF($FN171&lt;HN$169,INDEX($FO$170:$IH$241,HN$169,$FN171),SUMPRODUCT(INDEX($FO$325:$IH$396,HN$169,1+SwaptionShift):INDEX($FO$325:$IH$396,HN$169,SwaptionMonthsToGo+SwaptionShift),INDEX($FO$245:$IH$316,$FN171-HN$169,73-HN$169+SwaptionShift):INDEX($FO$245:$IH$316,$FN171-HN$169,72-HN$169+SwaptionMonthsToGo+SwaptionShift))/SQRT(SUM(INDEX($FO326:$IH326,1+SwaptionShift):INDEX($FO326:$IH326,SwaptionMonthsToGo+SwaptionShift))*SUM(INDEX($FO$325:$IH$396,HN$169,1+SwaptionShift):INDEX($FO$325:$IH$396,HN$169,SwaptionMonthsToGo+SwaptionShift))))))</f>
        <v/>
      </c>
      <c r="HO171" s="469" t="str">
        <f ca="1">IF(OR(HO$169&lt;SwaptionFirstMonthPosition+1,$FN171&lt;SwaptionFirstMonthPosition+1,HO$169&gt;SwaptionFirstMonthPosition+SwaptionNumOfMonths+1,$FN171&gt;SwaptionFirstMonthPosition+SwaptionNumOfMonths+1),"",IF($FN171=HO$169,1,IF($FN171&lt;HO$169,INDEX($FO$170:$IH$241,HO$169,$FN171),SUMPRODUCT(INDEX($FO$325:$IH$396,HO$169,1+SwaptionShift):INDEX($FO$325:$IH$396,HO$169,SwaptionMonthsToGo+SwaptionShift),INDEX($FO$245:$IH$316,$FN171-HO$169,73-HO$169+SwaptionShift):INDEX($FO$245:$IH$316,$FN171-HO$169,72-HO$169+SwaptionMonthsToGo+SwaptionShift))/SQRT(SUM(INDEX($FO326:$IH326,1+SwaptionShift):INDEX($FO326:$IH326,SwaptionMonthsToGo+SwaptionShift))*SUM(INDEX($FO$325:$IH$396,HO$169,1+SwaptionShift):INDEX($FO$325:$IH$396,HO$169,SwaptionMonthsToGo+SwaptionShift))))))</f>
        <v/>
      </c>
      <c r="HP171" s="469" t="str">
        <f ca="1">IF(OR(HP$169&lt;SwaptionFirstMonthPosition+1,$FN171&lt;SwaptionFirstMonthPosition+1,HP$169&gt;SwaptionFirstMonthPosition+SwaptionNumOfMonths+1,$FN171&gt;SwaptionFirstMonthPosition+SwaptionNumOfMonths+1),"",IF($FN171=HP$169,1,IF($FN171&lt;HP$169,INDEX($FO$170:$IH$241,HP$169,$FN171),SUMPRODUCT(INDEX($FO$325:$IH$396,HP$169,1+SwaptionShift):INDEX($FO$325:$IH$396,HP$169,SwaptionMonthsToGo+SwaptionShift),INDEX($FO$245:$IH$316,$FN171-HP$169,73-HP$169+SwaptionShift):INDEX($FO$245:$IH$316,$FN171-HP$169,72-HP$169+SwaptionMonthsToGo+SwaptionShift))/SQRT(SUM(INDEX($FO326:$IH326,1+SwaptionShift):INDEX($FO326:$IH326,SwaptionMonthsToGo+SwaptionShift))*SUM(INDEX($FO$325:$IH$396,HP$169,1+SwaptionShift):INDEX($FO$325:$IH$396,HP$169,SwaptionMonthsToGo+SwaptionShift))))))</f>
        <v/>
      </c>
      <c r="HQ171" s="469" t="str">
        <f ca="1">IF(OR(HQ$169&lt;SwaptionFirstMonthPosition+1,$FN171&lt;SwaptionFirstMonthPosition+1,HQ$169&gt;SwaptionFirstMonthPosition+SwaptionNumOfMonths+1,$FN171&gt;SwaptionFirstMonthPosition+SwaptionNumOfMonths+1),"",IF($FN171=HQ$169,1,IF($FN171&lt;HQ$169,INDEX($FO$170:$IH$241,HQ$169,$FN171),SUMPRODUCT(INDEX($FO$325:$IH$396,HQ$169,1+SwaptionShift):INDEX($FO$325:$IH$396,HQ$169,SwaptionMonthsToGo+SwaptionShift),INDEX($FO$245:$IH$316,$FN171-HQ$169,73-HQ$169+SwaptionShift):INDEX($FO$245:$IH$316,$FN171-HQ$169,72-HQ$169+SwaptionMonthsToGo+SwaptionShift))/SQRT(SUM(INDEX($FO326:$IH326,1+SwaptionShift):INDEX($FO326:$IH326,SwaptionMonthsToGo+SwaptionShift))*SUM(INDEX($FO$325:$IH$396,HQ$169,1+SwaptionShift):INDEX($FO$325:$IH$396,HQ$169,SwaptionMonthsToGo+SwaptionShift))))))</f>
        <v/>
      </c>
      <c r="HR171" s="469" t="str">
        <f ca="1">IF(OR(HR$169&lt;SwaptionFirstMonthPosition+1,$FN171&lt;SwaptionFirstMonthPosition+1,HR$169&gt;SwaptionFirstMonthPosition+SwaptionNumOfMonths+1,$FN171&gt;SwaptionFirstMonthPosition+SwaptionNumOfMonths+1),"",IF($FN171=HR$169,1,IF($FN171&lt;HR$169,INDEX($FO$170:$IH$241,HR$169,$FN171),SUMPRODUCT(INDEX($FO$325:$IH$396,HR$169,1+SwaptionShift):INDEX($FO$325:$IH$396,HR$169,SwaptionMonthsToGo+SwaptionShift),INDEX($FO$245:$IH$316,$FN171-HR$169,73-HR$169+SwaptionShift):INDEX($FO$245:$IH$316,$FN171-HR$169,72-HR$169+SwaptionMonthsToGo+SwaptionShift))/SQRT(SUM(INDEX($FO326:$IH326,1+SwaptionShift):INDEX($FO326:$IH326,SwaptionMonthsToGo+SwaptionShift))*SUM(INDEX($FO$325:$IH$396,HR$169,1+SwaptionShift):INDEX($FO$325:$IH$396,HR$169,SwaptionMonthsToGo+SwaptionShift))))))</f>
        <v/>
      </c>
      <c r="HS171" s="469" t="str">
        <f ca="1">IF(OR(HS$169&lt;SwaptionFirstMonthPosition+1,$FN171&lt;SwaptionFirstMonthPosition+1,HS$169&gt;SwaptionFirstMonthPosition+SwaptionNumOfMonths+1,$FN171&gt;SwaptionFirstMonthPosition+SwaptionNumOfMonths+1),"",IF($FN171=HS$169,1,IF($FN171&lt;HS$169,INDEX($FO$170:$IH$241,HS$169,$FN171),SUMPRODUCT(INDEX($FO$325:$IH$396,HS$169,1+SwaptionShift):INDEX($FO$325:$IH$396,HS$169,SwaptionMonthsToGo+SwaptionShift),INDEX($FO$245:$IH$316,$FN171-HS$169,73-HS$169+SwaptionShift):INDEX($FO$245:$IH$316,$FN171-HS$169,72-HS$169+SwaptionMonthsToGo+SwaptionShift))/SQRT(SUM(INDEX($FO326:$IH326,1+SwaptionShift):INDEX($FO326:$IH326,SwaptionMonthsToGo+SwaptionShift))*SUM(INDEX($FO$325:$IH$396,HS$169,1+SwaptionShift):INDEX($FO$325:$IH$396,HS$169,SwaptionMonthsToGo+SwaptionShift))))))</f>
        <v/>
      </c>
      <c r="HT171" s="469" t="str">
        <f ca="1">IF(OR(HT$169&lt;SwaptionFirstMonthPosition+1,$FN171&lt;SwaptionFirstMonthPosition+1,HT$169&gt;SwaptionFirstMonthPosition+SwaptionNumOfMonths+1,$FN171&gt;SwaptionFirstMonthPosition+SwaptionNumOfMonths+1),"",IF($FN171=HT$169,1,IF($FN171&lt;HT$169,INDEX($FO$170:$IH$241,HT$169,$FN171),SUMPRODUCT(INDEX($FO$325:$IH$396,HT$169,1+SwaptionShift):INDEX($FO$325:$IH$396,HT$169,SwaptionMonthsToGo+SwaptionShift),INDEX($FO$245:$IH$316,$FN171-HT$169,73-HT$169+SwaptionShift):INDEX($FO$245:$IH$316,$FN171-HT$169,72-HT$169+SwaptionMonthsToGo+SwaptionShift))/SQRT(SUM(INDEX($FO326:$IH326,1+SwaptionShift):INDEX($FO326:$IH326,SwaptionMonthsToGo+SwaptionShift))*SUM(INDEX($FO$325:$IH$396,HT$169,1+SwaptionShift):INDEX($FO$325:$IH$396,HT$169,SwaptionMonthsToGo+SwaptionShift))))))</f>
        <v/>
      </c>
      <c r="HU171" s="469" t="str">
        <f ca="1">IF(OR(HU$169&lt;SwaptionFirstMonthPosition+1,$FN171&lt;SwaptionFirstMonthPosition+1,HU$169&gt;SwaptionFirstMonthPosition+SwaptionNumOfMonths+1,$FN171&gt;SwaptionFirstMonthPosition+SwaptionNumOfMonths+1),"",IF($FN171=HU$169,1,IF($FN171&lt;HU$169,INDEX($FO$170:$IH$241,HU$169,$FN171),SUMPRODUCT(INDEX($FO$325:$IH$396,HU$169,1+SwaptionShift):INDEX($FO$325:$IH$396,HU$169,SwaptionMonthsToGo+SwaptionShift),INDEX($FO$245:$IH$316,$FN171-HU$169,73-HU$169+SwaptionShift):INDEX($FO$245:$IH$316,$FN171-HU$169,72-HU$169+SwaptionMonthsToGo+SwaptionShift))/SQRT(SUM(INDEX($FO326:$IH326,1+SwaptionShift):INDEX($FO326:$IH326,SwaptionMonthsToGo+SwaptionShift))*SUM(INDEX($FO$325:$IH$396,HU$169,1+SwaptionShift):INDEX($FO$325:$IH$396,HU$169,SwaptionMonthsToGo+SwaptionShift))))))</f>
        <v/>
      </c>
      <c r="HV171" s="469" t="str">
        <f ca="1">IF(OR(HV$169&lt;SwaptionFirstMonthPosition+1,$FN171&lt;SwaptionFirstMonthPosition+1,HV$169&gt;SwaptionFirstMonthPosition+SwaptionNumOfMonths+1,$FN171&gt;SwaptionFirstMonthPosition+SwaptionNumOfMonths+1),"",IF($FN171=HV$169,1,IF($FN171&lt;HV$169,INDEX($FO$170:$IH$241,HV$169,$FN171),SUMPRODUCT(INDEX($FO$325:$IH$396,HV$169,1+SwaptionShift):INDEX($FO$325:$IH$396,HV$169,SwaptionMonthsToGo+SwaptionShift),INDEX($FO$245:$IH$316,$FN171-HV$169,73-HV$169+SwaptionShift):INDEX($FO$245:$IH$316,$FN171-HV$169,72-HV$169+SwaptionMonthsToGo+SwaptionShift))/SQRT(SUM(INDEX($FO326:$IH326,1+SwaptionShift):INDEX($FO326:$IH326,SwaptionMonthsToGo+SwaptionShift))*SUM(INDEX($FO$325:$IH$396,HV$169,1+SwaptionShift):INDEX($FO$325:$IH$396,HV$169,SwaptionMonthsToGo+SwaptionShift))))))</f>
        <v/>
      </c>
      <c r="HW171" s="469" t="str">
        <f ca="1">IF(OR(HW$169&lt;SwaptionFirstMonthPosition+1,$FN171&lt;SwaptionFirstMonthPosition+1,HW$169&gt;SwaptionFirstMonthPosition+SwaptionNumOfMonths+1,$FN171&gt;SwaptionFirstMonthPosition+SwaptionNumOfMonths+1),"",IF($FN171=HW$169,1,IF($FN171&lt;HW$169,INDEX($FO$170:$IH$241,HW$169,$FN171),SUMPRODUCT(INDEX($FO$325:$IH$396,HW$169,1+SwaptionShift):INDEX($FO$325:$IH$396,HW$169,SwaptionMonthsToGo+SwaptionShift),INDEX($FO$245:$IH$316,$FN171-HW$169,73-HW$169+SwaptionShift):INDEX($FO$245:$IH$316,$FN171-HW$169,72-HW$169+SwaptionMonthsToGo+SwaptionShift))/SQRT(SUM(INDEX($FO326:$IH326,1+SwaptionShift):INDEX($FO326:$IH326,SwaptionMonthsToGo+SwaptionShift))*SUM(INDEX($FO$325:$IH$396,HW$169,1+SwaptionShift):INDEX($FO$325:$IH$396,HW$169,SwaptionMonthsToGo+SwaptionShift))))))</f>
        <v/>
      </c>
      <c r="HX171" s="469" t="str">
        <f ca="1">IF(OR(HX$169&lt;SwaptionFirstMonthPosition+1,$FN171&lt;SwaptionFirstMonthPosition+1,HX$169&gt;SwaptionFirstMonthPosition+SwaptionNumOfMonths+1,$FN171&gt;SwaptionFirstMonthPosition+SwaptionNumOfMonths+1),"",IF($FN171=HX$169,1,IF($FN171&lt;HX$169,INDEX($FO$170:$IH$241,HX$169,$FN171),SUMPRODUCT(INDEX($FO$325:$IH$396,HX$169,1+SwaptionShift):INDEX($FO$325:$IH$396,HX$169,SwaptionMonthsToGo+SwaptionShift),INDEX($FO$245:$IH$316,$FN171-HX$169,73-HX$169+SwaptionShift):INDEX($FO$245:$IH$316,$FN171-HX$169,72-HX$169+SwaptionMonthsToGo+SwaptionShift))/SQRT(SUM(INDEX($FO326:$IH326,1+SwaptionShift):INDEX($FO326:$IH326,SwaptionMonthsToGo+SwaptionShift))*SUM(INDEX($FO$325:$IH$396,HX$169,1+SwaptionShift):INDEX($FO$325:$IH$396,HX$169,SwaptionMonthsToGo+SwaptionShift))))))</f>
        <v/>
      </c>
      <c r="HY171" s="469" t="str">
        <f ca="1">IF(OR(HY$169&lt;SwaptionFirstMonthPosition+1,$FN171&lt;SwaptionFirstMonthPosition+1,HY$169&gt;SwaptionFirstMonthPosition+SwaptionNumOfMonths+1,$FN171&gt;SwaptionFirstMonthPosition+SwaptionNumOfMonths+1),"",IF($FN171=HY$169,1,IF($FN171&lt;HY$169,INDEX($FO$170:$IH$241,HY$169,$FN171),SUMPRODUCT(INDEX($FO$325:$IH$396,HY$169,1+SwaptionShift):INDEX($FO$325:$IH$396,HY$169,SwaptionMonthsToGo+SwaptionShift),INDEX($FO$245:$IH$316,$FN171-HY$169,73-HY$169+SwaptionShift):INDEX($FO$245:$IH$316,$FN171-HY$169,72-HY$169+SwaptionMonthsToGo+SwaptionShift))/SQRT(SUM(INDEX($FO326:$IH326,1+SwaptionShift):INDEX($FO326:$IH326,SwaptionMonthsToGo+SwaptionShift))*SUM(INDEX($FO$325:$IH$396,HY$169,1+SwaptionShift):INDEX($FO$325:$IH$396,HY$169,SwaptionMonthsToGo+SwaptionShift))))))</f>
        <v/>
      </c>
      <c r="HZ171" s="469" t="str">
        <f ca="1">IF(OR(HZ$169&lt;SwaptionFirstMonthPosition+1,$FN171&lt;SwaptionFirstMonthPosition+1,HZ$169&gt;SwaptionFirstMonthPosition+SwaptionNumOfMonths+1,$FN171&gt;SwaptionFirstMonthPosition+SwaptionNumOfMonths+1),"",IF($FN171=HZ$169,1,IF($FN171&lt;HZ$169,INDEX($FO$170:$IH$241,HZ$169,$FN171),SUMPRODUCT(INDEX($FO$325:$IH$396,HZ$169,1+SwaptionShift):INDEX($FO$325:$IH$396,HZ$169,SwaptionMonthsToGo+SwaptionShift),INDEX($FO$245:$IH$316,$FN171-HZ$169,73-HZ$169+SwaptionShift):INDEX($FO$245:$IH$316,$FN171-HZ$169,72-HZ$169+SwaptionMonthsToGo+SwaptionShift))/SQRT(SUM(INDEX($FO326:$IH326,1+SwaptionShift):INDEX($FO326:$IH326,SwaptionMonthsToGo+SwaptionShift))*SUM(INDEX($FO$325:$IH$396,HZ$169,1+SwaptionShift):INDEX($FO$325:$IH$396,HZ$169,SwaptionMonthsToGo+SwaptionShift))))))</f>
        <v/>
      </c>
      <c r="IA171" s="469" t="str">
        <f ca="1">IF(OR(IA$169&lt;SwaptionFirstMonthPosition+1,$FN171&lt;SwaptionFirstMonthPosition+1,IA$169&gt;SwaptionFirstMonthPosition+SwaptionNumOfMonths+1,$FN171&gt;SwaptionFirstMonthPosition+SwaptionNumOfMonths+1),"",IF($FN171=IA$169,1,IF($FN171&lt;IA$169,INDEX($FO$170:$IH$241,IA$169,$FN171),SUMPRODUCT(INDEX($FO$325:$IH$396,IA$169,1+SwaptionShift):INDEX($FO$325:$IH$396,IA$169,SwaptionMonthsToGo+SwaptionShift),INDEX($FO$245:$IH$316,$FN171-IA$169,73-IA$169+SwaptionShift):INDEX($FO$245:$IH$316,$FN171-IA$169,72-IA$169+SwaptionMonthsToGo+SwaptionShift))/SQRT(SUM(INDEX($FO326:$IH326,1+SwaptionShift):INDEX($FO326:$IH326,SwaptionMonthsToGo+SwaptionShift))*SUM(INDEX($FO$325:$IH$396,IA$169,1+SwaptionShift):INDEX($FO$325:$IH$396,IA$169,SwaptionMonthsToGo+SwaptionShift))))))</f>
        <v/>
      </c>
      <c r="IB171" s="469" t="str">
        <f ca="1">IF(OR(IB$169&lt;SwaptionFirstMonthPosition+1,$FN171&lt;SwaptionFirstMonthPosition+1,IB$169&gt;SwaptionFirstMonthPosition+SwaptionNumOfMonths+1,$FN171&gt;SwaptionFirstMonthPosition+SwaptionNumOfMonths+1),"",IF($FN171=IB$169,1,IF($FN171&lt;IB$169,INDEX($FO$170:$IH$241,IB$169,$FN171),SUMPRODUCT(INDEX($FO$325:$IH$396,IB$169,1+SwaptionShift):INDEX($FO$325:$IH$396,IB$169,SwaptionMonthsToGo+SwaptionShift),INDEX($FO$245:$IH$316,$FN171-IB$169,73-IB$169+SwaptionShift):INDEX($FO$245:$IH$316,$FN171-IB$169,72-IB$169+SwaptionMonthsToGo+SwaptionShift))/SQRT(SUM(INDEX($FO326:$IH326,1+SwaptionShift):INDEX($FO326:$IH326,SwaptionMonthsToGo+SwaptionShift))*SUM(INDEX($FO$325:$IH$396,IB$169,1+SwaptionShift):INDEX($FO$325:$IH$396,IB$169,SwaptionMonthsToGo+SwaptionShift))))))</f>
        <v/>
      </c>
      <c r="IC171" s="469" t="str">
        <f ca="1">IF(OR(IC$169&lt;SwaptionFirstMonthPosition+1,$FN171&lt;SwaptionFirstMonthPosition+1,IC$169&gt;SwaptionFirstMonthPosition+SwaptionNumOfMonths+1,$FN171&gt;SwaptionFirstMonthPosition+SwaptionNumOfMonths+1),"",IF($FN171=IC$169,1,IF($FN171&lt;IC$169,INDEX($FO$170:$IH$241,IC$169,$FN171),SUMPRODUCT(INDEX($FO$325:$IH$396,IC$169,1+SwaptionShift):INDEX($FO$325:$IH$396,IC$169,SwaptionMonthsToGo+SwaptionShift),INDEX($FO$245:$IH$316,$FN171-IC$169,73-IC$169+SwaptionShift):INDEX($FO$245:$IH$316,$FN171-IC$169,72-IC$169+SwaptionMonthsToGo+SwaptionShift))/SQRT(SUM(INDEX($FO326:$IH326,1+SwaptionShift):INDEX($FO326:$IH326,SwaptionMonthsToGo+SwaptionShift))*SUM(INDEX($FO$325:$IH$396,IC$169,1+SwaptionShift):INDEX($FO$325:$IH$396,IC$169,SwaptionMonthsToGo+SwaptionShift))))))</f>
        <v/>
      </c>
      <c r="ID171" s="469" t="str">
        <f ca="1">IF(OR(ID$169&lt;SwaptionFirstMonthPosition+1,$FN171&lt;SwaptionFirstMonthPosition+1,ID$169&gt;SwaptionFirstMonthPosition+SwaptionNumOfMonths+1,$FN171&gt;SwaptionFirstMonthPosition+SwaptionNumOfMonths+1),"",IF($FN171=ID$169,1,IF($FN171&lt;ID$169,INDEX($FO$170:$IH$241,ID$169,$FN171),SUMPRODUCT(INDEX($FO$325:$IH$396,ID$169,1+SwaptionShift):INDEX($FO$325:$IH$396,ID$169,SwaptionMonthsToGo+SwaptionShift),INDEX($FO$245:$IH$316,$FN171-ID$169,73-ID$169+SwaptionShift):INDEX($FO$245:$IH$316,$FN171-ID$169,72-ID$169+SwaptionMonthsToGo+SwaptionShift))/SQRT(SUM(INDEX($FO326:$IH326,1+SwaptionShift):INDEX($FO326:$IH326,SwaptionMonthsToGo+SwaptionShift))*SUM(INDEX($FO$325:$IH$396,ID$169,1+SwaptionShift):INDEX($FO$325:$IH$396,ID$169,SwaptionMonthsToGo+SwaptionShift))))))</f>
        <v/>
      </c>
      <c r="IE171" s="469" t="str">
        <f ca="1">IF(OR(IE$169&lt;SwaptionFirstMonthPosition+1,$FN171&lt;SwaptionFirstMonthPosition+1,IE$169&gt;SwaptionFirstMonthPosition+SwaptionNumOfMonths+1,$FN171&gt;SwaptionFirstMonthPosition+SwaptionNumOfMonths+1),"",IF($FN171=IE$169,1,IF($FN171&lt;IE$169,INDEX($FO$170:$IH$241,IE$169,$FN171),SUMPRODUCT(INDEX($FO$325:$IH$396,IE$169,1+SwaptionShift):INDEX($FO$325:$IH$396,IE$169,SwaptionMonthsToGo+SwaptionShift),INDEX($FO$245:$IH$316,$FN171-IE$169,73-IE$169+SwaptionShift):INDEX($FO$245:$IH$316,$FN171-IE$169,72-IE$169+SwaptionMonthsToGo+SwaptionShift))/SQRT(SUM(INDEX($FO326:$IH326,1+SwaptionShift):INDEX($FO326:$IH326,SwaptionMonthsToGo+SwaptionShift))*SUM(INDEX($FO$325:$IH$396,IE$169,1+SwaptionShift):INDEX($FO$325:$IH$396,IE$169,SwaptionMonthsToGo+SwaptionShift))))))</f>
        <v/>
      </c>
      <c r="IF171" s="469" t="str">
        <f ca="1">IF(OR(IF$169&lt;SwaptionFirstMonthPosition+1,$FN171&lt;SwaptionFirstMonthPosition+1,IF$169&gt;SwaptionFirstMonthPosition+SwaptionNumOfMonths+1,$FN171&gt;SwaptionFirstMonthPosition+SwaptionNumOfMonths+1),"",IF($FN171=IF$169,1,IF($FN171&lt;IF$169,INDEX($FO$170:$IH$241,IF$169,$FN171),SUMPRODUCT(INDEX($FO$325:$IH$396,IF$169,1+SwaptionShift):INDEX($FO$325:$IH$396,IF$169,SwaptionMonthsToGo+SwaptionShift),INDEX($FO$245:$IH$316,$FN171-IF$169,73-IF$169+SwaptionShift):INDEX($FO$245:$IH$316,$FN171-IF$169,72-IF$169+SwaptionMonthsToGo+SwaptionShift))/SQRT(SUM(INDEX($FO326:$IH326,1+SwaptionShift):INDEX($FO326:$IH326,SwaptionMonthsToGo+SwaptionShift))*SUM(INDEX($FO$325:$IH$396,IF$169,1+SwaptionShift):INDEX($FO$325:$IH$396,IF$169,SwaptionMonthsToGo+SwaptionShift))))))</f>
        <v/>
      </c>
      <c r="IG171" s="469" t="str">
        <f ca="1">IF(OR(IG$169&lt;SwaptionFirstMonthPosition+1,$FN171&lt;SwaptionFirstMonthPosition+1,IG$169&gt;SwaptionFirstMonthPosition+SwaptionNumOfMonths+1,$FN171&gt;SwaptionFirstMonthPosition+SwaptionNumOfMonths+1),"",IF($FN171=IG$169,1,IF($FN171&lt;IG$169,INDEX($FO$170:$IH$241,IG$169,$FN171),SUMPRODUCT(INDEX($FO$325:$IH$396,IG$169,1+SwaptionShift):INDEX($FO$325:$IH$396,IG$169,SwaptionMonthsToGo+SwaptionShift),INDEX($FO$245:$IH$316,$FN171-IG$169,73-IG$169+SwaptionShift):INDEX($FO$245:$IH$316,$FN171-IG$169,72-IG$169+SwaptionMonthsToGo+SwaptionShift))/SQRT(SUM(INDEX($FO326:$IH326,1+SwaptionShift):INDEX($FO326:$IH326,SwaptionMonthsToGo+SwaptionShift))*SUM(INDEX($FO$325:$IH$396,IG$169,1+SwaptionShift):INDEX($FO$325:$IH$396,IG$169,SwaptionMonthsToGo+SwaptionShift))))))</f>
        <v/>
      </c>
      <c r="IH171" s="662" t="str">
        <f ca="1">IF(OR(IH$169&lt;SwaptionFirstMonthPosition+1,$FN171&lt;SwaptionFirstMonthPosition+1,IH$169&gt;SwaptionFirstMonthPosition+SwaptionNumOfMonths+1,$FN171&gt;SwaptionFirstMonthPosition+SwaptionNumOfMonths+1),"",IF($FN171=IH$169,1,IF($FN171&lt;IH$169,INDEX($FO$170:$IH$241,IH$169,$FN171),SUMPRODUCT(INDEX($FO$325:$IH$396,IH$169,1+SwaptionShift):INDEX($FO$325:$IH$396,IH$169,SwaptionMonthsToGo+SwaptionShift),INDEX($FO$245:$IH$316,$FN171-IH$169,73-IH$169+SwaptionShift):INDEX($FO$245:$IH$316,$FN171-IH$169,72-IH$169+SwaptionMonthsToGo+SwaptionShift))/SQRT(SUM(INDEX($FO326:$IH326,1+SwaptionShift):INDEX($FO326:$IH326,SwaptionMonthsToGo+SwaptionShift))*SUM(INDEX($FO$325:$IH$396,IH$169,1+SwaptionShift):INDEX($FO$325:$IH$396,IH$169,SwaptionMonthsToGo+SwaptionShift))))))</f>
        <v/>
      </c>
      <c r="II171" s="242"/>
    </row>
    <row r="172" spans="8:243">
      <c r="H172" s="49" t="e">
        <f t="shared" ca="1" si="529"/>
        <v>#N/A</v>
      </c>
      <c r="I172" s="369">
        <f t="shared" si="530"/>
        <v>41640</v>
      </c>
      <c r="J172" s="367">
        <v>23.184999999999899</v>
      </c>
      <c r="K172" s="101" t="s">
        <v>267</v>
      </c>
      <c r="L172" s="382">
        <f t="shared" si="531"/>
        <v>23.184999999999913</v>
      </c>
      <c r="M172" s="163">
        <v>0.15030000000000002</v>
      </c>
      <c r="N172" s="372">
        <v>0</v>
      </c>
      <c r="O172" s="163">
        <f t="shared" si="488"/>
        <v>0.15030000000000002</v>
      </c>
      <c r="P172" s="367">
        <v>21.931345303329</v>
      </c>
      <c r="Q172" s="101" t="s">
        <v>267</v>
      </c>
      <c r="R172" s="367">
        <f t="shared" ca="1" si="549"/>
        <v>21.931345303328985</v>
      </c>
      <c r="S172" s="814">
        <f t="shared" si="474"/>
        <v>0.35096186346832386</v>
      </c>
      <c r="T172" s="813">
        <f t="shared" si="550"/>
        <v>0.99999999134440754</v>
      </c>
      <c r="U172" s="532">
        <f t="shared" si="551"/>
        <v>0.99999999999999978</v>
      </c>
      <c r="V172" s="379">
        <v>0</v>
      </c>
      <c r="W172" s="424">
        <f t="shared" si="489"/>
        <v>23.220227272727172</v>
      </c>
      <c r="X172" s="405">
        <f t="shared" si="490"/>
        <v>23.220227272727186</v>
      </c>
      <c r="Y172" s="313">
        <f t="shared" si="491"/>
        <v>22.004227272727171</v>
      </c>
      <c r="Z172" s="313">
        <f t="shared" ca="1" si="492"/>
        <v>22.004227272727185</v>
      </c>
      <c r="AA172" s="419">
        <f t="shared" si="493"/>
        <v>1.216</v>
      </c>
      <c r="AB172" s="423">
        <f t="shared" ca="1" si="494"/>
        <v>1.216</v>
      </c>
      <c r="AC172" s="221">
        <v>41628</v>
      </c>
      <c r="AD172" s="221">
        <v>41624</v>
      </c>
      <c r="AE172" s="221">
        <v>41623</v>
      </c>
      <c r="AF172" s="221">
        <v>41619</v>
      </c>
      <c r="AG172" s="241" t="s">
        <v>497</v>
      </c>
      <c r="AH172" s="239" t="s">
        <v>497</v>
      </c>
      <c r="AI172" s="141">
        <v>22</v>
      </c>
      <c r="AJ172" s="41">
        <v>13</v>
      </c>
      <c r="AK172" s="41">
        <v>9</v>
      </c>
      <c r="AL172" s="285">
        <v>22</v>
      </c>
      <c r="AM172" s="41">
        <v>9</v>
      </c>
      <c r="AN172" s="142">
        <v>13</v>
      </c>
      <c r="AO172" s="364">
        <v>6.0747276758617498E-2</v>
      </c>
      <c r="AP172" s="145">
        <f t="shared" ca="1" si="532"/>
        <v>0.46450793540380997</v>
      </c>
      <c r="AQ172" s="364">
        <v>5.3425695129669201E-2</v>
      </c>
      <c r="AR172" s="145">
        <f t="shared" ca="1" si="552"/>
        <v>0.5122577886165417</v>
      </c>
      <c r="AS172" s="264">
        <f t="shared" si="495"/>
        <v>0.14973636363636364</v>
      </c>
      <c r="AT172" s="149">
        <f t="shared" si="533"/>
        <v>0.15030000000000002</v>
      </c>
      <c r="AU172" s="149">
        <f t="shared" si="496"/>
        <v>0.14966363636363636</v>
      </c>
      <c r="AV172" s="263">
        <f t="shared" ca="1" si="560"/>
        <v>0.14810360024548516</v>
      </c>
      <c r="AW172" s="150" t="str">
        <f t="shared" ca="1" si="497"/>
        <v/>
      </c>
      <c r="AX172" s="149">
        <f t="shared" ca="1" si="553"/>
        <v>7.6103773875032142E-3</v>
      </c>
      <c r="AY172" s="149">
        <f t="shared" ca="1" si="554"/>
        <v>2.7910906043184954E-3</v>
      </c>
      <c r="AZ172" s="149">
        <f t="shared" ca="1" si="555"/>
        <v>2.541348747863824E-3</v>
      </c>
      <c r="BA172" s="149">
        <f t="shared" ca="1" si="556"/>
        <v>1.0000000000000704E-4</v>
      </c>
      <c r="BB172" s="149">
        <f t="shared" ca="1" si="557"/>
        <v>1.0000000000000704E-4</v>
      </c>
      <c r="BC172" s="149">
        <f t="shared" ca="1" si="558"/>
        <v>1.0000000000000704E-4</v>
      </c>
      <c r="BD172" s="143">
        <f t="shared" ca="1" si="498"/>
        <v>0</v>
      </c>
      <c r="BE172" s="144">
        <f t="shared" ca="1" si="499"/>
        <v>0</v>
      </c>
      <c r="BF172" s="40">
        <f t="shared" si="500"/>
        <v>2014</v>
      </c>
      <c r="BG172" s="139">
        <f t="shared" si="501"/>
        <v>1</v>
      </c>
      <c r="BH172" s="140">
        <f t="shared" ca="1" si="502"/>
        <v>4634</v>
      </c>
      <c r="BI172" s="304">
        <f t="shared" ca="1" si="570"/>
        <v>12.731006160164272</v>
      </c>
      <c r="BJ172" s="42">
        <f t="shared" ca="1" si="503"/>
        <v>12.779540787754341</v>
      </c>
      <c r="BK172" s="42">
        <f t="shared" ca="1" si="504"/>
        <v>12.782278638541474</v>
      </c>
      <c r="BL172" s="42">
        <f t="shared" ca="1" si="571"/>
        <v>12.813141683778234</v>
      </c>
      <c r="BM172" s="285">
        <f t="shared" si="572"/>
        <v>22</v>
      </c>
      <c r="BN172" s="41">
        <f t="shared" si="573"/>
        <v>13</v>
      </c>
      <c r="BO172" s="41">
        <f t="shared" si="574"/>
        <v>9</v>
      </c>
      <c r="BP172" s="297" t="str">
        <f t="shared" ca="1" si="505"/>
        <v/>
      </c>
      <c r="BQ172" s="297" t="str">
        <f t="shared" ca="1" si="506"/>
        <v/>
      </c>
      <c r="BR172" s="299" t="str">
        <f t="shared" ca="1" si="507"/>
        <v/>
      </c>
      <c r="BS172" s="153" t="str">
        <f t="shared" ca="1" si="508"/>
        <v/>
      </c>
      <c r="BT172" s="153" t="str">
        <f t="shared" ca="1" si="509"/>
        <v/>
      </c>
      <c r="BU172" s="300" t="str">
        <f t="shared" ca="1" si="510"/>
        <v/>
      </c>
      <c r="BV172" s="301" t="str">
        <f t="shared" ca="1" si="511"/>
        <v/>
      </c>
      <c r="BW172" s="300" t="str">
        <f t="shared" ca="1" si="512"/>
        <v/>
      </c>
      <c r="BX172" s="301" t="str">
        <f t="shared" ca="1" si="513"/>
        <v/>
      </c>
      <c r="BY172" s="146" t="str">
        <f t="shared" ca="1" si="514"/>
        <v/>
      </c>
      <c r="BZ172" s="146" t="str">
        <f t="shared" ca="1" si="515"/>
        <v/>
      </c>
      <c r="CA172" s="146" t="str">
        <f t="shared" ca="1" si="516"/>
        <v/>
      </c>
      <c r="CB172" s="146" t="str">
        <f t="shared" ca="1" si="517"/>
        <v/>
      </c>
      <c r="CC172" s="302">
        <v>1</v>
      </c>
      <c r="CD172" s="154">
        <f ca="1">IF(BD172,_xll.xCrudeAPO(BS172,BT172,BY172,BZ172,S173,S174,BI172,BL172,BN172,BO172,0,Strike1,AO172,CC172,0,BL172,IF(OptControl=4,0,1),0,1),0)</f>
        <v>0</v>
      </c>
      <c r="CE172" s="155">
        <f ca="1">IF(BD172,_xll.xCrudeAPO(BS172,BT172,BY172,BZ172,S173,S174,BI172,BL172,BN172,BO172,0,Strike1,AO172,CC172,0,BL172,IF(OptControl=4,0,1),1,1)+_xll.xCrudeAPO(BS172,BT172,BY172,BZ172,S173,S174,BI172,BL172,BN172,BO172,0,Strike1,AO172,CC172,0,BL172,IF(OptControl=4,0,1),1,2)+IF(OR(VolSkewFlag=2,ABS(BQ172)&lt;0.0001),0,IF(BQ172&gt;0,-1,1)*CF172*Strike1/BP172^2*BW172/10%),0)</f>
        <v>0</v>
      </c>
      <c r="CF172" s="155">
        <f ca="1">IF(BD172,(_xll.xCrudeAPO(BS172,BT172,BY172,BZ172,S173,S174,BI172,BL172,BN172,BO172,0,Strike1,AO172,CC172,0,BL172,IF(OptControl=4,0,1),3,1)+_xll.xCrudeAPO(BS172,BT172,BY172,BZ172,S173,S174,BI172,BL172,BN172,BO172,0,Strike1,AO172,CC172,0,BL172,IF(OptControl=4,0,1),3,2))/100,0)</f>
        <v>0</v>
      </c>
      <c r="CG172" s="155">
        <f ca="1">IF(BD172,_xll.xCrudeAPO(BS172,BT172,BY172,BZ172,S173,S174,BI172-DaysForThetaCalculation/365.25,BL172-DaysForThetaCalculation/365.25,BN172,BO172,0,Strike1,AO172,CC172,0,BL172,IF(OptControl=4,0,1),0,1)-_xll.xCrudeAPO(BS172,BT172,BY172,BZ172,S173,S174,BI172,BL172,BN172,BO172,0,Strike1,AO172,CC172,0,BL172,IF(OptControl=4,0,1),0,1),0)</f>
        <v>0</v>
      </c>
      <c r="CH172" s="303">
        <f ca="1">IF(BD172,_xll.xCrudeAPO(BS172,BT172,CA172,CB172,S173,S174,BI172,BL172,BN172,BO172,0,Strike2,AO172,CC172,0,BL172,IF(OptControl=3,1,0),0,1),0)</f>
        <v>0</v>
      </c>
      <c r="CI172" s="155">
        <f ca="1">IF(BD172,_xll.xCrudeAPO(BS172,BT172,CA172,CB172,S173,S174,BI172,BL172,BN172,BO172,0,Strike2,AO172,CC172,0,BL172,IF(OptControl=3,1,0),1,1)+_xll.xCrudeAPO(BS172,BT172,CA172,CB172,S173,S174,BI172,BL172,BN172,BO172,0,Strike2,AO172,CC172,0,BL172,IF(OptControl=3,1,0),1,2)+IF(OR(VolSkewFlag=2,ABS(BR172)&lt;0.0001),0,IF(BR172&gt;0,-1,1)*CJ172*Strike2/BP172^2*BX172/10%),0)</f>
        <v>0</v>
      </c>
      <c r="CJ172" s="155">
        <f ca="1">IF(BD172,(_xll.xCrudeAPO(BS172,BT172,CA172,CB172,S173,S174,BI172,BL172,BN172,BO172,0,Strike2,AO172,CC172,0,BL172,IF(OptControl=3,1,0),3,1)+_xll.xCrudeAPO(BS172,BT172,CA172,CB172,S173,S174,BI172,BL172,BN172,BO172,0,Strike2,AO172,CC172,0,BL172,IF(OptControl=3,1,0),3,2))/100,0)</f>
        <v>0</v>
      </c>
      <c r="CK172" s="156">
        <f ca="1">IF(BD172,_xll.xCrudeAPO(BS172,BT172,CA172,CB172,S173,S174,BI172-DaysForThetaCalculation/365.25,BL172-DaysForThetaCalculation/365.25,BN172,BO172,0,Strike2,AO172,CC172,0,BL172,IF(OptControl=3,1,0),0,1)-_xll.xCrudeAPO(BS172,BT172,CA172,CB172,S173,S174,BI172,BL172,BN172,BO172,0,Strike2,AO172,CC172,0,BL172,IF(OptControl=3,1,0),0,1),0)</f>
        <v>0</v>
      </c>
      <c r="CL172" s="51"/>
      <c r="CM172" s="779" t="str">
        <f t="shared" ca="1" si="534"/>
        <v/>
      </c>
      <c r="CN172" s="783" t="str">
        <f t="shared" ca="1" si="535"/>
        <v/>
      </c>
      <c r="CO172" s="780" t="str">
        <f t="shared" ca="1" si="536"/>
        <v/>
      </c>
      <c r="CP172" s="780" t="str">
        <f t="shared" ca="1" si="537"/>
        <v/>
      </c>
      <c r="CQ172" s="780" t="str">
        <f t="shared" ca="1" si="538"/>
        <v/>
      </c>
      <c r="CR172" s="780" t="str">
        <f t="shared" ca="1" si="539"/>
        <v/>
      </c>
      <c r="CS172" s="781" t="str">
        <f t="shared" ca="1" si="540"/>
        <v/>
      </c>
      <c r="CT172" s="782" t="str">
        <f t="shared" ca="1" si="541"/>
        <v/>
      </c>
      <c r="CU172" s="782" t="str">
        <f t="shared" ca="1" si="542"/>
        <v/>
      </c>
      <c r="CV172" s="155">
        <f ca="1">IF(BD172,_xll.EURO(CN172,Strike1,AO172,AO172,CT172,CM172,IF(OptControl=4,0,1),0),0)</f>
        <v>0</v>
      </c>
      <c r="CW172" s="155">
        <f ca="1">IF(BD172,_xll.EURO(CN172,Strike1,AO172,AO172,CT172,CM172,IF(OptControl=4,0,1),1)+IF(OR(VolSkewFlag=2,ABS(CO172)&lt;0.0001),0,IF(CO172&gt;0,-1,1)*CX172*100*Strike1/CN172^2*CQ172/10%),0)</f>
        <v>0</v>
      </c>
      <c r="CX172" s="155">
        <f ca="1">IF(BD172,_xll.EURO(CN172,Strike1,AO172,AO172,CT172,CM172,IF(OptControl=4,0,1),3)/100,0)</f>
        <v>0</v>
      </c>
      <c r="CY172" s="155">
        <f ca="1">IF(BD172,_xll.EURO(CN172,Strike1,AO172,AO172,CT172,CM172,IF(OptControl=4,0,1),0)-_xll.EURO(CN172,Strike1,AO172,AO172,CT172,CM172-1,IF(OptControl=4,0,1),0),0)</f>
        <v>0</v>
      </c>
      <c r="CZ172" s="155">
        <f ca="1">IF(BD172,_xll.EURO(CN172,Strike2,AO172,AO172,CU172,CM172,IF(OptControl=3,1,0),0),0)</f>
        <v>0</v>
      </c>
      <c r="DA172" s="155">
        <f ca="1">IF(BD172,_xll.EURO(CN172,Strike2,AO172,AO172,CU172,CM172,IF(OptControl=3,1,0),1)+IF(OR(VolSkewFlag=2,ABS(CP172)&lt;0.0001),0,IF(CP172&gt;0,-1,1)*DB172*100*Strike2/CN172^2*CR172/10%),0)</f>
        <v>0</v>
      </c>
      <c r="DB172" s="155">
        <f ca="1">IF(BD172,_xll.EURO(CN172,Strike2,AO172,AO172,CU172,CM172,IF(OptControl=3,1,0),3)/100,0)</f>
        <v>0</v>
      </c>
      <c r="DC172" s="156">
        <f ca="1">IF(BD172,_xll.EURO(CN172,Strike2,AO172,AO172,CU172,CM172,IF(OptControl=3,1,0),0)-_xll.EURO(CN172,Strike2,AO172,AO172,CU172,CM172-1,IF(OptControl=3,1,0),0),0)</f>
        <v>0</v>
      </c>
      <c r="DE172" s="651">
        <f t="shared" ca="1" si="543"/>
        <v>41548</v>
      </c>
      <c r="DF172" s="465">
        <v>1E-4</v>
      </c>
      <c r="DG172" s="649">
        <v>1E-4</v>
      </c>
      <c r="DH172" s="650">
        <f t="shared" ca="1" si="518"/>
        <v>41548</v>
      </c>
      <c r="DI172" s="465">
        <v>1E-4</v>
      </c>
      <c r="DJ172" s="649">
        <v>1E-4</v>
      </c>
      <c r="DK172" s="651">
        <f t="shared" ca="1" si="519"/>
        <v>41548</v>
      </c>
      <c r="DL172" s="652">
        <f t="shared" si="520"/>
        <v>5.0100000000000006E-2</v>
      </c>
      <c r="DM172" s="651">
        <f t="shared" ca="1" si="544"/>
        <v>41548</v>
      </c>
      <c r="DN172" s="563">
        <f t="shared" si="545"/>
        <v>-0.12990000000000002</v>
      </c>
      <c r="DO172" s="803">
        <v>-0.13</v>
      </c>
      <c r="DP172" s="650">
        <f t="shared" ca="1" si="521"/>
        <v>41548</v>
      </c>
      <c r="DQ172" s="653">
        <v>1E-4</v>
      </c>
      <c r="DR172" s="590">
        <v>1E-4</v>
      </c>
      <c r="DS172" s="650">
        <f t="shared" ca="1" si="522"/>
        <v>41548</v>
      </c>
      <c r="DT172" s="653">
        <v>1E-4</v>
      </c>
      <c r="DU172" s="590">
        <v>1E-4</v>
      </c>
      <c r="DV172" s="651">
        <f t="shared" ca="1" si="523"/>
        <v>41548</v>
      </c>
      <c r="DW172" s="590">
        <v>1E-4</v>
      </c>
      <c r="DX172" s="651">
        <f t="shared" ca="1" si="546"/>
        <v>41548</v>
      </c>
      <c r="DY172" s="590">
        <f t="shared" si="547"/>
        <v>1E-4</v>
      </c>
      <c r="DZ172" s="1"/>
      <c r="EA172" s="857"/>
      <c r="EB172" s="857"/>
      <c r="EC172" s="857"/>
      <c r="ED172" s="868" t="e">
        <f t="shared" ca="1" si="566"/>
        <v>#NAME?</v>
      </c>
      <c r="EE172" s="863" t="e">
        <f t="shared" ca="1" si="524"/>
        <v>#NAME?</v>
      </c>
      <c r="EF172" s="590" t="e">
        <f t="shared" ca="1" si="525"/>
        <v>#NAME?</v>
      </c>
      <c r="EG172" s="862" t="str">
        <f t="shared" ca="1" si="526"/>
        <v/>
      </c>
      <c r="EH172" s="114" t="str">
        <f t="shared" ca="1" si="527"/>
        <v/>
      </c>
      <c r="EI172" s="109" t="str">
        <f t="shared" ca="1" si="528"/>
        <v/>
      </c>
      <c r="EJ172" s="115">
        <f ca="1">IF(BD172,_xll.xASN(BP172,Strike1,AO172,EH172,0,BM172,0,BI172,BL172,IF(OptControl=4,0,1),0),0)</f>
        <v>0</v>
      </c>
      <c r="EK172" s="108">
        <f ca="1">IF(BD172,_xll.xASN(BP172,Strike2,AO172,EI172,0,BM172,0,BI172,BL172,IF(OptControl=3,1,0),0),0)</f>
        <v>0</v>
      </c>
      <c r="EP172" s="53"/>
      <c r="EQ172" s="1"/>
      <c r="ER172" s="103"/>
      <c r="ES172" s="103"/>
      <c r="ET172" s="1"/>
      <c r="EU172" s="667" t="s">
        <v>384</v>
      </c>
      <c r="EW172" s="445"/>
      <c r="EX172" s="36"/>
      <c r="EY172" s="104"/>
      <c r="EZ172" s="465"/>
      <c r="FA172" s="446"/>
      <c r="FB172" s="446"/>
      <c r="FC172" s="242"/>
      <c r="FD172" s="242"/>
      <c r="FE172" s="242"/>
      <c r="FF172" s="242"/>
      <c r="FG172" s="242"/>
      <c r="FH172" s="242"/>
      <c r="FI172" s="242"/>
      <c r="FJ172" s="242"/>
      <c r="FK172" s="242"/>
      <c r="FL172" s="242"/>
      <c r="FM172" s="242"/>
      <c r="FN172" s="657">
        <v>3</v>
      </c>
      <c r="FO172" s="469" t="str">
        <f ca="1">IF(OR(FO$169&lt;SwaptionFirstMonthPosition+1,$FN172&lt;SwaptionFirstMonthPosition+1,FO$169&gt;SwaptionFirstMonthPosition+SwaptionNumOfMonths+1,$FN172&gt;SwaptionFirstMonthPosition+SwaptionNumOfMonths+1),"",IF($FN172=FO$169,1,IF($FN172&lt;FO$169,INDEX($FO$170:$IH$241,FO$169,$FN172),SUMPRODUCT(INDEX($FO$325:$IH$396,FO$169,1+SwaptionShift):INDEX($FO$325:$IH$396,FO$169,SwaptionMonthsToGo+SwaptionShift),INDEX($FO$245:$IH$316,$FN172-FO$169,73-FO$169+SwaptionShift):INDEX($FO$245:$IH$316,$FN172-FO$169,72-FO$169+SwaptionMonthsToGo+SwaptionShift))/SQRT(SUM(INDEX($FO327:$IH327,1+SwaptionShift):INDEX($FO327:$IH327,SwaptionMonthsToGo+SwaptionShift))*SUM(INDEX($FO$325:$IH$396,FO$169,1+SwaptionShift):INDEX($FO$325:$IH$396,FO$169,SwaptionMonthsToGo+SwaptionShift))))))</f>
        <v/>
      </c>
      <c r="FP172" s="469">
        <f ca="1">IF(OR(FP$169&lt;SwaptionFirstMonthPosition+1,$FN172&lt;SwaptionFirstMonthPosition+1,FP$169&gt;SwaptionFirstMonthPosition+SwaptionNumOfMonths+1,$FN172&gt;SwaptionFirstMonthPosition+SwaptionNumOfMonths+1),"",IF($FN172=FP$169,1,IF($FN172&lt;FP$169,INDEX($FO$170:$IH$241,FP$169,$FN172),SUMPRODUCT(INDEX($FO$325:$IH$396,FP$169,1+SwaptionShift):INDEX($FO$325:$IH$396,FP$169,SwaptionMonthsToGo+SwaptionShift),INDEX($FO$245:$IH$316,$FN172-FP$169,73-FP$169+SwaptionShift):INDEX($FO$245:$IH$316,$FN172-FP$169,72-FP$169+SwaptionMonthsToGo+SwaptionShift))/SQRT(SUM(INDEX($FO327:$IH327,1+SwaptionShift):INDEX($FO327:$IH327,SwaptionMonthsToGo+SwaptionShift))*SUM(INDEX($FO$325:$IH$396,FP$169,1+SwaptionShift):INDEX($FO$325:$IH$396,FP$169,SwaptionMonthsToGo+SwaptionShift))))))</f>
        <v>0.98098349874030955</v>
      </c>
      <c r="FQ172" s="469">
        <f ca="1">IF(OR(FQ$169&lt;SwaptionFirstMonthPosition+1,$FN172&lt;SwaptionFirstMonthPosition+1,FQ$169&gt;SwaptionFirstMonthPosition+SwaptionNumOfMonths+1,$FN172&gt;SwaptionFirstMonthPosition+SwaptionNumOfMonths+1),"",IF($FN172=FQ$169,1,IF($FN172&lt;FQ$169,INDEX($FO$170:$IH$241,FQ$169,$FN172),SUMPRODUCT(INDEX($FO$325:$IH$396,FQ$169,1+SwaptionShift):INDEX($FO$325:$IH$396,FQ$169,SwaptionMonthsToGo+SwaptionShift),INDEX($FO$245:$IH$316,$FN172-FQ$169,73-FQ$169+SwaptionShift):INDEX($FO$245:$IH$316,$FN172-FQ$169,72-FQ$169+SwaptionMonthsToGo+SwaptionShift))/SQRT(SUM(INDEX($FO327:$IH327,1+SwaptionShift):INDEX($FO327:$IH327,SwaptionMonthsToGo+SwaptionShift))*SUM(INDEX($FO$325:$IH$396,FQ$169,1+SwaptionShift):INDEX($FO$325:$IH$396,FQ$169,SwaptionMonthsToGo+SwaptionShift))))))</f>
        <v>1</v>
      </c>
      <c r="FR172" s="469">
        <f ca="1">IF(OR(FR$169&lt;SwaptionFirstMonthPosition+1,$FN172&lt;SwaptionFirstMonthPosition+1,FR$169&gt;SwaptionFirstMonthPosition+SwaptionNumOfMonths+1,$FN172&gt;SwaptionFirstMonthPosition+SwaptionNumOfMonths+1),"",IF($FN172=FR$169,1,IF($FN172&lt;FR$169,INDEX($FO$170:$IH$241,FR$169,$FN172),SUMPRODUCT(INDEX($FO$325:$IH$396,FR$169,1+SwaptionShift):INDEX($FO$325:$IH$396,FR$169,SwaptionMonthsToGo+SwaptionShift),INDEX($FO$245:$IH$316,$FN172-FR$169,73-FR$169+SwaptionShift):INDEX($FO$245:$IH$316,$FN172-FR$169,72-FR$169+SwaptionMonthsToGo+SwaptionShift))/SQRT(SUM(INDEX($FO327:$IH327,1+SwaptionShift):INDEX($FO327:$IH327,SwaptionMonthsToGo+SwaptionShift))*SUM(INDEX($FO$325:$IH$396,FR$169,1+SwaptionShift):INDEX($FO$325:$IH$396,FR$169,SwaptionMonthsToGo+SwaptionShift))))))</f>
        <v>0.98442258043370012</v>
      </c>
      <c r="FS172" s="469">
        <f ca="1">IF(OR(FS$169&lt;SwaptionFirstMonthPosition+1,$FN172&lt;SwaptionFirstMonthPosition+1,FS$169&gt;SwaptionFirstMonthPosition+SwaptionNumOfMonths+1,$FN172&gt;SwaptionFirstMonthPosition+SwaptionNumOfMonths+1),"",IF($FN172=FS$169,1,IF($FN172&lt;FS$169,INDEX($FO$170:$IH$241,FS$169,$FN172),SUMPRODUCT(INDEX($FO$325:$IH$396,FS$169,1+SwaptionShift):INDEX($FO$325:$IH$396,FS$169,SwaptionMonthsToGo+SwaptionShift),INDEX($FO$245:$IH$316,$FN172-FS$169,73-FS$169+SwaptionShift):INDEX($FO$245:$IH$316,$FN172-FS$169,72-FS$169+SwaptionMonthsToGo+SwaptionShift))/SQRT(SUM(INDEX($FO327:$IH327,1+SwaptionShift):INDEX($FO327:$IH327,SwaptionMonthsToGo+SwaptionShift))*SUM(INDEX($FO$325:$IH$396,FS$169,1+SwaptionShift):INDEX($FO$325:$IH$396,FS$169,SwaptionMonthsToGo+SwaptionShift))))))</f>
        <v>0.97174834435817459</v>
      </c>
      <c r="FT172" s="469">
        <f ca="1">IF(OR(FT$169&lt;SwaptionFirstMonthPosition+1,$FN172&lt;SwaptionFirstMonthPosition+1,FT$169&gt;SwaptionFirstMonthPosition+SwaptionNumOfMonths+1,$FN172&gt;SwaptionFirstMonthPosition+SwaptionNumOfMonths+1),"",IF($FN172=FT$169,1,IF($FN172&lt;FT$169,INDEX($FO$170:$IH$241,FT$169,$FN172),SUMPRODUCT(INDEX($FO$325:$IH$396,FT$169,1+SwaptionShift):INDEX($FO$325:$IH$396,FT$169,SwaptionMonthsToGo+SwaptionShift),INDEX($FO$245:$IH$316,$FN172-FT$169,73-FT$169+SwaptionShift):INDEX($FO$245:$IH$316,$FN172-FT$169,72-FT$169+SwaptionMonthsToGo+SwaptionShift))/SQRT(SUM(INDEX($FO327:$IH327,1+SwaptionShift):INDEX($FO327:$IH327,SwaptionMonthsToGo+SwaptionShift))*SUM(INDEX($FO$325:$IH$396,FT$169,1+SwaptionShift):INDEX($FO$325:$IH$396,FT$169,SwaptionMonthsToGo+SwaptionShift))))))</f>
        <v>0.96132545008523385</v>
      </c>
      <c r="FU172" s="469">
        <f ca="1">IF(OR(FU$169&lt;SwaptionFirstMonthPosition+1,$FN172&lt;SwaptionFirstMonthPosition+1,FU$169&gt;SwaptionFirstMonthPosition+SwaptionNumOfMonths+1,$FN172&gt;SwaptionFirstMonthPosition+SwaptionNumOfMonths+1),"",IF($FN172=FU$169,1,IF($FN172&lt;FU$169,INDEX($FO$170:$IH$241,FU$169,$FN172),SUMPRODUCT(INDEX($FO$325:$IH$396,FU$169,1+SwaptionShift):INDEX($FO$325:$IH$396,FU$169,SwaptionMonthsToGo+SwaptionShift),INDEX($FO$245:$IH$316,$FN172-FU$169,73-FU$169+SwaptionShift):INDEX($FO$245:$IH$316,$FN172-FU$169,72-FU$169+SwaptionMonthsToGo+SwaptionShift))/SQRT(SUM(INDEX($FO327:$IH327,1+SwaptionShift):INDEX($FO327:$IH327,SwaptionMonthsToGo+SwaptionShift))*SUM(INDEX($FO$325:$IH$396,FU$169,1+SwaptionShift):INDEX($FO$325:$IH$396,FU$169,SwaptionMonthsToGo+SwaptionShift))))))</f>
        <v>0.95266914852180873</v>
      </c>
      <c r="FV172" s="469">
        <f ca="1">IF(OR(FV$169&lt;SwaptionFirstMonthPosition+1,$FN172&lt;SwaptionFirstMonthPosition+1,FV$169&gt;SwaptionFirstMonthPosition+SwaptionNumOfMonths+1,$FN172&gt;SwaptionFirstMonthPosition+SwaptionNumOfMonths+1),"",IF($FN172=FV$169,1,IF($FN172&lt;FV$169,INDEX($FO$170:$IH$241,FV$169,$FN172),SUMPRODUCT(INDEX($FO$325:$IH$396,FV$169,1+SwaptionShift):INDEX($FO$325:$IH$396,FV$169,SwaptionMonthsToGo+SwaptionShift),INDEX($FO$245:$IH$316,$FN172-FV$169,73-FV$169+SwaptionShift):INDEX($FO$245:$IH$316,$FN172-FV$169,72-FV$169+SwaptionMonthsToGo+SwaptionShift))/SQRT(SUM(INDEX($FO327:$IH327,1+SwaptionShift):INDEX($FO327:$IH327,SwaptionMonthsToGo+SwaptionShift))*SUM(INDEX($FO$325:$IH$396,FV$169,1+SwaptionShift):INDEX($FO$325:$IH$396,FV$169,SwaptionMonthsToGo+SwaptionShift))))))</f>
        <v>0.94541458076939411</v>
      </c>
      <c r="FW172" s="469">
        <f ca="1">IF(OR(FW$169&lt;SwaptionFirstMonthPosition+1,$FN172&lt;SwaptionFirstMonthPosition+1,FW$169&gt;SwaptionFirstMonthPosition+SwaptionNumOfMonths+1,$FN172&gt;SwaptionFirstMonthPosition+SwaptionNumOfMonths+1),"",IF($FN172=FW$169,1,IF($FN172&lt;FW$169,INDEX($FO$170:$IH$241,FW$169,$FN172),SUMPRODUCT(INDEX($FO$325:$IH$396,FW$169,1+SwaptionShift):INDEX($FO$325:$IH$396,FW$169,SwaptionMonthsToGo+SwaptionShift),INDEX($FO$245:$IH$316,$FN172-FW$169,73-FW$169+SwaptionShift):INDEX($FO$245:$IH$316,$FN172-FW$169,72-FW$169+SwaptionMonthsToGo+SwaptionShift))/SQRT(SUM(INDEX($FO327:$IH327,1+SwaptionShift):INDEX($FO327:$IH327,SwaptionMonthsToGo+SwaptionShift))*SUM(INDEX($FO$325:$IH$396,FW$169,1+SwaptionShift):INDEX($FO$325:$IH$396,FW$169,SwaptionMonthsToGo+SwaptionShift))))))</f>
        <v>0.93928408768773386</v>
      </c>
      <c r="FX172" s="469">
        <f ca="1">IF(OR(FX$169&lt;SwaptionFirstMonthPosition+1,$FN172&lt;SwaptionFirstMonthPosition+1,FX$169&gt;SwaptionFirstMonthPosition+SwaptionNumOfMonths+1,$FN172&gt;SwaptionFirstMonthPosition+SwaptionNumOfMonths+1),"",IF($FN172=FX$169,1,IF($FN172&lt;FX$169,INDEX($FO$170:$IH$241,FX$169,$FN172),SUMPRODUCT(INDEX($FO$325:$IH$396,FX$169,1+SwaptionShift):INDEX($FO$325:$IH$396,FX$169,SwaptionMonthsToGo+SwaptionShift),INDEX($FO$245:$IH$316,$FN172-FX$169,73-FX$169+SwaptionShift):INDEX($FO$245:$IH$316,$FN172-FX$169,72-FX$169+SwaptionMonthsToGo+SwaptionShift))/SQRT(SUM(INDEX($FO327:$IH327,1+SwaptionShift):INDEX($FO327:$IH327,SwaptionMonthsToGo+SwaptionShift))*SUM(INDEX($FO$325:$IH$396,FX$169,1+SwaptionShift):INDEX($FO$325:$IH$396,FX$169,SwaptionMonthsToGo+SwaptionShift))))))</f>
        <v>0.9340641838902749</v>
      </c>
      <c r="FY172" s="469">
        <f ca="1">IF(OR(FY$169&lt;SwaptionFirstMonthPosition+1,$FN172&lt;SwaptionFirstMonthPosition+1,FY$169&gt;SwaptionFirstMonthPosition+SwaptionNumOfMonths+1,$FN172&gt;SwaptionFirstMonthPosition+SwaptionNumOfMonths+1),"",IF($FN172=FY$169,1,IF($FN172&lt;FY$169,INDEX($FO$170:$IH$241,FY$169,$FN172),SUMPRODUCT(INDEX($FO$325:$IH$396,FY$169,1+SwaptionShift):INDEX($FO$325:$IH$396,FY$169,SwaptionMonthsToGo+SwaptionShift),INDEX($FO$245:$IH$316,$FN172-FY$169,73-FY$169+SwaptionShift):INDEX($FO$245:$IH$316,$FN172-FY$169,72-FY$169+SwaptionMonthsToGo+SwaptionShift))/SQRT(SUM(INDEX($FO327:$IH327,1+SwaptionShift):INDEX($FO327:$IH327,SwaptionMonthsToGo+SwaptionShift))*SUM(INDEX($FO$325:$IH$396,FY$169,1+SwaptionShift):INDEX($FO$325:$IH$396,FY$169,SwaptionMonthsToGo+SwaptionShift))))))</f>
        <v>0.92958910546237683</v>
      </c>
      <c r="FZ172" s="469">
        <f ca="1">IF(OR(FZ$169&lt;SwaptionFirstMonthPosition+1,$FN172&lt;SwaptionFirstMonthPosition+1,FZ$169&gt;SwaptionFirstMonthPosition+SwaptionNumOfMonths+1,$FN172&gt;SwaptionFirstMonthPosition+SwaptionNumOfMonths+1),"",IF($FN172=FZ$169,1,IF($FN172&lt;FZ$169,INDEX($FO$170:$IH$241,FZ$169,$FN172),SUMPRODUCT(INDEX($FO$325:$IH$396,FZ$169,1+SwaptionShift):INDEX($FO$325:$IH$396,FZ$169,SwaptionMonthsToGo+SwaptionShift),INDEX($FO$245:$IH$316,$FN172-FZ$169,73-FZ$169+SwaptionShift):INDEX($FO$245:$IH$316,$FN172-FZ$169,72-FZ$169+SwaptionMonthsToGo+SwaptionShift))/SQRT(SUM(INDEX($FO327:$IH327,1+SwaptionShift):INDEX($FO327:$IH327,SwaptionMonthsToGo+SwaptionShift))*SUM(INDEX($FO$325:$IH$396,FZ$169,1+SwaptionShift):INDEX($FO$325:$IH$396,FZ$169,SwaptionMonthsToGo+SwaptionShift))))))</f>
        <v>0.92572891077522701</v>
      </c>
      <c r="GA172" s="469">
        <f ca="1">IF(OR(GA$169&lt;SwaptionFirstMonthPosition+1,$FN172&lt;SwaptionFirstMonthPosition+1,GA$169&gt;SwaptionFirstMonthPosition+SwaptionNumOfMonths+1,$FN172&gt;SwaptionFirstMonthPosition+SwaptionNumOfMonths+1),"",IF($FN172=GA$169,1,IF($FN172&lt;GA$169,INDEX($FO$170:$IH$241,GA$169,$FN172),SUMPRODUCT(INDEX($FO$325:$IH$396,GA$169,1+SwaptionShift):INDEX($FO$325:$IH$396,GA$169,SwaptionMonthsToGo+SwaptionShift),INDEX($FO$245:$IH$316,$FN172-GA$169,73-GA$169+SwaptionShift):INDEX($FO$245:$IH$316,$FN172-GA$169,72-GA$169+SwaptionMonthsToGo+SwaptionShift))/SQRT(SUM(INDEX($FO327:$IH327,1+SwaptionShift):INDEX($FO327:$IH327,SwaptionMonthsToGo+SwaptionShift))*SUM(INDEX($FO$325:$IH$396,GA$169,1+SwaptionShift):INDEX($FO$325:$IH$396,GA$169,SwaptionMonthsToGo+SwaptionShift))))))</f>
        <v>0.92238078383899691</v>
      </c>
      <c r="GB172" s="469">
        <f ca="1">IF(OR(GB$169&lt;SwaptionFirstMonthPosition+1,$FN172&lt;SwaptionFirstMonthPosition+1,GB$169&gt;SwaptionFirstMonthPosition+SwaptionNumOfMonths+1,$FN172&gt;SwaptionFirstMonthPosition+SwaptionNumOfMonths+1),"",IF($FN172=GB$169,1,IF($FN172&lt;GB$169,INDEX($FO$170:$IH$241,GB$169,$FN172),SUMPRODUCT(INDEX($FO$325:$IH$396,GB$169,1+SwaptionShift):INDEX($FO$325:$IH$396,GB$169,SwaptionMonthsToGo+SwaptionShift),INDEX($FO$245:$IH$316,$FN172-GB$169,73-GB$169+SwaptionShift):INDEX($FO$245:$IH$316,$FN172-GB$169,72-GB$169+SwaptionMonthsToGo+SwaptionShift))/SQRT(SUM(INDEX($FO327:$IH327,1+SwaptionShift):INDEX($FO327:$IH327,SwaptionMonthsToGo+SwaptionShift))*SUM(INDEX($FO$325:$IH$396,GB$169,1+SwaptionShift):INDEX($FO$325:$IH$396,GB$169,SwaptionMonthsToGo+SwaptionShift))))))</f>
        <v>0.91946261992625289</v>
      </c>
      <c r="GC172" s="469" t="str">
        <f ca="1">IF(OR(GC$169&lt;SwaptionFirstMonthPosition+1,$FN172&lt;SwaptionFirstMonthPosition+1,GC$169&gt;SwaptionFirstMonthPosition+SwaptionNumOfMonths+1,$FN172&gt;SwaptionFirstMonthPosition+SwaptionNumOfMonths+1),"",IF($FN172=GC$169,1,IF($FN172&lt;GC$169,INDEX($FO$170:$IH$241,GC$169,$FN172),SUMPRODUCT(INDEX($FO$325:$IH$396,GC$169,1+SwaptionShift):INDEX($FO$325:$IH$396,GC$169,SwaptionMonthsToGo+SwaptionShift),INDEX($FO$245:$IH$316,$FN172-GC$169,73-GC$169+SwaptionShift):INDEX($FO$245:$IH$316,$FN172-GC$169,72-GC$169+SwaptionMonthsToGo+SwaptionShift))/SQRT(SUM(INDEX($FO327:$IH327,1+SwaptionShift):INDEX($FO327:$IH327,SwaptionMonthsToGo+SwaptionShift))*SUM(INDEX($FO$325:$IH$396,GC$169,1+SwaptionShift):INDEX($FO$325:$IH$396,GC$169,SwaptionMonthsToGo+SwaptionShift))))))</f>
        <v/>
      </c>
      <c r="GD172" s="469" t="str">
        <f ca="1">IF(OR(GD$169&lt;SwaptionFirstMonthPosition+1,$FN172&lt;SwaptionFirstMonthPosition+1,GD$169&gt;SwaptionFirstMonthPosition+SwaptionNumOfMonths+1,$FN172&gt;SwaptionFirstMonthPosition+SwaptionNumOfMonths+1),"",IF($FN172=GD$169,1,IF($FN172&lt;GD$169,INDEX($FO$170:$IH$241,GD$169,$FN172),SUMPRODUCT(INDEX($FO$325:$IH$396,GD$169,1+SwaptionShift):INDEX($FO$325:$IH$396,GD$169,SwaptionMonthsToGo+SwaptionShift),INDEX($FO$245:$IH$316,$FN172-GD$169,73-GD$169+SwaptionShift):INDEX($FO$245:$IH$316,$FN172-GD$169,72-GD$169+SwaptionMonthsToGo+SwaptionShift))/SQRT(SUM(INDEX($FO327:$IH327,1+SwaptionShift):INDEX($FO327:$IH327,SwaptionMonthsToGo+SwaptionShift))*SUM(INDEX($FO$325:$IH$396,GD$169,1+SwaptionShift):INDEX($FO$325:$IH$396,GD$169,SwaptionMonthsToGo+SwaptionShift))))))</f>
        <v/>
      </c>
      <c r="GE172" s="469" t="str">
        <f ca="1">IF(OR(GE$169&lt;SwaptionFirstMonthPosition+1,$FN172&lt;SwaptionFirstMonthPosition+1,GE$169&gt;SwaptionFirstMonthPosition+SwaptionNumOfMonths+1,$FN172&gt;SwaptionFirstMonthPosition+SwaptionNumOfMonths+1),"",IF($FN172=GE$169,1,IF($FN172&lt;GE$169,INDEX($FO$170:$IH$241,GE$169,$FN172),SUMPRODUCT(INDEX($FO$325:$IH$396,GE$169,1+SwaptionShift):INDEX($FO$325:$IH$396,GE$169,SwaptionMonthsToGo+SwaptionShift),INDEX($FO$245:$IH$316,$FN172-GE$169,73-GE$169+SwaptionShift):INDEX($FO$245:$IH$316,$FN172-GE$169,72-GE$169+SwaptionMonthsToGo+SwaptionShift))/SQRT(SUM(INDEX($FO327:$IH327,1+SwaptionShift):INDEX($FO327:$IH327,SwaptionMonthsToGo+SwaptionShift))*SUM(INDEX($FO$325:$IH$396,GE$169,1+SwaptionShift):INDEX($FO$325:$IH$396,GE$169,SwaptionMonthsToGo+SwaptionShift))))))</f>
        <v/>
      </c>
      <c r="GF172" s="469" t="str">
        <f ca="1">IF(OR(GF$169&lt;SwaptionFirstMonthPosition+1,$FN172&lt;SwaptionFirstMonthPosition+1,GF$169&gt;SwaptionFirstMonthPosition+SwaptionNumOfMonths+1,$FN172&gt;SwaptionFirstMonthPosition+SwaptionNumOfMonths+1),"",IF($FN172=GF$169,1,IF($FN172&lt;GF$169,INDEX($FO$170:$IH$241,GF$169,$FN172),SUMPRODUCT(INDEX($FO$325:$IH$396,GF$169,1+SwaptionShift):INDEX($FO$325:$IH$396,GF$169,SwaptionMonthsToGo+SwaptionShift),INDEX($FO$245:$IH$316,$FN172-GF$169,73-GF$169+SwaptionShift):INDEX($FO$245:$IH$316,$FN172-GF$169,72-GF$169+SwaptionMonthsToGo+SwaptionShift))/SQRT(SUM(INDEX($FO327:$IH327,1+SwaptionShift):INDEX($FO327:$IH327,SwaptionMonthsToGo+SwaptionShift))*SUM(INDEX($FO$325:$IH$396,GF$169,1+SwaptionShift):INDEX($FO$325:$IH$396,GF$169,SwaptionMonthsToGo+SwaptionShift))))))</f>
        <v/>
      </c>
      <c r="GG172" s="469" t="str">
        <f ca="1">IF(OR(GG$169&lt;SwaptionFirstMonthPosition+1,$FN172&lt;SwaptionFirstMonthPosition+1,GG$169&gt;SwaptionFirstMonthPosition+SwaptionNumOfMonths+1,$FN172&gt;SwaptionFirstMonthPosition+SwaptionNumOfMonths+1),"",IF($FN172=GG$169,1,IF($FN172&lt;GG$169,INDEX($FO$170:$IH$241,GG$169,$FN172),SUMPRODUCT(INDEX($FO$325:$IH$396,GG$169,1+SwaptionShift):INDEX($FO$325:$IH$396,GG$169,SwaptionMonthsToGo+SwaptionShift),INDEX($FO$245:$IH$316,$FN172-GG$169,73-GG$169+SwaptionShift):INDEX($FO$245:$IH$316,$FN172-GG$169,72-GG$169+SwaptionMonthsToGo+SwaptionShift))/SQRT(SUM(INDEX($FO327:$IH327,1+SwaptionShift):INDEX($FO327:$IH327,SwaptionMonthsToGo+SwaptionShift))*SUM(INDEX($FO$325:$IH$396,GG$169,1+SwaptionShift):INDEX($FO$325:$IH$396,GG$169,SwaptionMonthsToGo+SwaptionShift))))))</f>
        <v/>
      </c>
      <c r="GH172" s="469" t="str">
        <f ca="1">IF(OR(GH$169&lt;SwaptionFirstMonthPosition+1,$FN172&lt;SwaptionFirstMonthPosition+1,GH$169&gt;SwaptionFirstMonthPosition+SwaptionNumOfMonths+1,$FN172&gt;SwaptionFirstMonthPosition+SwaptionNumOfMonths+1),"",IF($FN172=GH$169,1,IF($FN172&lt;GH$169,INDEX($FO$170:$IH$241,GH$169,$FN172),SUMPRODUCT(INDEX($FO$325:$IH$396,GH$169,1+SwaptionShift):INDEX($FO$325:$IH$396,GH$169,SwaptionMonthsToGo+SwaptionShift),INDEX($FO$245:$IH$316,$FN172-GH$169,73-GH$169+SwaptionShift):INDEX($FO$245:$IH$316,$FN172-GH$169,72-GH$169+SwaptionMonthsToGo+SwaptionShift))/SQRT(SUM(INDEX($FO327:$IH327,1+SwaptionShift):INDEX($FO327:$IH327,SwaptionMonthsToGo+SwaptionShift))*SUM(INDEX($FO$325:$IH$396,GH$169,1+SwaptionShift):INDEX($FO$325:$IH$396,GH$169,SwaptionMonthsToGo+SwaptionShift))))))</f>
        <v/>
      </c>
      <c r="GI172" s="469" t="str">
        <f ca="1">IF(OR(GI$169&lt;SwaptionFirstMonthPosition+1,$FN172&lt;SwaptionFirstMonthPosition+1,GI$169&gt;SwaptionFirstMonthPosition+SwaptionNumOfMonths+1,$FN172&gt;SwaptionFirstMonthPosition+SwaptionNumOfMonths+1),"",IF($FN172=GI$169,1,IF($FN172&lt;GI$169,INDEX($FO$170:$IH$241,GI$169,$FN172),SUMPRODUCT(INDEX($FO$325:$IH$396,GI$169,1+SwaptionShift):INDEX($FO$325:$IH$396,GI$169,SwaptionMonthsToGo+SwaptionShift),INDEX($FO$245:$IH$316,$FN172-GI$169,73-GI$169+SwaptionShift):INDEX($FO$245:$IH$316,$FN172-GI$169,72-GI$169+SwaptionMonthsToGo+SwaptionShift))/SQRT(SUM(INDEX($FO327:$IH327,1+SwaptionShift):INDEX($FO327:$IH327,SwaptionMonthsToGo+SwaptionShift))*SUM(INDEX($FO$325:$IH$396,GI$169,1+SwaptionShift):INDEX($FO$325:$IH$396,GI$169,SwaptionMonthsToGo+SwaptionShift))))))</f>
        <v/>
      </c>
      <c r="GJ172" s="469" t="str">
        <f ca="1">IF(OR(GJ$169&lt;SwaptionFirstMonthPosition+1,$FN172&lt;SwaptionFirstMonthPosition+1,GJ$169&gt;SwaptionFirstMonthPosition+SwaptionNumOfMonths+1,$FN172&gt;SwaptionFirstMonthPosition+SwaptionNumOfMonths+1),"",IF($FN172=GJ$169,1,IF($FN172&lt;GJ$169,INDEX($FO$170:$IH$241,GJ$169,$FN172),SUMPRODUCT(INDEX($FO$325:$IH$396,GJ$169,1+SwaptionShift):INDEX($FO$325:$IH$396,GJ$169,SwaptionMonthsToGo+SwaptionShift),INDEX($FO$245:$IH$316,$FN172-GJ$169,73-GJ$169+SwaptionShift):INDEX($FO$245:$IH$316,$FN172-GJ$169,72-GJ$169+SwaptionMonthsToGo+SwaptionShift))/SQRT(SUM(INDEX($FO327:$IH327,1+SwaptionShift):INDEX($FO327:$IH327,SwaptionMonthsToGo+SwaptionShift))*SUM(INDEX($FO$325:$IH$396,GJ$169,1+SwaptionShift):INDEX($FO$325:$IH$396,GJ$169,SwaptionMonthsToGo+SwaptionShift))))))</f>
        <v/>
      </c>
      <c r="GK172" s="469" t="str">
        <f ca="1">IF(OR(GK$169&lt;SwaptionFirstMonthPosition+1,$FN172&lt;SwaptionFirstMonthPosition+1,GK$169&gt;SwaptionFirstMonthPosition+SwaptionNumOfMonths+1,$FN172&gt;SwaptionFirstMonthPosition+SwaptionNumOfMonths+1),"",IF($FN172=GK$169,1,IF($FN172&lt;GK$169,INDEX($FO$170:$IH$241,GK$169,$FN172),SUMPRODUCT(INDEX($FO$325:$IH$396,GK$169,1+SwaptionShift):INDEX($FO$325:$IH$396,GK$169,SwaptionMonthsToGo+SwaptionShift),INDEX($FO$245:$IH$316,$FN172-GK$169,73-GK$169+SwaptionShift):INDEX($FO$245:$IH$316,$FN172-GK$169,72-GK$169+SwaptionMonthsToGo+SwaptionShift))/SQRT(SUM(INDEX($FO327:$IH327,1+SwaptionShift):INDEX($FO327:$IH327,SwaptionMonthsToGo+SwaptionShift))*SUM(INDEX($FO$325:$IH$396,GK$169,1+SwaptionShift):INDEX($FO$325:$IH$396,GK$169,SwaptionMonthsToGo+SwaptionShift))))))</f>
        <v/>
      </c>
      <c r="GL172" s="469" t="str">
        <f ca="1">IF(OR(GL$169&lt;SwaptionFirstMonthPosition+1,$FN172&lt;SwaptionFirstMonthPosition+1,GL$169&gt;SwaptionFirstMonthPosition+SwaptionNumOfMonths+1,$FN172&gt;SwaptionFirstMonthPosition+SwaptionNumOfMonths+1),"",IF($FN172=GL$169,1,IF($FN172&lt;GL$169,INDEX($FO$170:$IH$241,GL$169,$FN172),SUMPRODUCT(INDEX($FO$325:$IH$396,GL$169,1+SwaptionShift):INDEX($FO$325:$IH$396,GL$169,SwaptionMonthsToGo+SwaptionShift),INDEX($FO$245:$IH$316,$FN172-GL$169,73-GL$169+SwaptionShift):INDEX($FO$245:$IH$316,$FN172-GL$169,72-GL$169+SwaptionMonthsToGo+SwaptionShift))/SQRT(SUM(INDEX($FO327:$IH327,1+SwaptionShift):INDEX($FO327:$IH327,SwaptionMonthsToGo+SwaptionShift))*SUM(INDEX($FO$325:$IH$396,GL$169,1+SwaptionShift):INDEX($FO$325:$IH$396,GL$169,SwaptionMonthsToGo+SwaptionShift))))))</f>
        <v/>
      </c>
      <c r="GM172" s="469" t="str">
        <f ca="1">IF(OR(GM$169&lt;SwaptionFirstMonthPosition+1,$FN172&lt;SwaptionFirstMonthPosition+1,GM$169&gt;SwaptionFirstMonthPosition+SwaptionNumOfMonths+1,$FN172&gt;SwaptionFirstMonthPosition+SwaptionNumOfMonths+1),"",IF($FN172=GM$169,1,IF($FN172&lt;GM$169,INDEX($FO$170:$IH$241,GM$169,$FN172),SUMPRODUCT(INDEX($FO$325:$IH$396,GM$169,1+SwaptionShift):INDEX($FO$325:$IH$396,GM$169,SwaptionMonthsToGo+SwaptionShift),INDEX($FO$245:$IH$316,$FN172-GM$169,73-GM$169+SwaptionShift):INDEX($FO$245:$IH$316,$FN172-GM$169,72-GM$169+SwaptionMonthsToGo+SwaptionShift))/SQRT(SUM(INDEX($FO327:$IH327,1+SwaptionShift):INDEX($FO327:$IH327,SwaptionMonthsToGo+SwaptionShift))*SUM(INDEX($FO$325:$IH$396,GM$169,1+SwaptionShift):INDEX($FO$325:$IH$396,GM$169,SwaptionMonthsToGo+SwaptionShift))))))</f>
        <v/>
      </c>
      <c r="GN172" s="469" t="str">
        <f ca="1">IF(OR(GN$169&lt;SwaptionFirstMonthPosition+1,$FN172&lt;SwaptionFirstMonthPosition+1,GN$169&gt;SwaptionFirstMonthPosition+SwaptionNumOfMonths+1,$FN172&gt;SwaptionFirstMonthPosition+SwaptionNumOfMonths+1),"",IF($FN172=GN$169,1,IF($FN172&lt;GN$169,INDEX($FO$170:$IH$241,GN$169,$FN172),SUMPRODUCT(INDEX($FO$325:$IH$396,GN$169,1+SwaptionShift):INDEX($FO$325:$IH$396,GN$169,SwaptionMonthsToGo+SwaptionShift),INDEX($FO$245:$IH$316,$FN172-GN$169,73-GN$169+SwaptionShift):INDEX($FO$245:$IH$316,$FN172-GN$169,72-GN$169+SwaptionMonthsToGo+SwaptionShift))/SQRT(SUM(INDEX($FO327:$IH327,1+SwaptionShift):INDEX($FO327:$IH327,SwaptionMonthsToGo+SwaptionShift))*SUM(INDEX($FO$325:$IH$396,GN$169,1+SwaptionShift):INDEX($FO$325:$IH$396,GN$169,SwaptionMonthsToGo+SwaptionShift))))))</f>
        <v/>
      </c>
      <c r="GO172" s="469" t="str">
        <f ca="1">IF(OR(GO$169&lt;SwaptionFirstMonthPosition+1,$FN172&lt;SwaptionFirstMonthPosition+1,GO$169&gt;SwaptionFirstMonthPosition+SwaptionNumOfMonths+1,$FN172&gt;SwaptionFirstMonthPosition+SwaptionNumOfMonths+1),"",IF($FN172=GO$169,1,IF($FN172&lt;GO$169,INDEX($FO$170:$IH$241,GO$169,$FN172),SUMPRODUCT(INDEX($FO$325:$IH$396,GO$169,1+SwaptionShift):INDEX($FO$325:$IH$396,GO$169,SwaptionMonthsToGo+SwaptionShift),INDEX($FO$245:$IH$316,$FN172-GO$169,73-GO$169+SwaptionShift):INDEX($FO$245:$IH$316,$FN172-GO$169,72-GO$169+SwaptionMonthsToGo+SwaptionShift))/SQRT(SUM(INDEX($FO327:$IH327,1+SwaptionShift):INDEX($FO327:$IH327,SwaptionMonthsToGo+SwaptionShift))*SUM(INDEX($FO$325:$IH$396,GO$169,1+SwaptionShift):INDEX($FO$325:$IH$396,GO$169,SwaptionMonthsToGo+SwaptionShift))))))</f>
        <v/>
      </c>
      <c r="GP172" s="469" t="str">
        <f ca="1">IF(OR(GP$169&lt;SwaptionFirstMonthPosition+1,$FN172&lt;SwaptionFirstMonthPosition+1,GP$169&gt;SwaptionFirstMonthPosition+SwaptionNumOfMonths+1,$FN172&gt;SwaptionFirstMonthPosition+SwaptionNumOfMonths+1),"",IF($FN172=GP$169,1,IF($FN172&lt;GP$169,INDEX($FO$170:$IH$241,GP$169,$FN172),SUMPRODUCT(INDEX($FO$325:$IH$396,GP$169,1+SwaptionShift):INDEX($FO$325:$IH$396,GP$169,SwaptionMonthsToGo+SwaptionShift),INDEX($FO$245:$IH$316,$FN172-GP$169,73-GP$169+SwaptionShift):INDEX($FO$245:$IH$316,$FN172-GP$169,72-GP$169+SwaptionMonthsToGo+SwaptionShift))/SQRT(SUM(INDEX($FO327:$IH327,1+SwaptionShift):INDEX($FO327:$IH327,SwaptionMonthsToGo+SwaptionShift))*SUM(INDEX($FO$325:$IH$396,GP$169,1+SwaptionShift):INDEX($FO$325:$IH$396,GP$169,SwaptionMonthsToGo+SwaptionShift))))))</f>
        <v/>
      </c>
      <c r="GQ172" s="469" t="str">
        <f ca="1">IF(OR(GQ$169&lt;SwaptionFirstMonthPosition+1,$FN172&lt;SwaptionFirstMonthPosition+1,GQ$169&gt;SwaptionFirstMonthPosition+SwaptionNumOfMonths+1,$FN172&gt;SwaptionFirstMonthPosition+SwaptionNumOfMonths+1),"",IF($FN172=GQ$169,1,IF($FN172&lt;GQ$169,INDEX($FO$170:$IH$241,GQ$169,$FN172),SUMPRODUCT(INDEX($FO$325:$IH$396,GQ$169,1+SwaptionShift):INDEX($FO$325:$IH$396,GQ$169,SwaptionMonthsToGo+SwaptionShift),INDEX($FO$245:$IH$316,$FN172-GQ$169,73-GQ$169+SwaptionShift):INDEX($FO$245:$IH$316,$FN172-GQ$169,72-GQ$169+SwaptionMonthsToGo+SwaptionShift))/SQRT(SUM(INDEX($FO327:$IH327,1+SwaptionShift):INDEX($FO327:$IH327,SwaptionMonthsToGo+SwaptionShift))*SUM(INDEX($FO$325:$IH$396,GQ$169,1+SwaptionShift):INDEX($FO$325:$IH$396,GQ$169,SwaptionMonthsToGo+SwaptionShift))))))</f>
        <v/>
      </c>
      <c r="GR172" s="469" t="str">
        <f ca="1">IF(OR(GR$169&lt;SwaptionFirstMonthPosition+1,$FN172&lt;SwaptionFirstMonthPosition+1,GR$169&gt;SwaptionFirstMonthPosition+SwaptionNumOfMonths+1,$FN172&gt;SwaptionFirstMonthPosition+SwaptionNumOfMonths+1),"",IF($FN172=GR$169,1,IF($FN172&lt;GR$169,INDEX($FO$170:$IH$241,GR$169,$FN172),SUMPRODUCT(INDEX($FO$325:$IH$396,GR$169,1+SwaptionShift):INDEX($FO$325:$IH$396,GR$169,SwaptionMonthsToGo+SwaptionShift),INDEX($FO$245:$IH$316,$FN172-GR$169,73-GR$169+SwaptionShift):INDEX($FO$245:$IH$316,$FN172-GR$169,72-GR$169+SwaptionMonthsToGo+SwaptionShift))/SQRT(SUM(INDEX($FO327:$IH327,1+SwaptionShift):INDEX($FO327:$IH327,SwaptionMonthsToGo+SwaptionShift))*SUM(INDEX($FO$325:$IH$396,GR$169,1+SwaptionShift):INDEX($FO$325:$IH$396,GR$169,SwaptionMonthsToGo+SwaptionShift))))))</f>
        <v/>
      </c>
      <c r="GS172" s="469" t="str">
        <f ca="1">IF(OR(GS$169&lt;SwaptionFirstMonthPosition+1,$FN172&lt;SwaptionFirstMonthPosition+1,GS$169&gt;SwaptionFirstMonthPosition+SwaptionNumOfMonths+1,$FN172&gt;SwaptionFirstMonthPosition+SwaptionNumOfMonths+1),"",IF($FN172=GS$169,1,IF($FN172&lt;GS$169,INDEX($FO$170:$IH$241,GS$169,$FN172),SUMPRODUCT(INDEX($FO$325:$IH$396,GS$169,1+SwaptionShift):INDEX($FO$325:$IH$396,GS$169,SwaptionMonthsToGo+SwaptionShift),INDEX($FO$245:$IH$316,$FN172-GS$169,73-GS$169+SwaptionShift):INDEX($FO$245:$IH$316,$FN172-GS$169,72-GS$169+SwaptionMonthsToGo+SwaptionShift))/SQRT(SUM(INDEX($FO327:$IH327,1+SwaptionShift):INDEX($FO327:$IH327,SwaptionMonthsToGo+SwaptionShift))*SUM(INDEX($FO$325:$IH$396,GS$169,1+SwaptionShift):INDEX($FO$325:$IH$396,GS$169,SwaptionMonthsToGo+SwaptionShift))))))</f>
        <v/>
      </c>
      <c r="GT172" s="469" t="str">
        <f ca="1">IF(OR(GT$169&lt;SwaptionFirstMonthPosition+1,$FN172&lt;SwaptionFirstMonthPosition+1,GT$169&gt;SwaptionFirstMonthPosition+SwaptionNumOfMonths+1,$FN172&gt;SwaptionFirstMonthPosition+SwaptionNumOfMonths+1),"",IF($FN172=GT$169,1,IF($FN172&lt;GT$169,INDEX($FO$170:$IH$241,GT$169,$FN172),SUMPRODUCT(INDEX($FO$325:$IH$396,GT$169,1+SwaptionShift):INDEX($FO$325:$IH$396,GT$169,SwaptionMonthsToGo+SwaptionShift),INDEX($FO$245:$IH$316,$FN172-GT$169,73-GT$169+SwaptionShift):INDEX($FO$245:$IH$316,$FN172-GT$169,72-GT$169+SwaptionMonthsToGo+SwaptionShift))/SQRT(SUM(INDEX($FO327:$IH327,1+SwaptionShift):INDEX($FO327:$IH327,SwaptionMonthsToGo+SwaptionShift))*SUM(INDEX($FO$325:$IH$396,GT$169,1+SwaptionShift):INDEX($FO$325:$IH$396,GT$169,SwaptionMonthsToGo+SwaptionShift))))))</f>
        <v/>
      </c>
      <c r="GU172" s="469" t="str">
        <f ca="1">IF(OR(GU$169&lt;SwaptionFirstMonthPosition+1,$FN172&lt;SwaptionFirstMonthPosition+1,GU$169&gt;SwaptionFirstMonthPosition+SwaptionNumOfMonths+1,$FN172&gt;SwaptionFirstMonthPosition+SwaptionNumOfMonths+1),"",IF($FN172=GU$169,1,IF($FN172&lt;GU$169,INDEX($FO$170:$IH$241,GU$169,$FN172),SUMPRODUCT(INDEX($FO$325:$IH$396,GU$169,1+SwaptionShift):INDEX($FO$325:$IH$396,GU$169,SwaptionMonthsToGo+SwaptionShift),INDEX($FO$245:$IH$316,$FN172-GU$169,73-GU$169+SwaptionShift):INDEX($FO$245:$IH$316,$FN172-GU$169,72-GU$169+SwaptionMonthsToGo+SwaptionShift))/SQRT(SUM(INDEX($FO327:$IH327,1+SwaptionShift):INDEX($FO327:$IH327,SwaptionMonthsToGo+SwaptionShift))*SUM(INDEX($FO$325:$IH$396,GU$169,1+SwaptionShift):INDEX($FO$325:$IH$396,GU$169,SwaptionMonthsToGo+SwaptionShift))))))</f>
        <v/>
      </c>
      <c r="GV172" s="469" t="str">
        <f ca="1">IF(OR(GV$169&lt;SwaptionFirstMonthPosition+1,$FN172&lt;SwaptionFirstMonthPosition+1,GV$169&gt;SwaptionFirstMonthPosition+SwaptionNumOfMonths+1,$FN172&gt;SwaptionFirstMonthPosition+SwaptionNumOfMonths+1),"",IF($FN172=GV$169,1,IF($FN172&lt;GV$169,INDEX($FO$170:$IH$241,GV$169,$FN172),SUMPRODUCT(INDEX($FO$325:$IH$396,GV$169,1+SwaptionShift):INDEX($FO$325:$IH$396,GV$169,SwaptionMonthsToGo+SwaptionShift),INDEX($FO$245:$IH$316,$FN172-GV$169,73-GV$169+SwaptionShift):INDEX($FO$245:$IH$316,$FN172-GV$169,72-GV$169+SwaptionMonthsToGo+SwaptionShift))/SQRT(SUM(INDEX($FO327:$IH327,1+SwaptionShift):INDEX($FO327:$IH327,SwaptionMonthsToGo+SwaptionShift))*SUM(INDEX($FO$325:$IH$396,GV$169,1+SwaptionShift):INDEX($FO$325:$IH$396,GV$169,SwaptionMonthsToGo+SwaptionShift))))))</f>
        <v/>
      </c>
      <c r="GW172" s="469" t="str">
        <f ca="1">IF(OR(GW$169&lt;SwaptionFirstMonthPosition+1,$FN172&lt;SwaptionFirstMonthPosition+1,GW$169&gt;SwaptionFirstMonthPosition+SwaptionNumOfMonths+1,$FN172&gt;SwaptionFirstMonthPosition+SwaptionNumOfMonths+1),"",IF($FN172=GW$169,1,IF($FN172&lt;GW$169,INDEX($FO$170:$IH$241,GW$169,$FN172),SUMPRODUCT(INDEX($FO$325:$IH$396,GW$169,1+SwaptionShift):INDEX($FO$325:$IH$396,GW$169,SwaptionMonthsToGo+SwaptionShift),INDEX($FO$245:$IH$316,$FN172-GW$169,73-GW$169+SwaptionShift):INDEX($FO$245:$IH$316,$FN172-GW$169,72-GW$169+SwaptionMonthsToGo+SwaptionShift))/SQRT(SUM(INDEX($FO327:$IH327,1+SwaptionShift):INDEX($FO327:$IH327,SwaptionMonthsToGo+SwaptionShift))*SUM(INDEX($FO$325:$IH$396,GW$169,1+SwaptionShift):INDEX($FO$325:$IH$396,GW$169,SwaptionMonthsToGo+SwaptionShift))))))</f>
        <v/>
      </c>
      <c r="GX172" s="469" t="str">
        <f ca="1">IF(OR(GX$169&lt;SwaptionFirstMonthPosition+1,$FN172&lt;SwaptionFirstMonthPosition+1,GX$169&gt;SwaptionFirstMonthPosition+SwaptionNumOfMonths+1,$FN172&gt;SwaptionFirstMonthPosition+SwaptionNumOfMonths+1),"",IF($FN172=GX$169,1,IF($FN172&lt;GX$169,INDEX($FO$170:$IH$241,GX$169,$FN172),SUMPRODUCT(INDEX($FO$325:$IH$396,GX$169,1+SwaptionShift):INDEX($FO$325:$IH$396,GX$169,SwaptionMonthsToGo+SwaptionShift),INDEX($FO$245:$IH$316,$FN172-GX$169,73-GX$169+SwaptionShift):INDEX($FO$245:$IH$316,$FN172-GX$169,72-GX$169+SwaptionMonthsToGo+SwaptionShift))/SQRT(SUM(INDEX($FO327:$IH327,1+SwaptionShift):INDEX($FO327:$IH327,SwaptionMonthsToGo+SwaptionShift))*SUM(INDEX($FO$325:$IH$396,GX$169,1+SwaptionShift):INDEX($FO$325:$IH$396,GX$169,SwaptionMonthsToGo+SwaptionShift))))))</f>
        <v/>
      </c>
      <c r="GY172" s="469" t="str">
        <f ca="1">IF(OR(GY$169&lt;SwaptionFirstMonthPosition+1,$FN172&lt;SwaptionFirstMonthPosition+1,GY$169&gt;SwaptionFirstMonthPosition+SwaptionNumOfMonths+1,$FN172&gt;SwaptionFirstMonthPosition+SwaptionNumOfMonths+1),"",IF($FN172=GY$169,1,IF($FN172&lt;GY$169,INDEX($FO$170:$IH$241,GY$169,$FN172),SUMPRODUCT(INDEX($FO$325:$IH$396,GY$169,1+SwaptionShift):INDEX($FO$325:$IH$396,GY$169,SwaptionMonthsToGo+SwaptionShift),INDEX($FO$245:$IH$316,$FN172-GY$169,73-GY$169+SwaptionShift):INDEX($FO$245:$IH$316,$FN172-GY$169,72-GY$169+SwaptionMonthsToGo+SwaptionShift))/SQRT(SUM(INDEX($FO327:$IH327,1+SwaptionShift):INDEX($FO327:$IH327,SwaptionMonthsToGo+SwaptionShift))*SUM(INDEX($FO$325:$IH$396,GY$169,1+SwaptionShift):INDEX($FO$325:$IH$396,GY$169,SwaptionMonthsToGo+SwaptionShift))))))</f>
        <v/>
      </c>
      <c r="GZ172" s="469" t="str">
        <f ca="1">IF(OR(GZ$169&lt;SwaptionFirstMonthPosition+1,$FN172&lt;SwaptionFirstMonthPosition+1,GZ$169&gt;SwaptionFirstMonthPosition+SwaptionNumOfMonths+1,$FN172&gt;SwaptionFirstMonthPosition+SwaptionNumOfMonths+1),"",IF($FN172=GZ$169,1,IF($FN172&lt;GZ$169,INDEX($FO$170:$IH$241,GZ$169,$FN172),SUMPRODUCT(INDEX($FO$325:$IH$396,GZ$169,1+SwaptionShift):INDEX($FO$325:$IH$396,GZ$169,SwaptionMonthsToGo+SwaptionShift),INDEX($FO$245:$IH$316,$FN172-GZ$169,73-GZ$169+SwaptionShift):INDEX($FO$245:$IH$316,$FN172-GZ$169,72-GZ$169+SwaptionMonthsToGo+SwaptionShift))/SQRT(SUM(INDEX($FO327:$IH327,1+SwaptionShift):INDEX($FO327:$IH327,SwaptionMonthsToGo+SwaptionShift))*SUM(INDEX($FO$325:$IH$396,GZ$169,1+SwaptionShift):INDEX($FO$325:$IH$396,GZ$169,SwaptionMonthsToGo+SwaptionShift))))))</f>
        <v/>
      </c>
      <c r="HA172" s="469" t="str">
        <f ca="1">IF(OR(HA$169&lt;SwaptionFirstMonthPosition+1,$FN172&lt;SwaptionFirstMonthPosition+1,HA$169&gt;SwaptionFirstMonthPosition+SwaptionNumOfMonths+1,$FN172&gt;SwaptionFirstMonthPosition+SwaptionNumOfMonths+1),"",IF($FN172=HA$169,1,IF($FN172&lt;HA$169,INDEX($FO$170:$IH$241,HA$169,$FN172),SUMPRODUCT(INDEX($FO$325:$IH$396,HA$169,1+SwaptionShift):INDEX($FO$325:$IH$396,HA$169,SwaptionMonthsToGo+SwaptionShift),INDEX($FO$245:$IH$316,$FN172-HA$169,73-HA$169+SwaptionShift):INDEX($FO$245:$IH$316,$FN172-HA$169,72-HA$169+SwaptionMonthsToGo+SwaptionShift))/SQRT(SUM(INDEX($FO327:$IH327,1+SwaptionShift):INDEX($FO327:$IH327,SwaptionMonthsToGo+SwaptionShift))*SUM(INDEX($FO$325:$IH$396,HA$169,1+SwaptionShift):INDEX($FO$325:$IH$396,HA$169,SwaptionMonthsToGo+SwaptionShift))))))</f>
        <v/>
      </c>
      <c r="HB172" s="469" t="str">
        <f ca="1">IF(OR(HB$169&lt;SwaptionFirstMonthPosition+1,$FN172&lt;SwaptionFirstMonthPosition+1,HB$169&gt;SwaptionFirstMonthPosition+SwaptionNumOfMonths+1,$FN172&gt;SwaptionFirstMonthPosition+SwaptionNumOfMonths+1),"",IF($FN172=HB$169,1,IF($FN172&lt;HB$169,INDEX($FO$170:$IH$241,HB$169,$FN172),SUMPRODUCT(INDEX($FO$325:$IH$396,HB$169,1+SwaptionShift):INDEX($FO$325:$IH$396,HB$169,SwaptionMonthsToGo+SwaptionShift),INDEX($FO$245:$IH$316,$FN172-HB$169,73-HB$169+SwaptionShift):INDEX($FO$245:$IH$316,$FN172-HB$169,72-HB$169+SwaptionMonthsToGo+SwaptionShift))/SQRT(SUM(INDEX($FO327:$IH327,1+SwaptionShift):INDEX($FO327:$IH327,SwaptionMonthsToGo+SwaptionShift))*SUM(INDEX($FO$325:$IH$396,HB$169,1+SwaptionShift):INDEX($FO$325:$IH$396,HB$169,SwaptionMonthsToGo+SwaptionShift))))))</f>
        <v/>
      </c>
      <c r="HC172" s="469" t="str">
        <f ca="1">IF(OR(HC$169&lt;SwaptionFirstMonthPosition+1,$FN172&lt;SwaptionFirstMonthPosition+1,HC$169&gt;SwaptionFirstMonthPosition+SwaptionNumOfMonths+1,$FN172&gt;SwaptionFirstMonthPosition+SwaptionNumOfMonths+1),"",IF($FN172=HC$169,1,IF($FN172&lt;HC$169,INDEX($FO$170:$IH$241,HC$169,$FN172),SUMPRODUCT(INDEX($FO$325:$IH$396,HC$169,1+SwaptionShift):INDEX($FO$325:$IH$396,HC$169,SwaptionMonthsToGo+SwaptionShift),INDEX($FO$245:$IH$316,$FN172-HC$169,73-HC$169+SwaptionShift):INDEX($FO$245:$IH$316,$FN172-HC$169,72-HC$169+SwaptionMonthsToGo+SwaptionShift))/SQRT(SUM(INDEX($FO327:$IH327,1+SwaptionShift):INDEX($FO327:$IH327,SwaptionMonthsToGo+SwaptionShift))*SUM(INDEX($FO$325:$IH$396,HC$169,1+SwaptionShift):INDEX($FO$325:$IH$396,HC$169,SwaptionMonthsToGo+SwaptionShift))))))</f>
        <v/>
      </c>
      <c r="HD172" s="469" t="str">
        <f ca="1">IF(OR(HD$169&lt;SwaptionFirstMonthPosition+1,$FN172&lt;SwaptionFirstMonthPosition+1,HD$169&gt;SwaptionFirstMonthPosition+SwaptionNumOfMonths+1,$FN172&gt;SwaptionFirstMonthPosition+SwaptionNumOfMonths+1),"",IF($FN172=HD$169,1,IF($FN172&lt;HD$169,INDEX($FO$170:$IH$241,HD$169,$FN172),SUMPRODUCT(INDEX($FO$325:$IH$396,HD$169,1+SwaptionShift):INDEX($FO$325:$IH$396,HD$169,SwaptionMonthsToGo+SwaptionShift),INDEX($FO$245:$IH$316,$FN172-HD$169,73-HD$169+SwaptionShift):INDEX($FO$245:$IH$316,$FN172-HD$169,72-HD$169+SwaptionMonthsToGo+SwaptionShift))/SQRT(SUM(INDEX($FO327:$IH327,1+SwaptionShift):INDEX($FO327:$IH327,SwaptionMonthsToGo+SwaptionShift))*SUM(INDEX($FO$325:$IH$396,HD$169,1+SwaptionShift):INDEX($FO$325:$IH$396,HD$169,SwaptionMonthsToGo+SwaptionShift))))))</f>
        <v/>
      </c>
      <c r="HE172" s="469" t="str">
        <f ca="1">IF(OR(HE$169&lt;SwaptionFirstMonthPosition+1,$FN172&lt;SwaptionFirstMonthPosition+1,HE$169&gt;SwaptionFirstMonthPosition+SwaptionNumOfMonths+1,$FN172&gt;SwaptionFirstMonthPosition+SwaptionNumOfMonths+1),"",IF($FN172=HE$169,1,IF($FN172&lt;HE$169,INDEX($FO$170:$IH$241,HE$169,$FN172),SUMPRODUCT(INDEX($FO$325:$IH$396,HE$169,1+SwaptionShift):INDEX($FO$325:$IH$396,HE$169,SwaptionMonthsToGo+SwaptionShift),INDEX($FO$245:$IH$316,$FN172-HE$169,73-HE$169+SwaptionShift):INDEX($FO$245:$IH$316,$FN172-HE$169,72-HE$169+SwaptionMonthsToGo+SwaptionShift))/SQRT(SUM(INDEX($FO327:$IH327,1+SwaptionShift):INDEX($FO327:$IH327,SwaptionMonthsToGo+SwaptionShift))*SUM(INDEX($FO$325:$IH$396,HE$169,1+SwaptionShift):INDEX($FO$325:$IH$396,HE$169,SwaptionMonthsToGo+SwaptionShift))))))</f>
        <v/>
      </c>
      <c r="HF172" s="469" t="str">
        <f ca="1">IF(OR(HF$169&lt;SwaptionFirstMonthPosition+1,$FN172&lt;SwaptionFirstMonthPosition+1,HF$169&gt;SwaptionFirstMonthPosition+SwaptionNumOfMonths+1,$FN172&gt;SwaptionFirstMonthPosition+SwaptionNumOfMonths+1),"",IF($FN172=HF$169,1,IF($FN172&lt;HF$169,INDEX($FO$170:$IH$241,HF$169,$FN172),SUMPRODUCT(INDEX($FO$325:$IH$396,HF$169,1+SwaptionShift):INDEX($FO$325:$IH$396,HF$169,SwaptionMonthsToGo+SwaptionShift),INDEX($FO$245:$IH$316,$FN172-HF$169,73-HF$169+SwaptionShift):INDEX($FO$245:$IH$316,$FN172-HF$169,72-HF$169+SwaptionMonthsToGo+SwaptionShift))/SQRT(SUM(INDEX($FO327:$IH327,1+SwaptionShift):INDEX($FO327:$IH327,SwaptionMonthsToGo+SwaptionShift))*SUM(INDEX($FO$325:$IH$396,HF$169,1+SwaptionShift):INDEX($FO$325:$IH$396,HF$169,SwaptionMonthsToGo+SwaptionShift))))))</f>
        <v/>
      </c>
      <c r="HG172" s="469" t="str">
        <f ca="1">IF(OR(HG$169&lt;SwaptionFirstMonthPosition+1,$FN172&lt;SwaptionFirstMonthPosition+1,HG$169&gt;SwaptionFirstMonthPosition+SwaptionNumOfMonths+1,$FN172&gt;SwaptionFirstMonthPosition+SwaptionNumOfMonths+1),"",IF($FN172=HG$169,1,IF($FN172&lt;HG$169,INDEX($FO$170:$IH$241,HG$169,$FN172),SUMPRODUCT(INDEX($FO$325:$IH$396,HG$169,1+SwaptionShift):INDEX($FO$325:$IH$396,HG$169,SwaptionMonthsToGo+SwaptionShift),INDEX($FO$245:$IH$316,$FN172-HG$169,73-HG$169+SwaptionShift):INDEX($FO$245:$IH$316,$FN172-HG$169,72-HG$169+SwaptionMonthsToGo+SwaptionShift))/SQRT(SUM(INDEX($FO327:$IH327,1+SwaptionShift):INDEX($FO327:$IH327,SwaptionMonthsToGo+SwaptionShift))*SUM(INDEX($FO$325:$IH$396,HG$169,1+SwaptionShift):INDEX($FO$325:$IH$396,HG$169,SwaptionMonthsToGo+SwaptionShift))))))</f>
        <v/>
      </c>
      <c r="HH172" s="469" t="str">
        <f ca="1">IF(OR(HH$169&lt;SwaptionFirstMonthPosition+1,$FN172&lt;SwaptionFirstMonthPosition+1,HH$169&gt;SwaptionFirstMonthPosition+SwaptionNumOfMonths+1,$FN172&gt;SwaptionFirstMonthPosition+SwaptionNumOfMonths+1),"",IF($FN172=HH$169,1,IF($FN172&lt;HH$169,INDEX($FO$170:$IH$241,HH$169,$FN172),SUMPRODUCT(INDEX($FO$325:$IH$396,HH$169,1+SwaptionShift):INDEX($FO$325:$IH$396,HH$169,SwaptionMonthsToGo+SwaptionShift),INDEX($FO$245:$IH$316,$FN172-HH$169,73-HH$169+SwaptionShift):INDEX($FO$245:$IH$316,$FN172-HH$169,72-HH$169+SwaptionMonthsToGo+SwaptionShift))/SQRT(SUM(INDEX($FO327:$IH327,1+SwaptionShift):INDEX($FO327:$IH327,SwaptionMonthsToGo+SwaptionShift))*SUM(INDEX($FO$325:$IH$396,HH$169,1+SwaptionShift):INDEX($FO$325:$IH$396,HH$169,SwaptionMonthsToGo+SwaptionShift))))))</f>
        <v/>
      </c>
      <c r="HI172" s="469" t="str">
        <f ca="1">IF(OR(HI$169&lt;SwaptionFirstMonthPosition+1,$FN172&lt;SwaptionFirstMonthPosition+1,HI$169&gt;SwaptionFirstMonthPosition+SwaptionNumOfMonths+1,$FN172&gt;SwaptionFirstMonthPosition+SwaptionNumOfMonths+1),"",IF($FN172=HI$169,1,IF($FN172&lt;HI$169,INDEX($FO$170:$IH$241,HI$169,$FN172),SUMPRODUCT(INDEX($FO$325:$IH$396,HI$169,1+SwaptionShift):INDEX($FO$325:$IH$396,HI$169,SwaptionMonthsToGo+SwaptionShift),INDEX($FO$245:$IH$316,$FN172-HI$169,73-HI$169+SwaptionShift):INDEX($FO$245:$IH$316,$FN172-HI$169,72-HI$169+SwaptionMonthsToGo+SwaptionShift))/SQRT(SUM(INDEX($FO327:$IH327,1+SwaptionShift):INDEX($FO327:$IH327,SwaptionMonthsToGo+SwaptionShift))*SUM(INDEX($FO$325:$IH$396,HI$169,1+SwaptionShift):INDEX($FO$325:$IH$396,HI$169,SwaptionMonthsToGo+SwaptionShift))))))</f>
        <v/>
      </c>
      <c r="HJ172" s="469" t="str">
        <f ca="1">IF(OR(HJ$169&lt;SwaptionFirstMonthPosition+1,$FN172&lt;SwaptionFirstMonthPosition+1,HJ$169&gt;SwaptionFirstMonthPosition+SwaptionNumOfMonths+1,$FN172&gt;SwaptionFirstMonthPosition+SwaptionNumOfMonths+1),"",IF($FN172=HJ$169,1,IF($FN172&lt;HJ$169,INDEX($FO$170:$IH$241,HJ$169,$FN172),SUMPRODUCT(INDEX($FO$325:$IH$396,HJ$169,1+SwaptionShift):INDEX($FO$325:$IH$396,HJ$169,SwaptionMonthsToGo+SwaptionShift),INDEX($FO$245:$IH$316,$FN172-HJ$169,73-HJ$169+SwaptionShift):INDEX($FO$245:$IH$316,$FN172-HJ$169,72-HJ$169+SwaptionMonthsToGo+SwaptionShift))/SQRT(SUM(INDEX($FO327:$IH327,1+SwaptionShift):INDEX($FO327:$IH327,SwaptionMonthsToGo+SwaptionShift))*SUM(INDEX($FO$325:$IH$396,HJ$169,1+SwaptionShift):INDEX($FO$325:$IH$396,HJ$169,SwaptionMonthsToGo+SwaptionShift))))))</f>
        <v/>
      </c>
      <c r="HK172" s="469" t="str">
        <f ca="1">IF(OR(HK$169&lt;SwaptionFirstMonthPosition+1,$FN172&lt;SwaptionFirstMonthPosition+1,HK$169&gt;SwaptionFirstMonthPosition+SwaptionNumOfMonths+1,$FN172&gt;SwaptionFirstMonthPosition+SwaptionNumOfMonths+1),"",IF($FN172=HK$169,1,IF($FN172&lt;HK$169,INDEX($FO$170:$IH$241,HK$169,$FN172),SUMPRODUCT(INDEX($FO$325:$IH$396,HK$169,1+SwaptionShift):INDEX($FO$325:$IH$396,HK$169,SwaptionMonthsToGo+SwaptionShift),INDEX($FO$245:$IH$316,$FN172-HK$169,73-HK$169+SwaptionShift):INDEX($FO$245:$IH$316,$FN172-HK$169,72-HK$169+SwaptionMonthsToGo+SwaptionShift))/SQRT(SUM(INDEX($FO327:$IH327,1+SwaptionShift):INDEX($FO327:$IH327,SwaptionMonthsToGo+SwaptionShift))*SUM(INDEX($FO$325:$IH$396,HK$169,1+SwaptionShift):INDEX($FO$325:$IH$396,HK$169,SwaptionMonthsToGo+SwaptionShift))))))</f>
        <v/>
      </c>
      <c r="HL172" s="469" t="str">
        <f ca="1">IF(OR(HL$169&lt;SwaptionFirstMonthPosition+1,$FN172&lt;SwaptionFirstMonthPosition+1,HL$169&gt;SwaptionFirstMonthPosition+SwaptionNumOfMonths+1,$FN172&gt;SwaptionFirstMonthPosition+SwaptionNumOfMonths+1),"",IF($FN172=HL$169,1,IF($FN172&lt;HL$169,INDEX($FO$170:$IH$241,HL$169,$FN172),SUMPRODUCT(INDEX($FO$325:$IH$396,HL$169,1+SwaptionShift):INDEX($FO$325:$IH$396,HL$169,SwaptionMonthsToGo+SwaptionShift),INDEX($FO$245:$IH$316,$FN172-HL$169,73-HL$169+SwaptionShift):INDEX($FO$245:$IH$316,$FN172-HL$169,72-HL$169+SwaptionMonthsToGo+SwaptionShift))/SQRT(SUM(INDEX($FO327:$IH327,1+SwaptionShift):INDEX($FO327:$IH327,SwaptionMonthsToGo+SwaptionShift))*SUM(INDEX($FO$325:$IH$396,HL$169,1+SwaptionShift):INDEX($FO$325:$IH$396,HL$169,SwaptionMonthsToGo+SwaptionShift))))))</f>
        <v/>
      </c>
      <c r="HM172" s="469" t="str">
        <f ca="1">IF(OR(HM$169&lt;SwaptionFirstMonthPosition+1,$FN172&lt;SwaptionFirstMonthPosition+1,HM$169&gt;SwaptionFirstMonthPosition+SwaptionNumOfMonths+1,$FN172&gt;SwaptionFirstMonthPosition+SwaptionNumOfMonths+1),"",IF($FN172=HM$169,1,IF($FN172&lt;HM$169,INDEX($FO$170:$IH$241,HM$169,$FN172),SUMPRODUCT(INDEX($FO$325:$IH$396,HM$169,1+SwaptionShift):INDEX($FO$325:$IH$396,HM$169,SwaptionMonthsToGo+SwaptionShift),INDEX($FO$245:$IH$316,$FN172-HM$169,73-HM$169+SwaptionShift):INDEX($FO$245:$IH$316,$FN172-HM$169,72-HM$169+SwaptionMonthsToGo+SwaptionShift))/SQRT(SUM(INDEX($FO327:$IH327,1+SwaptionShift):INDEX($FO327:$IH327,SwaptionMonthsToGo+SwaptionShift))*SUM(INDEX($FO$325:$IH$396,HM$169,1+SwaptionShift):INDEX($FO$325:$IH$396,HM$169,SwaptionMonthsToGo+SwaptionShift))))))</f>
        <v/>
      </c>
      <c r="HN172" s="469" t="str">
        <f ca="1">IF(OR(HN$169&lt;SwaptionFirstMonthPosition+1,$FN172&lt;SwaptionFirstMonthPosition+1,HN$169&gt;SwaptionFirstMonthPosition+SwaptionNumOfMonths+1,$FN172&gt;SwaptionFirstMonthPosition+SwaptionNumOfMonths+1),"",IF($FN172=HN$169,1,IF($FN172&lt;HN$169,INDEX($FO$170:$IH$241,HN$169,$FN172),SUMPRODUCT(INDEX($FO$325:$IH$396,HN$169,1+SwaptionShift):INDEX($FO$325:$IH$396,HN$169,SwaptionMonthsToGo+SwaptionShift),INDEX($FO$245:$IH$316,$FN172-HN$169,73-HN$169+SwaptionShift):INDEX($FO$245:$IH$316,$FN172-HN$169,72-HN$169+SwaptionMonthsToGo+SwaptionShift))/SQRT(SUM(INDEX($FO327:$IH327,1+SwaptionShift):INDEX($FO327:$IH327,SwaptionMonthsToGo+SwaptionShift))*SUM(INDEX($FO$325:$IH$396,HN$169,1+SwaptionShift):INDEX($FO$325:$IH$396,HN$169,SwaptionMonthsToGo+SwaptionShift))))))</f>
        <v/>
      </c>
      <c r="HO172" s="469" t="str">
        <f ca="1">IF(OR(HO$169&lt;SwaptionFirstMonthPosition+1,$FN172&lt;SwaptionFirstMonthPosition+1,HO$169&gt;SwaptionFirstMonthPosition+SwaptionNumOfMonths+1,$FN172&gt;SwaptionFirstMonthPosition+SwaptionNumOfMonths+1),"",IF($FN172=HO$169,1,IF($FN172&lt;HO$169,INDEX($FO$170:$IH$241,HO$169,$FN172),SUMPRODUCT(INDEX($FO$325:$IH$396,HO$169,1+SwaptionShift):INDEX($FO$325:$IH$396,HO$169,SwaptionMonthsToGo+SwaptionShift),INDEX($FO$245:$IH$316,$FN172-HO$169,73-HO$169+SwaptionShift):INDEX($FO$245:$IH$316,$FN172-HO$169,72-HO$169+SwaptionMonthsToGo+SwaptionShift))/SQRT(SUM(INDEX($FO327:$IH327,1+SwaptionShift):INDEX($FO327:$IH327,SwaptionMonthsToGo+SwaptionShift))*SUM(INDEX($FO$325:$IH$396,HO$169,1+SwaptionShift):INDEX($FO$325:$IH$396,HO$169,SwaptionMonthsToGo+SwaptionShift))))))</f>
        <v/>
      </c>
      <c r="HP172" s="469" t="str">
        <f ca="1">IF(OR(HP$169&lt;SwaptionFirstMonthPosition+1,$FN172&lt;SwaptionFirstMonthPosition+1,HP$169&gt;SwaptionFirstMonthPosition+SwaptionNumOfMonths+1,$FN172&gt;SwaptionFirstMonthPosition+SwaptionNumOfMonths+1),"",IF($FN172=HP$169,1,IF($FN172&lt;HP$169,INDEX($FO$170:$IH$241,HP$169,$FN172),SUMPRODUCT(INDEX($FO$325:$IH$396,HP$169,1+SwaptionShift):INDEX($FO$325:$IH$396,HP$169,SwaptionMonthsToGo+SwaptionShift),INDEX($FO$245:$IH$316,$FN172-HP$169,73-HP$169+SwaptionShift):INDEX($FO$245:$IH$316,$FN172-HP$169,72-HP$169+SwaptionMonthsToGo+SwaptionShift))/SQRT(SUM(INDEX($FO327:$IH327,1+SwaptionShift):INDEX($FO327:$IH327,SwaptionMonthsToGo+SwaptionShift))*SUM(INDEX($FO$325:$IH$396,HP$169,1+SwaptionShift):INDEX($FO$325:$IH$396,HP$169,SwaptionMonthsToGo+SwaptionShift))))))</f>
        <v/>
      </c>
      <c r="HQ172" s="469" t="str">
        <f ca="1">IF(OR(HQ$169&lt;SwaptionFirstMonthPosition+1,$FN172&lt;SwaptionFirstMonthPosition+1,HQ$169&gt;SwaptionFirstMonthPosition+SwaptionNumOfMonths+1,$FN172&gt;SwaptionFirstMonthPosition+SwaptionNumOfMonths+1),"",IF($FN172=HQ$169,1,IF($FN172&lt;HQ$169,INDEX($FO$170:$IH$241,HQ$169,$FN172),SUMPRODUCT(INDEX($FO$325:$IH$396,HQ$169,1+SwaptionShift):INDEX($FO$325:$IH$396,HQ$169,SwaptionMonthsToGo+SwaptionShift),INDEX($FO$245:$IH$316,$FN172-HQ$169,73-HQ$169+SwaptionShift):INDEX($FO$245:$IH$316,$FN172-HQ$169,72-HQ$169+SwaptionMonthsToGo+SwaptionShift))/SQRT(SUM(INDEX($FO327:$IH327,1+SwaptionShift):INDEX($FO327:$IH327,SwaptionMonthsToGo+SwaptionShift))*SUM(INDEX($FO$325:$IH$396,HQ$169,1+SwaptionShift):INDEX($FO$325:$IH$396,HQ$169,SwaptionMonthsToGo+SwaptionShift))))))</f>
        <v/>
      </c>
      <c r="HR172" s="469" t="str">
        <f ca="1">IF(OR(HR$169&lt;SwaptionFirstMonthPosition+1,$FN172&lt;SwaptionFirstMonthPosition+1,HR$169&gt;SwaptionFirstMonthPosition+SwaptionNumOfMonths+1,$FN172&gt;SwaptionFirstMonthPosition+SwaptionNumOfMonths+1),"",IF($FN172=HR$169,1,IF($FN172&lt;HR$169,INDEX($FO$170:$IH$241,HR$169,$FN172),SUMPRODUCT(INDEX($FO$325:$IH$396,HR$169,1+SwaptionShift):INDEX($FO$325:$IH$396,HR$169,SwaptionMonthsToGo+SwaptionShift),INDEX($FO$245:$IH$316,$FN172-HR$169,73-HR$169+SwaptionShift):INDEX($FO$245:$IH$316,$FN172-HR$169,72-HR$169+SwaptionMonthsToGo+SwaptionShift))/SQRT(SUM(INDEX($FO327:$IH327,1+SwaptionShift):INDEX($FO327:$IH327,SwaptionMonthsToGo+SwaptionShift))*SUM(INDEX($FO$325:$IH$396,HR$169,1+SwaptionShift):INDEX($FO$325:$IH$396,HR$169,SwaptionMonthsToGo+SwaptionShift))))))</f>
        <v/>
      </c>
      <c r="HS172" s="469" t="str">
        <f ca="1">IF(OR(HS$169&lt;SwaptionFirstMonthPosition+1,$FN172&lt;SwaptionFirstMonthPosition+1,HS$169&gt;SwaptionFirstMonthPosition+SwaptionNumOfMonths+1,$FN172&gt;SwaptionFirstMonthPosition+SwaptionNumOfMonths+1),"",IF($FN172=HS$169,1,IF($FN172&lt;HS$169,INDEX($FO$170:$IH$241,HS$169,$FN172),SUMPRODUCT(INDEX($FO$325:$IH$396,HS$169,1+SwaptionShift):INDEX($FO$325:$IH$396,HS$169,SwaptionMonthsToGo+SwaptionShift),INDEX($FO$245:$IH$316,$FN172-HS$169,73-HS$169+SwaptionShift):INDEX($FO$245:$IH$316,$FN172-HS$169,72-HS$169+SwaptionMonthsToGo+SwaptionShift))/SQRT(SUM(INDEX($FO327:$IH327,1+SwaptionShift):INDEX($FO327:$IH327,SwaptionMonthsToGo+SwaptionShift))*SUM(INDEX($FO$325:$IH$396,HS$169,1+SwaptionShift):INDEX($FO$325:$IH$396,HS$169,SwaptionMonthsToGo+SwaptionShift))))))</f>
        <v/>
      </c>
      <c r="HT172" s="469" t="str">
        <f ca="1">IF(OR(HT$169&lt;SwaptionFirstMonthPosition+1,$FN172&lt;SwaptionFirstMonthPosition+1,HT$169&gt;SwaptionFirstMonthPosition+SwaptionNumOfMonths+1,$FN172&gt;SwaptionFirstMonthPosition+SwaptionNumOfMonths+1),"",IF($FN172=HT$169,1,IF($FN172&lt;HT$169,INDEX($FO$170:$IH$241,HT$169,$FN172),SUMPRODUCT(INDEX($FO$325:$IH$396,HT$169,1+SwaptionShift):INDEX($FO$325:$IH$396,HT$169,SwaptionMonthsToGo+SwaptionShift),INDEX($FO$245:$IH$316,$FN172-HT$169,73-HT$169+SwaptionShift):INDEX($FO$245:$IH$316,$FN172-HT$169,72-HT$169+SwaptionMonthsToGo+SwaptionShift))/SQRT(SUM(INDEX($FO327:$IH327,1+SwaptionShift):INDEX($FO327:$IH327,SwaptionMonthsToGo+SwaptionShift))*SUM(INDEX($FO$325:$IH$396,HT$169,1+SwaptionShift):INDEX($FO$325:$IH$396,HT$169,SwaptionMonthsToGo+SwaptionShift))))))</f>
        <v/>
      </c>
      <c r="HU172" s="469" t="str">
        <f ca="1">IF(OR(HU$169&lt;SwaptionFirstMonthPosition+1,$FN172&lt;SwaptionFirstMonthPosition+1,HU$169&gt;SwaptionFirstMonthPosition+SwaptionNumOfMonths+1,$FN172&gt;SwaptionFirstMonthPosition+SwaptionNumOfMonths+1),"",IF($FN172=HU$169,1,IF($FN172&lt;HU$169,INDEX($FO$170:$IH$241,HU$169,$FN172),SUMPRODUCT(INDEX($FO$325:$IH$396,HU$169,1+SwaptionShift):INDEX($FO$325:$IH$396,HU$169,SwaptionMonthsToGo+SwaptionShift),INDEX($FO$245:$IH$316,$FN172-HU$169,73-HU$169+SwaptionShift):INDEX($FO$245:$IH$316,$FN172-HU$169,72-HU$169+SwaptionMonthsToGo+SwaptionShift))/SQRT(SUM(INDEX($FO327:$IH327,1+SwaptionShift):INDEX($FO327:$IH327,SwaptionMonthsToGo+SwaptionShift))*SUM(INDEX($FO$325:$IH$396,HU$169,1+SwaptionShift):INDEX($FO$325:$IH$396,HU$169,SwaptionMonthsToGo+SwaptionShift))))))</f>
        <v/>
      </c>
      <c r="HV172" s="469" t="str">
        <f ca="1">IF(OR(HV$169&lt;SwaptionFirstMonthPosition+1,$FN172&lt;SwaptionFirstMonthPosition+1,HV$169&gt;SwaptionFirstMonthPosition+SwaptionNumOfMonths+1,$FN172&gt;SwaptionFirstMonthPosition+SwaptionNumOfMonths+1),"",IF($FN172=HV$169,1,IF($FN172&lt;HV$169,INDEX($FO$170:$IH$241,HV$169,$FN172),SUMPRODUCT(INDEX($FO$325:$IH$396,HV$169,1+SwaptionShift):INDEX($FO$325:$IH$396,HV$169,SwaptionMonthsToGo+SwaptionShift),INDEX($FO$245:$IH$316,$FN172-HV$169,73-HV$169+SwaptionShift):INDEX($FO$245:$IH$316,$FN172-HV$169,72-HV$169+SwaptionMonthsToGo+SwaptionShift))/SQRT(SUM(INDEX($FO327:$IH327,1+SwaptionShift):INDEX($FO327:$IH327,SwaptionMonthsToGo+SwaptionShift))*SUM(INDEX($FO$325:$IH$396,HV$169,1+SwaptionShift):INDEX($FO$325:$IH$396,HV$169,SwaptionMonthsToGo+SwaptionShift))))))</f>
        <v/>
      </c>
      <c r="HW172" s="469" t="str">
        <f ca="1">IF(OR(HW$169&lt;SwaptionFirstMonthPosition+1,$FN172&lt;SwaptionFirstMonthPosition+1,HW$169&gt;SwaptionFirstMonthPosition+SwaptionNumOfMonths+1,$FN172&gt;SwaptionFirstMonthPosition+SwaptionNumOfMonths+1),"",IF($FN172=HW$169,1,IF($FN172&lt;HW$169,INDEX($FO$170:$IH$241,HW$169,$FN172),SUMPRODUCT(INDEX($FO$325:$IH$396,HW$169,1+SwaptionShift):INDEX($FO$325:$IH$396,HW$169,SwaptionMonthsToGo+SwaptionShift),INDEX($FO$245:$IH$316,$FN172-HW$169,73-HW$169+SwaptionShift):INDEX($FO$245:$IH$316,$FN172-HW$169,72-HW$169+SwaptionMonthsToGo+SwaptionShift))/SQRT(SUM(INDEX($FO327:$IH327,1+SwaptionShift):INDEX($FO327:$IH327,SwaptionMonthsToGo+SwaptionShift))*SUM(INDEX($FO$325:$IH$396,HW$169,1+SwaptionShift):INDEX($FO$325:$IH$396,HW$169,SwaptionMonthsToGo+SwaptionShift))))))</f>
        <v/>
      </c>
      <c r="HX172" s="469" t="str">
        <f ca="1">IF(OR(HX$169&lt;SwaptionFirstMonthPosition+1,$FN172&lt;SwaptionFirstMonthPosition+1,HX$169&gt;SwaptionFirstMonthPosition+SwaptionNumOfMonths+1,$FN172&gt;SwaptionFirstMonthPosition+SwaptionNumOfMonths+1),"",IF($FN172=HX$169,1,IF($FN172&lt;HX$169,INDEX($FO$170:$IH$241,HX$169,$FN172),SUMPRODUCT(INDEX($FO$325:$IH$396,HX$169,1+SwaptionShift):INDEX($FO$325:$IH$396,HX$169,SwaptionMonthsToGo+SwaptionShift),INDEX($FO$245:$IH$316,$FN172-HX$169,73-HX$169+SwaptionShift):INDEX($FO$245:$IH$316,$FN172-HX$169,72-HX$169+SwaptionMonthsToGo+SwaptionShift))/SQRT(SUM(INDEX($FO327:$IH327,1+SwaptionShift):INDEX($FO327:$IH327,SwaptionMonthsToGo+SwaptionShift))*SUM(INDEX($FO$325:$IH$396,HX$169,1+SwaptionShift):INDEX($FO$325:$IH$396,HX$169,SwaptionMonthsToGo+SwaptionShift))))))</f>
        <v/>
      </c>
      <c r="HY172" s="469" t="str">
        <f ca="1">IF(OR(HY$169&lt;SwaptionFirstMonthPosition+1,$FN172&lt;SwaptionFirstMonthPosition+1,HY$169&gt;SwaptionFirstMonthPosition+SwaptionNumOfMonths+1,$FN172&gt;SwaptionFirstMonthPosition+SwaptionNumOfMonths+1),"",IF($FN172=HY$169,1,IF($FN172&lt;HY$169,INDEX($FO$170:$IH$241,HY$169,$FN172),SUMPRODUCT(INDEX($FO$325:$IH$396,HY$169,1+SwaptionShift):INDEX($FO$325:$IH$396,HY$169,SwaptionMonthsToGo+SwaptionShift),INDEX($FO$245:$IH$316,$FN172-HY$169,73-HY$169+SwaptionShift):INDEX($FO$245:$IH$316,$FN172-HY$169,72-HY$169+SwaptionMonthsToGo+SwaptionShift))/SQRT(SUM(INDEX($FO327:$IH327,1+SwaptionShift):INDEX($FO327:$IH327,SwaptionMonthsToGo+SwaptionShift))*SUM(INDEX($FO$325:$IH$396,HY$169,1+SwaptionShift):INDEX($FO$325:$IH$396,HY$169,SwaptionMonthsToGo+SwaptionShift))))))</f>
        <v/>
      </c>
      <c r="HZ172" s="469" t="str">
        <f ca="1">IF(OR(HZ$169&lt;SwaptionFirstMonthPosition+1,$FN172&lt;SwaptionFirstMonthPosition+1,HZ$169&gt;SwaptionFirstMonthPosition+SwaptionNumOfMonths+1,$FN172&gt;SwaptionFirstMonthPosition+SwaptionNumOfMonths+1),"",IF($FN172=HZ$169,1,IF($FN172&lt;HZ$169,INDEX($FO$170:$IH$241,HZ$169,$FN172),SUMPRODUCT(INDEX($FO$325:$IH$396,HZ$169,1+SwaptionShift):INDEX($FO$325:$IH$396,HZ$169,SwaptionMonthsToGo+SwaptionShift),INDEX($FO$245:$IH$316,$FN172-HZ$169,73-HZ$169+SwaptionShift):INDEX($FO$245:$IH$316,$FN172-HZ$169,72-HZ$169+SwaptionMonthsToGo+SwaptionShift))/SQRT(SUM(INDEX($FO327:$IH327,1+SwaptionShift):INDEX($FO327:$IH327,SwaptionMonthsToGo+SwaptionShift))*SUM(INDEX($FO$325:$IH$396,HZ$169,1+SwaptionShift):INDEX($FO$325:$IH$396,HZ$169,SwaptionMonthsToGo+SwaptionShift))))))</f>
        <v/>
      </c>
      <c r="IA172" s="469" t="str">
        <f ca="1">IF(OR(IA$169&lt;SwaptionFirstMonthPosition+1,$FN172&lt;SwaptionFirstMonthPosition+1,IA$169&gt;SwaptionFirstMonthPosition+SwaptionNumOfMonths+1,$FN172&gt;SwaptionFirstMonthPosition+SwaptionNumOfMonths+1),"",IF($FN172=IA$169,1,IF($FN172&lt;IA$169,INDEX($FO$170:$IH$241,IA$169,$FN172),SUMPRODUCT(INDEX($FO$325:$IH$396,IA$169,1+SwaptionShift):INDEX($FO$325:$IH$396,IA$169,SwaptionMonthsToGo+SwaptionShift),INDEX($FO$245:$IH$316,$FN172-IA$169,73-IA$169+SwaptionShift):INDEX($FO$245:$IH$316,$FN172-IA$169,72-IA$169+SwaptionMonthsToGo+SwaptionShift))/SQRT(SUM(INDEX($FO327:$IH327,1+SwaptionShift):INDEX($FO327:$IH327,SwaptionMonthsToGo+SwaptionShift))*SUM(INDEX($FO$325:$IH$396,IA$169,1+SwaptionShift):INDEX($FO$325:$IH$396,IA$169,SwaptionMonthsToGo+SwaptionShift))))))</f>
        <v/>
      </c>
      <c r="IB172" s="469" t="str">
        <f ca="1">IF(OR(IB$169&lt;SwaptionFirstMonthPosition+1,$FN172&lt;SwaptionFirstMonthPosition+1,IB$169&gt;SwaptionFirstMonthPosition+SwaptionNumOfMonths+1,$FN172&gt;SwaptionFirstMonthPosition+SwaptionNumOfMonths+1),"",IF($FN172=IB$169,1,IF($FN172&lt;IB$169,INDEX($FO$170:$IH$241,IB$169,$FN172),SUMPRODUCT(INDEX($FO$325:$IH$396,IB$169,1+SwaptionShift):INDEX($FO$325:$IH$396,IB$169,SwaptionMonthsToGo+SwaptionShift),INDEX($FO$245:$IH$316,$FN172-IB$169,73-IB$169+SwaptionShift):INDEX($FO$245:$IH$316,$FN172-IB$169,72-IB$169+SwaptionMonthsToGo+SwaptionShift))/SQRT(SUM(INDEX($FO327:$IH327,1+SwaptionShift):INDEX($FO327:$IH327,SwaptionMonthsToGo+SwaptionShift))*SUM(INDEX($FO$325:$IH$396,IB$169,1+SwaptionShift):INDEX($FO$325:$IH$396,IB$169,SwaptionMonthsToGo+SwaptionShift))))))</f>
        <v/>
      </c>
      <c r="IC172" s="469" t="str">
        <f ca="1">IF(OR(IC$169&lt;SwaptionFirstMonthPosition+1,$FN172&lt;SwaptionFirstMonthPosition+1,IC$169&gt;SwaptionFirstMonthPosition+SwaptionNumOfMonths+1,$FN172&gt;SwaptionFirstMonthPosition+SwaptionNumOfMonths+1),"",IF($FN172=IC$169,1,IF($FN172&lt;IC$169,INDEX($FO$170:$IH$241,IC$169,$FN172),SUMPRODUCT(INDEX($FO$325:$IH$396,IC$169,1+SwaptionShift):INDEX($FO$325:$IH$396,IC$169,SwaptionMonthsToGo+SwaptionShift),INDEX($FO$245:$IH$316,$FN172-IC$169,73-IC$169+SwaptionShift):INDEX($FO$245:$IH$316,$FN172-IC$169,72-IC$169+SwaptionMonthsToGo+SwaptionShift))/SQRT(SUM(INDEX($FO327:$IH327,1+SwaptionShift):INDEX($FO327:$IH327,SwaptionMonthsToGo+SwaptionShift))*SUM(INDEX($FO$325:$IH$396,IC$169,1+SwaptionShift):INDEX($FO$325:$IH$396,IC$169,SwaptionMonthsToGo+SwaptionShift))))))</f>
        <v/>
      </c>
      <c r="ID172" s="469" t="str">
        <f ca="1">IF(OR(ID$169&lt;SwaptionFirstMonthPosition+1,$FN172&lt;SwaptionFirstMonthPosition+1,ID$169&gt;SwaptionFirstMonthPosition+SwaptionNumOfMonths+1,$FN172&gt;SwaptionFirstMonthPosition+SwaptionNumOfMonths+1),"",IF($FN172=ID$169,1,IF($FN172&lt;ID$169,INDEX($FO$170:$IH$241,ID$169,$FN172),SUMPRODUCT(INDEX($FO$325:$IH$396,ID$169,1+SwaptionShift):INDEX($FO$325:$IH$396,ID$169,SwaptionMonthsToGo+SwaptionShift),INDEX($FO$245:$IH$316,$FN172-ID$169,73-ID$169+SwaptionShift):INDEX($FO$245:$IH$316,$FN172-ID$169,72-ID$169+SwaptionMonthsToGo+SwaptionShift))/SQRT(SUM(INDEX($FO327:$IH327,1+SwaptionShift):INDEX($FO327:$IH327,SwaptionMonthsToGo+SwaptionShift))*SUM(INDEX($FO$325:$IH$396,ID$169,1+SwaptionShift):INDEX($FO$325:$IH$396,ID$169,SwaptionMonthsToGo+SwaptionShift))))))</f>
        <v/>
      </c>
      <c r="IE172" s="469" t="str">
        <f ca="1">IF(OR(IE$169&lt;SwaptionFirstMonthPosition+1,$FN172&lt;SwaptionFirstMonthPosition+1,IE$169&gt;SwaptionFirstMonthPosition+SwaptionNumOfMonths+1,$FN172&gt;SwaptionFirstMonthPosition+SwaptionNumOfMonths+1),"",IF($FN172=IE$169,1,IF($FN172&lt;IE$169,INDEX($FO$170:$IH$241,IE$169,$FN172),SUMPRODUCT(INDEX($FO$325:$IH$396,IE$169,1+SwaptionShift):INDEX($FO$325:$IH$396,IE$169,SwaptionMonthsToGo+SwaptionShift),INDEX($FO$245:$IH$316,$FN172-IE$169,73-IE$169+SwaptionShift):INDEX($FO$245:$IH$316,$FN172-IE$169,72-IE$169+SwaptionMonthsToGo+SwaptionShift))/SQRT(SUM(INDEX($FO327:$IH327,1+SwaptionShift):INDEX($FO327:$IH327,SwaptionMonthsToGo+SwaptionShift))*SUM(INDEX($FO$325:$IH$396,IE$169,1+SwaptionShift):INDEX($FO$325:$IH$396,IE$169,SwaptionMonthsToGo+SwaptionShift))))))</f>
        <v/>
      </c>
      <c r="IF172" s="469" t="str">
        <f ca="1">IF(OR(IF$169&lt;SwaptionFirstMonthPosition+1,$FN172&lt;SwaptionFirstMonthPosition+1,IF$169&gt;SwaptionFirstMonthPosition+SwaptionNumOfMonths+1,$FN172&gt;SwaptionFirstMonthPosition+SwaptionNumOfMonths+1),"",IF($FN172=IF$169,1,IF($FN172&lt;IF$169,INDEX($FO$170:$IH$241,IF$169,$FN172),SUMPRODUCT(INDEX($FO$325:$IH$396,IF$169,1+SwaptionShift):INDEX($FO$325:$IH$396,IF$169,SwaptionMonthsToGo+SwaptionShift),INDEX($FO$245:$IH$316,$FN172-IF$169,73-IF$169+SwaptionShift):INDEX($FO$245:$IH$316,$FN172-IF$169,72-IF$169+SwaptionMonthsToGo+SwaptionShift))/SQRT(SUM(INDEX($FO327:$IH327,1+SwaptionShift):INDEX($FO327:$IH327,SwaptionMonthsToGo+SwaptionShift))*SUM(INDEX($FO$325:$IH$396,IF$169,1+SwaptionShift):INDEX($FO$325:$IH$396,IF$169,SwaptionMonthsToGo+SwaptionShift))))))</f>
        <v/>
      </c>
      <c r="IG172" s="469" t="str">
        <f ca="1">IF(OR(IG$169&lt;SwaptionFirstMonthPosition+1,$FN172&lt;SwaptionFirstMonthPosition+1,IG$169&gt;SwaptionFirstMonthPosition+SwaptionNumOfMonths+1,$FN172&gt;SwaptionFirstMonthPosition+SwaptionNumOfMonths+1),"",IF($FN172=IG$169,1,IF($FN172&lt;IG$169,INDEX($FO$170:$IH$241,IG$169,$FN172),SUMPRODUCT(INDEX($FO$325:$IH$396,IG$169,1+SwaptionShift):INDEX($FO$325:$IH$396,IG$169,SwaptionMonthsToGo+SwaptionShift),INDEX($FO$245:$IH$316,$FN172-IG$169,73-IG$169+SwaptionShift):INDEX($FO$245:$IH$316,$FN172-IG$169,72-IG$169+SwaptionMonthsToGo+SwaptionShift))/SQRT(SUM(INDEX($FO327:$IH327,1+SwaptionShift):INDEX($FO327:$IH327,SwaptionMonthsToGo+SwaptionShift))*SUM(INDEX($FO$325:$IH$396,IG$169,1+SwaptionShift):INDEX($FO$325:$IH$396,IG$169,SwaptionMonthsToGo+SwaptionShift))))))</f>
        <v/>
      </c>
      <c r="IH172" s="662" t="str">
        <f ca="1">IF(OR(IH$169&lt;SwaptionFirstMonthPosition+1,$FN172&lt;SwaptionFirstMonthPosition+1,IH$169&gt;SwaptionFirstMonthPosition+SwaptionNumOfMonths+1,$FN172&gt;SwaptionFirstMonthPosition+SwaptionNumOfMonths+1),"",IF($FN172=IH$169,1,IF($FN172&lt;IH$169,INDEX($FO$170:$IH$241,IH$169,$FN172),SUMPRODUCT(INDEX($FO$325:$IH$396,IH$169,1+SwaptionShift):INDEX($FO$325:$IH$396,IH$169,SwaptionMonthsToGo+SwaptionShift),INDEX($FO$245:$IH$316,$FN172-IH$169,73-IH$169+SwaptionShift):INDEX($FO$245:$IH$316,$FN172-IH$169,72-IH$169+SwaptionMonthsToGo+SwaptionShift))/SQRT(SUM(INDEX($FO327:$IH327,1+SwaptionShift):INDEX($FO327:$IH327,SwaptionMonthsToGo+SwaptionShift))*SUM(INDEX($FO$325:$IH$396,IH$169,1+SwaptionShift):INDEX($FO$325:$IH$396,IH$169,SwaptionMonthsToGo+SwaptionShift))))))</f>
        <v/>
      </c>
      <c r="II172" s="242"/>
    </row>
    <row r="173" spans="8:243">
      <c r="H173" s="49" t="e">
        <f t="shared" ca="1" si="529"/>
        <v>#N/A</v>
      </c>
      <c r="I173" s="369">
        <f t="shared" si="530"/>
        <v>41671</v>
      </c>
      <c r="J173" s="367">
        <v>23.209999999999901</v>
      </c>
      <c r="K173" s="101" t="s">
        <v>267</v>
      </c>
      <c r="L173" s="382">
        <f t="shared" si="531"/>
        <v>23.209999999999912</v>
      </c>
      <c r="M173" s="163">
        <v>0.14990000000000001</v>
      </c>
      <c r="N173" s="372">
        <v>0</v>
      </c>
      <c r="O173" s="163">
        <f t="shared" si="488"/>
        <v>0.14990000000000001</v>
      </c>
      <c r="P173" s="367">
        <v>21.9679951787917</v>
      </c>
      <c r="Q173" s="101" t="s">
        <v>267</v>
      </c>
      <c r="R173" s="367">
        <f t="shared" ca="1" si="549"/>
        <v>21.967995178791668</v>
      </c>
      <c r="S173" s="814">
        <f t="shared" si="474"/>
        <v>0.35085224483364064</v>
      </c>
      <c r="T173" s="813">
        <f t="shared" si="550"/>
        <v>0.99999999220996683</v>
      </c>
      <c r="U173" s="532">
        <f t="shared" si="551"/>
        <v>0.99999999999999978</v>
      </c>
      <c r="V173" s="379">
        <v>0</v>
      </c>
      <c r="W173" s="424">
        <f t="shared" si="489"/>
        <v>23.2424999999999</v>
      </c>
      <c r="X173" s="405">
        <f t="shared" si="490"/>
        <v>23.242499999999911</v>
      </c>
      <c r="Y173" s="313">
        <f t="shared" si="491"/>
        <v>22.026499999999899</v>
      </c>
      <c r="Z173" s="313">
        <f t="shared" ca="1" si="492"/>
        <v>22.02649999999991</v>
      </c>
      <c r="AA173" s="419">
        <f t="shared" si="493"/>
        <v>1.216</v>
      </c>
      <c r="AB173" s="423">
        <f t="shared" ca="1" si="494"/>
        <v>1.216</v>
      </c>
      <c r="AC173" s="221">
        <v>41659</v>
      </c>
      <c r="AD173" s="221">
        <v>41655</v>
      </c>
      <c r="AE173" s="221">
        <v>41654</v>
      </c>
      <c r="AF173" s="221">
        <v>41650</v>
      </c>
      <c r="AG173" s="241" t="s">
        <v>497</v>
      </c>
      <c r="AH173" s="239" t="s">
        <v>497</v>
      </c>
      <c r="AI173" s="141">
        <v>20</v>
      </c>
      <c r="AJ173" s="41">
        <v>14</v>
      </c>
      <c r="AK173" s="41">
        <v>6</v>
      </c>
      <c r="AL173" s="285">
        <v>20</v>
      </c>
      <c r="AM173" s="41">
        <v>10</v>
      </c>
      <c r="AN173" s="142">
        <v>10</v>
      </c>
      <c r="AO173" s="364">
        <v>6.0792599309954301E-2</v>
      </c>
      <c r="AP173" s="145">
        <f t="shared" ca="1" si="532"/>
        <v>0.4621197783820844</v>
      </c>
      <c r="AQ173" s="364">
        <v>5.3532723796297296E-2</v>
      </c>
      <c r="AR173" s="145">
        <f t="shared" ca="1" si="552"/>
        <v>0.50929208935881909</v>
      </c>
      <c r="AS173" s="264">
        <f t="shared" si="495"/>
        <v>0.14938000000000001</v>
      </c>
      <c r="AT173" s="149">
        <f t="shared" si="533"/>
        <v>0.14990000000000001</v>
      </c>
      <c r="AU173" s="149">
        <f t="shared" si="496"/>
        <v>0.14929999999999999</v>
      </c>
      <c r="AV173" s="263">
        <f t="shared" ca="1" si="560"/>
        <v>0.14763754654269973</v>
      </c>
      <c r="AW173" s="150" t="str">
        <f t="shared" ca="1" si="497"/>
        <v/>
      </c>
      <c r="AX173" s="149">
        <f t="shared" ca="1" si="553"/>
        <v>7.5034651793859852E-3</v>
      </c>
      <c r="AY173" s="149">
        <f t="shared" ca="1" si="554"/>
        <v>2.7430674664391868E-3</v>
      </c>
      <c r="AZ173" s="149">
        <f t="shared" ca="1" si="555"/>
        <v>2.511061183015164E-3</v>
      </c>
      <c r="BA173" s="149">
        <f t="shared" ca="1" si="556"/>
        <v>1.0000000000000711E-4</v>
      </c>
      <c r="BB173" s="149">
        <f t="shared" ca="1" si="557"/>
        <v>1.0000000000000711E-4</v>
      </c>
      <c r="BC173" s="149">
        <f t="shared" ca="1" si="558"/>
        <v>1.0000000000000711E-4</v>
      </c>
      <c r="BD173" s="143">
        <f t="shared" ca="1" si="498"/>
        <v>0</v>
      </c>
      <c r="BE173" s="144">
        <f t="shared" ca="1" si="499"/>
        <v>0</v>
      </c>
      <c r="BF173" s="40">
        <f t="shared" si="500"/>
        <v>2014</v>
      </c>
      <c r="BG173" s="139">
        <f t="shared" si="501"/>
        <v>2</v>
      </c>
      <c r="BH173" s="140">
        <f t="shared" ca="1" si="502"/>
        <v>4665</v>
      </c>
      <c r="BI173" s="304">
        <f t="shared" ca="1" si="570"/>
        <v>12.815879534565367</v>
      </c>
      <c r="BJ173" s="42">
        <f t="shared" ca="1" si="503"/>
        <v>12.867624914442164</v>
      </c>
      <c r="BK173" s="42">
        <f t="shared" ca="1" si="504"/>
        <v>12.870362765229297</v>
      </c>
      <c r="BL173" s="42">
        <f t="shared" ca="1" si="571"/>
        <v>12.889801505817934</v>
      </c>
      <c r="BM173" s="285">
        <f t="shared" si="572"/>
        <v>20</v>
      </c>
      <c r="BN173" s="41">
        <f t="shared" si="573"/>
        <v>14</v>
      </c>
      <c r="BO173" s="41">
        <f t="shared" si="574"/>
        <v>6</v>
      </c>
      <c r="BP173" s="297" t="str">
        <f t="shared" ca="1" si="505"/>
        <v/>
      </c>
      <c r="BQ173" s="297" t="str">
        <f t="shared" ca="1" si="506"/>
        <v/>
      </c>
      <c r="BR173" s="299" t="str">
        <f t="shared" ca="1" si="507"/>
        <v/>
      </c>
      <c r="BS173" s="153" t="str">
        <f t="shared" ca="1" si="508"/>
        <v/>
      </c>
      <c r="BT173" s="153" t="str">
        <f t="shared" ca="1" si="509"/>
        <v/>
      </c>
      <c r="BU173" s="300" t="str">
        <f t="shared" ca="1" si="510"/>
        <v/>
      </c>
      <c r="BV173" s="301" t="str">
        <f t="shared" ca="1" si="511"/>
        <v/>
      </c>
      <c r="BW173" s="300" t="str">
        <f t="shared" ca="1" si="512"/>
        <v/>
      </c>
      <c r="BX173" s="301" t="str">
        <f t="shared" ca="1" si="513"/>
        <v/>
      </c>
      <c r="BY173" s="146" t="str">
        <f t="shared" ca="1" si="514"/>
        <v/>
      </c>
      <c r="BZ173" s="146" t="str">
        <f t="shared" ca="1" si="515"/>
        <v/>
      </c>
      <c r="CA173" s="146" t="str">
        <f t="shared" ca="1" si="516"/>
        <v/>
      </c>
      <c r="CB173" s="146" t="str">
        <f t="shared" ca="1" si="517"/>
        <v/>
      </c>
      <c r="CC173" s="302">
        <v>1</v>
      </c>
      <c r="CD173" s="154">
        <f ca="1">IF(BD173,_xll.xCrudeAPO(BS173,BT173,BY173,BZ173,S174,S175,BI173,BL173,BN173,BO173,0,Strike1,AO173,CC173,0,BL173,IF(OptControl=4,0,1),0,1),0)</f>
        <v>0</v>
      </c>
      <c r="CE173" s="155">
        <f ca="1">IF(BD173,_xll.xCrudeAPO(BS173,BT173,BY173,BZ173,S174,S175,BI173,BL173,BN173,BO173,0,Strike1,AO173,CC173,0,BL173,IF(OptControl=4,0,1),1,1)+_xll.xCrudeAPO(BS173,BT173,BY173,BZ173,S174,S175,BI173,BL173,BN173,BO173,0,Strike1,AO173,CC173,0,BL173,IF(OptControl=4,0,1),1,2)+IF(OR(VolSkewFlag=2,ABS(BQ173)&lt;0.0001),0,IF(BQ173&gt;0,-1,1)*CF173*Strike1/BP173^2*BW173/10%),0)</f>
        <v>0</v>
      </c>
      <c r="CF173" s="155">
        <f ca="1">IF(BD173,(_xll.xCrudeAPO(BS173,BT173,BY173,BZ173,S174,S175,BI173,BL173,BN173,BO173,0,Strike1,AO173,CC173,0,BL173,IF(OptControl=4,0,1),3,1)+_xll.xCrudeAPO(BS173,BT173,BY173,BZ173,S174,S175,BI173,BL173,BN173,BO173,0,Strike1,AO173,CC173,0,BL173,IF(OptControl=4,0,1),3,2))/100,0)</f>
        <v>0</v>
      </c>
      <c r="CG173" s="155">
        <f ca="1">IF(BD173,_xll.xCrudeAPO(BS173,BT173,BY173,BZ173,S174,S175,BI173-DaysForThetaCalculation/365.25,BL173-DaysForThetaCalculation/365.25,BN173,BO173,0,Strike1,AO173,CC173,0,BL173,IF(OptControl=4,0,1),0,1)-_xll.xCrudeAPO(BS173,BT173,BY173,BZ173,S174,S175,BI173,BL173,BN173,BO173,0,Strike1,AO173,CC173,0,BL173,IF(OptControl=4,0,1),0,1),0)</f>
        <v>0</v>
      </c>
      <c r="CH173" s="303">
        <f ca="1">IF(BD173,_xll.xCrudeAPO(BS173,BT173,CA173,CB173,S174,S175,BI173,BL173,BN173,BO173,0,Strike2,AO173,CC173,0,BL173,IF(OptControl=3,1,0),0,1),0)</f>
        <v>0</v>
      </c>
      <c r="CI173" s="155">
        <f ca="1">IF(BD173,_xll.xCrudeAPO(BS173,BT173,CA173,CB173,S174,S175,BI173,BL173,BN173,BO173,0,Strike2,AO173,CC173,0,BL173,IF(OptControl=3,1,0),1,1)+_xll.xCrudeAPO(BS173,BT173,CA173,CB173,S174,S175,BI173,BL173,BN173,BO173,0,Strike2,AO173,CC173,0,BL173,IF(OptControl=3,1,0),1,2)+IF(OR(VolSkewFlag=2,ABS(BR173)&lt;0.0001),0,IF(BR173&gt;0,-1,1)*CJ173*Strike2/BP173^2*BX173/10%),0)</f>
        <v>0</v>
      </c>
      <c r="CJ173" s="155">
        <f ca="1">IF(BD173,(_xll.xCrudeAPO(BS173,BT173,CA173,CB173,S174,S175,BI173,BL173,BN173,BO173,0,Strike2,AO173,CC173,0,BL173,IF(OptControl=3,1,0),3,1)+_xll.xCrudeAPO(BS173,BT173,CA173,CB173,S174,S175,BI173,BL173,BN173,BO173,0,Strike2,AO173,CC173,0,BL173,IF(OptControl=3,1,0),3,2))/100,0)</f>
        <v>0</v>
      </c>
      <c r="CK173" s="156">
        <f ca="1">IF(BD173,_xll.xCrudeAPO(BS173,BT173,CA173,CB173,S174,S175,BI173-DaysForThetaCalculation/365.25,BL173-DaysForThetaCalculation/365.25,BN173,BO173,0,Strike2,AO173,CC173,0,BL173,IF(OptControl=3,1,0),0,1)-_xll.xCrudeAPO(BS173,BT173,CA173,CB173,S174,S175,BI173,BL173,BN173,BO173,0,Strike2,AO173,CC173,0,BL173,IF(OptControl=3,1,0),0,1),0)</f>
        <v>0</v>
      </c>
      <c r="CL173" s="51"/>
      <c r="CM173" s="779" t="str">
        <f t="shared" ca="1" si="534"/>
        <v/>
      </c>
      <c r="CN173" s="783" t="str">
        <f t="shared" ca="1" si="535"/>
        <v/>
      </c>
      <c r="CO173" s="780" t="str">
        <f t="shared" ca="1" si="536"/>
        <v/>
      </c>
      <c r="CP173" s="780" t="str">
        <f t="shared" ca="1" si="537"/>
        <v/>
      </c>
      <c r="CQ173" s="780" t="str">
        <f t="shared" ca="1" si="538"/>
        <v/>
      </c>
      <c r="CR173" s="780" t="str">
        <f t="shared" ca="1" si="539"/>
        <v/>
      </c>
      <c r="CS173" s="781" t="str">
        <f t="shared" ca="1" si="540"/>
        <v/>
      </c>
      <c r="CT173" s="782" t="str">
        <f t="shared" ca="1" si="541"/>
        <v/>
      </c>
      <c r="CU173" s="782" t="str">
        <f t="shared" ca="1" si="542"/>
        <v/>
      </c>
      <c r="CV173" s="155">
        <f ca="1">IF(BD173,_xll.EURO(CN173,Strike1,AO173,AO173,CT173,CM173,IF(OptControl=4,0,1),0),0)</f>
        <v>0</v>
      </c>
      <c r="CW173" s="155">
        <f ca="1">IF(BD173,_xll.EURO(CN173,Strike1,AO173,AO173,CT173,CM173,IF(OptControl=4,0,1),1)+IF(OR(VolSkewFlag=2,ABS(CO173)&lt;0.0001),0,IF(CO173&gt;0,-1,1)*CX173*100*Strike1/CN173^2*CQ173/10%),0)</f>
        <v>0</v>
      </c>
      <c r="CX173" s="155">
        <f ca="1">IF(BD173,_xll.EURO(CN173,Strike1,AO173,AO173,CT173,CM173,IF(OptControl=4,0,1),3)/100,0)</f>
        <v>0</v>
      </c>
      <c r="CY173" s="155">
        <f ca="1">IF(BD173,_xll.EURO(CN173,Strike1,AO173,AO173,CT173,CM173,IF(OptControl=4,0,1),0)-_xll.EURO(CN173,Strike1,AO173,AO173,CT173,CM173-1,IF(OptControl=4,0,1),0),0)</f>
        <v>0</v>
      </c>
      <c r="CZ173" s="155">
        <f ca="1">IF(BD173,_xll.EURO(CN173,Strike2,AO173,AO173,CU173,CM173,IF(OptControl=3,1,0),0),0)</f>
        <v>0</v>
      </c>
      <c r="DA173" s="155">
        <f ca="1">IF(BD173,_xll.EURO(CN173,Strike2,AO173,AO173,CU173,CM173,IF(OptControl=3,1,0),1)+IF(OR(VolSkewFlag=2,ABS(CP173)&lt;0.0001),0,IF(CP173&gt;0,-1,1)*DB173*100*Strike2/CN173^2*CR173/10%),0)</f>
        <v>0</v>
      </c>
      <c r="DB173" s="155">
        <f ca="1">IF(BD173,_xll.EURO(CN173,Strike2,AO173,AO173,CU173,CM173,IF(OptControl=3,1,0),3)/100,0)</f>
        <v>0</v>
      </c>
      <c r="DC173" s="156">
        <f ca="1">IF(BD173,_xll.EURO(CN173,Strike2,AO173,AO173,CU173,CM173,IF(OptControl=3,1,0),0)-_xll.EURO(CN173,Strike2,AO173,AO173,CU173,CM173-1,IF(OptControl=3,1,0),0),0)</f>
        <v>0</v>
      </c>
      <c r="DE173" s="651">
        <f t="shared" ca="1" si="543"/>
        <v>41579</v>
      </c>
      <c r="DF173" s="465">
        <v>1E-4</v>
      </c>
      <c r="DG173" s="649">
        <v>1E-4</v>
      </c>
      <c r="DH173" s="650">
        <f t="shared" ca="1" si="518"/>
        <v>41579</v>
      </c>
      <c r="DI173" s="465">
        <v>1E-4</v>
      </c>
      <c r="DJ173" s="649">
        <v>1E-4</v>
      </c>
      <c r="DK173" s="651">
        <f t="shared" ca="1" si="519"/>
        <v>41579</v>
      </c>
      <c r="DL173" s="652">
        <f t="shared" si="520"/>
        <v>5.0100000000000006E-2</v>
      </c>
      <c r="DM173" s="651">
        <f t="shared" ca="1" si="544"/>
        <v>41579</v>
      </c>
      <c r="DN173" s="563">
        <f t="shared" si="545"/>
        <v>-0.12990000000000002</v>
      </c>
      <c r="DO173" s="803">
        <v>-0.13</v>
      </c>
      <c r="DP173" s="650">
        <f t="shared" ca="1" si="521"/>
        <v>41579</v>
      </c>
      <c r="DQ173" s="653">
        <v>1E-4</v>
      </c>
      <c r="DR173" s="590">
        <v>1E-4</v>
      </c>
      <c r="DS173" s="650">
        <f t="shared" ca="1" si="522"/>
        <v>41579</v>
      </c>
      <c r="DT173" s="653">
        <v>1E-4</v>
      </c>
      <c r="DU173" s="590">
        <v>1E-4</v>
      </c>
      <c r="DV173" s="651">
        <f t="shared" ca="1" si="523"/>
        <v>41579</v>
      </c>
      <c r="DW173" s="590">
        <v>1E-4</v>
      </c>
      <c r="DX173" s="651">
        <f t="shared" ca="1" si="546"/>
        <v>41579</v>
      </c>
      <c r="DY173" s="590">
        <f t="shared" si="547"/>
        <v>1E-4</v>
      </c>
      <c r="DZ173" s="1"/>
      <c r="EA173" s="857"/>
      <c r="EB173" s="857"/>
      <c r="EC173" s="857"/>
      <c r="ED173" s="868" t="e">
        <f t="shared" ca="1" si="566"/>
        <v>#NAME?</v>
      </c>
      <c r="EE173" s="863" t="e">
        <f t="shared" ca="1" si="524"/>
        <v>#NAME?</v>
      </c>
      <c r="EF173" s="590" t="e">
        <f t="shared" ca="1" si="525"/>
        <v>#NAME?</v>
      </c>
      <c r="EG173" s="862" t="str">
        <f t="shared" ca="1" si="526"/>
        <v/>
      </c>
      <c r="EH173" s="114" t="str">
        <f t="shared" ca="1" si="527"/>
        <v/>
      </c>
      <c r="EI173" s="109" t="str">
        <f t="shared" ca="1" si="528"/>
        <v/>
      </c>
      <c r="EJ173" s="115">
        <f ca="1">IF(BD173,_xll.xASN(BP173,Strike1,AO173,EH173,0,BM173,0,BI173,BL173,IF(OptControl=4,0,1),0),0)</f>
        <v>0</v>
      </c>
      <c r="EK173" s="108">
        <f ca="1">IF(BD173,_xll.xASN(BP173,Strike2,AO173,EI173,0,BM173,0,BI173,BL173,IF(OptControl=3,1,0),0),0)</f>
        <v>0</v>
      </c>
      <c r="EP173" s="53"/>
      <c r="EQ173" s="1"/>
      <c r="ER173" s="103"/>
      <c r="ES173" s="103"/>
      <c r="ET173" s="1"/>
      <c r="EU173" s="667" t="s">
        <v>385</v>
      </c>
      <c r="EW173" s="445"/>
      <c r="EX173" s="36"/>
      <c r="EY173" s="104"/>
      <c r="EZ173" s="465"/>
      <c r="FA173" s="446"/>
      <c r="FB173" s="446"/>
      <c r="FC173" s="242"/>
      <c r="FD173" s="242"/>
      <c r="FE173" s="242"/>
      <c r="FF173" s="242"/>
      <c r="FG173" s="242"/>
      <c r="FH173" s="242"/>
      <c r="FI173" s="242"/>
      <c r="FJ173" s="242"/>
      <c r="FK173" s="242"/>
      <c r="FL173" s="242"/>
      <c r="FM173" s="242"/>
      <c r="FN173" s="657">
        <v>4</v>
      </c>
      <c r="FO173" s="469" t="str">
        <f ca="1">IF(OR(FO$169&lt;SwaptionFirstMonthPosition+1,$FN173&lt;SwaptionFirstMonthPosition+1,FO$169&gt;SwaptionFirstMonthPosition+SwaptionNumOfMonths+1,$FN173&gt;SwaptionFirstMonthPosition+SwaptionNumOfMonths+1),"",IF($FN173=FO$169,1,IF($FN173&lt;FO$169,INDEX($FO$170:$IH$241,FO$169,$FN173),SUMPRODUCT(INDEX($FO$325:$IH$396,FO$169,1+SwaptionShift):INDEX($FO$325:$IH$396,FO$169,SwaptionMonthsToGo+SwaptionShift),INDEX($FO$245:$IH$316,$FN173-FO$169,73-FO$169+SwaptionShift):INDEX($FO$245:$IH$316,$FN173-FO$169,72-FO$169+SwaptionMonthsToGo+SwaptionShift))/SQRT(SUM(INDEX($FO328:$IH328,1+SwaptionShift):INDEX($FO328:$IH328,SwaptionMonthsToGo+SwaptionShift))*SUM(INDEX($FO$325:$IH$396,FO$169,1+SwaptionShift):INDEX($FO$325:$IH$396,FO$169,SwaptionMonthsToGo+SwaptionShift))))))</f>
        <v/>
      </c>
      <c r="FP173" s="469">
        <f ca="1">IF(OR(FP$169&lt;SwaptionFirstMonthPosition+1,$FN173&lt;SwaptionFirstMonthPosition+1,FP$169&gt;SwaptionFirstMonthPosition+SwaptionNumOfMonths+1,$FN173&gt;SwaptionFirstMonthPosition+SwaptionNumOfMonths+1),"",IF($FN173=FP$169,1,IF($FN173&lt;FP$169,INDEX($FO$170:$IH$241,FP$169,$FN173),SUMPRODUCT(INDEX($FO$325:$IH$396,FP$169,1+SwaptionShift):INDEX($FO$325:$IH$396,FP$169,SwaptionMonthsToGo+SwaptionShift),INDEX($FO$245:$IH$316,$FN173-FP$169,73-FP$169+SwaptionShift):INDEX($FO$245:$IH$316,$FN173-FP$169,72-FP$169+SwaptionMonthsToGo+SwaptionShift))/SQRT(SUM(INDEX($FO328:$IH328,1+SwaptionShift):INDEX($FO328:$IH328,SwaptionMonthsToGo+SwaptionShift))*SUM(INDEX($FO$325:$IH$396,FP$169,1+SwaptionShift):INDEX($FO$325:$IH$396,FP$169,SwaptionMonthsToGo+SwaptionShift))))))</f>
        <v>0.96568923249892225</v>
      </c>
      <c r="FQ173" s="469">
        <f ca="1">IF(OR(FQ$169&lt;SwaptionFirstMonthPosition+1,$FN173&lt;SwaptionFirstMonthPosition+1,FQ$169&gt;SwaptionFirstMonthPosition+SwaptionNumOfMonths+1,$FN173&gt;SwaptionFirstMonthPosition+SwaptionNumOfMonths+1),"",IF($FN173=FQ$169,1,IF($FN173&lt;FQ$169,INDEX($FO$170:$IH$241,FQ$169,$FN173),SUMPRODUCT(INDEX($FO$325:$IH$396,FQ$169,1+SwaptionShift):INDEX($FO$325:$IH$396,FQ$169,SwaptionMonthsToGo+SwaptionShift),INDEX($FO$245:$IH$316,$FN173-FQ$169,73-FQ$169+SwaptionShift):INDEX($FO$245:$IH$316,$FN173-FQ$169,72-FQ$169+SwaptionMonthsToGo+SwaptionShift))/SQRT(SUM(INDEX($FO328:$IH328,1+SwaptionShift):INDEX($FO328:$IH328,SwaptionMonthsToGo+SwaptionShift))*SUM(INDEX($FO$325:$IH$396,FQ$169,1+SwaptionShift):INDEX($FO$325:$IH$396,FQ$169,SwaptionMonthsToGo+SwaptionShift))))))</f>
        <v>0.98442258043370012</v>
      </c>
      <c r="FR173" s="469">
        <f ca="1">IF(OR(FR$169&lt;SwaptionFirstMonthPosition+1,$FN173&lt;SwaptionFirstMonthPosition+1,FR$169&gt;SwaptionFirstMonthPosition+SwaptionNumOfMonths+1,$FN173&gt;SwaptionFirstMonthPosition+SwaptionNumOfMonths+1),"",IF($FN173=FR$169,1,IF($FN173&lt;FR$169,INDEX($FO$170:$IH$241,FR$169,$FN173),SUMPRODUCT(INDEX($FO$325:$IH$396,FR$169,1+SwaptionShift):INDEX($FO$325:$IH$396,FR$169,SwaptionMonthsToGo+SwaptionShift),INDEX($FO$245:$IH$316,$FN173-FR$169,73-FR$169+SwaptionShift):INDEX($FO$245:$IH$316,$FN173-FR$169,72-FR$169+SwaptionMonthsToGo+SwaptionShift))/SQRT(SUM(INDEX($FO328:$IH328,1+SwaptionShift):INDEX($FO328:$IH328,SwaptionMonthsToGo+SwaptionShift))*SUM(INDEX($FO$325:$IH$396,FR$169,1+SwaptionShift):INDEX($FO$325:$IH$396,FR$169,SwaptionMonthsToGo+SwaptionShift))))))</f>
        <v>1</v>
      </c>
      <c r="FS173" s="469">
        <f ca="1">IF(OR(FS$169&lt;SwaptionFirstMonthPosition+1,$FN173&lt;SwaptionFirstMonthPosition+1,FS$169&gt;SwaptionFirstMonthPosition+SwaptionNumOfMonths+1,$FN173&gt;SwaptionFirstMonthPosition+SwaptionNumOfMonths+1),"",IF($FN173=FS$169,1,IF($FN173&lt;FS$169,INDEX($FO$170:$IH$241,FS$169,$FN173),SUMPRODUCT(INDEX($FO$325:$IH$396,FS$169,1+SwaptionShift):INDEX($FO$325:$IH$396,FS$169,SwaptionMonthsToGo+SwaptionShift),INDEX($FO$245:$IH$316,$FN173-FS$169,73-FS$169+SwaptionShift):INDEX($FO$245:$IH$316,$FN173-FS$169,72-FS$169+SwaptionMonthsToGo+SwaptionShift))/SQRT(SUM(INDEX($FO328:$IH328,1+SwaptionShift):INDEX($FO328:$IH328,SwaptionMonthsToGo+SwaptionShift))*SUM(INDEX($FO$325:$IH$396,FS$169,1+SwaptionShift):INDEX($FO$325:$IH$396,FS$169,SwaptionMonthsToGo+SwaptionShift))))))</f>
        <v>0.98713623169205156</v>
      </c>
      <c r="FT173" s="469">
        <f ca="1">IF(OR(FT$169&lt;SwaptionFirstMonthPosition+1,$FN173&lt;SwaptionFirstMonthPosition+1,FT$169&gt;SwaptionFirstMonthPosition+SwaptionNumOfMonths+1,$FN173&gt;SwaptionFirstMonthPosition+SwaptionNumOfMonths+1),"",IF($FN173=FT$169,1,IF($FN173&lt;FT$169,INDEX($FO$170:$IH$241,FT$169,$FN173),SUMPRODUCT(INDEX($FO$325:$IH$396,FT$169,1+SwaptionShift):INDEX($FO$325:$IH$396,FT$169,SwaptionMonthsToGo+SwaptionShift),INDEX($FO$245:$IH$316,$FN173-FT$169,73-FT$169+SwaptionShift):INDEX($FO$245:$IH$316,$FN173-FT$169,72-FT$169+SwaptionMonthsToGo+SwaptionShift))/SQRT(SUM(INDEX($FO328:$IH328,1+SwaptionShift):INDEX($FO328:$IH328,SwaptionMonthsToGo+SwaptionShift))*SUM(INDEX($FO$325:$IH$396,FT$169,1+SwaptionShift):INDEX($FO$325:$IH$396,FT$169,SwaptionMonthsToGo+SwaptionShift))))))</f>
        <v>0.97655775468908868</v>
      </c>
      <c r="FU173" s="469">
        <f ca="1">IF(OR(FU$169&lt;SwaptionFirstMonthPosition+1,$FN173&lt;SwaptionFirstMonthPosition+1,FU$169&gt;SwaptionFirstMonthPosition+SwaptionNumOfMonths+1,$FN173&gt;SwaptionFirstMonthPosition+SwaptionNumOfMonths+1),"",IF($FN173=FU$169,1,IF($FN173&lt;FU$169,INDEX($FO$170:$IH$241,FU$169,$FN173),SUMPRODUCT(INDEX($FO$325:$IH$396,FU$169,1+SwaptionShift):INDEX($FO$325:$IH$396,FU$169,SwaptionMonthsToGo+SwaptionShift),INDEX($FO$245:$IH$316,$FN173-FU$169,73-FU$169+SwaptionShift):INDEX($FO$245:$IH$316,$FN173-FU$169,72-FU$169+SwaptionMonthsToGo+SwaptionShift))/SQRT(SUM(INDEX($FO328:$IH328,1+SwaptionShift):INDEX($FO328:$IH328,SwaptionMonthsToGo+SwaptionShift))*SUM(INDEX($FO$325:$IH$396,FU$169,1+SwaptionShift):INDEX($FO$325:$IH$396,FU$169,SwaptionMonthsToGo+SwaptionShift))))))</f>
        <v>0.9677724727763295</v>
      </c>
      <c r="FV173" s="469">
        <f ca="1">IF(OR(FV$169&lt;SwaptionFirstMonthPosition+1,$FN173&lt;SwaptionFirstMonthPosition+1,FV$169&gt;SwaptionFirstMonthPosition+SwaptionNumOfMonths+1,$FN173&gt;SwaptionFirstMonthPosition+SwaptionNumOfMonths+1),"",IF($FN173=FV$169,1,IF($FN173&lt;FV$169,INDEX($FO$170:$IH$241,FV$169,$FN173),SUMPRODUCT(INDEX($FO$325:$IH$396,FV$169,1+SwaptionShift):INDEX($FO$325:$IH$396,FV$169,SwaptionMonthsToGo+SwaptionShift),INDEX($FO$245:$IH$316,$FN173-FV$169,73-FV$169+SwaptionShift):INDEX($FO$245:$IH$316,$FN173-FV$169,72-FV$169+SwaptionMonthsToGo+SwaptionShift))/SQRT(SUM(INDEX($FO328:$IH328,1+SwaptionShift):INDEX($FO328:$IH328,SwaptionMonthsToGo+SwaptionShift))*SUM(INDEX($FO$325:$IH$396,FV$169,1+SwaptionShift):INDEX($FO$325:$IH$396,FV$169,SwaptionMonthsToGo+SwaptionShift))))))</f>
        <v>0.96040999917096637</v>
      </c>
      <c r="FW173" s="469">
        <f ca="1">IF(OR(FW$169&lt;SwaptionFirstMonthPosition+1,$FN173&lt;SwaptionFirstMonthPosition+1,FW$169&gt;SwaptionFirstMonthPosition+SwaptionNumOfMonths+1,$FN173&gt;SwaptionFirstMonthPosition+SwaptionNumOfMonths+1),"",IF($FN173=FW$169,1,IF($FN173&lt;FW$169,INDEX($FO$170:$IH$241,FW$169,$FN173),SUMPRODUCT(INDEX($FO$325:$IH$396,FW$169,1+SwaptionShift):INDEX($FO$325:$IH$396,FW$169,SwaptionMonthsToGo+SwaptionShift),INDEX($FO$245:$IH$316,$FN173-FW$169,73-FW$169+SwaptionShift):INDEX($FO$245:$IH$316,$FN173-FW$169,72-FW$169+SwaptionMonthsToGo+SwaptionShift))/SQRT(SUM(INDEX($FO328:$IH328,1+SwaptionShift):INDEX($FO328:$IH328,SwaptionMonthsToGo+SwaptionShift))*SUM(INDEX($FO$325:$IH$396,FW$169,1+SwaptionShift):INDEX($FO$325:$IH$396,FW$169,SwaptionMonthsToGo+SwaptionShift))))))</f>
        <v>0.95418847088104053</v>
      </c>
      <c r="FX173" s="469">
        <f ca="1">IF(OR(FX$169&lt;SwaptionFirstMonthPosition+1,$FN173&lt;SwaptionFirstMonthPosition+1,FX$169&gt;SwaptionFirstMonthPosition+SwaptionNumOfMonths+1,$FN173&gt;SwaptionFirstMonthPosition+SwaptionNumOfMonths+1),"",IF($FN173=FX$169,1,IF($FN173&lt;FX$169,INDEX($FO$170:$IH$241,FX$169,$FN173),SUMPRODUCT(INDEX($FO$325:$IH$396,FX$169,1+SwaptionShift):INDEX($FO$325:$IH$396,FX$169,SwaptionMonthsToGo+SwaptionShift),INDEX($FO$245:$IH$316,$FN173-FX$169,73-FX$169+SwaptionShift):INDEX($FO$245:$IH$316,$FN173-FX$169,72-FX$169+SwaptionMonthsToGo+SwaptionShift))/SQRT(SUM(INDEX($FO328:$IH328,1+SwaptionShift):INDEX($FO328:$IH328,SwaptionMonthsToGo+SwaptionShift))*SUM(INDEX($FO$325:$IH$396,FX$169,1+SwaptionShift):INDEX($FO$325:$IH$396,FX$169,SwaptionMonthsToGo+SwaptionShift))))))</f>
        <v>0.94889117339970475</v>
      </c>
      <c r="FY173" s="469">
        <f ca="1">IF(OR(FY$169&lt;SwaptionFirstMonthPosition+1,$FN173&lt;SwaptionFirstMonthPosition+1,FY$169&gt;SwaptionFirstMonthPosition+SwaptionNumOfMonths+1,$FN173&gt;SwaptionFirstMonthPosition+SwaptionNumOfMonths+1),"",IF($FN173=FY$169,1,IF($FN173&lt;FY$169,INDEX($FO$170:$IH$241,FY$169,$FN173),SUMPRODUCT(INDEX($FO$325:$IH$396,FY$169,1+SwaptionShift):INDEX($FO$325:$IH$396,FY$169,SwaptionMonthsToGo+SwaptionShift),INDEX($FO$245:$IH$316,$FN173-FY$169,73-FY$169+SwaptionShift):INDEX($FO$245:$IH$316,$FN173-FY$169,72-FY$169+SwaptionMonthsToGo+SwaptionShift))/SQRT(SUM(INDEX($FO328:$IH328,1+SwaptionShift):INDEX($FO328:$IH328,SwaptionMonthsToGo+SwaptionShift))*SUM(INDEX($FO$325:$IH$396,FY$169,1+SwaptionShift):INDEX($FO$325:$IH$396,FY$169,SwaptionMonthsToGo+SwaptionShift))))))</f>
        <v>0.94434983855700183</v>
      </c>
      <c r="FZ173" s="469">
        <f ca="1">IF(OR(FZ$169&lt;SwaptionFirstMonthPosition+1,$FN173&lt;SwaptionFirstMonthPosition+1,FZ$169&gt;SwaptionFirstMonthPosition+SwaptionNumOfMonths+1,$FN173&gt;SwaptionFirstMonthPosition+SwaptionNumOfMonths+1),"",IF($FN173=FZ$169,1,IF($FN173&lt;FZ$169,INDEX($FO$170:$IH$241,FZ$169,$FN173),SUMPRODUCT(INDEX($FO$325:$IH$396,FZ$169,1+SwaptionShift):INDEX($FO$325:$IH$396,FZ$169,SwaptionMonthsToGo+SwaptionShift),INDEX($FO$245:$IH$316,$FN173-FZ$169,73-FZ$169+SwaptionShift):INDEX($FO$245:$IH$316,$FN173-FZ$169,72-FZ$169+SwaptionMonthsToGo+SwaptionShift))/SQRT(SUM(INDEX($FO328:$IH328,1+SwaptionShift):INDEX($FO328:$IH328,SwaptionMonthsToGo+SwaptionShift))*SUM(INDEX($FO$325:$IH$396,FZ$169,1+SwaptionShift):INDEX($FO$325:$IH$396,FZ$169,SwaptionMonthsToGo+SwaptionShift))))))</f>
        <v>0.94043256445688006</v>
      </c>
      <c r="GA173" s="469">
        <f ca="1">IF(OR(GA$169&lt;SwaptionFirstMonthPosition+1,$FN173&lt;SwaptionFirstMonthPosition+1,GA$169&gt;SwaptionFirstMonthPosition+SwaptionNumOfMonths+1,$FN173&gt;SwaptionFirstMonthPosition+SwaptionNumOfMonths+1),"",IF($FN173=GA$169,1,IF($FN173&lt;GA$169,INDEX($FO$170:$IH$241,GA$169,$FN173),SUMPRODUCT(INDEX($FO$325:$IH$396,GA$169,1+SwaptionShift):INDEX($FO$325:$IH$396,GA$169,SwaptionMonthsToGo+SwaptionShift),INDEX($FO$245:$IH$316,$FN173-GA$169,73-GA$169+SwaptionShift):INDEX($FO$245:$IH$316,$FN173-GA$169,72-GA$169+SwaptionMonthsToGo+SwaptionShift))/SQRT(SUM(INDEX($FO328:$IH328,1+SwaptionShift):INDEX($FO328:$IH328,SwaptionMonthsToGo+SwaptionShift))*SUM(INDEX($FO$325:$IH$396,GA$169,1+SwaptionShift):INDEX($FO$325:$IH$396,GA$169,SwaptionMonthsToGo+SwaptionShift))))))</f>
        <v>0.93703498655240769</v>
      </c>
      <c r="GB173" s="469">
        <f ca="1">IF(OR(GB$169&lt;SwaptionFirstMonthPosition+1,$FN173&lt;SwaptionFirstMonthPosition+1,GB$169&gt;SwaptionFirstMonthPosition+SwaptionNumOfMonths+1,$FN173&gt;SwaptionFirstMonthPosition+SwaptionNumOfMonths+1),"",IF($FN173=GB$169,1,IF($FN173&lt;GB$169,INDEX($FO$170:$IH$241,GB$169,$FN173),SUMPRODUCT(INDEX($FO$325:$IH$396,GB$169,1+SwaptionShift):INDEX($FO$325:$IH$396,GB$169,SwaptionMonthsToGo+SwaptionShift),INDEX($FO$245:$IH$316,$FN173-GB$169,73-GB$169+SwaptionShift):INDEX($FO$245:$IH$316,$FN173-GB$169,72-GB$169+SwaptionMonthsToGo+SwaptionShift))/SQRT(SUM(INDEX($FO328:$IH328,1+SwaptionShift):INDEX($FO328:$IH328,SwaptionMonthsToGo+SwaptionShift))*SUM(INDEX($FO$325:$IH$396,GB$169,1+SwaptionShift):INDEX($FO$325:$IH$396,GB$169,SwaptionMonthsToGo+SwaptionShift))))))</f>
        <v>0.93407376566958777</v>
      </c>
      <c r="GC173" s="469" t="str">
        <f ca="1">IF(OR(GC$169&lt;SwaptionFirstMonthPosition+1,$FN173&lt;SwaptionFirstMonthPosition+1,GC$169&gt;SwaptionFirstMonthPosition+SwaptionNumOfMonths+1,$FN173&gt;SwaptionFirstMonthPosition+SwaptionNumOfMonths+1),"",IF($FN173=GC$169,1,IF($FN173&lt;GC$169,INDEX($FO$170:$IH$241,GC$169,$FN173),SUMPRODUCT(INDEX($FO$325:$IH$396,GC$169,1+SwaptionShift):INDEX($FO$325:$IH$396,GC$169,SwaptionMonthsToGo+SwaptionShift),INDEX($FO$245:$IH$316,$FN173-GC$169,73-GC$169+SwaptionShift):INDEX($FO$245:$IH$316,$FN173-GC$169,72-GC$169+SwaptionMonthsToGo+SwaptionShift))/SQRT(SUM(INDEX($FO328:$IH328,1+SwaptionShift):INDEX($FO328:$IH328,SwaptionMonthsToGo+SwaptionShift))*SUM(INDEX($FO$325:$IH$396,GC$169,1+SwaptionShift):INDEX($FO$325:$IH$396,GC$169,SwaptionMonthsToGo+SwaptionShift))))))</f>
        <v/>
      </c>
      <c r="GD173" s="469" t="str">
        <f ca="1">IF(OR(GD$169&lt;SwaptionFirstMonthPosition+1,$FN173&lt;SwaptionFirstMonthPosition+1,GD$169&gt;SwaptionFirstMonthPosition+SwaptionNumOfMonths+1,$FN173&gt;SwaptionFirstMonthPosition+SwaptionNumOfMonths+1),"",IF($FN173=GD$169,1,IF($FN173&lt;GD$169,INDEX($FO$170:$IH$241,GD$169,$FN173),SUMPRODUCT(INDEX($FO$325:$IH$396,GD$169,1+SwaptionShift):INDEX($FO$325:$IH$396,GD$169,SwaptionMonthsToGo+SwaptionShift),INDEX($FO$245:$IH$316,$FN173-GD$169,73-GD$169+SwaptionShift):INDEX($FO$245:$IH$316,$FN173-GD$169,72-GD$169+SwaptionMonthsToGo+SwaptionShift))/SQRT(SUM(INDEX($FO328:$IH328,1+SwaptionShift):INDEX($FO328:$IH328,SwaptionMonthsToGo+SwaptionShift))*SUM(INDEX($FO$325:$IH$396,GD$169,1+SwaptionShift):INDEX($FO$325:$IH$396,GD$169,SwaptionMonthsToGo+SwaptionShift))))))</f>
        <v/>
      </c>
      <c r="GE173" s="469" t="str">
        <f ca="1">IF(OR(GE$169&lt;SwaptionFirstMonthPosition+1,$FN173&lt;SwaptionFirstMonthPosition+1,GE$169&gt;SwaptionFirstMonthPosition+SwaptionNumOfMonths+1,$FN173&gt;SwaptionFirstMonthPosition+SwaptionNumOfMonths+1),"",IF($FN173=GE$169,1,IF($FN173&lt;GE$169,INDEX($FO$170:$IH$241,GE$169,$FN173),SUMPRODUCT(INDEX($FO$325:$IH$396,GE$169,1+SwaptionShift):INDEX($FO$325:$IH$396,GE$169,SwaptionMonthsToGo+SwaptionShift),INDEX($FO$245:$IH$316,$FN173-GE$169,73-GE$169+SwaptionShift):INDEX($FO$245:$IH$316,$FN173-GE$169,72-GE$169+SwaptionMonthsToGo+SwaptionShift))/SQRT(SUM(INDEX($FO328:$IH328,1+SwaptionShift):INDEX($FO328:$IH328,SwaptionMonthsToGo+SwaptionShift))*SUM(INDEX($FO$325:$IH$396,GE$169,1+SwaptionShift):INDEX($FO$325:$IH$396,GE$169,SwaptionMonthsToGo+SwaptionShift))))))</f>
        <v/>
      </c>
      <c r="GF173" s="469" t="str">
        <f ca="1">IF(OR(GF$169&lt;SwaptionFirstMonthPosition+1,$FN173&lt;SwaptionFirstMonthPosition+1,GF$169&gt;SwaptionFirstMonthPosition+SwaptionNumOfMonths+1,$FN173&gt;SwaptionFirstMonthPosition+SwaptionNumOfMonths+1),"",IF($FN173=GF$169,1,IF($FN173&lt;GF$169,INDEX($FO$170:$IH$241,GF$169,$FN173),SUMPRODUCT(INDEX($FO$325:$IH$396,GF$169,1+SwaptionShift):INDEX($FO$325:$IH$396,GF$169,SwaptionMonthsToGo+SwaptionShift),INDEX($FO$245:$IH$316,$FN173-GF$169,73-GF$169+SwaptionShift):INDEX($FO$245:$IH$316,$FN173-GF$169,72-GF$169+SwaptionMonthsToGo+SwaptionShift))/SQRT(SUM(INDEX($FO328:$IH328,1+SwaptionShift):INDEX($FO328:$IH328,SwaptionMonthsToGo+SwaptionShift))*SUM(INDEX($FO$325:$IH$396,GF$169,1+SwaptionShift):INDEX($FO$325:$IH$396,GF$169,SwaptionMonthsToGo+SwaptionShift))))))</f>
        <v/>
      </c>
      <c r="GG173" s="469" t="str">
        <f ca="1">IF(OR(GG$169&lt;SwaptionFirstMonthPosition+1,$FN173&lt;SwaptionFirstMonthPosition+1,GG$169&gt;SwaptionFirstMonthPosition+SwaptionNumOfMonths+1,$FN173&gt;SwaptionFirstMonthPosition+SwaptionNumOfMonths+1),"",IF($FN173=GG$169,1,IF($FN173&lt;GG$169,INDEX($FO$170:$IH$241,GG$169,$FN173),SUMPRODUCT(INDEX($FO$325:$IH$396,GG$169,1+SwaptionShift):INDEX($FO$325:$IH$396,GG$169,SwaptionMonthsToGo+SwaptionShift),INDEX($FO$245:$IH$316,$FN173-GG$169,73-GG$169+SwaptionShift):INDEX($FO$245:$IH$316,$FN173-GG$169,72-GG$169+SwaptionMonthsToGo+SwaptionShift))/SQRT(SUM(INDEX($FO328:$IH328,1+SwaptionShift):INDEX($FO328:$IH328,SwaptionMonthsToGo+SwaptionShift))*SUM(INDEX($FO$325:$IH$396,GG$169,1+SwaptionShift):INDEX($FO$325:$IH$396,GG$169,SwaptionMonthsToGo+SwaptionShift))))))</f>
        <v/>
      </c>
      <c r="GH173" s="469" t="str">
        <f ca="1">IF(OR(GH$169&lt;SwaptionFirstMonthPosition+1,$FN173&lt;SwaptionFirstMonthPosition+1,GH$169&gt;SwaptionFirstMonthPosition+SwaptionNumOfMonths+1,$FN173&gt;SwaptionFirstMonthPosition+SwaptionNumOfMonths+1),"",IF($FN173=GH$169,1,IF($FN173&lt;GH$169,INDEX($FO$170:$IH$241,GH$169,$FN173),SUMPRODUCT(INDEX($FO$325:$IH$396,GH$169,1+SwaptionShift):INDEX($FO$325:$IH$396,GH$169,SwaptionMonthsToGo+SwaptionShift),INDEX($FO$245:$IH$316,$FN173-GH$169,73-GH$169+SwaptionShift):INDEX($FO$245:$IH$316,$FN173-GH$169,72-GH$169+SwaptionMonthsToGo+SwaptionShift))/SQRT(SUM(INDEX($FO328:$IH328,1+SwaptionShift):INDEX($FO328:$IH328,SwaptionMonthsToGo+SwaptionShift))*SUM(INDEX($FO$325:$IH$396,GH$169,1+SwaptionShift):INDEX($FO$325:$IH$396,GH$169,SwaptionMonthsToGo+SwaptionShift))))))</f>
        <v/>
      </c>
      <c r="GI173" s="469" t="str">
        <f ca="1">IF(OR(GI$169&lt;SwaptionFirstMonthPosition+1,$FN173&lt;SwaptionFirstMonthPosition+1,GI$169&gt;SwaptionFirstMonthPosition+SwaptionNumOfMonths+1,$FN173&gt;SwaptionFirstMonthPosition+SwaptionNumOfMonths+1),"",IF($FN173=GI$169,1,IF($FN173&lt;GI$169,INDEX($FO$170:$IH$241,GI$169,$FN173),SUMPRODUCT(INDEX($FO$325:$IH$396,GI$169,1+SwaptionShift):INDEX($FO$325:$IH$396,GI$169,SwaptionMonthsToGo+SwaptionShift),INDEX($FO$245:$IH$316,$FN173-GI$169,73-GI$169+SwaptionShift):INDEX($FO$245:$IH$316,$FN173-GI$169,72-GI$169+SwaptionMonthsToGo+SwaptionShift))/SQRT(SUM(INDEX($FO328:$IH328,1+SwaptionShift):INDEX($FO328:$IH328,SwaptionMonthsToGo+SwaptionShift))*SUM(INDEX($FO$325:$IH$396,GI$169,1+SwaptionShift):INDEX($FO$325:$IH$396,GI$169,SwaptionMonthsToGo+SwaptionShift))))))</f>
        <v/>
      </c>
      <c r="GJ173" s="469" t="str">
        <f ca="1">IF(OR(GJ$169&lt;SwaptionFirstMonthPosition+1,$FN173&lt;SwaptionFirstMonthPosition+1,GJ$169&gt;SwaptionFirstMonthPosition+SwaptionNumOfMonths+1,$FN173&gt;SwaptionFirstMonthPosition+SwaptionNumOfMonths+1),"",IF($FN173=GJ$169,1,IF($FN173&lt;GJ$169,INDEX($FO$170:$IH$241,GJ$169,$FN173),SUMPRODUCT(INDEX($FO$325:$IH$396,GJ$169,1+SwaptionShift):INDEX($FO$325:$IH$396,GJ$169,SwaptionMonthsToGo+SwaptionShift),INDEX($FO$245:$IH$316,$FN173-GJ$169,73-GJ$169+SwaptionShift):INDEX($FO$245:$IH$316,$FN173-GJ$169,72-GJ$169+SwaptionMonthsToGo+SwaptionShift))/SQRT(SUM(INDEX($FO328:$IH328,1+SwaptionShift):INDEX($FO328:$IH328,SwaptionMonthsToGo+SwaptionShift))*SUM(INDEX($FO$325:$IH$396,GJ$169,1+SwaptionShift):INDEX($FO$325:$IH$396,GJ$169,SwaptionMonthsToGo+SwaptionShift))))))</f>
        <v/>
      </c>
      <c r="GK173" s="469" t="str">
        <f ca="1">IF(OR(GK$169&lt;SwaptionFirstMonthPosition+1,$FN173&lt;SwaptionFirstMonthPosition+1,GK$169&gt;SwaptionFirstMonthPosition+SwaptionNumOfMonths+1,$FN173&gt;SwaptionFirstMonthPosition+SwaptionNumOfMonths+1),"",IF($FN173=GK$169,1,IF($FN173&lt;GK$169,INDEX($FO$170:$IH$241,GK$169,$FN173),SUMPRODUCT(INDEX($FO$325:$IH$396,GK$169,1+SwaptionShift):INDEX($FO$325:$IH$396,GK$169,SwaptionMonthsToGo+SwaptionShift),INDEX($FO$245:$IH$316,$FN173-GK$169,73-GK$169+SwaptionShift):INDEX($FO$245:$IH$316,$FN173-GK$169,72-GK$169+SwaptionMonthsToGo+SwaptionShift))/SQRT(SUM(INDEX($FO328:$IH328,1+SwaptionShift):INDEX($FO328:$IH328,SwaptionMonthsToGo+SwaptionShift))*SUM(INDEX($FO$325:$IH$396,GK$169,1+SwaptionShift):INDEX($FO$325:$IH$396,GK$169,SwaptionMonthsToGo+SwaptionShift))))))</f>
        <v/>
      </c>
      <c r="GL173" s="469" t="str">
        <f ca="1">IF(OR(GL$169&lt;SwaptionFirstMonthPosition+1,$FN173&lt;SwaptionFirstMonthPosition+1,GL$169&gt;SwaptionFirstMonthPosition+SwaptionNumOfMonths+1,$FN173&gt;SwaptionFirstMonthPosition+SwaptionNumOfMonths+1),"",IF($FN173=GL$169,1,IF($FN173&lt;GL$169,INDEX($FO$170:$IH$241,GL$169,$FN173),SUMPRODUCT(INDEX($FO$325:$IH$396,GL$169,1+SwaptionShift):INDEX($FO$325:$IH$396,GL$169,SwaptionMonthsToGo+SwaptionShift),INDEX($FO$245:$IH$316,$FN173-GL$169,73-GL$169+SwaptionShift):INDEX($FO$245:$IH$316,$FN173-GL$169,72-GL$169+SwaptionMonthsToGo+SwaptionShift))/SQRT(SUM(INDEX($FO328:$IH328,1+SwaptionShift):INDEX($FO328:$IH328,SwaptionMonthsToGo+SwaptionShift))*SUM(INDEX($FO$325:$IH$396,GL$169,1+SwaptionShift):INDEX($FO$325:$IH$396,GL$169,SwaptionMonthsToGo+SwaptionShift))))))</f>
        <v/>
      </c>
      <c r="GM173" s="469" t="str">
        <f ca="1">IF(OR(GM$169&lt;SwaptionFirstMonthPosition+1,$FN173&lt;SwaptionFirstMonthPosition+1,GM$169&gt;SwaptionFirstMonthPosition+SwaptionNumOfMonths+1,$FN173&gt;SwaptionFirstMonthPosition+SwaptionNumOfMonths+1),"",IF($FN173=GM$169,1,IF($FN173&lt;GM$169,INDEX($FO$170:$IH$241,GM$169,$FN173),SUMPRODUCT(INDEX($FO$325:$IH$396,GM$169,1+SwaptionShift):INDEX($FO$325:$IH$396,GM$169,SwaptionMonthsToGo+SwaptionShift),INDEX($FO$245:$IH$316,$FN173-GM$169,73-GM$169+SwaptionShift):INDEX($FO$245:$IH$316,$FN173-GM$169,72-GM$169+SwaptionMonthsToGo+SwaptionShift))/SQRT(SUM(INDEX($FO328:$IH328,1+SwaptionShift):INDEX($FO328:$IH328,SwaptionMonthsToGo+SwaptionShift))*SUM(INDEX($FO$325:$IH$396,GM$169,1+SwaptionShift):INDEX($FO$325:$IH$396,GM$169,SwaptionMonthsToGo+SwaptionShift))))))</f>
        <v/>
      </c>
      <c r="GN173" s="469" t="str">
        <f ca="1">IF(OR(GN$169&lt;SwaptionFirstMonthPosition+1,$FN173&lt;SwaptionFirstMonthPosition+1,GN$169&gt;SwaptionFirstMonthPosition+SwaptionNumOfMonths+1,$FN173&gt;SwaptionFirstMonthPosition+SwaptionNumOfMonths+1),"",IF($FN173=GN$169,1,IF($FN173&lt;GN$169,INDEX($FO$170:$IH$241,GN$169,$FN173),SUMPRODUCT(INDEX($FO$325:$IH$396,GN$169,1+SwaptionShift):INDEX($FO$325:$IH$396,GN$169,SwaptionMonthsToGo+SwaptionShift),INDEX($FO$245:$IH$316,$FN173-GN$169,73-GN$169+SwaptionShift):INDEX($FO$245:$IH$316,$FN173-GN$169,72-GN$169+SwaptionMonthsToGo+SwaptionShift))/SQRT(SUM(INDEX($FO328:$IH328,1+SwaptionShift):INDEX($FO328:$IH328,SwaptionMonthsToGo+SwaptionShift))*SUM(INDEX($FO$325:$IH$396,GN$169,1+SwaptionShift):INDEX($FO$325:$IH$396,GN$169,SwaptionMonthsToGo+SwaptionShift))))))</f>
        <v/>
      </c>
      <c r="GO173" s="469" t="str">
        <f ca="1">IF(OR(GO$169&lt;SwaptionFirstMonthPosition+1,$FN173&lt;SwaptionFirstMonthPosition+1,GO$169&gt;SwaptionFirstMonthPosition+SwaptionNumOfMonths+1,$FN173&gt;SwaptionFirstMonthPosition+SwaptionNumOfMonths+1),"",IF($FN173=GO$169,1,IF($FN173&lt;GO$169,INDEX($FO$170:$IH$241,GO$169,$FN173),SUMPRODUCT(INDEX($FO$325:$IH$396,GO$169,1+SwaptionShift):INDEX($FO$325:$IH$396,GO$169,SwaptionMonthsToGo+SwaptionShift),INDEX($FO$245:$IH$316,$FN173-GO$169,73-GO$169+SwaptionShift):INDEX($FO$245:$IH$316,$FN173-GO$169,72-GO$169+SwaptionMonthsToGo+SwaptionShift))/SQRT(SUM(INDEX($FO328:$IH328,1+SwaptionShift):INDEX($FO328:$IH328,SwaptionMonthsToGo+SwaptionShift))*SUM(INDEX($FO$325:$IH$396,GO$169,1+SwaptionShift):INDEX($FO$325:$IH$396,GO$169,SwaptionMonthsToGo+SwaptionShift))))))</f>
        <v/>
      </c>
      <c r="GP173" s="469" t="str">
        <f ca="1">IF(OR(GP$169&lt;SwaptionFirstMonthPosition+1,$FN173&lt;SwaptionFirstMonthPosition+1,GP$169&gt;SwaptionFirstMonthPosition+SwaptionNumOfMonths+1,$FN173&gt;SwaptionFirstMonthPosition+SwaptionNumOfMonths+1),"",IF($FN173=GP$169,1,IF($FN173&lt;GP$169,INDEX($FO$170:$IH$241,GP$169,$FN173),SUMPRODUCT(INDEX($FO$325:$IH$396,GP$169,1+SwaptionShift):INDEX($FO$325:$IH$396,GP$169,SwaptionMonthsToGo+SwaptionShift),INDEX($FO$245:$IH$316,$FN173-GP$169,73-GP$169+SwaptionShift):INDEX($FO$245:$IH$316,$FN173-GP$169,72-GP$169+SwaptionMonthsToGo+SwaptionShift))/SQRT(SUM(INDEX($FO328:$IH328,1+SwaptionShift):INDEX($FO328:$IH328,SwaptionMonthsToGo+SwaptionShift))*SUM(INDEX($FO$325:$IH$396,GP$169,1+SwaptionShift):INDEX($FO$325:$IH$396,GP$169,SwaptionMonthsToGo+SwaptionShift))))))</f>
        <v/>
      </c>
      <c r="GQ173" s="469" t="str">
        <f ca="1">IF(OR(GQ$169&lt;SwaptionFirstMonthPosition+1,$FN173&lt;SwaptionFirstMonthPosition+1,GQ$169&gt;SwaptionFirstMonthPosition+SwaptionNumOfMonths+1,$FN173&gt;SwaptionFirstMonthPosition+SwaptionNumOfMonths+1),"",IF($FN173=GQ$169,1,IF($FN173&lt;GQ$169,INDEX($FO$170:$IH$241,GQ$169,$FN173),SUMPRODUCT(INDEX($FO$325:$IH$396,GQ$169,1+SwaptionShift):INDEX($FO$325:$IH$396,GQ$169,SwaptionMonthsToGo+SwaptionShift),INDEX($FO$245:$IH$316,$FN173-GQ$169,73-GQ$169+SwaptionShift):INDEX($FO$245:$IH$316,$FN173-GQ$169,72-GQ$169+SwaptionMonthsToGo+SwaptionShift))/SQRT(SUM(INDEX($FO328:$IH328,1+SwaptionShift):INDEX($FO328:$IH328,SwaptionMonthsToGo+SwaptionShift))*SUM(INDEX($FO$325:$IH$396,GQ$169,1+SwaptionShift):INDEX($FO$325:$IH$396,GQ$169,SwaptionMonthsToGo+SwaptionShift))))))</f>
        <v/>
      </c>
      <c r="GR173" s="469" t="str">
        <f ca="1">IF(OR(GR$169&lt;SwaptionFirstMonthPosition+1,$FN173&lt;SwaptionFirstMonthPosition+1,GR$169&gt;SwaptionFirstMonthPosition+SwaptionNumOfMonths+1,$FN173&gt;SwaptionFirstMonthPosition+SwaptionNumOfMonths+1),"",IF($FN173=GR$169,1,IF($FN173&lt;GR$169,INDEX($FO$170:$IH$241,GR$169,$FN173),SUMPRODUCT(INDEX($FO$325:$IH$396,GR$169,1+SwaptionShift):INDEX($FO$325:$IH$396,GR$169,SwaptionMonthsToGo+SwaptionShift),INDEX($FO$245:$IH$316,$FN173-GR$169,73-GR$169+SwaptionShift):INDEX($FO$245:$IH$316,$FN173-GR$169,72-GR$169+SwaptionMonthsToGo+SwaptionShift))/SQRT(SUM(INDEX($FO328:$IH328,1+SwaptionShift):INDEX($FO328:$IH328,SwaptionMonthsToGo+SwaptionShift))*SUM(INDEX($FO$325:$IH$396,GR$169,1+SwaptionShift):INDEX($FO$325:$IH$396,GR$169,SwaptionMonthsToGo+SwaptionShift))))))</f>
        <v/>
      </c>
      <c r="GS173" s="469" t="str">
        <f ca="1">IF(OR(GS$169&lt;SwaptionFirstMonthPosition+1,$FN173&lt;SwaptionFirstMonthPosition+1,GS$169&gt;SwaptionFirstMonthPosition+SwaptionNumOfMonths+1,$FN173&gt;SwaptionFirstMonthPosition+SwaptionNumOfMonths+1),"",IF($FN173=GS$169,1,IF($FN173&lt;GS$169,INDEX($FO$170:$IH$241,GS$169,$FN173),SUMPRODUCT(INDEX($FO$325:$IH$396,GS$169,1+SwaptionShift):INDEX($FO$325:$IH$396,GS$169,SwaptionMonthsToGo+SwaptionShift),INDEX($FO$245:$IH$316,$FN173-GS$169,73-GS$169+SwaptionShift):INDEX($FO$245:$IH$316,$FN173-GS$169,72-GS$169+SwaptionMonthsToGo+SwaptionShift))/SQRT(SUM(INDEX($FO328:$IH328,1+SwaptionShift):INDEX($FO328:$IH328,SwaptionMonthsToGo+SwaptionShift))*SUM(INDEX($FO$325:$IH$396,GS$169,1+SwaptionShift):INDEX($FO$325:$IH$396,GS$169,SwaptionMonthsToGo+SwaptionShift))))))</f>
        <v/>
      </c>
      <c r="GT173" s="469" t="str">
        <f ca="1">IF(OR(GT$169&lt;SwaptionFirstMonthPosition+1,$FN173&lt;SwaptionFirstMonthPosition+1,GT$169&gt;SwaptionFirstMonthPosition+SwaptionNumOfMonths+1,$FN173&gt;SwaptionFirstMonthPosition+SwaptionNumOfMonths+1),"",IF($FN173=GT$169,1,IF($FN173&lt;GT$169,INDEX($FO$170:$IH$241,GT$169,$FN173),SUMPRODUCT(INDEX($FO$325:$IH$396,GT$169,1+SwaptionShift):INDEX($FO$325:$IH$396,GT$169,SwaptionMonthsToGo+SwaptionShift),INDEX($FO$245:$IH$316,$FN173-GT$169,73-GT$169+SwaptionShift):INDEX($FO$245:$IH$316,$FN173-GT$169,72-GT$169+SwaptionMonthsToGo+SwaptionShift))/SQRT(SUM(INDEX($FO328:$IH328,1+SwaptionShift):INDEX($FO328:$IH328,SwaptionMonthsToGo+SwaptionShift))*SUM(INDEX($FO$325:$IH$396,GT$169,1+SwaptionShift):INDEX($FO$325:$IH$396,GT$169,SwaptionMonthsToGo+SwaptionShift))))))</f>
        <v/>
      </c>
      <c r="GU173" s="469" t="str">
        <f ca="1">IF(OR(GU$169&lt;SwaptionFirstMonthPosition+1,$FN173&lt;SwaptionFirstMonthPosition+1,GU$169&gt;SwaptionFirstMonthPosition+SwaptionNumOfMonths+1,$FN173&gt;SwaptionFirstMonthPosition+SwaptionNumOfMonths+1),"",IF($FN173=GU$169,1,IF($FN173&lt;GU$169,INDEX($FO$170:$IH$241,GU$169,$FN173),SUMPRODUCT(INDEX($FO$325:$IH$396,GU$169,1+SwaptionShift):INDEX($FO$325:$IH$396,GU$169,SwaptionMonthsToGo+SwaptionShift),INDEX($FO$245:$IH$316,$FN173-GU$169,73-GU$169+SwaptionShift):INDEX($FO$245:$IH$316,$FN173-GU$169,72-GU$169+SwaptionMonthsToGo+SwaptionShift))/SQRT(SUM(INDEX($FO328:$IH328,1+SwaptionShift):INDEX($FO328:$IH328,SwaptionMonthsToGo+SwaptionShift))*SUM(INDEX($FO$325:$IH$396,GU$169,1+SwaptionShift):INDEX($FO$325:$IH$396,GU$169,SwaptionMonthsToGo+SwaptionShift))))))</f>
        <v/>
      </c>
      <c r="GV173" s="469" t="str">
        <f ca="1">IF(OR(GV$169&lt;SwaptionFirstMonthPosition+1,$FN173&lt;SwaptionFirstMonthPosition+1,GV$169&gt;SwaptionFirstMonthPosition+SwaptionNumOfMonths+1,$FN173&gt;SwaptionFirstMonthPosition+SwaptionNumOfMonths+1),"",IF($FN173=GV$169,1,IF($FN173&lt;GV$169,INDEX($FO$170:$IH$241,GV$169,$FN173),SUMPRODUCT(INDEX($FO$325:$IH$396,GV$169,1+SwaptionShift):INDEX($FO$325:$IH$396,GV$169,SwaptionMonthsToGo+SwaptionShift),INDEX($FO$245:$IH$316,$FN173-GV$169,73-GV$169+SwaptionShift):INDEX($FO$245:$IH$316,$FN173-GV$169,72-GV$169+SwaptionMonthsToGo+SwaptionShift))/SQRT(SUM(INDEX($FO328:$IH328,1+SwaptionShift):INDEX($FO328:$IH328,SwaptionMonthsToGo+SwaptionShift))*SUM(INDEX($FO$325:$IH$396,GV$169,1+SwaptionShift):INDEX($FO$325:$IH$396,GV$169,SwaptionMonthsToGo+SwaptionShift))))))</f>
        <v/>
      </c>
      <c r="GW173" s="469" t="str">
        <f ca="1">IF(OR(GW$169&lt;SwaptionFirstMonthPosition+1,$FN173&lt;SwaptionFirstMonthPosition+1,GW$169&gt;SwaptionFirstMonthPosition+SwaptionNumOfMonths+1,$FN173&gt;SwaptionFirstMonthPosition+SwaptionNumOfMonths+1),"",IF($FN173=GW$169,1,IF($FN173&lt;GW$169,INDEX($FO$170:$IH$241,GW$169,$FN173),SUMPRODUCT(INDEX($FO$325:$IH$396,GW$169,1+SwaptionShift):INDEX($FO$325:$IH$396,GW$169,SwaptionMonthsToGo+SwaptionShift),INDEX($FO$245:$IH$316,$FN173-GW$169,73-GW$169+SwaptionShift):INDEX($FO$245:$IH$316,$FN173-GW$169,72-GW$169+SwaptionMonthsToGo+SwaptionShift))/SQRT(SUM(INDEX($FO328:$IH328,1+SwaptionShift):INDEX($FO328:$IH328,SwaptionMonthsToGo+SwaptionShift))*SUM(INDEX($FO$325:$IH$396,GW$169,1+SwaptionShift):INDEX($FO$325:$IH$396,GW$169,SwaptionMonthsToGo+SwaptionShift))))))</f>
        <v/>
      </c>
      <c r="GX173" s="469" t="str">
        <f ca="1">IF(OR(GX$169&lt;SwaptionFirstMonthPosition+1,$FN173&lt;SwaptionFirstMonthPosition+1,GX$169&gt;SwaptionFirstMonthPosition+SwaptionNumOfMonths+1,$FN173&gt;SwaptionFirstMonthPosition+SwaptionNumOfMonths+1),"",IF($FN173=GX$169,1,IF($FN173&lt;GX$169,INDEX($FO$170:$IH$241,GX$169,$FN173),SUMPRODUCT(INDEX($FO$325:$IH$396,GX$169,1+SwaptionShift):INDEX($FO$325:$IH$396,GX$169,SwaptionMonthsToGo+SwaptionShift),INDEX($FO$245:$IH$316,$FN173-GX$169,73-GX$169+SwaptionShift):INDEX($FO$245:$IH$316,$FN173-GX$169,72-GX$169+SwaptionMonthsToGo+SwaptionShift))/SQRT(SUM(INDEX($FO328:$IH328,1+SwaptionShift):INDEX($FO328:$IH328,SwaptionMonthsToGo+SwaptionShift))*SUM(INDEX($FO$325:$IH$396,GX$169,1+SwaptionShift):INDEX($FO$325:$IH$396,GX$169,SwaptionMonthsToGo+SwaptionShift))))))</f>
        <v/>
      </c>
      <c r="GY173" s="469" t="str">
        <f ca="1">IF(OR(GY$169&lt;SwaptionFirstMonthPosition+1,$FN173&lt;SwaptionFirstMonthPosition+1,GY$169&gt;SwaptionFirstMonthPosition+SwaptionNumOfMonths+1,$FN173&gt;SwaptionFirstMonthPosition+SwaptionNumOfMonths+1),"",IF($FN173=GY$169,1,IF($FN173&lt;GY$169,INDEX($FO$170:$IH$241,GY$169,$FN173),SUMPRODUCT(INDEX($FO$325:$IH$396,GY$169,1+SwaptionShift):INDEX($FO$325:$IH$396,GY$169,SwaptionMonthsToGo+SwaptionShift),INDEX($FO$245:$IH$316,$FN173-GY$169,73-GY$169+SwaptionShift):INDEX($FO$245:$IH$316,$FN173-GY$169,72-GY$169+SwaptionMonthsToGo+SwaptionShift))/SQRT(SUM(INDEX($FO328:$IH328,1+SwaptionShift):INDEX($FO328:$IH328,SwaptionMonthsToGo+SwaptionShift))*SUM(INDEX($FO$325:$IH$396,GY$169,1+SwaptionShift):INDEX($FO$325:$IH$396,GY$169,SwaptionMonthsToGo+SwaptionShift))))))</f>
        <v/>
      </c>
      <c r="GZ173" s="469" t="str">
        <f ca="1">IF(OR(GZ$169&lt;SwaptionFirstMonthPosition+1,$FN173&lt;SwaptionFirstMonthPosition+1,GZ$169&gt;SwaptionFirstMonthPosition+SwaptionNumOfMonths+1,$FN173&gt;SwaptionFirstMonthPosition+SwaptionNumOfMonths+1),"",IF($FN173=GZ$169,1,IF($FN173&lt;GZ$169,INDEX($FO$170:$IH$241,GZ$169,$FN173),SUMPRODUCT(INDEX($FO$325:$IH$396,GZ$169,1+SwaptionShift):INDEX($FO$325:$IH$396,GZ$169,SwaptionMonthsToGo+SwaptionShift),INDEX($FO$245:$IH$316,$FN173-GZ$169,73-GZ$169+SwaptionShift):INDEX($FO$245:$IH$316,$FN173-GZ$169,72-GZ$169+SwaptionMonthsToGo+SwaptionShift))/SQRT(SUM(INDEX($FO328:$IH328,1+SwaptionShift):INDEX($FO328:$IH328,SwaptionMonthsToGo+SwaptionShift))*SUM(INDEX($FO$325:$IH$396,GZ$169,1+SwaptionShift):INDEX($FO$325:$IH$396,GZ$169,SwaptionMonthsToGo+SwaptionShift))))))</f>
        <v/>
      </c>
      <c r="HA173" s="469" t="str">
        <f ca="1">IF(OR(HA$169&lt;SwaptionFirstMonthPosition+1,$FN173&lt;SwaptionFirstMonthPosition+1,HA$169&gt;SwaptionFirstMonthPosition+SwaptionNumOfMonths+1,$FN173&gt;SwaptionFirstMonthPosition+SwaptionNumOfMonths+1),"",IF($FN173=HA$169,1,IF($FN173&lt;HA$169,INDEX($FO$170:$IH$241,HA$169,$FN173),SUMPRODUCT(INDEX($FO$325:$IH$396,HA$169,1+SwaptionShift):INDEX($FO$325:$IH$396,HA$169,SwaptionMonthsToGo+SwaptionShift),INDEX($FO$245:$IH$316,$FN173-HA$169,73-HA$169+SwaptionShift):INDEX($FO$245:$IH$316,$FN173-HA$169,72-HA$169+SwaptionMonthsToGo+SwaptionShift))/SQRT(SUM(INDEX($FO328:$IH328,1+SwaptionShift):INDEX($FO328:$IH328,SwaptionMonthsToGo+SwaptionShift))*SUM(INDEX($FO$325:$IH$396,HA$169,1+SwaptionShift):INDEX($FO$325:$IH$396,HA$169,SwaptionMonthsToGo+SwaptionShift))))))</f>
        <v/>
      </c>
      <c r="HB173" s="469" t="str">
        <f ca="1">IF(OR(HB$169&lt;SwaptionFirstMonthPosition+1,$FN173&lt;SwaptionFirstMonthPosition+1,HB$169&gt;SwaptionFirstMonthPosition+SwaptionNumOfMonths+1,$FN173&gt;SwaptionFirstMonthPosition+SwaptionNumOfMonths+1),"",IF($FN173=HB$169,1,IF($FN173&lt;HB$169,INDEX($FO$170:$IH$241,HB$169,$FN173),SUMPRODUCT(INDEX($FO$325:$IH$396,HB$169,1+SwaptionShift):INDEX($FO$325:$IH$396,HB$169,SwaptionMonthsToGo+SwaptionShift),INDEX($FO$245:$IH$316,$FN173-HB$169,73-HB$169+SwaptionShift):INDEX($FO$245:$IH$316,$FN173-HB$169,72-HB$169+SwaptionMonthsToGo+SwaptionShift))/SQRT(SUM(INDEX($FO328:$IH328,1+SwaptionShift):INDEX($FO328:$IH328,SwaptionMonthsToGo+SwaptionShift))*SUM(INDEX($FO$325:$IH$396,HB$169,1+SwaptionShift):INDEX($FO$325:$IH$396,HB$169,SwaptionMonthsToGo+SwaptionShift))))))</f>
        <v/>
      </c>
      <c r="HC173" s="469" t="str">
        <f ca="1">IF(OR(HC$169&lt;SwaptionFirstMonthPosition+1,$FN173&lt;SwaptionFirstMonthPosition+1,HC$169&gt;SwaptionFirstMonthPosition+SwaptionNumOfMonths+1,$FN173&gt;SwaptionFirstMonthPosition+SwaptionNumOfMonths+1),"",IF($FN173=HC$169,1,IF($FN173&lt;HC$169,INDEX($FO$170:$IH$241,HC$169,$FN173),SUMPRODUCT(INDEX($FO$325:$IH$396,HC$169,1+SwaptionShift):INDEX($FO$325:$IH$396,HC$169,SwaptionMonthsToGo+SwaptionShift),INDEX($FO$245:$IH$316,$FN173-HC$169,73-HC$169+SwaptionShift):INDEX($FO$245:$IH$316,$FN173-HC$169,72-HC$169+SwaptionMonthsToGo+SwaptionShift))/SQRT(SUM(INDEX($FO328:$IH328,1+SwaptionShift):INDEX($FO328:$IH328,SwaptionMonthsToGo+SwaptionShift))*SUM(INDEX($FO$325:$IH$396,HC$169,1+SwaptionShift):INDEX($FO$325:$IH$396,HC$169,SwaptionMonthsToGo+SwaptionShift))))))</f>
        <v/>
      </c>
      <c r="HD173" s="469" t="str">
        <f ca="1">IF(OR(HD$169&lt;SwaptionFirstMonthPosition+1,$FN173&lt;SwaptionFirstMonthPosition+1,HD$169&gt;SwaptionFirstMonthPosition+SwaptionNumOfMonths+1,$FN173&gt;SwaptionFirstMonthPosition+SwaptionNumOfMonths+1),"",IF($FN173=HD$169,1,IF($FN173&lt;HD$169,INDEX($FO$170:$IH$241,HD$169,$FN173),SUMPRODUCT(INDEX($FO$325:$IH$396,HD$169,1+SwaptionShift):INDEX($FO$325:$IH$396,HD$169,SwaptionMonthsToGo+SwaptionShift),INDEX($FO$245:$IH$316,$FN173-HD$169,73-HD$169+SwaptionShift):INDEX($FO$245:$IH$316,$FN173-HD$169,72-HD$169+SwaptionMonthsToGo+SwaptionShift))/SQRT(SUM(INDEX($FO328:$IH328,1+SwaptionShift):INDEX($FO328:$IH328,SwaptionMonthsToGo+SwaptionShift))*SUM(INDEX($FO$325:$IH$396,HD$169,1+SwaptionShift):INDEX($FO$325:$IH$396,HD$169,SwaptionMonthsToGo+SwaptionShift))))))</f>
        <v/>
      </c>
      <c r="HE173" s="469" t="str">
        <f ca="1">IF(OR(HE$169&lt;SwaptionFirstMonthPosition+1,$FN173&lt;SwaptionFirstMonthPosition+1,HE$169&gt;SwaptionFirstMonthPosition+SwaptionNumOfMonths+1,$FN173&gt;SwaptionFirstMonthPosition+SwaptionNumOfMonths+1),"",IF($FN173=HE$169,1,IF($FN173&lt;HE$169,INDEX($FO$170:$IH$241,HE$169,$FN173),SUMPRODUCT(INDEX($FO$325:$IH$396,HE$169,1+SwaptionShift):INDEX($FO$325:$IH$396,HE$169,SwaptionMonthsToGo+SwaptionShift),INDEX($FO$245:$IH$316,$FN173-HE$169,73-HE$169+SwaptionShift):INDEX($FO$245:$IH$316,$FN173-HE$169,72-HE$169+SwaptionMonthsToGo+SwaptionShift))/SQRT(SUM(INDEX($FO328:$IH328,1+SwaptionShift):INDEX($FO328:$IH328,SwaptionMonthsToGo+SwaptionShift))*SUM(INDEX($FO$325:$IH$396,HE$169,1+SwaptionShift):INDEX($FO$325:$IH$396,HE$169,SwaptionMonthsToGo+SwaptionShift))))))</f>
        <v/>
      </c>
      <c r="HF173" s="469" t="str">
        <f ca="1">IF(OR(HF$169&lt;SwaptionFirstMonthPosition+1,$FN173&lt;SwaptionFirstMonthPosition+1,HF$169&gt;SwaptionFirstMonthPosition+SwaptionNumOfMonths+1,$FN173&gt;SwaptionFirstMonthPosition+SwaptionNumOfMonths+1),"",IF($FN173=HF$169,1,IF($FN173&lt;HF$169,INDEX($FO$170:$IH$241,HF$169,$FN173),SUMPRODUCT(INDEX($FO$325:$IH$396,HF$169,1+SwaptionShift):INDEX($FO$325:$IH$396,HF$169,SwaptionMonthsToGo+SwaptionShift),INDEX($FO$245:$IH$316,$FN173-HF$169,73-HF$169+SwaptionShift):INDEX($FO$245:$IH$316,$FN173-HF$169,72-HF$169+SwaptionMonthsToGo+SwaptionShift))/SQRT(SUM(INDEX($FO328:$IH328,1+SwaptionShift):INDEX($FO328:$IH328,SwaptionMonthsToGo+SwaptionShift))*SUM(INDEX($FO$325:$IH$396,HF$169,1+SwaptionShift):INDEX($FO$325:$IH$396,HF$169,SwaptionMonthsToGo+SwaptionShift))))))</f>
        <v/>
      </c>
      <c r="HG173" s="469" t="str">
        <f ca="1">IF(OR(HG$169&lt;SwaptionFirstMonthPosition+1,$FN173&lt;SwaptionFirstMonthPosition+1,HG$169&gt;SwaptionFirstMonthPosition+SwaptionNumOfMonths+1,$FN173&gt;SwaptionFirstMonthPosition+SwaptionNumOfMonths+1),"",IF($FN173=HG$169,1,IF($FN173&lt;HG$169,INDEX($FO$170:$IH$241,HG$169,$FN173),SUMPRODUCT(INDEX($FO$325:$IH$396,HG$169,1+SwaptionShift):INDEX($FO$325:$IH$396,HG$169,SwaptionMonthsToGo+SwaptionShift),INDEX($FO$245:$IH$316,$FN173-HG$169,73-HG$169+SwaptionShift):INDEX($FO$245:$IH$316,$FN173-HG$169,72-HG$169+SwaptionMonthsToGo+SwaptionShift))/SQRT(SUM(INDEX($FO328:$IH328,1+SwaptionShift):INDEX($FO328:$IH328,SwaptionMonthsToGo+SwaptionShift))*SUM(INDEX($FO$325:$IH$396,HG$169,1+SwaptionShift):INDEX($FO$325:$IH$396,HG$169,SwaptionMonthsToGo+SwaptionShift))))))</f>
        <v/>
      </c>
      <c r="HH173" s="469" t="str">
        <f ca="1">IF(OR(HH$169&lt;SwaptionFirstMonthPosition+1,$FN173&lt;SwaptionFirstMonthPosition+1,HH$169&gt;SwaptionFirstMonthPosition+SwaptionNumOfMonths+1,$FN173&gt;SwaptionFirstMonthPosition+SwaptionNumOfMonths+1),"",IF($FN173=HH$169,1,IF($FN173&lt;HH$169,INDEX($FO$170:$IH$241,HH$169,$FN173),SUMPRODUCT(INDEX($FO$325:$IH$396,HH$169,1+SwaptionShift):INDEX($FO$325:$IH$396,HH$169,SwaptionMonthsToGo+SwaptionShift),INDEX($FO$245:$IH$316,$FN173-HH$169,73-HH$169+SwaptionShift):INDEX($FO$245:$IH$316,$FN173-HH$169,72-HH$169+SwaptionMonthsToGo+SwaptionShift))/SQRT(SUM(INDEX($FO328:$IH328,1+SwaptionShift):INDEX($FO328:$IH328,SwaptionMonthsToGo+SwaptionShift))*SUM(INDEX($FO$325:$IH$396,HH$169,1+SwaptionShift):INDEX($FO$325:$IH$396,HH$169,SwaptionMonthsToGo+SwaptionShift))))))</f>
        <v/>
      </c>
      <c r="HI173" s="469" t="str">
        <f ca="1">IF(OR(HI$169&lt;SwaptionFirstMonthPosition+1,$FN173&lt;SwaptionFirstMonthPosition+1,HI$169&gt;SwaptionFirstMonthPosition+SwaptionNumOfMonths+1,$FN173&gt;SwaptionFirstMonthPosition+SwaptionNumOfMonths+1),"",IF($FN173=HI$169,1,IF($FN173&lt;HI$169,INDEX($FO$170:$IH$241,HI$169,$FN173),SUMPRODUCT(INDEX($FO$325:$IH$396,HI$169,1+SwaptionShift):INDEX($FO$325:$IH$396,HI$169,SwaptionMonthsToGo+SwaptionShift),INDEX($FO$245:$IH$316,$FN173-HI$169,73-HI$169+SwaptionShift):INDEX($FO$245:$IH$316,$FN173-HI$169,72-HI$169+SwaptionMonthsToGo+SwaptionShift))/SQRT(SUM(INDEX($FO328:$IH328,1+SwaptionShift):INDEX($FO328:$IH328,SwaptionMonthsToGo+SwaptionShift))*SUM(INDEX($FO$325:$IH$396,HI$169,1+SwaptionShift):INDEX($FO$325:$IH$396,HI$169,SwaptionMonthsToGo+SwaptionShift))))))</f>
        <v/>
      </c>
      <c r="HJ173" s="469" t="str">
        <f ca="1">IF(OR(HJ$169&lt;SwaptionFirstMonthPosition+1,$FN173&lt;SwaptionFirstMonthPosition+1,HJ$169&gt;SwaptionFirstMonthPosition+SwaptionNumOfMonths+1,$FN173&gt;SwaptionFirstMonthPosition+SwaptionNumOfMonths+1),"",IF($FN173=HJ$169,1,IF($FN173&lt;HJ$169,INDEX($FO$170:$IH$241,HJ$169,$FN173),SUMPRODUCT(INDEX($FO$325:$IH$396,HJ$169,1+SwaptionShift):INDEX($FO$325:$IH$396,HJ$169,SwaptionMonthsToGo+SwaptionShift),INDEX($FO$245:$IH$316,$FN173-HJ$169,73-HJ$169+SwaptionShift):INDEX($FO$245:$IH$316,$FN173-HJ$169,72-HJ$169+SwaptionMonthsToGo+SwaptionShift))/SQRT(SUM(INDEX($FO328:$IH328,1+SwaptionShift):INDEX($FO328:$IH328,SwaptionMonthsToGo+SwaptionShift))*SUM(INDEX($FO$325:$IH$396,HJ$169,1+SwaptionShift):INDEX($FO$325:$IH$396,HJ$169,SwaptionMonthsToGo+SwaptionShift))))))</f>
        <v/>
      </c>
      <c r="HK173" s="469" t="str">
        <f ca="1">IF(OR(HK$169&lt;SwaptionFirstMonthPosition+1,$FN173&lt;SwaptionFirstMonthPosition+1,HK$169&gt;SwaptionFirstMonthPosition+SwaptionNumOfMonths+1,$FN173&gt;SwaptionFirstMonthPosition+SwaptionNumOfMonths+1),"",IF($FN173=HK$169,1,IF($FN173&lt;HK$169,INDEX($FO$170:$IH$241,HK$169,$FN173),SUMPRODUCT(INDEX($FO$325:$IH$396,HK$169,1+SwaptionShift):INDEX($FO$325:$IH$396,HK$169,SwaptionMonthsToGo+SwaptionShift),INDEX($FO$245:$IH$316,$FN173-HK$169,73-HK$169+SwaptionShift):INDEX($FO$245:$IH$316,$FN173-HK$169,72-HK$169+SwaptionMonthsToGo+SwaptionShift))/SQRT(SUM(INDEX($FO328:$IH328,1+SwaptionShift):INDEX($FO328:$IH328,SwaptionMonthsToGo+SwaptionShift))*SUM(INDEX($FO$325:$IH$396,HK$169,1+SwaptionShift):INDEX($FO$325:$IH$396,HK$169,SwaptionMonthsToGo+SwaptionShift))))))</f>
        <v/>
      </c>
      <c r="HL173" s="469" t="str">
        <f ca="1">IF(OR(HL$169&lt;SwaptionFirstMonthPosition+1,$FN173&lt;SwaptionFirstMonthPosition+1,HL$169&gt;SwaptionFirstMonthPosition+SwaptionNumOfMonths+1,$FN173&gt;SwaptionFirstMonthPosition+SwaptionNumOfMonths+1),"",IF($FN173=HL$169,1,IF($FN173&lt;HL$169,INDEX($FO$170:$IH$241,HL$169,$FN173),SUMPRODUCT(INDEX($FO$325:$IH$396,HL$169,1+SwaptionShift):INDEX($FO$325:$IH$396,HL$169,SwaptionMonthsToGo+SwaptionShift),INDEX($FO$245:$IH$316,$FN173-HL$169,73-HL$169+SwaptionShift):INDEX($FO$245:$IH$316,$FN173-HL$169,72-HL$169+SwaptionMonthsToGo+SwaptionShift))/SQRT(SUM(INDEX($FO328:$IH328,1+SwaptionShift):INDEX($FO328:$IH328,SwaptionMonthsToGo+SwaptionShift))*SUM(INDEX($FO$325:$IH$396,HL$169,1+SwaptionShift):INDEX($FO$325:$IH$396,HL$169,SwaptionMonthsToGo+SwaptionShift))))))</f>
        <v/>
      </c>
      <c r="HM173" s="469" t="str">
        <f ca="1">IF(OR(HM$169&lt;SwaptionFirstMonthPosition+1,$FN173&lt;SwaptionFirstMonthPosition+1,HM$169&gt;SwaptionFirstMonthPosition+SwaptionNumOfMonths+1,$FN173&gt;SwaptionFirstMonthPosition+SwaptionNumOfMonths+1),"",IF($FN173=HM$169,1,IF($FN173&lt;HM$169,INDEX($FO$170:$IH$241,HM$169,$FN173),SUMPRODUCT(INDEX($FO$325:$IH$396,HM$169,1+SwaptionShift):INDEX($FO$325:$IH$396,HM$169,SwaptionMonthsToGo+SwaptionShift),INDEX($FO$245:$IH$316,$FN173-HM$169,73-HM$169+SwaptionShift):INDEX($FO$245:$IH$316,$FN173-HM$169,72-HM$169+SwaptionMonthsToGo+SwaptionShift))/SQRT(SUM(INDEX($FO328:$IH328,1+SwaptionShift):INDEX($FO328:$IH328,SwaptionMonthsToGo+SwaptionShift))*SUM(INDEX($FO$325:$IH$396,HM$169,1+SwaptionShift):INDEX($FO$325:$IH$396,HM$169,SwaptionMonthsToGo+SwaptionShift))))))</f>
        <v/>
      </c>
      <c r="HN173" s="469" t="str">
        <f ca="1">IF(OR(HN$169&lt;SwaptionFirstMonthPosition+1,$FN173&lt;SwaptionFirstMonthPosition+1,HN$169&gt;SwaptionFirstMonthPosition+SwaptionNumOfMonths+1,$FN173&gt;SwaptionFirstMonthPosition+SwaptionNumOfMonths+1),"",IF($FN173=HN$169,1,IF($FN173&lt;HN$169,INDEX($FO$170:$IH$241,HN$169,$FN173),SUMPRODUCT(INDEX($FO$325:$IH$396,HN$169,1+SwaptionShift):INDEX($FO$325:$IH$396,HN$169,SwaptionMonthsToGo+SwaptionShift),INDEX($FO$245:$IH$316,$FN173-HN$169,73-HN$169+SwaptionShift):INDEX($FO$245:$IH$316,$FN173-HN$169,72-HN$169+SwaptionMonthsToGo+SwaptionShift))/SQRT(SUM(INDEX($FO328:$IH328,1+SwaptionShift):INDEX($FO328:$IH328,SwaptionMonthsToGo+SwaptionShift))*SUM(INDEX($FO$325:$IH$396,HN$169,1+SwaptionShift):INDEX($FO$325:$IH$396,HN$169,SwaptionMonthsToGo+SwaptionShift))))))</f>
        <v/>
      </c>
      <c r="HO173" s="469" t="str">
        <f ca="1">IF(OR(HO$169&lt;SwaptionFirstMonthPosition+1,$FN173&lt;SwaptionFirstMonthPosition+1,HO$169&gt;SwaptionFirstMonthPosition+SwaptionNumOfMonths+1,$FN173&gt;SwaptionFirstMonthPosition+SwaptionNumOfMonths+1),"",IF($FN173=HO$169,1,IF($FN173&lt;HO$169,INDEX($FO$170:$IH$241,HO$169,$FN173),SUMPRODUCT(INDEX($FO$325:$IH$396,HO$169,1+SwaptionShift):INDEX($FO$325:$IH$396,HO$169,SwaptionMonthsToGo+SwaptionShift),INDEX($FO$245:$IH$316,$FN173-HO$169,73-HO$169+SwaptionShift):INDEX($FO$245:$IH$316,$FN173-HO$169,72-HO$169+SwaptionMonthsToGo+SwaptionShift))/SQRT(SUM(INDEX($FO328:$IH328,1+SwaptionShift):INDEX($FO328:$IH328,SwaptionMonthsToGo+SwaptionShift))*SUM(INDEX($FO$325:$IH$396,HO$169,1+SwaptionShift):INDEX($FO$325:$IH$396,HO$169,SwaptionMonthsToGo+SwaptionShift))))))</f>
        <v/>
      </c>
      <c r="HP173" s="469" t="str">
        <f ca="1">IF(OR(HP$169&lt;SwaptionFirstMonthPosition+1,$FN173&lt;SwaptionFirstMonthPosition+1,HP$169&gt;SwaptionFirstMonthPosition+SwaptionNumOfMonths+1,$FN173&gt;SwaptionFirstMonthPosition+SwaptionNumOfMonths+1),"",IF($FN173=HP$169,1,IF($FN173&lt;HP$169,INDEX($FO$170:$IH$241,HP$169,$FN173),SUMPRODUCT(INDEX($FO$325:$IH$396,HP$169,1+SwaptionShift):INDEX($FO$325:$IH$396,HP$169,SwaptionMonthsToGo+SwaptionShift),INDEX($FO$245:$IH$316,$FN173-HP$169,73-HP$169+SwaptionShift):INDEX($FO$245:$IH$316,$FN173-HP$169,72-HP$169+SwaptionMonthsToGo+SwaptionShift))/SQRT(SUM(INDEX($FO328:$IH328,1+SwaptionShift):INDEX($FO328:$IH328,SwaptionMonthsToGo+SwaptionShift))*SUM(INDEX($FO$325:$IH$396,HP$169,1+SwaptionShift):INDEX($FO$325:$IH$396,HP$169,SwaptionMonthsToGo+SwaptionShift))))))</f>
        <v/>
      </c>
      <c r="HQ173" s="469" t="str">
        <f ca="1">IF(OR(HQ$169&lt;SwaptionFirstMonthPosition+1,$FN173&lt;SwaptionFirstMonthPosition+1,HQ$169&gt;SwaptionFirstMonthPosition+SwaptionNumOfMonths+1,$FN173&gt;SwaptionFirstMonthPosition+SwaptionNumOfMonths+1),"",IF($FN173=HQ$169,1,IF($FN173&lt;HQ$169,INDEX($FO$170:$IH$241,HQ$169,$FN173),SUMPRODUCT(INDEX($FO$325:$IH$396,HQ$169,1+SwaptionShift):INDEX($FO$325:$IH$396,HQ$169,SwaptionMonthsToGo+SwaptionShift),INDEX($FO$245:$IH$316,$FN173-HQ$169,73-HQ$169+SwaptionShift):INDEX($FO$245:$IH$316,$FN173-HQ$169,72-HQ$169+SwaptionMonthsToGo+SwaptionShift))/SQRT(SUM(INDEX($FO328:$IH328,1+SwaptionShift):INDEX($FO328:$IH328,SwaptionMonthsToGo+SwaptionShift))*SUM(INDEX($FO$325:$IH$396,HQ$169,1+SwaptionShift):INDEX($FO$325:$IH$396,HQ$169,SwaptionMonthsToGo+SwaptionShift))))))</f>
        <v/>
      </c>
      <c r="HR173" s="469" t="str">
        <f ca="1">IF(OR(HR$169&lt;SwaptionFirstMonthPosition+1,$FN173&lt;SwaptionFirstMonthPosition+1,HR$169&gt;SwaptionFirstMonthPosition+SwaptionNumOfMonths+1,$FN173&gt;SwaptionFirstMonthPosition+SwaptionNumOfMonths+1),"",IF($FN173=HR$169,1,IF($FN173&lt;HR$169,INDEX($FO$170:$IH$241,HR$169,$FN173),SUMPRODUCT(INDEX($FO$325:$IH$396,HR$169,1+SwaptionShift):INDEX($FO$325:$IH$396,HR$169,SwaptionMonthsToGo+SwaptionShift),INDEX($FO$245:$IH$316,$FN173-HR$169,73-HR$169+SwaptionShift):INDEX($FO$245:$IH$316,$FN173-HR$169,72-HR$169+SwaptionMonthsToGo+SwaptionShift))/SQRT(SUM(INDEX($FO328:$IH328,1+SwaptionShift):INDEX($FO328:$IH328,SwaptionMonthsToGo+SwaptionShift))*SUM(INDEX($FO$325:$IH$396,HR$169,1+SwaptionShift):INDEX($FO$325:$IH$396,HR$169,SwaptionMonthsToGo+SwaptionShift))))))</f>
        <v/>
      </c>
      <c r="HS173" s="469" t="str">
        <f ca="1">IF(OR(HS$169&lt;SwaptionFirstMonthPosition+1,$FN173&lt;SwaptionFirstMonthPosition+1,HS$169&gt;SwaptionFirstMonthPosition+SwaptionNumOfMonths+1,$FN173&gt;SwaptionFirstMonthPosition+SwaptionNumOfMonths+1),"",IF($FN173=HS$169,1,IF($FN173&lt;HS$169,INDEX($FO$170:$IH$241,HS$169,$FN173),SUMPRODUCT(INDEX($FO$325:$IH$396,HS$169,1+SwaptionShift):INDEX($FO$325:$IH$396,HS$169,SwaptionMonthsToGo+SwaptionShift),INDEX($FO$245:$IH$316,$FN173-HS$169,73-HS$169+SwaptionShift):INDEX($FO$245:$IH$316,$FN173-HS$169,72-HS$169+SwaptionMonthsToGo+SwaptionShift))/SQRT(SUM(INDEX($FO328:$IH328,1+SwaptionShift):INDEX($FO328:$IH328,SwaptionMonthsToGo+SwaptionShift))*SUM(INDEX($FO$325:$IH$396,HS$169,1+SwaptionShift):INDEX($FO$325:$IH$396,HS$169,SwaptionMonthsToGo+SwaptionShift))))))</f>
        <v/>
      </c>
      <c r="HT173" s="469" t="str">
        <f ca="1">IF(OR(HT$169&lt;SwaptionFirstMonthPosition+1,$FN173&lt;SwaptionFirstMonthPosition+1,HT$169&gt;SwaptionFirstMonthPosition+SwaptionNumOfMonths+1,$FN173&gt;SwaptionFirstMonthPosition+SwaptionNumOfMonths+1),"",IF($FN173=HT$169,1,IF($FN173&lt;HT$169,INDEX($FO$170:$IH$241,HT$169,$FN173),SUMPRODUCT(INDEX($FO$325:$IH$396,HT$169,1+SwaptionShift):INDEX($FO$325:$IH$396,HT$169,SwaptionMonthsToGo+SwaptionShift),INDEX($FO$245:$IH$316,$FN173-HT$169,73-HT$169+SwaptionShift):INDEX($FO$245:$IH$316,$FN173-HT$169,72-HT$169+SwaptionMonthsToGo+SwaptionShift))/SQRT(SUM(INDEX($FO328:$IH328,1+SwaptionShift):INDEX($FO328:$IH328,SwaptionMonthsToGo+SwaptionShift))*SUM(INDEX($FO$325:$IH$396,HT$169,1+SwaptionShift):INDEX($FO$325:$IH$396,HT$169,SwaptionMonthsToGo+SwaptionShift))))))</f>
        <v/>
      </c>
      <c r="HU173" s="469" t="str">
        <f ca="1">IF(OR(HU$169&lt;SwaptionFirstMonthPosition+1,$FN173&lt;SwaptionFirstMonthPosition+1,HU$169&gt;SwaptionFirstMonthPosition+SwaptionNumOfMonths+1,$FN173&gt;SwaptionFirstMonthPosition+SwaptionNumOfMonths+1),"",IF($FN173=HU$169,1,IF($FN173&lt;HU$169,INDEX($FO$170:$IH$241,HU$169,$FN173),SUMPRODUCT(INDEX($FO$325:$IH$396,HU$169,1+SwaptionShift):INDEX($FO$325:$IH$396,HU$169,SwaptionMonthsToGo+SwaptionShift),INDEX($FO$245:$IH$316,$FN173-HU$169,73-HU$169+SwaptionShift):INDEX($FO$245:$IH$316,$FN173-HU$169,72-HU$169+SwaptionMonthsToGo+SwaptionShift))/SQRT(SUM(INDEX($FO328:$IH328,1+SwaptionShift):INDEX($FO328:$IH328,SwaptionMonthsToGo+SwaptionShift))*SUM(INDEX($FO$325:$IH$396,HU$169,1+SwaptionShift):INDEX($FO$325:$IH$396,HU$169,SwaptionMonthsToGo+SwaptionShift))))))</f>
        <v/>
      </c>
      <c r="HV173" s="469" t="str">
        <f ca="1">IF(OR(HV$169&lt;SwaptionFirstMonthPosition+1,$FN173&lt;SwaptionFirstMonthPosition+1,HV$169&gt;SwaptionFirstMonthPosition+SwaptionNumOfMonths+1,$FN173&gt;SwaptionFirstMonthPosition+SwaptionNumOfMonths+1),"",IF($FN173=HV$169,1,IF($FN173&lt;HV$169,INDEX($FO$170:$IH$241,HV$169,$FN173),SUMPRODUCT(INDEX($FO$325:$IH$396,HV$169,1+SwaptionShift):INDEX($FO$325:$IH$396,HV$169,SwaptionMonthsToGo+SwaptionShift),INDEX($FO$245:$IH$316,$FN173-HV$169,73-HV$169+SwaptionShift):INDEX($FO$245:$IH$316,$FN173-HV$169,72-HV$169+SwaptionMonthsToGo+SwaptionShift))/SQRT(SUM(INDEX($FO328:$IH328,1+SwaptionShift):INDEX($FO328:$IH328,SwaptionMonthsToGo+SwaptionShift))*SUM(INDEX($FO$325:$IH$396,HV$169,1+SwaptionShift):INDEX($FO$325:$IH$396,HV$169,SwaptionMonthsToGo+SwaptionShift))))))</f>
        <v/>
      </c>
      <c r="HW173" s="469" t="str">
        <f ca="1">IF(OR(HW$169&lt;SwaptionFirstMonthPosition+1,$FN173&lt;SwaptionFirstMonthPosition+1,HW$169&gt;SwaptionFirstMonthPosition+SwaptionNumOfMonths+1,$FN173&gt;SwaptionFirstMonthPosition+SwaptionNumOfMonths+1),"",IF($FN173=HW$169,1,IF($FN173&lt;HW$169,INDEX($FO$170:$IH$241,HW$169,$FN173),SUMPRODUCT(INDEX($FO$325:$IH$396,HW$169,1+SwaptionShift):INDEX($FO$325:$IH$396,HW$169,SwaptionMonthsToGo+SwaptionShift),INDEX($FO$245:$IH$316,$FN173-HW$169,73-HW$169+SwaptionShift):INDEX($FO$245:$IH$316,$FN173-HW$169,72-HW$169+SwaptionMonthsToGo+SwaptionShift))/SQRT(SUM(INDEX($FO328:$IH328,1+SwaptionShift):INDEX($FO328:$IH328,SwaptionMonthsToGo+SwaptionShift))*SUM(INDEX($FO$325:$IH$396,HW$169,1+SwaptionShift):INDEX($FO$325:$IH$396,HW$169,SwaptionMonthsToGo+SwaptionShift))))))</f>
        <v/>
      </c>
      <c r="HX173" s="469" t="str">
        <f ca="1">IF(OR(HX$169&lt;SwaptionFirstMonthPosition+1,$FN173&lt;SwaptionFirstMonthPosition+1,HX$169&gt;SwaptionFirstMonthPosition+SwaptionNumOfMonths+1,$FN173&gt;SwaptionFirstMonthPosition+SwaptionNumOfMonths+1),"",IF($FN173=HX$169,1,IF($FN173&lt;HX$169,INDEX($FO$170:$IH$241,HX$169,$FN173),SUMPRODUCT(INDEX($FO$325:$IH$396,HX$169,1+SwaptionShift):INDEX($FO$325:$IH$396,HX$169,SwaptionMonthsToGo+SwaptionShift),INDEX($FO$245:$IH$316,$FN173-HX$169,73-HX$169+SwaptionShift):INDEX($FO$245:$IH$316,$FN173-HX$169,72-HX$169+SwaptionMonthsToGo+SwaptionShift))/SQRT(SUM(INDEX($FO328:$IH328,1+SwaptionShift):INDEX($FO328:$IH328,SwaptionMonthsToGo+SwaptionShift))*SUM(INDEX($FO$325:$IH$396,HX$169,1+SwaptionShift):INDEX($FO$325:$IH$396,HX$169,SwaptionMonthsToGo+SwaptionShift))))))</f>
        <v/>
      </c>
      <c r="HY173" s="469" t="str">
        <f ca="1">IF(OR(HY$169&lt;SwaptionFirstMonthPosition+1,$FN173&lt;SwaptionFirstMonthPosition+1,HY$169&gt;SwaptionFirstMonthPosition+SwaptionNumOfMonths+1,$FN173&gt;SwaptionFirstMonthPosition+SwaptionNumOfMonths+1),"",IF($FN173=HY$169,1,IF($FN173&lt;HY$169,INDEX($FO$170:$IH$241,HY$169,$FN173),SUMPRODUCT(INDEX($FO$325:$IH$396,HY$169,1+SwaptionShift):INDEX($FO$325:$IH$396,HY$169,SwaptionMonthsToGo+SwaptionShift),INDEX($FO$245:$IH$316,$FN173-HY$169,73-HY$169+SwaptionShift):INDEX($FO$245:$IH$316,$FN173-HY$169,72-HY$169+SwaptionMonthsToGo+SwaptionShift))/SQRT(SUM(INDEX($FO328:$IH328,1+SwaptionShift):INDEX($FO328:$IH328,SwaptionMonthsToGo+SwaptionShift))*SUM(INDEX($FO$325:$IH$396,HY$169,1+SwaptionShift):INDEX($FO$325:$IH$396,HY$169,SwaptionMonthsToGo+SwaptionShift))))))</f>
        <v/>
      </c>
      <c r="HZ173" s="469" t="str">
        <f ca="1">IF(OR(HZ$169&lt;SwaptionFirstMonthPosition+1,$FN173&lt;SwaptionFirstMonthPosition+1,HZ$169&gt;SwaptionFirstMonthPosition+SwaptionNumOfMonths+1,$FN173&gt;SwaptionFirstMonthPosition+SwaptionNumOfMonths+1),"",IF($FN173=HZ$169,1,IF($FN173&lt;HZ$169,INDEX($FO$170:$IH$241,HZ$169,$FN173),SUMPRODUCT(INDEX($FO$325:$IH$396,HZ$169,1+SwaptionShift):INDEX($FO$325:$IH$396,HZ$169,SwaptionMonthsToGo+SwaptionShift),INDEX($FO$245:$IH$316,$FN173-HZ$169,73-HZ$169+SwaptionShift):INDEX($FO$245:$IH$316,$FN173-HZ$169,72-HZ$169+SwaptionMonthsToGo+SwaptionShift))/SQRT(SUM(INDEX($FO328:$IH328,1+SwaptionShift):INDEX($FO328:$IH328,SwaptionMonthsToGo+SwaptionShift))*SUM(INDEX($FO$325:$IH$396,HZ$169,1+SwaptionShift):INDEX($FO$325:$IH$396,HZ$169,SwaptionMonthsToGo+SwaptionShift))))))</f>
        <v/>
      </c>
      <c r="IA173" s="469" t="str">
        <f ca="1">IF(OR(IA$169&lt;SwaptionFirstMonthPosition+1,$FN173&lt;SwaptionFirstMonthPosition+1,IA$169&gt;SwaptionFirstMonthPosition+SwaptionNumOfMonths+1,$FN173&gt;SwaptionFirstMonthPosition+SwaptionNumOfMonths+1),"",IF($FN173=IA$169,1,IF($FN173&lt;IA$169,INDEX($FO$170:$IH$241,IA$169,$FN173),SUMPRODUCT(INDEX($FO$325:$IH$396,IA$169,1+SwaptionShift):INDEX($FO$325:$IH$396,IA$169,SwaptionMonthsToGo+SwaptionShift),INDEX($FO$245:$IH$316,$FN173-IA$169,73-IA$169+SwaptionShift):INDEX($FO$245:$IH$316,$FN173-IA$169,72-IA$169+SwaptionMonthsToGo+SwaptionShift))/SQRT(SUM(INDEX($FO328:$IH328,1+SwaptionShift):INDEX($FO328:$IH328,SwaptionMonthsToGo+SwaptionShift))*SUM(INDEX($FO$325:$IH$396,IA$169,1+SwaptionShift):INDEX($FO$325:$IH$396,IA$169,SwaptionMonthsToGo+SwaptionShift))))))</f>
        <v/>
      </c>
      <c r="IB173" s="469" t="str">
        <f ca="1">IF(OR(IB$169&lt;SwaptionFirstMonthPosition+1,$FN173&lt;SwaptionFirstMonthPosition+1,IB$169&gt;SwaptionFirstMonthPosition+SwaptionNumOfMonths+1,$FN173&gt;SwaptionFirstMonthPosition+SwaptionNumOfMonths+1),"",IF($FN173=IB$169,1,IF($FN173&lt;IB$169,INDEX($FO$170:$IH$241,IB$169,$FN173),SUMPRODUCT(INDEX($FO$325:$IH$396,IB$169,1+SwaptionShift):INDEX($FO$325:$IH$396,IB$169,SwaptionMonthsToGo+SwaptionShift),INDEX($FO$245:$IH$316,$FN173-IB$169,73-IB$169+SwaptionShift):INDEX($FO$245:$IH$316,$FN173-IB$169,72-IB$169+SwaptionMonthsToGo+SwaptionShift))/SQRT(SUM(INDEX($FO328:$IH328,1+SwaptionShift):INDEX($FO328:$IH328,SwaptionMonthsToGo+SwaptionShift))*SUM(INDEX($FO$325:$IH$396,IB$169,1+SwaptionShift):INDEX($FO$325:$IH$396,IB$169,SwaptionMonthsToGo+SwaptionShift))))))</f>
        <v/>
      </c>
      <c r="IC173" s="469" t="str">
        <f ca="1">IF(OR(IC$169&lt;SwaptionFirstMonthPosition+1,$FN173&lt;SwaptionFirstMonthPosition+1,IC$169&gt;SwaptionFirstMonthPosition+SwaptionNumOfMonths+1,$FN173&gt;SwaptionFirstMonthPosition+SwaptionNumOfMonths+1),"",IF($FN173=IC$169,1,IF($FN173&lt;IC$169,INDEX($FO$170:$IH$241,IC$169,$FN173),SUMPRODUCT(INDEX($FO$325:$IH$396,IC$169,1+SwaptionShift):INDEX($FO$325:$IH$396,IC$169,SwaptionMonthsToGo+SwaptionShift),INDEX($FO$245:$IH$316,$FN173-IC$169,73-IC$169+SwaptionShift):INDEX($FO$245:$IH$316,$FN173-IC$169,72-IC$169+SwaptionMonthsToGo+SwaptionShift))/SQRT(SUM(INDEX($FO328:$IH328,1+SwaptionShift):INDEX($FO328:$IH328,SwaptionMonthsToGo+SwaptionShift))*SUM(INDEX($FO$325:$IH$396,IC$169,1+SwaptionShift):INDEX($FO$325:$IH$396,IC$169,SwaptionMonthsToGo+SwaptionShift))))))</f>
        <v/>
      </c>
      <c r="ID173" s="469" t="str">
        <f ca="1">IF(OR(ID$169&lt;SwaptionFirstMonthPosition+1,$FN173&lt;SwaptionFirstMonthPosition+1,ID$169&gt;SwaptionFirstMonthPosition+SwaptionNumOfMonths+1,$FN173&gt;SwaptionFirstMonthPosition+SwaptionNumOfMonths+1),"",IF($FN173=ID$169,1,IF($FN173&lt;ID$169,INDEX($FO$170:$IH$241,ID$169,$FN173),SUMPRODUCT(INDEX($FO$325:$IH$396,ID$169,1+SwaptionShift):INDEX($FO$325:$IH$396,ID$169,SwaptionMonthsToGo+SwaptionShift),INDEX($FO$245:$IH$316,$FN173-ID$169,73-ID$169+SwaptionShift):INDEX($FO$245:$IH$316,$FN173-ID$169,72-ID$169+SwaptionMonthsToGo+SwaptionShift))/SQRT(SUM(INDEX($FO328:$IH328,1+SwaptionShift):INDEX($FO328:$IH328,SwaptionMonthsToGo+SwaptionShift))*SUM(INDEX($FO$325:$IH$396,ID$169,1+SwaptionShift):INDEX($FO$325:$IH$396,ID$169,SwaptionMonthsToGo+SwaptionShift))))))</f>
        <v/>
      </c>
      <c r="IE173" s="469" t="str">
        <f ca="1">IF(OR(IE$169&lt;SwaptionFirstMonthPosition+1,$FN173&lt;SwaptionFirstMonthPosition+1,IE$169&gt;SwaptionFirstMonthPosition+SwaptionNumOfMonths+1,$FN173&gt;SwaptionFirstMonthPosition+SwaptionNumOfMonths+1),"",IF($FN173=IE$169,1,IF($FN173&lt;IE$169,INDEX($FO$170:$IH$241,IE$169,$FN173),SUMPRODUCT(INDEX($FO$325:$IH$396,IE$169,1+SwaptionShift):INDEX($FO$325:$IH$396,IE$169,SwaptionMonthsToGo+SwaptionShift),INDEX($FO$245:$IH$316,$FN173-IE$169,73-IE$169+SwaptionShift):INDEX($FO$245:$IH$316,$FN173-IE$169,72-IE$169+SwaptionMonthsToGo+SwaptionShift))/SQRT(SUM(INDEX($FO328:$IH328,1+SwaptionShift):INDEX($FO328:$IH328,SwaptionMonthsToGo+SwaptionShift))*SUM(INDEX($FO$325:$IH$396,IE$169,1+SwaptionShift):INDEX($FO$325:$IH$396,IE$169,SwaptionMonthsToGo+SwaptionShift))))))</f>
        <v/>
      </c>
      <c r="IF173" s="469" t="str">
        <f ca="1">IF(OR(IF$169&lt;SwaptionFirstMonthPosition+1,$FN173&lt;SwaptionFirstMonthPosition+1,IF$169&gt;SwaptionFirstMonthPosition+SwaptionNumOfMonths+1,$FN173&gt;SwaptionFirstMonthPosition+SwaptionNumOfMonths+1),"",IF($FN173=IF$169,1,IF($FN173&lt;IF$169,INDEX($FO$170:$IH$241,IF$169,$FN173),SUMPRODUCT(INDEX($FO$325:$IH$396,IF$169,1+SwaptionShift):INDEX($FO$325:$IH$396,IF$169,SwaptionMonthsToGo+SwaptionShift),INDEX($FO$245:$IH$316,$FN173-IF$169,73-IF$169+SwaptionShift):INDEX($FO$245:$IH$316,$FN173-IF$169,72-IF$169+SwaptionMonthsToGo+SwaptionShift))/SQRT(SUM(INDEX($FO328:$IH328,1+SwaptionShift):INDEX($FO328:$IH328,SwaptionMonthsToGo+SwaptionShift))*SUM(INDEX($FO$325:$IH$396,IF$169,1+SwaptionShift):INDEX($FO$325:$IH$396,IF$169,SwaptionMonthsToGo+SwaptionShift))))))</f>
        <v/>
      </c>
      <c r="IG173" s="469" t="str">
        <f ca="1">IF(OR(IG$169&lt;SwaptionFirstMonthPosition+1,$FN173&lt;SwaptionFirstMonthPosition+1,IG$169&gt;SwaptionFirstMonthPosition+SwaptionNumOfMonths+1,$FN173&gt;SwaptionFirstMonthPosition+SwaptionNumOfMonths+1),"",IF($FN173=IG$169,1,IF($FN173&lt;IG$169,INDEX($FO$170:$IH$241,IG$169,$FN173),SUMPRODUCT(INDEX($FO$325:$IH$396,IG$169,1+SwaptionShift):INDEX($FO$325:$IH$396,IG$169,SwaptionMonthsToGo+SwaptionShift),INDEX($FO$245:$IH$316,$FN173-IG$169,73-IG$169+SwaptionShift):INDEX($FO$245:$IH$316,$FN173-IG$169,72-IG$169+SwaptionMonthsToGo+SwaptionShift))/SQRT(SUM(INDEX($FO328:$IH328,1+SwaptionShift):INDEX($FO328:$IH328,SwaptionMonthsToGo+SwaptionShift))*SUM(INDEX($FO$325:$IH$396,IG$169,1+SwaptionShift):INDEX($FO$325:$IH$396,IG$169,SwaptionMonthsToGo+SwaptionShift))))))</f>
        <v/>
      </c>
      <c r="IH173" s="662" t="str">
        <f ca="1">IF(OR(IH$169&lt;SwaptionFirstMonthPosition+1,$FN173&lt;SwaptionFirstMonthPosition+1,IH$169&gt;SwaptionFirstMonthPosition+SwaptionNumOfMonths+1,$FN173&gt;SwaptionFirstMonthPosition+SwaptionNumOfMonths+1),"",IF($FN173=IH$169,1,IF($FN173&lt;IH$169,INDEX($FO$170:$IH$241,IH$169,$FN173),SUMPRODUCT(INDEX($FO$325:$IH$396,IH$169,1+SwaptionShift):INDEX($FO$325:$IH$396,IH$169,SwaptionMonthsToGo+SwaptionShift),INDEX($FO$245:$IH$316,$FN173-IH$169,73-IH$169+SwaptionShift):INDEX($FO$245:$IH$316,$FN173-IH$169,72-IH$169+SwaptionMonthsToGo+SwaptionShift))/SQRT(SUM(INDEX($FO328:$IH328,1+SwaptionShift):INDEX($FO328:$IH328,SwaptionMonthsToGo+SwaptionShift))*SUM(INDEX($FO$325:$IH$396,IH$169,1+SwaptionShift):INDEX($FO$325:$IH$396,IH$169,SwaptionMonthsToGo+SwaptionShift))))))</f>
        <v/>
      </c>
      <c r="II173" s="242"/>
    </row>
    <row r="174" spans="8:243">
      <c r="H174" s="49" t="e">
        <f t="shared" ca="1" si="529"/>
        <v>#N/A</v>
      </c>
      <c r="I174" s="369">
        <f t="shared" si="530"/>
        <v>41699</v>
      </c>
      <c r="J174" s="367">
        <v>23.2349999999999</v>
      </c>
      <c r="K174" s="101" t="s">
        <v>267</v>
      </c>
      <c r="L174" s="382">
        <f t="shared" si="531"/>
        <v>23.234999999999911</v>
      </c>
      <c r="M174" s="163">
        <v>0.14949999999999999</v>
      </c>
      <c r="N174" s="372">
        <v>0</v>
      </c>
      <c r="O174" s="163">
        <f t="shared" si="488"/>
        <v>0.14949999999999999</v>
      </c>
      <c r="P174" s="367">
        <v>22.029311030067198</v>
      </c>
      <c r="Q174" s="101" t="s">
        <v>267</v>
      </c>
      <c r="R174" s="367">
        <f t="shared" ca="1" si="549"/>
        <v>22.029311030067159</v>
      </c>
      <c r="S174" s="814">
        <f t="shared" si="474"/>
        <v>0.35074372238530421</v>
      </c>
      <c r="T174" s="813">
        <f t="shared" si="550"/>
        <v>0.99999999298897013</v>
      </c>
      <c r="U174" s="532">
        <f t="shared" si="551"/>
        <v>0.99999999999999978</v>
      </c>
      <c r="V174" s="379">
        <v>0</v>
      </c>
      <c r="W174" s="424">
        <f t="shared" si="489"/>
        <v>23.268333333333235</v>
      </c>
      <c r="X174" s="405">
        <f t="shared" si="490"/>
        <v>23.268333333333242</v>
      </c>
      <c r="Y174" s="313">
        <f t="shared" si="491"/>
        <v>22.052333333333234</v>
      </c>
      <c r="Z174" s="313">
        <f t="shared" ca="1" si="492"/>
        <v>22.052333333333241</v>
      </c>
      <c r="AA174" s="419">
        <f t="shared" si="493"/>
        <v>1.216</v>
      </c>
      <c r="AB174" s="423">
        <f t="shared" ca="1" si="494"/>
        <v>1.216</v>
      </c>
      <c r="AC174" s="221">
        <v>41690</v>
      </c>
      <c r="AD174" s="221">
        <v>41686</v>
      </c>
      <c r="AE174" s="221">
        <v>41685</v>
      </c>
      <c r="AF174" s="221">
        <v>41681</v>
      </c>
      <c r="AG174" s="241" t="s">
        <v>497</v>
      </c>
      <c r="AH174" s="239" t="s">
        <v>497</v>
      </c>
      <c r="AI174" s="141">
        <v>21</v>
      </c>
      <c r="AJ174" s="41">
        <v>14</v>
      </c>
      <c r="AK174" s="41">
        <v>7</v>
      </c>
      <c r="AL174" s="285">
        <v>21</v>
      </c>
      <c r="AM174" s="41">
        <v>10</v>
      </c>
      <c r="AN174" s="142">
        <v>11</v>
      </c>
      <c r="AO174" s="364">
        <v>6.0833535808522604E-2</v>
      </c>
      <c r="AP174" s="145">
        <f t="shared" ca="1" si="532"/>
        <v>0.45953993353262274</v>
      </c>
      <c r="AQ174" s="364">
        <v>5.3629394918942398E-2</v>
      </c>
      <c r="AR174" s="145">
        <f t="shared" ca="1" si="552"/>
        <v>0.50640030584585527</v>
      </c>
      <c r="AS174" s="264">
        <f t="shared" si="495"/>
        <v>0.14896666666666669</v>
      </c>
      <c r="AT174" s="149">
        <f t="shared" si="533"/>
        <v>0.14949999999999999</v>
      </c>
      <c r="AU174" s="149">
        <f t="shared" si="496"/>
        <v>0.14889047619047618</v>
      </c>
      <c r="AV174" s="263">
        <f t="shared" ca="1" si="560"/>
        <v>0.14724560642859399</v>
      </c>
      <c r="AW174" s="150" t="str">
        <f t="shared" ca="1" si="497"/>
        <v/>
      </c>
      <c r="AX174" s="149">
        <f t="shared" ca="1" si="553"/>
        <v>7.3980548968188963E-3</v>
      </c>
      <c r="AY174" s="149">
        <f t="shared" ca="1" si="554"/>
        <v>2.6958706083546678E-3</v>
      </c>
      <c r="AZ174" s="149">
        <f t="shared" ca="1" si="555"/>
        <v>2.4811345826288717E-3</v>
      </c>
      <c r="BA174" s="149">
        <f t="shared" ca="1" si="556"/>
        <v>1.0000000000000717E-4</v>
      </c>
      <c r="BB174" s="149">
        <f t="shared" ca="1" si="557"/>
        <v>1.0000000000000717E-4</v>
      </c>
      <c r="BC174" s="149">
        <f t="shared" ca="1" si="558"/>
        <v>1.0000000000000717E-4</v>
      </c>
      <c r="BD174" s="143">
        <f t="shared" ca="1" si="498"/>
        <v>0</v>
      </c>
      <c r="BE174" s="144">
        <f t="shared" ca="1" si="499"/>
        <v>0</v>
      </c>
      <c r="BF174" s="40">
        <f t="shared" si="500"/>
        <v>2014</v>
      </c>
      <c r="BG174" s="139">
        <f t="shared" si="501"/>
        <v>3</v>
      </c>
      <c r="BH174" s="140">
        <f t="shared" ca="1" si="502"/>
        <v>4696</v>
      </c>
      <c r="BI174" s="304">
        <f t="shared" ca="1" si="570"/>
        <v>12.892539356605065</v>
      </c>
      <c r="BJ174" s="42">
        <f t="shared" ca="1" si="503"/>
        <v>12.947296372347708</v>
      </c>
      <c r="BK174" s="42">
        <f t="shared" ca="1" si="504"/>
        <v>12.950034223134841</v>
      </c>
      <c r="BL174" s="42">
        <f t="shared" ca="1" si="571"/>
        <v>12.974674880219029</v>
      </c>
      <c r="BM174" s="285">
        <f t="shared" si="572"/>
        <v>21</v>
      </c>
      <c r="BN174" s="41">
        <f t="shared" si="573"/>
        <v>14</v>
      </c>
      <c r="BO174" s="41">
        <f t="shared" si="574"/>
        <v>7</v>
      </c>
      <c r="BP174" s="297" t="str">
        <f t="shared" ca="1" si="505"/>
        <v/>
      </c>
      <c r="BQ174" s="297" t="str">
        <f t="shared" ca="1" si="506"/>
        <v/>
      </c>
      <c r="BR174" s="299" t="str">
        <f t="shared" ca="1" si="507"/>
        <v/>
      </c>
      <c r="BS174" s="153" t="str">
        <f t="shared" ca="1" si="508"/>
        <v/>
      </c>
      <c r="BT174" s="153" t="str">
        <f t="shared" ca="1" si="509"/>
        <v/>
      </c>
      <c r="BU174" s="300" t="str">
        <f t="shared" ca="1" si="510"/>
        <v/>
      </c>
      <c r="BV174" s="301" t="str">
        <f t="shared" ca="1" si="511"/>
        <v/>
      </c>
      <c r="BW174" s="300" t="str">
        <f t="shared" ca="1" si="512"/>
        <v/>
      </c>
      <c r="BX174" s="301" t="str">
        <f t="shared" ca="1" si="513"/>
        <v/>
      </c>
      <c r="BY174" s="146" t="str">
        <f t="shared" ca="1" si="514"/>
        <v/>
      </c>
      <c r="BZ174" s="146" t="str">
        <f t="shared" ca="1" si="515"/>
        <v/>
      </c>
      <c r="CA174" s="146" t="str">
        <f t="shared" ca="1" si="516"/>
        <v/>
      </c>
      <c r="CB174" s="146" t="str">
        <f t="shared" ca="1" si="517"/>
        <v/>
      </c>
      <c r="CC174" s="302">
        <v>1</v>
      </c>
      <c r="CD174" s="154">
        <f ca="1">IF(BD174,_xll.xCrudeAPO(BS174,BT174,BY174,BZ174,S175,S176,BI174,BL174,BN174,BO174,0,Strike1,AO174,CC174,0,BL174,IF(OptControl=4,0,1),0,1),0)</f>
        <v>0</v>
      </c>
      <c r="CE174" s="155">
        <f ca="1">IF(BD174,_xll.xCrudeAPO(BS174,BT174,BY174,BZ174,S175,S176,BI174,BL174,BN174,BO174,0,Strike1,AO174,CC174,0,BL174,IF(OptControl=4,0,1),1,1)+_xll.xCrudeAPO(BS174,BT174,BY174,BZ174,S175,S176,BI174,BL174,BN174,BO174,0,Strike1,AO174,CC174,0,BL174,IF(OptControl=4,0,1),1,2)+IF(OR(VolSkewFlag=2,ABS(BQ174)&lt;0.0001),0,IF(BQ174&gt;0,-1,1)*CF174*Strike1/BP174^2*BW174/10%),0)</f>
        <v>0</v>
      </c>
      <c r="CF174" s="155">
        <f ca="1">IF(BD174,(_xll.xCrudeAPO(BS174,BT174,BY174,BZ174,S175,S176,BI174,BL174,BN174,BO174,0,Strike1,AO174,CC174,0,BL174,IF(OptControl=4,0,1),3,1)+_xll.xCrudeAPO(BS174,BT174,BY174,BZ174,S175,S176,BI174,BL174,BN174,BO174,0,Strike1,AO174,CC174,0,BL174,IF(OptControl=4,0,1),3,2))/100,0)</f>
        <v>0</v>
      </c>
      <c r="CG174" s="155">
        <f ca="1">IF(BD174,_xll.xCrudeAPO(BS174,BT174,BY174,BZ174,S175,S176,BI174-DaysForThetaCalculation/365.25,BL174-DaysForThetaCalculation/365.25,BN174,BO174,0,Strike1,AO174,CC174,0,BL174,IF(OptControl=4,0,1),0,1)-_xll.xCrudeAPO(BS174,BT174,BY174,BZ174,S175,S176,BI174,BL174,BN174,BO174,0,Strike1,AO174,CC174,0,BL174,IF(OptControl=4,0,1),0,1),0)</f>
        <v>0</v>
      </c>
      <c r="CH174" s="303">
        <f ca="1">IF(BD174,_xll.xCrudeAPO(BS174,BT174,CA174,CB174,S175,S176,BI174,BL174,BN174,BO174,0,Strike2,AO174,CC174,0,BL174,IF(OptControl=3,1,0),0,1),0)</f>
        <v>0</v>
      </c>
      <c r="CI174" s="155">
        <f ca="1">IF(BD174,_xll.xCrudeAPO(BS174,BT174,CA174,CB174,S175,S176,BI174,BL174,BN174,BO174,0,Strike2,AO174,CC174,0,BL174,IF(OptControl=3,1,0),1,1)+_xll.xCrudeAPO(BS174,BT174,CA174,CB174,S175,S176,BI174,BL174,BN174,BO174,0,Strike2,AO174,CC174,0,BL174,IF(OptControl=3,1,0),1,2)+IF(OR(VolSkewFlag=2,ABS(BR174)&lt;0.0001),0,IF(BR174&gt;0,-1,1)*CJ174*Strike2/BP174^2*BX174/10%),0)</f>
        <v>0</v>
      </c>
      <c r="CJ174" s="155">
        <f ca="1">IF(BD174,(_xll.xCrudeAPO(BS174,BT174,CA174,CB174,S175,S176,BI174,BL174,BN174,BO174,0,Strike2,AO174,CC174,0,BL174,IF(OptControl=3,1,0),3,1)+_xll.xCrudeAPO(BS174,BT174,CA174,CB174,S175,S176,BI174,BL174,BN174,BO174,0,Strike2,AO174,CC174,0,BL174,IF(OptControl=3,1,0),3,2))/100,0)</f>
        <v>0</v>
      </c>
      <c r="CK174" s="156">
        <f ca="1">IF(BD174,_xll.xCrudeAPO(BS174,BT174,CA174,CB174,S175,S176,BI174-DaysForThetaCalculation/365.25,BL174-DaysForThetaCalculation/365.25,BN174,BO174,0,Strike2,AO174,CC174,0,BL174,IF(OptControl=3,1,0),0,1)-_xll.xCrudeAPO(BS174,BT174,CA174,CB174,S175,S176,BI174,BL174,BN174,BO174,0,Strike2,AO174,CC174,0,BL174,IF(OptControl=3,1,0),0,1),0)</f>
        <v>0</v>
      </c>
      <c r="CL174" s="51"/>
      <c r="CM174" s="779" t="str">
        <f t="shared" ca="1" si="534"/>
        <v/>
      </c>
      <c r="CN174" s="783" t="str">
        <f t="shared" ca="1" si="535"/>
        <v/>
      </c>
      <c r="CO174" s="780" t="str">
        <f t="shared" ca="1" si="536"/>
        <v/>
      </c>
      <c r="CP174" s="780" t="str">
        <f t="shared" ca="1" si="537"/>
        <v/>
      </c>
      <c r="CQ174" s="780" t="str">
        <f t="shared" ca="1" si="538"/>
        <v/>
      </c>
      <c r="CR174" s="780" t="str">
        <f t="shared" ca="1" si="539"/>
        <v/>
      </c>
      <c r="CS174" s="781" t="str">
        <f t="shared" ca="1" si="540"/>
        <v/>
      </c>
      <c r="CT174" s="782" t="str">
        <f t="shared" ca="1" si="541"/>
        <v/>
      </c>
      <c r="CU174" s="782" t="str">
        <f t="shared" ca="1" si="542"/>
        <v/>
      </c>
      <c r="CV174" s="155">
        <f ca="1">IF(BD174,_xll.EURO(CN174,Strike1,AO174,AO174,CT174,CM174,IF(OptControl=4,0,1),0),0)</f>
        <v>0</v>
      </c>
      <c r="CW174" s="155">
        <f ca="1">IF(BD174,_xll.EURO(CN174,Strike1,AO174,AO174,CT174,CM174,IF(OptControl=4,0,1),1)+IF(OR(VolSkewFlag=2,ABS(CO174)&lt;0.0001),0,IF(CO174&gt;0,-1,1)*CX174*100*Strike1/CN174^2*CQ174/10%),0)</f>
        <v>0</v>
      </c>
      <c r="CX174" s="155">
        <f ca="1">IF(BD174,_xll.EURO(CN174,Strike1,AO174,AO174,CT174,CM174,IF(OptControl=4,0,1),3)/100,0)</f>
        <v>0</v>
      </c>
      <c r="CY174" s="155">
        <f ca="1">IF(BD174,_xll.EURO(CN174,Strike1,AO174,AO174,CT174,CM174,IF(OptControl=4,0,1),0)-_xll.EURO(CN174,Strike1,AO174,AO174,CT174,CM174-1,IF(OptControl=4,0,1),0),0)</f>
        <v>0</v>
      </c>
      <c r="CZ174" s="155">
        <f ca="1">IF(BD174,_xll.EURO(CN174,Strike2,AO174,AO174,CU174,CM174,IF(OptControl=3,1,0),0),0)</f>
        <v>0</v>
      </c>
      <c r="DA174" s="155">
        <f ca="1">IF(BD174,_xll.EURO(CN174,Strike2,AO174,AO174,CU174,CM174,IF(OptControl=3,1,0),1)+IF(OR(VolSkewFlag=2,ABS(CP174)&lt;0.0001),0,IF(CP174&gt;0,-1,1)*DB174*100*Strike2/CN174^2*CR174/10%),0)</f>
        <v>0</v>
      </c>
      <c r="DB174" s="155">
        <f ca="1">IF(BD174,_xll.EURO(CN174,Strike2,AO174,AO174,CU174,CM174,IF(OptControl=3,1,0),3)/100,0)</f>
        <v>0</v>
      </c>
      <c r="DC174" s="156">
        <f ca="1">IF(BD174,_xll.EURO(CN174,Strike2,AO174,AO174,CU174,CM174,IF(OptControl=3,1,0),0)-_xll.EURO(CN174,Strike2,AO174,AO174,CU174,CM174-1,IF(OptControl=3,1,0),0),0)</f>
        <v>0</v>
      </c>
      <c r="DE174" s="651">
        <f t="shared" ca="1" si="543"/>
        <v>41609</v>
      </c>
      <c r="DF174" s="465">
        <v>1E-4</v>
      </c>
      <c r="DG174" s="649">
        <v>1E-4</v>
      </c>
      <c r="DH174" s="650">
        <f t="shared" ca="1" si="518"/>
        <v>41609</v>
      </c>
      <c r="DI174" s="465">
        <v>1E-4</v>
      </c>
      <c r="DJ174" s="649">
        <v>1E-4</v>
      </c>
      <c r="DK174" s="651">
        <f t="shared" ca="1" si="519"/>
        <v>41609</v>
      </c>
      <c r="DL174" s="652">
        <f t="shared" si="520"/>
        <v>5.0100000000000006E-2</v>
      </c>
      <c r="DM174" s="651">
        <f t="shared" ca="1" si="544"/>
        <v>41609</v>
      </c>
      <c r="DN174" s="563">
        <f t="shared" si="545"/>
        <v>-0.12990000000000002</v>
      </c>
      <c r="DO174" s="803">
        <v>-0.13</v>
      </c>
      <c r="DP174" s="650">
        <f t="shared" ca="1" si="521"/>
        <v>41609</v>
      </c>
      <c r="DQ174" s="653">
        <v>1E-4</v>
      </c>
      <c r="DR174" s="590">
        <v>1E-4</v>
      </c>
      <c r="DS174" s="650">
        <f t="shared" ca="1" si="522"/>
        <v>41609</v>
      </c>
      <c r="DT174" s="653">
        <v>1E-4</v>
      </c>
      <c r="DU174" s="590">
        <v>1E-4</v>
      </c>
      <c r="DV174" s="651">
        <f t="shared" ca="1" si="523"/>
        <v>41609</v>
      </c>
      <c r="DW174" s="590">
        <v>1E-4</v>
      </c>
      <c r="DX174" s="651">
        <f t="shared" ca="1" si="546"/>
        <v>41609</v>
      </c>
      <c r="DY174" s="590">
        <f t="shared" si="547"/>
        <v>1E-4</v>
      </c>
      <c r="DZ174" s="1"/>
      <c r="EA174" s="857"/>
      <c r="EB174" s="857"/>
      <c r="EC174" s="857"/>
      <c r="ED174" s="868" t="e">
        <f t="shared" ca="1" si="566"/>
        <v>#NAME?</v>
      </c>
      <c r="EE174" s="863" t="e">
        <f t="shared" ca="1" si="524"/>
        <v>#NAME?</v>
      </c>
      <c r="EF174" s="590" t="e">
        <f t="shared" ca="1" si="525"/>
        <v>#NAME?</v>
      </c>
      <c r="EG174" s="862" t="str">
        <f t="shared" ca="1" si="526"/>
        <v/>
      </c>
      <c r="EH174" s="114" t="str">
        <f t="shared" ca="1" si="527"/>
        <v/>
      </c>
      <c r="EI174" s="109" t="str">
        <f t="shared" ca="1" si="528"/>
        <v/>
      </c>
      <c r="EJ174" s="115">
        <f ca="1">IF(BD174,_xll.xASN(BP174,Strike1,AO174,EH174,0,BM174,0,BI174,BL174,IF(OptControl=4,0,1),0),0)</f>
        <v>0</v>
      </c>
      <c r="EK174" s="108">
        <f ca="1">IF(BD174,_xll.xASN(BP174,Strike2,AO174,EI174,0,BM174,0,BI174,BL174,IF(OptControl=3,1,0),0),0)</f>
        <v>0</v>
      </c>
      <c r="EP174" s="53"/>
      <c r="EQ174" s="1"/>
      <c r="ER174" s="103"/>
      <c r="ES174" s="103"/>
      <c r="ET174" s="1"/>
      <c r="EU174" s="667" t="s">
        <v>386</v>
      </c>
      <c r="EW174" s="445"/>
      <c r="EX174" s="36"/>
      <c r="EY174" s="104"/>
      <c r="EZ174" s="465"/>
      <c r="FA174" s="446"/>
      <c r="FB174" s="446"/>
      <c r="FC174" s="242"/>
      <c r="FD174" s="242"/>
      <c r="FE174" s="242"/>
      <c r="FF174" s="242"/>
      <c r="FG174" s="242"/>
      <c r="FH174" s="242"/>
      <c r="FI174" s="242"/>
      <c r="FJ174" s="242"/>
      <c r="FK174" s="242"/>
      <c r="FL174" s="242"/>
      <c r="FM174" s="242"/>
      <c r="FN174" s="657">
        <v>5</v>
      </c>
      <c r="FO174" s="469" t="str">
        <f ca="1">IF(OR(FO$169&lt;SwaptionFirstMonthPosition+1,$FN174&lt;SwaptionFirstMonthPosition+1,FO$169&gt;SwaptionFirstMonthPosition+SwaptionNumOfMonths+1,$FN174&gt;SwaptionFirstMonthPosition+SwaptionNumOfMonths+1),"",IF($FN174=FO$169,1,IF($FN174&lt;FO$169,INDEX($FO$170:$IH$241,FO$169,$FN174),SUMPRODUCT(INDEX($FO$325:$IH$396,FO$169,1+SwaptionShift):INDEX($FO$325:$IH$396,FO$169,SwaptionMonthsToGo+SwaptionShift),INDEX($FO$245:$IH$316,$FN174-FO$169,73-FO$169+SwaptionShift):INDEX($FO$245:$IH$316,$FN174-FO$169,72-FO$169+SwaptionMonthsToGo+SwaptionShift))/SQRT(SUM(INDEX($FO329:$IH329,1+SwaptionShift):INDEX($FO329:$IH329,SwaptionMonthsToGo+SwaptionShift))*SUM(INDEX($FO$325:$IH$396,FO$169,1+SwaptionShift):INDEX($FO$325:$IH$396,FO$169,SwaptionMonthsToGo+SwaptionShift))))))</f>
        <v/>
      </c>
      <c r="FP174" s="469">
        <f ca="1">IF(OR(FP$169&lt;SwaptionFirstMonthPosition+1,$FN174&lt;SwaptionFirstMonthPosition+1,FP$169&gt;SwaptionFirstMonthPosition+SwaptionNumOfMonths+1,$FN174&gt;SwaptionFirstMonthPosition+SwaptionNumOfMonths+1),"",IF($FN174=FP$169,1,IF($FN174&lt;FP$169,INDEX($FO$170:$IH$241,FP$169,$FN174),SUMPRODUCT(INDEX($FO$325:$IH$396,FP$169,1+SwaptionShift):INDEX($FO$325:$IH$396,FP$169,SwaptionMonthsToGo+SwaptionShift),INDEX($FO$245:$IH$316,$FN174-FP$169,73-FP$169+SwaptionShift):INDEX($FO$245:$IH$316,$FN174-FP$169,72-FP$169+SwaptionMonthsToGo+SwaptionShift))/SQRT(SUM(INDEX($FO329:$IH329,1+SwaptionShift):INDEX($FO329:$IH329,SwaptionMonthsToGo+SwaptionShift))*SUM(INDEX($FO$325:$IH$396,FP$169,1+SwaptionShift):INDEX($FO$325:$IH$396,FP$169,SwaptionMonthsToGo+SwaptionShift))))))</f>
        <v>0.95324503657131987</v>
      </c>
      <c r="FQ174" s="469">
        <f ca="1">IF(OR(FQ$169&lt;SwaptionFirstMonthPosition+1,$FN174&lt;SwaptionFirstMonthPosition+1,FQ$169&gt;SwaptionFirstMonthPosition+SwaptionNumOfMonths+1,$FN174&gt;SwaptionFirstMonthPosition+SwaptionNumOfMonths+1),"",IF($FN174=FQ$169,1,IF($FN174&lt;FQ$169,INDEX($FO$170:$IH$241,FQ$169,$FN174),SUMPRODUCT(INDEX($FO$325:$IH$396,FQ$169,1+SwaptionShift):INDEX($FO$325:$IH$396,FQ$169,SwaptionMonthsToGo+SwaptionShift),INDEX($FO$245:$IH$316,$FN174-FQ$169,73-FQ$169+SwaptionShift):INDEX($FO$245:$IH$316,$FN174-FQ$169,72-FQ$169+SwaptionMonthsToGo+SwaptionShift))/SQRT(SUM(INDEX($FO329:$IH329,1+SwaptionShift):INDEX($FO329:$IH329,SwaptionMonthsToGo+SwaptionShift))*SUM(INDEX($FO$325:$IH$396,FQ$169,1+SwaptionShift):INDEX($FO$325:$IH$396,FQ$169,SwaptionMonthsToGo+SwaptionShift))))))</f>
        <v>0.97174834435817459</v>
      </c>
      <c r="FR174" s="469">
        <f ca="1">IF(OR(FR$169&lt;SwaptionFirstMonthPosition+1,$FN174&lt;SwaptionFirstMonthPosition+1,FR$169&gt;SwaptionFirstMonthPosition+SwaptionNumOfMonths+1,$FN174&gt;SwaptionFirstMonthPosition+SwaptionNumOfMonths+1),"",IF($FN174=FR$169,1,IF($FN174&lt;FR$169,INDEX($FO$170:$IH$241,FR$169,$FN174),SUMPRODUCT(INDEX($FO$325:$IH$396,FR$169,1+SwaptionShift):INDEX($FO$325:$IH$396,FR$169,SwaptionMonthsToGo+SwaptionShift),INDEX($FO$245:$IH$316,$FN174-FR$169,73-FR$169+SwaptionShift):INDEX($FO$245:$IH$316,$FN174-FR$169,72-FR$169+SwaptionMonthsToGo+SwaptionShift))/SQRT(SUM(INDEX($FO329:$IH329,1+SwaptionShift):INDEX($FO329:$IH329,SwaptionMonthsToGo+SwaptionShift))*SUM(INDEX($FO$325:$IH$396,FR$169,1+SwaptionShift):INDEX($FO$325:$IH$396,FR$169,SwaptionMonthsToGo+SwaptionShift))))))</f>
        <v>0.98713623169205156</v>
      </c>
      <c r="FS174" s="469">
        <f ca="1">IF(OR(FS$169&lt;SwaptionFirstMonthPosition+1,$FN174&lt;SwaptionFirstMonthPosition+1,FS$169&gt;SwaptionFirstMonthPosition+SwaptionNumOfMonths+1,$FN174&gt;SwaptionFirstMonthPosition+SwaptionNumOfMonths+1),"",IF($FN174=FS$169,1,IF($FN174&lt;FS$169,INDEX($FO$170:$IH$241,FS$169,$FN174),SUMPRODUCT(INDEX($FO$325:$IH$396,FS$169,1+SwaptionShift):INDEX($FO$325:$IH$396,FS$169,SwaptionMonthsToGo+SwaptionShift),INDEX($FO$245:$IH$316,$FN174-FS$169,73-FS$169+SwaptionShift):INDEX($FO$245:$IH$316,$FN174-FS$169,72-FS$169+SwaptionMonthsToGo+SwaptionShift))/SQRT(SUM(INDEX($FO329:$IH329,1+SwaptionShift):INDEX($FO329:$IH329,SwaptionMonthsToGo+SwaptionShift))*SUM(INDEX($FO$325:$IH$396,FS$169,1+SwaptionShift):INDEX($FO$325:$IH$396,FS$169,SwaptionMonthsToGo+SwaptionShift))))))</f>
        <v>1</v>
      </c>
      <c r="FT174" s="469">
        <f ca="1">IF(OR(FT$169&lt;SwaptionFirstMonthPosition+1,$FN174&lt;SwaptionFirstMonthPosition+1,FT$169&gt;SwaptionFirstMonthPosition+SwaptionNumOfMonths+1,$FN174&gt;SwaptionFirstMonthPosition+SwaptionNumOfMonths+1),"",IF($FN174=FT$169,1,IF($FN174&lt;FT$169,INDEX($FO$170:$IH$241,FT$169,$FN174),SUMPRODUCT(INDEX($FO$325:$IH$396,FT$169,1+SwaptionShift):INDEX($FO$325:$IH$396,FT$169,SwaptionMonthsToGo+SwaptionShift),INDEX($FO$245:$IH$316,$FN174-FT$169,73-FT$169+SwaptionShift):INDEX($FO$245:$IH$316,$FN174-FT$169,72-FT$169+SwaptionMonthsToGo+SwaptionShift))/SQRT(SUM(INDEX($FO329:$IH329,1+SwaptionShift):INDEX($FO329:$IH329,SwaptionMonthsToGo+SwaptionShift))*SUM(INDEX($FO$325:$IH$396,FT$169,1+SwaptionShift):INDEX($FO$325:$IH$396,FT$169,SwaptionMonthsToGo+SwaptionShift))))))</f>
        <v>0.98929270492608723</v>
      </c>
      <c r="FU174" s="469">
        <f ca="1">IF(OR(FU$169&lt;SwaptionFirstMonthPosition+1,$FN174&lt;SwaptionFirstMonthPosition+1,FU$169&gt;SwaptionFirstMonthPosition+SwaptionNumOfMonths+1,$FN174&gt;SwaptionFirstMonthPosition+SwaptionNumOfMonths+1),"",IF($FN174=FU$169,1,IF($FN174&lt;FU$169,INDEX($FO$170:$IH$241,FU$169,$FN174),SUMPRODUCT(INDEX($FO$325:$IH$396,FU$169,1+SwaptionShift):INDEX($FO$325:$IH$396,FU$169,SwaptionMonthsToGo+SwaptionShift),INDEX($FO$245:$IH$316,$FN174-FU$169,73-FU$169+SwaptionShift):INDEX($FO$245:$IH$316,$FN174-FU$169,72-FU$169+SwaptionMonthsToGo+SwaptionShift))/SQRT(SUM(INDEX($FO329:$IH329,1+SwaptionShift):INDEX($FO329:$IH329,SwaptionMonthsToGo+SwaptionShift))*SUM(INDEX($FO$325:$IH$396,FU$169,1+SwaptionShift):INDEX($FO$325:$IH$396,FU$169,SwaptionMonthsToGo+SwaptionShift))))))</f>
        <v>0.98040066335647591</v>
      </c>
      <c r="FV174" s="469">
        <f ca="1">IF(OR(FV$169&lt;SwaptionFirstMonthPosition+1,$FN174&lt;SwaptionFirstMonthPosition+1,FV$169&gt;SwaptionFirstMonthPosition+SwaptionNumOfMonths+1,$FN174&gt;SwaptionFirstMonthPosition+SwaptionNumOfMonths+1),"",IF($FN174=FV$169,1,IF($FN174&lt;FV$169,INDEX($FO$170:$IH$241,FV$169,$FN174),SUMPRODUCT(INDEX($FO$325:$IH$396,FV$169,1+SwaptionShift):INDEX($FO$325:$IH$396,FV$169,SwaptionMonthsToGo+SwaptionShift),INDEX($FO$245:$IH$316,$FN174-FV$169,73-FV$169+SwaptionShift):INDEX($FO$245:$IH$316,$FN174-FV$169,72-FV$169+SwaptionMonthsToGo+SwaptionShift))/SQRT(SUM(INDEX($FO329:$IH329,1+SwaptionShift):INDEX($FO329:$IH329,SwaptionMonthsToGo+SwaptionShift))*SUM(INDEX($FO$325:$IH$396,FV$169,1+SwaptionShift):INDEX($FO$325:$IH$396,FV$169,SwaptionMonthsToGo+SwaptionShift))))))</f>
        <v>0.97294890019811342</v>
      </c>
      <c r="FW174" s="469">
        <f ca="1">IF(OR(FW$169&lt;SwaptionFirstMonthPosition+1,$FN174&lt;SwaptionFirstMonthPosition+1,FW$169&gt;SwaptionFirstMonthPosition+SwaptionNumOfMonths+1,$FN174&gt;SwaptionFirstMonthPosition+SwaptionNumOfMonths+1),"",IF($FN174=FW$169,1,IF($FN174&lt;FW$169,INDEX($FO$170:$IH$241,FW$169,$FN174),SUMPRODUCT(INDEX($FO$325:$IH$396,FW$169,1+SwaptionShift):INDEX($FO$325:$IH$396,FW$169,SwaptionMonthsToGo+SwaptionShift),INDEX($FO$245:$IH$316,$FN174-FW$169,73-FW$169+SwaptionShift):INDEX($FO$245:$IH$316,$FN174-FW$169,72-FW$169+SwaptionMonthsToGo+SwaptionShift))/SQRT(SUM(INDEX($FO329:$IH329,1+SwaptionShift):INDEX($FO329:$IH329,SwaptionMonthsToGo+SwaptionShift))*SUM(INDEX($FO$325:$IH$396,FW$169,1+SwaptionShift):INDEX($FO$325:$IH$396,FW$169,SwaptionMonthsToGo+SwaptionShift))))))</f>
        <v>0.96665206353278321</v>
      </c>
      <c r="FX174" s="469">
        <f ca="1">IF(OR(FX$169&lt;SwaptionFirstMonthPosition+1,$FN174&lt;SwaptionFirstMonthPosition+1,FX$169&gt;SwaptionFirstMonthPosition+SwaptionNumOfMonths+1,$FN174&gt;SwaptionFirstMonthPosition+SwaptionNumOfMonths+1),"",IF($FN174=FX$169,1,IF($FN174&lt;FX$169,INDEX($FO$170:$IH$241,FX$169,$FN174),SUMPRODUCT(INDEX($FO$325:$IH$396,FX$169,1+SwaptionShift):INDEX($FO$325:$IH$396,FX$169,SwaptionMonthsToGo+SwaptionShift),INDEX($FO$245:$IH$316,$FN174-FX$169,73-FX$169+SwaptionShift):INDEX($FO$245:$IH$316,$FN174-FX$169,72-FX$169+SwaptionMonthsToGo+SwaptionShift))/SQRT(SUM(INDEX($FO329:$IH329,1+SwaptionShift):INDEX($FO329:$IH329,SwaptionMonthsToGo+SwaptionShift))*SUM(INDEX($FO$325:$IH$396,FX$169,1+SwaptionShift):INDEX($FO$325:$IH$396,FX$169,SwaptionMonthsToGo+SwaptionShift))))))</f>
        <v>0.96129075932042873</v>
      </c>
      <c r="FY174" s="469">
        <f ca="1">IF(OR(FY$169&lt;SwaptionFirstMonthPosition+1,$FN174&lt;SwaptionFirstMonthPosition+1,FY$169&gt;SwaptionFirstMonthPosition+SwaptionNumOfMonths+1,$FN174&gt;SwaptionFirstMonthPosition+SwaptionNumOfMonths+1),"",IF($FN174=FY$169,1,IF($FN174&lt;FY$169,INDEX($FO$170:$IH$241,FY$169,$FN174),SUMPRODUCT(INDEX($FO$325:$IH$396,FY$169,1+SwaptionShift):INDEX($FO$325:$IH$396,FY$169,SwaptionMonthsToGo+SwaptionShift),INDEX($FO$245:$IH$316,$FN174-FY$169,73-FY$169+SwaptionShift):INDEX($FO$245:$IH$316,$FN174-FY$169,72-FY$169+SwaptionMonthsToGo+SwaptionShift))/SQRT(SUM(INDEX($FO329:$IH329,1+SwaptionShift):INDEX($FO329:$IH329,SwaptionMonthsToGo+SwaptionShift))*SUM(INDEX($FO$325:$IH$396,FY$169,1+SwaptionShift):INDEX($FO$325:$IH$396,FY$169,SwaptionMonthsToGo+SwaptionShift))))))</f>
        <v>0.95669464177158492</v>
      </c>
      <c r="FZ174" s="469">
        <f ca="1">IF(OR(FZ$169&lt;SwaptionFirstMonthPosition+1,$FN174&lt;SwaptionFirstMonthPosition+1,FZ$169&gt;SwaptionFirstMonthPosition+SwaptionNumOfMonths+1,$FN174&gt;SwaptionFirstMonthPosition+SwaptionNumOfMonths+1),"",IF($FN174=FZ$169,1,IF($FN174&lt;FZ$169,INDEX($FO$170:$IH$241,FZ$169,$FN174),SUMPRODUCT(INDEX($FO$325:$IH$396,FZ$169,1+SwaptionShift):INDEX($FO$325:$IH$396,FZ$169,SwaptionMonthsToGo+SwaptionShift),INDEX($FO$245:$IH$316,$FN174-FZ$169,73-FZ$169+SwaptionShift):INDEX($FO$245:$IH$316,$FN174-FZ$169,72-FZ$169+SwaptionMonthsToGo+SwaptionShift))/SQRT(SUM(INDEX($FO329:$IH329,1+SwaptionShift):INDEX($FO329:$IH329,SwaptionMonthsToGo+SwaptionShift))*SUM(INDEX($FO$325:$IH$396,FZ$169,1+SwaptionShift):INDEX($FO$325:$IH$396,FZ$169,SwaptionMonthsToGo+SwaptionShift))))))</f>
        <v>0.95273018306935409</v>
      </c>
      <c r="GA174" s="469">
        <f ca="1">IF(OR(GA$169&lt;SwaptionFirstMonthPosition+1,$FN174&lt;SwaptionFirstMonthPosition+1,GA$169&gt;SwaptionFirstMonthPosition+SwaptionNumOfMonths+1,$FN174&gt;SwaptionFirstMonthPosition+SwaptionNumOfMonths+1),"",IF($FN174=GA$169,1,IF($FN174&lt;GA$169,INDEX($FO$170:$IH$241,GA$169,$FN174),SUMPRODUCT(INDEX($FO$325:$IH$396,GA$169,1+SwaptionShift):INDEX($FO$325:$IH$396,GA$169,SwaptionMonthsToGo+SwaptionShift),INDEX($FO$245:$IH$316,$FN174-GA$169,73-GA$169+SwaptionShift):INDEX($FO$245:$IH$316,$FN174-GA$169,72-GA$169+SwaptionMonthsToGo+SwaptionShift))/SQRT(SUM(INDEX($FO329:$IH329,1+SwaptionShift):INDEX($FO329:$IH329,SwaptionMonthsToGo+SwaptionShift))*SUM(INDEX($FO$325:$IH$396,GA$169,1+SwaptionShift):INDEX($FO$325:$IH$396,GA$169,SwaptionMonthsToGo+SwaptionShift))))))</f>
        <v>0.94929173457891003</v>
      </c>
      <c r="GB174" s="469">
        <f ca="1">IF(OR(GB$169&lt;SwaptionFirstMonthPosition+1,$FN174&lt;SwaptionFirstMonthPosition+1,GB$169&gt;SwaptionFirstMonthPosition+SwaptionNumOfMonths+1,$FN174&gt;SwaptionFirstMonthPosition+SwaptionNumOfMonths+1),"",IF($FN174=GB$169,1,IF($FN174&lt;GB$169,INDEX($FO$170:$IH$241,GB$169,$FN174),SUMPRODUCT(INDEX($FO$325:$IH$396,GB$169,1+SwaptionShift):INDEX($FO$325:$IH$396,GB$169,SwaptionMonthsToGo+SwaptionShift),INDEX($FO$245:$IH$316,$FN174-GB$169,73-GB$169+SwaptionShift):INDEX($FO$245:$IH$316,$FN174-GB$169,72-GB$169+SwaptionMonthsToGo+SwaptionShift))/SQRT(SUM(INDEX($FO329:$IH329,1+SwaptionShift):INDEX($FO329:$IH329,SwaptionMonthsToGo+SwaptionShift))*SUM(INDEX($FO$325:$IH$396,GB$169,1+SwaptionShift):INDEX($FO$325:$IH$396,GB$169,SwaptionMonthsToGo+SwaptionShift))))))</f>
        <v>0.9462949338034351</v>
      </c>
      <c r="GC174" s="469" t="str">
        <f ca="1">IF(OR(GC$169&lt;SwaptionFirstMonthPosition+1,$FN174&lt;SwaptionFirstMonthPosition+1,GC$169&gt;SwaptionFirstMonthPosition+SwaptionNumOfMonths+1,$FN174&gt;SwaptionFirstMonthPosition+SwaptionNumOfMonths+1),"",IF($FN174=GC$169,1,IF($FN174&lt;GC$169,INDEX($FO$170:$IH$241,GC$169,$FN174),SUMPRODUCT(INDEX($FO$325:$IH$396,GC$169,1+SwaptionShift):INDEX($FO$325:$IH$396,GC$169,SwaptionMonthsToGo+SwaptionShift),INDEX($FO$245:$IH$316,$FN174-GC$169,73-GC$169+SwaptionShift):INDEX($FO$245:$IH$316,$FN174-GC$169,72-GC$169+SwaptionMonthsToGo+SwaptionShift))/SQRT(SUM(INDEX($FO329:$IH329,1+SwaptionShift):INDEX($FO329:$IH329,SwaptionMonthsToGo+SwaptionShift))*SUM(INDEX($FO$325:$IH$396,GC$169,1+SwaptionShift):INDEX($FO$325:$IH$396,GC$169,SwaptionMonthsToGo+SwaptionShift))))))</f>
        <v/>
      </c>
      <c r="GD174" s="469" t="str">
        <f ca="1">IF(OR(GD$169&lt;SwaptionFirstMonthPosition+1,$FN174&lt;SwaptionFirstMonthPosition+1,GD$169&gt;SwaptionFirstMonthPosition+SwaptionNumOfMonths+1,$FN174&gt;SwaptionFirstMonthPosition+SwaptionNumOfMonths+1),"",IF($FN174=GD$169,1,IF($FN174&lt;GD$169,INDEX($FO$170:$IH$241,GD$169,$FN174),SUMPRODUCT(INDEX($FO$325:$IH$396,GD$169,1+SwaptionShift):INDEX($FO$325:$IH$396,GD$169,SwaptionMonthsToGo+SwaptionShift),INDEX($FO$245:$IH$316,$FN174-GD$169,73-GD$169+SwaptionShift):INDEX($FO$245:$IH$316,$FN174-GD$169,72-GD$169+SwaptionMonthsToGo+SwaptionShift))/SQRT(SUM(INDEX($FO329:$IH329,1+SwaptionShift):INDEX($FO329:$IH329,SwaptionMonthsToGo+SwaptionShift))*SUM(INDEX($FO$325:$IH$396,GD$169,1+SwaptionShift):INDEX($FO$325:$IH$396,GD$169,SwaptionMonthsToGo+SwaptionShift))))))</f>
        <v/>
      </c>
      <c r="GE174" s="469" t="str">
        <f ca="1">IF(OR(GE$169&lt;SwaptionFirstMonthPosition+1,$FN174&lt;SwaptionFirstMonthPosition+1,GE$169&gt;SwaptionFirstMonthPosition+SwaptionNumOfMonths+1,$FN174&gt;SwaptionFirstMonthPosition+SwaptionNumOfMonths+1),"",IF($FN174=GE$169,1,IF($FN174&lt;GE$169,INDEX($FO$170:$IH$241,GE$169,$FN174),SUMPRODUCT(INDEX($FO$325:$IH$396,GE$169,1+SwaptionShift):INDEX($FO$325:$IH$396,GE$169,SwaptionMonthsToGo+SwaptionShift),INDEX($FO$245:$IH$316,$FN174-GE$169,73-GE$169+SwaptionShift):INDEX($FO$245:$IH$316,$FN174-GE$169,72-GE$169+SwaptionMonthsToGo+SwaptionShift))/SQRT(SUM(INDEX($FO329:$IH329,1+SwaptionShift):INDEX($FO329:$IH329,SwaptionMonthsToGo+SwaptionShift))*SUM(INDEX($FO$325:$IH$396,GE$169,1+SwaptionShift):INDEX($FO$325:$IH$396,GE$169,SwaptionMonthsToGo+SwaptionShift))))))</f>
        <v/>
      </c>
      <c r="GF174" s="469" t="str">
        <f ca="1">IF(OR(GF$169&lt;SwaptionFirstMonthPosition+1,$FN174&lt;SwaptionFirstMonthPosition+1,GF$169&gt;SwaptionFirstMonthPosition+SwaptionNumOfMonths+1,$FN174&gt;SwaptionFirstMonthPosition+SwaptionNumOfMonths+1),"",IF($FN174=GF$169,1,IF($FN174&lt;GF$169,INDEX($FO$170:$IH$241,GF$169,$FN174),SUMPRODUCT(INDEX($FO$325:$IH$396,GF$169,1+SwaptionShift):INDEX($FO$325:$IH$396,GF$169,SwaptionMonthsToGo+SwaptionShift),INDEX($FO$245:$IH$316,$FN174-GF$169,73-GF$169+SwaptionShift):INDEX($FO$245:$IH$316,$FN174-GF$169,72-GF$169+SwaptionMonthsToGo+SwaptionShift))/SQRT(SUM(INDEX($FO329:$IH329,1+SwaptionShift):INDEX($FO329:$IH329,SwaptionMonthsToGo+SwaptionShift))*SUM(INDEX($FO$325:$IH$396,GF$169,1+SwaptionShift):INDEX($FO$325:$IH$396,GF$169,SwaptionMonthsToGo+SwaptionShift))))))</f>
        <v/>
      </c>
      <c r="GG174" s="469" t="str">
        <f ca="1">IF(OR(GG$169&lt;SwaptionFirstMonthPosition+1,$FN174&lt;SwaptionFirstMonthPosition+1,GG$169&gt;SwaptionFirstMonthPosition+SwaptionNumOfMonths+1,$FN174&gt;SwaptionFirstMonthPosition+SwaptionNumOfMonths+1),"",IF($FN174=GG$169,1,IF($FN174&lt;GG$169,INDEX($FO$170:$IH$241,GG$169,$FN174),SUMPRODUCT(INDEX($FO$325:$IH$396,GG$169,1+SwaptionShift):INDEX($FO$325:$IH$396,GG$169,SwaptionMonthsToGo+SwaptionShift),INDEX($FO$245:$IH$316,$FN174-GG$169,73-GG$169+SwaptionShift):INDEX($FO$245:$IH$316,$FN174-GG$169,72-GG$169+SwaptionMonthsToGo+SwaptionShift))/SQRT(SUM(INDEX($FO329:$IH329,1+SwaptionShift):INDEX($FO329:$IH329,SwaptionMonthsToGo+SwaptionShift))*SUM(INDEX($FO$325:$IH$396,GG$169,1+SwaptionShift):INDEX($FO$325:$IH$396,GG$169,SwaptionMonthsToGo+SwaptionShift))))))</f>
        <v/>
      </c>
      <c r="GH174" s="469" t="str">
        <f ca="1">IF(OR(GH$169&lt;SwaptionFirstMonthPosition+1,$FN174&lt;SwaptionFirstMonthPosition+1,GH$169&gt;SwaptionFirstMonthPosition+SwaptionNumOfMonths+1,$FN174&gt;SwaptionFirstMonthPosition+SwaptionNumOfMonths+1),"",IF($FN174=GH$169,1,IF($FN174&lt;GH$169,INDEX($FO$170:$IH$241,GH$169,$FN174),SUMPRODUCT(INDEX($FO$325:$IH$396,GH$169,1+SwaptionShift):INDEX($FO$325:$IH$396,GH$169,SwaptionMonthsToGo+SwaptionShift),INDEX($FO$245:$IH$316,$FN174-GH$169,73-GH$169+SwaptionShift):INDEX($FO$245:$IH$316,$FN174-GH$169,72-GH$169+SwaptionMonthsToGo+SwaptionShift))/SQRT(SUM(INDEX($FO329:$IH329,1+SwaptionShift):INDEX($FO329:$IH329,SwaptionMonthsToGo+SwaptionShift))*SUM(INDEX($FO$325:$IH$396,GH$169,1+SwaptionShift):INDEX($FO$325:$IH$396,GH$169,SwaptionMonthsToGo+SwaptionShift))))))</f>
        <v/>
      </c>
      <c r="GI174" s="469" t="str">
        <f ca="1">IF(OR(GI$169&lt;SwaptionFirstMonthPosition+1,$FN174&lt;SwaptionFirstMonthPosition+1,GI$169&gt;SwaptionFirstMonthPosition+SwaptionNumOfMonths+1,$FN174&gt;SwaptionFirstMonthPosition+SwaptionNumOfMonths+1),"",IF($FN174=GI$169,1,IF($FN174&lt;GI$169,INDEX($FO$170:$IH$241,GI$169,$FN174),SUMPRODUCT(INDEX($FO$325:$IH$396,GI$169,1+SwaptionShift):INDEX($FO$325:$IH$396,GI$169,SwaptionMonthsToGo+SwaptionShift),INDEX($FO$245:$IH$316,$FN174-GI$169,73-GI$169+SwaptionShift):INDEX($FO$245:$IH$316,$FN174-GI$169,72-GI$169+SwaptionMonthsToGo+SwaptionShift))/SQRT(SUM(INDEX($FO329:$IH329,1+SwaptionShift):INDEX($FO329:$IH329,SwaptionMonthsToGo+SwaptionShift))*SUM(INDEX($FO$325:$IH$396,GI$169,1+SwaptionShift):INDEX($FO$325:$IH$396,GI$169,SwaptionMonthsToGo+SwaptionShift))))))</f>
        <v/>
      </c>
      <c r="GJ174" s="469" t="str">
        <f ca="1">IF(OR(GJ$169&lt;SwaptionFirstMonthPosition+1,$FN174&lt;SwaptionFirstMonthPosition+1,GJ$169&gt;SwaptionFirstMonthPosition+SwaptionNumOfMonths+1,$FN174&gt;SwaptionFirstMonthPosition+SwaptionNumOfMonths+1),"",IF($FN174=GJ$169,1,IF($FN174&lt;GJ$169,INDEX($FO$170:$IH$241,GJ$169,$FN174),SUMPRODUCT(INDEX($FO$325:$IH$396,GJ$169,1+SwaptionShift):INDEX($FO$325:$IH$396,GJ$169,SwaptionMonthsToGo+SwaptionShift),INDEX($FO$245:$IH$316,$FN174-GJ$169,73-GJ$169+SwaptionShift):INDEX($FO$245:$IH$316,$FN174-GJ$169,72-GJ$169+SwaptionMonthsToGo+SwaptionShift))/SQRT(SUM(INDEX($FO329:$IH329,1+SwaptionShift):INDEX($FO329:$IH329,SwaptionMonthsToGo+SwaptionShift))*SUM(INDEX($FO$325:$IH$396,GJ$169,1+SwaptionShift):INDEX($FO$325:$IH$396,GJ$169,SwaptionMonthsToGo+SwaptionShift))))))</f>
        <v/>
      </c>
      <c r="GK174" s="469" t="str">
        <f ca="1">IF(OR(GK$169&lt;SwaptionFirstMonthPosition+1,$FN174&lt;SwaptionFirstMonthPosition+1,GK$169&gt;SwaptionFirstMonthPosition+SwaptionNumOfMonths+1,$FN174&gt;SwaptionFirstMonthPosition+SwaptionNumOfMonths+1),"",IF($FN174=GK$169,1,IF($FN174&lt;GK$169,INDEX($FO$170:$IH$241,GK$169,$FN174),SUMPRODUCT(INDEX($FO$325:$IH$396,GK$169,1+SwaptionShift):INDEX($FO$325:$IH$396,GK$169,SwaptionMonthsToGo+SwaptionShift),INDEX($FO$245:$IH$316,$FN174-GK$169,73-GK$169+SwaptionShift):INDEX($FO$245:$IH$316,$FN174-GK$169,72-GK$169+SwaptionMonthsToGo+SwaptionShift))/SQRT(SUM(INDEX($FO329:$IH329,1+SwaptionShift):INDEX($FO329:$IH329,SwaptionMonthsToGo+SwaptionShift))*SUM(INDEX($FO$325:$IH$396,GK$169,1+SwaptionShift):INDEX($FO$325:$IH$396,GK$169,SwaptionMonthsToGo+SwaptionShift))))))</f>
        <v/>
      </c>
      <c r="GL174" s="469" t="str">
        <f ca="1">IF(OR(GL$169&lt;SwaptionFirstMonthPosition+1,$FN174&lt;SwaptionFirstMonthPosition+1,GL$169&gt;SwaptionFirstMonthPosition+SwaptionNumOfMonths+1,$FN174&gt;SwaptionFirstMonthPosition+SwaptionNumOfMonths+1),"",IF($FN174=GL$169,1,IF($FN174&lt;GL$169,INDEX($FO$170:$IH$241,GL$169,$FN174),SUMPRODUCT(INDEX($FO$325:$IH$396,GL$169,1+SwaptionShift):INDEX($FO$325:$IH$396,GL$169,SwaptionMonthsToGo+SwaptionShift),INDEX($FO$245:$IH$316,$FN174-GL$169,73-GL$169+SwaptionShift):INDEX($FO$245:$IH$316,$FN174-GL$169,72-GL$169+SwaptionMonthsToGo+SwaptionShift))/SQRT(SUM(INDEX($FO329:$IH329,1+SwaptionShift):INDEX($FO329:$IH329,SwaptionMonthsToGo+SwaptionShift))*SUM(INDEX($FO$325:$IH$396,GL$169,1+SwaptionShift):INDEX($FO$325:$IH$396,GL$169,SwaptionMonthsToGo+SwaptionShift))))))</f>
        <v/>
      </c>
      <c r="GM174" s="469" t="str">
        <f ca="1">IF(OR(GM$169&lt;SwaptionFirstMonthPosition+1,$FN174&lt;SwaptionFirstMonthPosition+1,GM$169&gt;SwaptionFirstMonthPosition+SwaptionNumOfMonths+1,$FN174&gt;SwaptionFirstMonthPosition+SwaptionNumOfMonths+1),"",IF($FN174=GM$169,1,IF($FN174&lt;GM$169,INDEX($FO$170:$IH$241,GM$169,$FN174),SUMPRODUCT(INDEX($FO$325:$IH$396,GM$169,1+SwaptionShift):INDEX($FO$325:$IH$396,GM$169,SwaptionMonthsToGo+SwaptionShift),INDEX($FO$245:$IH$316,$FN174-GM$169,73-GM$169+SwaptionShift):INDEX($FO$245:$IH$316,$FN174-GM$169,72-GM$169+SwaptionMonthsToGo+SwaptionShift))/SQRT(SUM(INDEX($FO329:$IH329,1+SwaptionShift):INDEX($FO329:$IH329,SwaptionMonthsToGo+SwaptionShift))*SUM(INDEX($FO$325:$IH$396,GM$169,1+SwaptionShift):INDEX($FO$325:$IH$396,GM$169,SwaptionMonthsToGo+SwaptionShift))))))</f>
        <v/>
      </c>
      <c r="GN174" s="469" t="str">
        <f ca="1">IF(OR(GN$169&lt;SwaptionFirstMonthPosition+1,$FN174&lt;SwaptionFirstMonthPosition+1,GN$169&gt;SwaptionFirstMonthPosition+SwaptionNumOfMonths+1,$FN174&gt;SwaptionFirstMonthPosition+SwaptionNumOfMonths+1),"",IF($FN174=GN$169,1,IF($FN174&lt;GN$169,INDEX($FO$170:$IH$241,GN$169,$FN174),SUMPRODUCT(INDEX($FO$325:$IH$396,GN$169,1+SwaptionShift):INDEX($FO$325:$IH$396,GN$169,SwaptionMonthsToGo+SwaptionShift),INDEX($FO$245:$IH$316,$FN174-GN$169,73-GN$169+SwaptionShift):INDEX($FO$245:$IH$316,$FN174-GN$169,72-GN$169+SwaptionMonthsToGo+SwaptionShift))/SQRT(SUM(INDEX($FO329:$IH329,1+SwaptionShift):INDEX($FO329:$IH329,SwaptionMonthsToGo+SwaptionShift))*SUM(INDEX($FO$325:$IH$396,GN$169,1+SwaptionShift):INDEX($FO$325:$IH$396,GN$169,SwaptionMonthsToGo+SwaptionShift))))))</f>
        <v/>
      </c>
      <c r="GO174" s="469" t="str">
        <f ca="1">IF(OR(GO$169&lt;SwaptionFirstMonthPosition+1,$FN174&lt;SwaptionFirstMonthPosition+1,GO$169&gt;SwaptionFirstMonthPosition+SwaptionNumOfMonths+1,$FN174&gt;SwaptionFirstMonthPosition+SwaptionNumOfMonths+1),"",IF($FN174=GO$169,1,IF($FN174&lt;GO$169,INDEX($FO$170:$IH$241,GO$169,$FN174),SUMPRODUCT(INDEX($FO$325:$IH$396,GO$169,1+SwaptionShift):INDEX($FO$325:$IH$396,GO$169,SwaptionMonthsToGo+SwaptionShift),INDEX($FO$245:$IH$316,$FN174-GO$169,73-GO$169+SwaptionShift):INDEX($FO$245:$IH$316,$FN174-GO$169,72-GO$169+SwaptionMonthsToGo+SwaptionShift))/SQRT(SUM(INDEX($FO329:$IH329,1+SwaptionShift):INDEX($FO329:$IH329,SwaptionMonthsToGo+SwaptionShift))*SUM(INDEX($FO$325:$IH$396,GO$169,1+SwaptionShift):INDEX($FO$325:$IH$396,GO$169,SwaptionMonthsToGo+SwaptionShift))))))</f>
        <v/>
      </c>
      <c r="GP174" s="469" t="str">
        <f ca="1">IF(OR(GP$169&lt;SwaptionFirstMonthPosition+1,$FN174&lt;SwaptionFirstMonthPosition+1,GP$169&gt;SwaptionFirstMonthPosition+SwaptionNumOfMonths+1,$FN174&gt;SwaptionFirstMonthPosition+SwaptionNumOfMonths+1),"",IF($FN174=GP$169,1,IF($FN174&lt;GP$169,INDEX($FO$170:$IH$241,GP$169,$FN174),SUMPRODUCT(INDEX($FO$325:$IH$396,GP$169,1+SwaptionShift):INDEX($FO$325:$IH$396,GP$169,SwaptionMonthsToGo+SwaptionShift),INDEX($FO$245:$IH$316,$FN174-GP$169,73-GP$169+SwaptionShift):INDEX($FO$245:$IH$316,$FN174-GP$169,72-GP$169+SwaptionMonthsToGo+SwaptionShift))/SQRT(SUM(INDEX($FO329:$IH329,1+SwaptionShift):INDEX($FO329:$IH329,SwaptionMonthsToGo+SwaptionShift))*SUM(INDEX($FO$325:$IH$396,GP$169,1+SwaptionShift):INDEX($FO$325:$IH$396,GP$169,SwaptionMonthsToGo+SwaptionShift))))))</f>
        <v/>
      </c>
      <c r="GQ174" s="469" t="str">
        <f ca="1">IF(OR(GQ$169&lt;SwaptionFirstMonthPosition+1,$FN174&lt;SwaptionFirstMonthPosition+1,GQ$169&gt;SwaptionFirstMonthPosition+SwaptionNumOfMonths+1,$FN174&gt;SwaptionFirstMonthPosition+SwaptionNumOfMonths+1),"",IF($FN174=GQ$169,1,IF($FN174&lt;GQ$169,INDEX($FO$170:$IH$241,GQ$169,$FN174),SUMPRODUCT(INDEX($FO$325:$IH$396,GQ$169,1+SwaptionShift):INDEX($FO$325:$IH$396,GQ$169,SwaptionMonthsToGo+SwaptionShift),INDEX($FO$245:$IH$316,$FN174-GQ$169,73-GQ$169+SwaptionShift):INDEX($FO$245:$IH$316,$FN174-GQ$169,72-GQ$169+SwaptionMonthsToGo+SwaptionShift))/SQRT(SUM(INDEX($FO329:$IH329,1+SwaptionShift):INDEX($FO329:$IH329,SwaptionMonthsToGo+SwaptionShift))*SUM(INDEX($FO$325:$IH$396,GQ$169,1+SwaptionShift):INDEX($FO$325:$IH$396,GQ$169,SwaptionMonthsToGo+SwaptionShift))))))</f>
        <v/>
      </c>
      <c r="GR174" s="469" t="str">
        <f ca="1">IF(OR(GR$169&lt;SwaptionFirstMonthPosition+1,$FN174&lt;SwaptionFirstMonthPosition+1,GR$169&gt;SwaptionFirstMonthPosition+SwaptionNumOfMonths+1,$FN174&gt;SwaptionFirstMonthPosition+SwaptionNumOfMonths+1),"",IF($FN174=GR$169,1,IF($FN174&lt;GR$169,INDEX($FO$170:$IH$241,GR$169,$FN174),SUMPRODUCT(INDEX($FO$325:$IH$396,GR$169,1+SwaptionShift):INDEX($FO$325:$IH$396,GR$169,SwaptionMonthsToGo+SwaptionShift),INDEX($FO$245:$IH$316,$FN174-GR$169,73-GR$169+SwaptionShift):INDEX($FO$245:$IH$316,$FN174-GR$169,72-GR$169+SwaptionMonthsToGo+SwaptionShift))/SQRT(SUM(INDEX($FO329:$IH329,1+SwaptionShift):INDEX($FO329:$IH329,SwaptionMonthsToGo+SwaptionShift))*SUM(INDEX($FO$325:$IH$396,GR$169,1+SwaptionShift):INDEX($FO$325:$IH$396,GR$169,SwaptionMonthsToGo+SwaptionShift))))))</f>
        <v/>
      </c>
      <c r="GS174" s="469" t="str">
        <f ca="1">IF(OR(GS$169&lt;SwaptionFirstMonthPosition+1,$FN174&lt;SwaptionFirstMonthPosition+1,GS$169&gt;SwaptionFirstMonthPosition+SwaptionNumOfMonths+1,$FN174&gt;SwaptionFirstMonthPosition+SwaptionNumOfMonths+1),"",IF($FN174=GS$169,1,IF($FN174&lt;GS$169,INDEX($FO$170:$IH$241,GS$169,$FN174),SUMPRODUCT(INDEX($FO$325:$IH$396,GS$169,1+SwaptionShift):INDEX($FO$325:$IH$396,GS$169,SwaptionMonthsToGo+SwaptionShift),INDEX($FO$245:$IH$316,$FN174-GS$169,73-GS$169+SwaptionShift):INDEX($FO$245:$IH$316,$FN174-GS$169,72-GS$169+SwaptionMonthsToGo+SwaptionShift))/SQRT(SUM(INDEX($FO329:$IH329,1+SwaptionShift):INDEX($FO329:$IH329,SwaptionMonthsToGo+SwaptionShift))*SUM(INDEX($FO$325:$IH$396,GS$169,1+SwaptionShift):INDEX($FO$325:$IH$396,GS$169,SwaptionMonthsToGo+SwaptionShift))))))</f>
        <v/>
      </c>
      <c r="GT174" s="469" t="str">
        <f ca="1">IF(OR(GT$169&lt;SwaptionFirstMonthPosition+1,$FN174&lt;SwaptionFirstMonthPosition+1,GT$169&gt;SwaptionFirstMonthPosition+SwaptionNumOfMonths+1,$FN174&gt;SwaptionFirstMonthPosition+SwaptionNumOfMonths+1),"",IF($FN174=GT$169,1,IF($FN174&lt;GT$169,INDEX($FO$170:$IH$241,GT$169,$FN174),SUMPRODUCT(INDEX($FO$325:$IH$396,GT$169,1+SwaptionShift):INDEX($FO$325:$IH$396,GT$169,SwaptionMonthsToGo+SwaptionShift),INDEX($FO$245:$IH$316,$FN174-GT$169,73-GT$169+SwaptionShift):INDEX($FO$245:$IH$316,$FN174-GT$169,72-GT$169+SwaptionMonthsToGo+SwaptionShift))/SQRT(SUM(INDEX($FO329:$IH329,1+SwaptionShift):INDEX($FO329:$IH329,SwaptionMonthsToGo+SwaptionShift))*SUM(INDEX($FO$325:$IH$396,GT$169,1+SwaptionShift):INDEX($FO$325:$IH$396,GT$169,SwaptionMonthsToGo+SwaptionShift))))))</f>
        <v/>
      </c>
      <c r="GU174" s="469" t="str">
        <f ca="1">IF(OR(GU$169&lt;SwaptionFirstMonthPosition+1,$FN174&lt;SwaptionFirstMonthPosition+1,GU$169&gt;SwaptionFirstMonthPosition+SwaptionNumOfMonths+1,$FN174&gt;SwaptionFirstMonthPosition+SwaptionNumOfMonths+1),"",IF($FN174=GU$169,1,IF($FN174&lt;GU$169,INDEX($FO$170:$IH$241,GU$169,$FN174),SUMPRODUCT(INDEX($FO$325:$IH$396,GU$169,1+SwaptionShift):INDEX($FO$325:$IH$396,GU$169,SwaptionMonthsToGo+SwaptionShift),INDEX($FO$245:$IH$316,$FN174-GU$169,73-GU$169+SwaptionShift):INDEX($FO$245:$IH$316,$FN174-GU$169,72-GU$169+SwaptionMonthsToGo+SwaptionShift))/SQRT(SUM(INDEX($FO329:$IH329,1+SwaptionShift):INDEX($FO329:$IH329,SwaptionMonthsToGo+SwaptionShift))*SUM(INDEX($FO$325:$IH$396,GU$169,1+SwaptionShift):INDEX($FO$325:$IH$396,GU$169,SwaptionMonthsToGo+SwaptionShift))))))</f>
        <v/>
      </c>
      <c r="GV174" s="469" t="str">
        <f ca="1">IF(OR(GV$169&lt;SwaptionFirstMonthPosition+1,$FN174&lt;SwaptionFirstMonthPosition+1,GV$169&gt;SwaptionFirstMonthPosition+SwaptionNumOfMonths+1,$FN174&gt;SwaptionFirstMonthPosition+SwaptionNumOfMonths+1),"",IF($FN174=GV$169,1,IF($FN174&lt;GV$169,INDEX($FO$170:$IH$241,GV$169,$FN174),SUMPRODUCT(INDEX($FO$325:$IH$396,GV$169,1+SwaptionShift):INDEX($FO$325:$IH$396,GV$169,SwaptionMonthsToGo+SwaptionShift),INDEX($FO$245:$IH$316,$FN174-GV$169,73-GV$169+SwaptionShift):INDEX($FO$245:$IH$316,$FN174-GV$169,72-GV$169+SwaptionMonthsToGo+SwaptionShift))/SQRT(SUM(INDEX($FO329:$IH329,1+SwaptionShift):INDEX($FO329:$IH329,SwaptionMonthsToGo+SwaptionShift))*SUM(INDEX($FO$325:$IH$396,GV$169,1+SwaptionShift):INDEX($FO$325:$IH$396,GV$169,SwaptionMonthsToGo+SwaptionShift))))))</f>
        <v/>
      </c>
      <c r="GW174" s="469" t="str">
        <f ca="1">IF(OR(GW$169&lt;SwaptionFirstMonthPosition+1,$FN174&lt;SwaptionFirstMonthPosition+1,GW$169&gt;SwaptionFirstMonthPosition+SwaptionNumOfMonths+1,$FN174&gt;SwaptionFirstMonthPosition+SwaptionNumOfMonths+1),"",IF($FN174=GW$169,1,IF($FN174&lt;GW$169,INDEX($FO$170:$IH$241,GW$169,$FN174),SUMPRODUCT(INDEX($FO$325:$IH$396,GW$169,1+SwaptionShift):INDEX($FO$325:$IH$396,GW$169,SwaptionMonthsToGo+SwaptionShift),INDEX($FO$245:$IH$316,$FN174-GW$169,73-GW$169+SwaptionShift):INDEX($FO$245:$IH$316,$FN174-GW$169,72-GW$169+SwaptionMonthsToGo+SwaptionShift))/SQRT(SUM(INDEX($FO329:$IH329,1+SwaptionShift):INDEX($FO329:$IH329,SwaptionMonthsToGo+SwaptionShift))*SUM(INDEX($FO$325:$IH$396,GW$169,1+SwaptionShift):INDEX($FO$325:$IH$396,GW$169,SwaptionMonthsToGo+SwaptionShift))))))</f>
        <v/>
      </c>
      <c r="GX174" s="469" t="str">
        <f ca="1">IF(OR(GX$169&lt;SwaptionFirstMonthPosition+1,$FN174&lt;SwaptionFirstMonthPosition+1,GX$169&gt;SwaptionFirstMonthPosition+SwaptionNumOfMonths+1,$FN174&gt;SwaptionFirstMonthPosition+SwaptionNumOfMonths+1),"",IF($FN174=GX$169,1,IF($FN174&lt;GX$169,INDEX($FO$170:$IH$241,GX$169,$FN174),SUMPRODUCT(INDEX($FO$325:$IH$396,GX$169,1+SwaptionShift):INDEX($FO$325:$IH$396,GX$169,SwaptionMonthsToGo+SwaptionShift),INDEX($FO$245:$IH$316,$FN174-GX$169,73-GX$169+SwaptionShift):INDEX($FO$245:$IH$316,$FN174-GX$169,72-GX$169+SwaptionMonthsToGo+SwaptionShift))/SQRT(SUM(INDEX($FO329:$IH329,1+SwaptionShift):INDEX($FO329:$IH329,SwaptionMonthsToGo+SwaptionShift))*SUM(INDEX($FO$325:$IH$396,GX$169,1+SwaptionShift):INDEX($FO$325:$IH$396,GX$169,SwaptionMonthsToGo+SwaptionShift))))))</f>
        <v/>
      </c>
      <c r="GY174" s="469" t="str">
        <f ca="1">IF(OR(GY$169&lt;SwaptionFirstMonthPosition+1,$FN174&lt;SwaptionFirstMonthPosition+1,GY$169&gt;SwaptionFirstMonthPosition+SwaptionNumOfMonths+1,$FN174&gt;SwaptionFirstMonthPosition+SwaptionNumOfMonths+1),"",IF($FN174=GY$169,1,IF($FN174&lt;GY$169,INDEX($FO$170:$IH$241,GY$169,$FN174),SUMPRODUCT(INDEX($FO$325:$IH$396,GY$169,1+SwaptionShift):INDEX($FO$325:$IH$396,GY$169,SwaptionMonthsToGo+SwaptionShift),INDEX($FO$245:$IH$316,$FN174-GY$169,73-GY$169+SwaptionShift):INDEX($FO$245:$IH$316,$FN174-GY$169,72-GY$169+SwaptionMonthsToGo+SwaptionShift))/SQRT(SUM(INDEX($FO329:$IH329,1+SwaptionShift):INDEX($FO329:$IH329,SwaptionMonthsToGo+SwaptionShift))*SUM(INDEX($FO$325:$IH$396,GY$169,1+SwaptionShift):INDEX($FO$325:$IH$396,GY$169,SwaptionMonthsToGo+SwaptionShift))))))</f>
        <v/>
      </c>
      <c r="GZ174" s="469" t="str">
        <f ca="1">IF(OR(GZ$169&lt;SwaptionFirstMonthPosition+1,$FN174&lt;SwaptionFirstMonthPosition+1,GZ$169&gt;SwaptionFirstMonthPosition+SwaptionNumOfMonths+1,$FN174&gt;SwaptionFirstMonthPosition+SwaptionNumOfMonths+1),"",IF($FN174=GZ$169,1,IF($FN174&lt;GZ$169,INDEX($FO$170:$IH$241,GZ$169,$FN174),SUMPRODUCT(INDEX($FO$325:$IH$396,GZ$169,1+SwaptionShift):INDEX($FO$325:$IH$396,GZ$169,SwaptionMonthsToGo+SwaptionShift),INDEX($FO$245:$IH$316,$FN174-GZ$169,73-GZ$169+SwaptionShift):INDEX($FO$245:$IH$316,$FN174-GZ$169,72-GZ$169+SwaptionMonthsToGo+SwaptionShift))/SQRT(SUM(INDEX($FO329:$IH329,1+SwaptionShift):INDEX($FO329:$IH329,SwaptionMonthsToGo+SwaptionShift))*SUM(INDEX($FO$325:$IH$396,GZ$169,1+SwaptionShift):INDEX($FO$325:$IH$396,GZ$169,SwaptionMonthsToGo+SwaptionShift))))))</f>
        <v/>
      </c>
      <c r="HA174" s="469" t="str">
        <f ca="1">IF(OR(HA$169&lt;SwaptionFirstMonthPosition+1,$FN174&lt;SwaptionFirstMonthPosition+1,HA$169&gt;SwaptionFirstMonthPosition+SwaptionNumOfMonths+1,$FN174&gt;SwaptionFirstMonthPosition+SwaptionNumOfMonths+1),"",IF($FN174=HA$169,1,IF($FN174&lt;HA$169,INDEX($FO$170:$IH$241,HA$169,$FN174),SUMPRODUCT(INDEX($FO$325:$IH$396,HA$169,1+SwaptionShift):INDEX($FO$325:$IH$396,HA$169,SwaptionMonthsToGo+SwaptionShift),INDEX($FO$245:$IH$316,$FN174-HA$169,73-HA$169+SwaptionShift):INDEX($FO$245:$IH$316,$FN174-HA$169,72-HA$169+SwaptionMonthsToGo+SwaptionShift))/SQRT(SUM(INDEX($FO329:$IH329,1+SwaptionShift):INDEX($FO329:$IH329,SwaptionMonthsToGo+SwaptionShift))*SUM(INDEX($FO$325:$IH$396,HA$169,1+SwaptionShift):INDEX($FO$325:$IH$396,HA$169,SwaptionMonthsToGo+SwaptionShift))))))</f>
        <v/>
      </c>
      <c r="HB174" s="469" t="str">
        <f ca="1">IF(OR(HB$169&lt;SwaptionFirstMonthPosition+1,$FN174&lt;SwaptionFirstMonthPosition+1,HB$169&gt;SwaptionFirstMonthPosition+SwaptionNumOfMonths+1,$FN174&gt;SwaptionFirstMonthPosition+SwaptionNumOfMonths+1),"",IF($FN174=HB$169,1,IF($FN174&lt;HB$169,INDEX($FO$170:$IH$241,HB$169,$FN174),SUMPRODUCT(INDEX($FO$325:$IH$396,HB$169,1+SwaptionShift):INDEX($FO$325:$IH$396,HB$169,SwaptionMonthsToGo+SwaptionShift),INDEX($FO$245:$IH$316,$FN174-HB$169,73-HB$169+SwaptionShift):INDEX($FO$245:$IH$316,$FN174-HB$169,72-HB$169+SwaptionMonthsToGo+SwaptionShift))/SQRT(SUM(INDEX($FO329:$IH329,1+SwaptionShift):INDEX($FO329:$IH329,SwaptionMonthsToGo+SwaptionShift))*SUM(INDEX($FO$325:$IH$396,HB$169,1+SwaptionShift):INDEX($FO$325:$IH$396,HB$169,SwaptionMonthsToGo+SwaptionShift))))))</f>
        <v/>
      </c>
      <c r="HC174" s="469" t="str">
        <f ca="1">IF(OR(HC$169&lt;SwaptionFirstMonthPosition+1,$FN174&lt;SwaptionFirstMonthPosition+1,HC$169&gt;SwaptionFirstMonthPosition+SwaptionNumOfMonths+1,$FN174&gt;SwaptionFirstMonthPosition+SwaptionNumOfMonths+1),"",IF($FN174=HC$169,1,IF($FN174&lt;HC$169,INDEX($FO$170:$IH$241,HC$169,$FN174),SUMPRODUCT(INDEX($FO$325:$IH$396,HC$169,1+SwaptionShift):INDEX($FO$325:$IH$396,HC$169,SwaptionMonthsToGo+SwaptionShift),INDEX($FO$245:$IH$316,$FN174-HC$169,73-HC$169+SwaptionShift):INDEX($FO$245:$IH$316,$FN174-HC$169,72-HC$169+SwaptionMonthsToGo+SwaptionShift))/SQRT(SUM(INDEX($FO329:$IH329,1+SwaptionShift):INDEX($FO329:$IH329,SwaptionMonthsToGo+SwaptionShift))*SUM(INDEX($FO$325:$IH$396,HC$169,1+SwaptionShift):INDEX($FO$325:$IH$396,HC$169,SwaptionMonthsToGo+SwaptionShift))))))</f>
        <v/>
      </c>
      <c r="HD174" s="469" t="str">
        <f ca="1">IF(OR(HD$169&lt;SwaptionFirstMonthPosition+1,$FN174&lt;SwaptionFirstMonthPosition+1,HD$169&gt;SwaptionFirstMonthPosition+SwaptionNumOfMonths+1,$FN174&gt;SwaptionFirstMonthPosition+SwaptionNumOfMonths+1),"",IF($FN174=HD$169,1,IF($FN174&lt;HD$169,INDEX($FO$170:$IH$241,HD$169,$FN174),SUMPRODUCT(INDEX($FO$325:$IH$396,HD$169,1+SwaptionShift):INDEX($FO$325:$IH$396,HD$169,SwaptionMonthsToGo+SwaptionShift),INDEX($FO$245:$IH$316,$FN174-HD$169,73-HD$169+SwaptionShift):INDEX($FO$245:$IH$316,$FN174-HD$169,72-HD$169+SwaptionMonthsToGo+SwaptionShift))/SQRT(SUM(INDEX($FO329:$IH329,1+SwaptionShift):INDEX($FO329:$IH329,SwaptionMonthsToGo+SwaptionShift))*SUM(INDEX($FO$325:$IH$396,HD$169,1+SwaptionShift):INDEX($FO$325:$IH$396,HD$169,SwaptionMonthsToGo+SwaptionShift))))))</f>
        <v/>
      </c>
      <c r="HE174" s="469" t="str">
        <f ca="1">IF(OR(HE$169&lt;SwaptionFirstMonthPosition+1,$FN174&lt;SwaptionFirstMonthPosition+1,HE$169&gt;SwaptionFirstMonthPosition+SwaptionNumOfMonths+1,$FN174&gt;SwaptionFirstMonthPosition+SwaptionNumOfMonths+1),"",IF($FN174=HE$169,1,IF($FN174&lt;HE$169,INDEX($FO$170:$IH$241,HE$169,$FN174),SUMPRODUCT(INDEX($FO$325:$IH$396,HE$169,1+SwaptionShift):INDEX($FO$325:$IH$396,HE$169,SwaptionMonthsToGo+SwaptionShift),INDEX($FO$245:$IH$316,$FN174-HE$169,73-HE$169+SwaptionShift):INDEX($FO$245:$IH$316,$FN174-HE$169,72-HE$169+SwaptionMonthsToGo+SwaptionShift))/SQRT(SUM(INDEX($FO329:$IH329,1+SwaptionShift):INDEX($FO329:$IH329,SwaptionMonthsToGo+SwaptionShift))*SUM(INDEX($FO$325:$IH$396,HE$169,1+SwaptionShift):INDEX($FO$325:$IH$396,HE$169,SwaptionMonthsToGo+SwaptionShift))))))</f>
        <v/>
      </c>
      <c r="HF174" s="469" t="str">
        <f ca="1">IF(OR(HF$169&lt;SwaptionFirstMonthPosition+1,$FN174&lt;SwaptionFirstMonthPosition+1,HF$169&gt;SwaptionFirstMonthPosition+SwaptionNumOfMonths+1,$FN174&gt;SwaptionFirstMonthPosition+SwaptionNumOfMonths+1),"",IF($FN174=HF$169,1,IF($FN174&lt;HF$169,INDEX($FO$170:$IH$241,HF$169,$FN174),SUMPRODUCT(INDEX($FO$325:$IH$396,HF$169,1+SwaptionShift):INDEX($FO$325:$IH$396,HF$169,SwaptionMonthsToGo+SwaptionShift),INDEX($FO$245:$IH$316,$FN174-HF$169,73-HF$169+SwaptionShift):INDEX($FO$245:$IH$316,$FN174-HF$169,72-HF$169+SwaptionMonthsToGo+SwaptionShift))/SQRT(SUM(INDEX($FO329:$IH329,1+SwaptionShift):INDEX($FO329:$IH329,SwaptionMonthsToGo+SwaptionShift))*SUM(INDEX($FO$325:$IH$396,HF$169,1+SwaptionShift):INDEX($FO$325:$IH$396,HF$169,SwaptionMonthsToGo+SwaptionShift))))))</f>
        <v/>
      </c>
      <c r="HG174" s="469" t="str">
        <f ca="1">IF(OR(HG$169&lt;SwaptionFirstMonthPosition+1,$FN174&lt;SwaptionFirstMonthPosition+1,HG$169&gt;SwaptionFirstMonthPosition+SwaptionNumOfMonths+1,$FN174&gt;SwaptionFirstMonthPosition+SwaptionNumOfMonths+1),"",IF($FN174=HG$169,1,IF($FN174&lt;HG$169,INDEX($FO$170:$IH$241,HG$169,$FN174),SUMPRODUCT(INDEX($FO$325:$IH$396,HG$169,1+SwaptionShift):INDEX($FO$325:$IH$396,HG$169,SwaptionMonthsToGo+SwaptionShift),INDEX($FO$245:$IH$316,$FN174-HG$169,73-HG$169+SwaptionShift):INDEX($FO$245:$IH$316,$FN174-HG$169,72-HG$169+SwaptionMonthsToGo+SwaptionShift))/SQRT(SUM(INDEX($FO329:$IH329,1+SwaptionShift):INDEX($FO329:$IH329,SwaptionMonthsToGo+SwaptionShift))*SUM(INDEX($FO$325:$IH$396,HG$169,1+SwaptionShift):INDEX($FO$325:$IH$396,HG$169,SwaptionMonthsToGo+SwaptionShift))))))</f>
        <v/>
      </c>
      <c r="HH174" s="469" t="str">
        <f ca="1">IF(OR(HH$169&lt;SwaptionFirstMonthPosition+1,$FN174&lt;SwaptionFirstMonthPosition+1,HH$169&gt;SwaptionFirstMonthPosition+SwaptionNumOfMonths+1,$FN174&gt;SwaptionFirstMonthPosition+SwaptionNumOfMonths+1),"",IF($FN174=HH$169,1,IF($FN174&lt;HH$169,INDEX($FO$170:$IH$241,HH$169,$FN174),SUMPRODUCT(INDEX($FO$325:$IH$396,HH$169,1+SwaptionShift):INDEX($FO$325:$IH$396,HH$169,SwaptionMonthsToGo+SwaptionShift),INDEX($FO$245:$IH$316,$FN174-HH$169,73-HH$169+SwaptionShift):INDEX($FO$245:$IH$316,$FN174-HH$169,72-HH$169+SwaptionMonthsToGo+SwaptionShift))/SQRT(SUM(INDEX($FO329:$IH329,1+SwaptionShift):INDEX($FO329:$IH329,SwaptionMonthsToGo+SwaptionShift))*SUM(INDEX($FO$325:$IH$396,HH$169,1+SwaptionShift):INDEX($FO$325:$IH$396,HH$169,SwaptionMonthsToGo+SwaptionShift))))))</f>
        <v/>
      </c>
      <c r="HI174" s="469" t="str">
        <f ca="1">IF(OR(HI$169&lt;SwaptionFirstMonthPosition+1,$FN174&lt;SwaptionFirstMonthPosition+1,HI$169&gt;SwaptionFirstMonthPosition+SwaptionNumOfMonths+1,$FN174&gt;SwaptionFirstMonthPosition+SwaptionNumOfMonths+1),"",IF($FN174=HI$169,1,IF($FN174&lt;HI$169,INDEX($FO$170:$IH$241,HI$169,$FN174),SUMPRODUCT(INDEX($FO$325:$IH$396,HI$169,1+SwaptionShift):INDEX($FO$325:$IH$396,HI$169,SwaptionMonthsToGo+SwaptionShift),INDEX($FO$245:$IH$316,$FN174-HI$169,73-HI$169+SwaptionShift):INDEX($FO$245:$IH$316,$FN174-HI$169,72-HI$169+SwaptionMonthsToGo+SwaptionShift))/SQRT(SUM(INDEX($FO329:$IH329,1+SwaptionShift):INDEX($FO329:$IH329,SwaptionMonthsToGo+SwaptionShift))*SUM(INDEX($FO$325:$IH$396,HI$169,1+SwaptionShift):INDEX($FO$325:$IH$396,HI$169,SwaptionMonthsToGo+SwaptionShift))))))</f>
        <v/>
      </c>
      <c r="HJ174" s="469" t="str">
        <f ca="1">IF(OR(HJ$169&lt;SwaptionFirstMonthPosition+1,$FN174&lt;SwaptionFirstMonthPosition+1,HJ$169&gt;SwaptionFirstMonthPosition+SwaptionNumOfMonths+1,$FN174&gt;SwaptionFirstMonthPosition+SwaptionNumOfMonths+1),"",IF($FN174=HJ$169,1,IF($FN174&lt;HJ$169,INDEX($FO$170:$IH$241,HJ$169,$FN174),SUMPRODUCT(INDEX($FO$325:$IH$396,HJ$169,1+SwaptionShift):INDEX($FO$325:$IH$396,HJ$169,SwaptionMonthsToGo+SwaptionShift),INDEX($FO$245:$IH$316,$FN174-HJ$169,73-HJ$169+SwaptionShift):INDEX($FO$245:$IH$316,$FN174-HJ$169,72-HJ$169+SwaptionMonthsToGo+SwaptionShift))/SQRT(SUM(INDEX($FO329:$IH329,1+SwaptionShift):INDEX($FO329:$IH329,SwaptionMonthsToGo+SwaptionShift))*SUM(INDEX($FO$325:$IH$396,HJ$169,1+SwaptionShift):INDEX($FO$325:$IH$396,HJ$169,SwaptionMonthsToGo+SwaptionShift))))))</f>
        <v/>
      </c>
      <c r="HK174" s="469" t="str">
        <f ca="1">IF(OR(HK$169&lt;SwaptionFirstMonthPosition+1,$FN174&lt;SwaptionFirstMonthPosition+1,HK$169&gt;SwaptionFirstMonthPosition+SwaptionNumOfMonths+1,$FN174&gt;SwaptionFirstMonthPosition+SwaptionNumOfMonths+1),"",IF($FN174=HK$169,1,IF($FN174&lt;HK$169,INDEX($FO$170:$IH$241,HK$169,$FN174),SUMPRODUCT(INDEX($FO$325:$IH$396,HK$169,1+SwaptionShift):INDEX($FO$325:$IH$396,HK$169,SwaptionMonthsToGo+SwaptionShift),INDEX($FO$245:$IH$316,$FN174-HK$169,73-HK$169+SwaptionShift):INDEX($FO$245:$IH$316,$FN174-HK$169,72-HK$169+SwaptionMonthsToGo+SwaptionShift))/SQRT(SUM(INDEX($FO329:$IH329,1+SwaptionShift):INDEX($FO329:$IH329,SwaptionMonthsToGo+SwaptionShift))*SUM(INDEX($FO$325:$IH$396,HK$169,1+SwaptionShift):INDEX($FO$325:$IH$396,HK$169,SwaptionMonthsToGo+SwaptionShift))))))</f>
        <v/>
      </c>
      <c r="HL174" s="469" t="str">
        <f ca="1">IF(OR(HL$169&lt;SwaptionFirstMonthPosition+1,$FN174&lt;SwaptionFirstMonthPosition+1,HL$169&gt;SwaptionFirstMonthPosition+SwaptionNumOfMonths+1,$FN174&gt;SwaptionFirstMonthPosition+SwaptionNumOfMonths+1),"",IF($FN174=HL$169,1,IF($FN174&lt;HL$169,INDEX($FO$170:$IH$241,HL$169,$FN174),SUMPRODUCT(INDEX($FO$325:$IH$396,HL$169,1+SwaptionShift):INDEX($FO$325:$IH$396,HL$169,SwaptionMonthsToGo+SwaptionShift),INDEX($FO$245:$IH$316,$FN174-HL$169,73-HL$169+SwaptionShift):INDEX($FO$245:$IH$316,$FN174-HL$169,72-HL$169+SwaptionMonthsToGo+SwaptionShift))/SQRT(SUM(INDEX($FO329:$IH329,1+SwaptionShift):INDEX($FO329:$IH329,SwaptionMonthsToGo+SwaptionShift))*SUM(INDEX($FO$325:$IH$396,HL$169,1+SwaptionShift):INDEX($FO$325:$IH$396,HL$169,SwaptionMonthsToGo+SwaptionShift))))))</f>
        <v/>
      </c>
      <c r="HM174" s="469" t="str">
        <f ca="1">IF(OR(HM$169&lt;SwaptionFirstMonthPosition+1,$FN174&lt;SwaptionFirstMonthPosition+1,HM$169&gt;SwaptionFirstMonthPosition+SwaptionNumOfMonths+1,$FN174&gt;SwaptionFirstMonthPosition+SwaptionNumOfMonths+1),"",IF($FN174=HM$169,1,IF($FN174&lt;HM$169,INDEX($FO$170:$IH$241,HM$169,$FN174),SUMPRODUCT(INDEX($FO$325:$IH$396,HM$169,1+SwaptionShift):INDEX($FO$325:$IH$396,HM$169,SwaptionMonthsToGo+SwaptionShift),INDEX($FO$245:$IH$316,$FN174-HM$169,73-HM$169+SwaptionShift):INDEX($FO$245:$IH$316,$FN174-HM$169,72-HM$169+SwaptionMonthsToGo+SwaptionShift))/SQRT(SUM(INDEX($FO329:$IH329,1+SwaptionShift):INDEX($FO329:$IH329,SwaptionMonthsToGo+SwaptionShift))*SUM(INDEX($FO$325:$IH$396,HM$169,1+SwaptionShift):INDEX($FO$325:$IH$396,HM$169,SwaptionMonthsToGo+SwaptionShift))))))</f>
        <v/>
      </c>
      <c r="HN174" s="469" t="str">
        <f ca="1">IF(OR(HN$169&lt;SwaptionFirstMonthPosition+1,$FN174&lt;SwaptionFirstMonthPosition+1,HN$169&gt;SwaptionFirstMonthPosition+SwaptionNumOfMonths+1,$FN174&gt;SwaptionFirstMonthPosition+SwaptionNumOfMonths+1),"",IF($FN174=HN$169,1,IF($FN174&lt;HN$169,INDEX($FO$170:$IH$241,HN$169,$FN174),SUMPRODUCT(INDEX($FO$325:$IH$396,HN$169,1+SwaptionShift):INDEX($FO$325:$IH$396,HN$169,SwaptionMonthsToGo+SwaptionShift),INDEX($FO$245:$IH$316,$FN174-HN$169,73-HN$169+SwaptionShift):INDEX($FO$245:$IH$316,$FN174-HN$169,72-HN$169+SwaptionMonthsToGo+SwaptionShift))/SQRT(SUM(INDEX($FO329:$IH329,1+SwaptionShift):INDEX($FO329:$IH329,SwaptionMonthsToGo+SwaptionShift))*SUM(INDEX($FO$325:$IH$396,HN$169,1+SwaptionShift):INDEX($FO$325:$IH$396,HN$169,SwaptionMonthsToGo+SwaptionShift))))))</f>
        <v/>
      </c>
      <c r="HO174" s="469" t="str">
        <f ca="1">IF(OR(HO$169&lt;SwaptionFirstMonthPosition+1,$FN174&lt;SwaptionFirstMonthPosition+1,HO$169&gt;SwaptionFirstMonthPosition+SwaptionNumOfMonths+1,$FN174&gt;SwaptionFirstMonthPosition+SwaptionNumOfMonths+1),"",IF($FN174=HO$169,1,IF($FN174&lt;HO$169,INDEX($FO$170:$IH$241,HO$169,$FN174),SUMPRODUCT(INDEX($FO$325:$IH$396,HO$169,1+SwaptionShift):INDEX($FO$325:$IH$396,HO$169,SwaptionMonthsToGo+SwaptionShift),INDEX($FO$245:$IH$316,$FN174-HO$169,73-HO$169+SwaptionShift):INDEX($FO$245:$IH$316,$FN174-HO$169,72-HO$169+SwaptionMonthsToGo+SwaptionShift))/SQRT(SUM(INDEX($FO329:$IH329,1+SwaptionShift):INDEX($FO329:$IH329,SwaptionMonthsToGo+SwaptionShift))*SUM(INDEX($FO$325:$IH$396,HO$169,1+SwaptionShift):INDEX($FO$325:$IH$396,HO$169,SwaptionMonthsToGo+SwaptionShift))))))</f>
        <v/>
      </c>
      <c r="HP174" s="469" t="str">
        <f ca="1">IF(OR(HP$169&lt;SwaptionFirstMonthPosition+1,$FN174&lt;SwaptionFirstMonthPosition+1,HP$169&gt;SwaptionFirstMonthPosition+SwaptionNumOfMonths+1,$FN174&gt;SwaptionFirstMonthPosition+SwaptionNumOfMonths+1),"",IF($FN174=HP$169,1,IF($FN174&lt;HP$169,INDEX($FO$170:$IH$241,HP$169,$FN174),SUMPRODUCT(INDEX($FO$325:$IH$396,HP$169,1+SwaptionShift):INDEX($FO$325:$IH$396,HP$169,SwaptionMonthsToGo+SwaptionShift),INDEX($FO$245:$IH$316,$FN174-HP$169,73-HP$169+SwaptionShift):INDEX($FO$245:$IH$316,$FN174-HP$169,72-HP$169+SwaptionMonthsToGo+SwaptionShift))/SQRT(SUM(INDEX($FO329:$IH329,1+SwaptionShift):INDEX($FO329:$IH329,SwaptionMonthsToGo+SwaptionShift))*SUM(INDEX($FO$325:$IH$396,HP$169,1+SwaptionShift):INDEX($FO$325:$IH$396,HP$169,SwaptionMonthsToGo+SwaptionShift))))))</f>
        <v/>
      </c>
      <c r="HQ174" s="469" t="str">
        <f ca="1">IF(OR(HQ$169&lt;SwaptionFirstMonthPosition+1,$FN174&lt;SwaptionFirstMonthPosition+1,HQ$169&gt;SwaptionFirstMonthPosition+SwaptionNumOfMonths+1,$FN174&gt;SwaptionFirstMonthPosition+SwaptionNumOfMonths+1),"",IF($FN174=HQ$169,1,IF($FN174&lt;HQ$169,INDEX($FO$170:$IH$241,HQ$169,$FN174),SUMPRODUCT(INDEX($FO$325:$IH$396,HQ$169,1+SwaptionShift):INDEX($FO$325:$IH$396,HQ$169,SwaptionMonthsToGo+SwaptionShift),INDEX($FO$245:$IH$316,$FN174-HQ$169,73-HQ$169+SwaptionShift):INDEX($FO$245:$IH$316,$FN174-HQ$169,72-HQ$169+SwaptionMonthsToGo+SwaptionShift))/SQRT(SUM(INDEX($FO329:$IH329,1+SwaptionShift):INDEX($FO329:$IH329,SwaptionMonthsToGo+SwaptionShift))*SUM(INDEX($FO$325:$IH$396,HQ$169,1+SwaptionShift):INDEX($FO$325:$IH$396,HQ$169,SwaptionMonthsToGo+SwaptionShift))))))</f>
        <v/>
      </c>
      <c r="HR174" s="469" t="str">
        <f ca="1">IF(OR(HR$169&lt;SwaptionFirstMonthPosition+1,$FN174&lt;SwaptionFirstMonthPosition+1,HR$169&gt;SwaptionFirstMonthPosition+SwaptionNumOfMonths+1,$FN174&gt;SwaptionFirstMonthPosition+SwaptionNumOfMonths+1),"",IF($FN174=HR$169,1,IF($FN174&lt;HR$169,INDEX($FO$170:$IH$241,HR$169,$FN174),SUMPRODUCT(INDEX($FO$325:$IH$396,HR$169,1+SwaptionShift):INDEX($FO$325:$IH$396,HR$169,SwaptionMonthsToGo+SwaptionShift),INDEX($FO$245:$IH$316,$FN174-HR$169,73-HR$169+SwaptionShift):INDEX($FO$245:$IH$316,$FN174-HR$169,72-HR$169+SwaptionMonthsToGo+SwaptionShift))/SQRT(SUM(INDEX($FO329:$IH329,1+SwaptionShift):INDEX($FO329:$IH329,SwaptionMonthsToGo+SwaptionShift))*SUM(INDEX($FO$325:$IH$396,HR$169,1+SwaptionShift):INDEX($FO$325:$IH$396,HR$169,SwaptionMonthsToGo+SwaptionShift))))))</f>
        <v/>
      </c>
      <c r="HS174" s="469" t="str">
        <f ca="1">IF(OR(HS$169&lt;SwaptionFirstMonthPosition+1,$FN174&lt;SwaptionFirstMonthPosition+1,HS$169&gt;SwaptionFirstMonthPosition+SwaptionNumOfMonths+1,$FN174&gt;SwaptionFirstMonthPosition+SwaptionNumOfMonths+1),"",IF($FN174=HS$169,1,IF($FN174&lt;HS$169,INDEX($FO$170:$IH$241,HS$169,$FN174),SUMPRODUCT(INDEX($FO$325:$IH$396,HS$169,1+SwaptionShift):INDEX($FO$325:$IH$396,HS$169,SwaptionMonthsToGo+SwaptionShift),INDEX($FO$245:$IH$316,$FN174-HS$169,73-HS$169+SwaptionShift):INDEX($FO$245:$IH$316,$FN174-HS$169,72-HS$169+SwaptionMonthsToGo+SwaptionShift))/SQRT(SUM(INDEX($FO329:$IH329,1+SwaptionShift):INDEX($FO329:$IH329,SwaptionMonthsToGo+SwaptionShift))*SUM(INDEX($FO$325:$IH$396,HS$169,1+SwaptionShift):INDEX($FO$325:$IH$396,HS$169,SwaptionMonthsToGo+SwaptionShift))))))</f>
        <v/>
      </c>
      <c r="HT174" s="469" t="str">
        <f ca="1">IF(OR(HT$169&lt;SwaptionFirstMonthPosition+1,$FN174&lt;SwaptionFirstMonthPosition+1,HT$169&gt;SwaptionFirstMonthPosition+SwaptionNumOfMonths+1,$FN174&gt;SwaptionFirstMonthPosition+SwaptionNumOfMonths+1),"",IF($FN174=HT$169,1,IF($FN174&lt;HT$169,INDEX($FO$170:$IH$241,HT$169,$FN174),SUMPRODUCT(INDEX($FO$325:$IH$396,HT$169,1+SwaptionShift):INDEX($FO$325:$IH$396,HT$169,SwaptionMonthsToGo+SwaptionShift),INDEX($FO$245:$IH$316,$FN174-HT$169,73-HT$169+SwaptionShift):INDEX($FO$245:$IH$316,$FN174-HT$169,72-HT$169+SwaptionMonthsToGo+SwaptionShift))/SQRT(SUM(INDEX($FO329:$IH329,1+SwaptionShift):INDEX($FO329:$IH329,SwaptionMonthsToGo+SwaptionShift))*SUM(INDEX($FO$325:$IH$396,HT$169,1+SwaptionShift):INDEX($FO$325:$IH$396,HT$169,SwaptionMonthsToGo+SwaptionShift))))))</f>
        <v/>
      </c>
      <c r="HU174" s="469" t="str">
        <f ca="1">IF(OR(HU$169&lt;SwaptionFirstMonthPosition+1,$FN174&lt;SwaptionFirstMonthPosition+1,HU$169&gt;SwaptionFirstMonthPosition+SwaptionNumOfMonths+1,$FN174&gt;SwaptionFirstMonthPosition+SwaptionNumOfMonths+1),"",IF($FN174=HU$169,1,IF($FN174&lt;HU$169,INDEX($FO$170:$IH$241,HU$169,$FN174),SUMPRODUCT(INDEX($FO$325:$IH$396,HU$169,1+SwaptionShift):INDEX($FO$325:$IH$396,HU$169,SwaptionMonthsToGo+SwaptionShift),INDEX($FO$245:$IH$316,$FN174-HU$169,73-HU$169+SwaptionShift):INDEX($FO$245:$IH$316,$FN174-HU$169,72-HU$169+SwaptionMonthsToGo+SwaptionShift))/SQRT(SUM(INDEX($FO329:$IH329,1+SwaptionShift):INDEX($FO329:$IH329,SwaptionMonthsToGo+SwaptionShift))*SUM(INDEX($FO$325:$IH$396,HU$169,1+SwaptionShift):INDEX($FO$325:$IH$396,HU$169,SwaptionMonthsToGo+SwaptionShift))))))</f>
        <v/>
      </c>
      <c r="HV174" s="469" t="str">
        <f ca="1">IF(OR(HV$169&lt;SwaptionFirstMonthPosition+1,$FN174&lt;SwaptionFirstMonthPosition+1,HV$169&gt;SwaptionFirstMonthPosition+SwaptionNumOfMonths+1,$FN174&gt;SwaptionFirstMonthPosition+SwaptionNumOfMonths+1),"",IF($FN174=HV$169,1,IF($FN174&lt;HV$169,INDEX($FO$170:$IH$241,HV$169,$FN174),SUMPRODUCT(INDEX($FO$325:$IH$396,HV$169,1+SwaptionShift):INDEX($FO$325:$IH$396,HV$169,SwaptionMonthsToGo+SwaptionShift),INDEX($FO$245:$IH$316,$FN174-HV$169,73-HV$169+SwaptionShift):INDEX($FO$245:$IH$316,$FN174-HV$169,72-HV$169+SwaptionMonthsToGo+SwaptionShift))/SQRT(SUM(INDEX($FO329:$IH329,1+SwaptionShift):INDEX($FO329:$IH329,SwaptionMonthsToGo+SwaptionShift))*SUM(INDEX($FO$325:$IH$396,HV$169,1+SwaptionShift):INDEX($FO$325:$IH$396,HV$169,SwaptionMonthsToGo+SwaptionShift))))))</f>
        <v/>
      </c>
      <c r="HW174" s="469" t="str">
        <f ca="1">IF(OR(HW$169&lt;SwaptionFirstMonthPosition+1,$FN174&lt;SwaptionFirstMonthPosition+1,HW$169&gt;SwaptionFirstMonthPosition+SwaptionNumOfMonths+1,$FN174&gt;SwaptionFirstMonthPosition+SwaptionNumOfMonths+1),"",IF($FN174=HW$169,1,IF($FN174&lt;HW$169,INDEX($FO$170:$IH$241,HW$169,$FN174),SUMPRODUCT(INDEX($FO$325:$IH$396,HW$169,1+SwaptionShift):INDEX($FO$325:$IH$396,HW$169,SwaptionMonthsToGo+SwaptionShift),INDEX($FO$245:$IH$316,$FN174-HW$169,73-HW$169+SwaptionShift):INDEX($FO$245:$IH$316,$FN174-HW$169,72-HW$169+SwaptionMonthsToGo+SwaptionShift))/SQRT(SUM(INDEX($FO329:$IH329,1+SwaptionShift):INDEX($FO329:$IH329,SwaptionMonthsToGo+SwaptionShift))*SUM(INDEX($FO$325:$IH$396,HW$169,1+SwaptionShift):INDEX($FO$325:$IH$396,HW$169,SwaptionMonthsToGo+SwaptionShift))))))</f>
        <v/>
      </c>
      <c r="HX174" s="469" t="str">
        <f ca="1">IF(OR(HX$169&lt;SwaptionFirstMonthPosition+1,$FN174&lt;SwaptionFirstMonthPosition+1,HX$169&gt;SwaptionFirstMonthPosition+SwaptionNumOfMonths+1,$FN174&gt;SwaptionFirstMonthPosition+SwaptionNumOfMonths+1),"",IF($FN174=HX$169,1,IF($FN174&lt;HX$169,INDEX($FO$170:$IH$241,HX$169,$FN174),SUMPRODUCT(INDEX($FO$325:$IH$396,HX$169,1+SwaptionShift):INDEX($FO$325:$IH$396,HX$169,SwaptionMonthsToGo+SwaptionShift),INDEX($FO$245:$IH$316,$FN174-HX$169,73-HX$169+SwaptionShift):INDEX($FO$245:$IH$316,$FN174-HX$169,72-HX$169+SwaptionMonthsToGo+SwaptionShift))/SQRT(SUM(INDEX($FO329:$IH329,1+SwaptionShift):INDEX($FO329:$IH329,SwaptionMonthsToGo+SwaptionShift))*SUM(INDEX($FO$325:$IH$396,HX$169,1+SwaptionShift):INDEX($FO$325:$IH$396,HX$169,SwaptionMonthsToGo+SwaptionShift))))))</f>
        <v/>
      </c>
      <c r="HY174" s="469" t="str">
        <f ca="1">IF(OR(HY$169&lt;SwaptionFirstMonthPosition+1,$FN174&lt;SwaptionFirstMonthPosition+1,HY$169&gt;SwaptionFirstMonthPosition+SwaptionNumOfMonths+1,$FN174&gt;SwaptionFirstMonthPosition+SwaptionNumOfMonths+1),"",IF($FN174=HY$169,1,IF($FN174&lt;HY$169,INDEX($FO$170:$IH$241,HY$169,$FN174),SUMPRODUCT(INDEX($FO$325:$IH$396,HY$169,1+SwaptionShift):INDEX($FO$325:$IH$396,HY$169,SwaptionMonthsToGo+SwaptionShift),INDEX($FO$245:$IH$316,$FN174-HY$169,73-HY$169+SwaptionShift):INDEX($FO$245:$IH$316,$FN174-HY$169,72-HY$169+SwaptionMonthsToGo+SwaptionShift))/SQRT(SUM(INDEX($FO329:$IH329,1+SwaptionShift):INDEX($FO329:$IH329,SwaptionMonthsToGo+SwaptionShift))*SUM(INDEX($FO$325:$IH$396,HY$169,1+SwaptionShift):INDEX($FO$325:$IH$396,HY$169,SwaptionMonthsToGo+SwaptionShift))))))</f>
        <v/>
      </c>
      <c r="HZ174" s="469" t="str">
        <f ca="1">IF(OR(HZ$169&lt;SwaptionFirstMonthPosition+1,$FN174&lt;SwaptionFirstMonthPosition+1,HZ$169&gt;SwaptionFirstMonthPosition+SwaptionNumOfMonths+1,$FN174&gt;SwaptionFirstMonthPosition+SwaptionNumOfMonths+1),"",IF($FN174=HZ$169,1,IF($FN174&lt;HZ$169,INDEX($FO$170:$IH$241,HZ$169,$FN174),SUMPRODUCT(INDEX($FO$325:$IH$396,HZ$169,1+SwaptionShift):INDEX($FO$325:$IH$396,HZ$169,SwaptionMonthsToGo+SwaptionShift),INDEX($FO$245:$IH$316,$FN174-HZ$169,73-HZ$169+SwaptionShift):INDEX($FO$245:$IH$316,$FN174-HZ$169,72-HZ$169+SwaptionMonthsToGo+SwaptionShift))/SQRT(SUM(INDEX($FO329:$IH329,1+SwaptionShift):INDEX($FO329:$IH329,SwaptionMonthsToGo+SwaptionShift))*SUM(INDEX($FO$325:$IH$396,HZ$169,1+SwaptionShift):INDEX($FO$325:$IH$396,HZ$169,SwaptionMonthsToGo+SwaptionShift))))))</f>
        <v/>
      </c>
      <c r="IA174" s="469" t="str">
        <f ca="1">IF(OR(IA$169&lt;SwaptionFirstMonthPosition+1,$FN174&lt;SwaptionFirstMonthPosition+1,IA$169&gt;SwaptionFirstMonthPosition+SwaptionNumOfMonths+1,$FN174&gt;SwaptionFirstMonthPosition+SwaptionNumOfMonths+1),"",IF($FN174=IA$169,1,IF($FN174&lt;IA$169,INDEX($FO$170:$IH$241,IA$169,$FN174),SUMPRODUCT(INDEX($FO$325:$IH$396,IA$169,1+SwaptionShift):INDEX($FO$325:$IH$396,IA$169,SwaptionMonthsToGo+SwaptionShift),INDEX($FO$245:$IH$316,$FN174-IA$169,73-IA$169+SwaptionShift):INDEX($FO$245:$IH$316,$FN174-IA$169,72-IA$169+SwaptionMonthsToGo+SwaptionShift))/SQRT(SUM(INDEX($FO329:$IH329,1+SwaptionShift):INDEX($FO329:$IH329,SwaptionMonthsToGo+SwaptionShift))*SUM(INDEX($FO$325:$IH$396,IA$169,1+SwaptionShift):INDEX($FO$325:$IH$396,IA$169,SwaptionMonthsToGo+SwaptionShift))))))</f>
        <v/>
      </c>
      <c r="IB174" s="469" t="str">
        <f ca="1">IF(OR(IB$169&lt;SwaptionFirstMonthPosition+1,$FN174&lt;SwaptionFirstMonthPosition+1,IB$169&gt;SwaptionFirstMonthPosition+SwaptionNumOfMonths+1,$FN174&gt;SwaptionFirstMonthPosition+SwaptionNumOfMonths+1),"",IF($FN174=IB$169,1,IF($FN174&lt;IB$169,INDEX($FO$170:$IH$241,IB$169,$FN174),SUMPRODUCT(INDEX($FO$325:$IH$396,IB$169,1+SwaptionShift):INDEX($FO$325:$IH$396,IB$169,SwaptionMonthsToGo+SwaptionShift),INDEX($FO$245:$IH$316,$FN174-IB$169,73-IB$169+SwaptionShift):INDEX($FO$245:$IH$316,$FN174-IB$169,72-IB$169+SwaptionMonthsToGo+SwaptionShift))/SQRT(SUM(INDEX($FO329:$IH329,1+SwaptionShift):INDEX($FO329:$IH329,SwaptionMonthsToGo+SwaptionShift))*SUM(INDEX($FO$325:$IH$396,IB$169,1+SwaptionShift):INDEX($FO$325:$IH$396,IB$169,SwaptionMonthsToGo+SwaptionShift))))))</f>
        <v/>
      </c>
      <c r="IC174" s="469" t="str">
        <f ca="1">IF(OR(IC$169&lt;SwaptionFirstMonthPosition+1,$FN174&lt;SwaptionFirstMonthPosition+1,IC$169&gt;SwaptionFirstMonthPosition+SwaptionNumOfMonths+1,$FN174&gt;SwaptionFirstMonthPosition+SwaptionNumOfMonths+1),"",IF($FN174=IC$169,1,IF($FN174&lt;IC$169,INDEX($FO$170:$IH$241,IC$169,$FN174),SUMPRODUCT(INDEX($FO$325:$IH$396,IC$169,1+SwaptionShift):INDEX($FO$325:$IH$396,IC$169,SwaptionMonthsToGo+SwaptionShift),INDEX($FO$245:$IH$316,$FN174-IC$169,73-IC$169+SwaptionShift):INDEX($FO$245:$IH$316,$FN174-IC$169,72-IC$169+SwaptionMonthsToGo+SwaptionShift))/SQRT(SUM(INDEX($FO329:$IH329,1+SwaptionShift):INDEX($FO329:$IH329,SwaptionMonthsToGo+SwaptionShift))*SUM(INDEX($FO$325:$IH$396,IC$169,1+SwaptionShift):INDEX($FO$325:$IH$396,IC$169,SwaptionMonthsToGo+SwaptionShift))))))</f>
        <v/>
      </c>
      <c r="ID174" s="469" t="str">
        <f ca="1">IF(OR(ID$169&lt;SwaptionFirstMonthPosition+1,$FN174&lt;SwaptionFirstMonthPosition+1,ID$169&gt;SwaptionFirstMonthPosition+SwaptionNumOfMonths+1,$FN174&gt;SwaptionFirstMonthPosition+SwaptionNumOfMonths+1),"",IF($FN174=ID$169,1,IF($FN174&lt;ID$169,INDEX($FO$170:$IH$241,ID$169,$FN174),SUMPRODUCT(INDEX($FO$325:$IH$396,ID$169,1+SwaptionShift):INDEX($FO$325:$IH$396,ID$169,SwaptionMonthsToGo+SwaptionShift),INDEX($FO$245:$IH$316,$FN174-ID$169,73-ID$169+SwaptionShift):INDEX($FO$245:$IH$316,$FN174-ID$169,72-ID$169+SwaptionMonthsToGo+SwaptionShift))/SQRT(SUM(INDEX($FO329:$IH329,1+SwaptionShift):INDEX($FO329:$IH329,SwaptionMonthsToGo+SwaptionShift))*SUM(INDEX($FO$325:$IH$396,ID$169,1+SwaptionShift):INDEX($FO$325:$IH$396,ID$169,SwaptionMonthsToGo+SwaptionShift))))))</f>
        <v/>
      </c>
      <c r="IE174" s="469" t="str">
        <f ca="1">IF(OR(IE$169&lt;SwaptionFirstMonthPosition+1,$FN174&lt;SwaptionFirstMonthPosition+1,IE$169&gt;SwaptionFirstMonthPosition+SwaptionNumOfMonths+1,$FN174&gt;SwaptionFirstMonthPosition+SwaptionNumOfMonths+1),"",IF($FN174=IE$169,1,IF($FN174&lt;IE$169,INDEX($FO$170:$IH$241,IE$169,$FN174),SUMPRODUCT(INDEX($FO$325:$IH$396,IE$169,1+SwaptionShift):INDEX($FO$325:$IH$396,IE$169,SwaptionMonthsToGo+SwaptionShift),INDEX($FO$245:$IH$316,$FN174-IE$169,73-IE$169+SwaptionShift):INDEX($FO$245:$IH$316,$FN174-IE$169,72-IE$169+SwaptionMonthsToGo+SwaptionShift))/SQRT(SUM(INDEX($FO329:$IH329,1+SwaptionShift):INDEX($FO329:$IH329,SwaptionMonthsToGo+SwaptionShift))*SUM(INDEX($FO$325:$IH$396,IE$169,1+SwaptionShift):INDEX($FO$325:$IH$396,IE$169,SwaptionMonthsToGo+SwaptionShift))))))</f>
        <v/>
      </c>
      <c r="IF174" s="469" t="str">
        <f ca="1">IF(OR(IF$169&lt;SwaptionFirstMonthPosition+1,$FN174&lt;SwaptionFirstMonthPosition+1,IF$169&gt;SwaptionFirstMonthPosition+SwaptionNumOfMonths+1,$FN174&gt;SwaptionFirstMonthPosition+SwaptionNumOfMonths+1),"",IF($FN174=IF$169,1,IF($FN174&lt;IF$169,INDEX($FO$170:$IH$241,IF$169,$FN174),SUMPRODUCT(INDEX($FO$325:$IH$396,IF$169,1+SwaptionShift):INDEX($FO$325:$IH$396,IF$169,SwaptionMonthsToGo+SwaptionShift),INDEX($FO$245:$IH$316,$FN174-IF$169,73-IF$169+SwaptionShift):INDEX($FO$245:$IH$316,$FN174-IF$169,72-IF$169+SwaptionMonthsToGo+SwaptionShift))/SQRT(SUM(INDEX($FO329:$IH329,1+SwaptionShift):INDEX($FO329:$IH329,SwaptionMonthsToGo+SwaptionShift))*SUM(INDEX($FO$325:$IH$396,IF$169,1+SwaptionShift):INDEX($FO$325:$IH$396,IF$169,SwaptionMonthsToGo+SwaptionShift))))))</f>
        <v/>
      </c>
      <c r="IG174" s="469" t="str">
        <f ca="1">IF(OR(IG$169&lt;SwaptionFirstMonthPosition+1,$FN174&lt;SwaptionFirstMonthPosition+1,IG$169&gt;SwaptionFirstMonthPosition+SwaptionNumOfMonths+1,$FN174&gt;SwaptionFirstMonthPosition+SwaptionNumOfMonths+1),"",IF($FN174=IG$169,1,IF($FN174&lt;IG$169,INDEX($FO$170:$IH$241,IG$169,$FN174),SUMPRODUCT(INDEX($FO$325:$IH$396,IG$169,1+SwaptionShift):INDEX($FO$325:$IH$396,IG$169,SwaptionMonthsToGo+SwaptionShift),INDEX($FO$245:$IH$316,$FN174-IG$169,73-IG$169+SwaptionShift):INDEX($FO$245:$IH$316,$FN174-IG$169,72-IG$169+SwaptionMonthsToGo+SwaptionShift))/SQRT(SUM(INDEX($FO329:$IH329,1+SwaptionShift):INDEX($FO329:$IH329,SwaptionMonthsToGo+SwaptionShift))*SUM(INDEX($FO$325:$IH$396,IG$169,1+SwaptionShift):INDEX($FO$325:$IH$396,IG$169,SwaptionMonthsToGo+SwaptionShift))))))</f>
        <v/>
      </c>
      <c r="IH174" s="662" t="str">
        <f ca="1">IF(OR(IH$169&lt;SwaptionFirstMonthPosition+1,$FN174&lt;SwaptionFirstMonthPosition+1,IH$169&gt;SwaptionFirstMonthPosition+SwaptionNumOfMonths+1,$FN174&gt;SwaptionFirstMonthPosition+SwaptionNumOfMonths+1),"",IF($FN174=IH$169,1,IF($FN174&lt;IH$169,INDEX($FO$170:$IH$241,IH$169,$FN174),SUMPRODUCT(INDEX($FO$325:$IH$396,IH$169,1+SwaptionShift):INDEX($FO$325:$IH$396,IH$169,SwaptionMonthsToGo+SwaptionShift),INDEX($FO$245:$IH$316,$FN174-IH$169,73-IH$169+SwaptionShift):INDEX($FO$245:$IH$316,$FN174-IH$169,72-IH$169+SwaptionMonthsToGo+SwaptionShift))/SQRT(SUM(INDEX($FO329:$IH329,1+SwaptionShift):INDEX($FO329:$IH329,SwaptionMonthsToGo+SwaptionShift))*SUM(INDEX($FO$325:$IH$396,IH$169,1+SwaptionShift):INDEX($FO$325:$IH$396,IH$169,SwaptionMonthsToGo+SwaptionShift))))))</f>
        <v/>
      </c>
      <c r="II174" s="242"/>
    </row>
    <row r="175" spans="8:243">
      <c r="H175" s="49" t="e">
        <f t="shared" ca="1" si="529"/>
        <v>#N/A</v>
      </c>
      <c r="I175" s="369">
        <f t="shared" si="530"/>
        <v>41730</v>
      </c>
      <c r="J175" s="367">
        <v>23.259999999999902</v>
      </c>
      <c r="K175" s="101" t="s">
        <v>267</v>
      </c>
      <c r="L175" s="382">
        <f t="shared" si="531"/>
        <v>23.259999999999909</v>
      </c>
      <c r="M175" s="163">
        <v>0.14910000000000001</v>
      </c>
      <c r="N175" s="372">
        <v>0</v>
      </c>
      <c r="O175" s="163">
        <f t="shared" si="488"/>
        <v>0.14910000000000001</v>
      </c>
      <c r="P175" s="367">
        <v>22.023688969932699</v>
      </c>
      <c r="Q175" s="101" t="s">
        <v>267</v>
      </c>
      <c r="R175" s="367">
        <f t="shared" ca="1" si="549"/>
        <v>22.02368896993266</v>
      </c>
      <c r="S175" s="814">
        <f t="shared" si="474"/>
        <v>0.35063628516145118</v>
      </c>
      <c r="T175" s="813">
        <f t="shared" si="550"/>
        <v>0.99999999369007309</v>
      </c>
      <c r="U175" s="532">
        <f t="shared" si="551"/>
        <v>0.99999999999999978</v>
      </c>
      <c r="V175" s="379">
        <v>0</v>
      </c>
      <c r="W175" s="424">
        <f t="shared" si="489"/>
        <v>23.294090909090809</v>
      </c>
      <c r="X175" s="405">
        <f t="shared" si="490"/>
        <v>23.294090909090816</v>
      </c>
      <c r="Y175" s="313">
        <f t="shared" si="491"/>
        <v>21.950090909090807</v>
      </c>
      <c r="Z175" s="313">
        <f t="shared" ca="1" si="492"/>
        <v>21.950090909090815</v>
      </c>
      <c r="AA175" s="419">
        <f t="shared" si="493"/>
        <v>1.3440000000000001</v>
      </c>
      <c r="AB175" s="423">
        <f t="shared" ca="1" si="494"/>
        <v>1.3440000000000001</v>
      </c>
      <c r="AC175" s="221">
        <v>41718</v>
      </c>
      <c r="AD175" s="221">
        <v>41714</v>
      </c>
      <c r="AE175" s="221">
        <v>41713</v>
      </c>
      <c r="AF175" s="221">
        <v>41709</v>
      </c>
      <c r="AG175" s="241" t="s">
        <v>497</v>
      </c>
      <c r="AH175" s="239" t="s">
        <v>497</v>
      </c>
      <c r="AI175" s="141">
        <v>22</v>
      </c>
      <c r="AJ175" s="41">
        <v>14</v>
      </c>
      <c r="AK175" s="41">
        <v>8</v>
      </c>
      <c r="AL175" s="285">
        <v>22</v>
      </c>
      <c r="AM175" s="41">
        <v>10</v>
      </c>
      <c r="AN175" s="142">
        <v>12</v>
      </c>
      <c r="AO175" s="364">
        <v>6.0878858361157501E-2</v>
      </c>
      <c r="AP175" s="145">
        <f t="shared" ca="1" si="532"/>
        <v>0.45702104510759112</v>
      </c>
      <c r="AQ175" s="364">
        <v>5.37364237381679E-2</v>
      </c>
      <c r="AR175" s="145">
        <f t="shared" ca="1" si="552"/>
        <v>0.50367052061557771</v>
      </c>
      <c r="AS175" s="264">
        <f t="shared" si="495"/>
        <v>0.14855454545454547</v>
      </c>
      <c r="AT175" s="149">
        <f t="shared" si="533"/>
        <v>0.14910000000000001</v>
      </c>
      <c r="AU175" s="149">
        <f t="shared" si="496"/>
        <v>0.14848181818181819</v>
      </c>
      <c r="AV175" s="263">
        <f t="shared" ca="1" si="560"/>
        <v>0.14707241311940272</v>
      </c>
      <c r="AW175" s="150" t="str">
        <f t="shared" ca="1" si="497"/>
        <v/>
      </c>
      <c r="AX175" s="149">
        <f t="shared" ca="1" si="553"/>
        <v>7.2941254404308101E-3</v>
      </c>
      <c r="AY175" s="149">
        <f t="shared" ca="1" si="554"/>
        <v>2.6494858132034538E-3</v>
      </c>
      <c r="AZ175" s="149">
        <f t="shared" ca="1" si="555"/>
        <v>2.4515646447630861E-3</v>
      </c>
      <c r="BA175" s="149">
        <f t="shared" ca="1" si="556"/>
        <v>1.0000000000000724E-4</v>
      </c>
      <c r="BB175" s="149">
        <f t="shared" ca="1" si="557"/>
        <v>1.0000000000000724E-4</v>
      </c>
      <c r="BC175" s="149">
        <f t="shared" ca="1" si="558"/>
        <v>1.0000000000000724E-4</v>
      </c>
      <c r="BD175" s="143">
        <f t="shared" ca="1" si="498"/>
        <v>0</v>
      </c>
      <c r="BE175" s="144">
        <f t="shared" ca="1" si="499"/>
        <v>0</v>
      </c>
      <c r="BF175" s="40">
        <f t="shared" si="500"/>
        <v>2014</v>
      </c>
      <c r="BG175" s="139">
        <f t="shared" si="501"/>
        <v>4</v>
      </c>
      <c r="BH175" s="140">
        <f t="shared" ca="1" si="502"/>
        <v>4724</v>
      </c>
      <c r="BI175" s="304">
        <f t="shared" ca="1" si="570"/>
        <v>12.97741273100616</v>
      </c>
      <c r="BJ175" s="42">
        <f t="shared" ca="1" si="503"/>
        <v>13.027938522805051</v>
      </c>
      <c r="BK175" s="42">
        <f t="shared" ca="1" si="504"/>
        <v>13.030676373592184</v>
      </c>
      <c r="BL175" s="42">
        <f t="shared" ca="1" si="571"/>
        <v>13.056810403832991</v>
      </c>
      <c r="BM175" s="285">
        <f t="shared" si="572"/>
        <v>22</v>
      </c>
      <c r="BN175" s="41">
        <f t="shared" si="573"/>
        <v>14</v>
      </c>
      <c r="BO175" s="41">
        <f t="shared" si="574"/>
        <v>8</v>
      </c>
      <c r="BP175" s="297" t="str">
        <f t="shared" ca="1" si="505"/>
        <v/>
      </c>
      <c r="BQ175" s="297" t="str">
        <f t="shared" ca="1" si="506"/>
        <v/>
      </c>
      <c r="BR175" s="299" t="str">
        <f t="shared" ca="1" si="507"/>
        <v/>
      </c>
      <c r="BS175" s="153" t="str">
        <f t="shared" ca="1" si="508"/>
        <v/>
      </c>
      <c r="BT175" s="153" t="str">
        <f t="shared" ca="1" si="509"/>
        <v/>
      </c>
      <c r="BU175" s="300" t="str">
        <f t="shared" ca="1" si="510"/>
        <v/>
      </c>
      <c r="BV175" s="301" t="str">
        <f t="shared" ca="1" si="511"/>
        <v/>
      </c>
      <c r="BW175" s="300" t="str">
        <f t="shared" ca="1" si="512"/>
        <v/>
      </c>
      <c r="BX175" s="301" t="str">
        <f t="shared" ca="1" si="513"/>
        <v/>
      </c>
      <c r="BY175" s="146" t="str">
        <f t="shared" ca="1" si="514"/>
        <v/>
      </c>
      <c r="BZ175" s="146" t="str">
        <f t="shared" ca="1" si="515"/>
        <v/>
      </c>
      <c r="CA175" s="146" t="str">
        <f t="shared" ca="1" si="516"/>
        <v/>
      </c>
      <c r="CB175" s="146" t="str">
        <f t="shared" ca="1" si="517"/>
        <v/>
      </c>
      <c r="CC175" s="302">
        <v>1</v>
      </c>
      <c r="CD175" s="154">
        <f ca="1">IF(BD175,_xll.xCrudeAPO(BS175,BT175,BY175,BZ175,S176,S177,BI175,BL175,BN175,BO175,0,Strike1,AO175,CC175,0,BL175,IF(OptControl=4,0,1),0,1),0)</f>
        <v>0</v>
      </c>
      <c r="CE175" s="155">
        <f ca="1">IF(BD175,_xll.xCrudeAPO(BS175,BT175,BY175,BZ175,S176,S177,BI175,BL175,BN175,BO175,0,Strike1,AO175,CC175,0,BL175,IF(OptControl=4,0,1),1,1)+_xll.xCrudeAPO(BS175,BT175,BY175,BZ175,S176,S177,BI175,BL175,BN175,BO175,0,Strike1,AO175,CC175,0,BL175,IF(OptControl=4,0,1),1,2)+IF(OR(VolSkewFlag=2,ABS(BQ175)&lt;0.0001),0,IF(BQ175&gt;0,-1,1)*CF175*Strike1/BP175^2*BW175/10%),0)</f>
        <v>0</v>
      </c>
      <c r="CF175" s="155">
        <f ca="1">IF(BD175,(_xll.xCrudeAPO(BS175,BT175,BY175,BZ175,S176,S177,BI175,BL175,BN175,BO175,0,Strike1,AO175,CC175,0,BL175,IF(OptControl=4,0,1),3,1)+_xll.xCrudeAPO(BS175,BT175,BY175,BZ175,S176,S177,BI175,BL175,BN175,BO175,0,Strike1,AO175,CC175,0,BL175,IF(OptControl=4,0,1),3,2))/100,0)</f>
        <v>0</v>
      </c>
      <c r="CG175" s="155">
        <f ca="1">IF(BD175,_xll.xCrudeAPO(BS175,BT175,BY175,BZ175,S176,S177,BI175-DaysForThetaCalculation/365.25,BL175-DaysForThetaCalculation/365.25,BN175,BO175,0,Strike1,AO175,CC175,0,BL175,IF(OptControl=4,0,1),0,1)-_xll.xCrudeAPO(BS175,BT175,BY175,BZ175,S176,S177,BI175,BL175,BN175,BO175,0,Strike1,AO175,CC175,0,BL175,IF(OptControl=4,0,1),0,1),0)</f>
        <v>0</v>
      </c>
      <c r="CH175" s="303">
        <f ca="1">IF(BD175,_xll.xCrudeAPO(BS175,BT175,CA175,CB175,S176,S177,BI175,BL175,BN175,BO175,0,Strike2,AO175,CC175,0,BL175,IF(OptControl=3,1,0),0,1),0)</f>
        <v>0</v>
      </c>
      <c r="CI175" s="155">
        <f ca="1">IF(BD175,_xll.xCrudeAPO(BS175,BT175,CA175,CB175,S176,S177,BI175,BL175,BN175,BO175,0,Strike2,AO175,CC175,0,BL175,IF(OptControl=3,1,0),1,1)+_xll.xCrudeAPO(BS175,BT175,CA175,CB175,S176,S177,BI175,BL175,BN175,BO175,0,Strike2,AO175,CC175,0,BL175,IF(OptControl=3,1,0),1,2)+IF(OR(VolSkewFlag=2,ABS(BR175)&lt;0.0001),0,IF(BR175&gt;0,-1,1)*CJ175*Strike2/BP175^2*BX175/10%),0)</f>
        <v>0</v>
      </c>
      <c r="CJ175" s="155">
        <f ca="1">IF(BD175,(_xll.xCrudeAPO(BS175,BT175,CA175,CB175,S176,S177,BI175,BL175,BN175,BO175,0,Strike2,AO175,CC175,0,BL175,IF(OptControl=3,1,0),3,1)+_xll.xCrudeAPO(BS175,BT175,CA175,CB175,S176,S177,BI175,BL175,BN175,BO175,0,Strike2,AO175,CC175,0,BL175,IF(OptControl=3,1,0),3,2))/100,0)</f>
        <v>0</v>
      </c>
      <c r="CK175" s="156">
        <f ca="1">IF(BD175,_xll.xCrudeAPO(BS175,BT175,CA175,CB175,S176,S177,BI175-DaysForThetaCalculation/365.25,BL175-DaysForThetaCalculation/365.25,BN175,BO175,0,Strike2,AO175,CC175,0,BL175,IF(OptControl=3,1,0),0,1)-_xll.xCrudeAPO(BS175,BT175,CA175,CB175,S176,S177,BI175,BL175,BN175,BO175,0,Strike2,AO175,CC175,0,BL175,IF(OptControl=3,1,0),0,1),0)</f>
        <v>0</v>
      </c>
      <c r="CL175" s="51"/>
      <c r="CM175" s="779" t="str">
        <f t="shared" ca="1" si="534"/>
        <v/>
      </c>
      <c r="CN175" s="783" t="str">
        <f t="shared" ca="1" si="535"/>
        <v/>
      </c>
      <c r="CO175" s="780" t="str">
        <f t="shared" ca="1" si="536"/>
        <v/>
      </c>
      <c r="CP175" s="780" t="str">
        <f t="shared" ca="1" si="537"/>
        <v/>
      </c>
      <c r="CQ175" s="780" t="str">
        <f t="shared" ca="1" si="538"/>
        <v/>
      </c>
      <c r="CR175" s="780" t="str">
        <f t="shared" ca="1" si="539"/>
        <v/>
      </c>
      <c r="CS175" s="781" t="str">
        <f t="shared" ca="1" si="540"/>
        <v/>
      </c>
      <c r="CT175" s="782" t="str">
        <f t="shared" ca="1" si="541"/>
        <v/>
      </c>
      <c r="CU175" s="782" t="str">
        <f t="shared" ca="1" si="542"/>
        <v/>
      </c>
      <c r="CV175" s="155">
        <f ca="1">IF(BD175,_xll.EURO(CN175,Strike1,AO175,AO175,CT175,CM175,IF(OptControl=4,0,1),0),0)</f>
        <v>0</v>
      </c>
      <c r="CW175" s="155">
        <f ca="1">IF(BD175,_xll.EURO(CN175,Strike1,AO175,AO175,CT175,CM175,IF(OptControl=4,0,1),1)+IF(OR(VolSkewFlag=2,ABS(CO175)&lt;0.0001),0,IF(CO175&gt;0,-1,1)*CX175*100*Strike1/CN175^2*CQ175/10%),0)</f>
        <v>0</v>
      </c>
      <c r="CX175" s="155">
        <f ca="1">IF(BD175,_xll.EURO(CN175,Strike1,AO175,AO175,CT175,CM175,IF(OptControl=4,0,1),3)/100,0)</f>
        <v>0</v>
      </c>
      <c r="CY175" s="155">
        <f ca="1">IF(BD175,_xll.EURO(CN175,Strike1,AO175,AO175,CT175,CM175,IF(OptControl=4,0,1),0)-_xll.EURO(CN175,Strike1,AO175,AO175,CT175,CM175-1,IF(OptControl=4,0,1),0),0)</f>
        <v>0</v>
      </c>
      <c r="CZ175" s="155">
        <f ca="1">IF(BD175,_xll.EURO(CN175,Strike2,AO175,AO175,CU175,CM175,IF(OptControl=3,1,0),0),0)</f>
        <v>0</v>
      </c>
      <c r="DA175" s="155">
        <f ca="1">IF(BD175,_xll.EURO(CN175,Strike2,AO175,AO175,CU175,CM175,IF(OptControl=3,1,0),1)+IF(OR(VolSkewFlag=2,ABS(CP175)&lt;0.0001),0,IF(CP175&gt;0,-1,1)*DB175*100*Strike2/CN175^2*CR175/10%),0)</f>
        <v>0</v>
      </c>
      <c r="DB175" s="155">
        <f ca="1">IF(BD175,_xll.EURO(CN175,Strike2,AO175,AO175,CU175,CM175,IF(OptControl=3,1,0),3)/100,0)</f>
        <v>0</v>
      </c>
      <c r="DC175" s="156">
        <f ca="1">IF(BD175,_xll.EURO(CN175,Strike2,AO175,AO175,CU175,CM175,IF(OptControl=3,1,0),0)-_xll.EURO(CN175,Strike2,AO175,AO175,CU175,CM175-1,IF(OptControl=3,1,0),0),0)</f>
        <v>0</v>
      </c>
      <c r="DE175" s="651">
        <f t="shared" ca="1" si="543"/>
        <v>41640</v>
      </c>
      <c r="DF175" s="465">
        <v>1E-4</v>
      </c>
      <c r="DG175" s="649">
        <v>1E-4</v>
      </c>
      <c r="DH175" s="650">
        <f t="shared" ca="1" si="518"/>
        <v>41640</v>
      </c>
      <c r="DI175" s="465">
        <v>1E-4</v>
      </c>
      <c r="DJ175" s="649">
        <v>1E-4</v>
      </c>
      <c r="DK175" s="651">
        <f t="shared" ca="1" si="519"/>
        <v>41640</v>
      </c>
      <c r="DL175" s="652">
        <f t="shared" si="520"/>
        <v>5.0100000000000006E-2</v>
      </c>
      <c r="DM175" s="651">
        <f t="shared" ca="1" si="544"/>
        <v>41640</v>
      </c>
      <c r="DN175" s="563">
        <f t="shared" si="545"/>
        <v>-0.12990000000000002</v>
      </c>
      <c r="DO175" s="803">
        <v>-0.13</v>
      </c>
      <c r="DP175" s="650">
        <f t="shared" ca="1" si="521"/>
        <v>41640</v>
      </c>
      <c r="DQ175" s="653">
        <v>1E-4</v>
      </c>
      <c r="DR175" s="590">
        <v>1E-4</v>
      </c>
      <c r="DS175" s="650">
        <f t="shared" ca="1" si="522"/>
        <v>41640</v>
      </c>
      <c r="DT175" s="653">
        <v>1E-4</v>
      </c>
      <c r="DU175" s="590">
        <v>1E-4</v>
      </c>
      <c r="DV175" s="651">
        <f t="shared" ca="1" si="523"/>
        <v>41640</v>
      </c>
      <c r="DW175" s="590">
        <v>1E-4</v>
      </c>
      <c r="DX175" s="651">
        <f t="shared" ca="1" si="546"/>
        <v>41640</v>
      </c>
      <c r="DY175" s="590">
        <f t="shared" si="547"/>
        <v>1E-4</v>
      </c>
      <c r="DZ175" s="1"/>
      <c r="EA175" s="857"/>
      <c r="EB175" s="857"/>
      <c r="EC175" s="857"/>
      <c r="ED175" s="868" t="e">
        <f t="shared" ca="1" si="566"/>
        <v>#NAME?</v>
      </c>
      <c r="EE175" s="863" t="e">
        <f t="shared" ca="1" si="524"/>
        <v>#NAME?</v>
      </c>
      <c r="EF175" s="590" t="e">
        <f t="shared" ca="1" si="525"/>
        <v>#NAME?</v>
      </c>
      <c r="EG175" s="862" t="str">
        <f t="shared" ca="1" si="526"/>
        <v/>
      </c>
      <c r="EH175" s="114" t="str">
        <f t="shared" ca="1" si="527"/>
        <v/>
      </c>
      <c r="EI175" s="109" t="str">
        <f t="shared" ca="1" si="528"/>
        <v/>
      </c>
      <c r="EJ175" s="115">
        <f ca="1">IF(BD175,_xll.xASN(BP175,Strike1,AO175,EH175,0,BM175,0,BI175,BL175,IF(OptControl=4,0,1),0),0)</f>
        <v>0</v>
      </c>
      <c r="EK175" s="108">
        <f ca="1">IF(BD175,_xll.xASN(BP175,Strike2,AO175,EI175,0,BM175,0,BI175,BL175,IF(OptControl=3,1,0),0),0)</f>
        <v>0</v>
      </c>
      <c r="EP175" s="53"/>
      <c r="EQ175" s="1"/>
      <c r="ER175" s="103"/>
      <c r="ES175" s="103"/>
      <c r="ET175" s="1"/>
      <c r="EU175" s="667" t="s">
        <v>387</v>
      </c>
      <c r="EW175" s="445"/>
      <c r="EX175" s="36"/>
      <c r="EY175" s="104"/>
      <c r="EZ175" s="465"/>
      <c r="FA175" s="446"/>
      <c r="FB175" s="446"/>
      <c r="FC175" s="242"/>
      <c r="FD175" s="242"/>
      <c r="FE175" s="242"/>
      <c r="FF175" s="242"/>
      <c r="FG175" s="242"/>
      <c r="FH175" s="242"/>
      <c r="FI175" s="242"/>
      <c r="FJ175" s="242"/>
      <c r="FK175" s="242"/>
      <c r="FL175" s="242"/>
      <c r="FM175" s="242"/>
      <c r="FN175" s="657">
        <v>6</v>
      </c>
      <c r="FO175" s="469" t="str">
        <f ca="1">IF(OR(FO$169&lt;SwaptionFirstMonthPosition+1,$FN175&lt;SwaptionFirstMonthPosition+1,FO$169&gt;SwaptionFirstMonthPosition+SwaptionNumOfMonths+1,$FN175&gt;SwaptionFirstMonthPosition+SwaptionNumOfMonths+1),"",IF($FN175=FO$169,1,IF($FN175&lt;FO$169,INDEX($FO$170:$IH$241,FO$169,$FN175),SUMPRODUCT(INDEX($FO$325:$IH$396,FO$169,1+SwaptionShift):INDEX($FO$325:$IH$396,FO$169,SwaptionMonthsToGo+SwaptionShift),INDEX($FO$245:$IH$316,$FN175-FO$169,73-FO$169+SwaptionShift):INDEX($FO$245:$IH$316,$FN175-FO$169,72-FO$169+SwaptionMonthsToGo+SwaptionShift))/SQRT(SUM(INDEX($FO330:$IH330,1+SwaptionShift):INDEX($FO330:$IH330,SwaptionMonthsToGo+SwaptionShift))*SUM(INDEX($FO$325:$IH$396,FO$169,1+SwaptionShift):INDEX($FO$325:$IH$396,FO$169,SwaptionMonthsToGo+SwaptionShift))))))</f>
        <v/>
      </c>
      <c r="FP175" s="469">
        <f ca="1">IF(OR(FP$169&lt;SwaptionFirstMonthPosition+1,$FN175&lt;SwaptionFirstMonthPosition+1,FP$169&gt;SwaptionFirstMonthPosition+SwaptionNumOfMonths+1,$FN175&gt;SwaptionFirstMonthPosition+SwaptionNumOfMonths+1),"",IF($FN175=FP$169,1,IF($FN175&lt;FP$169,INDEX($FO$170:$IH$241,FP$169,$FN175),SUMPRODUCT(INDEX($FO$325:$IH$396,FP$169,1+SwaptionShift):INDEX($FO$325:$IH$396,FP$169,SwaptionMonthsToGo+SwaptionShift),INDEX($FO$245:$IH$316,$FN175-FP$169,73-FP$169+SwaptionShift):INDEX($FO$245:$IH$316,$FN175-FP$169,72-FP$169+SwaptionMonthsToGo+SwaptionShift))/SQRT(SUM(INDEX($FO330:$IH330,1+SwaptionShift):INDEX($FO330:$IH330,SwaptionMonthsToGo+SwaptionShift))*SUM(INDEX($FO$325:$IH$396,FP$169,1+SwaptionShift):INDEX($FO$325:$IH$396,FP$169,SwaptionMonthsToGo+SwaptionShift))))))</f>
        <v>0.94301103428841015</v>
      </c>
      <c r="FQ175" s="469">
        <f ca="1">IF(OR(FQ$169&lt;SwaptionFirstMonthPosition+1,$FN175&lt;SwaptionFirstMonthPosition+1,FQ$169&gt;SwaptionFirstMonthPosition+SwaptionNumOfMonths+1,$FN175&gt;SwaptionFirstMonthPosition+SwaptionNumOfMonths+1),"",IF($FN175=FQ$169,1,IF($FN175&lt;FQ$169,INDEX($FO$170:$IH$241,FQ$169,$FN175),SUMPRODUCT(INDEX($FO$325:$IH$396,FQ$169,1+SwaptionShift):INDEX($FO$325:$IH$396,FQ$169,SwaptionMonthsToGo+SwaptionShift),INDEX($FO$245:$IH$316,$FN175-FQ$169,73-FQ$169+SwaptionShift):INDEX($FO$245:$IH$316,$FN175-FQ$169,72-FQ$169+SwaptionMonthsToGo+SwaptionShift))/SQRT(SUM(INDEX($FO330:$IH330,1+SwaptionShift):INDEX($FO330:$IH330,SwaptionMonthsToGo+SwaptionShift))*SUM(INDEX($FO$325:$IH$396,FQ$169,1+SwaptionShift):INDEX($FO$325:$IH$396,FQ$169,SwaptionMonthsToGo+SwaptionShift))))))</f>
        <v>0.96132545008523385</v>
      </c>
      <c r="FR175" s="469">
        <f ca="1">IF(OR(FR$169&lt;SwaptionFirstMonthPosition+1,$FN175&lt;SwaptionFirstMonthPosition+1,FR$169&gt;SwaptionFirstMonthPosition+SwaptionNumOfMonths+1,$FN175&gt;SwaptionFirstMonthPosition+SwaptionNumOfMonths+1),"",IF($FN175=FR$169,1,IF($FN175&lt;FR$169,INDEX($FO$170:$IH$241,FR$169,$FN175),SUMPRODUCT(INDEX($FO$325:$IH$396,FR$169,1+SwaptionShift):INDEX($FO$325:$IH$396,FR$169,SwaptionMonthsToGo+SwaptionShift),INDEX($FO$245:$IH$316,$FN175-FR$169,73-FR$169+SwaptionShift):INDEX($FO$245:$IH$316,$FN175-FR$169,72-FR$169+SwaptionMonthsToGo+SwaptionShift))/SQRT(SUM(INDEX($FO330:$IH330,1+SwaptionShift):INDEX($FO330:$IH330,SwaptionMonthsToGo+SwaptionShift))*SUM(INDEX($FO$325:$IH$396,FR$169,1+SwaptionShift):INDEX($FO$325:$IH$396,FR$169,SwaptionMonthsToGo+SwaptionShift))))))</f>
        <v>0.97655775468908868</v>
      </c>
      <c r="FS175" s="469">
        <f ca="1">IF(OR(FS$169&lt;SwaptionFirstMonthPosition+1,$FN175&lt;SwaptionFirstMonthPosition+1,FS$169&gt;SwaptionFirstMonthPosition+SwaptionNumOfMonths+1,$FN175&gt;SwaptionFirstMonthPosition+SwaptionNumOfMonths+1),"",IF($FN175=FS$169,1,IF($FN175&lt;FS$169,INDEX($FO$170:$IH$241,FS$169,$FN175),SUMPRODUCT(INDEX($FO$325:$IH$396,FS$169,1+SwaptionShift):INDEX($FO$325:$IH$396,FS$169,SwaptionMonthsToGo+SwaptionShift),INDEX($FO$245:$IH$316,$FN175-FS$169,73-FS$169+SwaptionShift):INDEX($FO$245:$IH$316,$FN175-FS$169,72-FS$169+SwaptionMonthsToGo+SwaptionShift))/SQRT(SUM(INDEX($FO330:$IH330,1+SwaptionShift):INDEX($FO330:$IH330,SwaptionMonthsToGo+SwaptionShift))*SUM(INDEX($FO$325:$IH$396,FS$169,1+SwaptionShift):INDEX($FO$325:$IH$396,FS$169,SwaptionMonthsToGo+SwaptionShift))))))</f>
        <v>0.98929270492608723</v>
      </c>
      <c r="FT175" s="469">
        <f ca="1">IF(OR(FT$169&lt;SwaptionFirstMonthPosition+1,$FN175&lt;SwaptionFirstMonthPosition+1,FT$169&gt;SwaptionFirstMonthPosition+SwaptionNumOfMonths+1,$FN175&gt;SwaptionFirstMonthPosition+SwaptionNumOfMonths+1),"",IF($FN175=FT$169,1,IF($FN175&lt;FT$169,INDEX($FO$170:$IH$241,FT$169,$FN175),SUMPRODUCT(INDEX($FO$325:$IH$396,FT$169,1+SwaptionShift):INDEX($FO$325:$IH$396,FT$169,SwaptionMonthsToGo+SwaptionShift),INDEX($FO$245:$IH$316,$FN175-FT$169,73-FT$169+SwaptionShift):INDEX($FO$245:$IH$316,$FN175-FT$169,72-FT$169+SwaptionMonthsToGo+SwaptionShift))/SQRT(SUM(INDEX($FO330:$IH330,1+SwaptionShift):INDEX($FO330:$IH330,SwaptionMonthsToGo+SwaptionShift))*SUM(INDEX($FO$325:$IH$396,FT$169,1+SwaptionShift):INDEX($FO$325:$IH$396,FT$169,SwaptionMonthsToGo+SwaptionShift))))))</f>
        <v>1</v>
      </c>
      <c r="FU175" s="469">
        <f ca="1">IF(OR(FU$169&lt;SwaptionFirstMonthPosition+1,$FN175&lt;SwaptionFirstMonthPosition+1,FU$169&gt;SwaptionFirstMonthPosition+SwaptionNumOfMonths+1,$FN175&gt;SwaptionFirstMonthPosition+SwaptionNumOfMonths+1),"",IF($FN175=FU$169,1,IF($FN175&lt;FU$169,INDEX($FO$170:$IH$241,FU$169,$FN175),SUMPRODUCT(INDEX($FO$325:$IH$396,FU$169,1+SwaptionShift):INDEX($FO$325:$IH$396,FU$169,SwaptionMonthsToGo+SwaptionShift),INDEX($FO$245:$IH$316,$FN175-FU$169,73-FU$169+SwaptionShift):INDEX($FO$245:$IH$316,$FN175-FU$169,72-FU$169+SwaptionMonthsToGo+SwaptionShift))/SQRT(SUM(INDEX($FO330:$IH330,1+SwaptionShift):INDEX($FO330:$IH330,SwaptionMonthsToGo+SwaptionShift))*SUM(INDEX($FO$325:$IH$396,FU$169,1+SwaptionShift):INDEX($FO$325:$IH$396,FU$169,SwaptionMonthsToGo+SwaptionShift))))))</f>
        <v>0.99101907757860119</v>
      </c>
      <c r="FV175" s="469">
        <f ca="1">IF(OR(FV$169&lt;SwaptionFirstMonthPosition+1,$FN175&lt;SwaptionFirstMonthPosition+1,FV$169&gt;SwaptionFirstMonthPosition+SwaptionNumOfMonths+1,$FN175&gt;SwaptionFirstMonthPosition+SwaptionNumOfMonths+1),"",IF($FN175=FV$169,1,IF($FN175&lt;FV$169,INDEX($FO$170:$IH$241,FV$169,$FN175),SUMPRODUCT(INDEX($FO$325:$IH$396,FV$169,1+SwaptionShift):INDEX($FO$325:$IH$396,FV$169,SwaptionMonthsToGo+SwaptionShift),INDEX($FO$245:$IH$316,$FN175-FV$169,73-FV$169+SwaptionShift):INDEX($FO$245:$IH$316,$FN175-FV$169,72-FV$169+SwaptionMonthsToGo+SwaptionShift))/SQRT(SUM(INDEX($FO330:$IH330,1+SwaptionShift):INDEX($FO330:$IH330,SwaptionMonthsToGo+SwaptionShift))*SUM(INDEX($FO$325:$IH$396,FV$169,1+SwaptionShift):INDEX($FO$325:$IH$396,FV$169,SwaptionMonthsToGo+SwaptionShift))))))</f>
        <v>0.98349299978049631</v>
      </c>
      <c r="FW175" s="469">
        <f ca="1">IF(OR(FW$169&lt;SwaptionFirstMonthPosition+1,$FN175&lt;SwaptionFirstMonthPosition+1,FW$169&gt;SwaptionFirstMonthPosition+SwaptionNumOfMonths+1,$FN175&gt;SwaptionFirstMonthPosition+SwaptionNumOfMonths+1),"",IF($FN175=FW$169,1,IF($FN175&lt;FW$169,INDEX($FO$170:$IH$241,FW$169,$FN175),SUMPRODUCT(INDEX($FO$325:$IH$396,FW$169,1+SwaptionShift):INDEX($FO$325:$IH$396,FW$169,SwaptionMonthsToGo+SwaptionShift),INDEX($FO$245:$IH$316,$FN175-FW$169,73-FW$169+SwaptionShift):INDEX($FO$245:$IH$316,$FN175-FW$169,72-FW$169+SwaptionMonthsToGo+SwaptionShift))/SQRT(SUM(INDEX($FO330:$IH330,1+SwaptionShift):INDEX($FO330:$IH330,SwaptionMonthsToGo+SwaptionShift))*SUM(INDEX($FO$325:$IH$396,FW$169,1+SwaptionShift):INDEX($FO$325:$IH$396,FW$169,SwaptionMonthsToGo+SwaptionShift))))))</f>
        <v>0.97713350233327001</v>
      </c>
      <c r="FX175" s="469">
        <f ca="1">IF(OR(FX$169&lt;SwaptionFirstMonthPosition+1,$FN175&lt;SwaptionFirstMonthPosition+1,FX$169&gt;SwaptionFirstMonthPosition+SwaptionNumOfMonths+1,$FN175&gt;SwaptionFirstMonthPosition+SwaptionNumOfMonths+1),"",IF($FN175=FX$169,1,IF($FN175&lt;FX$169,INDEX($FO$170:$IH$241,FX$169,$FN175),SUMPRODUCT(INDEX($FO$325:$IH$396,FX$169,1+SwaptionShift):INDEX($FO$325:$IH$396,FX$169,SwaptionMonthsToGo+SwaptionShift),INDEX($FO$245:$IH$316,$FN175-FX$169,73-FX$169+SwaptionShift):INDEX($FO$245:$IH$316,$FN175-FX$169,72-FX$169+SwaptionMonthsToGo+SwaptionShift))/SQRT(SUM(INDEX($FO330:$IH330,1+SwaptionShift):INDEX($FO330:$IH330,SwaptionMonthsToGo+SwaptionShift))*SUM(INDEX($FO$325:$IH$396,FX$169,1+SwaptionShift):INDEX($FO$325:$IH$396,FX$169,SwaptionMonthsToGo+SwaptionShift))))))</f>
        <v>0.97171895483129078</v>
      </c>
      <c r="FY175" s="469">
        <f ca="1">IF(OR(FY$169&lt;SwaptionFirstMonthPosition+1,$FN175&lt;SwaptionFirstMonthPosition+1,FY$169&gt;SwaptionFirstMonthPosition+SwaptionNumOfMonths+1,$FN175&gt;SwaptionFirstMonthPosition+SwaptionNumOfMonths+1),"",IF($FN175=FY$169,1,IF($FN175&lt;FY$169,INDEX($FO$170:$IH$241,FY$169,$FN175),SUMPRODUCT(INDEX($FO$325:$IH$396,FY$169,1+SwaptionShift):INDEX($FO$325:$IH$396,FY$169,SwaptionMonthsToGo+SwaptionShift),INDEX($FO$245:$IH$316,$FN175-FY$169,73-FY$169+SwaptionShift):INDEX($FO$245:$IH$316,$FN175-FY$169,72-FY$169+SwaptionMonthsToGo+SwaptionShift))/SQRT(SUM(INDEX($FO330:$IH330,1+SwaptionShift):INDEX($FO330:$IH330,SwaptionMonthsToGo+SwaptionShift))*SUM(INDEX($FO$325:$IH$396,FY$169,1+SwaptionShift):INDEX($FO$325:$IH$396,FY$169,SwaptionMonthsToGo+SwaptionShift))))))</f>
        <v>0.967077277828578</v>
      </c>
      <c r="FZ175" s="469">
        <f ca="1">IF(OR(FZ$169&lt;SwaptionFirstMonthPosition+1,$FN175&lt;SwaptionFirstMonthPosition+1,FZ$169&gt;SwaptionFirstMonthPosition+SwaptionNumOfMonths+1,$FN175&gt;SwaptionFirstMonthPosition+SwaptionNumOfMonths+1),"",IF($FN175=FZ$169,1,IF($FN175&lt;FZ$169,INDEX($FO$170:$IH$241,FZ$169,$FN175),SUMPRODUCT(INDEX($FO$325:$IH$396,FZ$169,1+SwaptionShift):INDEX($FO$325:$IH$396,FZ$169,SwaptionMonthsToGo+SwaptionShift),INDEX($FO$245:$IH$316,$FN175-FZ$169,73-FZ$169+SwaptionShift):INDEX($FO$245:$IH$316,$FN175-FZ$169,72-FZ$169+SwaptionMonthsToGo+SwaptionShift))/SQRT(SUM(INDEX($FO330:$IH330,1+SwaptionShift):INDEX($FO330:$IH330,SwaptionMonthsToGo+SwaptionShift))*SUM(INDEX($FO$325:$IH$396,FZ$169,1+SwaptionShift):INDEX($FO$325:$IH$396,FZ$169,SwaptionMonthsToGo+SwaptionShift))))))</f>
        <v>0.96307358708831303</v>
      </c>
      <c r="GA175" s="469">
        <f ca="1">IF(OR(GA$169&lt;SwaptionFirstMonthPosition+1,$FN175&lt;SwaptionFirstMonthPosition+1,GA$169&gt;SwaptionFirstMonthPosition+SwaptionNumOfMonths+1,$FN175&gt;SwaptionFirstMonthPosition+SwaptionNumOfMonths+1),"",IF($FN175=GA$169,1,IF($FN175&lt;GA$169,INDEX($FO$170:$IH$241,GA$169,$FN175),SUMPRODUCT(INDEX($FO$325:$IH$396,GA$169,1+SwaptionShift):INDEX($FO$325:$IH$396,GA$169,SwaptionMonthsToGo+SwaptionShift),INDEX($FO$245:$IH$316,$FN175-GA$169,73-GA$169+SwaptionShift):INDEX($FO$245:$IH$316,$FN175-GA$169,72-GA$169+SwaptionMonthsToGo+SwaptionShift))/SQRT(SUM(INDEX($FO330:$IH330,1+SwaptionShift):INDEX($FO330:$IH330,SwaptionMonthsToGo+SwaptionShift))*SUM(INDEX($FO$325:$IH$396,GA$169,1+SwaptionShift):INDEX($FO$325:$IH$396,GA$169,SwaptionMonthsToGo+SwaptionShift))))))</f>
        <v>0.95960116301379883</v>
      </c>
      <c r="GB175" s="469">
        <f ca="1">IF(OR(GB$169&lt;SwaptionFirstMonthPosition+1,$FN175&lt;SwaptionFirstMonthPosition+1,GB$169&gt;SwaptionFirstMonthPosition+SwaptionNumOfMonths+1,$FN175&gt;SwaptionFirstMonthPosition+SwaptionNumOfMonths+1),"",IF($FN175=GB$169,1,IF($FN175&lt;GB$169,INDEX($FO$170:$IH$241,GB$169,$FN175),SUMPRODUCT(INDEX($FO$325:$IH$396,GB$169,1+SwaptionShift):INDEX($FO$325:$IH$396,GB$169,SwaptionMonthsToGo+SwaptionShift),INDEX($FO$245:$IH$316,$FN175-GB$169,73-GB$169+SwaptionShift):INDEX($FO$245:$IH$316,$FN175-GB$169,72-GB$169+SwaptionMonthsToGo+SwaptionShift))/SQRT(SUM(INDEX($FO330:$IH330,1+SwaptionShift):INDEX($FO330:$IH330,SwaptionMonthsToGo+SwaptionShift))*SUM(INDEX($FO$325:$IH$396,GB$169,1+SwaptionShift):INDEX($FO$325:$IH$396,GB$169,SwaptionMonthsToGo+SwaptionShift))))))</f>
        <v>0.95657478987871225</v>
      </c>
      <c r="GC175" s="469" t="str">
        <f ca="1">IF(OR(GC$169&lt;SwaptionFirstMonthPosition+1,$FN175&lt;SwaptionFirstMonthPosition+1,GC$169&gt;SwaptionFirstMonthPosition+SwaptionNumOfMonths+1,$FN175&gt;SwaptionFirstMonthPosition+SwaptionNumOfMonths+1),"",IF($FN175=GC$169,1,IF($FN175&lt;GC$169,INDEX($FO$170:$IH$241,GC$169,$FN175),SUMPRODUCT(INDEX($FO$325:$IH$396,GC$169,1+SwaptionShift):INDEX($FO$325:$IH$396,GC$169,SwaptionMonthsToGo+SwaptionShift),INDEX($FO$245:$IH$316,$FN175-GC$169,73-GC$169+SwaptionShift):INDEX($FO$245:$IH$316,$FN175-GC$169,72-GC$169+SwaptionMonthsToGo+SwaptionShift))/SQRT(SUM(INDEX($FO330:$IH330,1+SwaptionShift):INDEX($FO330:$IH330,SwaptionMonthsToGo+SwaptionShift))*SUM(INDEX($FO$325:$IH$396,GC$169,1+SwaptionShift):INDEX($FO$325:$IH$396,GC$169,SwaptionMonthsToGo+SwaptionShift))))))</f>
        <v/>
      </c>
      <c r="GD175" s="469" t="str">
        <f ca="1">IF(OR(GD$169&lt;SwaptionFirstMonthPosition+1,$FN175&lt;SwaptionFirstMonthPosition+1,GD$169&gt;SwaptionFirstMonthPosition+SwaptionNumOfMonths+1,$FN175&gt;SwaptionFirstMonthPosition+SwaptionNumOfMonths+1),"",IF($FN175=GD$169,1,IF($FN175&lt;GD$169,INDEX($FO$170:$IH$241,GD$169,$FN175),SUMPRODUCT(INDEX($FO$325:$IH$396,GD$169,1+SwaptionShift):INDEX($FO$325:$IH$396,GD$169,SwaptionMonthsToGo+SwaptionShift),INDEX($FO$245:$IH$316,$FN175-GD$169,73-GD$169+SwaptionShift):INDEX($FO$245:$IH$316,$FN175-GD$169,72-GD$169+SwaptionMonthsToGo+SwaptionShift))/SQRT(SUM(INDEX($FO330:$IH330,1+SwaptionShift):INDEX($FO330:$IH330,SwaptionMonthsToGo+SwaptionShift))*SUM(INDEX($FO$325:$IH$396,GD$169,1+SwaptionShift):INDEX($FO$325:$IH$396,GD$169,SwaptionMonthsToGo+SwaptionShift))))))</f>
        <v/>
      </c>
      <c r="GE175" s="469" t="str">
        <f ca="1">IF(OR(GE$169&lt;SwaptionFirstMonthPosition+1,$FN175&lt;SwaptionFirstMonthPosition+1,GE$169&gt;SwaptionFirstMonthPosition+SwaptionNumOfMonths+1,$FN175&gt;SwaptionFirstMonthPosition+SwaptionNumOfMonths+1),"",IF($FN175=GE$169,1,IF($FN175&lt;GE$169,INDEX($FO$170:$IH$241,GE$169,$FN175),SUMPRODUCT(INDEX($FO$325:$IH$396,GE$169,1+SwaptionShift):INDEX($FO$325:$IH$396,GE$169,SwaptionMonthsToGo+SwaptionShift),INDEX($FO$245:$IH$316,$FN175-GE$169,73-GE$169+SwaptionShift):INDEX($FO$245:$IH$316,$FN175-GE$169,72-GE$169+SwaptionMonthsToGo+SwaptionShift))/SQRT(SUM(INDEX($FO330:$IH330,1+SwaptionShift):INDEX($FO330:$IH330,SwaptionMonthsToGo+SwaptionShift))*SUM(INDEX($FO$325:$IH$396,GE$169,1+SwaptionShift):INDEX($FO$325:$IH$396,GE$169,SwaptionMonthsToGo+SwaptionShift))))))</f>
        <v/>
      </c>
      <c r="GF175" s="469" t="str">
        <f ca="1">IF(OR(GF$169&lt;SwaptionFirstMonthPosition+1,$FN175&lt;SwaptionFirstMonthPosition+1,GF$169&gt;SwaptionFirstMonthPosition+SwaptionNumOfMonths+1,$FN175&gt;SwaptionFirstMonthPosition+SwaptionNumOfMonths+1),"",IF($FN175=GF$169,1,IF($FN175&lt;GF$169,INDEX($FO$170:$IH$241,GF$169,$FN175),SUMPRODUCT(INDEX($FO$325:$IH$396,GF$169,1+SwaptionShift):INDEX($FO$325:$IH$396,GF$169,SwaptionMonthsToGo+SwaptionShift),INDEX($FO$245:$IH$316,$FN175-GF$169,73-GF$169+SwaptionShift):INDEX($FO$245:$IH$316,$FN175-GF$169,72-GF$169+SwaptionMonthsToGo+SwaptionShift))/SQRT(SUM(INDEX($FO330:$IH330,1+SwaptionShift):INDEX($FO330:$IH330,SwaptionMonthsToGo+SwaptionShift))*SUM(INDEX($FO$325:$IH$396,GF$169,1+SwaptionShift):INDEX($FO$325:$IH$396,GF$169,SwaptionMonthsToGo+SwaptionShift))))))</f>
        <v/>
      </c>
      <c r="GG175" s="469" t="str">
        <f ca="1">IF(OR(GG$169&lt;SwaptionFirstMonthPosition+1,$FN175&lt;SwaptionFirstMonthPosition+1,GG$169&gt;SwaptionFirstMonthPosition+SwaptionNumOfMonths+1,$FN175&gt;SwaptionFirstMonthPosition+SwaptionNumOfMonths+1),"",IF($FN175=GG$169,1,IF($FN175&lt;GG$169,INDEX($FO$170:$IH$241,GG$169,$FN175),SUMPRODUCT(INDEX($FO$325:$IH$396,GG$169,1+SwaptionShift):INDEX($FO$325:$IH$396,GG$169,SwaptionMonthsToGo+SwaptionShift),INDEX($FO$245:$IH$316,$FN175-GG$169,73-GG$169+SwaptionShift):INDEX($FO$245:$IH$316,$FN175-GG$169,72-GG$169+SwaptionMonthsToGo+SwaptionShift))/SQRT(SUM(INDEX($FO330:$IH330,1+SwaptionShift):INDEX($FO330:$IH330,SwaptionMonthsToGo+SwaptionShift))*SUM(INDEX($FO$325:$IH$396,GG$169,1+SwaptionShift):INDEX($FO$325:$IH$396,GG$169,SwaptionMonthsToGo+SwaptionShift))))))</f>
        <v/>
      </c>
      <c r="GH175" s="469" t="str">
        <f ca="1">IF(OR(GH$169&lt;SwaptionFirstMonthPosition+1,$FN175&lt;SwaptionFirstMonthPosition+1,GH$169&gt;SwaptionFirstMonthPosition+SwaptionNumOfMonths+1,$FN175&gt;SwaptionFirstMonthPosition+SwaptionNumOfMonths+1),"",IF($FN175=GH$169,1,IF($FN175&lt;GH$169,INDEX($FO$170:$IH$241,GH$169,$FN175),SUMPRODUCT(INDEX($FO$325:$IH$396,GH$169,1+SwaptionShift):INDEX($FO$325:$IH$396,GH$169,SwaptionMonthsToGo+SwaptionShift),INDEX($FO$245:$IH$316,$FN175-GH$169,73-GH$169+SwaptionShift):INDEX($FO$245:$IH$316,$FN175-GH$169,72-GH$169+SwaptionMonthsToGo+SwaptionShift))/SQRT(SUM(INDEX($FO330:$IH330,1+SwaptionShift):INDEX($FO330:$IH330,SwaptionMonthsToGo+SwaptionShift))*SUM(INDEX($FO$325:$IH$396,GH$169,1+SwaptionShift):INDEX($FO$325:$IH$396,GH$169,SwaptionMonthsToGo+SwaptionShift))))))</f>
        <v/>
      </c>
      <c r="GI175" s="469" t="str">
        <f ca="1">IF(OR(GI$169&lt;SwaptionFirstMonthPosition+1,$FN175&lt;SwaptionFirstMonthPosition+1,GI$169&gt;SwaptionFirstMonthPosition+SwaptionNumOfMonths+1,$FN175&gt;SwaptionFirstMonthPosition+SwaptionNumOfMonths+1),"",IF($FN175=GI$169,1,IF($FN175&lt;GI$169,INDEX($FO$170:$IH$241,GI$169,$FN175),SUMPRODUCT(INDEX($FO$325:$IH$396,GI$169,1+SwaptionShift):INDEX($FO$325:$IH$396,GI$169,SwaptionMonthsToGo+SwaptionShift),INDEX($FO$245:$IH$316,$FN175-GI$169,73-GI$169+SwaptionShift):INDEX($FO$245:$IH$316,$FN175-GI$169,72-GI$169+SwaptionMonthsToGo+SwaptionShift))/SQRT(SUM(INDEX($FO330:$IH330,1+SwaptionShift):INDEX($FO330:$IH330,SwaptionMonthsToGo+SwaptionShift))*SUM(INDEX($FO$325:$IH$396,GI$169,1+SwaptionShift):INDEX($FO$325:$IH$396,GI$169,SwaptionMonthsToGo+SwaptionShift))))))</f>
        <v/>
      </c>
      <c r="GJ175" s="469" t="str">
        <f ca="1">IF(OR(GJ$169&lt;SwaptionFirstMonthPosition+1,$FN175&lt;SwaptionFirstMonthPosition+1,GJ$169&gt;SwaptionFirstMonthPosition+SwaptionNumOfMonths+1,$FN175&gt;SwaptionFirstMonthPosition+SwaptionNumOfMonths+1),"",IF($FN175=GJ$169,1,IF($FN175&lt;GJ$169,INDEX($FO$170:$IH$241,GJ$169,$FN175),SUMPRODUCT(INDEX($FO$325:$IH$396,GJ$169,1+SwaptionShift):INDEX($FO$325:$IH$396,GJ$169,SwaptionMonthsToGo+SwaptionShift),INDEX($FO$245:$IH$316,$FN175-GJ$169,73-GJ$169+SwaptionShift):INDEX($FO$245:$IH$316,$FN175-GJ$169,72-GJ$169+SwaptionMonthsToGo+SwaptionShift))/SQRT(SUM(INDEX($FO330:$IH330,1+SwaptionShift):INDEX($FO330:$IH330,SwaptionMonthsToGo+SwaptionShift))*SUM(INDEX($FO$325:$IH$396,GJ$169,1+SwaptionShift):INDEX($FO$325:$IH$396,GJ$169,SwaptionMonthsToGo+SwaptionShift))))))</f>
        <v/>
      </c>
      <c r="GK175" s="469" t="str">
        <f ca="1">IF(OR(GK$169&lt;SwaptionFirstMonthPosition+1,$FN175&lt;SwaptionFirstMonthPosition+1,GK$169&gt;SwaptionFirstMonthPosition+SwaptionNumOfMonths+1,$FN175&gt;SwaptionFirstMonthPosition+SwaptionNumOfMonths+1),"",IF($FN175=GK$169,1,IF($FN175&lt;GK$169,INDEX($FO$170:$IH$241,GK$169,$FN175),SUMPRODUCT(INDEX($FO$325:$IH$396,GK$169,1+SwaptionShift):INDEX($FO$325:$IH$396,GK$169,SwaptionMonthsToGo+SwaptionShift),INDEX($FO$245:$IH$316,$FN175-GK$169,73-GK$169+SwaptionShift):INDEX($FO$245:$IH$316,$FN175-GK$169,72-GK$169+SwaptionMonthsToGo+SwaptionShift))/SQRT(SUM(INDEX($FO330:$IH330,1+SwaptionShift):INDEX($FO330:$IH330,SwaptionMonthsToGo+SwaptionShift))*SUM(INDEX($FO$325:$IH$396,GK$169,1+SwaptionShift):INDEX($FO$325:$IH$396,GK$169,SwaptionMonthsToGo+SwaptionShift))))))</f>
        <v/>
      </c>
      <c r="GL175" s="469" t="str">
        <f ca="1">IF(OR(GL$169&lt;SwaptionFirstMonthPosition+1,$FN175&lt;SwaptionFirstMonthPosition+1,GL$169&gt;SwaptionFirstMonthPosition+SwaptionNumOfMonths+1,$FN175&gt;SwaptionFirstMonthPosition+SwaptionNumOfMonths+1),"",IF($FN175=GL$169,1,IF($FN175&lt;GL$169,INDEX($FO$170:$IH$241,GL$169,$FN175),SUMPRODUCT(INDEX($FO$325:$IH$396,GL$169,1+SwaptionShift):INDEX($FO$325:$IH$396,GL$169,SwaptionMonthsToGo+SwaptionShift),INDEX($FO$245:$IH$316,$FN175-GL$169,73-GL$169+SwaptionShift):INDEX($FO$245:$IH$316,$FN175-GL$169,72-GL$169+SwaptionMonthsToGo+SwaptionShift))/SQRT(SUM(INDEX($FO330:$IH330,1+SwaptionShift):INDEX($FO330:$IH330,SwaptionMonthsToGo+SwaptionShift))*SUM(INDEX($FO$325:$IH$396,GL$169,1+SwaptionShift):INDEX($FO$325:$IH$396,GL$169,SwaptionMonthsToGo+SwaptionShift))))))</f>
        <v/>
      </c>
      <c r="GM175" s="469" t="str">
        <f ca="1">IF(OR(GM$169&lt;SwaptionFirstMonthPosition+1,$FN175&lt;SwaptionFirstMonthPosition+1,GM$169&gt;SwaptionFirstMonthPosition+SwaptionNumOfMonths+1,$FN175&gt;SwaptionFirstMonthPosition+SwaptionNumOfMonths+1),"",IF($FN175=GM$169,1,IF($FN175&lt;GM$169,INDEX($FO$170:$IH$241,GM$169,$FN175),SUMPRODUCT(INDEX($FO$325:$IH$396,GM$169,1+SwaptionShift):INDEX($FO$325:$IH$396,GM$169,SwaptionMonthsToGo+SwaptionShift),INDEX($FO$245:$IH$316,$FN175-GM$169,73-GM$169+SwaptionShift):INDEX($FO$245:$IH$316,$FN175-GM$169,72-GM$169+SwaptionMonthsToGo+SwaptionShift))/SQRT(SUM(INDEX($FO330:$IH330,1+SwaptionShift):INDEX($FO330:$IH330,SwaptionMonthsToGo+SwaptionShift))*SUM(INDEX($FO$325:$IH$396,GM$169,1+SwaptionShift):INDEX($FO$325:$IH$396,GM$169,SwaptionMonthsToGo+SwaptionShift))))))</f>
        <v/>
      </c>
      <c r="GN175" s="469" t="str">
        <f ca="1">IF(OR(GN$169&lt;SwaptionFirstMonthPosition+1,$FN175&lt;SwaptionFirstMonthPosition+1,GN$169&gt;SwaptionFirstMonthPosition+SwaptionNumOfMonths+1,$FN175&gt;SwaptionFirstMonthPosition+SwaptionNumOfMonths+1),"",IF($FN175=GN$169,1,IF($FN175&lt;GN$169,INDEX($FO$170:$IH$241,GN$169,$FN175),SUMPRODUCT(INDEX($FO$325:$IH$396,GN$169,1+SwaptionShift):INDEX($FO$325:$IH$396,GN$169,SwaptionMonthsToGo+SwaptionShift),INDEX($FO$245:$IH$316,$FN175-GN$169,73-GN$169+SwaptionShift):INDEX($FO$245:$IH$316,$FN175-GN$169,72-GN$169+SwaptionMonthsToGo+SwaptionShift))/SQRT(SUM(INDEX($FO330:$IH330,1+SwaptionShift):INDEX($FO330:$IH330,SwaptionMonthsToGo+SwaptionShift))*SUM(INDEX($FO$325:$IH$396,GN$169,1+SwaptionShift):INDEX($FO$325:$IH$396,GN$169,SwaptionMonthsToGo+SwaptionShift))))))</f>
        <v/>
      </c>
      <c r="GO175" s="469" t="str">
        <f ca="1">IF(OR(GO$169&lt;SwaptionFirstMonthPosition+1,$FN175&lt;SwaptionFirstMonthPosition+1,GO$169&gt;SwaptionFirstMonthPosition+SwaptionNumOfMonths+1,$FN175&gt;SwaptionFirstMonthPosition+SwaptionNumOfMonths+1),"",IF($FN175=GO$169,1,IF($FN175&lt;GO$169,INDEX($FO$170:$IH$241,GO$169,$FN175),SUMPRODUCT(INDEX($FO$325:$IH$396,GO$169,1+SwaptionShift):INDEX($FO$325:$IH$396,GO$169,SwaptionMonthsToGo+SwaptionShift),INDEX($FO$245:$IH$316,$FN175-GO$169,73-GO$169+SwaptionShift):INDEX($FO$245:$IH$316,$FN175-GO$169,72-GO$169+SwaptionMonthsToGo+SwaptionShift))/SQRT(SUM(INDEX($FO330:$IH330,1+SwaptionShift):INDEX($FO330:$IH330,SwaptionMonthsToGo+SwaptionShift))*SUM(INDEX($FO$325:$IH$396,GO$169,1+SwaptionShift):INDEX($FO$325:$IH$396,GO$169,SwaptionMonthsToGo+SwaptionShift))))))</f>
        <v/>
      </c>
      <c r="GP175" s="469" t="str">
        <f ca="1">IF(OR(GP$169&lt;SwaptionFirstMonthPosition+1,$FN175&lt;SwaptionFirstMonthPosition+1,GP$169&gt;SwaptionFirstMonthPosition+SwaptionNumOfMonths+1,$FN175&gt;SwaptionFirstMonthPosition+SwaptionNumOfMonths+1),"",IF($FN175=GP$169,1,IF($FN175&lt;GP$169,INDEX($FO$170:$IH$241,GP$169,$FN175),SUMPRODUCT(INDEX($FO$325:$IH$396,GP$169,1+SwaptionShift):INDEX($FO$325:$IH$396,GP$169,SwaptionMonthsToGo+SwaptionShift),INDEX($FO$245:$IH$316,$FN175-GP$169,73-GP$169+SwaptionShift):INDEX($FO$245:$IH$316,$FN175-GP$169,72-GP$169+SwaptionMonthsToGo+SwaptionShift))/SQRT(SUM(INDEX($FO330:$IH330,1+SwaptionShift):INDEX($FO330:$IH330,SwaptionMonthsToGo+SwaptionShift))*SUM(INDEX($FO$325:$IH$396,GP$169,1+SwaptionShift):INDEX($FO$325:$IH$396,GP$169,SwaptionMonthsToGo+SwaptionShift))))))</f>
        <v/>
      </c>
      <c r="GQ175" s="469" t="str">
        <f ca="1">IF(OR(GQ$169&lt;SwaptionFirstMonthPosition+1,$FN175&lt;SwaptionFirstMonthPosition+1,GQ$169&gt;SwaptionFirstMonthPosition+SwaptionNumOfMonths+1,$FN175&gt;SwaptionFirstMonthPosition+SwaptionNumOfMonths+1),"",IF($FN175=GQ$169,1,IF($FN175&lt;GQ$169,INDEX($FO$170:$IH$241,GQ$169,$FN175),SUMPRODUCT(INDEX($FO$325:$IH$396,GQ$169,1+SwaptionShift):INDEX($FO$325:$IH$396,GQ$169,SwaptionMonthsToGo+SwaptionShift),INDEX($FO$245:$IH$316,$FN175-GQ$169,73-GQ$169+SwaptionShift):INDEX($FO$245:$IH$316,$FN175-GQ$169,72-GQ$169+SwaptionMonthsToGo+SwaptionShift))/SQRT(SUM(INDEX($FO330:$IH330,1+SwaptionShift):INDEX($FO330:$IH330,SwaptionMonthsToGo+SwaptionShift))*SUM(INDEX($FO$325:$IH$396,GQ$169,1+SwaptionShift):INDEX($FO$325:$IH$396,GQ$169,SwaptionMonthsToGo+SwaptionShift))))))</f>
        <v/>
      </c>
      <c r="GR175" s="469" t="str">
        <f ca="1">IF(OR(GR$169&lt;SwaptionFirstMonthPosition+1,$FN175&lt;SwaptionFirstMonthPosition+1,GR$169&gt;SwaptionFirstMonthPosition+SwaptionNumOfMonths+1,$FN175&gt;SwaptionFirstMonthPosition+SwaptionNumOfMonths+1),"",IF($FN175=GR$169,1,IF($FN175&lt;GR$169,INDEX($FO$170:$IH$241,GR$169,$FN175),SUMPRODUCT(INDEX($FO$325:$IH$396,GR$169,1+SwaptionShift):INDEX($FO$325:$IH$396,GR$169,SwaptionMonthsToGo+SwaptionShift),INDEX($FO$245:$IH$316,$FN175-GR$169,73-GR$169+SwaptionShift):INDEX($FO$245:$IH$316,$FN175-GR$169,72-GR$169+SwaptionMonthsToGo+SwaptionShift))/SQRT(SUM(INDEX($FO330:$IH330,1+SwaptionShift):INDEX($FO330:$IH330,SwaptionMonthsToGo+SwaptionShift))*SUM(INDEX($FO$325:$IH$396,GR$169,1+SwaptionShift):INDEX($FO$325:$IH$396,GR$169,SwaptionMonthsToGo+SwaptionShift))))))</f>
        <v/>
      </c>
      <c r="GS175" s="469" t="str">
        <f ca="1">IF(OR(GS$169&lt;SwaptionFirstMonthPosition+1,$FN175&lt;SwaptionFirstMonthPosition+1,GS$169&gt;SwaptionFirstMonthPosition+SwaptionNumOfMonths+1,$FN175&gt;SwaptionFirstMonthPosition+SwaptionNumOfMonths+1),"",IF($FN175=GS$169,1,IF($FN175&lt;GS$169,INDEX($FO$170:$IH$241,GS$169,$FN175),SUMPRODUCT(INDEX($FO$325:$IH$396,GS$169,1+SwaptionShift):INDEX($FO$325:$IH$396,GS$169,SwaptionMonthsToGo+SwaptionShift),INDEX($FO$245:$IH$316,$FN175-GS$169,73-GS$169+SwaptionShift):INDEX($FO$245:$IH$316,$FN175-GS$169,72-GS$169+SwaptionMonthsToGo+SwaptionShift))/SQRT(SUM(INDEX($FO330:$IH330,1+SwaptionShift):INDEX($FO330:$IH330,SwaptionMonthsToGo+SwaptionShift))*SUM(INDEX($FO$325:$IH$396,GS$169,1+SwaptionShift):INDEX($FO$325:$IH$396,GS$169,SwaptionMonthsToGo+SwaptionShift))))))</f>
        <v/>
      </c>
      <c r="GT175" s="469" t="str">
        <f ca="1">IF(OR(GT$169&lt;SwaptionFirstMonthPosition+1,$FN175&lt;SwaptionFirstMonthPosition+1,GT$169&gt;SwaptionFirstMonthPosition+SwaptionNumOfMonths+1,$FN175&gt;SwaptionFirstMonthPosition+SwaptionNumOfMonths+1),"",IF($FN175=GT$169,1,IF($FN175&lt;GT$169,INDEX($FO$170:$IH$241,GT$169,$FN175),SUMPRODUCT(INDEX($FO$325:$IH$396,GT$169,1+SwaptionShift):INDEX($FO$325:$IH$396,GT$169,SwaptionMonthsToGo+SwaptionShift),INDEX($FO$245:$IH$316,$FN175-GT$169,73-GT$169+SwaptionShift):INDEX($FO$245:$IH$316,$FN175-GT$169,72-GT$169+SwaptionMonthsToGo+SwaptionShift))/SQRT(SUM(INDEX($FO330:$IH330,1+SwaptionShift):INDEX($FO330:$IH330,SwaptionMonthsToGo+SwaptionShift))*SUM(INDEX($FO$325:$IH$396,GT$169,1+SwaptionShift):INDEX($FO$325:$IH$396,GT$169,SwaptionMonthsToGo+SwaptionShift))))))</f>
        <v/>
      </c>
      <c r="GU175" s="469" t="str">
        <f ca="1">IF(OR(GU$169&lt;SwaptionFirstMonthPosition+1,$FN175&lt;SwaptionFirstMonthPosition+1,GU$169&gt;SwaptionFirstMonthPosition+SwaptionNumOfMonths+1,$FN175&gt;SwaptionFirstMonthPosition+SwaptionNumOfMonths+1),"",IF($FN175=GU$169,1,IF($FN175&lt;GU$169,INDEX($FO$170:$IH$241,GU$169,$FN175),SUMPRODUCT(INDEX($FO$325:$IH$396,GU$169,1+SwaptionShift):INDEX($FO$325:$IH$396,GU$169,SwaptionMonthsToGo+SwaptionShift),INDEX($FO$245:$IH$316,$FN175-GU$169,73-GU$169+SwaptionShift):INDEX($FO$245:$IH$316,$FN175-GU$169,72-GU$169+SwaptionMonthsToGo+SwaptionShift))/SQRT(SUM(INDEX($FO330:$IH330,1+SwaptionShift):INDEX($FO330:$IH330,SwaptionMonthsToGo+SwaptionShift))*SUM(INDEX($FO$325:$IH$396,GU$169,1+SwaptionShift):INDEX($FO$325:$IH$396,GU$169,SwaptionMonthsToGo+SwaptionShift))))))</f>
        <v/>
      </c>
      <c r="GV175" s="469" t="str">
        <f ca="1">IF(OR(GV$169&lt;SwaptionFirstMonthPosition+1,$FN175&lt;SwaptionFirstMonthPosition+1,GV$169&gt;SwaptionFirstMonthPosition+SwaptionNumOfMonths+1,$FN175&gt;SwaptionFirstMonthPosition+SwaptionNumOfMonths+1),"",IF($FN175=GV$169,1,IF($FN175&lt;GV$169,INDEX($FO$170:$IH$241,GV$169,$FN175),SUMPRODUCT(INDEX($FO$325:$IH$396,GV$169,1+SwaptionShift):INDEX($FO$325:$IH$396,GV$169,SwaptionMonthsToGo+SwaptionShift),INDEX($FO$245:$IH$316,$FN175-GV$169,73-GV$169+SwaptionShift):INDEX($FO$245:$IH$316,$FN175-GV$169,72-GV$169+SwaptionMonthsToGo+SwaptionShift))/SQRT(SUM(INDEX($FO330:$IH330,1+SwaptionShift):INDEX($FO330:$IH330,SwaptionMonthsToGo+SwaptionShift))*SUM(INDEX($FO$325:$IH$396,GV$169,1+SwaptionShift):INDEX($FO$325:$IH$396,GV$169,SwaptionMonthsToGo+SwaptionShift))))))</f>
        <v/>
      </c>
      <c r="GW175" s="469" t="str">
        <f ca="1">IF(OR(GW$169&lt;SwaptionFirstMonthPosition+1,$FN175&lt;SwaptionFirstMonthPosition+1,GW$169&gt;SwaptionFirstMonthPosition+SwaptionNumOfMonths+1,$FN175&gt;SwaptionFirstMonthPosition+SwaptionNumOfMonths+1),"",IF($FN175=GW$169,1,IF($FN175&lt;GW$169,INDEX($FO$170:$IH$241,GW$169,$FN175),SUMPRODUCT(INDEX($FO$325:$IH$396,GW$169,1+SwaptionShift):INDEX($FO$325:$IH$396,GW$169,SwaptionMonthsToGo+SwaptionShift),INDEX($FO$245:$IH$316,$FN175-GW$169,73-GW$169+SwaptionShift):INDEX($FO$245:$IH$316,$FN175-GW$169,72-GW$169+SwaptionMonthsToGo+SwaptionShift))/SQRT(SUM(INDEX($FO330:$IH330,1+SwaptionShift):INDEX($FO330:$IH330,SwaptionMonthsToGo+SwaptionShift))*SUM(INDEX($FO$325:$IH$396,GW$169,1+SwaptionShift):INDEX($FO$325:$IH$396,GW$169,SwaptionMonthsToGo+SwaptionShift))))))</f>
        <v/>
      </c>
      <c r="GX175" s="469" t="str">
        <f ca="1">IF(OR(GX$169&lt;SwaptionFirstMonthPosition+1,$FN175&lt;SwaptionFirstMonthPosition+1,GX$169&gt;SwaptionFirstMonthPosition+SwaptionNumOfMonths+1,$FN175&gt;SwaptionFirstMonthPosition+SwaptionNumOfMonths+1),"",IF($FN175=GX$169,1,IF($FN175&lt;GX$169,INDEX($FO$170:$IH$241,GX$169,$FN175),SUMPRODUCT(INDEX($FO$325:$IH$396,GX$169,1+SwaptionShift):INDEX($FO$325:$IH$396,GX$169,SwaptionMonthsToGo+SwaptionShift),INDEX($FO$245:$IH$316,$FN175-GX$169,73-GX$169+SwaptionShift):INDEX($FO$245:$IH$316,$FN175-GX$169,72-GX$169+SwaptionMonthsToGo+SwaptionShift))/SQRT(SUM(INDEX($FO330:$IH330,1+SwaptionShift):INDEX($FO330:$IH330,SwaptionMonthsToGo+SwaptionShift))*SUM(INDEX($FO$325:$IH$396,GX$169,1+SwaptionShift):INDEX($FO$325:$IH$396,GX$169,SwaptionMonthsToGo+SwaptionShift))))))</f>
        <v/>
      </c>
      <c r="GY175" s="469" t="str">
        <f ca="1">IF(OR(GY$169&lt;SwaptionFirstMonthPosition+1,$FN175&lt;SwaptionFirstMonthPosition+1,GY$169&gt;SwaptionFirstMonthPosition+SwaptionNumOfMonths+1,$FN175&gt;SwaptionFirstMonthPosition+SwaptionNumOfMonths+1),"",IF($FN175=GY$169,1,IF($FN175&lt;GY$169,INDEX($FO$170:$IH$241,GY$169,$FN175),SUMPRODUCT(INDEX($FO$325:$IH$396,GY$169,1+SwaptionShift):INDEX($FO$325:$IH$396,GY$169,SwaptionMonthsToGo+SwaptionShift),INDEX($FO$245:$IH$316,$FN175-GY$169,73-GY$169+SwaptionShift):INDEX($FO$245:$IH$316,$FN175-GY$169,72-GY$169+SwaptionMonthsToGo+SwaptionShift))/SQRT(SUM(INDEX($FO330:$IH330,1+SwaptionShift):INDEX($FO330:$IH330,SwaptionMonthsToGo+SwaptionShift))*SUM(INDEX($FO$325:$IH$396,GY$169,1+SwaptionShift):INDEX($FO$325:$IH$396,GY$169,SwaptionMonthsToGo+SwaptionShift))))))</f>
        <v/>
      </c>
      <c r="GZ175" s="469" t="str">
        <f ca="1">IF(OR(GZ$169&lt;SwaptionFirstMonthPosition+1,$FN175&lt;SwaptionFirstMonthPosition+1,GZ$169&gt;SwaptionFirstMonthPosition+SwaptionNumOfMonths+1,$FN175&gt;SwaptionFirstMonthPosition+SwaptionNumOfMonths+1),"",IF($FN175=GZ$169,1,IF($FN175&lt;GZ$169,INDEX($FO$170:$IH$241,GZ$169,$FN175),SUMPRODUCT(INDEX($FO$325:$IH$396,GZ$169,1+SwaptionShift):INDEX($FO$325:$IH$396,GZ$169,SwaptionMonthsToGo+SwaptionShift),INDEX($FO$245:$IH$316,$FN175-GZ$169,73-GZ$169+SwaptionShift):INDEX($FO$245:$IH$316,$FN175-GZ$169,72-GZ$169+SwaptionMonthsToGo+SwaptionShift))/SQRT(SUM(INDEX($FO330:$IH330,1+SwaptionShift):INDEX($FO330:$IH330,SwaptionMonthsToGo+SwaptionShift))*SUM(INDEX($FO$325:$IH$396,GZ$169,1+SwaptionShift):INDEX($FO$325:$IH$396,GZ$169,SwaptionMonthsToGo+SwaptionShift))))))</f>
        <v/>
      </c>
      <c r="HA175" s="469" t="str">
        <f ca="1">IF(OR(HA$169&lt;SwaptionFirstMonthPosition+1,$FN175&lt;SwaptionFirstMonthPosition+1,HA$169&gt;SwaptionFirstMonthPosition+SwaptionNumOfMonths+1,$FN175&gt;SwaptionFirstMonthPosition+SwaptionNumOfMonths+1),"",IF($FN175=HA$169,1,IF($FN175&lt;HA$169,INDEX($FO$170:$IH$241,HA$169,$FN175),SUMPRODUCT(INDEX($FO$325:$IH$396,HA$169,1+SwaptionShift):INDEX($FO$325:$IH$396,HA$169,SwaptionMonthsToGo+SwaptionShift),INDEX($FO$245:$IH$316,$FN175-HA$169,73-HA$169+SwaptionShift):INDEX($FO$245:$IH$316,$FN175-HA$169,72-HA$169+SwaptionMonthsToGo+SwaptionShift))/SQRT(SUM(INDEX($FO330:$IH330,1+SwaptionShift):INDEX($FO330:$IH330,SwaptionMonthsToGo+SwaptionShift))*SUM(INDEX($FO$325:$IH$396,HA$169,1+SwaptionShift):INDEX($FO$325:$IH$396,HA$169,SwaptionMonthsToGo+SwaptionShift))))))</f>
        <v/>
      </c>
      <c r="HB175" s="469" t="str">
        <f ca="1">IF(OR(HB$169&lt;SwaptionFirstMonthPosition+1,$FN175&lt;SwaptionFirstMonthPosition+1,HB$169&gt;SwaptionFirstMonthPosition+SwaptionNumOfMonths+1,$FN175&gt;SwaptionFirstMonthPosition+SwaptionNumOfMonths+1),"",IF($FN175=HB$169,1,IF($FN175&lt;HB$169,INDEX($FO$170:$IH$241,HB$169,$FN175),SUMPRODUCT(INDEX($FO$325:$IH$396,HB$169,1+SwaptionShift):INDEX($FO$325:$IH$396,HB$169,SwaptionMonthsToGo+SwaptionShift),INDEX($FO$245:$IH$316,$FN175-HB$169,73-HB$169+SwaptionShift):INDEX($FO$245:$IH$316,$FN175-HB$169,72-HB$169+SwaptionMonthsToGo+SwaptionShift))/SQRT(SUM(INDEX($FO330:$IH330,1+SwaptionShift):INDEX($FO330:$IH330,SwaptionMonthsToGo+SwaptionShift))*SUM(INDEX($FO$325:$IH$396,HB$169,1+SwaptionShift):INDEX($FO$325:$IH$396,HB$169,SwaptionMonthsToGo+SwaptionShift))))))</f>
        <v/>
      </c>
      <c r="HC175" s="469" t="str">
        <f ca="1">IF(OR(HC$169&lt;SwaptionFirstMonthPosition+1,$FN175&lt;SwaptionFirstMonthPosition+1,HC$169&gt;SwaptionFirstMonthPosition+SwaptionNumOfMonths+1,$FN175&gt;SwaptionFirstMonthPosition+SwaptionNumOfMonths+1),"",IF($FN175=HC$169,1,IF($FN175&lt;HC$169,INDEX($FO$170:$IH$241,HC$169,$FN175),SUMPRODUCT(INDEX($FO$325:$IH$396,HC$169,1+SwaptionShift):INDEX($FO$325:$IH$396,HC$169,SwaptionMonthsToGo+SwaptionShift),INDEX($FO$245:$IH$316,$FN175-HC$169,73-HC$169+SwaptionShift):INDEX($FO$245:$IH$316,$FN175-HC$169,72-HC$169+SwaptionMonthsToGo+SwaptionShift))/SQRT(SUM(INDEX($FO330:$IH330,1+SwaptionShift):INDEX($FO330:$IH330,SwaptionMonthsToGo+SwaptionShift))*SUM(INDEX($FO$325:$IH$396,HC$169,1+SwaptionShift):INDEX($FO$325:$IH$396,HC$169,SwaptionMonthsToGo+SwaptionShift))))))</f>
        <v/>
      </c>
      <c r="HD175" s="469" t="str">
        <f ca="1">IF(OR(HD$169&lt;SwaptionFirstMonthPosition+1,$FN175&lt;SwaptionFirstMonthPosition+1,HD$169&gt;SwaptionFirstMonthPosition+SwaptionNumOfMonths+1,$FN175&gt;SwaptionFirstMonthPosition+SwaptionNumOfMonths+1),"",IF($FN175=HD$169,1,IF($FN175&lt;HD$169,INDEX($FO$170:$IH$241,HD$169,$FN175),SUMPRODUCT(INDEX($FO$325:$IH$396,HD$169,1+SwaptionShift):INDEX($FO$325:$IH$396,HD$169,SwaptionMonthsToGo+SwaptionShift),INDEX($FO$245:$IH$316,$FN175-HD$169,73-HD$169+SwaptionShift):INDEX($FO$245:$IH$316,$FN175-HD$169,72-HD$169+SwaptionMonthsToGo+SwaptionShift))/SQRT(SUM(INDEX($FO330:$IH330,1+SwaptionShift):INDEX($FO330:$IH330,SwaptionMonthsToGo+SwaptionShift))*SUM(INDEX($FO$325:$IH$396,HD$169,1+SwaptionShift):INDEX($FO$325:$IH$396,HD$169,SwaptionMonthsToGo+SwaptionShift))))))</f>
        <v/>
      </c>
      <c r="HE175" s="469" t="str">
        <f ca="1">IF(OR(HE$169&lt;SwaptionFirstMonthPosition+1,$FN175&lt;SwaptionFirstMonthPosition+1,HE$169&gt;SwaptionFirstMonthPosition+SwaptionNumOfMonths+1,$FN175&gt;SwaptionFirstMonthPosition+SwaptionNumOfMonths+1),"",IF($FN175=HE$169,1,IF($FN175&lt;HE$169,INDEX($FO$170:$IH$241,HE$169,$FN175),SUMPRODUCT(INDEX($FO$325:$IH$396,HE$169,1+SwaptionShift):INDEX($FO$325:$IH$396,HE$169,SwaptionMonthsToGo+SwaptionShift),INDEX($FO$245:$IH$316,$FN175-HE$169,73-HE$169+SwaptionShift):INDEX($FO$245:$IH$316,$FN175-HE$169,72-HE$169+SwaptionMonthsToGo+SwaptionShift))/SQRT(SUM(INDEX($FO330:$IH330,1+SwaptionShift):INDEX($FO330:$IH330,SwaptionMonthsToGo+SwaptionShift))*SUM(INDEX($FO$325:$IH$396,HE$169,1+SwaptionShift):INDEX($FO$325:$IH$396,HE$169,SwaptionMonthsToGo+SwaptionShift))))))</f>
        <v/>
      </c>
      <c r="HF175" s="469" t="str">
        <f ca="1">IF(OR(HF$169&lt;SwaptionFirstMonthPosition+1,$FN175&lt;SwaptionFirstMonthPosition+1,HF$169&gt;SwaptionFirstMonthPosition+SwaptionNumOfMonths+1,$FN175&gt;SwaptionFirstMonthPosition+SwaptionNumOfMonths+1),"",IF($FN175=HF$169,1,IF($FN175&lt;HF$169,INDEX($FO$170:$IH$241,HF$169,$FN175),SUMPRODUCT(INDEX($FO$325:$IH$396,HF$169,1+SwaptionShift):INDEX($FO$325:$IH$396,HF$169,SwaptionMonthsToGo+SwaptionShift),INDEX($FO$245:$IH$316,$FN175-HF$169,73-HF$169+SwaptionShift):INDEX($FO$245:$IH$316,$FN175-HF$169,72-HF$169+SwaptionMonthsToGo+SwaptionShift))/SQRT(SUM(INDEX($FO330:$IH330,1+SwaptionShift):INDEX($FO330:$IH330,SwaptionMonthsToGo+SwaptionShift))*SUM(INDEX($FO$325:$IH$396,HF$169,1+SwaptionShift):INDEX($FO$325:$IH$396,HF$169,SwaptionMonthsToGo+SwaptionShift))))))</f>
        <v/>
      </c>
      <c r="HG175" s="469" t="str">
        <f ca="1">IF(OR(HG$169&lt;SwaptionFirstMonthPosition+1,$FN175&lt;SwaptionFirstMonthPosition+1,HG$169&gt;SwaptionFirstMonthPosition+SwaptionNumOfMonths+1,$FN175&gt;SwaptionFirstMonthPosition+SwaptionNumOfMonths+1),"",IF($FN175=HG$169,1,IF($FN175&lt;HG$169,INDEX($FO$170:$IH$241,HG$169,$FN175),SUMPRODUCT(INDEX($FO$325:$IH$396,HG$169,1+SwaptionShift):INDEX($FO$325:$IH$396,HG$169,SwaptionMonthsToGo+SwaptionShift),INDEX($FO$245:$IH$316,$FN175-HG$169,73-HG$169+SwaptionShift):INDEX($FO$245:$IH$316,$FN175-HG$169,72-HG$169+SwaptionMonthsToGo+SwaptionShift))/SQRT(SUM(INDEX($FO330:$IH330,1+SwaptionShift):INDEX($FO330:$IH330,SwaptionMonthsToGo+SwaptionShift))*SUM(INDEX($FO$325:$IH$396,HG$169,1+SwaptionShift):INDEX($FO$325:$IH$396,HG$169,SwaptionMonthsToGo+SwaptionShift))))))</f>
        <v/>
      </c>
      <c r="HH175" s="469" t="str">
        <f ca="1">IF(OR(HH$169&lt;SwaptionFirstMonthPosition+1,$FN175&lt;SwaptionFirstMonthPosition+1,HH$169&gt;SwaptionFirstMonthPosition+SwaptionNumOfMonths+1,$FN175&gt;SwaptionFirstMonthPosition+SwaptionNumOfMonths+1),"",IF($FN175=HH$169,1,IF($FN175&lt;HH$169,INDEX($FO$170:$IH$241,HH$169,$FN175),SUMPRODUCT(INDEX($FO$325:$IH$396,HH$169,1+SwaptionShift):INDEX($FO$325:$IH$396,HH$169,SwaptionMonthsToGo+SwaptionShift),INDEX($FO$245:$IH$316,$FN175-HH$169,73-HH$169+SwaptionShift):INDEX($FO$245:$IH$316,$FN175-HH$169,72-HH$169+SwaptionMonthsToGo+SwaptionShift))/SQRT(SUM(INDEX($FO330:$IH330,1+SwaptionShift):INDEX($FO330:$IH330,SwaptionMonthsToGo+SwaptionShift))*SUM(INDEX($FO$325:$IH$396,HH$169,1+SwaptionShift):INDEX($FO$325:$IH$396,HH$169,SwaptionMonthsToGo+SwaptionShift))))))</f>
        <v/>
      </c>
      <c r="HI175" s="469" t="str">
        <f ca="1">IF(OR(HI$169&lt;SwaptionFirstMonthPosition+1,$FN175&lt;SwaptionFirstMonthPosition+1,HI$169&gt;SwaptionFirstMonthPosition+SwaptionNumOfMonths+1,$FN175&gt;SwaptionFirstMonthPosition+SwaptionNumOfMonths+1),"",IF($FN175=HI$169,1,IF($FN175&lt;HI$169,INDEX($FO$170:$IH$241,HI$169,$FN175),SUMPRODUCT(INDEX($FO$325:$IH$396,HI$169,1+SwaptionShift):INDEX($FO$325:$IH$396,HI$169,SwaptionMonthsToGo+SwaptionShift),INDEX($FO$245:$IH$316,$FN175-HI$169,73-HI$169+SwaptionShift):INDEX($FO$245:$IH$316,$FN175-HI$169,72-HI$169+SwaptionMonthsToGo+SwaptionShift))/SQRT(SUM(INDEX($FO330:$IH330,1+SwaptionShift):INDEX($FO330:$IH330,SwaptionMonthsToGo+SwaptionShift))*SUM(INDEX($FO$325:$IH$396,HI$169,1+SwaptionShift):INDEX($FO$325:$IH$396,HI$169,SwaptionMonthsToGo+SwaptionShift))))))</f>
        <v/>
      </c>
      <c r="HJ175" s="469" t="str">
        <f ca="1">IF(OR(HJ$169&lt;SwaptionFirstMonthPosition+1,$FN175&lt;SwaptionFirstMonthPosition+1,HJ$169&gt;SwaptionFirstMonthPosition+SwaptionNumOfMonths+1,$FN175&gt;SwaptionFirstMonthPosition+SwaptionNumOfMonths+1),"",IF($FN175=HJ$169,1,IF($FN175&lt;HJ$169,INDEX($FO$170:$IH$241,HJ$169,$FN175),SUMPRODUCT(INDEX($FO$325:$IH$396,HJ$169,1+SwaptionShift):INDEX($FO$325:$IH$396,HJ$169,SwaptionMonthsToGo+SwaptionShift),INDEX($FO$245:$IH$316,$FN175-HJ$169,73-HJ$169+SwaptionShift):INDEX($FO$245:$IH$316,$FN175-HJ$169,72-HJ$169+SwaptionMonthsToGo+SwaptionShift))/SQRT(SUM(INDEX($FO330:$IH330,1+SwaptionShift):INDEX($FO330:$IH330,SwaptionMonthsToGo+SwaptionShift))*SUM(INDEX($FO$325:$IH$396,HJ$169,1+SwaptionShift):INDEX($FO$325:$IH$396,HJ$169,SwaptionMonthsToGo+SwaptionShift))))))</f>
        <v/>
      </c>
      <c r="HK175" s="469" t="str">
        <f ca="1">IF(OR(HK$169&lt;SwaptionFirstMonthPosition+1,$FN175&lt;SwaptionFirstMonthPosition+1,HK$169&gt;SwaptionFirstMonthPosition+SwaptionNumOfMonths+1,$FN175&gt;SwaptionFirstMonthPosition+SwaptionNumOfMonths+1),"",IF($FN175=HK$169,1,IF($FN175&lt;HK$169,INDEX($FO$170:$IH$241,HK$169,$FN175),SUMPRODUCT(INDEX($FO$325:$IH$396,HK$169,1+SwaptionShift):INDEX($FO$325:$IH$396,HK$169,SwaptionMonthsToGo+SwaptionShift),INDEX($FO$245:$IH$316,$FN175-HK$169,73-HK$169+SwaptionShift):INDEX($FO$245:$IH$316,$FN175-HK$169,72-HK$169+SwaptionMonthsToGo+SwaptionShift))/SQRT(SUM(INDEX($FO330:$IH330,1+SwaptionShift):INDEX($FO330:$IH330,SwaptionMonthsToGo+SwaptionShift))*SUM(INDEX($FO$325:$IH$396,HK$169,1+SwaptionShift):INDEX($FO$325:$IH$396,HK$169,SwaptionMonthsToGo+SwaptionShift))))))</f>
        <v/>
      </c>
      <c r="HL175" s="469" t="str">
        <f ca="1">IF(OR(HL$169&lt;SwaptionFirstMonthPosition+1,$FN175&lt;SwaptionFirstMonthPosition+1,HL$169&gt;SwaptionFirstMonthPosition+SwaptionNumOfMonths+1,$FN175&gt;SwaptionFirstMonthPosition+SwaptionNumOfMonths+1),"",IF($FN175=HL$169,1,IF($FN175&lt;HL$169,INDEX($FO$170:$IH$241,HL$169,$FN175),SUMPRODUCT(INDEX($FO$325:$IH$396,HL$169,1+SwaptionShift):INDEX($FO$325:$IH$396,HL$169,SwaptionMonthsToGo+SwaptionShift),INDEX($FO$245:$IH$316,$FN175-HL$169,73-HL$169+SwaptionShift):INDEX($FO$245:$IH$316,$FN175-HL$169,72-HL$169+SwaptionMonthsToGo+SwaptionShift))/SQRT(SUM(INDEX($FO330:$IH330,1+SwaptionShift):INDEX($FO330:$IH330,SwaptionMonthsToGo+SwaptionShift))*SUM(INDEX($FO$325:$IH$396,HL$169,1+SwaptionShift):INDEX($FO$325:$IH$396,HL$169,SwaptionMonthsToGo+SwaptionShift))))))</f>
        <v/>
      </c>
      <c r="HM175" s="469" t="str">
        <f ca="1">IF(OR(HM$169&lt;SwaptionFirstMonthPosition+1,$FN175&lt;SwaptionFirstMonthPosition+1,HM$169&gt;SwaptionFirstMonthPosition+SwaptionNumOfMonths+1,$FN175&gt;SwaptionFirstMonthPosition+SwaptionNumOfMonths+1),"",IF($FN175=HM$169,1,IF($FN175&lt;HM$169,INDEX($FO$170:$IH$241,HM$169,$FN175),SUMPRODUCT(INDEX($FO$325:$IH$396,HM$169,1+SwaptionShift):INDEX($FO$325:$IH$396,HM$169,SwaptionMonthsToGo+SwaptionShift),INDEX($FO$245:$IH$316,$FN175-HM$169,73-HM$169+SwaptionShift):INDEX($FO$245:$IH$316,$FN175-HM$169,72-HM$169+SwaptionMonthsToGo+SwaptionShift))/SQRT(SUM(INDEX($FO330:$IH330,1+SwaptionShift):INDEX($FO330:$IH330,SwaptionMonthsToGo+SwaptionShift))*SUM(INDEX($FO$325:$IH$396,HM$169,1+SwaptionShift):INDEX($FO$325:$IH$396,HM$169,SwaptionMonthsToGo+SwaptionShift))))))</f>
        <v/>
      </c>
      <c r="HN175" s="469" t="str">
        <f ca="1">IF(OR(HN$169&lt;SwaptionFirstMonthPosition+1,$FN175&lt;SwaptionFirstMonthPosition+1,HN$169&gt;SwaptionFirstMonthPosition+SwaptionNumOfMonths+1,$FN175&gt;SwaptionFirstMonthPosition+SwaptionNumOfMonths+1),"",IF($FN175=HN$169,1,IF($FN175&lt;HN$169,INDEX($FO$170:$IH$241,HN$169,$FN175),SUMPRODUCT(INDEX($FO$325:$IH$396,HN$169,1+SwaptionShift):INDEX($FO$325:$IH$396,HN$169,SwaptionMonthsToGo+SwaptionShift),INDEX($FO$245:$IH$316,$FN175-HN$169,73-HN$169+SwaptionShift):INDEX($FO$245:$IH$316,$FN175-HN$169,72-HN$169+SwaptionMonthsToGo+SwaptionShift))/SQRT(SUM(INDEX($FO330:$IH330,1+SwaptionShift):INDEX($FO330:$IH330,SwaptionMonthsToGo+SwaptionShift))*SUM(INDEX($FO$325:$IH$396,HN$169,1+SwaptionShift):INDEX($FO$325:$IH$396,HN$169,SwaptionMonthsToGo+SwaptionShift))))))</f>
        <v/>
      </c>
      <c r="HO175" s="469" t="str">
        <f ca="1">IF(OR(HO$169&lt;SwaptionFirstMonthPosition+1,$FN175&lt;SwaptionFirstMonthPosition+1,HO$169&gt;SwaptionFirstMonthPosition+SwaptionNumOfMonths+1,$FN175&gt;SwaptionFirstMonthPosition+SwaptionNumOfMonths+1),"",IF($FN175=HO$169,1,IF($FN175&lt;HO$169,INDEX($FO$170:$IH$241,HO$169,$FN175),SUMPRODUCT(INDEX($FO$325:$IH$396,HO$169,1+SwaptionShift):INDEX($FO$325:$IH$396,HO$169,SwaptionMonthsToGo+SwaptionShift),INDEX($FO$245:$IH$316,$FN175-HO$169,73-HO$169+SwaptionShift):INDEX($FO$245:$IH$316,$FN175-HO$169,72-HO$169+SwaptionMonthsToGo+SwaptionShift))/SQRT(SUM(INDEX($FO330:$IH330,1+SwaptionShift):INDEX($FO330:$IH330,SwaptionMonthsToGo+SwaptionShift))*SUM(INDEX($FO$325:$IH$396,HO$169,1+SwaptionShift):INDEX($FO$325:$IH$396,HO$169,SwaptionMonthsToGo+SwaptionShift))))))</f>
        <v/>
      </c>
      <c r="HP175" s="469" t="str">
        <f ca="1">IF(OR(HP$169&lt;SwaptionFirstMonthPosition+1,$FN175&lt;SwaptionFirstMonthPosition+1,HP$169&gt;SwaptionFirstMonthPosition+SwaptionNumOfMonths+1,$FN175&gt;SwaptionFirstMonthPosition+SwaptionNumOfMonths+1),"",IF($FN175=HP$169,1,IF($FN175&lt;HP$169,INDEX($FO$170:$IH$241,HP$169,$FN175),SUMPRODUCT(INDEX($FO$325:$IH$396,HP$169,1+SwaptionShift):INDEX($FO$325:$IH$396,HP$169,SwaptionMonthsToGo+SwaptionShift),INDEX($FO$245:$IH$316,$FN175-HP$169,73-HP$169+SwaptionShift):INDEX($FO$245:$IH$316,$FN175-HP$169,72-HP$169+SwaptionMonthsToGo+SwaptionShift))/SQRT(SUM(INDEX($FO330:$IH330,1+SwaptionShift):INDEX($FO330:$IH330,SwaptionMonthsToGo+SwaptionShift))*SUM(INDEX($FO$325:$IH$396,HP$169,1+SwaptionShift):INDEX($FO$325:$IH$396,HP$169,SwaptionMonthsToGo+SwaptionShift))))))</f>
        <v/>
      </c>
      <c r="HQ175" s="469" t="str">
        <f ca="1">IF(OR(HQ$169&lt;SwaptionFirstMonthPosition+1,$FN175&lt;SwaptionFirstMonthPosition+1,HQ$169&gt;SwaptionFirstMonthPosition+SwaptionNumOfMonths+1,$FN175&gt;SwaptionFirstMonthPosition+SwaptionNumOfMonths+1),"",IF($FN175=HQ$169,1,IF($FN175&lt;HQ$169,INDEX($FO$170:$IH$241,HQ$169,$FN175),SUMPRODUCT(INDEX($FO$325:$IH$396,HQ$169,1+SwaptionShift):INDEX($FO$325:$IH$396,HQ$169,SwaptionMonthsToGo+SwaptionShift),INDEX($FO$245:$IH$316,$FN175-HQ$169,73-HQ$169+SwaptionShift):INDEX($FO$245:$IH$316,$FN175-HQ$169,72-HQ$169+SwaptionMonthsToGo+SwaptionShift))/SQRT(SUM(INDEX($FO330:$IH330,1+SwaptionShift):INDEX($FO330:$IH330,SwaptionMonthsToGo+SwaptionShift))*SUM(INDEX($FO$325:$IH$396,HQ$169,1+SwaptionShift):INDEX($FO$325:$IH$396,HQ$169,SwaptionMonthsToGo+SwaptionShift))))))</f>
        <v/>
      </c>
      <c r="HR175" s="469" t="str">
        <f ca="1">IF(OR(HR$169&lt;SwaptionFirstMonthPosition+1,$FN175&lt;SwaptionFirstMonthPosition+1,HR$169&gt;SwaptionFirstMonthPosition+SwaptionNumOfMonths+1,$FN175&gt;SwaptionFirstMonthPosition+SwaptionNumOfMonths+1),"",IF($FN175=HR$169,1,IF($FN175&lt;HR$169,INDEX($FO$170:$IH$241,HR$169,$FN175),SUMPRODUCT(INDEX($FO$325:$IH$396,HR$169,1+SwaptionShift):INDEX($FO$325:$IH$396,HR$169,SwaptionMonthsToGo+SwaptionShift),INDEX($FO$245:$IH$316,$FN175-HR$169,73-HR$169+SwaptionShift):INDEX($FO$245:$IH$316,$FN175-HR$169,72-HR$169+SwaptionMonthsToGo+SwaptionShift))/SQRT(SUM(INDEX($FO330:$IH330,1+SwaptionShift):INDEX($FO330:$IH330,SwaptionMonthsToGo+SwaptionShift))*SUM(INDEX($FO$325:$IH$396,HR$169,1+SwaptionShift):INDEX($FO$325:$IH$396,HR$169,SwaptionMonthsToGo+SwaptionShift))))))</f>
        <v/>
      </c>
      <c r="HS175" s="469" t="str">
        <f ca="1">IF(OR(HS$169&lt;SwaptionFirstMonthPosition+1,$FN175&lt;SwaptionFirstMonthPosition+1,HS$169&gt;SwaptionFirstMonthPosition+SwaptionNumOfMonths+1,$FN175&gt;SwaptionFirstMonthPosition+SwaptionNumOfMonths+1),"",IF($FN175=HS$169,1,IF($FN175&lt;HS$169,INDEX($FO$170:$IH$241,HS$169,$FN175),SUMPRODUCT(INDEX($FO$325:$IH$396,HS$169,1+SwaptionShift):INDEX($FO$325:$IH$396,HS$169,SwaptionMonthsToGo+SwaptionShift),INDEX($FO$245:$IH$316,$FN175-HS$169,73-HS$169+SwaptionShift):INDEX($FO$245:$IH$316,$FN175-HS$169,72-HS$169+SwaptionMonthsToGo+SwaptionShift))/SQRT(SUM(INDEX($FO330:$IH330,1+SwaptionShift):INDEX($FO330:$IH330,SwaptionMonthsToGo+SwaptionShift))*SUM(INDEX($FO$325:$IH$396,HS$169,1+SwaptionShift):INDEX($FO$325:$IH$396,HS$169,SwaptionMonthsToGo+SwaptionShift))))))</f>
        <v/>
      </c>
      <c r="HT175" s="469" t="str">
        <f ca="1">IF(OR(HT$169&lt;SwaptionFirstMonthPosition+1,$FN175&lt;SwaptionFirstMonthPosition+1,HT$169&gt;SwaptionFirstMonthPosition+SwaptionNumOfMonths+1,$FN175&gt;SwaptionFirstMonthPosition+SwaptionNumOfMonths+1),"",IF($FN175=HT$169,1,IF($FN175&lt;HT$169,INDEX($FO$170:$IH$241,HT$169,$FN175),SUMPRODUCT(INDEX($FO$325:$IH$396,HT$169,1+SwaptionShift):INDEX($FO$325:$IH$396,HT$169,SwaptionMonthsToGo+SwaptionShift),INDEX($FO$245:$IH$316,$FN175-HT$169,73-HT$169+SwaptionShift):INDEX($FO$245:$IH$316,$FN175-HT$169,72-HT$169+SwaptionMonthsToGo+SwaptionShift))/SQRT(SUM(INDEX($FO330:$IH330,1+SwaptionShift):INDEX($FO330:$IH330,SwaptionMonthsToGo+SwaptionShift))*SUM(INDEX($FO$325:$IH$396,HT$169,1+SwaptionShift):INDEX($FO$325:$IH$396,HT$169,SwaptionMonthsToGo+SwaptionShift))))))</f>
        <v/>
      </c>
      <c r="HU175" s="469" t="str">
        <f ca="1">IF(OR(HU$169&lt;SwaptionFirstMonthPosition+1,$FN175&lt;SwaptionFirstMonthPosition+1,HU$169&gt;SwaptionFirstMonthPosition+SwaptionNumOfMonths+1,$FN175&gt;SwaptionFirstMonthPosition+SwaptionNumOfMonths+1),"",IF($FN175=HU$169,1,IF($FN175&lt;HU$169,INDEX($FO$170:$IH$241,HU$169,$FN175),SUMPRODUCT(INDEX($FO$325:$IH$396,HU$169,1+SwaptionShift):INDEX($FO$325:$IH$396,HU$169,SwaptionMonthsToGo+SwaptionShift),INDEX($FO$245:$IH$316,$FN175-HU$169,73-HU$169+SwaptionShift):INDEX($FO$245:$IH$316,$FN175-HU$169,72-HU$169+SwaptionMonthsToGo+SwaptionShift))/SQRT(SUM(INDEX($FO330:$IH330,1+SwaptionShift):INDEX($FO330:$IH330,SwaptionMonthsToGo+SwaptionShift))*SUM(INDEX($FO$325:$IH$396,HU$169,1+SwaptionShift):INDEX($FO$325:$IH$396,HU$169,SwaptionMonthsToGo+SwaptionShift))))))</f>
        <v/>
      </c>
      <c r="HV175" s="469" t="str">
        <f ca="1">IF(OR(HV$169&lt;SwaptionFirstMonthPosition+1,$FN175&lt;SwaptionFirstMonthPosition+1,HV$169&gt;SwaptionFirstMonthPosition+SwaptionNumOfMonths+1,$FN175&gt;SwaptionFirstMonthPosition+SwaptionNumOfMonths+1),"",IF($FN175=HV$169,1,IF($FN175&lt;HV$169,INDEX($FO$170:$IH$241,HV$169,$FN175),SUMPRODUCT(INDEX($FO$325:$IH$396,HV$169,1+SwaptionShift):INDEX($FO$325:$IH$396,HV$169,SwaptionMonthsToGo+SwaptionShift),INDEX($FO$245:$IH$316,$FN175-HV$169,73-HV$169+SwaptionShift):INDEX($FO$245:$IH$316,$FN175-HV$169,72-HV$169+SwaptionMonthsToGo+SwaptionShift))/SQRT(SUM(INDEX($FO330:$IH330,1+SwaptionShift):INDEX($FO330:$IH330,SwaptionMonthsToGo+SwaptionShift))*SUM(INDEX($FO$325:$IH$396,HV$169,1+SwaptionShift):INDEX($FO$325:$IH$396,HV$169,SwaptionMonthsToGo+SwaptionShift))))))</f>
        <v/>
      </c>
      <c r="HW175" s="469" t="str">
        <f ca="1">IF(OR(HW$169&lt;SwaptionFirstMonthPosition+1,$FN175&lt;SwaptionFirstMonthPosition+1,HW$169&gt;SwaptionFirstMonthPosition+SwaptionNumOfMonths+1,$FN175&gt;SwaptionFirstMonthPosition+SwaptionNumOfMonths+1),"",IF($FN175=HW$169,1,IF($FN175&lt;HW$169,INDEX($FO$170:$IH$241,HW$169,$FN175),SUMPRODUCT(INDEX($FO$325:$IH$396,HW$169,1+SwaptionShift):INDEX($FO$325:$IH$396,HW$169,SwaptionMonthsToGo+SwaptionShift),INDEX($FO$245:$IH$316,$FN175-HW$169,73-HW$169+SwaptionShift):INDEX($FO$245:$IH$316,$FN175-HW$169,72-HW$169+SwaptionMonthsToGo+SwaptionShift))/SQRT(SUM(INDEX($FO330:$IH330,1+SwaptionShift):INDEX($FO330:$IH330,SwaptionMonthsToGo+SwaptionShift))*SUM(INDEX($FO$325:$IH$396,HW$169,1+SwaptionShift):INDEX($FO$325:$IH$396,HW$169,SwaptionMonthsToGo+SwaptionShift))))))</f>
        <v/>
      </c>
      <c r="HX175" s="469" t="str">
        <f ca="1">IF(OR(HX$169&lt;SwaptionFirstMonthPosition+1,$FN175&lt;SwaptionFirstMonthPosition+1,HX$169&gt;SwaptionFirstMonthPosition+SwaptionNumOfMonths+1,$FN175&gt;SwaptionFirstMonthPosition+SwaptionNumOfMonths+1),"",IF($FN175=HX$169,1,IF($FN175&lt;HX$169,INDEX($FO$170:$IH$241,HX$169,$FN175),SUMPRODUCT(INDEX($FO$325:$IH$396,HX$169,1+SwaptionShift):INDEX($FO$325:$IH$396,HX$169,SwaptionMonthsToGo+SwaptionShift),INDEX($FO$245:$IH$316,$FN175-HX$169,73-HX$169+SwaptionShift):INDEX($FO$245:$IH$316,$FN175-HX$169,72-HX$169+SwaptionMonthsToGo+SwaptionShift))/SQRT(SUM(INDEX($FO330:$IH330,1+SwaptionShift):INDEX($FO330:$IH330,SwaptionMonthsToGo+SwaptionShift))*SUM(INDEX($FO$325:$IH$396,HX$169,1+SwaptionShift):INDEX($FO$325:$IH$396,HX$169,SwaptionMonthsToGo+SwaptionShift))))))</f>
        <v/>
      </c>
      <c r="HY175" s="469" t="str">
        <f ca="1">IF(OR(HY$169&lt;SwaptionFirstMonthPosition+1,$FN175&lt;SwaptionFirstMonthPosition+1,HY$169&gt;SwaptionFirstMonthPosition+SwaptionNumOfMonths+1,$FN175&gt;SwaptionFirstMonthPosition+SwaptionNumOfMonths+1),"",IF($FN175=HY$169,1,IF($FN175&lt;HY$169,INDEX($FO$170:$IH$241,HY$169,$FN175),SUMPRODUCT(INDEX($FO$325:$IH$396,HY$169,1+SwaptionShift):INDEX($FO$325:$IH$396,HY$169,SwaptionMonthsToGo+SwaptionShift),INDEX($FO$245:$IH$316,$FN175-HY$169,73-HY$169+SwaptionShift):INDEX($FO$245:$IH$316,$FN175-HY$169,72-HY$169+SwaptionMonthsToGo+SwaptionShift))/SQRT(SUM(INDEX($FO330:$IH330,1+SwaptionShift):INDEX($FO330:$IH330,SwaptionMonthsToGo+SwaptionShift))*SUM(INDEX($FO$325:$IH$396,HY$169,1+SwaptionShift):INDEX($FO$325:$IH$396,HY$169,SwaptionMonthsToGo+SwaptionShift))))))</f>
        <v/>
      </c>
      <c r="HZ175" s="469" t="str">
        <f ca="1">IF(OR(HZ$169&lt;SwaptionFirstMonthPosition+1,$FN175&lt;SwaptionFirstMonthPosition+1,HZ$169&gt;SwaptionFirstMonthPosition+SwaptionNumOfMonths+1,$FN175&gt;SwaptionFirstMonthPosition+SwaptionNumOfMonths+1),"",IF($FN175=HZ$169,1,IF($FN175&lt;HZ$169,INDEX($FO$170:$IH$241,HZ$169,$FN175),SUMPRODUCT(INDEX($FO$325:$IH$396,HZ$169,1+SwaptionShift):INDEX($FO$325:$IH$396,HZ$169,SwaptionMonthsToGo+SwaptionShift),INDEX($FO$245:$IH$316,$FN175-HZ$169,73-HZ$169+SwaptionShift):INDEX($FO$245:$IH$316,$FN175-HZ$169,72-HZ$169+SwaptionMonthsToGo+SwaptionShift))/SQRT(SUM(INDEX($FO330:$IH330,1+SwaptionShift):INDEX($FO330:$IH330,SwaptionMonthsToGo+SwaptionShift))*SUM(INDEX($FO$325:$IH$396,HZ$169,1+SwaptionShift):INDEX($FO$325:$IH$396,HZ$169,SwaptionMonthsToGo+SwaptionShift))))))</f>
        <v/>
      </c>
      <c r="IA175" s="469" t="str">
        <f ca="1">IF(OR(IA$169&lt;SwaptionFirstMonthPosition+1,$FN175&lt;SwaptionFirstMonthPosition+1,IA$169&gt;SwaptionFirstMonthPosition+SwaptionNumOfMonths+1,$FN175&gt;SwaptionFirstMonthPosition+SwaptionNumOfMonths+1),"",IF($FN175=IA$169,1,IF($FN175&lt;IA$169,INDEX($FO$170:$IH$241,IA$169,$FN175),SUMPRODUCT(INDEX($FO$325:$IH$396,IA$169,1+SwaptionShift):INDEX($FO$325:$IH$396,IA$169,SwaptionMonthsToGo+SwaptionShift),INDEX($FO$245:$IH$316,$FN175-IA$169,73-IA$169+SwaptionShift):INDEX($FO$245:$IH$316,$FN175-IA$169,72-IA$169+SwaptionMonthsToGo+SwaptionShift))/SQRT(SUM(INDEX($FO330:$IH330,1+SwaptionShift):INDEX($FO330:$IH330,SwaptionMonthsToGo+SwaptionShift))*SUM(INDEX($FO$325:$IH$396,IA$169,1+SwaptionShift):INDEX($FO$325:$IH$396,IA$169,SwaptionMonthsToGo+SwaptionShift))))))</f>
        <v/>
      </c>
      <c r="IB175" s="469" t="str">
        <f ca="1">IF(OR(IB$169&lt;SwaptionFirstMonthPosition+1,$FN175&lt;SwaptionFirstMonthPosition+1,IB$169&gt;SwaptionFirstMonthPosition+SwaptionNumOfMonths+1,$FN175&gt;SwaptionFirstMonthPosition+SwaptionNumOfMonths+1),"",IF($FN175=IB$169,1,IF($FN175&lt;IB$169,INDEX($FO$170:$IH$241,IB$169,$FN175),SUMPRODUCT(INDEX($FO$325:$IH$396,IB$169,1+SwaptionShift):INDEX($FO$325:$IH$396,IB$169,SwaptionMonthsToGo+SwaptionShift),INDEX($FO$245:$IH$316,$FN175-IB$169,73-IB$169+SwaptionShift):INDEX($FO$245:$IH$316,$FN175-IB$169,72-IB$169+SwaptionMonthsToGo+SwaptionShift))/SQRT(SUM(INDEX($FO330:$IH330,1+SwaptionShift):INDEX($FO330:$IH330,SwaptionMonthsToGo+SwaptionShift))*SUM(INDEX($FO$325:$IH$396,IB$169,1+SwaptionShift):INDEX($FO$325:$IH$396,IB$169,SwaptionMonthsToGo+SwaptionShift))))))</f>
        <v/>
      </c>
      <c r="IC175" s="469" t="str">
        <f ca="1">IF(OR(IC$169&lt;SwaptionFirstMonthPosition+1,$FN175&lt;SwaptionFirstMonthPosition+1,IC$169&gt;SwaptionFirstMonthPosition+SwaptionNumOfMonths+1,$FN175&gt;SwaptionFirstMonthPosition+SwaptionNumOfMonths+1),"",IF($FN175=IC$169,1,IF($FN175&lt;IC$169,INDEX($FO$170:$IH$241,IC$169,$FN175),SUMPRODUCT(INDEX($FO$325:$IH$396,IC$169,1+SwaptionShift):INDEX($FO$325:$IH$396,IC$169,SwaptionMonthsToGo+SwaptionShift),INDEX($FO$245:$IH$316,$FN175-IC$169,73-IC$169+SwaptionShift):INDEX($FO$245:$IH$316,$FN175-IC$169,72-IC$169+SwaptionMonthsToGo+SwaptionShift))/SQRT(SUM(INDEX($FO330:$IH330,1+SwaptionShift):INDEX($FO330:$IH330,SwaptionMonthsToGo+SwaptionShift))*SUM(INDEX($FO$325:$IH$396,IC$169,1+SwaptionShift):INDEX($FO$325:$IH$396,IC$169,SwaptionMonthsToGo+SwaptionShift))))))</f>
        <v/>
      </c>
      <c r="ID175" s="469" t="str">
        <f ca="1">IF(OR(ID$169&lt;SwaptionFirstMonthPosition+1,$FN175&lt;SwaptionFirstMonthPosition+1,ID$169&gt;SwaptionFirstMonthPosition+SwaptionNumOfMonths+1,$FN175&gt;SwaptionFirstMonthPosition+SwaptionNumOfMonths+1),"",IF($FN175=ID$169,1,IF($FN175&lt;ID$169,INDEX($FO$170:$IH$241,ID$169,$FN175),SUMPRODUCT(INDEX($FO$325:$IH$396,ID$169,1+SwaptionShift):INDEX($FO$325:$IH$396,ID$169,SwaptionMonthsToGo+SwaptionShift),INDEX($FO$245:$IH$316,$FN175-ID$169,73-ID$169+SwaptionShift):INDEX($FO$245:$IH$316,$FN175-ID$169,72-ID$169+SwaptionMonthsToGo+SwaptionShift))/SQRT(SUM(INDEX($FO330:$IH330,1+SwaptionShift):INDEX($FO330:$IH330,SwaptionMonthsToGo+SwaptionShift))*SUM(INDEX($FO$325:$IH$396,ID$169,1+SwaptionShift):INDEX($FO$325:$IH$396,ID$169,SwaptionMonthsToGo+SwaptionShift))))))</f>
        <v/>
      </c>
      <c r="IE175" s="469" t="str">
        <f ca="1">IF(OR(IE$169&lt;SwaptionFirstMonthPosition+1,$FN175&lt;SwaptionFirstMonthPosition+1,IE$169&gt;SwaptionFirstMonthPosition+SwaptionNumOfMonths+1,$FN175&gt;SwaptionFirstMonthPosition+SwaptionNumOfMonths+1),"",IF($FN175=IE$169,1,IF($FN175&lt;IE$169,INDEX($FO$170:$IH$241,IE$169,$FN175),SUMPRODUCT(INDEX($FO$325:$IH$396,IE$169,1+SwaptionShift):INDEX($FO$325:$IH$396,IE$169,SwaptionMonthsToGo+SwaptionShift),INDEX($FO$245:$IH$316,$FN175-IE$169,73-IE$169+SwaptionShift):INDEX($FO$245:$IH$316,$FN175-IE$169,72-IE$169+SwaptionMonthsToGo+SwaptionShift))/SQRT(SUM(INDEX($FO330:$IH330,1+SwaptionShift):INDEX($FO330:$IH330,SwaptionMonthsToGo+SwaptionShift))*SUM(INDEX($FO$325:$IH$396,IE$169,1+SwaptionShift):INDEX($FO$325:$IH$396,IE$169,SwaptionMonthsToGo+SwaptionShift))))))</f>
        <v/>
      </c>
      <c r="IF175" s="469" t="str">
        <f ca="1">IF(OR(IF$169&lt;SwaptionFirstMonthPosition+1,$FN175&lt;SwaptionFirstMonthPosition+1,IF$169&gt;SwaptionFirstMonthPosition+SwaptionNumOfMonths+1,$FN175&gt;SwaptionFirstMonthPosition+SwaptionNumOfMonths+1),"",IF($FN175=IF$169,1,IF($FN175&lt;IF$169,INDEX($FO$170:$IH$241,IF$169,$FN175),SUMPRODUCT(INDEX($FO$325:$IH$396,IF$169,1+SwaptionShift):INDEX($FO$325:$IH$396,IF$169,SwaptionMonthsToGo+SwaptionShift),INDEX($FO$245:$IH$316,$FN175-IF$169,73-IF$169+SwaptionShift):INDEX($FO$245:$IH$316,$FN175-IF$169,72-IF$169+SwaptionMonthsToGo+SwaptionShift))/SQRT(SUM(INDEX($FO330:$IH330,1+SwaptionShift):INDEX($FO330:$IH330,SwaptionMonthsToGo+SwaptionShift))*SUM(INDEX($FO$325:$IH$396,IF$169,1+SwaptionShift):INDEX($FO$325:$IH$396,IF$169,SwaptionMonthsToGo+SwaptionShift))))))</f>
        <v/>
      </c>
      <c r="IG175" s="469" t="str">
        <f ca="1">IF(OR(IG$169&lt;SwaptionFirstMonthPosition+1,$FN175&lt;SwaptionFirstMonthPosition+1,IG$169&gt;SwaptionFirstMonthPosition+SwaptionNumOfMonths+1,$FN175&gt;SwaptionFirstMonthPosition+SwaptionNumOfMonths+1),"",IF($FN175=IG$169,1,IF($FN175&lt;IG$169,INDEX($FO$170:$IH$241,IG$169,$FN175),SUMPRODUCT(INDEX($FO$325:$IH$396,IG$169,1+SwaptionShift):INDEX($FO$325:$IH$396,IG$169,SwaptionMonthsToGo+SwaptionShift),INDEX($FO$245:$IH$316,$FN175-IG$169,73-IG$169+SwaptionShift):INDEX($FO$245:$IH$316,$FN175-IG$169,72-IG$169+SwaptionMonthsToGo+SwaptionShift))/SQRT(SUM(INDEX($FO330:$IH330,1+SwaptionShift):INDEX($FO330:$IH330,SwaptionMonthsToGo+SwaptionShift))*SUM(INDEX($FO$325:$IH$396,IG$169,1+SwaptionShift):INDEX($FO$325:$IH$396,IG$169,SwaptionMonthsToGo+SwaptionShift))))))</f>
        <v/>
      </c>
      <c r="IH175" s="662" t="str">
        <f ca="1">IF(OR(IH$169&lt;SwaptionFirstMonthPosition+1,$FN175&lt;SwaptionFirstMonthPosition+1,IH$169&gt;SwaptionFirstMonthPosition+SwaptionNumOfMonths+1,$FN175&gt;SwaptionFirstMonthPosition+SwaptionNumOfMonths+1),"",IF($FN175=IH$169,1,IF($FN175&lt;IH$169,INDEX($FO$170:$IH$241,IH$169,$FN175),SUMPRODUCT(INDEX($FO$325:$IH$396,IH$169,1+SwaptionShift):INDEX($FO$325:$IH$396,IH$169,SwaptionMonthsToGo+SwaptionShift),INDEX($FO$245:$IH$316,$FN175-IH$169,73-IH$169+SwaptionShift):INDEX($FO$245:$IH$316,$FN175-IH$169,72-IH$169+SwaptionMonthsToGo+SwaptionShift))/SQRT(SUM(INDEX($FO330:$IH330,1+SwaptionShift):INDEX($FO330:$IH330,SwaptionMonthsToGo+SwaptionShift))*SUM(INDEX($FO$325:$IH$396,IH$169,1+SwaptionShift):INDEX($FO$325:$IH$396,IH$169,SwaptionMonthsToGo+SwaptionShift))))))</f>
        <v/>
      </c>
      <c r="II175" s="242"/>
    </row>
    <row r="176" spans="8:243">
      <c r="H176" s="49" t="e">
        <f t="shared" ca="1" si="529"/>
        <v>#N/A</v>
      </c>
      <c r="I176" s="369">
        <f t="shared" si="530"/>
        <v>41760</v>
      </c>
      <c r="J176" s="367">
        <v>23.284999999999901</v>
      </c>
      <c r="K176" s="101" t="s">
        <v>267</v>
      </c>
      <c r="L176" s="382">
        <f t="shared" si="531"/>
        <v>23.284999999999908</v>
      </c>
      <c r="M176" s="163">
        <v>0.1487</v>
      </c>
      <c r="N176" s="372">
        <v>0</v>
      </c>
      <c r="O176" s="163">
        <f t="shared" si="488"/>
        <v>0.1487</v>
      </c>
      <c r="P176" s="367">
        <v>22.078373663697398</v>
      </c>
      <c r="Q176" s="101" t="s">
        <v>267</v>
      </c>
      <c r="R176" s="367">
        <f t="shared" ca="1" si="549"/>
        <v>22.078373663697406</v>
      </c>
      <c r="S176" s="814">
        <f t="shared" si="474"/>
        <v>0.35052992230983665</v>
      </c>
      <c r="T176" s="813">
        <f t="shared" si="550"/>
        <v>0.99999999432106579</v>
      </c>
      <c r="U176" s="532">
        <f t="shared" si="551"/>
        <v>0.99999999999999978</v>
      </c>
      <c r="V176" s="379">
        <v>0</v>
      </c>
      <c r="W176" s="424">
        <f t="shared" si="489"/>
        <v>23.319090909090811</v>
      </c>
      <c r="X176" s="405">
        <f t="shared" si="490"/>
        <v>23.319090909090814</v>
      </c>
      <c r="Y176" s="313">
        <f t="shared" si="491"/>
        <v>21.97509090909081</v>
      </c>
      <c r="Z176" s="313">
        <f t="shared" ca="1" si="492"/>
        <v>21.975090909090813</v>
      </c>
      <c r="AA176" s="419">
        <f t="shared" si="493"/>
        <v>1.3440000000000001</v>
      </c>
      <c r="AB176" s="423">
        <f t="shared" ca="1" si="494"/>
        <v>1.3440000000000001</v>
      </c>
      <c r="AC176" s="221">
        <v>41749</v>
      </c>
      <c r="AD176" s="221">
        <v>41745</v>
      </c>
      <c r="AE176" s="221">
        <v>41744</v>
      </c>
      <c r="AF176" s="221">
        <v>41740</v>
      </c>
      <c r="AG176" s="241" t="s">
        <v>497</v>
      </c>
      <c r="AH176" s="239" t="s">
        <v>497</v>
      </c>
      <c r="AI176" s="141">
        <v>22</v>
      </c>
      <c r="AJ176" s="41">
        <v>14</v>
      </c>
      <c r="AK176" s="41">
        <v>8</v>
      </c>
      <c r="AL176" s="285">
        <v>22</v>
      </c>
      <c r="AM176" s="41">
        <v>10</v>
      </c>
      <c r="AN176" s="142">
        <v>12</v>
      </c>
      <c r="AO176" s="364">
        <v>6.0922718896615699E-2</v>
      </c>
      <c r="AP176" s="145">
        <f t="shared" ca="1" si="532"/>
        <v>0.45444648315858427</v>
      </c>
      <c r="AQ176" s="364">
        <v>5.3840000091172999E-2</v>
      </c>
      <c r="AR176" s="145">
        <f t="shared" ca="1" si="552"/>
        <v>0.50075083186834723</v>
      </c>
      <c r="AS176" s="264">
        <f t="shared" si="495"/>
        <v>0.14815454545454546</v>
      </c>
      <c r="AT176" s="149">
        <f t="shared" si="533"/>
        <v>0.1487</v>
      </c>
      <c r="AU176" s="149">
        <f t="shared" si="496"/>
        <v>0.14808181818181818</v>
      </c>
      <c r="AV176" s="263">
        <f t="shared" ca="1" si="560"/>
        <v>0.14645983136598589</v>
      </c>
      <c r="AW176" s="150" t="str">
        <f t="shared" ca="1" si="497"/>
        <v/>
      </c>
      <c r="AX176" s="149">
        <f t="shared" ca="1" si="553"/>
        <v>7.1916560072590651E-3</v>
      </c>
      <c r="AY176" s="149">
        <f t="shared" ca="1" si="554"/>
        <v>2.6038991087375097E-3</v>
      </c>
      <c r="AZ176" s="149">
        <f t="shared" ca="1" si="555"/>
        <v>2.4223471187461007E-3</v>
      </c>
      <c r="BA176" s="149">
        <f t="shared" ca="1" si="556"/>
        <v>1.0000000000000731E-4</v>
      </c>
      <c r="BB176" s="149">
        <f t="shared" ca="1" si="557"/>
        <v>1.0000000000000731E-4</v>
      </c>
      <c r="BC176" s="149">
        <f t="shared" ca="1" si="558"/>
        <v>1.0000000000000731E-4</v>
      </c>
      <c r="BD176" s="143">
        <f t="shared" ca="1" si="498"/>
        <v>0</v>
      </c>
      <c r="BE176" s="144">
        <f t="shared" ca="1" si="499"/>
        <v>0</v>
      </c>
      <c r="BF176" s="40">
        <f t="shared" si="500"/>
        <v>2014</v>
      </c>
      <c r="BG176" s="139">
        <f t="shared" si="501"/>
        <v>5</v>
      </c>
      <c r="BH176" s="140">
        <f t="shared" ca="1" si="502"/>
        <v>4755</v>
      </c>
      <c r="BI176" s="304">
        <f t="shared" ca="1" si="570"/>
        <v>13.059548254620124</v>
      </c>
      <c r="BJ176" s="42">
        <f t="shared" ca="1" si="503"/>
        <v>13.111816315101736</v>
      </c>
      <c r="BK176" s="42">
        <f t="shared" ca="1" si="504"/>
        <v>13.114554165888869</v>
      </c>
      <c r="BL176" s="42">
        <f t="shared" ca="1" si="571"/>
        <v>13.141683778234086</v>
      </c>
      <c r="BM176" s="285">
        <f t="shared" si="572"/>
        <v>22</v>
      </c>
      <c r="BN176" s="41">
        <f t="shared" si="573"/>
        <v>14</v>
      </c>
      <c r="BO176" s="41">
        <f t="shared" si="574"/>
        <v>8</v>
      </c>
      <c r="BP176" s="297" t="str">
        <f t="shared" ca="1" si="505"/>
        <v/>
      </c>
      <c r="BQ176" s="297" t="str">
        <f t="shared" ca="1" si="506"/>
        <v/>
      </c>
      <c r="BR176" s="299" t="str">
        <f t="shared" ca="1" si="507"/>
        <v/>
      </c>
      <c r="BS176" s="153" t="str">
        <f t="shared" ca="1" si="508"/>
        <v/>
      </c>
      <c r="BT176" s="153" t="str">
        <f t="shared" ca="1" si="509"/>
        <v/>
      </c>
      <c r="BU176" s="300" t="str">
        <f t="shared" ca="1" si="510"/>
        <v/>
      </c>
      <c r="BV176" s="301" t="str">
        <f t="shared" ca="1" si="511"/>
        <v/>
      </c>
      <c r="BW176" s="300" t="str">
        <f t="shared" ca="1" si="512"/>
        <v/>
      </c>
      <c r="BX176" s="301" t="str">
        <f t="shared" ca="1" si="513"/>
        <v/>
      </c>
      <c r="BY176" s="146" t="str">
        <f t="shared" ca="1" si="514"/>
        <v/>
      </c>
      <c r="BZ176" s="146" t="str">
        <f t="shared" ca="1" si="515"/>
        <v/>
      </c>
      <c r="CA176" s="146" t="str">
        <f t="shared" ca="1" si="516"/>
        <v/>
      </c>
      <c r="CB176" s="146" t="str">
        <f t="shared" ca="1" si="517"/>
        <v/>
      </c>
      <c r="CC176" s="302">
        <v>1</v>
      </c>
      <c r="CD176" s="154">
        <f ca="1">IF(BD176,_xll.xCrudeAPO(BS176,BT176,BY176,BZ176,S177,S178,BI176,BL176,BN176,BO176,0,Strike1,AO176,CC176,0,BL176,IF(OptControl=4,0,1),0,1),0)</f>
        <v>0</v>
      </c>
      <c r="CE176" s="155">
        <f ca="1">IF(BD176,_xll.xCrudeAPO(BS176,BT176,BY176,BZ176,S177,S178,BI176,BL176,BN176,BO176,0,Strike1,AO176,CC176,0,BL176,IF(OptControl=4,0,1),1,1)+_xll.xCrudeAPO(BS176,BT176,BY176,BZ176,S177,S178,BI176,BL176,BN176,BO176,0,Strike1,AO176,CC176,0,BL176,IF(OptControl=4,0,1),1,2)+IF(OR(VolSkewFlag=2,ABS(BQ176)&lt;0.0001),0,IF(BQ176&gt;0,-1,1)*CF176*Strike1/BP176^2*BW176/10%),0)</f>
        <v>0</v>
      </c>
      <c r="CF176" s="155">
        <f ca="1">IF(BD176,(_xll.xCrudeAPO(BS176,BT176,BY176,BZ176,S177,S178,BI176,BL176,BN176,BO176,0,Strike1,AO176,CC176,0,BL176,IF(OptControl=4,0,1),3,1)+_xll.xCrudeAPO(BS176,BT176,BY176,BZ176,S177,S178,BI176,BL176,BN176,BO176,0,Strike1,AO176,CC176,0,BL176,IF(OptControl=4,0,1),3,2))/100,0)</f>
        <v>0</v>
      </c>
      <c r="CG176" s="155">
        <f ca="1">IF(BD176,_xll.xCrudeAPO(BS176,BT176,BY176,BZ176,S177,S178,BI176-DaysForThetaCalculation/365.25,BL176-DaysForThetaCalculation/365.25,BN176,BO176,0,Strike1,AO176,CC176,0,BL176,IF(OptControl=4,0,1),0,1)-_xll.xCrudeAPO(BS176,BT176,BY176,BZ176,S177,S178,BI176,BL176,BN176,BO176,0,Strike1,AO176,CC176,0,BL176,IF(OptControl=4,0,1),0,1),0)</f>
        <v>0</v>
      </c>
      <c r="CH176" s="303">
        <f ca="1">IF(BD176,_xll.xCrudeAPO(BS176,BT176,CA176,CB176,S177,S178,BI176,BL176,BN176,BO176,0,Strike2,AO176,CC176,0,BL176,IF(OptControl=3,1,0),0,1),0)</f>
        <v>0</v>
      </c>
      <c r="CI176" s="155">
        <f ca="1">IF(BD176,_xll.xCrudeAPO(BS176,BT176,CA176,CB176,S177,S178,BI176,BL176,BN176,BO176,0,Strike2,AO176,CC176,0,BL176,IF(OptControl=3,1,0),1,1)+_xll.xCrudeAPO(BS176,BT176,CA176,CB176,S177,S178,BI176,BL176,BN176,BO176,0,Strike2,AO176,CC176,0,BL176,IF(OptControl=3,1,0),1,2)+IF(OR(VolSkewFlag=2,ABS(BR176)&lt;0.0001),0,IF(BR176&gt;0,-1,1)*CJ176*Strike2/BP176^2*BX176/10%),0)</f>
        <v>0</v>
      </c>
      <c r="CJ176" s="155">
        <f ca="1">IF(BD176,(_xll.xCrudeAPO(BS176,BT176,CA176,CB176,S177,S178,BI176,BL176,BN176,BO176,0,Strike2,AO176,CC176,0,BL176,IF(OptControl=3,1,0),3,1)+_xll.xCrudeAPO(BS176,BT176,CA176,CB176,S177,S178,BI176,BL176,BN176,BO176,0,Strike2,AO176,CC176,0,BL176,IF(OptControl=3,1,0),3,2))/100,0)</f>
        <v>0</v>
      </c>
      <c r="CK176" s="156">
        <f ca="1">IF(BD176,_xll.xCrudeAPO(BS176,BT176,CA176,CB176,S177,S178,BI176-DaysForThetaCalculation/365.25,BL176-DaysForThetaCalculation/365.25,BN176,BO176,0,Strike2,AO176,CC176,0,BL176,IF(OptControl=3,1,0),0,1)-_xll.xCrudeAPO(BS176,BT176,CA176,CB176,S177,S178,BI176,BL176,BN176,BO176,0,Strike2,AO176,CC176,0,BL176,IF(OptControl=3,1,0),0,1),0)</f>
        <v>0</v>
      </c>
      <c r="CL176" s="51"/>
      <c r="CM176" s="779" t="str">
        <f t="shared" ca="1" si="534"/>
        <v/>
      </c>
      <c r="CN176" s="783" t="str">
        <f t="shared" ca="1" si="535"/>
        <v/>
      </c>
      <c r="CO176" s="780" t="str">
        <f t="shared" ca="1" si="536"/>
        <v/>
      </c>
      <c r="CP176" s="780" t="str">
        <f t="shared" ca="1" si="537"/>
        <v/>
      </c>
      <c r="CQ176" s="780" t="str">
        <f t="shared" ca="1" si="538"/>
        <v/>
      </c>
      <c r="CR176" s="780" t="str">
        <f t="shared" ca="1" si="539"/>
        <v/>
      </c>
      <c r="CS176" s="781" t="str">
        <f t="shared" ca="1" si="540"/>
        <v/>
      </c>
      <c r="CT176" s="782" t="str">
        <f t="shared" ca="1" si="541"/>
        <v/>
      </c>
      <c r="CU176" s="782" t="str">
        <f t="shared" ca="1" si="542"/>
        <v/>
      </c>
      <c r="CV176" s="155">
        <f ca="1">IF(BD176,_xll.EURO(CN176,Strike1,AO176,AO176,CT176,CM176,IF(OptControl=4,0,1),0),0)</f>
        <v>0</v>
      </c>
      <c r="CW176" s="155">
        <f ca="1">IF(BD176,_xll.EURO(CN176,Strike1,AO176,AO176,CT176,CM176,IF(OptControl=4,0,1),1)+IF(OR(VolSkewFlag=2,ABS(CO176)&lt;0.0001),0,IF(CO176&gt;0,-1,1)*CX176*100*Strike1/CN176^2*CQ176/10%),0)</f>
        <v>0</v>
      </c>
      <c r="CX176" s="155">
        <f ca="1">IF(BD176,_xll.EURO(CN176,Strike1,AO176,AO176,CT176,CM176,IF(OptControl=4,0,1),3)/100,0)</f>
        <v>0</v>
      </c>
      <c r="CY176" s="155">
        <f ca="1">IF(BD176,_xll.EURO(CN176,Strike1,AO176,AO176,CT176,CM176,IF(OptControl=4,0,1),0)-_xll.EURO(CN176,Strike1,AO176,AO176,CT176,CM176-1,IF(OptControl=4,0,1),0),0)</f>
        <v>0</v>
      </c>
      <c r="CZ176" s="155">
        <f ca="1">IF(BD176,_xll.EURO(CN176,Strike2,AO176,AO176,CU176,CM176,IF(OptControl=3,1,0),0),0)</f>
        <v>0</v>
      </c>
      <c r="DA176" s="155">
        <f ca="1">IF(BD176,_xll.EURO(CN176,Strike2,AO176,AO176,CU176,CM176,IF(OptControl=3,1,0),1)+IF(OR(VolSkewFlag=2,ABS(CP176)&lt;0.0001),0,IF(CP176&gt;0,-1,1)*DB176*100*Strike2/CN176^2*CR176/10%),0)</f>
        <v>0</v>
      </c>
      <c r="DB176" s="155">
        <f ca="1">IF(BD176,_xll.EURO(CN176,Strike2,AO176,AO176,CU176,CM176,IF(OptControl=3,1,0),3)/100,0)</f>
        <v>0</v>
      </c>
      <c r="DC176" s="156">
        <f ca="1">IF(BD176,_xll.EURO(CN176,Strike2,AO176,AO176,CU176,CM176,IF(OptControl=3,1,0),0)-_xll.EURO(CN176,Strike2,AO176,AO176,CU176,CM176-1,IF(OptControl=3,1,0),0),0)</f>
        <v>0</v>
      </c>
      <c r="DE176" s="651">
        <f t="shared" ca="1" si="543"/>
        <v>41671</v>
      </c>
      <c r="DF176" s="465">
        <v>1E-4</v>
      </c>
      <c r="DG176" s="649">
        <v>1E-4</v>
      </c>
      <c r="DH176" s="650">
        <f t="shared" ca="1" si="518"/>
        <v>41671</v>
      </c>
      <c r="DI176" s="465">
        <v>1E-4</v>
      </c>
      <c r="DJ176" s="649">
        <v>1E-4</v>
      </c>
      <c r="DK176" s="651">
        <f t="shared" ca="1" si="519"/>
        <v>41671</v>
      </c>
      <c r="DL176" s="652">
        <f t="shared" si="520"/>
        <v>5.0100000000000006E-2</v>
      </c>
      <c r="DM176" s="651">
        <f t="shared" ca="1" si="544"/>
        <v>41671</v>
      </c>
      <c r="DN176" s="563">
        <f t="shared" si="545"/>
        <v>-0.12990000000000002</v>
      </c>
      <c r="DO176" s="803">
        <v>-0.13</v>
      </c>
      <c r="DP176" s="650">
        <f t="shared" ca="1" si="521"/>
        <v>41671</v>
      </c>
      <c r="DQ176" s="653">
        <v>1E-4</v>
      </c>
      <c r="DR176" s="590">
        <v>1E-4</v>
      </c>
      <c r="DS176" s="650">
        <f t="shared" ca="1" si="522"/>
        <v>41671</v>
      </c>
      <c r="DT176" s="653">
        <v>1E-4</v>
      </c>
      <c r="DU176" s="590">
        <v>1E-4</v>
      </c>
      <c r="DV176" s="651">
        <f t="shared" ca="1" si="523"/>
        <v>41671</v>
      </c>
      <c r="DW176" s="590">
        <v>1E-4</v>
      </c>
      <c r="DX176" s="651">
        <f t="shared" ca="1" si="546"/>
        <v>41671</v>
      </c>
      <c r="DY176" s="590">
        <f t="shared" si="547"/>
        <v>1E-4</v>
      </c>
      <c r="DZ176" s="1"/>
      <c r="EA176" s="857"/>
      <c r="EB176" s="857"/>
      <c r="EC176" s="857"/>
      <c r="ED176" s="868" t="e">
        <f t="shared" ca="1" si="566"/>
        <v>#NAME?</v>
      </c>
      <c r="EE176" s="863" t="e">
        <f t="shared" ca="1" si="524"/>
        <v>#NAME?</v>
      </c>
      <c r="EF176" s="590" t="e">
        <f t="shared" ca="1" si="525"/>
        <v>#NAME?</v>
      </c>
      <c r="EG176" s="862" t="str">
        <f t="shared" ca="1" si="526"/>
        <v/>
      </c>
      <c r="EH176" s="114" t="str">
        <f t="shared" ca="1" si="527"/>
        <v/>
      </c>
      <c r="EI176" s="109" t="str">
        <f t="shared" ca="1" si="528"/>
        <v/>
      </c>
      <c r="EJ176" s="115">
        <f ca="1">IF(BD176,_xll.xASN(BP176,Strike1,AO176,EH176,0,BM176,0,BI176,BL176,IF(OptControl=4,0,1),0),0)</f>
        <v>0</v>
      </c>
      <c r="EK176" s="108">
        <f ca="1">IF(BD176,_xll.xASN(BP176,Strike2,AO176,EI176,0,BM176,0,BI176,BL176,IF(OptControl=3,1,0),0),0)</f>
        <v>0</v>
      </c>
      <c r="EP176" s="53"/>
      <c r="EQ176" s="1"/>
      <c r="ER176" s="103"/>
      <c r="ES176" s="103"/>
      <c r="ET176" s="1"/>
      <c r="EU176" s="667" t="s">
        <v>388</v>
      </c>
      <c r="EW176" s="445"/>
      <c r="EX176" s="36"/>
      <c r="EY176" s="104"/>
      <c r="EZ176" s="465"/>
      <c r="FA176" s="446"/>
      <c r="FB176" s="446"/>
      <c r="FC176" s="242"/>
      <c r="FD176" s="242"/>
      <c r="FE176" s="242"/>
      <c r="FF176" s="242"/>
      <c r="FG176" s="242"/>
      <c r="FH176" s="242"/>
      <c r="FI176" s="242"/>
      <c r="FJ176" s="242"/>
      <c r="FK176" s="242"/>
      <c r="FL176" s="242"/>
      <c r="FM176" s="242"/>
      <c r="FN176" s="657">
        <v>7</v>
      </c>
      <c r="FO176" s="469" t="str">
        <f ca="1">IF(OR(FO$169&lt;SwaptionFirstMonthPosition+1,$FN176&lt;SwaptionFirstMonthPosition+1,FO$169&gt;SwaptionFirstMonthPosition+SwaptionNumOfMonths+1,$FN176&gt;SwaptionFirstMonthPosition+SwaptionNumOfMonths+1),"",IF($FN176=FO$169,1,IF($FN176&lt;FO$169,INDEX($FO$170:$IH$241,FO$169,$FN176),SUMPRODUCT(INDEX($FO$325:$IH$396,FO$169,1+SwaptionShift):INDEX($FO$325:$IH$396,FO$169,SwaptionMonthsToGo+SwaptionShift),INDEX($FO$245:$IH$316,$FN176-FO$169,73-FO$169+SwaptionShift):INDEX($FO$245:$IH$316,$FN176-FO$169,72-FO$169+SwaptionMonthsToGo+SwaptionShift))/SQRT(SUM(INDEX($FO331:$IH331,1+SwaptionShift):INDEX($FO331:$IH331,SwaptionMonthsToGo+SwaptionShift))*SUM(INDEX($FO$325:$IH$396,FO$169,1+SwaptionShift):INDEX($FO$325:$IH$396,FO$169,SwaptionMonthsToGo+SwaptionShift))))))</f>
        <v/>
      </c>
      <c r="FP176" s="469">
        <f ca="1">IF(OR(FP$169&lt;SwaptionFirstMonthPosition+1,$FN176&lt;SwaptionFirstMonthPosition+1,FP$169&gt;SwaptionFirstMonthPosition+SwaptionNumOfMonths+1,$FN176&gt;SwaptionFirstMonthPosition+SwaptionNumOfMonths+1),"",IF($FN176=FP$169,1,IF($FN176&lt;FP$169,INDEX($FO$170:$IH$241,FP$169,$FN176),SUMPRODUCT(INDEX($FO$325:$IH$396,FP$169,1+SwaptionShift):INDEX($FO$325:$IH$396,FP$169,SwaptionMonthsToGo+SwaptionShift),INDEX($FO$245:$IH$316,$FN176-FP$169,73-FP$169+SwaptionShift):INDEX($FO$245:$IH$316,$FN176-FP$169,72-FP$169+SwaptionMonthsToGo+SwaptionShift))/SQRT(SUM(INDEX($FO331:$IH331,1+SwaptionShift):INDEX($FO331:$IH331,SwaptionMonthsToGo+SwaptionShift))*SUM(INDEX($FO$325:$IH$396,FP$169,1+SwaptionShift):INDEX($FO$325:$IH$396,FP$169,SwaptionMonthsToGo+SwaptionShift))))))</f>
        <v>0.93451137408109308</v>
      </c>
      <c r="FQ176" s="469">
        <f ca="1">IF(OR(FQ$169&lt;SwaptionFirstMonthPosition+1,$FN176&lt;SwaptionFirstMonthPosition+1,FQ$169&gt;SwaptionFirstMonthPosition+SwaptionNumOfMonths+1,$FN176&gt;SwaptionFirstMonthPosition+SwaptionNumOfMonths+1),"",IF($FN176=FQ$169,1,IF($FN176&lt;FQ$169,INDEX($FO$170:$IH$241,FQ$169,$FN176),SUMPRODUCT(INDEX($FO$325:$IH$396,FQ$169,1+SwaptionShift):INDEX($FO$325:$IH$396,FQ$169,SwaptionMonthsToGo+SwaptionShift),INDEX($FO$245:$IH$316,$FN176-FQ$169,73-FQ$169+SwaptionShift):INDEX($FO$245:$IH$316,$FN176-FQ$169,72-FQ$169+SwaptionMonthsToGo+SwaptionShift))/SQRT(SUM(INDEX($FO331:$IH331,1+SwaptionShift):INDEX($FO331:$IH331,SwaptionMonthsToGo+SwaptionShift))*SUM(INDEX($FO$325:$IH$396,FQ$169,1+SwaptionShift):INDEX($FO$325:$IH$396,FQ$169,SwaptionMonthsToGo+SwaptionShift))))))</f>
        <v>0.95266914852180873</v>
      </c>
      <c r="FR176" s="469">
        <f ca="1">IF(OR(FR$169&lt;SwaptionFirstMonthPosition+1,$FN176&lt;SwaptionFirstMonthPosition+1,FR$169&gt;SwaptionFirstMonthPosition+SwaptionNumOfMonths+1,$FN176&gt;SwaptionFirstMonthPosition+SwaptionNumOfMonths+1),"",IF($FN176=FR$169,1,IF($FN176&lt;FR$169,INDEX($FO$170:$IH$241,FR$169,$FN176),SUMPRODUCT(INDEX($FO$325:$IH$396,FR$169,1+SwaptionShift):INDEX($FO$325:$IH$396,FR$169,SwaptionMonthsToGo+SwaptionShift),INDEX($FO$245:$IH$316,$FN176-FR$169,73-FR$169+SwaptionShift):INDEX($FO$245:$IH$316,$FN176-FR$169,72-FR$169+SwaptionMonthsToGo+SwaptionShift))/SQRT(SUM(INDEX($FO331:$IH331,1+SwaptionShift):INDEX($FO331:$IH331,SwaptionMonthsToGo+SwaptionShift))*SUM(INDEX($FO$325:$IH$396,FR$169,1+SwaptionShift):INDEX($FO$325:$IH$396,FR$169,SwaptionMonthsToGo+SwaptionShift))))))</f>
        <v>0.9677724727763295</v>
      </c>
      <c r="FS176" s="469">
        <f ca="1">IF(OR(FS$169&lt;SwaptionFirstMonthPosition+1,$FN176&lt;SwaptionFirstMonthPosition+1,FS$169&gt;SwaptionFirstMonthPosition+SwaptionNumOfMonths+1,$FN176&gt;SwaptionFirstMonthPosition+SwaptionNumOfMonths+1),"",IF($FN176=FS$169,1,IF($FN176&lt;FS$169,INDEX($FO$170:$IH$241,FS$169,$FN176),SUMPRODUCT(INDEX($FO$325:$IH$396,FS$169,1+SwaptionShift):INDEX($FO$325:$IH$396,FS$169,SwaptionMonthsToGo+SwaptionShift),INDEX($FO$245:$IH$316,$FN176-FS$169,73-FS$169+SwaptionShift):INDEX($FO$245:$IH$316,$FN176-FS$169,72-FS$169+SwaptionMonthsToGo+SwaptionShift))/SQRT(SUM(INDEX($FO331:$IH331,1+SwaptionShift):INDEX($FO331:$IH331,SwaptionMonthsToGo+SwaptionShift))*SUM(INDEX($FO$325:$IH$396,FS$169,1+SwaptionShift):INDEX($FO$325:$IH$396,FS$169,SwaptionMonthsToGo+SwaptionShift))))))</f>
        <v>0.98040066335647591</v>
      </c>
      <c r="FT176" s="469">
        <f ca="1">IF(OR(FT$169&lt;SwaptionFirstMonthPosition+1,$FN176&lt;SwaptionFirstMonthPosition+1,FT$169&gt;SwaptionFirstMonthPosition+SwaptionNumOfMonths+1,$FN176&gt;SwaptionFirstMonthPosition+SwaptionNumOfMonths+1),"",IF($FN176=FT$169,1,IF($FN176&lt;FT$169,INDEX($FO$170:$IH$241,FT$169,$FN176),SUMPRODUCT(INDEX($FO$325:$IH$396,FT$169,1+SwaptionShift):INDEX($FO$325:$IH$396,FT$169,SwaptionMonthsToGo+SwaptionShift),INDEX($FO$245:$IH$316,$FN176-FT$169,73-FT$169+SwaptionShift):INDEX($FO$245:$IH$316,$FN176-FT$169,72-FT$169+SwaptionMonthsToGo+SwaptionShift))/SQRT(SUM(INDEX($FO331:$IH331,1+SwaptionShift):INDEX($FO331:$IH331,SwaptionMonthsToGo+SwaptionShift))*SUM(INDEX($FO$325:$IH$396,FT$169,1+SwaptionShift):INDEX($FO$325:$IH$396,FT$169,SwaptionMonthsToGo+SwaptionShift))))))</f>
        <v>0.99101907757860119</v>
      </c>
      <c r="FU176" s="469">
        <f ca="1">IF(OR(FU$169&lt;SwaptionFirstMonthPosition+1,$FN176&lt;SwaptionFirstMonthPosition+1,FU$169&gt;SwaptionFirstMonthPosition+SwaptionNumOfMonths+1,$FN176&gt;SwaptionFirstMonthPosition+SwaptionNumOfMonths+1),"",IF($FN176=FU$169,1,IF($FN176&lt;FU$169,INDEX($FO$170:$IH$241,FU$169,$FN176),SUMPRODUCT(INDEX($FO$325:$IH$396,FU$169,1+SwaptionShift):INDEX($FO$325:$IH$396,FU$169,SwaptionMonthsToGo+SwaptionShift),INDEX($FO$245:$IH$316,$FN176-FU$169,73-FU$169+SwaptionShift):INDEX($FO$245:$IH$316,$FN176-FU$169,72-FU$169+SwaptionMonthsToGo+SwaptionShift))/SQRT(SUM(INDEX($FO331:$IH331,1+SwaptionShift):INDEX($FO331:$IH331,SwaptionMonthsToGo+SwaptionShift))*SUM(INDEX($FO$325:$IH$396,FU$169,1+SwaptionShift):INDEX($FO$325:$IH$396,FU$169,SwaptionMonthsToGo+SwaptionShift))))))</f>
        <v>1</v>
      </c>
      <c r="FV176" s="469">
        <f ca="1">IF(OR(FV$169&lt;SwaptionFirstMonthPosition+1,$FN176&lt;SwaptionFirstMonthPosition+1,FV$169&gt;SwaptionFirstMonthPosition+SwaptionNumOfMonths+1,$FN176&gt;SwaptionFirstMonthPosition+SwaptionNumOfMonths+1),"",IF($FN176=FV$169,1,IF($FN176&lt;FV$169,INDEX($FO$170:$IH$241,FV$169,$FN176),SUMPRODUCT(INDEX($FO$325:$IH$396,FV$169,1+SwaptionShift):INDEX($FO$325:$IH$396,FV$169,SwaptionMonthsToGo+SwaptionShift),INDEX($FO$245:$IH$316,$FN176-FV$169,73-FV$169+SwaptionShift):INDEX($FO$245:$IH$316,$FN176-FV$169,72-FV$169+SwaptionMonthsToGo+SwaptionShift))/SQRT(SUM(INDEX($FO331:$IH331,1+SwaptionShift):INDEX($FO331:$IH331,SwaptionMonthsToGo+SwaptionShift))*SUM(INDEX($FO$325:$IH$396,FV$169,1+SwaptionShift):INDEX($FO$325:$IH$396,FV$169,SwaptionMonthsToGo+SwaptionShift))))))</f>
        <v>0.99241168968935711</v>
      </c>
      <c r="FW176" s="469">
        <f ca="1">IF(OR(FW$169&lt;SwaptionFirstMonthPosition+1,$FN176&lt;SwaptionFirstMonthPosition+1,FW$169&gt;SwaptionFirstMonthPosition+SwaptionNumOfMonths+1,$FN176&gt;SwaptionFirstMonthPosition+SwaptionNumOfMonths+1),"",IF($FN176=FW$169,1,IF($FN176&lt;FW$169,INDEX($FO$170:$IH$241,FW$169,$FN176),SUMPRODUCT(INDEX($FO$325:$IH$396,FW$169,1+SwaptionShift):INDEX($FO$325:$IH$396,FW$169,SwaptionMonthsToGo+SwaptionShift),INDEX($FO$245:$IH$316,$FN176-FW$169,73-FW$169+SwaptionShift):INDEX($FO$245:$IH$316,$FN176-FW$169,72-FW$169+SwaptionMonthsToGo+SwaptionShift))/SQRT(SUM(INDEX($FO331:$IH331,1+SwaptionShift):INDEX($FO331:$IH331,SwaptionMonthsToGo+SwaptionShift))*SUM(INDEX($FO$325:$IH$396,FW$169,1+SwaptionShift):INDEX($FO$325:$IH$396,FW$169,SwaptionMonthsToGo+SwaptionShift))))))</f>
        <v>0.98599973326801615</v>
      </c>
      <c r="FX176" s="469">
        <f ca="1">IF(OR(FX$169&lt;SwaptionFirstMonthPosition+1,$FN176&lt;SwaptionFirstMonthPosition+1,FX$169&gt;SwaptionFirstMonthPosition+SwaptionNumOfMonths+1,$FN176&gt;SwaptionFirstMonthPosition+SwaptionNumOfMonths+1),"",IF($FN176=FX$169,1,IF($FN176&lt;FX$169,INDEX($FO$170:$IH$241,FX$169,$FN176),SUMPRODUCT(INDEX($FO$325:$IH$396,FX$169,1+SwaptionShift):INDEX($FO$325:$IH$396,FX$169,SwaptionMonthsToGo+SwaptionShift),INDEX($FO$245:$IH$316,$FN176-FX$169,73-FX$169+SwaptionShift):INDEX($FO$245:$IH$316,$FN176-FX$169,72-FX$169+SwaptionMonthsToGo+SwaptionShift))/SQRT(SUM(INDEX($FO331:$IH331,1+SwaptionShift):INDEX($FO331:$IH331,SwaptionMonthsToGo+SwaptionShift))*SUM(INDEX($FO$325:$IH$396,FX$169,1+SwaptionShift):INDEX($FO$325:$IH$396,FX$169,SwaptionMonthsToGo+SwaptionShift))))))</f>
        <v>0.98054062244140261</v>
      </c>
      <c r="FY176" s="469">
        <f ca="1">IF(OR(FY$169&lt;SwaptionFirstMonthPosition+1,$FN176&lt;SwaptionFirstMonthPosition+1,FY$169&gt;SwaptionFirstMonthPosition+SwaptionNumOfMonths+1,$FN176&gt;SwaptionFirstMonthPosition+SwaptionNumOfMonths+1),"",IF($FN176=FY$169,1,IF($FN176&lt;FY$169,INDEX($FO$170:$IH$241,FY$169,$FN176),SUMPRODUCT(INDEX($FO$325:$IH$396,FY$169,1+SwaptionShift):INDEX($FO$325:$IH$396,FY$169,SwaptionMonthsToGo+SwaptionShift),INDEX($FO$245:$IH$316,$FN176-FY$169,73-FY$169+SwaptionShift):INDEX($FO$245:$IH$316,$FN176-FY$169,72-FY$169+SwaptionMonthsToGo+SwaptionShift))/SQRT(SUM(INDEX($FO331:$IH331,1+SwaptionShift):INDEX($FO331:$IH331,SwaptionMonthsToGo+SwaptionShift))*SUM(INDEX($FO$325:$IH$396,FY$169,1+SwaptionShift):INDEX($FO$325:$IH$396,FY$169,SwaptionMonthsToGo+SwaptionShift))))))</f>
        <v>0.97586082228565507</v>
      </c>
      <c r="FZ176" s="469">
        <f ca="1">IF(OR(FZ$169&lt;SwaptionFirstMonthPosition+1,$FN176&lt;SwaptionFirstMonthPosition+1,FZ$169&gt;SwaptionFirstMonthPosition+SwaptionNumOfMonths+1,$FN176&gt;SwaptionFirstMonthPosition+SwaptionNumOfMonths+1),"",IF($FN176=FZ$169,1,IF($FN176&lt;FZ$169,INDEX($FO$170:$IH$241,FZ$169,$FN176),SUMPRODUCT(INDEX($FO$325:$IH$396,FZ$169,1+SwaptionShift):INDEX($FO$325:$IH$396,FZ$169,SwaptionMonthsToGo+SwaptionShift),INDEX($FO$245:$IH$316,$FN176-FZ$169,73-FZ$169+SwaptionShift):INDEX($FO$245:$IH$316,$FN176-FZ$169,72-FZ$169+SwaptionMonthsToGo+SwaptionShift))/SQRT(SUM(INDEX($FO331:$IH331,1+SwaptionShift):INDEX($FO331:$IH331,SwaptionMonthsToGo+SwaptionShift))*SUM(INDEX($FO$325:$IH$396,FZ$169,1+SwaptionShift):INDEX($FO$325:$IH$396,FZ$169,SwaptionMonthsToGo+SwaptionShift))))))</f>
        <v>0.97182431005401637</v>
      </c>
      <c r="GA176" s="469">
        <f ca="1">IF(OR(GA$169&lt;SwaptionFirstMonthPosition+1,$FN176&lt;SwaptionFirstMonthPosition+1,GA$169&gt;SwaptionFirstMonthPosition+SwaptionNumOfMonths+1,$FN176&gt;SwaptionFirstMonthPosition+SwaptionNumOfMonths+1),"",IF($FN176=GA$169,1,IF($FN176&lt;GA$169,INDEX($FO$170:$IH$241,GA$169,$FN176),SUMPRODUCT(INDEX($FO$325:$IH$396,GA$169,1+SwaptionShift):INDEX($FO$325:$IH$396,GA$169,SwaptionMonthsToGo+SwaptionShift),INDEX($FO$245:$IH$316,$FN176-GA$169,73-GA$169+SwaptionShift):INDEX($FO$245:$IH$316,$FN176-GA$169,72-GA$169+SwaptionMonthsToGo+SwaptionShift))/SQRT(SUM(INDEX($FO331:$IH331,1+SwaptionShift):INDEX($FO331:$IH331,SwaptionMonthsToGo+SwaptionShift))*SUM(INDEX($FO$325:$IH$396,GA$169,1+SwaptionShift):INDEX($FO$325:$IH$396,GA$169,SwaptionMonthsToGo+SwaptionShift))))))</f>
        <v>0.96832346747239872</v>
      </c>
      <c r="GB176" s="469">
        <f ca="1">IF(OR(GB$169&lt;SwaptionFirstMonthPosition+1,$FN176&lt;SwaptionFirstMonthPosition+1,GB$169&gt;SwaptionFirstMonthPosition+SwaptionNumOfMonths+1,$FN176&gt;SwaptionFirstMonthPosition+SwaptionNumOfMonths+1),"",IF($FN176=GB$169,1,IF($FN176&lt;GB$169,INDEX($FO$170:$IH$241,GB$169,$FN176),SUMPRODUCT(INDEX($FO$325:$IH$396,GB$169,1+SwaptionShift):INDEX($FO$325:$IH$396,GB$169,SwaptionMonthsToGo+SwaptionShift),INDEX($FO$245:$IH$316,$FN176-GB$169,73-GB$169+SwaptionShift):INDEX($FO$245:$IH$316,$FN176-GB$169,72-GB$169+SwaptionMonthsToGo+SwaptionShift))/SQRT(SUM(INDEX($FO331:$IH331,1+SwaptionShift):INDEX($FO331:$IH331,SwaptionMonthsToGo+SwaptionShift))*SUM(INDEX($FO$325:$IH$396,GB$169,1+SwaptionShift):INDEX($FO$325:$IH$396,GB$169,SwaptionMonthsToGo+SwaptionShift))))))</f>
        <v>0.96527236304620945</v>
      </c>
      <c r="GC176" s="469" t="str">
        <f ca="1">IF(OR(GC$169&lt;SwaptionFirstMonthPosition+1,$FN176&lt;SwaptionFirstMonthPosition+1,GC$169&gt;SwaptionFirstMonthPosition+SwaptionNumOfMonths+1,$FN176&gt;SwaptionFirstMonthPosition+SwaptionNumOfMonths+1),"",IF($FN176=GC$169,1,IF($FN176&lt;GC$169,INDEX($FO$170:$IH$241,GC$169,$FN176),SUMPRODUCT(INDEX($FO$325:$IH$396,GC$169,1+SwaptionShift):INDEX($FO$325:$IH$396,GC$169,SwaptionMonthsToGo+SwaptionShift),INDEX($FO$245:$IH$316,$FN176-GC$169,73-GC$169+SwaptionShift):INDEX($FO$245:$IH$316,$FN176-GC$169,72-GC$169+SwaptionMonthsToGo+SwaptionShift))/SQRT(SUM(INDEX($FO331:$IH331,1+SwaptionShift):INDEX($FO331:$IH331,SwaptionMonthsToGo+SwaptionShift))*SUM(INDEX($FO$325:$IH$396,GC$169,1+SwaptionShift):INDEX($FO$325:$IH$396,GC$169,SwaptionMonthsToGo+SwaptionShift))))))</f>
        <v/>
      </c>
      <c r="GD176" s="469" t="str">
        <f ca="1">IF(OR(GD$169&lt;SwaptionFirstMonthPosition+1,$FN176&lt;SwaptionFirstMonthPosition+1,GD$169&gt;SwaptionFirstMonthPosition+SwaptionNumOfMonths+1,$FN176&gt;SwaptionFirstMonthPosition+SwaptionNumOfMonths+1),"",IF($FN176=GD$169,1,IF($FN176&lt;GD$169,INDEX($FO$170:$IH$241,GD$169,$FN176),SUMPRODUCT(INDEX($FO$325:$IH$396,GD$169,1+SwaptionShift):INDEX($FO$325:$IH$396,GD$169,SwaptionMonthsToGo+SwaptionShift),INDEX($FO$245:$IH$316,$FN176-GD$169,73-GD$169+SwaptionShift):INDEX($FO$245:$IH$316,$FN176-GD$169,72-GD$169+SwaptionMonthsToGo+SwaptionShift))/SQRT(SUM(INDEX($FO331:$IH331,1+SwaptionShift):INDEX($FO331:$IH331,SwaptionMonthsToGo+SwaptionShift))*SUM(INDEX($FO$325:$IH$396,GD$169,1+SwaptionShift):INDEX($FO$325:$IH$396,GD$169,SwaptionMonthsToGo+SwaptionShift))))))</f>
        <v/>
      </c>
      <c r="GE176" s="469" t="str">
        <f ca="1">IF(OR(GE$169&lt;SwaptionFirstMonthPosition+1,$FN176&lt;SwaptionFirstMonthPosition+1,GE$169&gt;SwaptionFirstMonthPosition+SwaptionNumOfMonths+1,$FN176&gt;SwaptionFirstMonthPosition+SwaptionNumOfMonths+1),"",IF($FN176=GE$169,1,IF($FN176&lt;GE$169,INDEX($FO$170:$IH$241,GE$169,$FN176),SUMPRODUCT(INDEX($FO$325:$IH$396,GE$169,1+SwaptionShift):INDEX($FO$325:$IH$396,GE$169,SwaptionMonthsToGo+SwaptionShift),INDEX($FO$245:$IH$316,$FN176-GE$169,73-GE$169+SwaptionShift):INDEX($FO$245:$IH$316,$FN176-GE$169,72-GE$169+SwaptionMonthsToGo+SwaptionShift))/SQRT(SUM(INDEX($FO331:$IH331,1+SwaptionShift):INDEX($FO331:$IH331,SwaptionMonthsToGo+SwaptionShift))*SUM(INDEX($FO$325:$IH$396,GE$169,1+SwaptionShift):INDEX($FO$325:$IH$396,GE$169,SwaptionMonthsToGo+SwaptionShift))))))</f>
        <v/>
      </c>
      <c r="GF176" s="469" t="str">
        <f ca="1">IF(OR(GF$169&lt;SwaptionFirstMonthPosition+1,$FN176&lt;SwaptionFirstMonthPosition+1,GF$169&gt;SwaptionFirstMonthPosition+SwaptionNumOfMonths+1,$FN176&gt;SwaptionFirstMonthPosition+SwaptionNumOfMonths+1),"",IF($FN176=GF$169,1,IF($FN176&lt;GF$169,INDEX($FO$170:$IH$241,GF$169,$FN176),SUMPRODUCT(INDEX($FO$325:$IH$396,GF$169,1+SwaptionShift):INDEX($FO$325:$IH$396,GF$169,SwaptionMonthsToGo+SwaptionShift),INDEX($FO$245:$IH$316,$FN176-GF$169,73-GF$169+SwaptionShift):INDEX($FO$245:$IH$316,$FN176-GF$169,72-GF$169+SwaptionMonthsToGo+SwaptionShift))/SQRT(SUM(INDEX($FO331:$IH331,1+SwaptionShift):INDEX($FO331:$IH331,SwaptionMonthsToGo+SwaptionShift))*SUM(INDEX($FO$325:$IH$396,GF$169,1+SwaptionShift):INDEX($FO$325:$IH$396,GF$169,SwaptionMonthsToGo+SwaptionShift))))))</f>
        <v/>
      </c>
      <c r="GG176" s="469" t="str">
        <f ca="1">IF(OR(GG$169&lt;SwaptionFirstMonthPosition+1,$FN176&lt;SwaptionFirstMonthPosition+1,GG$169&gt;SwaptionFirstMonthPosition+SwaptionNumOfMonths+1,$FN176&gt;SwaptionFirstMonthPosition+SwaptionNumOfMonths+1),"",IF($FN176=GG$169,1,IF($FN176&lt;GG$169,INDEX($FO$170:$IH$241,GG$169,$FN176),SUMPRODUCT(INDEX($FO$325:$IH$396,GG$169,1+SwaptionShift):INDEX($FO$325:$IH$396,GG$169,SwaptionMonthsToGo+SwaptionShift),INDEX($FO$245:$IH$316,$FN176-GG$169,73-GG$169+SwaptionShift):INDEX($FO$245:$IH$316,$FN176-GG$169,72-GG$169+SwaptionMonthsToGo+SwaptionShift))/SQRT(SUM(INDEX($FO331:$IH331,1+SwaptionShift):INDEX($FO331:$IH331,SwaptionMonthsToGo+SwaptionShift))*SUM(INDEX($FO$325:$IH$396,GG$169,1+SwaptionShift):INDEX($FO$325:$IH$396,GG$169,SwaptionMonthsToGo+SwaptionShift))))))</f>
        <v/>
      </c>
      <c r="GH176" s="469" t="str">
        <f ca="1">IF(OR(GH$169&lt;SwaptionFirstMonthPosition+1,$FN176&lt;SwaptionFirstMonthPosition+1,GH$169&gt;SwaptionFirstMonthPosition+SwaptionNumOfMonths+1,$FN176&gt;SwaptionFirstMonthPosition+SwaptionNumOfMonths+1),"",IF($FN176=GH$169,1,IF($FN176&lt;GH$169,INDEX($FO$170:$IH$241,GH$169,$FN176),SUMPRODUCT(INDEX($FO$325:$IH$396,GH$169,1+SwaptionShift):INDEX($FO$325:$IH$396,GH$169,SwaptionMonthsToGo+SwaptionShift),INDEX($FO$245:$IH$316,$FN176-GH$169,73-GH$169+SwaptionShift):INDEX($FO$245:$IH$316,$FN176-GH$169,72-GH$169+SwaptionMonthsToGo+SwaptionShift))/SQRT(SUM(INDEX($FO331:$IH331,1+SwaptionShift):INDEX($FO331:$IH331,SwaptionMonthsToGo+SwaptionShift))*SUM(INDEX($FO$325:$IH$396,GH$169,1+SwaptionShift):INDEX($FO$325:$IH$396,GH$169,SwaptionMonthsToGo+SwaptionShift))))))</f>
        <v/>
      </c>
      <c r="GI176" s="469" t="str">
        <f ca="1">IF(OR(GI$169&lt;SwaptionFirstMonthPosition+1,$FN176&lt;SwaptionFirstMonthPosition+1,GI$169&gt;SwaptionFirstMonthPosition+SwaptionNumOfMonths+1,$FN176&gt;SwaptionFirstMonthPosition+SwaptionNumOfMonths+1),"",IF($FN176=GI$169,1,IF($FN176&lt;GI$169,INDEX($FO$170:$IH$241,GI$169,$FN176),SUMPRODUCT(INDEX($FO$325:$IH$396,GI$169,1+SwaptionShift):INDEX($FO$325:$IH$396,GI$169,SwaptionMonthsToGo+SwaptionShift),INDEX($FO$245:$IH$316,$FN176-GI$169,73-GI$169+SwaptionShift):INDEX($FO$245:$IH$316,$FN176-GI$169,72-GI$169+SwaptionMonthsToGo+SwaptionShift))/SQRT(SUM(INDEX($FO331:$IH331,1+SwaptionShift):INDEX($FO331:$IH331,SwaptionMonthsToGo+SwaptionShift))*SUM(INDEX($FO$325:$IH$396,GI$169,1+SwaptionShift):INDEX($FO$325:$IH$396,GI$169,SwaptionMonthsToGo+SwaptionShift))))))</f>
        <v/>
      </c>
      <c r="GJ176" s="469" t="str">
        <f ca="1">IF(OR(GJ$169&lt;SwaptionFirstMonthPosition+1,$FN176&lt;SwaptionFirstMonthPosition+1,GJ$169&gt;SwaptionFirstMonthPosition+SwaptionNumOfMonths+1,$FN176&gt;SwaptionFirstMonthPosition+SwaptionNumOfMonths+1),"",IF($FN176=GJ$169,1,IF($FN176&lt;GJ$169,INDEX($FO$170:$IH$241,GJ$169,$FN176),SUMPRODUCT(INDEX($FO$325:$IH$396,GJ$169,1+SwaptionShift):INDEX($FO$325:$IH$396,GJ$169,SwaptionMonthsToGo+SwaptionShift),INDEX($FO$245:$IH$316,$FN176-GJ$169,73-GJ$169+SwaptionShift):INDEX($FO$245:$IH$316,$FN176-GJ$169,72-GJ$169+SwaptionMonthsToGo+SwaptionShift))/SQRT(SUM(INDEX($FO331:$IH331,1+SwaptionShift):INDEX($FO331:$IH331,SwaptionMonthsToGo+SwaptionShift))*SUM(INDEX($FO$325:$IH$396,GJ$169,1+SwaptionShift):INDEX($FO$325:$IH$396,GJ$169,SwaptionMonthsToGo+SwaptionShift))))))</f>
        <v/>
      </c>
      <c r="GK176" s="469" t="str">
        <f ca="1">IF(OR(GK$169&lt;SwaptionFirstMonthPosition+1,$FN176&lt;SwaptionFirstMonthPosition+1,GK$169&gt;SwaptionFirstMonthPosition+SwaptionNumOfMonths+1,$FN176&gt;SwaptionFirstMonthPosition+SwaptionNumOfMonths+1),"",IF($FN176=GK$169,1,IF($FN176&lt;GK$169,INDEX($FO$170:$IH$241,GK$169,$FN176),SUMPRODUCT(INDEX($FO$325:$IH$396,GK$169,1+SwaptionShift):INDEX($FO$325:$IH$396,GK$169,SwaptionMonthsToGo+SwaptionShift),INDEX($FO$245:$IH$316,$FN176-GK$169,73-GK$169+SwaptionShift):INDEX($FO$245:$IH$316,$FN176-GK$169,72-GK$169+SwaptionMonthsToGo+SwaptionShift))/SQRT(SUM(INDEX($FO331:$IH331,1+SwaptionShift):INDEX($FO331:$IH331,SwaptionMonthsToGo+SwaptionShift))*SUM(INDEX($FO$325:$IH$396,GK$169,1+SwaptionShift):INDEX($FO$325:$IH$396,GK$169,SwaptionMonthsToGo+SwaptionShift))))))</f>
        <v/>
      </c>
      <c r="GL176" s="469" t="str">
        <f ca="1">IF(OR(GL$169&lt;SwaptionFirstMonthPosition+1,$FN176&lt;SwaptionFirstMonthPosition+1,GL$169&gt;SwaptionFirstMonthPosition+SwaptionNumOfMonths+1,$FN176&gt;SwaptionFirstMonthPosition+SwaptionNumOfMonths+1),"",IF($FN176=GL$169,1,IF($FN176&lt;GL$169,INDEX($FO$170:$IH$241,GL$169,$FN176),SUMPRODUCT(INDEX($FO$325:$IH$396,GL$169,1+SwaptionShift):INDEX($FO$325:$IH$396,GL$169,SwaptionMonthsToGo+SwaptionShift),INDEX($FO$245:$IH$316,$FN176-GL$169,73-GL$169+SwaptionShift):INDEX($FO$245:$IH$316,$FN176-GL$169,72-GL$169+SwaptionMonthsToGo+SwaptionShift))/SQRT(SUM(INDEX($FO331:$IH331,1+SwaptionShift):INDEX($FO331:$IH331,SwaptionMonthsToGo+SwaptionShift))*SUM(INDEX($FO$325:$IH$396,GL$169,1+SwaptionShift):INDEX($FO$325:$IH$396,GL$169,SwaptionMonthsToGo+SwaptionShift))))))</f>
        <v/>
      </c>
      <c r="GM176" s="469" t="str">
        <f ca="1">IF(OR(GM$169&lt;SwaptionFirstMonthPosition+1,$FN176&lt;SwaptionFirstMonthPosition+1,GM$169&gt;SwaptionFirstMonthPosition+SwaptionNumOfMonths+1,$FN176&gt;SwaptionFirstMonthPosition+SwaptionNumOfMonths+1),"",IF($FN176=GM$169,1,IF($FN176&lt;GM$169,INDEX($FO$170:$IH$241,GM$169,$FN176),SUMPRODUCT(INDEX($FO$325:$IH$396,GM$169,1+SwaptionShift):INDEX($FO$325:$IH$396,GM$169,SwaptionMonthsToGo+SwaptionShift),INDEX($FO$245:$IH$316,$FN176-GM$169,73-GM$169+SwaptionShift):INDEX($FO$245:$IH$316,$FN176-GM$169,72-GM$169+SwaptionMonthsToGo+SwaptionShift))/SQRT(SUM(INDEX($FO331:$IH331,1+SwaptionShift):INDEX($FO331:$IH331,SwaptionMonthsToGo+SwaptionShift))*SUM(INDEX($FO$325:$IH$396,GM$169,1+SwaptionShift):INDEX($FO$325:$IH$396,GM$169,SwaptionMonthsToGo+SwaptionShift))))))</f>
        <v/>
      </c>
      <c r="GN176" s="469" t="str">
        <f ca="1">IF(OR(GN$169&lt;SwaptionFirstMonthPosition+1,$FN176&lt;SwaptionFirstMonthPosition+1,GN$169&gt;SwaptionFirstMonthPosition+SwaptionNumOfMonths+1,$FN176&gt;SwaptionFirstMonthPosition+SwaptionNumOfMonths+1),"",IF($FN176=GN$169,1,IF($FN176&lt;GN$169,INDEX($FO$170:$IH$241,GN$169,$FN176),SUMPRODUCT(INDEX($FO$325:$IH$396,GN$169,1+SwaptionShift):INDEX($FO$325:$IH$396,GN$169,SwaptionMonthsToGo+SwaptionShift),INDEX($FO$245:$IH$316,$FN176-GN$169,73-GN$169+SwaptionShift):INDEX($FO$245:$IH$316,$FN176-GN$169,72-GN$169+SwaptionMonthsToGo+SwaptionShift))/SQRT(SUM(INDEX($FO331:$IH331,1+SwaptionShift):INDEX($FO331:$IH331,SwaptionMonthsToGo+SwaptionShift))*SUM(INDEX($FO$325:$IH$396,GN$169,1+SwaptionShift):INDEX($FO$325:$IH$396,GN$169,SwaptionMonthsToGo+SwaptionShift))))))</f>
        <v/>
      </c>
      <c r="GO176" s="469" t="str">
        <f ca="1">IF(OR(GO$169&lt;SwaptionFirstMonthPosition+1,$FN176&lt;SwaptionFirstMonthPosition+1,GO$169&gt;SwaptionFirstMonthPosition+SwaptionNumOfMonths+1,$FN176&gt;SwaptionFirstMonthPosition+SwaptionNumOfMonths+1),"",IF($FN176=GO$169,1,IF($FN176&lt;GO$169,INDEX($FO$170:$IH$241,GO$169,$FN176),SUMPRODUCT(INDEX($FO$325:$IH$396,GO$169,1+SwaptionShift):INDEX($FO$325:$IH$396,GO$169,SwaptionMonthsToGo+SwaptionShift),INDEX($FO$245:$IH$316,$FN176-GO$169,73-GO$169+SwaptionShift):INDEX($FO$245:$IH$316,$FN176-GO$169,72-GO$169+SwaptionMonthsToGo+SwaptionShift))/SQRT(SUM(INDEX($FO331:$IH331,1+SwaptionShift):INDEX($FO331:$IH331,SwaptionMonthsToGo+SwaptionShift))*SUM(INDEX($FO$325:$IH$396,GO$169,1+SwaptionShift):INDEX($FO$325:$IH$396,GO$169,SwaptionMonthsToGo+SwaptionShift))))))</f>
        <v/>
      </c>
      <c r="GP176" s="469" t="str">
        <f ca="1">IF(OR(GP$169&lt;SwaptionFirstMonthPosition+1,$FN176&lt;SwaptionFirstMonthPosition+1,GP$169&gt;SwaptionFirstMonthPosition+SwaptionNumOfMonths+1,$FN176&gt;SwaptionFirstMonthPosition+SwaptionNumOfMonths+1),"",IF($FN176=GP$169,1,IF($FN176&lt;GP$169,INDEX($FO$170:$IH$241,GP$169,$FN176),SUMPRODUCT(INDEX($FO$325:$IH$396,GP$169,1+SwaptionShift):INDEX($FO$325:$IH$396,GP$169,SwaptionMonthsToGo+SwaptionShift),INDEX($FO$245:$IH$316,$FN176-GP$169,73-GP$169+SwaptionShift):INDEX($FO$245:$IH$316,$FN176-GP$169,72-GP$169+SwaptionMonthsToGo+SwaptionShift))/SQRT(SUM(INDEX($FO331:$IH331,1+SwaptionShift):INDEX($FO331:$IH331,SwaptionMonthsToGo+SwaptionShift))*SUM(INDEX($FO$325:$IH$396,GP$169,1+SwaptionShift):INDEX($FO$325:$IH$396,GP$169,SwaptionMonthsToGo+SwaptionShift))))))</f>
        <v/>
      </c>
      <c r="GQ176" s="469" t="str">
        <f ca="1">IF(OR(GQ$169&lt;SwaptionFirstMonthPosition+1,$FN176&lt;SwaptionFirstMonthPosition+1,GQ$169&gt;SwaptionFirstMonthPosition+SwaptionNumOfMonths+1,$FN176&gt;SwaptionFirstMonthPosition+SwaptionNumOfMonths+1),"",IF($FN176=GQ$169,1,IF($FN176&lt;GQ$169,INDEX($FO$170:$IH$241,GQ$169,$FN176),SUMPRODUCT(INDEX($FO$325:$IH$396,GQ$169,1+SwaptionShift):INDEX($FO$325:$IH$396,GQ$169,SwaptionMonthsToGo+SwaptionShift),INDEX($FO$245:$IH$316,$FN176-GQ$169,73-GQ$169+SwaptionShift):INDEX($FO$245:$IH$316,$FN176-GQ$169,72-GQ$169+SwaptionMonthsToGo+SwaptionShift))/SQRT(SUM(INDEX($FO331:$IH331,1+SwaptionShift):INDEX($FO331:$IH331,SwaptionMonthsToGo+SwaptionShift))*SUM(INDEX($FO$325:$IH$396,GQ$169,1+SwaptionShift):INDEX($FO$325:$IH$396,GQ$169,SwaptionMonthsToGo+SwaptionShift))))))</f>
        <v/>
      </c>
      <c r="GR176" s="469" t="str">
        <f ca="1">IF(OR(GR$169&lt;SwaptionFirstMonthPosition+1,$FN176&lt;SwaptionFirstMonthPosition+1,GR$169&gt;SwaptionFirstMonthPosition+SwaptionNumOfMonths+1,$FN176&gt;SwaptionFirstMonthPosition+SwaptionNumOfMonths+1),"",IF($FN176=GR$169,1,IF($FN176&lt;GR$169,INDEX($FO$170:$IH$241,GR$169,$FN176),SUMPRODUCT(INDEX($FO$325:$IH$396,GR$169,1+SwaptionShift):INDEX($FO$325:$IH$396,GR$169,SwaptionMonthsToGo+SwaptionShift),INDEX($FO$245:$IH$316,$FN176-GR$169,73-GR$169+SwaptionShift):INDEX($FO$245:$IH$316,$FN176-GR$169,72-GR$169+SwaptionMonthsToGo+SwaptionShift))/SQRT(SUM(INDEX($FO331:$IH331,1+SwaptionShift):INDEX($FO331:$IH331,SwaptionMonthsToGo+SwaptionShift))*SUM(INDEX($FO$325:$IH$396,GR$169,1+SwaptionShift):INDEX($FO$325:$IH$396,GR$169,SwaptionMonthsToGo+SwaptionShift))))))</f>
        <v/>
      </c>
      <c r="GS176" s="469" t="str">
        <f ca="1">IF(OR(GS$169&lt;SwaptionFirstMonthPosition+1,$FN176&lt;SwaptionFirstMonthPosition+1,GS$169&gt;SwaptionFirstMonthPosition+SwaptionNumOfMonths+1,$FN176&gt;SwaptionFirstMonthPosition+SwaptionNumOfMonths+1),"",IF($FN176=GS$169,1,IF($FN176&lt;GS$169,INDEX($FO$170:$IH$241,GS$169,$FN176),SUMPRODUCT(INDEX($FO$325:$IH$396,GS$169,1+SwaptionShift):INDEX($FO$325:$IH$396,GS$169,SwaptionMonthsToGo+SwaptionShift),INDEX($FO$245:$IH$316,$FN176-GS$169,73-GS$169+SwaptionShift):INDEX($FO$245:$IH$316,$FN176-GS$169,72-GS$169+SwaptionMonthsToGo+SwaptionShift))/SQRT(SUM(INDEX($FO331:$IH331,1+SwaptionShift):INDEX($FO331:$IH331,SwaptionMonthsToGo+SwaptionShift))*SUM(INDEX($FO$325:$IH$396,GS$169,1+SwaptionShift):INDEX($FO$325:$IH$396,GS$169,SwaptionMonthsToGo+SwaptionShift))))))</f>
        <v/>
      </c>
      <c r="GT176" s="469" t="str">
        <f ca="1">IF(OR(GT$169&lt;SwaptionFirstMonthPosition+1,$FN176&lt;SwaptionFirstMonthPosition+1,GT$169&gt;SwaptionFirstMonthPosition+SwaptionNumOfMonths+1,$FN176&gt;SwaptionFirstMonthPosition+SwaptionNumOfMonths+1),"",IF($FN176=GT$169,1,IF($FN176&lt;GT$169,INDEX($FO$170:$IH$241,GT$169,$FN176),SUMPRODUCT(INDEX($FO$325:$IH$396,GT$169,1+SwaptionShift):INDEX($FO$325:$IH$396,GT$169,SwaptionMonthsToGo+SwaptionShift),INDEX($FO$245:$IH$316,$FN176-GT$169,73-GT$169+SwaptionShift):INDEX($FO$245:$IH$316,$FN176-GT$169,72-GT$169+SwaptionMonthsToGo+SwaptionShift))/SQRT(SUM(INDEX($FO331:$IH331,1+SwaptionShift):INDEX($FO331:$IH331,SwaptionMonthsToGo+SwaptionShift))*SUM(INDEX($FO$325:$IH$396,GT$169,1+SwaptionShift):INDEX($FO$325:$IH$396,GT$169,SwaptionMonthsToGo+SwaptionShift))))))</f>
        <v/>
      </c>
      <c r="GU176" s="469" t="str">
        <f ca="1">IF(OR(GU$169&lt;SwaptionFirstMonthPosition+1,$FN176&lt;SwaptionFirstMonthPosition+1,GU$169&gt;SwaptionFirstMonthPosition+SwaptionNumOfMonths+1,$FN176&gt;SwaptionFirstMonthPosition+SwaptionNumOfMonths+1),"",IF($FN176=GU$169,1,IF($FN176&lt;GU$169,INDEX($FO$170:$IH$241,GU$169,$FN176),SUMPRODUCT(INDEX($FO$325:$IH$396,GU$169,1+SwaptionShift):INDEX($FO$325:$IH$396,GU$169,SwaptionMonthsToGo+SwaptionShift),INDEX($FO$245:$IH$316,$FN176-GU$169,73-GU$169+SwaptionShift):INDEX($FO$245:$IH$316,$FN176-GU$169,72-GU$169+SwaptionMonthsToGo+SwaptionShift))/SQRT(SUM(INDEX($FO331:$IH331,1+SwaptionShift):INDEX($FO331:$IH331,SwaptionMonthsToGo+SwaptionShift))*SUM(INDEX($FO$325:$IH$396,GU$169,1+SwaptionShift):INDEX($FO$325:$IH$396,GU$169,SwaptionMonthsToGo+SwaptionShift))))))</f>
        <v/>
      </c>
      <c r="GV176" s="469" t="str">
        <f ca="1">IF(OR(GV$169&lt;SwaptionFirstMonthPosition+1,$FN176&lt;SwaptionFirstMonthPosition+1,GV$169&gt;SwaptionFirstMonthPosition+SwaptionNumOfMonths+1,$FN176&gt;SwaptionFirstMonthPosition+SwaptionNumOfMonths+1),"",IF($FN176=GV$169,1,IF($FN176&lt;GV$169,INDEX($FO$170:$IH$241,GV$169,$FN176),SUMPRODUCT(INDEX($FO$325:$IH$396,GV$169,1+SwaptionShift):INDEX($FO$325:$IH$396,GV$169,SwaptionMonthsToGo+SwaptionShift),INDEX($FO$245:$IH$316,$FN176-GV$169,73-GV$169+SwaptionShift):INDEX($FO$245:$IH$316,$FN176-GV$169,72-GV$169+SwaptionMonthsToGo+SwaptionShift))/SQRT(SUM(INDEX($FO331:$IH331,1+SwaptionShift):INDEX($FO331:$IH331,SwaptionMonthsToGo+SwaptionShift))*SUM(INDEX($FO$325:$IH$396,GV$169,1+SwaptionShift):INDEX($FO$325:$IH$396,GV$169,SwaptionMonthsToGo+SwaptionShift))))))</f>
        <v/>
      </c>
      <c r="GW176" s="469" t="str">
        <f ca="1">IF(OR(GW$169&lt;SwaptionFirstMonthPosition+1,$FN176&lt;SwaptionFirstMonthPosition+1,GW$169&gt;SwaptionFirstMonthPosition+SwaptionNumOfMonths+1,$FN176&gt;SwaptionFirstMonthPosition+SwaptionNumOfMonths+1),"",IF($FN176=GW$169,1,IF($FN176&lt;GW$169,INDEX($FO$170:$IH$241,GW$169,$FN176),SUMPRODUCT(INDEX($FO$325:$IH$396,GW$169,1+SwaptionShift):INDEX($FO$325:$IH$396,GW$169,SwaptionMonthsToGo+SwaptionShift),INDEX($FO$245:$IH$316,$FN176-GW$169,73-GW$169+SwaptionShift):INDEX($FO$245:$IH$316,$FN176-GW$169,72-GW$169+SwaptionMonthsToGo+SwaptionShift))/SQRT(SUM(INDEX($FO331:$IH331,1+SwaptionShift):INDEX($FO331:$IH331,SwaptionMonthsToGo+SwaptionShift))*SUM(INDEX($FO$325:$IH$396,GW$169,1+SwaptionShift):INDEX($FO$325:$IH$396,GW$169,SwaptionMonthsToGo+SwaptionShift))))))</f>
        <v/>
      </c>
      <c r="GX176" s="469" t="str">
        <f ca="1">IF(OR(GX$169&lt;SwaptionFirstMonthPosition+1,$FN176&lt;SwaptionFirstMonthPosition+1,GX$169&gt;SwaptionFirstMonthPosition+SwaptionNumOfMonths+1,$FN176&gt;SwaptionFirstMonthPosition+SwaptionNumOfMonths+1),"",IF($FN176=GX$169,1,IF($FN176&lt;GX$169,INDEX($FO$170:$IH$241,GX$169,$FN176),SUMPRODUCT(INDEX($FO$325:$IH$396,GX$169,1+SwaptionShift):INDEX($FO$325:$IH$396,GX$169,SwaptionMonthsToGo+SwaptionShift),INDEX($FO$245:$IH$316,$FN176-GX$169,73-GX$169+SwaptionShift):INDEX($FO$245:$IH$316,$FN176-GX$169,72-GX$169+SwaptionMonthsToGo+SwaptionShift))/SQRT(SUM(INDEX($FO331:$IH331,1+SwaptionShift):INDEX($FO331:$IH331,SwaptionMonthsToGo+SwaptionShift))*SUM(INDEX($FO$325:$IH$396,GX$169,1+SwaptionShift):INDEX($FO$325:$IH$396,GX$169,SwaptionMonthsToGo+SwaptionShift))))))</f>
        <v/>
      </c>
      <c r="GY176" s="469" t="str">
        <f ca="1">IF(OR(GY$169&lt;SwaptionFirstMonthPosition+1,$FN176&lt;SwaptionFirstMonthPosition+1,GY$169&gt;SwaptionFirstMonthPosition+SwaptionNumOfMonths+1,$FN176&gt;SwaptionFirstMonthPosition+SwaptionNumOfMonths+1),"",IF($FN176=GY$169,1,IF($FN176&lt;GY$169,INDEX($FO$170:$IH$241,GY$169,$FN176),SUMPRODUCT(INDEX($FO$325:$IH$396,GY$169,1+SwaptionShift):INDEX($FO$325:$IH$396,GY$169,SwaptionMonthsToGo+SwaptionShift),INDEX($FO$245:$IH$316,$FN176-GY$169,73-GY$169+SwaptionShift):INDEX($FO$245:$IH$316,$FN176-GY$169,72-GY$169+SwaptionMonthsToGo+SwaptionShift))/SQRT(SUM(INDEX($FO331:$IH331,1+SwaptionShift):INDEX($FO331:$IH331,SwaptionMonthsToGo+SwaptionShift))*SUM(INDEX($FO$325:$IH$396,GY$169,1+SwaptionShift):INDEX($FO$325:$IH$396,GY$169,SwaptionMonthsToGo+SwaptionShift))))))</f>
        <v/>
      </c>
      <c r="GZ176" s="469" t="str">
        <f ca="1">IF(OR(GZ$169&lt;SwaptionFirstMonthPosition+1,$FN176&lt;SwaptionFirstMonthPosition+1,GZ$169&gt;SwaptionFirstMonthPosition+SwaptionNumOfMonths+1,$FN176&gt;SwaptionFirstMonthPosition+SwaptionNumOfMonths+1),"",IF($FN176=GZ$169,1,IF($FN176&lt;GZ$169,INDEX($FO$170:$IH$241,GZ$169,$FN176),SUMPRODUCT(INDEX($FO$325:$IH$396,GZ$169,1+SwaptionShift):INDEX($FO$325:$IH$396,GZ$169,SwaptionMonthsToGo+SwaptionShift),INDEX($FO$245:$IH$316,$FN176-GZ$169,73-GZ$169+SwaptionShift):INDEX($FO$245:$IH$316,$FN176-GZ$169,72-GZ$169+SwaptionMonthsToGo+SwaptionShift))/SQRT(SUM(INDEX($FO331:$IH331,1+SwaptionShift):INDEX($FO331:$IH331,SwaptionMonthsToGo+SwaptionShift))*SUM(INDEX($FO$325:$IH$396,GZ$169,1+SwaptionShift):INDEX($FO$325:$IH$396,GZ$169,SwaptionMonthsToGo+SwaptionShift))))))</f>
        <v/>
      </c>
      <c r="HA176" s="469" t="str">
        <f ca="1">IF(OR(HA$169&lt;SwaptionFirstMonthPosition+1,$FN176&lt;SwaptionFirstMonthPosition+1,HA$169&gt;SwaptionFirstMonthPosition+SwaptionNumOfMonths+1,$FN176&gt;SwaptionFirstMonthPosition+SwaptionNumOfMonths+1),"",IF($FN176=HA$169,1,IF($FN176&lt;HA$169,INDEX($FO$170:$IH$241,HA$169,$FN176),SUMPRODUCT(INDEX($FO$325:$IH$396,HA$169,1+SwaptionShift):INDEX($FO$325:$IH$396,HA$169,SwaptionMonthsToGo+SwaptionShift),INDEX($FO$245:$IH$316,$FN176-HA$169,73-HA$169+SwaptionShift):INDEX($FO$245:$IH$316,$FN176-HA$169,72-HA$169+SwaptionMonthsToGo+SwaptionShift))/SQRT(SUM(INDEX($FO331:$IH331,1+SwaptionShift):INDEX($FO331:$IH331,SwaptionMonthsToGo+SwaptionShift))*SUM(INDEX($FO$325:$IH$396,HA$169,1+SwaptionShift):INDEX($FO$325:$IH$396,HA$169,SwaptionMonthsToGo+SwaptionShift))))))</f>
        <v/>
      </c>
      <c r="HB176" s="469" t="str">
        <f ca="1">IF(OR(HB$169&lt;SwaptionFirstMonthPosition+1,$FN176&lt;SwaptionFirstMonthPosition+1,HB$169&gt;SwaptionFirstMonthPosition+SwaptionNumOfMonths+1,$FN176&gt;SwaptionFirstMonthPosition+SwaptionNumOfMonths+1),"",IF($FN176=HB$169,1,IF($FN176&lt;HB$169,INDEX($FO$170:$IH$241,HB$169,$FN176),SUMPRODUCT(INDEX($FO$325:$IH$396,HB$169,1+SwaptionShift):INDEX($FO$325:$IH$396,HB$169,SwaptionMonthsToGo+SwaptionShift),INDEX($FO$245:$IH$316,$FN176-HB$169,73-HB$169+SwaptionShift):INDEX($FO$245:$IH$316,$FN176-HB$169,72-HB$169+SwaptionMonthsToGo+SwaptionShift))/SQRT(SUM(INDEX($FO331:$IH331,1+SwaptionShift):INDEX($FO331:$IH331,SwaptionMonthsToGo+SwaptionShift))*SUM(INDEX($FO$325:$IH$396,HB$169,1+SwaptionShift):INDEX($FO$325:$IH$396,HB$169,SwaptionMonthsToGo+SwaptionShift))))))</f>
        <v/>
      </c>
      <c r="HC176" s="469" t="str">
        <f ca="1">IF(OR(HC$169&lt;SwaptionFirstMonthPosition+1,$FN176&lt;SwaptionFirstMonthPosition+1,HC$169&gt;SwaptionFirstMonthPosition+SwaptionNumOfMonths+1,$FN176&gt;SwaptionFirstMonthPosition+SwaptionNumOfMonths+1),"",IF($FN176=HC$169,1,IF($FN176&lt;HC$169,INDEX($FO$170:$IH$241,HC$169,$FN176),SUMPRODUCT(INDEX($FO$325:$IH$396,HC$169,1+SwaptionShift):INDEX($FO$325:$IH$396,HC$169,SwaptionMonthsToGo+SwaptionShift),INDEX($FO$245:$IH$316,$FN176-HC$169,73-HC$169+SwaptionShift):INDEX($FO$245:$IH$316,$FN176-HC$169,72-HC$169+SwaptionMonthsToGo+SwaptionShift))/SQRT(SUM(INDEX($FO331:$IH331,1+SwaptionShift):INDEX($FO331:$IH331,SwaptionMonthsToGo+SwaptionShift))*SUM(INDEX($FO$325:$IH$396,HC$169,1+SwaptionShift):INDEX($FO$325:$IH$396,HC$169,SwaptionMonthsToGo+SwaptionShift))))))</f>
        <v/>
      </c>
      <c r="HD176" s="469" t="str">
        <f ca="1">IF(OR(HD$169&lt;SwaptionFirstMonthPosition+1,$FN176&lt;SwaptionFirstMonthPosition+1,HD$169&gt;SwaptionFirstMonthPosition+SwaptionNumOfMonths+1,$FN176&gt;SwaptionFirstMonthPosition+SwaptionNumOfMonths+1),"",IF($FN176=HD$169,1,IF($FN176&lt;HD$169,INDEX($FO$170:$IH$241,HD$169,$FN176),SUMPRODUCT(INDEX($FO$325:$IH$396,HD$169,1+SwaptionShift):INDEX($FO$325:$IH$396,HD$169,SwaptionMonthsToGo+SwaptionShift),INDEX($FO$245:$IH$316,$FN176-HD$169,73-HD$169+SwaptionShift):INDEX($FO$245:$IH$316,$FN176-HD$169,72-HD$169+SwaptionMonthsToGo+SwaptionShift))/SQRT(SUM(INDEX($FO331:$IH331,1+SwaptionShift):INDEX($FO331:$IH331,SwaptionMonthsToGo+SwaptionShift))*SUM(INDEX($FO$325:$IH$396,HD$169,1+SwaptionShift):INDEX($FO$325:$IH$396,HD$169,SwaptionMonthsToGo+SwaptionShift))))))</f>
        <v/>
      </c>
      <c r="HE176" s="469" t="str">
        <f ca="1">IF(OR(HE$169&lt;SwaptionFirstMonthPosition+1,$FN176&lt;SwaptionFirstMonthPosition+1,HE$169&gt;SwaptionFirstMonthPosition+SwaptionNumOfMonths+1,$FN176&gt;SwaptionFirstMonthPosition+SwaptionNumOfMonths+1),"",IF($FN176=HE$169,1,IF($FN176&lt;HE$169,INDEX($FO$170:$IH$241,HE$169,$FN176),SUMPRODUCT(INDEX($FO$325:$IH$396,HE$169,1+SwaptionShift):INDEX($FO$325:$IH$396,HE$169,SwaptionMonthsToGo+SwaptionShift),INDEX($FO$245:$IH$316,$FN176-HE$169,73-HE$169+SwaptionShift):INDEX($FO$245:$IH$316,$FN176-HE$169,72-HE$169+SwaptionMonthsToGo+SwaptionShift))/SQRT(SUM(INDEX($FO331:$IH331,1+SwaptionShift):INDEX($FO331:$IH331,SwaptionMonthsToGo+SwaptionShift))*SUM(INDEX($FO$325:$IH$396,HE$169,1+SwaptionShift):INDEX($FO$325:$IH$396,HE$169,SwaptionMonthsToGo+SwaptionShift))))))</f>
        <v/>
      </c>
      <c r="HF176" s="469" t="str">
        <f ca="1">IF(OR(HF$169&lt;SwaptionFirstMonthPosition+1,$FN176&lt;SwaptionFirstMonthPosition+1,HF$169&gt;SwaptionFirstMonthPosition+SwaptionNumOfMonths+1,$FN176&gt;SwaptionFirstMonthPosition+SwaptionNumOfMonths+1),"",IF($FN176=HF$169,1,IF($FN176&lt;HF$169,INDEX($FO$170:$IH$241,HF$169,$FN176),SUMPRODUCT(INDEX($FO$325:$IH$396,HF$169,1+SwaptionShift):INDEX($FO$325:$IH$396,HF$169,SwaptionMonthsToGo+SwaptionShift),INDEX($FO$245:$IH$316,$FN176-HF$169,73-HF$169+SwaptionShift):INDEX($FO$245:$IH$316,$FN176-HF$169,72-HF$169+SwaptionMonthsToGo+SwaptionShift))/SQRT(SUM(INDEX($FO331:$IH331,1+SwaptionShift):INDEX($FO331:$IH331,SwaptionMonthsToGo+SwaptionShift))*SUM(INDEX($FO$325:$IH$396,HF$169,1+SwaptionShift):INDEX($FO$325:$IH$396,HF$169,SwaptionMonthsToGo+SwaptionShift))))))</f>
        <v/>
      </c>
      <c r="HG176" s="469" t="str">
        <f ca="1">IF(OR(HG$169&lt;SwaptionFirstMonthPosition+1,$FN176&lt;SwaptionFirstMonthPosition+1,HG$169&gt;SwaptionFirstMonthPosition+SwaptionNumOfMonths+1,$FN176&gt;SwaptionFirstMonthPosition+SwaptionNumOfMonths+1),"",IF($FN176=HG$169,1,IF($FN176&lt;HG$169,INDEX($FO$170:$IH$241,HG$169,$FN176),SUMPRODUCT(INDEX($FO$325:$IH$396,HG$169,1+SwaptionShift):INDEX($FO$325:$IH$396,HG$169,SwaptionMonthsToGo+SwaptionShift),INDEX($FO$245:$IH$316,$FN176-HG$169,73-HG$169+SwaptionShift):INDEX($FO$245:$IH$316,$FN176-HG$169,72-HG$169+SwaptionMonthsToGo+SwaptionShift))/SQRT(SUM(INDEX($FO331:$IH331,1+SwaptionShift):INDEX($FO331:$IH331,SwaptionMonthsToGo+SwaptionShift))*SUM(INDEX($FO$325:$IH$396,HG$169,1+SwaptionShift):INDEX($FO$325:$IH$396,HG$169,SwaptionMonthsToGo+SwaptionShift))))))</f>
        <v/>
      </c>
      <c r="HH176" s="469" t="str">
        <f ca="1">IF(OR(HH$169&lt;SwaptionFirstMonthPosition+1,$FN176&lt;SwaptionFirstMonthPosition+1,HH$169&gt;SwaptionFirstMonthPosition+SwaptionNumOfMonths+1,$FN176&gt;SwaptionFirstMonthPosition+SwaptionNumOfMonths+1),"",IF($FN176=HH$169,1,IF($FN176&lt;HH$169,INDEX($FO$170:$IH$241,HH$169,$FN176),SUMPRODUCT(INDEX($FO$325:$IH$396,HH$169,1+SwaptionShift):INDEX($FO$325:$IH$396,HH$169,SwaptionMonthsToGo+SwaptionShift),INDEX($FO$245:$IH$316,$FN176-HH$169,73-HH$169+SwaptionShift):INDEX($FO$245:$IH$316,$FN176-HH$169,72-HH$169+SwaptionMonthsToGo+SwaptionShift))/SQRT(SUM(INDEX($FO331:$IH331,1+SwaptionShift):INDEX($FO331:$IH331,SwaptionMonthsToGo+SwaptionShift))*SUM(INDEX($FO$325:$IH$396,HH$169,1+SwaptionShift):INDEX($FO$325:$IH$396,HH$169,SwaptionMonthsToGo+SwaptionShift))))))</f>
        <v/>
      </c>
      <c r="HI176" s="469" t="str">
        <f ca="1">IF(OR(HI$169&lt;SwaptionFirstMonthPosition+1,$FN176&lt;SwaptionFirstMonthPosition+1,HI$169&gt;SwaptionFirstMonthPosition+SwaptionNumOfMonths+1,$FN176&gt;SwaptionFirstMonthPosition+SwaptionNumOfMonths+1),"",IF($FN176=HI$169,1,IF($FN176&lt;HI$169,INDEX($FO$170:$IH$241,HI$169,$FN176),SUMPRODUCT(INDEX($FO$325:$IH$396,HI$169,1+SwaptionShift):INDEX($FO$325:$IH$396,HI$169,SwaptionMonthsToGo+SwaptionShift),INDEX($FO$245:$IH$316,$FN176-HI$169,73-HI$169+SwaptionShift):INDEX($FO$245:$IH$316,$FN176-HI$169,72-HI$169+SwaptionMonthsToGo+SwaptionShift))/SQRT(SUM(INDEX($FO331:$IH331,1+SwaptionShift):INDEX($FO331:$IH331,SwaptionMonthsToGo+SwaptionShift))*SUM(INDEX($FO$325:$IH$396,HI$169,1+SwaptionShift):INDEX($FO$325:$IH$396,HI$169,SwaptionMonthsToGo+SwaptionShift))))))</f>
        <v/>
      </c>
      <c r="HJ176" s="469" t="str">
        <f ca="1">IF(OR(HJ$169&lt;SwaptionFirstMonthPosition+1,$FN176&lt;SwaptionFirstMonthPosition+1,HJ$169&gt;SwaptionFirstMonthPosition+SwaptionNumOfMonths+1,$FN176&gt;SwaptionFirstMonthPosition+SwaptionNumOfMonths+1),"",IF($FN176=HJ$169,1,IF($FN176&lt;HJ$169,INDEX($FO$170:$IH$241,HJ$169,$FN176),SUMPRODUCT(INDEX($FO$325:$IH$396,HJ$169,1+SwaptionShift):INDEX($FO$325:$IH$396,HJ$169,SwaptionMonthsToGo+SwaptionShift),INDEX($FO$245:$IH$316,$FN176-HJ$169,73-HJ$169+SwaptionShift):INDEX($FO$245:$IH$316,$FN176-HJ$169,72-HJ$169+SwaptionMonthsToGo+SwaptionShift))/SQRT(SUM(INDEX($FO331:$IH331,1+SwaptionShift):INDEX($FO331:$IH331,SwaptionMonthsToGo+SwaptionShift))*SUM(INDEX($FO$325:$IH$396,HJ$169,1+SwaptionShift):INDEX($FO$325:$IH$396,HJ$169,SwaptionMonthsToGo+SwaptionShift))))))</f>
        <v/>
      </c>
      <c r="HK176" s="469" t="str">
        <f ca="1">IF(OR(HK$169&lt;SwaptionFirstMonthPosition+1,$FN176&lt;SwaptionFirstMonthPosition+1,HK$169&gt;SwaptionFirstMonthPosition+SwaptionNumOfMonths+1,$FN176&gt;SwaptionFirstMonthPosition+SwaptionNumOfMonths+1),"",IF($FN176=HK$169,1,IF($FN176&lt;HK$169,INDEX($FO$170:$IH$241,HK$169,$FN176),SUMPRODUCT(INDEX($FO$325:$IH$396,HK$169,1+SwaptionShift):INDEX($FO$325:$IH$396,HK$169,SwaptionMonthsToGo+SwaptionShift),INDEX($FO$245:$IH$316,$FN176-HK$169,73-HK$169+SwaptionShift):INDEX($FO$245:$IH$316,$FN176-HK$169,72-HK$169+SwaptionMonthsToGo+SwaptionShift))/SQRT(SUM(INDEX($FO331:$IH331,1+SwaptionShift):INDEX($FO331:$IH331,SwaptionMonthsToGo+SwaptionShift))*SUM(INDEX($FO$325:$IH$396,HK$169,1+SwaptionShift):INDEX($FO$325:$IH$396,HK$169,SwaptionMonthsToGo+SwaptionShift))))))</f>
        <v/>
      </c>
      <c r="HL176" s="469" t="str">
        <f ca="1">IF(OR(HL$169&lt;SwaptionFirstMonthPosition+1,$FN176&lt;SwaptionFirstMonthPosition+1,HL$169&gt;SwaptionFirstMonthPosition+SwaptionNumOfMonths+1,$FN176&gt;SwaptionFirstMonthPosition+SwaptionNumOfMonths+1),"",IF($FN176=HL$169,1,IF($FN176&lt;HL$169,INDEX($FO$170:$IH$241,HL$169,$FN176),SUMPRODUCT(INDEX($FO$325:$IH$396,HL$169,1+SwaptionShift):INDEX($FO$325:$IH$396,HL$169,SwaptionMonthsToGo+SwaptionShift),INDEX($FO$245:$IH$316,$FN176-HL$169,73-HL$169+SwaptionShift):INDEX($FO$245:$IH$316,$FN176-HL$169,72-HL$169+SwaptionMonthsToGo+SwaptionShift))/SQRT(SUM(INDEX($FO331:$IH331,1+SwaptionShift):INDEX($FO331:$IH331,SwaptionMonthsToGo+SwaptionShift))*SUM(INDEX($FO$325:$IH$396,HL$169,1+SwaptionShift):INDEX($FO$325:$IH$396,HL$169,SwaptionMonthsToGo+SwaptionShift))))))</f>
        <v/>
      </c>
      <c r="HM176" s="469" t="str">
        <f ca="1">IF(OR(HM$169&lt;SwaptionFirstMonthPosition+1,$FN176&lt;SwaptionFirstMonthPosition+1,HM$169&gt;SwaptionFirstMonthPosition+SwaptionNumOfMonths+1,$FN176&gt;SwaptionFirstMonthPosition+SwaptionNumOfMonths+1),"",IF($FN176=HM$169,1,IF($FN176&lt;HM$169,INDEX($FO$170:$IH$241,HM$169,$FN176),SUMPRODUCT(INDEX($FO$325:$IH$396,HM$169,1+SwaptionShift):INDEX($FO$325:$IH$396,HM$169,SwaptionMonthsToGo+SwaptionShift),INDEX($FO$245:$IH$316,$FN176-HM$169,73-HM$169+SwaptionShift):INDEX($FO$245:$IH$316,$FN176-HM$169,72-HM$169+SwaptionMonthsToGo+SwaptionShift))/SQRT(SUM(INDEX($FO331:$IH331,1+SwaptionShift):INDEX($FO331:$IH331,SwaptionMonthsToGo+SwaptionShift))*SUM(INDEX($FO$325:$IH$396,HM$169,1+SwaptionShift):INDEX($FO$325:$IH$396,HM$169,SwaptionMonthsToGo+SwaptionShift))))))</f>
        <v/>
      </c>
      <c r="HN176" s="469" t="str">
        <f ca="1">IF(OR(HN$169&lt;SwaptionFirstMonthPosition+1,$FN176&lt;SwaptionFirstMonthPosition+1,HN$169&gt;SwaptionFirstMonthPosition+SwaptionNumOfMonths+1,$FN176&gt;SwaptionFirstMonthPosition+SwaptionNumOfMonths+1),"",IF($FN176=HN$169,1,IF($FN176&lt;HN$169,INDEX($FO$170:$IH$241,HN$169,$FN176),SUMPRODUCT(INDEX($FO$325:$IH$396,HN$169,1+SwaptionShift):INDEX($FO$325:$IH$396,HN$169,SwaptionMonthsToGo+SwaptionShift),INDEX($FO$245:$IH$316,$FN176-HN$169,73-HN$169+SwaptionShift):INDEX($FO$245:$IH$316,$FN176-HN$169,72-HN$169+SwaptionMonthsToGo+SwaptionShift))/SQRT(SUM(INDEX($FO331:$IH331,1+SwaptionShift):INDEX($FO331:$IH331,SwaptionMonthsToGo+SwaptionShift))*SUM(INDEX($FO$325:$IH$396,HN$169,1+SwaptionShift):INDEX($FO$325:$IH$396,HN$169,SwaptionMonthsToGo+SwaptionShift))))))</f>
        <v/>
      </c>
      <c r="HO176" s="469" t="str">
        <f ca="1">IF(OR(HO$169&lt;SwaptionFirstMonthPosition+1,$FN176&lt;SwaptionFirstMonthPosition+1,HO$169&gt;SwaptionFirstMonthPosition+SwaptionNumOfMonths+1,$FN176&gt;SwaptionFirstMonthPosition+SwaptionNumOfMonths+1),"",IF($FN176=HO$169,1,IF($FN176&lt;HO$169,INDEX($FO$170:$IH$241,HO$169,$FN176),SUMPRODUCT(INDEX($FO$325:$IH$396,HO$169,1+SwaptionShift):INDEX($FO$325:$IH$396,HO$169,SwaptionMonthsToGo+SwaptionShift),INDEX($FO$245:$IH$316,$FN176-HO$169,73-HO$169+SwaptionShift):INDEX($FO$245:$IH$316,$FN176-HO$169,72-HO$169+SwaptionMonthsToGo+SwaptionShift))/SQRT(SUM(INDEX($FO331:$IH331,1+SwaptionShift):INDEX($FO331:$IH331,SwaptionMonthsToGo+SwaptionShift))*SUM(INDEX($FO$325:$IH$396,HO$169,1+SwaptionShift):INDEX($FO$325:$IH$396,HO$169,SwaptionMonthsToGo+SwaptionShift))))))</f>
        <v/>
      </c>
      <c r="HP176" s="469" t="str">
        <f ca="1">IF(OR(HP$169&lt;SwaptionFirstMonthPosition+1,$FN176&lt;SwaptionFirstMonthPosition+1,HP$169&gt;SwaptionFirstMonthPosition+SwaptionNumOfMonths+1,$FN176&gt;SwaptionFirstMonthPosition+SwaptionNumOfMonths+1),"",IF($FN176=HP$169,1,IF($FN176&lt;HP$169,INDEX($FO$170:$IH$241,HP$169,$FN176),SUMPRODUCT(INDEX($FO$325:$IH$396,HP$169,1+SwaptionShift):INDEX($FO$325:$IH$396,HP$169,SwaptionMonthsToGo+SwaptionShift),INDEX($FO$245:$IH$316,$FN176-HP$169,73-HP$169+SwaptionShift):INDEX($FO$245:$IH$316,$FN176-HP$169,72-HP$169+SwaptionMonthsToGo+SwaptionShift))/SQRT(SUM(INDEX($FO331:$IH331,1+SwaptionShift):INDEX($FO331:$IH331,SwaptionMonthsToGo+SwaptionShift))*SUM(INDEX($FO$325:$IH$396,HP$169,1+SwaptionShift):INDEX($FO$325:$IH$396,HP$169,SwaptionMonthsToGo+SwaptionShift))))))</f>
        <v/>
      </c>
      <c r="HQ176" s="469" t="str">
        <f ca="1">IF(OR(HQ$169&lt;SwaptionFirstMonthPosition+1,$FN176&lt;SwaptionFirstMonthPosition+1,HQ$169&gt;SwaptionFirstMonthPosition+SwaptionNumOfMonths+1,$FN176&gt;SwaptionFirstMonthPosition+SwaptionNumOfMonths+1),"",IF($FN176=HQ$169,1,IF($FN176&lt;HQ$169,INDEX($FO$170:$IH$241,HQ$169,$FN176),SUMPRODUCT(INDEX($FO$325:$IH$396,HQ$169,1+SwaptionShift):INDEX($FO$325:$IH$396,HQ$169,SwaptionMonthsToGo+SwaptionShift),INDEX($FO$245:$IH$316,$FN176-HQ$169,73-HQ$169+SwaptionShift):INDEX($FO$245:$IH$316,$FN176-HQ$169,72-HQ$169+SwaptionMonthsToGo+SwaptionShift))/SQRT(SUM(INDEX($FO331:$IH331,1+SwaptionShift):INDEX($FO331:$IH331,SwaptionMonthsToGo+SwaptionShift))*SUM(INDEX($FO$325:$IH$396,HQ$169,1+SwaptionShift):INDEX($FO$325:$IH$396,HQ$169,SwaptionMonthsToGo+SwaptionShift))))))</f>
        <v/>
      </c>
      <c r="HR176" s="469" t="str">
        <f ca="1">IF(OR(HR$169&lt;SwaptionFirstMonthPosition+1,$FN176&lt;SwaptionFirstMonthPosition+1,HR$169&gt;SwaptionFirstMonthPosition+SwaptionNumOfMonths+1,$FN176&gt;SwaptionFirstMonthPosition+SwaptionNumOfMonths+1),"",IF($FN176=HR$169,1,IF($FN176&lt;HR$169,INDEX($FO$170:$IH$241,HR$169,$FN176),SUMPRODUCT(INDEX($FO$325:$IH$396,HR$169,1+SwaptionShift):INDEX($FO$325:$IH$396,HR$169,SwaptionMonthsToGo+SwaptionShift),INDEX($FO$245:$IH$316,$FN176-HR$169,73-HR$169+SwaptionShift):INDEX($FO$245:$IH$316,$FN176-HR$169,72-HR$169+SwaptionMonthsToGo+SwaptionShift))/SQRT(SUM(INDEX($FO331:$IH331,1+SwaptionShift):INDEX($FO331:$IH331,SwaptionMonthsToGo+SwaptionShift))*SUM(INDEX($FO$325:$IH$396,HR$169,1+SwaptionShift):INDEX($FO$325:$IH$396,HR$169,SwaptionMonthsToGo+SwaptionShift))))))</f>
        <v/>
      </c>
      <c r="HS176" s="469" t="str">
        <f ca="1">IF(OR(HS$169&lt;SwaptionFirstMonthPosition+1,$FN176&lt;SwaptionFirstMonthPosition+1,HS$169&gt;SwaptionFirstMonthPosition+SwaptionNumOfMonths+1,$FN176&gt;SwaptionFirstMonthPosition+SwaptionNumOfMonths+1),"",IF($FN176=HS$169,1,IF($FN176&lt;HS$169,INDEX($FO$170:$IH$241,HS$169,$FN176),SUMPRODUCT(INDEX($FO$325:$IH$396,HS$169,1+SwaptionShift):INDEX($FO$325:$IH$396,HS$169,SwaptionMonthsToGo+SwaptionShift),INDEX($FO$245:$IH$316,$FN176-HS$169,73-HS$169+SwaptionShift):INDEX($FO$245:$IH$316,$FN176-HS$169,72-HS$169+SwaptionMonthsToGo+SwaptionShift))/SQRT(SUM(INDEX($FO331:$IH331,1+SwaptionShift):INDEX($FO331:$IH331,SwaptionMonthsToGo+SwaptionShift))*SUM(INDEX($FO$325:$IH$396,HS$169,1+SwaptionShift):INDEX($FO$325:$IH$396,HS$169,SwaptionMonthsToGo+SwaptionShift))))))</f>
        <v/>
      </c>
      <c r="HT176" s="469" t="str">
        <f ca="1">IF(OR(HT$169&lt;SwaptionFirstMonthPosition+1,$FN176&lt;SwaptionFirstMonthPosition+1,HT$169&gt;SwaptionFirstMonthPosition+SwaptionNumOfMonths+1,$FN176&gt;SwaptionFirstMonthPosition+SwaptionNumOfMonths+1),"",IF($FN176=HT$169,1,IF($FN176&lt;HT$169,INDEX($FO$170:$IH$241,HT$169,$FN176),SUMPRODUCT(INDEX($FO$325:$IH$396,HT$169,1+SwaptionShift):INDEX($FO$325:$IH$396,HT$169,SwaptionMonthsToGo+SwaptionShift),INDEX($FO$245:$IH$316,$FN176-HT$169,73-HT$169+SwaptionShift):INDEX($FO$245:$IH$316,$FN176-HT$169,72-HT$169+SwaptionMonthsToGo+SwaptionShift))/SQRT(SUM(INDEX($FO331:$IH331,1+SwaptionShift):INDEX($FO331:$IH331,SwaptionMonthsToGo+SwaptionShift))*SUM(INDEX($FO$325:$IH$396,HT$169,1+SwaptionShift):INDEX($FO$325:$IH$396,HT$169,SwaptionMonthsToGo+SwaptionShift))))))</f>
        <v/>
      </c>
      <c r="HU176" s="469" t="str">
        <f ca="1">IF(OR(HU$169&lt;SwaptionFirstMonthPosition+1,$FN176&lt;SwaptionFirstMonthPosition+1,HU$169&gt;SwaptionFirstMonthPosition+SwaptionNumOfMonths+1,$FN176&gt;SwaptionFirstMonthPosition+SwaptionNumOfMonths+1),"",IF($FN176=HU$169,1,IF($FN176&lt;HU$169,INDEX($FO$170:$IH$241,HU$169,$FN176),SUMPRODUCT(INDEX($FO$325:$IH$396,HU$169,1+SwaptionShift):INDEX($FO$325:$IH$396,HU$169,SwaptionMonthsToGo+SwaptionShift),INDEX($FO$245:$IH$316,$FN176-HU$169,73-HU$169+SwaptionShift):INDEX($FO$245:$IH$316,$FN176-HU$169,72-HU$169+SwaptionMonthsToGo+SwaptionShift))/SQRT(SUM(INDEX($FO331:$IH331,1+SwaptionShift):INDEX($FO331:$IH331,SwaptionMonthsToGo+SwaptionShift))*SUM(INDEX($FO$325:$IH$396,HU$169,1+SwaptionShift):INDEX($FO$325:$IH$396,HU$169,SwaptionMonthsToGo+SwaptionShift))))))</f>
        <v/>
      </c>
      <c r="HV176" s="469" t="str">
        <f ca="1">IF(OR(HV$169&lt;SwaptionFirstMonthPosition+1,$FN176&lt;SwaptionFirstMonthPosition+1,HV$169&gt;SwaptionFirstMonthPosition+SwaptionNumOfMonths+1,$FN176&gt;SwaptionFirstMonthPosition+SwaptionNumOfMonths+1),"",IF($FN176=HV$169,1,IF($FN176&lt;HV$169,INDEX($FO$170:$IH$241,HV$169,$FN176),SUMPRODUCT(INDEX($FO$325:$IH$396,HV$169,1+SwaptionShift):INDEX($FO$325:$IH$396,HV$169,SwaptionMonthsToGo+SwaptionShift),INDEX($FO$245:$IH$316,$FN176-HV$169,73-HV$169+SwaptionShift):INDEX($FO$245:$IH$316,$FN176-HV$169,72-HV$169+SwaptionMonthsToGo+SwaptionShift))/SQRT(SUM(INDEX($FO331:$IH331,1+SwaptionShift):INDEX($FO331:$IH331,SwaptionMonthsToGo+SwaptionShift))*SUM(INDEX($FO$325:$IH$396,HV$169,1+SwaptionShift):INDEX($FO$325:$IH$396,HV$169,SwaptionMonthsToGo+SwaptionShift))))))</f>
        <v/>
      </c>
      <c r="HW176" s="469" t="str">
        <f ca="1">IF(OR(HW$169&lt;SwaptionFirstMonthPosition+1,$FN176&lt;SwaptionFirstMonthPosition+1,HW$169&gt;SwaptionFirstMonthPosition+SwaptionNumOfMonths+1,$FN176&gt;SwaptionFirstMonthPosition+SwaptionNumOfMonths+1),"",IF($FN176=HW$169,1,IF($FN176&lt;HW$169,INDEX($FO$170:$IH$241,HW$169,$FN176),SUMPRODUCT(INDEX($FO$325:$IH$396,HW$169,1+SwaptionShift):INDEX($FO$325:$IH$396,HW$169,SwaptionMonthsToGo+SwaptionShift),INDEX($FO$245:$IH$316,$FN176-HW$169,73-HW$169+SwaptionShift):INDEX($FO$245:$IH$316,$FN176-HW$169,72-HW$169+SwaptionMonthsToGo+SwaptionShift))/SQRT(SUM(INDEX($FO331:$IH331,1+SwaptionShift):INDEX($FO331:$IH331,SwaptionMonthsToGo+SwaptionShift))*SUM(INDEX($FO$325:$IH$396,HW$169,1+SwaptionShift):INDEX($FO$325:$IH$396,HW$169,SwaptionMonthsToGo+SwaptionShift))))))</f>
        <v/>
      </c>
      <c r="HX176" s="469" t="str">
        <f ca="1">IF(OR(HX$169&lt;SwaptionFirstMonthPosition+1,$FN176&lt;SwaptionFirstMonthPosition+1,HX$169&gt;SwaptionFirstMonthPosition+SwaptionNumOfMonths+1,$FN176&gt;SwaptionFirstMonthPosition+SwaptionNumOfMonths+1),"",IF($FN176=HX$169,1,IF($FN176&lt;HX$169,INDEX($FO$170:$IH$241,HX$169,$FN176),SUMPRODUCT(INDEX($FO$325:$IH$396,HX$169,1+SwaptionShift):INDEX($FO$325:$IH$396,HX$169,SwaptionMonthsToGo+SwaptionShift),INDEX($FO$245:$IH$316,$FN176-HX$169,73-HX$169+SwaptionShift):INDEX($FO$245:$IH$316,$FN176-HX$169,72-HX$169+SwaptionMonthsToGo+SwaptionShift))/SQRT(SUM(INDEX($FO331:$IH331,1+SwaptionShift):INDEX($FO331:$IH331,SwaptionMonthsToGo+SwaptionShift))*SUM(INDEX($FO$325:$IH$396,HX$169,1+SwaptionShift):INDEX($FO$325:$IH$396,HX$169,SwaptionMonthsToGo+SwaptionShift))))))</f>
        <v/>
      </c>
      <c r="HY176" s="469" t="str">
        <f ca="1">IF(OR(HY$169&lt;SwaptionFirstMonthPosition+1,$FN176&lt;SwaptionFirstMonthPosition+1,HY$169&gt;SwaptionFirstMonthPosition+SwaptionNumOfMonths+1,$FN176&gt;SwaptionFirstMonthPosition+SwaptionNumOfMonths+1),"",IF($FN176=HY$169,1,IF($FN176&lt;HY$169,INDEX($FO$170:$IH$241,HY$169,$FN176),SUMPRODUCT(INDEX($FO$325:$IH$396,HY$169,1+SwaptionShift):INDEX($FO$325:$IH$396,HY$169,SwaptionMonthsToGo+SwaptionShift),INDEX($FO$245:$IH$316,$FN176-HY$169,73-HY$169+SwaptionShift):INDEX($FO$245:$IH$316,$FN176-HY$169,72-HY$169+SwaptionMonthsToGo+SwaptionShift))/SQRT(SUM(INDEX($FO331:$IH331,1+SwaptionShift):INDEX($FO331:$IH331,SwaptionMonthsToGo+SwaptionShift))*SUM(INDEX($FO$325:$IH$396,HY$169,1+SwaptionShift):INDEX($FO$325:$IH$396,HY$169,SwaptionMonthsToGo+SwaptionShift))))))</f>
        <v/>
      </c>
      <c r="HZ176" s="469" t="str">
        <f ca="1">IF(OR(HZ$169&lt;SwaptionFirstMonthPosition+1,$FN176&lt;SwaptionFirstMonthPosition+1,HZ$169&gt;SwaptionFirstMonthPosition+SwaptionNumOfMonths+1,$FN176&gt;SwaptionFirstMonthPosition+SwaptionNumOfMonths+1),"",IF($FN176=HZ$169,1,IF($FN176&lt;HZ$169,INDEX($FO$170:$IH$241,HZ$169,$FN176),SUMPRODUCT(INDEX($FO$325:$IH$396,HZ$169,1+SwaptionShift):INDEX($FO$325:$IH$396,HZ$169,SwaptionMonthsToGo+SwaptionShift),INDEX($FO$245:$IH$316,$FN176-HZ$169,73-HZ$169+SwaptionShift):INDEX($FO$245:$IH$316,$FN176-HZ$169,72-HZ$169+SwaptionMonthsToGo+SwaptionShift))/SQRT(SUM(INDEX($FO331:$IH331,1+SwaptionShift):INDEX($FO331:$IH331,SwaptionMonthsToGo+SwaptionShift))*SUM(INDEX($FO$325:$IH$396,HZ$169,1+SwaptionShift):INDEX($FO$325:$IH$396,HZ$169,SwaptionMonthsToGo+SwaptionShift))))))</f>
        <v/>
      </c>
      <c r="IA176" s="469" t="str">
        <f ca="1">IF(OR(IA$169&lt;SwaptionFirstMonthPosition+1,$FN176&lt;SwaptionFirstMonthPosition+1,IA$169&gt;SwaptionFirstMonthPosition+SwaptionNumOfMonths+1,$FN176&gt;SwaptionFirstMonthPosition+SwaptionNumOfMonths+1),"",IF($FN176=IA$169,1,IF($FN176&lt;IA$169,INDEX($FO$170:$IH$241,IA$169,$FN176),SUMPRODUCT(INDEX($FO$325:$IH$396,IA$169,1+SwaptionShift):INDEX($FO$325:$IH$396,IA$169,SwaptionMonthsToGo+SwaptionShift),INDEX($FO$245:$IH$316,$FN176-IA$169,73-IA$169+SwaptionShift):INDEX($FO$245:$IH$316,$FN176-IA$169,72-IA$169+SwaptionMonthsToGo+SwaptionShift))/SQRT(SUM(INDEX($FO331:$IH331,1+SwaptionShift):INDEX($FO331:$IH331,SwaptionMonthsToGo+SwaptionShift))*SUM(INDEX($FO$325:$IH$396,IA$169,1+SwaptionShift):INDEX($FO$325:$IH$396,IA$169,SwaptionMonthsToGo+SwaptionShift))))))</f>
        <v/>
      </c>
      <c r="IB176" s="469" t="str">
        <f ca="1">IF(OR(IB$169&lt;SwaptionFirstMonthPosition+1,$FN176&lt;SwaptionFirstMonthPosition+1,IB$169&gt;SwaptionFirstMonthPosition+SwaptionNumOfMonths+1,$FN176&gt;SwaptionFirstMonthPosition+SwaptionNumOfMonths+1),"",IF($FN176=IB$169,1,IF($FN176&lt;IB$169,INDEX($FO$170:$IH$241,IB$169,$FN176),SUMPRODUCT(INDEX($FO$325:$IH$396,IB$169,1+SwaptionShift):INDEX($FO$325:$IH$396,IB$169,SwaptionMonthsToGo+SwaptionShift),INDEX($FO$245:$IH$316,$FN176-IB$169,73-IB$169+SwaptionShift):INDEX($FO$245:$IH$316,$FN176-IB$169,72-IB$169+SwaptionMonthsToGo+SwaptionShift))/SQRT(SUM(INDEX($FO331:$IH331,1+SwaptionShift):INDEX($FO331:$IH331,SwaptionMonthsToGo+SwaptionShift))*SUM(INDEX($FO$325:$IH$396,IB$169,1+SwaptionShift):INDEX($FO$325:$IH$396,IB$169,SwaptionMonthsToGo+SwaptionShift))))))</f>
        <v/>
      </c>
      <c r="IC176" s="469" t="str">
        <f ca="1">IF(OR(IC$169&lt;SwaptionFirstMonthPosition+1,$FN176&lt;SwaptionFirstMonthPosition+1,IC$169&gt;SwaptionFirstMonthPosition+SwaptionNumOfMonths+1,$FN176&gt;SwaptionFirstMonthPosition+SwaptionNumOfMonths+1),"",IF($FN176=IC$169,1,IF($FN176&lt;IC$169,INDEX($FO$170:$IH$241,IC$169,$FN176),SUMPRODUCT(INDEX($FO$325:$IH$396,IC$169,1+SwaptionShift):INDEX($FO$325:$IH$396,IC$169,SwaptionMonthsToGo+SwaptionShift),INDEX($FO$245:$IH$316,$FN176-IC$169,73-IC$169+SwaptionShift):INDEX($FO$245:$IH$316,$FN176-IC$169,72-IC$169+SwaptionMonthsToGo+SwaptionShift))/SQRT(SUM(INDEX($FO331:$IH331,1+SwaptionShift):INDEX($FO331:$IH331,SwaptionMonthsToGo+SwaptionShift))*SUM(INDEX($FO$325:$IH$396,IC$169,1+SwaptionShift):INDEX($FO$325:$IH$396,IC$169,SwaptionMonthsToGo+SwaptionShift))))))</f>
        <v/>
      </c>
      <c r="ID176" s="469" t="str">
        <f ca="1">IF(OR(ID$169&lt;SwaptionFirstMonthPosition+1,$FN176&lt;SwaptionFirstMonthPosition+1,ID$169&gt;SwaptionFirstMonthPosition+SwaptionNumOfMonths+1,$FN176&gt;SwaptionFirstMonthPosition+SwaptionNumOfMonths+1),"",IF($FN176=ID$169,1,IF($FN176&lt;ID$169,INDEX($FO$170:$IH$241,ID$169,$FN176),SUMPRODUCT(INDEX($FO$325:$IH$396,ID$169,1+SwaptionShift):INDEX($FO$325:$IH$396,ID$169,SwaptionMonthsToGo+SwaptionShift),INDEX($FO$245:$IH$316,$FN176-ID$169,73-ID$169+SwaptionShift):INDEX($FO$245:$IH$316,$FN176-ID$169,72-ID$169+SwaptionMonthsToGo+SwaptionShift))/SQRT(SUM(INDEX($FO331:$IH331,1+SwaptionShift):INDEX($FO331:$IH331,SwaptionMonthsToGo+SwaptionShift))*SUM(INDEX($FO$325:$IH$396,ID$169,1+SwaptionShift):INDEX($FO$325:$IH$396,ID$169,SwaptionMonthsToGo+SwaptionShift))))))</f>
        <v/>
      </c>
      <c r="IE176" s="469" t="str">
        <f ca="1">IF(OR(IE$169&lt;SwaptionFirstMonthPosition+1,$FN176&lt;SwaptionFirstMonthPosition+1,IE$169&gt;SwaptionFirstMonthPosition+SwaptionNumOfMonths+1,$FN176&gt;SwaptionFirstMonthPosition+SwaptionNumOfMonths+1),"",IF($FN176=IE$169,1,IF($FN176&lt;IE$169,INDEX($FO$170:$IH$241,IE$169,$FN176),SUMPRODUCT(INDEX($FO$325:$IH$396,IE$169,1+SwaptionShift):INDEX($FO$325:$IH$396,IE$169,SwaptionMonthsToGo+SwaptionShift),INDEX($FO$245:$IH$316,$FN176-IE$169,73-IE$169+SwaptionShift):INDEX($FO$245:$IH$316,$FN176-IE$169,72-IE$169+SwaptionMonthsToGo+SwaptionShift))/SQRT(SUM(INDEX($FO331:$IH331,1+SwaptionShift):INDEX($FO331:$IH331,SwaptionMonthsToGo+SwaptionShift))*SUM(INDEX($FO$325:$IH$396,IE$169,1+SwaptionShift):INDEX($FO$325:$IH$396,IE$169,SwaptionMonthsToGo+SwaptionShift))))))</f>
        <v/>
      </c>
      <c r="IF176" s="469" t="str">
        <f ca="1">IF(OR(IF$169&lt;SwaptionFirstMonthPosition+1,$FN176&lt;SwaptionFirstMonthPosition+1,IF$169&gt;SwaptionFirstMonthPosition+SwaptionNumOfMonths+1,$FN176&gt;SwaptionFirstMonthPosition+SwaptionNumOfMonths+1),"",IF($FN176=IF$169,1,IF($FN176&lt;IF$169,INDEX($FO$170:$IH$241,IF$169,$FN176),SUMPRODUCT(INDEX($FO$325:$IH$396,IF$169,1+SwaptionShift):INDEX($FO$325:$IH$396,IF$169,SwaptionMonthsToGo+SwaptionShift),INDEX($FO$245:$IH$316,$FN176-IF$169,73-IF$169+SwaptionShift):INDEX($FO$245:$IH$316,$FN176-IF$169,72-IF$169+SwaptionMonthsToGo+SwaptionShift))/SQRT(SUM(INDEX($FO331:$IH331,1+SwaptionShift):INDEX($FO331:$IH331,SwaptionMonthsToGo+SwaptionShift))*SUM(INDEX($FO$325:$IH$396,IF$169,1+SwaptionShift):INDEX($FO$325:$IH$396,IF$169,SwaptionMonthsToGo+SwaptionShift))))))</f>
        <v/>
      </c>
      <c r="IG176" s="469" t="str">
        <f ca="1">IF(OR(IG$169&lt;SwaptionFirstMonthPosition+1,$FN176&lt;SwaptionFirstMonthPosition+1,IG$169&gt;SwaptionFirstMonthPosition+SwaptionNumOfMonths+1,$FN176&gt;SwaptionFirstMonthPosition+SwaptionNumOfMonths+1),"",IF($FN176=IG$169,1,IF($FN176&lt;IG$169,INDEX($FO$170:$IH$241,IG$169,$FN176),SUMPRODUCT(INDEX($FO$325:$IH$396,IG$169,1+SwaptionShift):INDEX($FO$325:$IH$396,IG$169,SwaptionMonthsToGo+SwaptionShift),INDEX($FO$245:$IH$316,$FN176-IG$169,73-IG$169+SwaptionShift):INDEX($FO$245:$IH$316,$FN176-IG$169,72-IG$169+SwaptionMonthsToGo+SwaptionShift))/SQRT(SUM(INDEX($FO331:$IH331,1+SwaptionShift):INDEX($FO331:$IH331,SwaptionMonthsToGo+SwaptionShift))*SUM(INDEX($FO$325:$IH$396,IG$169,1+SwaptionShift):INDEX($FO$325:$IH$396,IG$169,SwaptionMonthsToGo+SwaptionShift))))))</f>
        <v/>
      </c>
      <c r="IH176" s="662" t="str">
        <f ca="1">IF(OR(IH$169&lt;SwaptionFirstMonthPosition+1,$FN176&lt;SwaptionFirstMonthPosition+1,IH$169&gt;SwaptionFirstMonthPosition+SwaptionNumOfMonths+1,$FN176&gt;SwaptionFirstMonthPosition+SwaptionNumOfMonths+1),"",IF($FN176=IH$169,1,IF($FN176&lt;IH$169,INDEX($FO$170:$IH$241,IH$169,$FN176),SUMPRODUCT(INDEX($FO$325:$IH$396,IH$169,1+SwaptionShift):INDEX($FO$325:$IH$396,IH$169,SwaptionMonthsToGo+SwaptionShift),INDEX($FO$245:$IH$316,$FN176-IH$169,73-IH$169+SwaptionShift):INDEX($FO$245:$IH$316,$FN176-IH$169,72-IH$169+SwaptionMonthsToGo+SwaptionShift))/SQRT(SUM(INDEX($FO331:$IH331,1+SwaptionShift):INDEX($FO331:$IH331,SwaptionMonthsToGo+SwaptionShift))*SUM(INDEX($FO$325:$IH$396,IH$169,1+SwaptionShift):INDEX($FO$325:$IH$396,IH$169,SwaptionMonthsToGo+SwaptionShift))))))</f>
        <v/>
      </c>
      <c r="II176" s="242"/>
    </row>
    <row r="177" spans="8:243">
      <c r="H177" s="49" t="e">
        <f t="shared" ca="1" si="529"/>
        <v>#N/A</v>
      </c>
      <c r="I177" s="369">
        <f t="shared" si="530"/>
        <v>41791</v>
      </c>
      <c r="J177" s="367">
        <v>23.309999999999899</v>
      </c>
      <c r="K177" s="101" t="s">
        <v>267</v>
      </c>
      <c r="L177" s="382">
        <f t="shared" si="531"/>
        <v>23.309999999999906</v>
      </c>
      <c r="M177" s="163">
        <v>0.14830000000000002</v>
      </c>
      <c r="N177" s="372">
        <v>0</v>
      </c>
      <c r="O177" s="163">
        <f t="shared" si="488"/>
        <v>0.14830000000000002</v>
      </c>
      <c r="P177" s="367">
        <v>21.843188613585298</v>
      </c>
      <c r="Q177" s="101" t="s">
        <v>267</v>
      </c>
      <c r="R177" s="367">
        <f t="shared" ca="1" si="549"/>
        <v>21.843188613585323</v>
      </c>
      <c r="S177" s="814">
        <f t="shared" si="474"/>
        <v>0.35042462308673827</v>
      </c>
      <c r="T177" s="813">
        <f t="shared" si="550"/>
        <v>0.99999999488895919</v>
      </c>
      <c r="U177" s="532">
        <f t="shared" si="551"/>
        <v>0.99999999999999978</v>
      </c>
      <c r="V177" s="379">
        <v>0</v>
      </c>
      <c r="W177" s="424">
        <f t="shared" si="489"/>
        <v>23.342142857142758</v>
      </c>
      <c r="X177" s="405">
        <f t="shared" si="490"/>
        <v>23.342142857142761</v>
      </c>
      <c r="Y177" s="313">
        <f t="shared" si="491"/>
        <v>21.998142857142756</v>
      </c>
      <c r="Z177" s="313">
        <f t="shared" ca="1" si="492"/>
        <v>21.99814285714276</v>
      </c>
      <c r="AA177" s="419">
        <f t="shared" si="493"/>
        <v>1.3440000000000001</v>
      </c>
      <c r="AB177" s="423">
        <f t="shared" ca="1" si="494"/>
        <v>1.3440000000000001</v>
      </c>
      <c r="AC177" s="221">
        <v>41779</v>
      </c>
      <c r="AD177" s="221">
        <v>41775</v>
      </c>
      <c r="AE177" s="221">
        <v>41774</v>
      </c>
      <c r="AF177" s="221">
        <v>41770</v>
      </c>
      <c r="AG177" s="241" t="s">
        <v>497</v>
      </c>
      <c r="AH177" s="239" t="s">
        <v>497</v>
      </c>
      <c r="AI177" s="141">
        <v>21</v>
      </c>
      <c r="AJ177" s="41">
        <v>15</v>
      </c>
      <c r="AK177" s="41">
        <v>6</v>
      </c>
      <c r="AL177" s="285">
        <v>21</v>
      </c>
      <c r="AM177" s="41">
        <v>10</v>
      </c>
      <c r="AN177" s="142">
        <v>11</v>
      </c>
      <c r="AO177" s="364">
        <v>6.0968041450593098E-2</v>
      </c>
      <c r="AP177" s="145">
        <f t="shared" ca="1" si="532"/>
        <v>0.4519489922357246</v>
      </c>
      <c r="AQ177" s="364">
        <v>5.3947029068153601E-2</v>
      </c>
      <c r="AR177" s="145">
        <f t="shared" ca="1" si="552"/>
        <v>0.49789020503218678</v>
      </c>
      <c r="AS177" s="264">
        <f t="shared" si="495"/>
        <v>0.1477857142857143</v>
      </c>
      <c r="AT177" s="149">
        <f t="shared" si="533"/>
        <v>0.14830000000000002</v>
      </c>
      <c r="AU177" s="149">
        <f t="shared" si="496"/>
        <v>0.14769047619047618</v>
      </c>
      <c r="AV177" s="263">
        <f t="shared" ca="1" si="560"/>
        <v>0.1461399989624598</v>
      </c>
      <c r="AW177" s="150" t="str">
        <f t="shared" ca="1" si="497"/>
        <v/>
      </c>
      <c r="AX177" s="149">
        <f t="shared" ca="1" si="553"/>
        <v>7.0906260865854654E-3</v>
      </c>
      <c r="AY177" s="149">
        <f t="shared" ca="1" si="554"/>
        <v>2.559096763113462E-3</v>
      </c>
      <c r="AZ177" s="149">
        <f t="shared" ca="1" si="555"/>
        <v>2.3934778045653303E-3</v>
      </c>
      <c r="BA177" s="149">
        <f t="shared" ca="1" si="556"/>
        <v>1.0000000000000739E-4</v>
      </c>
      <c r="BB177" s="149">
        <f t="shared" ca="1" si="557"/>
        <v>1.0000000000000739E-4</v>
      </c>
      <c r="BC177" s="149">
        <f t="shared" ca="1" si="558"/>
        <v>1.0000000000000739E-4</v>
      </c>
      <c r="BD177" s="143">
        <f t="shared" ca="1" si="498"/>
        <v>0</v>
      </c>
      <c r="BE177" s="144">
        <f t="shared" ca="1" si="499"/>
        <v>0</v>
      </c>
      <c r="BF177" s="40">
        <f t="shared" si="500"/>
        <v>2014</v>
      </c>
      <c r="BG177" s="139">
        <f t="shared" si="501"/>
        <v>6</v>
      </c>
      <c r="BH177" s="140">
        <f t="shared" ca="1" si="502"/>
        <v>4785</v>
      </c>
      <c r="BI177" s="304">
        <f t="shared" ca="1" si="570"/>
        <v>13.144421629021219</v>
      </c>
      <c r="BJ177" s="42">
        <f t="shared" ca="1" si="503"/>
        <v>13.201134252468956</v>
      </c>
      <c r="BK177" s="42">
        <f t="shared" ca="1" si="504"/>
        <v>13.203872103256089</v>
      </c>
      <c r="BL177" s="42">
        <f t="shared" ca="1" si="571"/>
        <v>13.223819301848049</v>
      </c>
      <c r="BM177" s="285">
        <f t="shared" si="572"/>
        <v>21</v>
      </c>
      <c r="BN177" s="41">
        <f t="shared" si="573"/>
        <v>15</v>
      </c>
      <c r="BO177" s="41">
        <f t="shared" si="574"/>
        <v>6</v>
      </c>
      <c r="BP177" s="297" t="str">
        <f t="shared" ca="1" si="505"/>
        <v/>
      </c>
      <c r="BQ177" s="297" t="str">
        <f t="shared" ca="1" si="506"/>
        <v/>
      </c>
      <c r="BR177" s="299" t="str">
        <f t="shared" ca="1" si="507"/>
        <v/>
      </c>
      <c r="BS177" s="153" t="str">
        <f t="shared" ca="1" si="508"/>
        <v/>
      </c>
      <c r="BT177" s="153" t="str">
        <f t="shared" ca="1" si="509"/>
        <v/>
      </c>
      <c r="BU177" s="300" t="str">
        <f t="shared" ca="1" si="510"/>
        <v/>
      </c>
      <c r="BV177" s="301" t="str">
        <f t="shared" ca="1" si="511"/>
        <v/>
      </c>
      <c r="BW177" s="300" t="str">
        <f t="shared" ca="1" si="512"/>
        <v/>
      </c>
      <c r="BX177" s="301" t="str">
        <f t="shared" ca="1" si="513"/>
        <v/>
      </c>
      <c r="BY177" s="146" t="str">
        <f t="shared" ca="1" si="514"/>
        <v/>
      </c>
      <c r="BZ177" s="146" t="str">
        <f t="shared" ca="1" si="515"/>
        <v/>
      </c>
      <c r="CA177" s="146" t="str">
        <f t="shared" ca="1" si="516"/>
        <v/>
      </c>
      <c r="CB177" s="146" t="str">
        <f t="shared" ca="1" si="517"/>
        <v/>
      </c>
      <c r="CC177" s="302">
        <v>1</v>
      </c>
      <c r="CD177" s="154">
        <f ca="1">IF(BD177,_xll.xCrudeAPO(BS177,BT177,BY177,BZ177,S178,S179,BI177,BL177,BN177,BO177,0,Strike1,AO177,CC177,0,BL177,IF(OptControl=4,0,1),0,1),0)</f>
        <v>0</v>
      </c>
      <c r="CE177" s="155">
        <f ca="1">IF(BD177,_xll.xCrudeAPO(BS177,BT177,BY177,BZ177,S178,S179,BI177,BL177,BN177,BO177,0,Strike1,AO177,CC177,0,BL177,IF(OptControl=4,0,1),1,1)+_xll.xCrudeAPO(BS177,BT177,BY177,BZ177,S178,S179,BI177,BL177,BN177,BO177,0,Strike1,AO177,CC177,0,BL177,IF(OptControl=4,0,1),1,2)+IF(OR(VolSkewFlag=2,ABS(BQ177)&lt;0.0001),0,IF(BQ177&gt;0,-1,1)*CF177*Strike1/BP177^2*BW177/10%),0)</f>
        <v>0</v>
      </c>
      <c r="CF177" s="155">
        <f ca="1">IF(BD177,(_xll.xCrudeAPO(BS177,BT177,BY177,BZ177,S178,S179,BI177,BL177,BN177,BO177,0,Strike1,AO177,CC177,0,BL177,IF(OptControl=4,0,1),3,1)+_xll.xCrudeAPO(BS177,BT177,BY177,BZ177,S178,S179,BI177,BL177,BN177,BO177,0,Strike1,AO177,CC177,0,BL177,IF(OptControl=4,0,1),3,2))/100,0)</f>
        <v>0</v>
      </c>
      <c r="CG177" s="155">
        <f ca="1">IF(BD177,_xll.xCrudeAPO(BS177,BT177,BY177,BZ177,S178,S179,BI177-DaysForThetaCalculation/365.25,BL177-DaysForThetaCalculation/365.25,BN177,BO177,0,Strike1,AO177,CC177,0,BL177,IF(OptControl=4,0,1),0,1)-_xll.xCrudeAPO(BS177,BT177,BY177,BZ177,S178,S179,BI177,BL177,BN177,BO177,0,Strike1,AO177,CC177,0,BL177,IF(OptControl=4,0,1),0,1),0)</f>
        <v>0</v>
      </c>
      <c r="CH177" s="303">
        <f ca="1">IF(BD177,_xll.xCrudeAPO(BS177,BT177,CA177,CB177,S178,S179,BI177,BL177,BN177,BO177,0,Strike2,AO177,CC177,0,BL177,IF(OptControl=3,1,0),0,1),0)</f>
        <v>0</v>
      </c>
      <c r="CI177" s="155">
        <f ca="1">IF(BD177,_xll.xCrudeAPO(BS177,BT177,CA177,CB177,S178,S179,BI177,BL177,BN177,BO177,0,Strike2,AO177,CC177,0,BL177,IF(OptControl=3,1,0),1,1)+_xll.xCrudeAPO(BS177,BT177,CA177,CB177,S178,S179,BI177,BL177,BN177,BO177,0,Strike2,AO177,CC177,0,BL177,IF(OptControl=3,1,0),1,2)+IF(OR(VolSkewFlag=2,ABS(BR177)&lt;0.0001),0,IF(BR177&gt;0,-1,1)*CJ177*Strike2/BP177^2*BX177/10%),0)</f>
        <v>0</v>
      </c>
      <c r="CJ177" s="155">
        <f ca="1">IF(BD177,(_xll.xCrudeAPO(BS177,BT177,CA177,CB177,S178,S179,BI177,BL177,BN177,BO177,0,Strike2,AO177,CC177,0,BL177,IF(OptControl=3,1,0),3,1)+_xll.xCrudeAPO(BS177,BT177,CA177,CB177,S178,S179,BI177,BL177,BN177,BO177,0,Strike2,AO177,CC177,0,BL177,IF(OptControl=3,1,0),3,2))/100,0)</f>
        <v>0</v>
      </c>
      <c r="CK177" s="156">
        <f ca="1">IF(BD177,_xll.xCrudeAPO(BS177,BT177,CA177,CB177,S178,S179,BI177-DaysForThetaCalculation/365.25,BL177-DaysForThetaCalculation/365.25,BN177,BO177,0,Strike2,AO177,CC177,0,BL177,IF(OptControl=3,1,0),0,1)-_xll.xCrudeAPO(BS177,BT177,CA177,CB177,S178,S179,BI177,BL177,BN177,BO177,0,Strike2,AO177,CC177,0,BL177,IF(OptControl=3,1,0),0,1),0)</f>
        <v>0</v>
      </c>
      <c r="CL177" s="51"/>
      <c r="CM177" s="779" t="str">
        <f t="shared" ca="1" si="534"/>
        <v/>
      </c>
      <c r="CN177" s="783" t="str">
        <f t="shared" ca="1" si="535"/>
        <v/>
      </c>
      <c r="CO177" s="780" t="str">
        <f t="shared" ca="1" si="536"/>
        <v/>
      </c>
      <c r="CP177" s="780" t="str">
        <f t="shared" ca="1" si="537"/>
        <v/>
      </c>
      <c r="CQ177" s="780" t="str">
        <f t="shared" ca="1" si="538"/>
        <v/>
      </c>
      <c r="CR177" s="780" t="str">
        <f t="shared" ca="1" si="539"/>
        <v/>
      </c>
      <c r="CS177" s="781" t="str">
        <f t="shared" ca="1" si="540"/>
        <v/>
      </c>
      <c r="CT177" s="782" t="str">
        <f t="shared" ca="1" si="541"/>
        <v/>
      </c>
      <c r="CU177" s="782" t="str">
        <f t="shared" ca="1" si="542"/>
        <v/>
      </c>
      <c r="CV177" s="155">
        <f ca="1">IF(BD177,_xll.EURO(CN177,Strike1,AO177,AO177,CT177,CM177,IF(OptControl=4,0,1),0),0)</f>
        <v>0</v>
      </c>
      <c r="CW177" s="155">
        <f ca="1">IF(BD177,_xll.EURO(CN177,Strike1,AO177,AO177,CT177,CM177,IF(OptControl=4,0,1),1)+IF(OR(VolSkewFlag=2,ABS(CO177)&lt;0.0001),0,IF(CO177&gt;0,-1,1)*CX177*100*Strike1/CN177^2*CQ177/10%),0)</f>
        <v>0</v>
      </c>
      <c r="CX177" s="155">
        <f ca="1">IF(BD177,_xll.EURO(CN177,Strike1,AO177,AO177,CT177,CM177,IF(OptControl=4,0,1),3)/100,0)</f>
        <v>0</v>
      </c>
      <c r="CY177" s="155">
        <f ca="1">IF(BD177,_xll.EURO(CN177,Strike1,AO177,AO177,CT177,CM177,IF(OptControl=4,0,1),0)-_xll.EURO(CN177,Strike1,AO177,AO177,CT177,CM177-1,IF(OptControl=4,0,1),0),0)</f>
        <v>0</v>
      </c>
      <c r="CZ177" s="155">
        <f ca="1">IF(BD177,_xll.EURO(CN177,Strike2,AO177,AO177,CU177,CM177,IF(OptControl=3,1,0),0),0)</f>
        <v>0</v>
      </c>
      <c r="DA177" s="155">
        <f ca="1">IF(BD177,_xll.EURO(CN177,Strike2,AO177,AO177,CU177,CM177,IF(OptControl=3,1,0),1)+IF(OR(VolSkewFlag=2,ABS(CP177)&lt;0.0001),0,IF(CP177&gt;0,-1,1)*DB177*100*Strike2/CN177^2*CR177/10%),0)</f>
        <v>0</v>
      </c>
      <c r="DB177" s="155">
        <f ca="1">IF(BD177,_xll.EURO(CN177,Strike2,AO177,AO177,CU177,CM177,IF(OptControl=3,1,0),3)/100,0)</f>
        <v>0</v>
      </c>
      <c r="DC177" s="156">
        <f ca="1">IF(BD177,_xll.EURO(CN177,Strike2,AO177,AO177,CU177,CM177,IF(OptControl=3,1,0),0)-_xll.EURO(CN177,Strike2,AO177,AO177,CU177,CM177-1,IF(OptControl=3,1,0),0),0)</f>
        <v>0</v>
      </c>
      <c r="DE177" s="651">
        <f t="shared" ca="1" si="543"/>
        <v>41699</v>
      </c>
      <c r="DF177" s="465">
        <v>1E-4</v>
      </c>
      <c r="DG177" s="649">
        <v>1E-4</v>
      </c>
      <c r="DH177" s="650">
        <f t="shared" ca="1" si="518"/>
        <v>41699</v>
      </c>
      <c r="DI177" s="465">
        <v>1E-4</v>
      </c>
      <c r="DJ177" s="649">
        <v>1E-4</v>
      </c>
      <c r="DK177" s="651">
        <f t="shared" ca="1" si="519"/>
        <v>41699</v>
      </c>
      <c r="DL177" s="652">
        <f t="shared" si="520"/>
        <v>5.0100000000000006E-2</v>
      </c>
      <c r="DM177" s="651">
        <f t="shared" ca="1" si="544"/>
        <v>41699</v>
      </c>
      <c r="DN177" s="563">
        <f t="shared" si="545"/>
        <v>-0.12990000000000002</v>
      </c>
      <c r="DO177" s="803">
        <v>-0.13</v>
      </c>
      <c r="DP177" s="650">
        <f t="shared" ca="1" si="521"/>
        <v>41699</v>
      </c>
      <c r="DQ177" s="653">
        <v>1E-4</v>
      </c>
      <c r="DR177" s="590">
        <v>1E-4</v>
      </c>
      <c r="DS177" s="650">
        <f t="shared" ca="1" si="522"/>
        <v>41699</v>
      </c>
      <c r="DT177" s="653">
        <v>1E-4</v>
      </c>
      <c r="DU177" s="590">
        <v>1E-4</v>
      </c>
      <c r="DV177" s="651">
        <f t="shared" ca="1" si="523"/>
        <v>41699</v>
      </c>
      <c r="DW177" s="590">
        <v>1E-4</v>
      </c>
      <c r="DX177" s="651">
        <f t="shared" ca="1" si="546"/>
        <v>41699</v>
      </c>
      <c r="DY177" s="590">
        <f t="shared" si="547"/>
        <v>1E-4</v>
      </c>
      <c r="DZ177" s="1"/>
      <c r="EA177" s="857"/>
      <c r="EB177" s="857"/>
      <c r="EC177" s="857"/>
      <c r="ED177" s="868" t="e">
        <f t="shared" ca="1" si="566"/>
        <v>#NAME?</v>
      </c>
      <c r="EE177" s="863" t="e">
        <f t="shared" ca="1" si="524"/>
        <v>#NAME?</v>
      </c>
      <c r="EF177" s="590" t="e">
        <f t="shared" ca="1" si="525"/>
        <v>#NAME?</v>
      </c>
      <c r="EG177" s="862" t="str">
        <f t="shared" ca="1" si="526"/>
        <v/>
      </c>
      <c r="EH177" s="114" t="str">
        <f t="shared" ca="1" si="527"/>
        <v/>
      </c>
      <c r="EI177" s="109" t="str">
        <f t="shared" ca="1" si="528"/>
        <v/>
      </c>
      <c r="EJ177" s="115">
        <f ca="1">IF(BD177,_xll.xASN(BP177,Strike1,AO177,EH177,0,BM177,0,BI177,BL177,IF(OptControl=4,0,1),0),0)</f>
        <v>0</v>
      </c>
      <c r="EK177" s="108">
        <f ca="1">IF(BD177,_xll.xASN(BP177,Strike2,AO177,EI177,0,BM177,0,BI177,BL177,IF(OptControl=3,1,0),0),0)</f>
        <v>0</v>
      </c>
      <c r="EP177" s="53"/>
      <c r="EQ177" s="1"/>
      <c r="ER177" s="103"/>
      <c r="ES177" s="103"/>
      <c r="ET177" s="1"/>
      <c r="EU177" s="667" t="s">
        <v>389</v>
      </c>
      <c r="EW177" s="445"/>
      <c r="EX177" s="36"/>
      <c r="EY177" s="104"/>
      <c r="EZ177" s="465"/>
      <c r="FA177" s="446"/>
      <c r="FB177" s="446"/>
      <c r="FC177" s="242"/>
      <c r="FD177" s="242"/>
      <c r="FE177" s="242"/>
      <c r="FF177" s="242"/>
      <c r="FG177" s="242"/>
      <c r="FH177" s="242"/>
      <c r="FI177" s="242"/>
      <c r="FJ177" s="242"/>
      <c r="FK177" s="242"/>
      <c r="FL177" s="242"/>
      <c r="FM177" s="242"/>
      <c r="FN177" s="657">
        <v>8</v>
      </c>
      <c r="FO177" s="469" t="str">
        <f ca="1">IF(OR(FO$169&lt;SwaptionFirstMonthPosition+1,$FN177&lt;SwaptionFirstMonthPosition+1,FO$169&gt;SwaptionFirstMonthPosition+SwaptionNumOfMonths+1,$FN177&gt;SwaptionFirstMonthPosition+SwaptionNumOfMonths+1),"",IF($FN177=FO$169,1,IF($FN177&lt;FO$169,INDEX($FO$170:$IH$241,FO$169,$FN177),SUMPRODUCT(INDEX($FO$325:$IH$396,FO$169,1+SwaptionShift):INDEX($FO$325:$IH$396,FO$169,SwaptionMonthsToGo+SwaptionShift),INDEX($FO$245:$IH$316,$FN177-FO$169,73-FO$169+SwaptionShift):INDEX($FO$245:$IH$316,$FN177-FO$169,72-FO$169+SwaptionMonthsToGo+SwaptionShift))/SQRT(SUM(INDEX($FO332:$IH332,1+SwaptionShift):INDEX($FO332:$IH332,SwaptionMonthsToGo+SwaptionShift))*SUM(INDEX($FO$325:$IH$396,FO$169,1+SwaptionShift):INDEX($FO$325:$IH$396,FO$169,SwaptionMonthsToGo+SwaptionShift))))))</f>
        <v/>
      </c>
      <c r="FP177" s="469">
        <f ca="1">IF(OR(FP$169&lt;SwaptionFirstMonthPosition+1,$FN177&lt;SwaptionFirstMonthPosition+1,FP$169&gt;SwaptionFirstMonthPosition+SwaptionNumOfMonths+1,$FN177&gt;SwaptionFirstMonthPosition+SwaptionNumOfMonths+1),"",IF($FN177=FP$169,1,IF($FN177&lt;FP$169,INDEX($FO$170:$IH$241,FP$169,$FN177),SUMPRODUCT(INDEX($FO$325:$IH$396,FP$169,1+SwaptionShift):INDEX($FO$325:$IH$396,FP$169,SwaptionMonthsToGo+SwaptionShift),INDEX($FO$245:$IH$316,$FN177-FP$169,73-FP$169+SwaptionShift):INDEX($FO$245:$IH$316,$FN177-FP$169,72-FP$169+SwaptionMonthsToGo+SwaptionShift))/SQRT(SUM(INDEX($FO332:$IH332,1+SwaptionShift):INDEX($FO332:$IH332,SwaptionMonthsToGo+SwaptionShift))*SUM(INDEX($FO$325:$IH$396,FP$169,1+SwaptionShift):INDEX($FO$325:$IH$396,FP$169,SwaptionMonthsToGo+SwaptionShift))))))</f>
        <v>0.92738789186158133</v>
      </c>
      <c r="FQ177" s="469">
        <f ca="1">IF(OR(FQ$169&lt;SwaptionFirstMonthPosition+1,$FN177&lt;SwaptionFirstMonthPosition+1,FQ$169&gt;SwaptionFirstMonthPosition+SwaptionNumOfMonths+1,$FN177&gt;SwaptionFirstMonthPosition+SwaptionNumOfMonths+1),"",IF($FN177=FQ$169,1,IF($FN177&lt;FQ$169,INDEX($FO$170:$IH$241,FQ$169,$FN177),SUMPRODUCT(INDEX($FO$325:$IH$396,FQ$169,1+SwaptionShift):INDEX($FO$325:$IH$396,FQ$169,SwaptionMonthsToGo+SwaptionShift),INDEX($FO$245:$IH$316,$FN177-FQ$169,73-FQ$169+SwaptionShift):INDEX($FO$245:$IH$316,$FN177-FQ$169,72-FQ$169+SwaptionMonthsToGo+SwaptionShift))/SQRT(SUM(INDEX($FO332:$IH332,1+SwaptionShift):INDEX($FO332:$IH332,SwaptionMonthsToGo+SwaptionShift))*SUM(INDEX($FO$325:$IH$396,FQ$169,1+SwaptionShift):INDEX($FO$325:$IH$396,FQ$169,SwaptionMonthsToGo+SwaptionShift))))))</f>
        <v>0.94541458076939411</v>
      </c>
      <c r="FR177" s="469">
        <f ca="1">IF(OR(FR$169&lt;SwaptionFirstMonthPosition+1,$FN177&lt;SwaptionFirstMonthPosition+1,FR$169&gt;SwaptionFirstMonthPosition+SwaptionNumOfMonths+1,$FN177&gt;SwaptionFirstMonthPosition+SwaptionNumOfMonths+1),"",IF($FN177=FR$169,1,IF($FN177&lt;FR$169,INDEX($FO$170:$IH$241,FR$169,$FN177),SUMPRODUCT(INDEX($FO$325:$IH$396,FR$169,1+SwaptionShift):INDEX($FO$325:$IH$396,FR$169,SwaptionMonthsToGo+SwaptionShift),INDEX($FO$245:$IH$316,$FN177-FR$169,73-FR$169+SwaptionShift):INDEX($FO$245:$IH$316,$FN177-FR$169,72-FR$169+SwaptionMonthsToGo+SwaptionShift))/SQRT(SUM(INDEX($FO332:$IH332,1+SwaptionShift):INDEX($FO332:$IH332,SwaptionMonthsToGo+SwaptionShift))*SUM(INDEX($FO$325:$IH$396,FR$169,1+SwaptionShift):INDEX($FO$325:$IH$396,FR$169,SwaptionMonthsToGo+SwaptionShift))))))</f>
        <v>0.96040999917096637</v>
      </c>
      <c r="FS177" s="469">
        <f ca="1">IF(OR(FS$169&lt;SwaptionFirstMonthPosition+1,$FN177&lt;SwaptionFirstMonthPosition+1,FS$169&gt;SwaptionFirstMonthPosition+SwaptionNumOfMonths+1,$FN177&gt;SwaptionFirstMonthPosition+SwaptionNumOfMonths+1),"",IF($FN177=FS$169,1,IF($FN177&lt;FS$169,INDEX($FO$170:$IH$241,FS$169,$FN177),SUMPRODUCT(INDEX($FO$325:$IH$396,FS$169,1+SwaptionShift):INDEX($FO$325:$IH$396,FS$169,SwaptionMonthsToGo+SwaptionShift),INDEX($FO$245:$IH$316,$FN177-FS$169,73-FS$169+SwaptionShift):INDEX($FO$245:$IH$316,$FN177-FS$169,72-FS$169+SwaptionMonthsToGo+SwaptionShift))/SQRT(SUM(INDEX($FO332:$IH332,1+SwaptionShift):INDEX($FO332:$IH332,SwaptionMonthsToGo+SwaptionShift))*SUM(INDEX($FO$325:$IH$396,FS$169,1+SwaptionShift):INDEX($FO$325:$IH$396,FS$169,SwaptionMonthsToGo+SwaptionShift))))))</f>
        <v>0.97294890019811342</v>
      </c>
      <c r="FT177" s="469">
        <f ca="1">IF(OR(FT$169&lt;SwaptionFirstMonthPosition+1,$FN177&lt;SwaptionFirstMonthPosition+1,FT$169&gt;SwaptionFirstMonthPosition+SwaptionNumOfMonths+1,$FN177&gt;SwaptionFirstMonthPosition+SwaptionNumOfMonths+1),"",IF($FN177=FT$169,1,IF($FN177&lt;FT$169,INDEX($FO$170:$IH$241,FT$169,$FN177),SUMPRODUCT(INDEX($FO$325:$IH$396,FT$169,1+SwaptionShift):INDEX($FO$325:$IH$396,FT$169,SwaptionMonthsToGo+SwaptionShift),INDEX($FO$245:$IH$316,$FN177-FT$169,73-FT$169+SwaptionShift):INDEX($FO$245:$IH$316,$FN177-FT$169,72-FT$169+SwaptionMonthsToGo+SwaptionShift))/SQRT(SUM(INDEX($FO332:$IH332,1+SwaptionShift):INDEX($FO332:$IH332,SwaptionMonthsToGo+SwaptionShift))*SUM(INDEX($FO$325:$IH$396,FT$169,1+SwaptionShift):INDEX($FO$325:$IH$396,FT$169,SwaptionMonthsToGo+SwaptionShift))))))</f>
        <v>0.98349299978049631</v>
      </c>
      <c r="FU177" s="469">
        <f ca="1">IF(OR(FU$169&lt;SwaptionFirstMonthPosition+1,$FN177&lt;SwaptionFirstMonthPosition+1,FU$169&gt;SwaptionFirstMonthPosition+SwaptionNumOfMonths+1,$FN177&gt;SwaptionFirstMonthPosition+SwaptionNumOfMonths+1),"",IF($FN177=FU$169,1,IF($FN177&lt;FU$169,INDEX($FO$170:$IH$241,FU$169,$FN177),SUMPRODUCT(INDEX($FO$325:$IH$396,FU$169,1+SwaptionShift):INDEX($FO$325:$IH$396,FU$169,SwaptionMonthsToGo+SwaptionShift),INDEX($FO$245:$IH$316,$FN177-FU$169,73-FU$169+SwaptionShift):INDEX($FO$245:$IH$316,$FN177-FU$169,72-FU$169+SwaptionMonthsToGo+SwaptionShift))/SQRT(SUM(INDEX($FO332:$IH332,1+SwaptionShift):INDEX($FO332:$IH332,SwaptionMonthsToGo+SwaptionShift))*SUM(INDEX($FO$325:$IH$396,FU$169,1+SwaptionShift):INDEX($FO$325:$IH$396,FU$169,SwaptionMonthsToGo+SwaptionShift))))))</f>
        <v>0.99241168968935711</v>
      </c>
      <c r="FV177" s="469">
        <f ca="1">IF(OR(FV$169&lt;SwaptionFirstMonthPosition+1,$FN177&lt;SwaptionFirstMonthPosition+1,FV$169&gt;SwaptionFirstMonthPosition+SwaptionNumOfMonths+1,$FN177&gt;SwaptionFirstMonthPosition+SwaptionNumOfMonths+1),"",IF($FN177=FV$169,1,IF($FN177&lt;FV$169,INDEX($FO$170:$IH$241,FV$169,$FN177),SUMPRODUCT(INDEX($FO$325:$IH$396,FV$169,1+SwaptionShift):INDEX($FO$325:$IH$396,FV$169,SwaptionMonthsToGo+SwaptionShift),INDEX($FO$245:$IH$316,$FN177-FV$169,73-FV$169+SwaptionShift):INDEX($FO$245:$IH$316,$FN177-FV$169,72-FV$169+SwaptionMonthsToGo+SwaptionShift))/SQRT(SUM(INDEX($FO332:$IH332,1+SwaptionShift):INDEX($FO332:$IH332,SwaptionMonthsToGo+SwaptionShift))*SUM(INDEX($FO$325:$IH$396,FV$169,1+SwaptionShift):INDEX($FO$325:$IH$396,FV$169,SwaptionMonthsToGo+SwaptionShift))))))</f>
        <v>1</v>
      </c>
      <c r="FW177" s="469">
        <f ca="1">IF(OR(FW$169&lt;SwaptionFirstMonthPosition+1,$FN177&lt;SwaptionFirstMonthPosition+1,FW$169&gt;SwaptionFirstMonthPosition+SwaptionNumOfMonths+1,$FN177&gt;SwaptionFirstMonthPosition+SwaptionNumOfMonths+1),"",IF($FN177=FW$169,1,IF($FN177&lt;FW$169,INDEX($FO$170:$IH$241,FW$169,$FN177),SUMPRODUCT(INDEX($FO$325:$IH$396,FW$169,1+SwaptionShift):INDEX($FO$325:$IH$396,FW$169,SwaptionMonthsToGo+SwaptionShift),INDEX($FO$245:$IH$316,$FN177-FW$169,73-FW$169+SwaptionShift):INDEX($FO$245:$IH$316,$FN177-FW$169,72-FW$169+SwaptionMonthsToGo+SwaptionShift))/SQRT(SUM(INDEX($FO332:$IH332,1+SwaptionShift):INDEX($FO332:$IH332,SwaptionMonthsToGo+SwaptionShift))*SUM(INDEX($FO$325:$IH$396,FW$169,1+SwaptionShift):INDEX($FO$325:$IH$396,FW$169,SwaptionMonthsToGo+SwaptionShift))))))</f>
        <v>0.9935438478462193</v>
      </c>
      <c r="FX177" s="469">
        <f ca="1">IF(OR(FX$169&lt;SwaptionFirstMonthPosition+1,$FN177&lt;SwaptionFirstMonthPosition+1,FX$169&gt;SwaptionFirstMonthPosition+SwaptionNumOfMonths+1,$FN177&gt;SwaptionFirstMonthPosition+SwaptionNumOfMonths+1),"",IF($FN177=FX$169,1,IF($FN177&lt;FX$169,INDEX($FO$170:$IH$241,FX$169,$FN177),SUMPRODUCT(INDEX($FO$325:$IH$396,FX$169,1+SwaptionShift):INDEX($FO$325:$IH$396,FX$169,SwaptionMonthsToGo+SwaptionShift),INDEX($FO$245:$IH$316,$FN177-FX$169,73-FX$169+SwaptionShift):INDEX($FO$245:$IH$316,$FN177-FX$169,72-FX$169+SwaptionMonthsToGo+SwaptionShift))/SQRT(SUM(INDEX($FO332:$IH332,1+SwaptionShift):INDEX($FO332:$IH332,SwaptionMonthsToGo+SwaptionShift))*SUM(INDEX($FO$325:$IH$396,FX$169,1+SwaptionShift):INDEX($FO$325:$IH$396,FX$169,SwaptionMonthsToGo+SwaptionShift))))))</f>
        <v>0.98804720254645362</v>
      </c>
      <c r="FY177" s="469">
        <f ca="1">IF(OR(FY$169&lt;SwaptionFirstMonthPosition+1,$FN177&lt;SwaptionFirstMonthPosition+1,FY$169&gt;SwaptionFirstMonthPosition+SwaptionNumOfMonths+1,$FN177&gt;SwaptionFirstMonthPosition+SwaptionNumOfMonths+1),"",IF($FN177=FY$169,1,IF($FN177&lt;FY$169,INDEX($FO$170:$IH$241,FY$169,$FN177),SUMPRODUCT(INDEX($FO$325:$IH$396,FY$169,1+SwaptionShift):INDEX($FO$325:$IH$396,FY$169,SwaptionMonthsToGo+SwaptionShift),INDEX($FO$245:$IH$316,$FN177-FY$169,73-FY$169+SwaptionShift):INDEX($FO$245:$IH$316,$FN177-FY$169,72-FY$169+SwaptionMonthsToGo+SwaptionShift))/SQRT(SUM(INDEX($FO332:$IH332,1+SwaptionShift):INDEX($FO332:$IH332,SwaptionMonthsToGo+SwaptionShift))*SUM(INDEX($FO$325:$IH$396,FY$169,1+SwaptionShift):INDEX($FO$325:$IH$396,FY$169,SwaptionMonthsToGo+SwaptionShift))))))</f>
        <v>0.98333529963564026</v>
      </c>
      <c r="FZ177" s="469">
        <f ca="1">IF(OR(FZ$169&lt;SwaptionFirstMonthPosition+1,$FN177&lt;SwaptionFirstMonthPosition+1,FZ$169&gt;SwaptionFirstMonthPosition+SwaptionNumOfMonths+1,$FN177&gt;SwaptionFirstMonthPosition+SwaptionNumOfMonths+1),"",IF($FN177=FZ$169,1,IF($FN177&lt;FZ$169,INDEX($FO$170:$IH$241,FZ$169,$FN177),SUMPRODUCT(INDEX($FO$325:$IH$396,FZ$169,1+SwaptionShift):INDEX($FO$325:$IH$396,FZ$169,SwaptionMonthsToGo+SwaptionShift),INDEX($FO$245:$IH$316,$FN177-FZ$169,73-FZ$169+SwaptionShift):INDEX($FO$245:$IH$316,$FN177-FZ$169,72-FZ$169+SwaptionMonthsToGo+SwaptionShift))/SQRT(SUM(INDEX($FO332:$IH332,1+SwaptionShift):INDEX($FO332:$IH332,SwaptionMonthsToGo+SwaptionShift))*SUM(INDEX($FO$325:$IH$396,FZ$169,1+SwaptionShift):INDEX($FO$325:$IH$396,FZ$169,SwaptionMonthsToGo+SwaptionShift))))))</f>
        <v>0.97927115480329585</v>
      </c>
      <c r="GA177" s="469">
        <f ca="1">IF(OR(GA$169&lt;SwaptionFirstMonthPosition+1,$FN177&lt;SwaptionFirstMonthPosition+1,GA$169&gt;SwaptionFirstMonthPosition+SwaptionNumOfMonths+1,$FN177&gt;SwaptionFirstMonthPosition+SwaptionNumOfMonths+1),"",IF($FN177=GA$169,1,IF($FN177&lt;GA$169,INDEX($FO$170:$IH$241,GA$169,$FN177),SUMPRODUCT(INDEX($FO$325:$IH$396,GA$169,1+SwaptionShift):INDEX($FO$325:$IH$396,GA$169,SwaptionMonthsToGo+SwaptionShift),INDEX($FO$245:$IH$316,$FN177-GA$169,73-GA$169+SwaptionShift):INDEX($FO$245:$IH$316,$FN177-GA$169,72-GA$169+SwaptionMonthsToGo+SwaptionShift))/SQRT(SUM(INDEX($FO332:$IH332,1+SwaptionShift):INDEX($FO332:$IH332,SwaptionMonthsToGo+SwaptionShift))*SUM(INDEX($FO$325:$IH$396,GA$169,1+SwaptionShift):INDEX($FO$325:$IH$396,GA$169,SwaptionMonthsToGo+SwaptionShift))))))</f>
        <v>0.97574639095967897</v>
      </c>
      <c r="GB177" s="469">
        <f ca="1">IF(OR(GB$169&lt;SwaptionFirstMonthPosition+1,$FN177&lt;SwaptionFirstMonthPosition+1,GB$169&gt;SwaptionFirstMonthPosition+SwaptionNumOfMonths+1,$FN177&gt;SwaptionFirstMonthPosition+SwaptionNumOfMonths+1),"",IF($FN177=GB$169,1,IF($FN177&lt;GB$169,INDEX($FO$170:$IH$241,GB$169,$FN177),SUMPRODUCT(INDEX($FO$325:$IH$396,GB$169,1+SwaptionShift):INDEX($FO$325:$IH$396,GB$169,SwaptionMonthsToGo+SwaptionShift),INDEX($FO$245:$IH$316,$FN177-GB$169,73-GB$169+SwaptionShift):INDEX($FO$245:$IH$316,$FN177-GB$169,72-GB$169+SwaptionMonthsToGo+SwaptionShift))/SQRT(SUM(INDEX($FO332:$IH332,1+SwaptionShift):INDEX($FO332:$IH332,SwaptionMonthsToGo+SwaptionShift))*SUM(INDEX($FO$325:$IH$396,GB$169,1+SwaptionShift):INDEX($FO$325:$IH$396,GB$169,SwaptionMonthsToGo+SwaptionShift))))))</f>
        <v>0.9726744724027564</v>
      </c>
      <c r="GC177" s="469" t="str">
        <f ca="1">IF(OR(GC$169&lt;SwaptionFirstMonthPosition+1,$FN177&lt;SwaptionFirstMonthPosition+1,GC$169&gt;SwaptionFirstMonthPosition+SwaptionNumOfMonths+1,$FN177&gt;SwaptionFirstMonthPosition+SwaptionNumOfMonths+1),"",IF($FN177=GC$169,1,IF($FN177&lt;GC$169,INDEX($FO$170:$IH$241,GC$169,$FN177),SUMPRODUCT(INDEX($FO$325:$IH$396,GC$169,1+SwaptionShift):INDEX($FO$325:$IH$396,GC$169,SwaptionMonthsToGo+SwaptionShift),INDEX($FO$245:$IH$316,$FN177-GC$169,73-GC$169+SwaptionShift):INDEX($FO$245:$IH$316,$FN177-GC$169,72-GC$169+SwaptionMonthsToGo+SwaptionShift))/SQRT(SUM(INDEX($FO332:$IH332,1+SwaptionShift):INDEX($FO332:$IH332,SwaptionMonthsToGo+SwaptionShift))*SUM(INDEX($FO$325:$IH$396,GC$169,1+SwaptionShift):INDEX($FO$325:$IH$396,GC$169,SwaptionMonthsToGo+SwaptionShift))))))</f>
        <v/>
      </c>
      <c r="GD177" s="469" t="str">
        <f ca="1">IF(OR(GD$169&lt;SwaptionFirstMonthPosition+1,$FN177&lt;SwaptionFirstMonthPosition+1,GD$169&gt;SwaptionFirstMonthPosition+SwaptionNumOfMonths+1,$FN177&gt;SwaptionFirstMonthPosition+SwaptionNumOfMonths+1),"",IF($FN177=GD$169,1,IF($FN177&lt;GD$169,INDEX($FO$170:$IH$241,GD$169,$FN177),SUMPRODUCT(INDEX($FO$325:$IH$396,GD$169,1+SwaptionShift):INDEX($FO$325:$IH$396,GD$169,SwaptionMonthsToGo+SwaptionShift),INDEX($FO$245:$IH$316,$FN177-GD$169,73-GD$169+SwaptionShift):INDEX($FO$245:$IH$316,$FN177-GD$169,72-GD$169+SwaptionMonthsToGo+SwaptionShift))/SQRT(SUM(INDEX($FO332:$IH332,1+SwaptionShift):INDEX($FO332:$IH332,SwaptionMonthsToGo+SwaptionShift))*SUM(INDEX($FO$325:$IH$396,GD$169,1+SwaptionShift):INDEX($FO$325:$IH$396,GD$169,SwaptionMonthsToGo+SwaptionShift))))))</f>
        <v/>
      </c>
      <c r="GE177" s="469" t="str">
        <f ca="1">IF(OR(GE$169&lt;SwaptionFirstMonthPosition+1,$FN177&lt;SwaptionFirstMonthPosition+1,GE$169&gt;SwaptionFirstMonthPosition+SwaptionNumOfMonths+1,$FN177&gt;SwaptionFirstMonthPosition+SwaptionNumOfMonths+1),"",IF($FN177=GE$169,1,IF($FN177&lt;GE$169,INDEX($FO$170:$IH$241,GE$169,$FN177),SUMPRODUCT(INDEX($FO$325:$IH$396,GE$169,1+SwaptionShift):INDEX($FO$325:$IH$396,GE$169,SwaptionMonthsToGo+SwaptionShift),INDEX($FO$245:$IH$316,$FN177-GE$169,73-GE$169+SwaptionShift):INDEX($FO$245:$IH$316,$FN177-GE$169,72-GE$169+SwaptionMonthsToGo+SwaptionShift))/SQRT(SUM(INDEX($FO332:$IH332,1+SwaptionShift):INDEX($FO332:$IH332,SwaptionMonthsToGo+SwaptionShift))*SUM(INDEX($FO$325:$IH$396,GE$169,1+SwaptionShift):INDEX($FO$325:$IH$396,GE$169,SwaptionMonthsToGo+SwaptionShift))))))</f>
        <v/>
      </c>
      <c r="GF177" s="469" t="str">
        <f ca="1">IF(OR(GF$169&lt;SwaptionFirstMonthPosition+1,$FN177&lt;SwaptionFirstMonthPosition+1,GF$169&gt;SwaptionFirstMonthPosition+SwaptionNumOfMonths+1,$FN177&gt;SwaptionFirstMonthPosition+SwaptionNumOfMonths+1),"",IF($FN177=GF$169,1,IF($FN177&lt;GF$169,INDEX($FO$170:$IH$241,GF$169,$FN177),SUMPRODUCT(INDEX($FO$325:$IH$396,GF$169,1+SwaptionShift):INDEX($FO$325:$IH$396,GF$169,SwaptionMonthsToGo+SwaptionShift),INDEX($FO$245:$IH$316,$FN177-GF$169,73-GF$169+SwaptionShift):INDEX($FO$245:$IH$316,$FN177-GF$169,72-GF$169+SwaptionMonthsToGo+SwaptionShift))/SQRT(SUM(INDEX($FO332:$IH332,1+SwaptionShift):INDEX($FO332:$IH332,SwaptionMonthsToGo+SwaptionShift))*SUM(INDEX($FO$325:$IH$396,GF$169,1+SwaptionShift):INDEX($FO$325:$IH$396,GF$169,SwaptionMonthsToGo+SwaptionShift))))))</f>
        <v/>
      </c>
      <c r="GG177" s="469" t="str">
        <f ca="1">IF(OR(GG$169&lt;SwaptionFirstMonthPosition+1,$FN177&lt;SwaptionFirstMonthPosition+1,GG$169&gt;SwaptionFirstMonthPosition+SwaptionNumOfMonths+1,$FN177&gt;SwaptionFirstMonthPosition+SwaptionNumOfMonths+1),"",IF($FN177=GG$169,1,IF($FN177&lt;GG$169,INDEX($FO$170:$IH$241,GG$169,$FN177),SUMPRODUCT(INDEX($FO$325:$IH$396,GG$169,1+SwaptionShift):INDEX($FO$325:$IH$396,GG$169,SwaptionMonthsToGo+SwaptionShift),INDEX($FO$245:$IH$316,$FN177-GG$169,73-GG$169+SwaptionShift):INDEX($FO$245:$IH$316,$FN177-GG$169,72-GG$169+SwaptionMonthsToGo+SwaptionShift))/SQRT(SUM(INDEX($FO332:$IH332,1+SwaptionShift):INDEX($FO332:$IH332,SwaptionMonthsToGo+SwaptionShift))*SUM(INDEX($FO$325:$IH$396,GG$169,1+SwaptionShift):INDEX($FO$325:$IH$396,GG$169,SwaptionMonthsToGo+SwaptionShift))))))</f>
        <v/>
      </c>
      <c r="GH177" s="469" t="str">
        <f ca="1">IF(OR(GH$169&lt;SwaptionFirstMonthPosition+1,$FN177&lt;SwaptionFirstMonthPosition+1,GH$169&gt;SwaptionFirstMonthPosition+SwaptionNumOfMonths+1,$FN177&gt;SwaptionFirstMonthPosition+SwaptionNumOfMonths+1),"",IF($FN177=GH$169,1,IF($FN177&lt;GH$169,INDEX($FO$170:$IH$241,GH$169,$FN177),SUMPRODUCT(INDEX($FO$325:$IH$396,GH$169,1+SwaptionShift):INDEX($FO$325:$IH$396,GH$169,SwaptionMonthsToGo+SwaptionShift),INDEX($FO$245:$IH$316,$FN177-GH$169,73-GH$169+SwaptionShift):INDEX($FO$245:$IH$316,$FN177-GH$169,72-GH$169+SwaptionMonthsToGo+SwaptionShift))/SQRT(SUM(INDEX($FO332:$IH332,1+SwaptionShift):INDEX($FO332:$IH332,SwaptionMonthsToGo+SwaptionShift))*SUM(INDEX($FO$325:$IH$396,GH$169,1+SwaptionShift):INDEX($FO$325:$IH$396,GH$169,SwaptionMonthsToGo+SwaptionShift))))))</f>
        <v/>
      </c>
      <c r="GI177" s="469" t="str">
        <f ca="1">IF(OR(GI$169&lt;SwaptionFirstMonthPosition+1,$FN177&lt;SwaptionFirstMonthPosition+1,GI$169&gt;SwaptionFirstMonthPosition+SwaptionNumOfMonths+1,$FN177&gt;SwaptionFirstMonthPosition+SwaptionNumOfMonths+1),"",IF($FN177=GI$169,1,IF($FN177&lt;GI$169,INDEX($FO$170:$IH$241,GI$169,$FN177),SUMPRODUCT(INDEX($FO$325:$IH$396,GI$169,1+SwaptionShift):INDEX($FO$325:$IH$396,GI$169,SwaptionMonthsToGo+SwaptionShift),INDEX($FO$245:$IH$316,$FN177-GI$169,73-GI$169+SwaptionShift):INDEX($FO$245:$IH$316,$FN177-GI$169,72-GI$169+SwaptionMonthsToGo+SwaptionShift))/SQRT(SUM(INDEX($FO332:$IH332,1+SwaptionShift):INDEX($FO332:$IH332,SwaptionMonthsToGo+SwaptionShift))*SUM(INDEX($FO$325:$IH$396,GI$169,1+SwaptionShift):INDEX($FO$325:$IH$396,GI$169,SwaptionMonthsToGo+SwaptionShift))))))</f>
        <v/>
      </c>
      <c r="GJ177" s="469" t="str">
        <f ca="1">IF(OR(GJ$169&lt;SwaptionFirstMonthPosition+1,$FN177&lt;SwaptionFirstMonthPosition+1,GJ$169&gt;SwaptionFirstMonthPosition+SwaptionNumOfMonths+1,$FN177&gt;SwaptionFirstMonthPosition+SwaptionNumOfMonths+1),"",IF($FN177=GJ$169,1,IF($FN177&lt;GJ$169,INDEX($FO$170:$IH$241,GJ$169,$FN177),SUMPRODUCT(INDEX($FO$325:$IH$396,GJ$169,1+SwaptionShift):INDEX($FO$325:$IH$396,GJ$169,SwaptionMonthsToGo+SwaptionShift),INDEX($FO$245:$IH$316,$FN177-GJ$169,73-GJ$169+SwaptionShift):INDEX($FO$245:$IH$316,$FN177-GJ$169,72-GJ$169+SwaptionMonthsToGo+SwaptionShift))/SQRT(SUM(INDEX($FO332:$IH332,1+SwaptionShift):INDEX($FO332:$IH332,SwaptionMonthsToGo+SwaptionShift))*SUM(INDEX($FO$325:$IH$396,GJ$169,1+SwaptionShift):INDEX($FO$325:$IH$396,GJ$169,SwaptionMonthsToGo+SwaptionShift))))))</f>
        <v/>
      </c>
      <c r="GK177" s="469" t="str">
        <f ca="1">IF(OR(GK$169&lt;SwaptionFirstMonthPosition+1,$FN177&lt;SwaptionFirstMonthPosition+1,GK$169&gt;SwaptionFirstMonthPosition+SwaptionNumOfMonths+1,$FN177&gt;SwaptionFirstMonthPosition+SwaptionNumOfMonths+1),"",IF($FN177=GK$169,1,IF($FN177&lt;GK$169,INDEX($FO$170:$IH$241,GK$169,$FN177),SUMPRODUCT(INDEX($FO$325:$IH$396,GK$169,1+SwaptionShift):INDEX($FO$325:$IH$396,GK$169,SwaptionMonthsToGo+SwaptionShift),INDEX($FO$245:$IH$316,$FN177-GK$169,73-GK$169+SwaptionShift):INDEX($FO$245:$IH$316,$FN177-GK$169,72-GK$169+SwaptionMonthsToGo+SwaptionShift))/SQRT(SUM(INDEX($FO332:$IH332,1+SwaptionShift):INDEX($FO332:$IH332,SwaptionMonthsToGo+SwaptionShift))*SUM(INDEX($FO$325:$IH$396,GK$169,1+SwaptionShift):INDEX($FO$325:$IH$396,GK$169,SwaptionMonthsToGo+SwaptionShift))))))</f>
        <v/>
      </c>
      <c r="GL177" s="469" t="str">
        <f ca="1">IF(OR(GL$169&lt;SwaptionFirstMonthPosition+1,$FN177&lt;SwaptionFirstMonthPosition+1,GL$169&gt;SwaptionFirstMonthPosition+SwaptionNumOfMonths+1,$FN177&gt;SwaptionFirstMonthPosition+SwaptionNumOfMonths+1),"",IF($FN177=GL$169,1,IF($FN177&lt;GL$169,INDEX($FO$170:$IH$241,GL$169,$FN177),SUMPRODUCT(INDEX($FO$325:$IH$396,GL$169,1+SwaptionShift):INDEX($FO$325:$IH$396,GL$169,SwaptionMonthsToGo+SwaptionShift),INDEX($FO$245:$IH$316,$FN177-GL$169,73-GL$169+SwaptionShift):INDEX($FO$245:$IH$316,$FN177-GL$169,72-GL$169+SwaptionMonthsToGo+SwaptionShift))/SQRT(SUM(INDEX($FO332:$IH332,1+SwaptionShift):INDEX($FO332:$IH332,SwaptionMonthsToGo+SwaptionShift))*SUM(INDEX($FO$325:$IH$396,GL$169,1+SwaptionShift):INDEX($FO$325:$IH$396,GL$169,SwaptionMonthsToGo+SwaptionShift))))))</f>
        <v/>
      </c>
      <c r="GM177" s="469" t="str">
        <f ca="1">IF(OR(GM$169&lt;SwaptionFirstMonthPosition+1,$FN177&lt;SwaptionFirstMonthPosition+1,GM$169&gt;SwaptionFirstMonthPosition+SwaptionNumOfMonths+1,$FN177&gt;SwaptionFirstMonthPosition+SwaptionNumOfMonths+1),"",IF($FN177=GM$169,1,IF($FN177&lt;GM$169,INDEX($FO$170:$IH$241,GM$169,$FN177),SUMPRODUCT(INDEX($FO$325:$IH$396,GM$169,1+SwaptionShift):INDEX($FO$325:$IH$396,GM$169,SwaptionMonthsToGo+SwaptionShift),INDEX($FO$245:$IH$316,$FN177-GM$169,73-GM$169+SwaptionShift):INDEX($FO$245:$IH$316,$FN177-GM$169,72-GM$169+SwaptionMonthsToGo+SwaptionShift))/SQRT(SUM(INDEX($FO332:$IH332,1+SwaptionShift):INDEX($FO332:$IH332,SwaptionMonthsToGo+SwaptionShift))*SUM(INDEX($FO$325:$IH$396,GM$169,1+SwaptionShift):INDEX($FO$325:$IH$396,GM$169,SwaptionMonthsToGo+SwaptionShift))))))</f>
        <v/>
      </c>
      <c r="GN177" s="469" t="str">
        <f ca="1">IF(OR(GN$169&lt;SwaptionFirstMonthPosition+1,$FN177&lt;SwaptionFirstMonthPosition+1,GN$169&gt;SwaptionFirstMonthPosition+SwaptionNumOfMonths+1,$FN177&gt;SwaptionFirstMonthPosition+SwaptionNumOfMonths+1),"",IF($FN177=GN$169,1,IF($FN177&lt;GN$169,INDEX($FO$170:$IH$241,GN$169,$FN177),SUMPRODUCT(INDEX($FO$325:$IH$396,GN$169,1+SwaptionShift):INDEX($FO$325:$IH$396,GN$169,SwaptionMonthsToGo+SwaptionShift),INDEX($FO$245:$IH$316,$FN177-GN$169,73-GN$169+SwaptionShift):INDEX($FO$245:$IH$316,$FN177-GN$169,72-GN$169+SwaptionMonthsToGo+SwaptionShift))/SQRT(SUM(INDEX($FO332:$IH332,1+SwaptionShift):INDEX($FO332:$IH332,SwaptionMonthsToGo+SwaptionShift))*SUM(INDEX($FO$325:$IH$396,GN$169,1+SwaptionShift):INDEX($FO$325:$IH$396,GN$169,SwaptionMonthsToGo+SwaptionShift))))))</f>
        <v/>
      </c>
      <c r="GO177" s="469" t="str">
        <f ca="1">IF(OR(GO$169&lt;SwaptionFirstMonthPosition+1,$FN177&lt;SwaptionFirstMonthPosition+1,GO$169&gt;SwaptionFirstMonthPosition+SwaptionNumOfMonths+1,$FN177&gt;SwaptionFirstMonthPosition+SwaptionNumOfMonths+1),"",IF($FN177=GO$169,1,IF($FN177&lt;GO$169,INDEX($FO$170:$IH$241,GO$169,$FN177),SUMPRODUCT(INDEX($FO$325:$IH$396,GO$169,1+SwaptionShift):INDEX($FO$325:$IH$396,GO$169,SwaptionMonthsToGo+SwaptionShift),INDEX($FO$245:$IH$316,$FN177-GO$169,73-GO$169+SwaptionShift):INDEX($FO$245:$IH$316,$FN177-GO$169,72-GO$169+SwaptionMonthsToGo+SwaptionShift))/SQRT(SUM(INDEX($FO332:$IH332,1+SwaptionShift):INDEX($FO332:$IH332,SwaptionMonthsToGo+SwaptionShift))*SUM(INDEX($FO$325:$IH$396,GO$169,1+SwaptionShift):INDEX($FO$325:$IH$396,GO$169,SwaptionMonthsToGo+SwaptionShift))))))</f>
        <v/>
      </c>
      <c r="GP177" s="469" t="str">
        <f ca="1">IF(OR(GP$169&lt;SwaptionFirstMonthPosition+1,$FN177&lt;SwaptionFirstMonthPosition+1,GP$169&gt;SwaptionFirstMonthPosition+SwaptionNumOfMonths+1,$FN177&gt;SwaptionFirstMonthPosition+SwaptionNumOfMonths+1),"",IF($FN177=GP$169,1,IF($FN177&lt;GP$169,INDEX($FO$170:$IH$241,GP$169,$FN177),SUMPRODUCT(INDEX($FO$325:$IH$396,GP$169,1+SwaptionShift):INDEX($FO$325:$IH$396,GP$169,SwaptionMonthsToGo+SwaptionShift),INDEX($FO$245:$IH$316,$FN177-GP$169,73-GP$169+SwaptionShift):INDEX($FO$245:$IH$316,$FN177-GP$169,72-GP$169+SwaptionMonthsToGo+SwaptionShift))/SQRT(SUM(INDEX($FO332:$IH332,1+SwaptionShift):INDEX($FO332:$IH332,SwaptionMonthsToGo+SwaptionShift))*SUM(INDEX($FO$325:$IH$396,GP$169,1+SwaptionShift):INDEX($FO$325:$IH$396,GP$169,SwaptionMonthsToGo+SwaptionShift))))))</f>
        <v/>
      </c>
      <c r="GQ177" s="469" t="str">
        <f ca="1">IF(OR(GQ$169&lt;SwaptionFirstMonthPosition+1,$FN177&lt;SwaptionFirstMonthPosition+1,GQ$169&gt;SwaptionFirstMonthPosition+SwaptionNumOfMonths+1,$FN177&gt;SwaptionFirstMonthPosition+SwaptionNumOfMonths+1),"",IF($FN177=GQ$169,1,IF($FN177&lt;GQ$169,INDEX($FO$170:$IH$241,GQ$169,$FN177),SUMPRODUCT(INDEX($FO$325:$IH$396,GQ$169,1+SwaptionShift):INDEX($FO$325:$IH$396,GQ$169,SwaptionMonthsToGo+SwaptionShift),INDEX($FO$245:$IH$316,$FN177-GQ$169,73-GQ$169+SwaptionShift):INDEX($FO$245:$IH$316,$FN177-GQ$169,72-GQ$169+SwaptionMonthsToGo+SwaptionShift))/SQRT(SUM(INDEX($FO332:$IH332,1+SwaptionShift):INDEX($FO332:$IH332,SwaptionMonthsToGo+SwaptionShift))*SUM(INDEX($FO$325:$IH$396,GQ$169,1+SwaptionShift):INDEX($FO$325:$IH$396,GQ$169,SwaptionMonthsToGo+SwaptionShift))))))</f>
        <v/>
      </c>
      <c r="GR177" s="469" t="str">
        <f ca="1">IF(OR(GR$169&lt;SwaptionFirstMonthPosition+1,$FN177&lt;SwaptionFirstMonthPosition+1,GR$169&gt;SwaptionFirstMonthPosition+SwaptionNumOfMonths+1,$FN177&gt;SwaptionFirstMonthPosition+SwaptionNumOfMonths+1),"",IF($FN177=GR$169,1,IF($FN177&lt;GR$169,INDEX($FO$170:$IH$241,GR$169,$FN177),SUMPRODUCT(INDEX($FO$325:$IH$396,GR$169,1+SwaptionShift):INDEX($FO$325:$IH$396,GR$169,SwaptionMonthsToGo+SwaptionShift),INDEX($FO$245:$IH$316,$FN177-GR$169,73-GR$169+SwaptionShift):INDEX($FO$245:$IH$316,$FN177-GR$169,72-GR$169+SwaptionMonthsToGo+SwaptionShift))/SQRT(SUM(INDEX($FO332:$IH332,1+SwaptionShift):INDEX($FO332:$IH332,SwaptionMonthsToGo+SwaptionShift))*SUM(INDEX($FO$325:$IH$396,GR$169,1+SwaptionShift):INDEX($FO$325:$IH$396,GR$169,SwaptionMonthsToGo+SwaptionShift))))))</f>
        <v/>
      </c>
      <c r="GS177" s="469" t="str">
        <f ca="1">IF(OR(GS$169&lt;SwaptionFirstMonthPosition+1,$FN177&lt;SwaptionFirstMonthPosition+1,GS$169&gt;SwaptionFirstMonthPosition+SwaptionNumOfMonths+1,$FN177&gt;SwaptionFirstMonthPosition+SwaptionNumOfMonths+1),"",IF($FN177=GS$169,1,IF($FN177&lt;GS$169,INDEX($FO$170:$IH$241,GS$169,$FN177),SUMPRODUCT(INDEX($FO$325:$IH$396,GS$169,1+SwaptionShift):INDEX($FO$325:$IH$396,GS$169,SwaptionMonthsToGo+SwaptionShift),INDEX($FO$245:$IH$316,$FN177-GS$169,73-GS$169+SwaptionShift):INDEX($FO$245:$IH$316,$FN177-GS$169,72-GS$169+SwaptionMonthsToGo+SwaptionShift))/SQRT(SUM(INDEX($FO332:$IH332,1+SwaptionShift):INDEX($FO332:$IH332,SwaptionMonthsToGo+SwaptionShift))*SUM(INDEX($FO$325:$IH$396,GS$169,1+SwaptionShift):INDEX($FO$325:$IH$396,GS$169,SwaptionMonthsToGo+SwaptionShift))))))</f>
        <v/>
      </c>
      <c r="GT177" s="469" t="str">
        <f ca="1">IF(OR(GT$169&lt;SwaptionFirstMonthPosition+1,$FN177&lt;SwaptionFirstMonthPosition+1,GT$169&gt;SwaptionFirstMonthPosition+SwaptionNumOfMonths+1,$FN177&gt;SwaptionFirstMonthPosition+SwaptionNumOfMonths+1),"",IF($FN177=GT$169,1,IF($FN177&lt;GT$169,INDEX($FO$170:$IH$241,GT$169,$FN177),SUMPRODUCT(INDEX($FO$325:$IH$396,GT$169,1+SwaptionShift):INDEX($FO$325:$IH$396,GT$169,SwaptionMonthsToGo+SwaptionShift),INDEX($FO$245:$IH$316,$FN177-GT$169,73-GT$169+SwaptionShift):INDEX($FO$245:$IH$316,$FN177-GT$169,72-GT$169+SwaptionMonthsToGo+SwaptionShift))/SQRT(SUM(INDEX($FO332:$IH332,1+SwaptionShift):INDEX($FO332:$IH332,SwaptionMonthsToGo+SwaptionShift))*SUM(INDEX($FO$325:$IH$396,GT$169,1+SwaptionShift):INDEX($FO$325:$IH$396,GT$169,SwaptionMonthsToGo+SwaptionShift))))))</f>
        <v/>
      </c>
      <c r="GU177" s="469" t="str">
        <f ca="1">IF(OR(GU$169&lt;SwaptionFirstMonthPosition+1,$FN177&lt;SwaptionFirstMonthPosition+1,GU$169&gt;SwaptionFirstMonthPosition+SwaptionNumOfMonths+1,$FN177&gt;SwaptionFirstMonthPosition+SwaptionNumOfMonths+1),"",IF($FN177=GU$169,1,IF($FN177&lt;GU$169,INDEX($FO$170:$IH$241,GU$169,$FN177),SUMPRODUCT(INDEX($FO$325:$IH$396,GU$169,1+SwaptionShift):INDEX($FO$325:$IH$396,GU$169,SwaptionMonthsToGo+SwaptionShift),INDEX($FO$245:$IH$316,$FN177-GU$169,73-GU$169+SwaptionShift):INDEX($FO$245:$IH$316,$FN177-GU$169,72-GU$169+SwaptionMonthsToGo+SwaptionShift))/SQRT(SUM(INDEX($FO332:$IH332,1+SwaptionShift):INDEX($FO332:$IH332,SwaptionMonthsToGo+SwaptionShift))*SUM(INDEX($FO$325:$IH$396,GU$169,1+SwaptionShift):INDEX($FO$325:$IH$396,GU$169,SwaptionMonthsToGo+SwaptionShift))))))</f>
        <v/>
      </c>
      <c r="GV177" s="469" t="str">
        <f ca="1">IF(OR(GV$169&lt;SwaptionFirstMonthPosition+1,$FN177&lt;SwaptionFirstMonthPosition+1,GV$169&gt;SwaptionFirstMonthPosition+SwaptionNumOfMonths+1,$FN177&gt;SwaptionFirstMonthPosition+SwaptionNumOfMonths+1),"",IF($FN177=GV$169,1,IF($FN177&lt;GV$169,INDEX($FO$170:$IH$241,GV$169,$FN177),SUMPRODUCT(INDEX($FO$325:$IH$396,GV$169,1+SwaptionShift):INDEX($FO$325:$IH$396,GV$169,SwaptionMonthsToGo+SwaptionShift),INDEX($FO$245:$IH$316,$FN177-GV$169,73-GV$169+SwaptionShift):INDEX($FO$245:$IH$316,$FN177-GV$169,72-GV$169+SwaptionMonthsToGo+SwaptionShift))/SQRT(SUM(INDEX($FO332:$IH332,1+SwaptionShift):INDEX($FO332:$IH332,SwaptionMonthsToGo+SwaptionShift))*SUM(INDEX($FO$325:$IH$396,GV$169,1+SwaptionShift):INDEX($FO$325:$IH$396,GV$169,SwaptionMonthsToGo+SwaptionShift))))))</f>
        <v/>
      </c>
      <c r="GW177" s="469" t="str">
        <f ca="1">IF(OR(GW$169&lt;SwaptionFirstMonthPosition+1,$FN177&lt;SwaptionFirstMonthPosition+1,GW$169&gt;SwaptionFirstMonthPosition+SwaptionNumOfMonths+1,$FN177&gt;SwaptionFirstMonthPosition+SwaptionNumOfMonths+1),"",IF($FN177=GW$169,1,IF($FN177&lt;GW$169,INDEX($FO$170:$IH$241,GW$169,$FN177),SUMPRODUCT(INDEX($FO$325:$IH$396,GW$169,1+SwaptionShift):INDEX($FO$325:$IH$396,GW$169,SwaptionMonthsToGo+SwaptionShift),INDEX($FO$245:$IH$316,$FN177-GW$169,73-GW$169+SwaptionShift):INDEX($FO$245:$IH$316,$FN177-GW$169,72-GW$169+SwaptionMonthsToGo+SwaptionShift))/SQRT(SUM(INDEX($FO332:$IH332,1+SwaptionShift):INDEX($FO332:$IH332,SwaptionMonthsToGo+SwaptionShift))*SUM(INDEX($FO$325:$IH$396,GW$169,1+SwaptionShift):INDEX($FO$325:$IH$396,GW$169,SwaptionMonthsToGo+SwaptionShift))))))</f>
        <v/>
      </c>
      <c r="GX177" s="469" t="str">
        <f ca="1">IF(OR(GX$169&lt;SwaptionFirstMonthPosition+1,$FN177&lt;SwaptionFirstMonthPosition+1,GX$169&gt;SwaptionFirstMonthPosition+SwaptionNumOfMonths+1,$FN177&gt;SwaptionFirstMonthPosition+SwaptionNumOfMonths+1),"",IF($FN177=GX$169,1,IF($FN177&lt;GX$169,INDEX($FO$170:$IH$241,GX$169,$FN177),SUMPRODUCT(INDEX($FO$325:$IH$396,GX$169,1+SwaptionShift):INDEX($FO$325:$IH$396,GX$169,SwaptionMonthsToGo+SwaptionShift),INDEX($FO$245:$IH$316,$FN177-GX$169,73-GX$169+SwaptionShift):INDEX($FO$245:$IH$316,$FN177-GX$169,72-GX$169+SwaptionMonthsToGo+SwaptionShift))/SQRT(SUM(INDEX($FO332:$IH332,1+SwaptionShift):INDEX($FO332:$IH332,SwaptionMonthsToGo+SwaptionShift))*SUM(INDEX($FO$325:$IH$396,GX$169,1+SwaptionShift):INDEX($FO$325:$IH$396,GX$169,SwaptionMonthsToGo+SwaptionShift))))))</f>
        <v/>
      </c>
      <c r="GY177" s="469" t="str">
        <f ca="1">IF(OR(GY$169&lt;SwaptionFirstMonthPosition+1,$FN177&lt;SwaptionFirstMonthPosition+1,GY$169&gt;SwaptionFirstMonthPosition+SwaptionNumOfMonths+1,$FN177&gt;SwaptionFirstMonthPosition+SwaptionNumOfMonths+1),"",IF($FN177=GY$169,1,IF($FN177&lt;GY$169,INDEX($FO$170:$IH$241,GY$169,$FN177),SUMPRODUCT(INDEX($FO$325:$IH$396,GY$169,1+SwaptionShift):INDEX($FO$325:$IH$396,GY$169,SwaptionMonthsToGo+SwaptionShift),INDEX($FO$245:$IH$316,$FN177-GY$169,73-GY$169+SwaptionShift):INDEX($FO$245:$IH$316,$FN177-GY$169,72-GY$169+SwaptionMonthsToGo+SwaptionShift))/SQRT(SUM(INDEX($FO332:$IH332,1+SwaptionShift):INDEX($FO332:$IH332,SwaptionMonthsToGo+SwaptionShift))*SUM(INDEX($FO$325:$IH$396,GY$169,1+SwaptionShift):INDEX($FO$325:$IH$396,GY$169,SwaptionMonthsToGo+SwaptionShift))))))</f>
        <v/>
      </c>
      <c r="GZ177" s="469" t="str">
        <f ca="1">IF(OR(GZ$169&lt;SwaptionFirstMonthPosition+1,$FN177&lt;SwaptionFirstMonthPosition+1,GZ$169&gt;SwaptionFirstMonthPosition+SwaptionNumOfMonths+1,$FN177&gt;SwaptionFirstMonthPosition+SwaptionNumOfMonths+1),"",IF($FN177=GZ$169,1,IF($FN177&lt;GZ$169,INDEX($FO$170:$IH$241,GZ$169,$FN177),SUMPRODUCT(INDEX($FO$325:$IH$396,GZ$169,1+SwaptionShift):INDEX($FO$325:$IH$396,GZ$169,SwaptionMonthsToGo+SwaptionShift),INDEX($FO$245:$IH$316,$FN177-GZ$169,73-GZ$169+SwaptionShift):INDEX($FO$245:$IH$316,$FN177-GZ$169,72-GZ$169+SwaptionMonthsToGo+SwaptionShift))/SQRT(SUM(INDEX($FO332:$IH332,1+SwaptionShift):INDEX($FO332:$IH332,SwaptionMonthsToGo+SwaptionShift))*SUM(INDEX($FO$325:$IH$396,GZ$169,1+SwaptionShift):INDEX($FO$325:$IH$396,GZ$169,SwaptionMonthsToGo+SwaptionShift))))))</f>
        <v/>
      </c>
      <c r="HA177" s="469" t="str">
        <f ca="1">IF(OR(HA$169&lt;SwaptionFirstMonthPosition+1,$FN177&lt;SwaptionFirstMonthPosition+1,HA$169&gt;SwaptionFirstMonthPosition+SwaptionNumOfMonths+1,$FN177&gt;SwaptionFirstMonthPosition+SwaptionNumOfMonths+1),"",IF($FN177=HA$169,1,IF($FN177&lt;HA$169,INDEX($FO$170:$IH$241,HA$169,$FN177),SUMPRODUCT(INDEX($FO$325:$IH$396,HA$169,1+SwaptionShift):INDEX($FO$325:$IH$396,HA$169,SwaptionMonthsToGo+SwaptionShift),INDEX($FO$245:$IH$316,$FN177-HA$169,73-HA$169+SwaptionShift):INDEX($FO$245:$IH$316,$FN177-HA$169,72-HA$169+SwaptionMonthsToGo+SwaptionShift))/SQRT(SUM(INDEX($FO332:$IH332,1+SwaptionShift):INDEX($FO332:$IH332,SwaptionMonthsToGo+SwaptionShift))*SUM(INDEX($FO$325:$IH$396,HA$169,1+SwaptionShift):INDEX($FO$325:$IH$396,HA$169,SwaptionMonthsToGo+SwaptionShift))))))</f>
        <v/>
      </c>
      <c r="HB177" s="469" t="str">
        <f ca="1">IF(OR(HB$169&lt;SwaptionFirstMonthPosition+1,$FN177&lt;SwaptionFirstMonthPosition+1,HB$169&gt;SwaptionFirstMonthPosition+SwaptionNumOfMonths+1,$FN177&gt;SwaptionFirstMonthPosition+SwaptionNumOfMonths+1),"",IF($FN177=HB$169,1,IF($FN177&lt;HB$169,INDEX($FO$170:$IH$241,HB$169,$FN177),SUMPRODUCT(INDEX($FO$325:$IH$396,HB$169,1+SwaptionShift):INDEX($FO$325:$IH$396,HB$169,SwaptionMonthsToGo+SwaptionShift),INDEX($FO$245:$IH$316,$FN177-HB$169,73-HB$169+SwaptionShift):INDEX($FO$245:$IH$316,$FN177-HB$169,72-HB$169+SwaptionMonthsToGo+SwaptionShift))/SQRT(SUM(INDEX($FO332:$IH332,1+SwaptionShift):INDEX($FO332:$IH332,SwaptionMonthsToGo+SwaptionShift))*SUM(INDEX($FO$325:$IH$396,HB$169,1+SwaptionShift):INDEX($FO$325:$IH$396,HB$169,SwaptionMonthsToGo+SwaptionShift))))))</f>
        <v/>
      </c>
      <c r="HC177" s="469" t="str">
        <f ca="1">IF(OR(HC$169&lt;SwaptionFirstMonthPosition+1,$FN177&lt;SwaptionFirstMonthPosition+1,HC$169&gt;SwaptionFirstMonthPosition+SwaptionNumOfMonths+1,$FN177&gt;SwaptionFirstMonthPosition+SwaptionNumOfMonths+1),"",IF($FN177=HC$169,1,IF($FN177&lt;HC$169,INDEX($FO$170:$IH$241,HC$169,$FN177),SUMPRODUCT(INDEX($FO$325:$IH$396,HC$169,1+SwaptionShift):INDEX($FO$325:$IH$396,HC$169,SwaptionMonthsToGo+SwaptionShift),INDEX($FO$245:$IH$316,$FN177-HC$169,73-HC$169+SwaptionShift):INDEX($FO$245:$IH$316,$FN177-HC$169,72-HC$169+SwaptionMonthsToGo+SwaptionShift))/SQRT(SUM(INDEX($FO332:$IH332,1+SwaptionShift):INDEX($FO332:$IH332,SwaptionMonthsToGo+SwaptionShift))*SUM(INDEX($FO$325:$IH$396,HC$169,1+SwaptionShift):INDEX($FO$325:$IH$396,HC$169,SwaptionMonthsToGo+SwaptionShift))))))</f>
        <v/>
      </c>
      <c r="HD177" s="469" t="str">
        <f ca="1">IF(OR(HD$169&lt;SwaptionFirstMonthPosition+1,$FN177&lt;SwaptionFirstMonthPosition+1,HD$169&gt;SwaptionFirstMonthPosition+SwaptionNumOfMonths+1,$FN177&gt;SwaptionFirstMonthPosition+SwaptionNumOfMonths+1),"",IF($FN177=HD$169,1,IF($FN177&lt;HD$169,INDEX($FO$170:$IH$241,HD$169,$FN177),SUMPRODUCT(INDEX($FO$325:$IH$396,HD$169,1+SwaptionShift):INDEX($FO$325:$IH$396,HD$169,SwaptionMonthsToGo+SwaptionShift),INDEX($FO$245:$IH$316,$FN177-HD$169,73-HD$169+SwaptionShift):INDEX($FO$245:$IH$316,$FN177-HD$169,72-HD$169+SwaptionMonthsToGo+SwaptionShift))/SQRT(SUM(INDEX($FO332:$IH332,1+SwaptionShift):INDEX($FO332:$IH332,SwaptionMonthsToGo+SwaptionShift))*SUM(INDEX($FO$325:$IH$396,HD$169,1+SwaptionShift):INDEX($FO$325:$IH$396,HD$169,SwaptionMonthsToGo+SwaptionShift))))))</f>
        <v/>
      </c>
      <c r="HE177" s="469" t="str">
        <f ca="1">IF(OR(HE$169&lt;SwaptionFirstMonthPosition+1,$FN177&lt;SwaptionFirstMonthPosition+1,HE$169&gt;SwaptionFirstMonthPosition+SwaptionNumOfMonths+1,$FN177&gt;SwaptionFirstMonthPosition+SwaptionNumOfMonths+1),"",IF($FN177=HE$169,1,IF($FN177&lt;HE$169,INDEX($FO$170:$IH$241,HE$169,$FN177),SUMPRODUCT(INDEX($FO$325:$IH$396,HE$169,1+SwaptionShift):INDEX($FO$325:$IH$396,HE$169,SwaptionMonthsToGo+SwaptionShift),INDEX($FO$245:$IH$316,$FN177-HE$169,73-HE$169+SwaptionShift):INDEX($FO$245:$IH$316,$FN177-HE$169,72-HE$169+SwaptionMonthsToGo+SwaptionShift))/SQRT(SUM(INDEX($FO332:$IH332,1+SwaptionShift):INDEX($FO332:$IH332,SwaptionMonthsToGo+SwaptionShift))*SUM(INDEX($FO$325:$IH$396,HE$169,1+SwaptionShift):INDEX($FO$325:$IH$396,HE$169,SwaptionMonthsToGo+SwaptionShift))))))</f>
        <v/>
      </c>
      <c r="HF177" s="469" t="str">
        <f ca="1">IF(OR(HF$169&lt;SwaptionFirstMonthPosition+1,$FN177&lt;SwaptionFirstMonthPosition+1,HF$169&gt;SwaptionFirstMonthPosition+SwaptionNumOfMonths+1,$FN177&gt;SwaptionFirstMonthPosition+SwaptionNumOfMonths+1),"",IF($FN177=HF$169,1,IF($FN177&lt;HF$169,INDEX($FO$170:$IH$241,HF$169,$FN177),SUMPRODUCT(INDEX($FO$325:$IH$396,HF$169,1+SwaptionShift):INDEX($FO$325:$IH$396,HF$169,SwaptionMonthsToGo+SwaptionShift),INDEX($FO$245:$IH$316,$FN177-HF$169,73-HF$169+SwaptionShift):INDEX($FO$245:$IH$316,$FN177-HF$169,72-HF$169+SwaptionMonthsToGo+SwaptionShift))/SQRT(SUM(INDEX($FO332:$IH332,1+SwaptionShift):INDEX($FO332:$IH332,SwaptionMonthsToGo+SwaptionShift))*SUM(INDEX($FO$325:$IH$396,HF$169,1+SwaptionShift):INDEX($FO$325:$IH$396,HF$169,SwaptionMonthsToGo+SwaptionShift))))))</f>
        <v/>
      </c>
      <c r="HG177" s="469" t="str">
        <f ca="1">IF(OR(HG$169&lt;SwaptionFirstMonthPosition+1,$FN177&lt;SwaptionFirstMonthPosition+1,HG$169&gt;SwaptionFirstMonthPosition+SwaptionNumOfMonths+1,$FN177&gt;SwaptionFirstMonthPosition+SwaptionNumOfMonths+1),"",IF($FN177=HG$169,1,IF($FN177&lt;HG$169,INDEX($FO$170:$IH$241,HG$169,$FN177),SUMPRODUCT(INDEX($FO$325:$IH$396,HG$169,1+SwaptionShift):INDEX($FO$325:$IH$396,HG$169,SwaptionMonthsToGo+SwaptionShift),INDEX($FO$245:$IH$316,$FN177-HG$169,73-HG$169+SwaptionShift):INDEX($FO$245:$IH$316,$FN177-HG$169,72-HG$169+SwaptionMonthsToGo+SwaptionShift))/SQRT(SUM(INDEX($FO332:$IH332,1+SwaptionShift):INDEX($FO332:$IH332,SwaptionMonthsToGo+SwaptionShift))*SUM(INDEX($FO$325:$IH$396,HG$169,1+SwaptionShift):INDEX($FO$325:$IH$396,HG$169,SwaptionMonthsToGo+SwaptionShift))))))</f>
        <v/>
      </c>
      <c r="HH177" s="469" t="str">
        <f ca="1">IF(OR(HH$169&lt;SwaptionFirstMonthPosition+1,$FN177&lt;SwaptionFirstMonthPosition+1,HH$169&gt;SwaptionFirstMonthPosition+SwaptionNumOfMonths+1,$FN177&gt;SwaptionFirstMonthPosition+SwaptionNumOfMonths+1),"",IF($FN177=HH$169,1,IF($FN177&lt;HH$169,INDEX($FO$170:$IH$241,HH$169,$FN177),SUMPRODUCT(INDEX($FO$325:$IH$396,HH$169,1+SwaptionShift):INDEX($FO$325:$IH$396,HH$169,SwaptionMonthsToGo+SwaptionShift),INDEX($FO$245:$IH$316,$FN177-HH$169,73-HH$169+SwaptionShift):INDEX($FO$245:$IH$316,$FN177-HH$169,72-HH$169+SwaptionMonthsToGo+SwaptionShift))/SQRT(SUM(INDEX($FO332:$IH332,1+SwaptionShift):INDEX($FO332:$IH332,SwaptionMonthsToGo+SwaptionShift))*SUM(INDEX($FO$325:$IH$396,HH$169,1+SwaptionShift):INDEX($FO$325:$IH$396,HH$169,SwaptionMonthsToGo+SwaptionShift))))))</f>
        <v/>
      </c>
      <c r="HI177" s="469" t="str">
        <f ca="1">IF(OR(HI$169&lt;SwaptionFirstMonthPosition+1,$FN177&lt;SwaptionFirstMonthPosition+1,HI$169&gt;SwaptionFirstMonthPosition+SwaptionNumOfMonths+1,$FN177&gt;SwaptionFirstMonthPosition+SwaptionNumOfMonths+1),"",IF($FN177=HI$169,1,IF($FN177&lt;HI$169,INDEX($FO$170:$IH$241,HI$169,$FN177),SUMPRODUCT(INDEX($FO$325:$IH$396,HI$169,1+SwaptionShift):INDEX($FO$325:$IH$396,HI$169,SwaptionMonthsToGo+SwaptionShift),INDEX($FO$245:$IH$316,$FN177-HI$169,73-HI$169+SwaptionShift):INDEX($FO$245:$IH$316,$FN177-HI$169,72-HI$169+SwaptionMonthsToGo+SwaptionShift))/SQRT(SUM(INDEX($FO332:$IH332,1+SwaptionShift):INDEX($FO332:$IH332,SwaptionMonthsToGo+SwaptionShift))*SUM(INDEX($FO$325:$IH$396,HI$169,1+SwaptionShift):INDEX($FO$325:$IH$396,HI$169,SwaptionMonthsToGo+SwaptionShift))))))</f>
        <v/>
      </c>
      <c r="HJ177" s="469" t="str">
        <f ca="1">IF(OR(HJ$169&lt;SwaptionFirstMonthPosition+1,$FN177&lt;SwaptionFirstMonthPosition+1,HJ$169&gt;SwaptionFirstMonthPosition+SwaptionNumOfMonths+1,$FN177&gt;SwaptionFirstMonthPosition+SwaptionNumOfMonths+1),"",IF($FN177=HJ$169,1,IF($FN177&lt;HJ$169,INDEX($FO$170:$IH$241,HJ$169,$FN177),SUMPRODUCT(INDEX($FO$325:$IH$396,HJ$169,1+SwaptionShift):INDEX($FO$325:$IH$396,HJ$169,SwaptionMonthsToGo+SwaptionShift),INDEX($FO$245:$IH$316,$FN177-HJ$169,73-HJ$169+SwaptionShift):INDEX($FO$245:$IH$316,$FN177-HJ$169,72-HJ$169+SwaptionMonthsToGo+SwaptionShift))/SQRT(SUM(INDEX($FO332:$IH332,1+SwaptionShift):INDEX($FO332:$IH332,SwaptionMonthsToGo+SwaptionShift))*SUM(INDEX($FO$325:$IH$396,HJ$169,1+SwaptionShift):INDEX($FO$325:$IH$396,HJ$169,SwaptionMonthsToGo+SwaptionShift))))))</f>
        <v/>
      </c>
      <c r="HK177" s="469" t="str">
        <f ca="1">IF(OR(HK$169&lt;SwaptionFirstMonthPosition+1,$FN177&lt;SwaptionFirstMonthPosition+1,HK$169&gt;SwaptionFirstMonthPosition+SwaptionNumOfMonths+1,$FN177&gt;SwaptionFirstMonthPosition+SwaptionNumOfMonths+1),"",IF($FN177=HK$169,1,IF($FN177&lt;HK$169,INDEX($FO$170:$IH$241,HK$169,$FN177),SUMPRODUCT(INDEX($FO$325:$IH$396,HK$169,1+SwaptionShift):INDEX($FO$325:$IH$396,HK$169,SwaptionMonthsToGo+SwaptionShift),INDEX($FO$245:$IH$316,$FN177-HK$169,73-HK$169+SwaptionShift):INDEX($FO$245:$IH$316,$FN177-HK$169,72-HK$169+SwaptionMonthsToGo+SwaptionShift))/SQRT(SUM(INDEX($FO332:$IH332,1+SwaptionShift):INDEX($FO332:$IH332,SwaptionMonthsToGo+SwaptionShift))*SUM(INDEX($FO$325:$IH$396,HK$169,1+SwaptionShift):INDEX($FO$325:$IH$396,HK$169,SwaptionMonthsToGo+SwaptionShift))))))</f>
        <v/>
      </c>
      <c r="HL177" s="469" t="str">
        <f ca="1">IF(OR(HL$169&lt;SwaptionFirstMonthPosition+1,$FN177&lt;SwaptionFirstMonthPosition+1,HL$169&gt;SwaptionFirstMonthPosition+SwaptionNumOfMonths+1,$FN177&gt;SwaptionFirstMonthPosition+SwaptionNumOfMonths+1),"",IF($FN177=HL$169,1,IF($FN177&lt;HL$169,INDEX($FO$170:$IH$241,HL$169,$FN177),SUMPRODUCT(INDEX($FO$325:$IH$396,HL$169,1+SwaptionShift):INDEX($FO$325:$IH$396,HL$169,SwaptionMonthsToGo+SwaptionShift),INDEX($FO$245:$IH$316,$FN177-HL$169,73-HL$169+SwaptionShift):INDEX($FO$245:$IH$316,$FN177-HL$169,72-HL$169+SwaptionMonthsToGo+SwaptionShift))/SQRT(SUM(INDEX($FO332:$IH332,1+SwaptionShift):INDEX($FO332:$IH332,SwaptionMonthsToGo+SwaptionShift))*SUM(INDEX($FO$325:$IH$396,HL$169,1+SwaptionShift):INDEX($FO$325:$IH$396,HL$169,SwaptionMonthsToGo+SwaptionShift))))))</f>
        <v/>
      </c>
      <c r="HM177" s="469" t="str">
        <f ca="1">IF(OR(HM$169&lt;SwaptionFirstMonthPosition+1,$FN177&lt;SwaptionFirstMonthPosition+1,HM$169&gt;SwaptionFirstMonthPosition+SwaptionNumOfMonths+1,$FN177&gt;SwaptionFirstMonthPosition+SwaptionNumOfMonths+1),"",IF($FN177=HM$169,1,IF($FN177&lt;HM$169,INDEX($FO$170:$IH$241,HM$169,$FN177),SUMPRODUCT(INDEX($FO$325:$IH$396,HM$169,1+SwaptionShift):INDEX($FO$325:$IH$396,HM$169,SwaptionMonthsToGo+SwaptionShift),INDEX($FO$245:$IH$316,$FN177-HM$169,73-HM$169+SwaptionShift):INDEX($FO$245:$IH$316,$FN177-HM$169,72-HM$169+SwaptionMonthsToGo+SwaptionShift))/SQRT(SUM(INDEX($FO332:$IH332,1+SwaptionShift):INDEX($FO332:$IH332,SwaptionMonthsToGo+SwaptionShift))*SUM(INDEX($FO$325:$IH$396,HM$169,1+SwaptionShift):INDEX($FO$325:$IH$396,HM$169,SwaptionMonthsToGo+SwaptionShift))))))</f>
        <v/>
      </c>
      <c r="HN177" s="469" t="str">
        <f ca="1">IF(OR(HN$169&lt;SwaptionFirstMonthPosition+1,$FN177&lt;SwaptionFirstMonthPosition+1,HN$169&gt;SwaptionFirstMonthPosition+SwaptionNumOfMonths+1,$FN177&gt;SwaptionFirstMonthPosition+SwaptionNumOfMonths+1),"",IF($FN177=HN$169,1,IF($FN177&lt;HN$169,INDEX($FO$170:$IH$241,HN$169,$FN177),SUMPRODUCT(INDEX($FO$325:$IH$396,HN$169,1+SwaptionShift):INDEX($FO$325:$IH$396,HN$169,SwaptionMonthsToGo+SwaptionShift),INDEX($FO$245:$IH$316,$FN177-HN$169,73-HN$169+SwaptionShift):INDEX($FO$245:$IH$316,$FN177-HN$169,72-HN$169+SwaptionMonthsToGo+SwaptionShift))/SQRT(SUM(INDEX($FO332:$IH332,1+SwaptionShift):INDEX($FO332:$IH332,SwaptionMonthsToGo+SwaptionShift))*SUM(INDEX($FO$325:$IH$396,HN$169,1+SwaptionShift):INDEX($FO$325:$IH$396,HN$169,SwaptionMonthsToGo+SwaptionShift))))))</f>
        <v/>
      </c>
      <c r="HO177" s="469" t="str">
        <f ca="1">IF(OR(HO$169&lt;SwaptionFirstMonthPosition+1,$FN177&lt;SwaptionFirstMonthPosition+1,HO$169&gt;SwaptionFirstMonthPosition+SwaptionNumOfMonths+1,$FN177&gt;SwaptionFirstMonthPosition+SwaptionNumOfMonths+1),"",IF($FN177=HO$169,1,IF($FN177&lt;HO$169,INDEX($FO$170:$IH$241,HO$169,$FN177),SUMPRODUCT(INDEX($FO$325:$IH$396,HO$169,1+SwaptionShift):INDEX($FO$325:$IH$396,HO$169,SwaptionMonthsToGo+SwaptionShift),INDEX($FO$245:$IH$316,$FN177-HO$169,73-HO$169+SwaptionShift):INDEX($FO$245:$IH$316,$FN177-HO$169,72-HO$169+SwaptionMonthsToGo+SwaptionShift))/SQRT(SUM(INDEX($FO332:$IH332,1+SwaptionShift):INDEX($FO332:$IH332,SwaptionMonthsToGo+SwaptionShift))*SUM(INDEX($FO$325:$IH$396,HO$169,1+SwaptionShift):INDEX($FO$325:$IH$396,HO$169,SwaptionMonthsToGo+SwaptionShift))))))</f>
        <v/>
      </c>
      <c r="HP177" s="469" t="str">
        <f ca="1">IF(OR(HP$169&lt;SwaptionFirstMonthPosition+1,$FN177&lt;SwaptionFirstMonthPosition+1,HP$169&gt;SwaptionFirstMonthPosition+SwaptionNumOfMonths+1,$FN177&gt;SwaptionFirstMonthPosition+SwaptionNumOfMonths+1),"",IF($FN177=HP$169,1,IF($FN177&lt;HP$169,INDEX($FO$170:$IH$241,HP$169,$FN177),SUMPRODUCT(INDEX($FO$325:$IH$396,HP$169,1+SwaptionShift):INDEX($FO$325:$IH$396,HP$169,SwaptionMonthsToGo+SwaptionShift),INDEX($FO$245:$IH$316,$FN177-HP$169,73-HP$169+SwaptionShift):INDEX($FO$245:$IH$316,$FN177-HP$169,72-HP$169+SwaptionMonthsToGo+SwaptionShift))/SQRT(SUM(INDEX($FO332:$IH332,1+SwaptionShift):INDEX($FO332:$IH332,SwaptionMonthsToGo+SwaptionShift))*SUM(INDEX($FO$325:$IH$396,HP$169,1+SwaptionShift):INDEX($FO$325:$IH$396,HP$169,SwaptionMonthsToGo+SwaptionShift))))))</f>
        <v/>
      </c>
      <c r="HQ177" s="469" t="str">
        <f ca="1">IF(OR(HQ$169&lt;SwaptionFirstMonthPosition+1,$FN177&lt;SwaptionFirstMonthPosition+1,HQ$169&gt;SwaptionFirstMonthPosition+SwaptionNumOfMonths+1,$FN177&gt;SwaptionFirstMonthPosition+SwaptionNumOfMonths+1),"",IF($FN177=HQ$169,1,IF($FN177&lt;HQ$169,INDEX($FO$170:$IH$241,HQ$169,$FN177),SUMPRODUCT(INDEX($FO$325:$IH$396,HQ$169,1+SwaptionShift):INDEX($FO$325:$IH$396,HQ$169,SwaptionMonthsToGo+SwaptionShift),INDEX($FO$245:$IH$316,$FN177-HQ$169,73-HQ$169+SwaptionShift):INDEX($FO$245:$IH$316,$FN177-HQ$169,72-HQ$169+SwaptionMonthsToGo+SwaptionShift))/SQRT(SUM(INDEX($FO332:$IH332,1+SwaptionShift):INDEX($FO332:$IH332,SwaptionMonthsToGo+SwaptionShift))*SUM(INDEX($FO$325:$IH$396,HQ$169,1+SwaptionShift):INDEX($FO$325:$IH$396,HQ$169,SwaptionMonthsToGo+SwaptionShift))))))</f>
        <v/>
      </c>
      <c r="HR177" s="469" t="str">
        <f ca="1">IF(OR(HR$169&lt;SwaptionFirstMonthPosition+1,$FN177&lt;SwaptionFirstMonthPosition+1,HR$169&gt;SwaptionFirstMonthPosition+SwaptionNumOfMonths+1,$FN177&gt;SwaptionFirstMonthPosition+SwaptionNumOfMonths+1),"",IF($FN177=HR$169,1,IF($FN177&lt;HR$169,INDEX($FO$170:$IH$241,HR$169,$FN177),SUMPRODUCT(INDEX($FO$325:$IH$396,HR$169,1+SwaptionShift):INDEX($FO$325:$IH$396,HR$169,SwaptionMonthsToGo+SwaptionShift),INDEX($FO$245:$IH$316,$FN177-HR$169,73-HR$169+SwaptionShift):INDEX($FO$245:$IH$316,$FN177-HR$169,72-HR$169+SwaptionMonthsToGo+SwaptionShift))/SQRT(SUM(INDEX($FO332:$IH332,1+SwaptionShift):INDEX($FO332:$IH332,SwaptionMonthsToGo+SwaptionShift))*SUM(INDEX($FO$325:$IH$396,HR$169,1+SwaptionShift):INDEX($FO$325:$IH$396,HR$169,SwaptionMonthsToGo+SwaptionShift))))))</f>
        <v/>
      </c>
      <c r="HS177" s="469" t="str">
        <f ca="1">IF(OR(HS$169&lt;SwaptionFirstMonthPosition+1,$FN177&lt;SwaptionFirstMonthPosition+1,HS$169&gt;SwaptionFirstMonthPosition+SwaptionNumOfMonths+1,$FN177&gt;SwaptionFirstMonthPosition+SwaptionNumOfMonths+1),"",IF($FN177=HS$169,1,IF($FN177&lt;HS$169,INDEX($FO$170:$IH$241,HS$169,$FN177),SUMPRODUCT(INDEX($FO$325:$IH$396,HS$169,1+SwaptionShift):INDEX($FO$325:$IH$396,HS$169,SwaptionMonthsToGo+SwaptionShift),INDEX($FO$245:$IH$316,$FN177-HS$169,73-HS$169+SwaptionShift):INDEX($FO$245:$IH$316,$FN177-HS$169,72-HS$169+SwaptionMonthsToGo+SwaptionShift))/SQRT(SUM(INDEX($FO332:$IH332,1+SwaptionShift):INDEX($FO332:$IH332,SwaptionMonthsToGo+SwaptionShift))*SUM(INDEX($FO$325:$IH$396,HS$169,1+SwaptionShift):INDEX($FO$325:$IH$396,HS$169,SwaptionMonthsToGo+SwaptionShift))))))</f>
        <v/>
      </c>
      <c r="HT177" s="469" t="str">
        <f ca="1">IF(OR(HT$169&lt;SwaptionFirstMonthPosition+1,$FN177&lt;SwaptionFirstMonthPosition+1,HT$169&gt;SwaptionFirstMonthPosition+SwaptionNumOfMonths+1,$FN177&gt;SwaptionFirstMonthPosition+SwaptionNumOfMonths+1),"",IF($FN177=HT$169,1,IF($FN177&lt;HT$169,INDEX($FO$170:$IH$241,HT$169,$FN177),SUMPRODUCT(INDEX($FO$325:$IH$396,HT$169,1+SwaptionShift):INDEX($FO$325:$IH$396,HT$169,SwaptionMonthsToGo+SwaptionShift),INDEX($FO$245:$IH$316,$FN177-HT$169,73-HT$169+SwaptionShift):INDEX($FO$245:$IH$316,$FN177-HT$169,72-HT$169+SwaptionMonthsToGo+SwaptionShift))/SQRT(SUM(INDEX($FO332:$IH332,1+SwaptionShift):INDEX($FO332:$IH332,SwaptionMonthsToGo+SwaptionShift))*SUM(INDEX($FO$325:$IH$396,HT$169,1+SwaptionShift):INDEX($FO$325:$IH$396,HT$169,SwaptionMonthsToGo+SwaptionShift))))))</f>
        <v/>
      </c>
      <c r="HU177" s="469" t="str">
        <f ca="1">IF(OR(HU$169&lt;SwaptionFirstMonthPosition+1,$FN177&lt;SwaptionFirstMonthPosition+1,HU$169&gt;SwaptionFirstMonthPosition+SwaptionNumOfMonths+1,$FN177&gt;SwaptionFirstMonthPosition+SwaptionNumOfMonths+1),"",IF($FN177=HU$169,1,IF($FN177&lt;HU$169,INDEX($FO$170:$IH$241,HU$169,$FN177),SUMPRODUCT(INDEX($FO$325:$IH$396,HU$169,1+SwaptionShift):INDEX($FO$325:$IH$396,HU$169,SwaptionMonthsToGo+SwaptionShift),INDEX($FO$245:$IH$316,$FN177-HU$169,73-HU$169+SwaptionShift):INDEX($FO$245:$IH$316,$FN177-HU$169,72-HU$169+SwaptionMonthsToGo+SwaptionShift))/SQRT(SUM(INDEX($FO332:$IH332,1+SwaptionShift):INDEX($FO332:$IH332,SwaptionMonthsToGo+SwaptionShift))*SUM(INDEX($FO$325:$IH$396,HU$169,1+SwaptionShift):INDEX($FO$325:$IH$396,HU$169,SwaptionMonthsToGo+SwaptionShift))))))</f>
        <v/>
      </c>
      <c r="HV177" s="469" t="str">
        <f ca="1">IF(OR(HV$169&lt;SwaptionFirstMonthPosition+1,$FN177&lt;SwaptionFirstMonthPosition+1,HV$169&gt;SwaptionFirstMonthPosition+SwaptionNumOfMonths+1,$FN177&gt;SwaptionFirstMonthPosition+SwaptionNumOfMonths+1),"",IF($FN177=HV$169,1,IF($FN177&lt;HV$169,INDEX($FO$170:$IH$241,HV$169,$FN177),SUMPRODUCT(INDEX($FO$325:$IH$396,HV$169,1+SwaptionShift):INDEX($FO$325:$IH$396,HV$169,SwaptionMonthsToGo+SwaptionShift),INDEX($FO$245:$IH$316,$FN177-HV$169,73-HV$169+SwaptionShift):INDEX($FO$245:$IH$316,$FN177-HV$169,72-HV$169+SwaptionMonthsToGo+SwaptionShift))/SQRT(SUM(INDEX($FO332:$IH332,1+SwaptionShift):INDEX($FO332:$IH332,SwaptionMonthsToGo+SwaptionShift))*SUM(INDEX($FO$325:$IH$396,HV$169,1+SwaptionShift):INDEX($FO$325:$IH$396,HV$169,SwaptionMonthsToGo+SwaptionShift))))))</f>
        <v/>
      </c>
      <c r="HW177" s="469" t="str">
        <f ca="1">IF(OR(HW$169&lt;SwaptionFirstMonthPosition+1,$FN177&lt;SwaptionFirstMonthPosition+1,HW$169&gt;SwaptionFirstMonthPosition+SwaptionNumOfMonths+1,$FN177&gt;SwaptionFirstMonthPosition+SwaptionNumOfMonths+1),"",IF($FN177=HW$169,1,IF($FN177&lt;HW$169,INDEX($FO$170:$IH$241,HW$169,$FN177),SUMPRODUCT(INDEX($FO$325:$IH$396,HW$169,1+SwaptionShift):INDEX($FO$325:$IH$396,HW$169,SwaptionMonthsToGo+SwaptionShift),INDEX($FO$245:$IH$316,$FN177-HW$169,73-HW$169+SwaptionShift):INDEX($FO$245:$IH$316,$FN177-HW$169,72-HW$169+SwaptionMonthsToGo+SwaptionShift))/SQRT(SUM(INDEX($FO332:$IH332,1+SwaptionShift):INDEX($FO332:$IH332,SwaptionMonthsToGo+SwaptionShift))*SUM(INDEX($FO$325:$IH$396,HW$169,1+SwaptionShift):INDEX($FO$325:$IH$396,HW$169,SwaptionMonthsToGo+SwaptionShift))))))</f>
        <v/>
      </c>
      <c r="HX177" s="469" t="str">
        <f ca="1">IF(OR(HX$169&lt;SwaptionFirstMonthPosition+1,$FN177&lt;SwaptionFirstMonthPosition+1,HX$169&gt;SwaptionFirstMonthPosition+SwaptionNumOfMonths+1,$FN177&gt;SwaptionFirstMonthPosition+SwaptionNumOfMonths+1),"",IF($FN177=HX$169,1,IF($FN177&lt;HX$169,INDEX($FO$170:$IH$241,HX$169,$FN177),SUMPRODUCT(INDEX($FO$325:$IH$396,HX$169,1+SwaptionShift):INDEX($FO$325:$IH$396,HX$169,SwaptionMonthsToGo+SwaptionShift),INDEX($FO$245:$IH$316,$FN177-HX$169,73-HX$169+SwaptionShift):INDEX($FO$245:$IH$316,$FN177-HX$169,72-HX$169+SwaptionMonthsToGo+SwaptionShift))/SQRT(SUM(INDEX($FO332:$IH332,1+SwaptionShift):INDEX($FO332:$IH332,SwaptionMonthsToGo+SwaptionShift))*SUM(INDEX($FO$325:$IH$396,HX$169,1+SwaptionShift):INDEX($FO$325:$IH$396,HX$169,SwaptionMonthsToGo+SwaptionShift))))))</f>
        <v/>
      </c>
      <c r="HY177" s="469" t="str">
        <f ca="1">IF(OR(HY$169&lt;SwaptionFirstMonthPosition+1,$FN177&lt;SwaptionFirstMonthPosition+1,HY$169&gt;SwaptionFirstMonthPosition+SwaptionNumOfMonths+1,$FN177&gt;SwaptionFirstMonthPosition+SwaptionNumOfMonths+1),"",IF($FN177=HY$169,1,IF($FN177&lt;HY$169,INDEX($FO$170:$IH$241,HY$169,$FN177),SUMPRODUCT(INDEX($FO$325:$IH$396,HY$169,1+SwaptionShift):INDEX($FO$325:$IH$396,HY$169,SwaptionMonthsToGo+SwaptionShift),INDEX($FO$245:$IH$316,$FN177-HY$169,73-HY$169+SwaptionShift):INDEX($FO$245:$IH$316,$FN177-HY$169,72-HY$169+SwaptionMonthsToGo+SwaptionShift))/SQRT(SUM(INDEX($FO332:$IH332,1+SwaptionShift):INDEX($FO332:$IH332,SwaptionMonthsToGo+SwaptionShift))*SUM(INDEX($FO$325:$IH$396,HY$169,1+SwaptionShift):INDEX($FO$325:$IH$396,HY$169,SwaptionMonthsToGo+SwaptionShift))))))</f>
        <v/>
      </c>
      <c r="HZ177" s="469" t="str">
        <f ca="1">IF(OR(HZ$169&lt;SwaptionFirstMonthPosition+1,$FN177&lt;SwaptionFirstMonthPosition+1,HZ$169&gt;SwaptionFirstMonthPosition+SwaptionNumOfMonths+1,$FN177&gt;SwaptionFirstMonthPosition+SwaptionNumOfMonths+1),"",IF($FN177=HZ$169,1,IF($FN177&lt;HZ$169,INDEX($FO$170:$IH$241,HZ$169,$FN177),SUMPRODUCT(INDEX($FO$325:$IH$396,HZ$169,1+SwaptionShift):INDEX($FO$325:$IH$396,HZ$169,SwaptionMonthsToGo+SwaptionShift),INDEX($FO$245:$IH$316,$FN177-HZ$169,73-HZ$169+SwaptionShift):INDEX($FO$245:$IH$316,$FN177-HZ$169,72-HZ$169+SwaptionMonthsToGo+SwaptionShift))/SQRT(SUM(INDEX($FO332:$IH332,1+SwaptionShift):INDEX($FO332:$IH332,SwaptionMonthsToGo+SwaptionShift))*SUM(INDEX($FO$325:$IH$396,HZ$169,1+SwaptionShift):INDEX($FO$325:$IH$396,HZ$169,SwaptionMonthsToGo+SwaptionShift))))))</f>
        <v/>
      </c>
      <c r="IA177" s="469" t="str">
        <f ca="1">IF(OR(IA$169&lt;SwaptionFirstMonthPosition+1,$FN177&lt;SwaptionFirstMonthPosition+1,IA$169&gt;SwaptionFirstMonthPosition+SwaptionNumOfMonths+1,$FN177&gt;SwaptionFirstMonthPosition+SwaptionNumOfMonths+1),"",IF($FN177=IA$169,1,IF($FN177&lt;IA$169,INDEX($FO$170:$IH$241,IA$169,$FN177),SUMPRODUCT(INDEX($FO$325:$IH$396,IA$169,1+SwaptionShift):INDEX($FO$325:$IH$396,IA$169,SwaptionMonthsToGo+SwaptionShift),INDEX($FO$245:$IH$316,$FN177-IA$169,73-IA$169+SwaptionShift):INDEX($FO$245:$IH$316,$FN177-IA$169,72-IA$169+SwaptionMonthsToGo+SwaptionShift))/SQRT(SUM(INDEX($FO332:$IH332,1+SwaptionShift):INDEX($FO332:$IH332,SwaptionMonthsToGo+SwaptionShift))*SUM(INDEX($FO$325:$IH$396,IA$169,1+SwaptionShift):INDEX($FO$325:$IH$396,IA$169,SwaptionMonthsToGo+SwaptionShift))))))</f>
        <v/>
      </c>
      <c r="IB177" s="469" t="str">
        <f ca="1">IF(OR(IB$169&lt;SwaptionFirstMonthPosition+1,$FN177&lt;SwaptionFirstMonthPosition+1,IB$169&gt;SwaptionFirstMonthPosition+SwaptionNumOfMonths+1,$FN177&gt;SwaptionFirstMonthPosition+SwaptionNumOfMonths+1),"",IF($FN177=IB$169,1,IF($FN177&lt;IB$169,INDEX($FO$170:$IH$241,IB$169,$FN177),SUMPRODUCT(INDEX($FO$325:$IH$396,IB$169,1+SwaptionShift):INDEX($FO$325:$IH$396,IB$169,SwaptionMonthsToGo+SwaptionShift),INDEX($FO$245:$IH$316,$FN177-IB$169,73-IB$169+SwaptionShift):INDEX($FO$245:$IH$316,$FN177-IB$169,72-IB$169+SwaptionMonthsToGo+SwaptionShift))/SQRT(SUM(INDEX($FO332:$IH332,1+SwaptionShift):INDEX($FO332:$IH332,SwaptionMonthsToGo+SwaptionShift))*SUM(INDEX($FO$325:$IH$396,IB$169,1+SwaptionShift):INDEX($FO$325:$IH$396,IB$169,SwaptionMonthsToGo+SwaptionShift))))))</f>
        <v/>
      </c>
      <c r="IC177" s="469" t="str">
        <f ca="1">IF(OR(IC$169&lt;SwaptionFirstMonthPosition+1,$FN177&lt;SwaptionFirstMonthPosition+1,IC$169&gt;SwaptionFirstMonthPosition+SwaptionNumOfMonths+1,$FN177&gt;SwaptionFirstMonthPosition+SwaptionNumOfMonths+1),"",IF($FN177=IC$169,1,IF($FN177&lt;IC$169,INDEX($FO$170:$IH$241,IC$169,$FN177),SUMPRODUCT(INDEX($FO$325:$IH$396,IC$169,1+SwaptionShift):INDEX($FO$325:$IH$396,IC$169,SwaptionMonthsToGo+SwaptionShift),INDEX($FO$245:$IH$316,$FN177-IC$169,73-IC$169+SwaptionShift):INDEX($FO$245:$IH$316,$FN177-IC$169,72-IC$169+SwaptionMonthsToGo+SwaptionShift))/SQRT(SUM(INDEX($FO332:$IH332,1+SwaptionShift):INDEX($FO332:$IH332,SwaptionMonthsToGo+SwaptionShift))*SUM(INDEX($FO$325:$IH$396,IC$169,1+SwaptionShift):INDEX($FO$325:$IH$396,IC$169,SwaptionMonthsToGo+SwaptionShift))))))</f>
        <v/>
      </c>
      <c r="ID177" s="469" t="str">
        <f ca="1">IF(OR(ID$169&lt;SwaptionFirstMonthPosition+1,$FN177&lt;SwaptionFirstMonthPosition+1,ID$169&gt;SwaptionFirstMonthPosition+SwaptionNumOfMonths+1,$FN177&gt;SwaptionFirstMonthPosition+SwaptionNumOfMonths+1),"",IF($FN177=ID$169,1,IF($FN177&lt;ID$169,INDEX($FO$170:$IH$241,ID$169,$FN177),SUMPRODUCT(INDEX($FO$325:$IH$396,ID$169,1+SwaptionShift):INDEX($FO$325:$IH$396,ID$169,SwaptionMonthsToGo+SwaptionShift),INDEX($FO$245:$IH$316,$FN177-ID$169,73-ID$169+SwaptionShift):INDEX($FO$245:$IH$316,$FN177-ID$169,72-ID$169+SwaptionMonthsToGo+SwaptionShift))/SQRT(SUM(INDEX($FO332:$IH332,1+SwaptionShift):INDEX($FO332:$IH332,SwaptionMonthsToGo+SwaptionShift))*SUM(INDEX($FO$325:$IH$396,ID$169,1+SwaptionShift):INDEX($FO$325:$IH$396,ID$169,SwaptionMonthsToGo+SwaptionShift))))))</f>
        <v/>
      </c>
      <c r="IE177" s="469" t="str">
        <f ca="1">IF(OR(IE$169&lt;SwaptionFirstMonthPosition+1,$FN177&lt;SwaptionFirstMonthPosition+1,IE$169&gt;SwaptionFirstMonthPosition+SwaptionNumOfMonths+1,$FN177&gt;SwaptionFirstMonthPosition+SwaptionNumOfMonths+1),"",IF($FN177=IE$169,1,IF($FN177&lt;IE$169,INDEX($FO$170:$IH$241,IE$169,$FN177),SUMPRODUCT(INDEX($FO$325:$IH$396,IE$169,1+SwaptionShift):INDEX($FO$325:$IH$396,IE$169,SwaptionMonthsToGo+SwaptionShift),INDEX($FO$245:$IH$316,$FN177-IE$169,73-IE$169+SwaptionShift):INDEX($FO$245:$IH$316,$FN177-IE$169,72-IE$169+SwaptionMonthsToGo+SwaptionShift))/SQRT(SUM(INDEX($FO332:$IH332,1+SwaptionShift):INDEX($FO332:$IH332,SwaptionMonthsToGo+SwaptionShift))*SUM(INDEX($FO$325:$IH$396,IE$169,1+SwaptionShift):INDEX($FO$325:$IH$396,IE$169,SwaptionMonthsToGo+SwaptionShift))))))</f>
        <v/>
      </c>
      <c r="IF177" s="469" t="str">
        <f ca="1">IF(OR(IF$169&lt;SwaptionFirstMonthPosition+1,$FN177&lt;SwaptionFirstMonthPosition+1,IF$169&gt;SwaptionFirstMonthPosition+SwaptionNumOfMonths+1,$FN177&gt;SwaptionFirstMonthPosition+SwaptionNumOfMonths+1),"",IF($FN177=IF$169,1,IF($FN177&lt;IF$169,INDEX($FO$170:$IH$241,IF$169,$FN177),SUMPRODUCT(INDEX($FO$325:$IH$396,IF$169,1+SwaptionShift):INDEX($FO$325:$IH$396,IF$169,SwaptionMonthsToGo+SwaptionShift),INDEX($FO$245:$IH$316,$FN177-IF$169,73-IF$169+SwaptionShift):INDEX($FO$245:$IH$316,$FN177-IF$169,72-IF$169+SwaptionMonthsToGo+SwaptionShift))/SQRT(SUM(INDEX($FO332:$IH332,1+SwaptionShift):INDEX($FO332:$IH332,SwaptionMonthsToGo+SwaptionShift))*SUM(INDEX($FO$325:$IH$396,IF$169,1+SwaptionShift):INDEX($FO$325:$IH$396,IF$169,SwaptionMonthsToGo+SwaptionShift))))))</f>
        <v/>
      </c>
      <c r="IG177" s="469" t="str">
        <f ca="1">IF(OR(IG$169&lt;SwaptionFirstMonthPosition+1,$FN177&lt;SwaptionFirstMonthPosition+1,IG$169&gt;SwaptionFirstMonthPosition+SwaptionNumOfMonths+1,$FN177&gt;SwaptionFirstMonthPosition+SwaptionNumOfMonths+1),"",IF($FN177=IG$169,1,IF($FN177&lt;IG$169,INDEX($FO$170:$IH$241,IG$169,$FN177),SUMPRODUCT(INDEX($FO$325:$IH$396,IG$169,1+SwaptionShift):INDEX($FO$325:$IH$396,IG$169,SwaptionMonthsToGo+SwaptionShift),INDEX($FO$245:$IH$316,$FN177-IG$169,73-IG$169+SwaptionShift):INDEX($FO$245:$IH$316,$FN177-IG$169,72-IG$169+SwaptionMonthsToGo+SwaptionShift))/SQRT(SUM(INDEX($FO332:$IH332,1+SwaptionShift):INDEX($FO332:$IH332,SwaptionMonthsToGo+SwaptionShift))*SUM(INDEX($FO$325:$IH$396,IG$169,1+SwaptionShift):INDEX($FO$325:$IH$396,IG$169,SwaptionMonthsToGo+SwaptionShift))))))</f>
        <v/>
      </c>
      <c r="IH177" s="662" t="str">
        <f ca="1">IF(OR(IH$169&lt;SwaptionFirstMonthPosition+1,$FN177&lt;SwaptionFirstMonthPosition+1,IH$169&gt;SwaptionFirstMonthPosition+SwaptionNumOfMonths+1,$FN177&gt;SwaptionFirstMonthPosition+SwaptionNumOfMonths+1),"",IF($FN177=IH$169,1,IF($FN177&lt;IH$169,INDEX($FO$170:$IH$241,IH$169,$FN177),SUMPRODUCT(INDEX($FO$325:$IH$396,IH$169,1+SwaptionShift):INDEX($FO$325:$IH$396,IH$169,SwaptionMonthsToGo+SwaptionShift),INDEX($FO$245:$IH$316,$FN177-IH$169,73-IH$169+SwaptionShift):INDEX($FO$245:$IH$316,$FN177-IH$169,72-IH$169+SwaptionMonthsToGo+SwaptionShift))/SQRT(SUM(INDEX($FO332:$IH332,1+SwaptionShift):INDEX($FO332:$IH332,SwaptionMonthsToGo+SwaptionShift))*SUM(INDEX($FO$325:$IH$396,IH$169,1+SwaptionShift):INDEX($FO$325:$IH$396,IH$169,SwaptionMonthsToGo+SwaptionShift))))))</f>
        <v/>
      </c>
      <c r="II177" s="242"/>
    </row>
    <row r="178" spans="8:243">
      <c r="H178" s="49" t="e">
        <f t="shared" ca="1" si="529"/>
        <v>#N/A</v>
      </c>
      <c r="I178" s="369">
        <f t="shared" si="530"/>
        <v>41821</v>
      </c>
      <c r="J178" s="367">
        <v>23.334999999999901</v>
      </c>
      <c r="K178" s="101" t="s">
        <v>267</v>
      </c>
      <c r="L178" s="382">
        <f t="shared" si="531"/>
        <v>23.334999999999905</v>
      </c>
      <c r="M178" s="163">
        <v>0.1479</v>
      </c>
      <c r="N178" s="372">
        <v>0</v>
      </c>
      <c r="O178" s="163">
        <f t="shared" si="488"/>
        <v>0.1479</v>
      </c>
      <c r="P178" s="367">
        <v>22.085009488678701</v>
      </c>
      <c r="Q178" s="101" t="s">
        <v>267</v>
      </c>
      <c r="R178" s="367">
        <f t="shared" ca="1" si="549"/>
        <v>22.085009488678722</v>
      </c>
      <c r="S178" s="814">
        <f t="shared" si="474"/>
        <v>0.35032037685587092</v>
      </c>
      <c r="T178" s="813">
        <f t="shared" si="550"/>
        <v>0.99999999540006324</v>
      </c>
      <c r="U178" s="532">
        <f t="shared" si="551"/>
        <v>0.99999999999999978</v>
      </c>
      <c r="V178" s="379">
        <v>0</v>
      </c>
      <c r="W178" s="424">
        <f t="shared" si="489"/>
        <v>23.370227272727174</v>
      </c>
      <c r="X178" s="405">
        <f t="shared" si="490"/>
        <v>23.370227272727178</v>
      </c>
      <c r="Y178" s="313">
        <f t="shared" si="491"/>
        <v>22.051827272727174</v>
      </c>
      <c r="Z178" s="313">
        <f t="shared" ca="1" si="492"/>
        <v>22.051827272727177</v>
      </c>
      <c r="AA178" s="419">
        <f t="shared" si="493"/>
        <v>1.3184</v>
      </c>
      <c r="AB178" s="423">
        <f t="shared" ca="1" si="494"/>
        <v>1.3184</v>
      </c>
      <c r="AC178" s="221">
        <v>41810</v>
      </c>
      <c r="AD178" s="221">
        <v>41806</v>
      </c>
      <c r="AE178" s="221">
        <v>41805</v>
      </c>
      <c r="AF178" s="221">
        <v>41801</v>
      </c>
      <c r="AG178" s="241" t="s">
        <v>497</v>
      </c>
      <c r="AH178" s="239" t="s">
        <v>497</v>
      </c>
      <c r="AI178" s="141">
        <v>22</v>
      </c>
      <c r="AJ178" s="41">
        <v>13</v>
      </c>
      <c r="AK178" s="41">
        <v>9</v>
      </c>
      <c r="AL178" s="285">
        <v>23</v>
      </c>
      <c r="AM178" s="41">
        <v>10</v>
      </c>
      <c r="AN178" s="142">
        <v>13</v>
      </c>
      <c r="AO178" s="364">
        <v>6.1011901987350299E-2</v>
      </c>
      <c r="AP178" s="145">
        <f t="shared" ca="1" si="532"/>
        <v>0.44939651827903354</v>
      </c>
      <c r="AQ178" s="364">
        <v>5.4050605573817502E-2</v>
      </c>
      <c r="AR178" s="145">
        <f t="shared" ca="1" si="552"/>
        <v>0.49498713602114225</v>
      </c>
      <c r="AS178" s="264">
        <f t="shared" si="495"/>
        <v>0.14733636363636363</v>
      </c>
      <c r="AT178" s="149">
        <f t="shared" si="533"/>
        <v>0.1479</v>
      </c>
      <c r="AU178" s="149">
        <f t="shared" si="496"/>
        <v>0.14727391304347826</v>
      </c>
      <c r="AV178" s="263">
        <f t="shared" ca="1" si="560"/>
        <v>0.14567445074860702</v>
      </c>
      <c r="AW178" s="150" t="str">
        <f t="shared" ca="1" si="497"/>
        <v/>
      </c>
      <c r="AX178" s="149">
        <f t="shared" ca="1" si="553"/>
        <v>6.9910154558307678E-3</v>
      </c>
      <c r="AY178" s="149">
        <f t="shared" ca="1" si="554"/>
        <v>2.515065280756229E-3</v>
      </c>
      <c r="AZ178" s="149">
        <f t="shared" ca="1" si="555"/>
        <v>2.3649525522635609E-3</v>
      </c>
      <c r="BA178" s="149">
        <f t="shared" ca="1" si="556"/>
        <v>1.0000000000000747E-4</v>
      </c>
      <c r="BB178" s="149">
        <f t="shared" ca="1" si="557"/>
        <v>1.0000000000000747E-4</v>
      </c>
      <c r="BC178" s="149">
        <f t="shared" ca="1" si="558"/>
        <v>1.0000000000000747E-4</v>
      </c>
      <c r="BD178" s="143">
        <f t="shared" ca="1" si="498"/>
        <v>0</v>
      </c>
      <c r="BE178" s="144">
        <f t="shared" ca="1" si="499"/>
        <v>0</v>
      </c>
      <c r="BF178" s="40">
        <f t="shared" si="500"/>
        <v>2014</v>
      </c>
      <c r="BG178" s="139">
        <f t="shared" si="501"/>
        <v>7</v>
      </c>
      <c r="BH178" s="140">
        <f t="shared" ca="1" si="502"/>
        <v>4816</v>
      </c>
      <c r="BI178" s="304">
        <f t="shared" ca="1" si="570"/>
        <v>13.226557152635181</v>
      </c>
      <c r="BJ178" s="42">
        <f t="shared" ca="1" si="503"/>
        <v>13.275091780225249</v>
      </c>
      <c r="BK178" s="42">
        <f t="shared" ca="1" si="504"/>
        <v>13.277829631012382</v>
      </c>
      <c r="BL178" s="42">
        <f t="shared" ca="1" si="571"/>
        <v>13.308692676249144</v>
      </c>
      <c r="BM178" s="285">
        <f t="shared" si="572"/>
        <v>22</v>
      </c>
      <c r="BN178" s="41">
        <f t="shared" si="573"/>
        <v>13</v>
      </c>
      <c r="BO178" s="41">
        <f t="shared" si="574"/>
        <v>9</v>
      </c>
      <c r="BP178" s="297" t="str">
        <f t="shared" ca="1" si="505"/>
        <v/>
      </c>
      <c r="BQ178" s="297" t="str">
        <f t="shared" ca="1" si="506"/>
        <v/>
      </c>
      <c r="BR178" s="299" t="str">
        <f t="shared" ca="1" si="507"/>
        <v/>
      </c>
      <c r="BS178" s="153" t="str">
        <f t="shared" ca="1" si="508"/>
        <v/>
      </c>
      <c r="BT178" s="153" t="str">
        <f t="shared" ca="1" si="509"/>
        <v/>
      </c>
      <c r="BU178" s="300" t="str">
        <f t="shared" ca="1" si="510"/>
        <v/>
      </c>
      <c r="BV178" s="301" t="str">
        <f t="shared" ca="1" si="511"/>
        <v/>
      </c>
      <c r="BW178" s="300" t="str">
        <f t="shared" ca="1" si="512"/>
        <v/>
      </c>
      <c r="BX178" s="301" t="str">
        <f t="shared" ca="1" si="513"/>
        <v/>
      </c>
      <c r="BY178" s="146" t="str">
        <f t="shared" ca="1" si="514"/>
        <v/>
      </c>
      <c r="BZ178" s="146" t="str">
        <f t="shared" ca="1" si="515"/>
        <v/>
      </c>
      <c r="CA178" s="146" t="str">
        <f t="shared" ca="1" si="516"/>
        <v/>
      </c>
      <c r="CB178" s="146" t="str">
        <f t="shared" ca="1" si="517"/>
        <v/>
      </c>
      <c r="CC178" s="302">
        <v>1</v>
      </c>
      <c r="CD178" s="154">
        <f ca="1">IF(BD178,_xll.xCrudeAPO(BS178,BT178,BY178,BZ178,S179,S180,BI178,BL178,BN178,BO178,0,Strike1,AO178,CC178,0,BL178,IF(OptControl=4,0,1),0,1),0)</f>
        <v>0</v>
      </c>
      <c r="CE178" s="155">
        <f ca="1">IF(BD178,_xll.xCrudeAPO(BS178,BT178,BY178,BZ178,S179,S180,BI178,BL178,BN178,BO178,0,Strike1,AO178,CC178,0,BL178,IF(OptControl=4,0,1),1,1)+_xll.xCrudeAPO(BS178,BT178,BY178,BZ178,S179,S180,BI178,BL178,BN178,BO178,0,Strike1,AO178,CC178,0,BL178,IF(OptControl=4,0,1),1,2)+IF(OR(VolSkewFlag=2,ABS(BQ178)&lt;0.0001),0,IF(BQ178&gt;0,-1,1)*CF178*Strike1/BP178^2*BW178/10%),0)</f>
        <v>0</v>
      </c>
      <c r="CF178" s="155">
        <f ca="1">IF(BD178,(_xll.xCrudeAPO(BS178,BT178,BY178,BZ178,S179,S180,BI178,BL178,BN178,BO178,0,Strike1,AO178,CC178,0,BL178,IF(OptControl=4,0,1),3,1)+_xll.xCrudeAPO(BS178,BT178,BY178,BZ178,S179,S180,BI178,BL178,BN178,BO178,0,Strike1,AO178,CC178,0,BL178,IF(OptControl=4,0,1),3,2))/100,0)</f>
        <v>0</v>
      </c>
      <c r="CG178" s="155">
        <f ca="1">IF(BD178,_xll.xCrudeAPO(BS178,BT178,BY178,BZ178,S179,S180,BI178-DaysForThetaCalculation/365.25,BL178-DaysForThetaCalculation/365.25,BN178,BO178,0,Strike1,AO178,CC178,0,BL178,IF(OptControl=4,0,1),0,1)-_xll.xCrudeAPO(BS178,BT178,BY178,BZ178,S179,S180,BI178,BL178,BN178,BO178,0,Strike1,AO178,CC178,0,BL178,IF(OptControl=4,0,1),0,1),0)</f>
        <v>0</v>
      </c>
      <c r="CH178" s="303">
        <f ca="1">IF(BD178,_xll.xCrudeAPO(BS178,BT178,CA178,CB178,S179,S180,BI178,BL178,BN178,BO178,0,Strike2,AO178,CC178,0,BL178,IF(OptControl=3,1,0),0,1),0)</f>
        <v>0</v>
      </c>
      <c r="CI178" s="155">
        <f ca="1">IF(BD178,_xll.xCrudeAPO(BS178,BT178,CA178,CB178,S179,S180,BI178,BL178,BN178,BO178,0,Strike2,AO178,CC178,0,BL178,IF(OptControl=3,1,0),1,1)+_xll.xCrudeAPO(BS178,BT178,CA178,CB178,S179,S180,BI178,BL178,BN178,BO178,0,Strike2,AO178,CC178,0,BL178,IF(OptControl=3,1,0),1,2)+IF(OR(VolSkewFlag=2,ABS(BR178)&lt;0.0001),0,IF(BR178&gt;0,-1,1)*CJ178*Strike2/BP178^2*BX178/10%),0)</f>
        <v>0</v>
      </c>
      <c r="CJ178" s="155">
        <f ca="1">IF(BD178,(_xll.xCrudeAPO(BS178,BT178,CA178,CB178,S179,S180,BI178,BL178,BN178,BO178,0,Strike2,AO178,CC178,0,BL178,IF(OptControl=3,1,0),3,1)+_xll.xCrudeAPO(BS178,BT178,CA178,CB178,S179,S180,BI178,BL178,BN178,BO178,0,Strike2,AO178,CC178,0,BL178,IF(OptControl=3,1,0),3,2))/100,0)</f>
        <v>0</v>
      </c>
      <c r="CK178" s="156">
        <f ca="1">IF(BD178,_xll.xCrudeAPO(BS178,BT178,CA178,CB178,S179,S180,BI178-DaysForThetaCalculation/365.25,BL178-DaysForThetaCalculation/365.25,BN178,BO178,0,Strike2,AO178,CC178,0,BL178,IF(OptControl=3,1,0),0,1)-_xll.xCrudeAPO(BS178,BT178,CA178,CB178,S179,S180,BI178,BL178,BN178,BO178,0,Strike2,AO178,CC178,0,BL178,IF(OptControl=3,1,0),0,1),0)</f>
        <v>0</v>
      </c>
      <c r="CL178" s="51"/>
      <c r="CM178" s="779" t="str">
        <f t="shared" ca="1" si="534"/>
        <v/>
      </c>
      <c r="CN178" s="783" t="str">
        <f t="shared" ca="1" si="535"/>
        <v/>
      </c>
      <c r="CO178" s="780" t="str">
        <f t="shared" ca="1" si="536"/>
        <v/>
      </c>
      <c r="CP178" s="780" t="str">
        <f t="shared" ca="1" si="537"/>
        <v/>
      </c>
      <c r="CQ178" s="780" t="str">
        <f t="shared" ca="1" si="538"/>
        <v/>
      </c>
      <c r="CR178" s="780" t="str">
        <f t="shared" ca="1" si="539"/>
        <v/>
      </c>
      <c r="CS178" s="781" t="str">
        <f t="shared" ca="1" si="540"/>
        <v/>
      </c>
      <c r="CT178" s="782" t="str">
        <f t="shared" ca="1" si="541"/>
        <v/>
      </c>
      <c r="CU178" s="782" t="str">
        <f t="shared" ca="1" si="542"/>
        <v/>
      </c>
      <c r="CV178" s="155">
        <f ca="1">IF(BD178,_xll.EURO(CN178,Strike1,AO178,AO178,CT178,CM178,IF(OptControl=4,0,1),0),0)</f>
        <v>0</v>
      </c>
      <c r="CW178" s="155">
        <f ca="1">IF(BD178,_xll.EURO(CN178,Strike1,AO178,AO178,CT178,CM178,IF(OptControl=4,0,1),1)+IF(OR(VolSkewFlag=2,ABS(CO178)&lt;0.0001),0,IF(CO178&gt;0,-1,1)*CX178*100*Strike1/CN178^2*CQ178/10%),0)</f>
        <v>0</v>
      </c>
      <c r="CX178" s="155">
        <f ca="1">IF(BD178,_xll.EURO(CN178,Strike1,AO178,AO178,CT178,CM178,IF(OptControl=4,0,1),3)/100,0)</f>
        <v>0</v>
      </c>
      <c r="CY178" s="155">
        <f ca="1">IF(BD178,_xll.EURO(CN178,Strike1,AO178,AO178,CT178,CM178,IF(OptControl=4,0,1),0)-_xll.EURO(CN178,Strike1,AO178,AO178,CT178,CM178-1,IF(OptControl=4,0,1),0),0)</f>
        <v>0</v>
      </c>
      <c r="CZ178" s="155">
        <f ca="1">IF(BD178,_xll.EURO(CN178,Strike2,AO178,AO178,CU178,CM178,IF(OptControl=3,1,0),0),0)</f>
        <v>0</v>
      </c>
      <c r="DA178" s="155">
        <f ca="1">IF(BD178,_xll.EURO(CN178,Strike2,AO178,AO178,CU178,CM178,IF(OptControl=3,1,0),1)+IF(OR(VolSkewFlag=2,ABS(CP178)&lt;0.0001),0,IF(CP178&gt;0,-1,1)*DB178*100*Strike2/CN178^2*CR178/10%),0)</f>
        <v>0</v>
      </c>
      <c r="DB178" s="155">
        <f ca="1">IF(BD178,_xll.EURO(CN178,Strike2,AO178,AO178,CU178,CM178,IF(OptControl=3,1,0),3)/100,0)</f>
        <v>0</v>
      </c>
      <c r="DC178" s="156">
        <f ca="1">IF(BD178,_xll.EURO(CN178,Strike2,AO178,AO178,CU178,CM178,IF(OptControl=3,1,0),0)-_xll.EURO(CN178,Strike2,AO178,AO178,CU178,CM178-1,IF(OptControl=3,1,0),0),0)</f>
        <v>0</v>
      </c>
      <c r="DE178" s="651">
        <f t="shared" ca="1" si="543"/>
        <v>41730</v>
      </c>
      <c r="DF178" s="465">
        <v>1E-4</v>
      </c>
      <c r="DG178" s="649">
        <v>1E-4</v>
      </c>
      <c r="DH178" s="650">
        <f t="shared" ca="1" si="518"/>
        <v>41730</v>
      </c>
      <c r="DI178" s="465">
        <v>1E-4</v>
      </c>
      <c r="DJ178" s="649">
        <v>1E-4</v>
      </c>
      <c r="DK178" s="651">
        <f t="shared" ca="1" si="519"/>
        <v>41730</v>
      </c>
      <c r="DL178" s="652">
        <f t="shared" si="520"/>
        <v>5.0100000000000006E-2</v>
      </c>
      <c r="DM178" s="651">
        <f t="shared" ca="1" si="544"/>
        <v>41730</v>
      </c>
      <c r="DN178" s="563">
        <f t="shared" si="545"/>
        <v>-0.12990000000000002</v>
      </c>
      <c r="DO178" s="803">
        <v>-0.13</v>
      </c>
      <c r="DP178" s="650">
        <f t="shared" ca="1" si="521"/>
        <v>41730</v>
      </c>
      <c r="DQ178" s="653">
        <v>1E-4</v>
      </c>
      <c r="DR178" s="590">
        <v>1E-4</v>
      </c>
      <c r="DS178" s="650">
        <f t="shared" ca="1" si="522"/>
        <v>41730</v>
      </c>
      <c r="DT178" s="653">
        <v>1E-4</v>
      </c>
      <c r="DU178" s="590">
        <v>1E-4</v>
      </c>
      <c r="DV178" s="651">
        <f t="shared" ca="1" si="523"/>
        <v>41730</v>
      </c>
      <c r="DW178" s="590">
        <v>1E-4</v>
      </c>
      <c r="DX178" s="651">
        <f t="shared" ca="1" si="546"/>
        <v>41730</v>
      </c>
      <c r="DY178" s="590">
        <f t="shared" si="547"/>
        <v>1E-4</v>
      </c>
      <c r="DZ178" s="1"/>
      <c r="EA178" s="857"/>
      <c r="EB178" s="857"/>
      <c r="EC178" s="857"/>
      <c r="ED178" s="868" t="e">
        <f t="shared" ca="1" si="566"/>
        <v>#NAME?</v>
      </c>
      <c r="EE178" s="863" t="e">
        <f t="shared" ca="1" si="524"/>
        <v>#NAME?</v>
      </c>
      <c r="EF178" s="590" t="e">
        <f t="shared" ca="1" si="525"/>
        <v>#NAME?</v>
      </c>
      <c r="EG178" s="862" t="str">
        <f t="shared" ca="1" si="526"/>
        <v/>
      </c>
      <c r="EH178" s="114" t="str">
        <f t="shared" ca="1" si="527"/>
        <v/>
      </c>
      <c r="EI178" s="109" t="str">
        <f t="shared" ca="1" si="528"/>
        <v/>
      </c>
      <c r="EJ178" s="115">
        <f ca="1">IF(BD178,_xll.xASN(BP178,Strike1,AO178,EH178,0,BM178,0,BI178,BL178,IF(OptControl=4,0,1),0),0)</f>
        <v>0</v>
      </c>
      <c r="EK178" s="108">
        <f ca="1">IF(BD178,_xll.xASN(BP178,Strike2,AO178,EI178,0,BM178,0,BI178,BL178,IF(OptControl=3,1,0),0),0)</f>
        <v>0</v>
      </c>
      <c r="EP178" s="53"/>
      <c r="EQ178" s="1"/>
      <c r="ER178" s="103"/>
      <c r="ES178" s="103"/>
      <c r="ET178" s="1"/>
      <c r="EU178" s="667" t="s">
        <v>390</v>
      </c>
      <c r="EW178" s="445"/>
      <c r="EX178" s="36"/>
      <c r="EY178" s="104"/>
      <c r="EZ178" s="465"/>
      <c r="FA178" s="446"/>
      <c r="FB178" s="446"/>
      <c r="FC178" s="242"/>
      <c r="FD178" s="242"/>
      <c r="FE178" s="242"/>
      <c r="FF178" s="242"/>
      <c r="FG178" s="242"/>
      <c r="FH178" s="242"/>
      <c r="FI178" s="242"/>
      <c r="FJ178" s="242"/>
      <c r="FK178" s="242"/>
      <c r="FL178" s="242"/>
      <c r="FM178" s="242"/>
      <c r="FN178" s="657">
        <v>9</v>
      </c>
      <c r="FO178" s="469" t="str">
        <f ca="1">IF(OR(FO$169&lt;SwaptionFirstMonthPosition+1,$FN178&lt;SwaptionFirstMonthPosition+1,FO$169&gt;SwaptionFirstMonthPosition+SwaptionNumOfMonths+1,$FN178&gt;SwaptionFirstMonthPosition+SwaptionNumOfMonths+1),"",IF($FN178=FO$169,1,IF($FN178&lt;FO$169,INDEX($FO$170:$IH$241,FO$169,$FN178),SUMPRODUCT(INDEX($FO$325:$IH$396,FO$169,1+SwaptionShift):INDEX($FO$325:$IH$396,FO$169,SwaptionMonthsToGo+SwaptionShift),INDEX($FO$245:$IH$316,$FN178-FO$169,73-FO$169+SwaptionShift):INDEX($FO$245:$IH$316,$FN178-FO$169,72-FO$169+SwaptionMonthsToGo+SwaptionShift))/SQRT(SUM(INDEX($FO333:$IH333,1+SwaptionShift):INDEX($FO333:$IH333,SwaptionMonthsToGo+SwaptionShift))*SUM(INDEX($FO$325:$IH$396,FO$169,1+SwaptionShift):INDEX($FO$325:$IH$396,FO$169,SwaptionMonthsToGo+SwaptionShift))))))</f>
        <v/>
      </c>
      <c r="FP178" s="469">
        <f ca="1">IF(OR(FP$169&lt;SwaptionFirstMonthPosition+1,$FN178&lt;SwaptionFirstMonthPosition+1,FP$169&gt;SwaptionFirstMonthPosition+SwaptionNumOfMonths+1,$FN178&gt;SwaptionFirstMonthPosition+SwaptionNumOfMonths+1),"",IF($FN178=FP$169,1,IF($FN178&lt;FP$169,INDEX($FO$170:$IH$241,FP$169,$FN178),SUMPRODUCT(INDEX($FO$325:$IH$396,FP$169,1+SwaptionShift):INDEX($FO$325:$IH$396,FP$169,SwaptionMonthsToGo+SwaptionShift),INDEX($FO$245:$IH$316,$FN178-FP$169,73-FP$169+SwaptionShift):INDEX($FO$245:$IH$316,$FN178-FP$169,72-FP$169+SwaptionMonthsToGo+SwaptionShift))/SQRT(SUM(INDEX($FO333:$IH333,1+SwaptionShift):INDEX($FO333:$IH333,SwaptionMonthsToGo+SwaptionShift))*SUM(INDEX($FO$325:$IH$396,FP$169,1+SwaptionShift):INDEX($FO$325:$IH$396,FP$169,SwaptionMonthsToGo+SwaptionShift))))))</f>
        <v>0.92136802034465393</v>
      </c>
      <c r="FQ178" s="469">
        <f ca="1">IF(OR(FQ$169&lt;SwaptionFirstMonthPosition+1,$FN178&lt;SwaptionFirstMonthPosition+1,FQ$169&gt;SwaptionFirstMonthPosition+SwaptionNumOfMonths+1,$FN178&gt;SwaptionFirstMonthPosition+SwaptionNumOfMonths+1),"",IF($FN178=FQ$169,1,IF($FN178&lt;FQ$169,INDEX($FO$170:$IH$241,FQ$169,$FN178),SUMPRODUCT(INDEX($FO$325:$IH$396,FQ$169,1+SwaptionShift):INDEX($FO$325:$IH$396,FQ$169,SwaptionMonthsToGo+SwaptionShift),INDEX($FO$245:$IH$316,$FN178-FQ$169,73-FQ$169+SwaptionShift):INDEX($FO$245:$IH$316,$FN178-FQ$169,72-FQ$169+SwaptionMonthsToGo+SwaptionShift))/SQRT(SUM(INDEX($FO333:$IH333,1+SwaptionShift):INDEX($FO333:$IH333,SwaptionMonthsToGo+SwaptionShift))*SUM(INDEX($FO$325:$IH$396,FQ$169,1+SwaptionShift):INDEX($FO$325:$IH$396,FQ$169,SwaptionMonthsToGo+SwaptionShift))))))</f>
        <v>0.93928408768773386</v>
      </c>
      <c r="FR178" s="469">
        <f ca="1">IF(OR(FR$169&lt;SwaptionFirstMonthPosition+1,$FN178&lt;SwaptionFirstMonthPosition+1,FR$169&gt;SwaptionFirstMonthPosition+SwaptionNumOfMonths+1,$FN178&gt;SwaptionFirstMonthPosition+SwaptionNumOfMonths+1),"",IF($FN178=FR$169,1,IF($FN178&lt;FR$169,INDEX($FO$170:$IH$241,FR$169,$FN178),SUMPRODUCT(INDEX($FO$325:$IH$396,FR$169,1+SwaptionShift):INDEX($FO$325:$IH$396,FR$169,SwaptionMonthsToGo+SwaptionShift),INDEX($FO$245:$IH$316,$FN178-FR$169,73-FR$169+SwaptionShift):INDEX($FO$245:$IH$316,$FN178-FR$169,72-FR$169+SwaptionMonthsToGo+SwaptionShift))/SQRT(SUM(INDEX($FO333:$IH333,1+SwaptionShift):INDEX($FO333:$IH333,SwaptionMonthsToGo+SwaptionShift))*SUM(INDEX($FO$325:$IH$396,FR$169,1+SwaptionShift):INDEX($FO$325:$IH$396,FR$169,SwaptionMonthsToGo+SwaptionShift))))))</f>
        <v>0.95418847088104053</v>
      </c>
      <c r="FS178" s="469">
        <f ca="1">IF(OR(FS$169&lt;SwaptionFirstMonthPosition+1,$FN178&lt;SwaptionFirstMonthPosition+1,FS$169&gt;SwaptionFirstMonthPosition+SwaptionNumOfMonths+1,$FN178&gt;SwaptionFirstMonthPosition+SwaptionNumOfMonths+1),"",IF($FN178=FS$169,1,IF($FN178&lt;FS$169,INDEX($FO$170:$IH$241,FS$169,$FN178),SUMPRODUCT(INDEX($FO$325:$IH$396,FS$169,1+SwaptionShift):INDEX($FO$325:$IH$396,FS$169,SwaptionMonthsToGo+SwaptionShift),INDEX($FO$245:$IH$316,$FN178-FS$169,73-FS$169+SwaptionShift):INDEX($FO$245:$IH$316,$FN178-FS$169,72-FS$169+SwaptionMonthsToGo+SwaptionShift))/SQRT(SUM(INDEX($FO333:$IH333,1+SwaptionShift):INDEX($FO333:$IH333,SwaptionMonthsToGo+SwaptionShift))*SUM(INDEX($FO$325:$IH$396,FS$169,1+SwaptionShift):INDEX($FO$325:$IH$396,FS$169,SwaptionMonthsToGo+SwaptionShift))))))</f>
        <v>0.96665206353278321</v>
      </c>
      <c r="FT178" s="469">
        <f ca="1">IF(OR(FT$169&lt;SwaptionFirstMonthPosition+1,$FN178&lt;SwaptionFirstMonthPosition+1,FT$169&gt;SwaptionFirstMonthPosition+SwaptionNumOfMonths+1,$FN178&gt;SwaptionFirstMonthPosition+SwaptionNumOfMonths+1),"",IF($FN178=FT$169,1,IF($FN178&lt;FT$169,INDEX($FO$170:$IH$241,FT$169,$FN178),SUMPRODUCT(INDEX($FO$325:$IH$396,FT$169,1+SwaptionShift):INDEX($FO$325:$IH$396,FT$169,SwaptionMonthsToGo+SwaptionShift),INDEX($FO$245:$IH$316,$FN178-FT$169,73-FT$169+SwaptionShift):INDEX($FO$245:$IH$316,$FN178-FT$169,72-FT$169+SwaptionMonthsToGo+SwaptionShift))/SQRT(SUM(INDEX($FO333:$IH333,1+SwaptionShift):INDEX($FO333:$IH333,SwaptionMonthsToGo+SwaptionShift))*SUM(INDEX($FO$325:$IH$396,FT$169,1+SwaptionShift):INDEX($FO$325:$IH$396,FT$169,SwaptionMonthsToGo+SwaptionShift))))))</f>
        <v>0.97713350233327001</v>
      </c>
      <c r="FU178" s="469">
        <f ca="1">IF(OR(FU$169&lt;SwaptionFirstMonthPosition+1,$FN178&lt;SwaptionFirstMonthPosition+1,FU$169&gt;SwaptionFirstMonthPosition+SwaptionNumOfMonths+1,$FN178&gt;SwaptionFirstMonthPosition+SwaptionNumOfMonths+1),"",IF($FN178=FU$169,1,IF($FN178&lt;FU$169,INDEX($FO$170:$IH$241,FU$169,$FN178),SUMPRODUCT(INDEX($FO$325:$IH$396,FU$169,1+SwaptionShift):INDEX($FO$325:$IH$396,FU$169,SwaptionMonthsToGo+SwaptionShift),INDEX($FO$245:$IH$316,$FN178-FU$169,73-FU$169+SwaptionShift):INDEX($FO$245:$IH$316,$FN178-FU$169,72-FU$169+SwaptionMonthsToGo+SwaptionShift))/SQRT(SUM(INDEX($FO333:$IH333,1+SwaptionShift):INDEX($FO333:$IH333,SwaptionMonthsToGo+SwaptionShift))*SUM(INDEX($FO$325:$IH$396,FU$169,1+SwaptionShift):INDEX($FO$325:$IH$396,FU$169,SwaptionMonthsToGo+SwaptionShift))))))</f>
        <v>0.98599973326801615</v>
      </c>
      <c r="FV178" s="469">
        <f ca="1">IF(OR(FV$169&lt;SwaptionFirstMonthPosition+1,$FN178&lt;SwaptionFirstMonthPosition+1,FV$169&gt;SwaptionFirstMonthPosition+SwaptionNumOfMonths+1,$FN178&gt;SwaptionFirstMonthPosition+SwaptionNumOfMonths+1),"",IF($FN178=FV$169,1,IF($FN178&lt;FV$169,INDEX($FO$170:$IH$241,FV$169,$FN178),SUMPRODUCT(INDEX($FO$325:$IH$396,FV$169,1+SwaptionShift):INDEX($FO$325:$IH$396,FV$169,SwaptionMonthsToGo+SwaptionShift),INDEX($FO$245:$IH$316,$FN178-FV$169,73-FV$169+SwaptionShift):INDEX($FO$245:$IH$316,$FN178-FV$169,72-FV$169+SwaptionMonthsToGo+SwaptionShift))/SQRT(SUM(INDEX($FO333:$IH333,1+SwaptionShift):INDEX($FO333:$IH333,SwaptionMonthsToGo+SwaptionShift))*SUM(INDEX($FO$325:$IH$396,FV$169,1+SwaptionShift):INDEX($FO$325:$IH$396,FV$169,SwaptionMonthsToGo+SwaptionShift))))))</f>
        <v>0.9935438478462193</v>
      </c>
      <c r="FW178" s="469">
        <f ca="1">IF(OR(FW$169&lt;SwaptionFirstMonthPosition+1,$FN178&lt;SwaptionFirstMonthPosition+1,FW$169&gt;SwaptionFirstMonthPosition+SwaptionNumOfMonths+1,$FN178&gt;SwaptionFirstMonthPosition+SwaptionNumOfMonths+1),"",IF($FN178=FW$169,1,IF($FN178&lt;FW$169,INDEX($FO$170:$IH$241,FW$169,$FN178),SUMPRODUCT(INDEX($FO$325:$IH$396,FW$169,1+SwaptionShift):INDEX($FO$325:$IH$396,FW$169,SwaptionMonthsToGo+SwaptionShift),INDEX($FO$245:$IH$316,$FN178-FW$169,73-FW$169+SwaptionShift):INDEX($FO$245:$IH$316,$FN178-FW$169,72-FW$169+SwaptionMonthsToGo+SwaptionShift))/SQRT(SUM(INDEX($FO333:$IH333,1+SwaptionShift):INDEX($FO333:$IH333,SwaptionMonthsToGo+SwaptionShift))*SUM(INDEX($FO$325:$IH$396,FW$169,1+SwaptionShift):INDEX($FO$325:$IH$396,FW$169,SwaptionMonthsToGo+SwaptionShift))))))</f>
        <v>1</v>
      </c>
      <c r="FX178" s="469">
        <f ca="1">IF(OR(FX$169&lt;SwaptionFirstMonthPosition+1,$FN178&lt;SwaptionFirstMonthPosition+1,FX$169&gt;SwaptionFirstMonthPosition+SwaptionNumOfMonths+1,$FN178&gt;SwaptionFirstMonthPosition+SwaptionNumOfMonths+1),"",IF($FN178=FX$169,1,IF($FN178&lt;FX$169,INDEX($FO$170:$IH$241,FX$169,$FN178),SUMPRODUCT(INDEX($FO$325:$IH$396,FX$169,1+SwaptionShift):INDEX($FO$325:$IH$396,FX$169,SwaptionMonthsToGo+SwaptionShift),INDEX($FO$245:$IH$316,$FN178-FX$169,73-FX$169+SwaptionShift):INDEX($FO$245:$IH$316,$FN178-FX$169,72-FX$169+SwaptionMonthsToGo+SwaptionShift))/SQRT(SUM(INDEX($FO333:$IH333,1+SwaptionShift):INDEX($FO333:$IH333,SwaptionMonthsToGo+SwaptionShift))*SUM(INDEX($FO$325:$IH$396,FX$169,1+SwaptionShift):INDEX($FO$325:$IH$396,FX$169,SwaptionMonthsToGo+SwaptionShift))))))</f>
        <v>0.99447154092820456</v>
      </c>
      <c r="FY178" s="469">
        <f ca="1">IF(OR(FY$169&lt;SwaptionFirstMonthPosition+1,$FN178&lt;SwaptionFirstMonthPosition+1,FY$169&gt;SwaptionFirstMonthPosition+SwaptionNumOfMonths+1,$FN178&gt;SwaptionFirstMonthPosition+SwaptionNumOfMonths+1),"",IF($FN178=FY$169,1,IF($FN178&lt;FY$169,INDEX($FO$170:$IH$241,FY$169,$FN178),SUMPRODUCT(INDEX($FO$325:$IH$396,FY$169,1+SwaptionShift):INDEX($FO$325:$IH$396,FY$169,SwaptionMonthsToGo+SwaptionShift),INDEX($FO$245:$IH$316,$FN178-FY$169,73-FY$169+SwaptionShift):INDEX($FO$245:$IH$316,$FN178-FY$169,72-FY$169+SwaptionMonthsToGo+SwaptionShift))/SQRT(SUM(INDEX($FO333:$IH333,1+SwaptionShift):INDEX($FO333:$IH333,SwaptionMonthsToGo+SwaptionShift))*SUM(INDEX($FO$325:$IH$396,FY$169,1+SwaptionShift):INDEX($FO$325:$IH$396,FY$169,SwaptionMonthsToGo+SwaptionShift))))))</f>
        <v>0.98973243405020084</v>
      </c>
      <c r="FZ178" s="469">
        <f ca="1">IF(OR(FZ$169&lt;SwaptionFirstMonthPosition+1,$FN178&lt;SwaptionFirstMonthPosition+1,FZ$169&gt;SwaptionFirstMonthPosition+SwaptionNumOfMonths+1,$FN178&gt;SwaptionFirstMonthPosition+SwaptionNumOfMonths+1),"",IF($FN178=FZ$169,1,IF($FN178&lt;FZ$169,INDEX($FO$170:$IH$241,FZ$169,$FN178),SUMPRODUCT(INDEX($FO$325:$IH$396,FZ$169,1+SwaptionShift):INDEX($FO$325:$IH$396,FZ$169,SwaptionMonthsToGo+SwaptionShift),INDEX($FO$245:$IH$316,$FN178-FZ$169,73-FZ$169+SwaptionShift):INDEX($FO$245:$IH$316,$FN178-FZ$169,72-FZ$169+SwaptionMonthsToGo+SwaptionShift))/SQRT(SUM(INDEX($FO333:$IH333,1+SwaptionShift):INDEX($FO333:$IH333,SwaptionMonthsToGo+SwaptionShift))*SUM(INDEX($FO$325:$IH$396,FZ$169,1+SwaptionShift):INDEX($FO$325:$IH$396,FZ$169,SwaptionMonthsToGo+SwaptionShift))))))</f>
        <v>0.98564487791619482</v>
      </c>
      <c r="GA178" s="469">
        <f ca="1">IF(OR(GA$169&lt;SwaptionFirstMonthPosition+1,$FN178&lt;SwaptionFirstMonthPosition+1,GA$169&gt;SwaptionFirstMonthPosition+SwaptionNumOfMonths+1,$FN178&gt;SwaptionFirstMonthPosition+SwaptionNumOfMonths+1),"",IF($FN178=GA$169,1,IF($FN178&lt;GA$169,INDEX($FO$170:$IH$241,GA$169,$FN178),SUMPRODUCT(INDEX($FO$325:$IH$396,GA$169,1+SwaptionShift):INDEX($FO$325:$IH$396,GA$169,SwaptionMonthsToGo+SwaptionShift),INDEX($FO$245:$IH$316,$FN178-GA$169,73-GA$169+SwaptionShift):INDEX($FO$245:$IH$316,$FN178-GA$169,72-GA$169+SwaptionMonthsToGo+SwaptionShift))/SQRT(SUM(INDEX($FO333:$IH333,1+SwaptionShift):INDEX($FO333:$IH333,SwaptionMonthsToGo+SwaptionShift))*SUM(INDEX($FO$325:$IH$396,GA$169,1+SwaptionShift):INDEX($FO$325:$IH$396,GA$169,SwaptionMonthsToGo+SwaptionShift))))))</f>
        <v>0.98209985074657014</v>
      </c>
      <c r="GB178" s="469">
        <f ca="1">IF(OR(GB$169&lt;SwaptionFirstMonthPosition+1,$FN178&lt;SwaptionFirstMonthPosition+1,GB$169&gt;SwaptionFirstMonthPosition+SwaptionNumOfMonths+1,$FN178&gt;SwaptionFirstMonthPosition+SwaptionNumOfMonths+1),"",IF($FN178=GB$169,1,IF($FN178&lt;GB$169,INDEX($FO$170:$IH$241,GB$169,$FN178),SUMPRODUCT(INDEX($FO$325:$IH$396,GB$169,1+SwaptionShift):INDEX($FO$325:$IH$396,GB$169,SwaptionMonthsToGo+SwaptionShift),INDEX($FO$245:$IH$316,$FN178-GB$169,73-GB$169+SwaptionShift):INDEX($FO$245:$IH$316,$FN178-GB$169,72-GB$169+SwaptionMonthsToGo+SwaptionShift))/SQRT(SUM(INDEX($FO333:$IH333,1+SwaptionShift):INDEX($FO333:$IH333,SwaptionMonthsToGo+SwaptionShift))*SUM(INDEX($FO$325:$IH$396,GB$169,1+SwaptionShift):INDEX($FO$325:$IH$396,GB$169,SwaptionMonthsToGo+SwaptionShift))))))</f>
        <v>0.97901030363823538</v>
      </c>
      <c r="GC178" s="469" t="str">
        <f ca="1">IF(OR(GC$169&lt;SwaptionFirstMonthPosition+1,$FN178&lt;SwaptionFirstMonthPosition+1,GC$169&gt;SwaptionFirstMonthPosition+SwaptionNumOfMonths+1,$FN178&gt;SwaptionFirstMonthPosition+SwaptionNumOfMonths+1),"",IF($FN178=GC$169,1,IF($FN178&lt;GC$169,INDEX($FO$170:$IH$241,GC$169,$FN178),SUMPRODUCT(INDEX($FO$325:$IH$396,GC$169,1+SwaptionShift):INDEX($FO$325:$IH$396,GC$169,SwaptionMonthsToGo+SwaptionShift),INDEX($FO$245:$IH$316,$FN178-GC$169,73-GC$169+SwaptionShift):INDEX($FO$245:$IH$316,$FN178-GC$169,72-GC$169+SwaptionMonthsToGo+SwaptionShift))/SQRT(SUM(INDEX($FO333:$IH333,1+SwaptionShift):INDEX($FO333:$IH333,SwaptionMonthsToGo+SwaptionShift))*SUM(INDEX($FO$325:$IH$396,GC$169,1+SwaptionShift):INDEX($FO$325:$IH$396,GC$169,SwaptionMonthsToGo+SwaptionShift))))))</f>
        <v/>
      </c>
      <c r="GD178" s="469" t="str">
        <f ca="1">IF(OR(GD$169&lt;SwaptionFirstMonthPosition+1,$FN178&lt;SwaptionFirstMonthPosition+1,GD$169&gt;SwaptionFirstMonthPosition+SwaptionNumOfMonths+1,$FN178&gt;SwaptionFirstMonthPosition+SwaptionNumOfMonths+1),"",IF($FN178=GD$169,1,IF($FN178&lt;GD$169,INDEX($FO$170:$IH$241,GD$169,$FN178),SUMPRODUCT(INDEX($FO$325:$IH$396,GD$169,1+SwaptionShift):INDEX($FO$325:$IH$396,GD$169,SwaptionMonthsToGo+SwaptionShift),INDEX($FO$245:$IH$316,$FN178-GD$169,73-GD$169+SwaptionShift):INDEX($FO$245:$IH$316,$FN178-GD$169,72-GD$169+SwaptionMonthsToGo+SwaptionShift))/SQRT(SUM(INDEX($FO333:$IH333,1+SwaptionShift):INDEX($FO333:$IH333,SwaptionMonthsToGo+SwaptionShift))*SUM(INDEX($FO$325:$IH$396,GD$169,1+SwaptionShift):INDEX($FO$325:$IH$396,GD$169,SwaptionMonthsToGo+SwaptionShift))))))</f>
        <v/>
      </c>
      <c r="GE178" s="469" t="str">
        <f ca="1">IF(OR(GE$169&lt;SwaptionFirstMonthPosition+1,$FN178&lt;SwaptionFirstMonthPosition+1,GE$169&gt;SwaptionFirstMonthPosition+SwaptionNumOfMonths+1,$FN178&gt;SwaptionFirstMonthPosition+SwaptionNumOfMonths+1),"",IF($FN178=GE$169,1,IF($FN178&lt;GE$169,INDEX($FO$170:$IH$241,GE$169,$FN178),SUMPRODUCT(INDEX($FO$325:$IH$396,GE$169,1+SwaptionShift):INDEX($FO$325:$IH$396,GE$169,SwaptionMonthsToGo+SwaptionShift),INDEX($FO$245:$IH$316,$FN178-GE$169,73-GE$169+SwaptionShift):INDEX($FO$245:$IH$316,$FN178-GE$169,72-GE$169+SwaptionMonthsToGo+SwaptionShift))/SQRT(SUM(INDEX($FO333:$IH333,1+SwaptionShift):INDEX($FO333:$IH333,SwaptionMonthsToGo+SwaptionShift))*SUM(INDEX($FO$325:$IH$396,GE$169,1+SwaptionShift):INDEX($FO$325:$IH$396,GE$169,SwaptionMonthsToGo+SwaptionShift))))))</f>
        <v/>
      </c>
      <c r="GF178" s="469" t="str">
        <f ca="1">IF(OR(GF$169&lt;SwaptionFirstMonthPosition+1,$FN178&lt;SwaptionFirstMonthPosition+1,GF$169&gt;SwaptionFirstMonthPosition+SwaptionNumOfMonths+1,$FN178&gt;SwaptionFirstMonthPosition+SwaptionNumOfMonths+1),"",IF($FN178=GF$169,1,IF($FN178&lt;GF$169,INDEX($FO$170:$IH$241,GF$169,$FN178),SUMPRODUCT(INDEX($FO$325:$IH$396,GF$169,1+SwaptionShift):INDEX($FO$325:$IH$396,GF$169,SwaptionMonthsToGo+SwaptionShift),INDEX($FO$245:$IH$316,$FN178-GF$169,73-GF$169+SwaptionShift):INDEX($FO$245:$IH$316,$FN178-GF$169,72-GF$169+SwaptionMonthsToGo+SwaptionShift))/SQRT(SUM(INDEX($FO333:$IH333,1+SwaptionShift):INDEX($FO333:$IH333,SwaptionMonthsToGo+SwaptionShift))*SUM(INDEX($FO$325:$IH$396,GF$169,1+SwaptionShift):INDEX($FO$325:$IH$396,GF$169,SwaptionMonthsToGo+SwaptionShift))))))</f>
        <v/>
      </c>
      <c r="GG178" s="469" t="str">
        <f ca="1">IF(OR(GG$169&lt;SwaptionFirstMonthPosition+1,$FN178&lt;SwaptionFirstMonthPosition+1,GG$169&gt;SwaptionFirstMonthPosition+SwaptionNumOfMonths+1,$FN178&gt;SwaptionFirstMonthPosition+SwaptionNumOfMonths+1),"",IF($FN178=GG$169,1,IF($FN178&lt;GG$169,INDEX($FO$170:$IH$241,GG$169,$FN178),SUMPRODUCT(INDEX($FO$325:$IH$396,GG$169,1+SwaptionShift):INDEX($FO$325:$IH$396,GG$169,SwaptionMonthsToGo+SwaptionShift),INDEX($FO$245:$IH$316,$FN178-GG$169,73-GG$169+SwaptionShift):INDEX($FO$245:$IH$316,$FN178-GG$169,72-GG$169+SwaptionMonthsToGo+SwaptionShift))/SQRT(SUM(INDEX($FO333:$IH333,1+SwaptionShift):INDEX($FO333:$IH333,SwaptionMonthsToGo+SwaptionShift))*SUM(INDEX($FO$325:$IH$396,GG$169,1+SwaptionShift):INDEX($FO$325:$IH$396,GG$169,SwaptionMonthsToGo+SwaptionShift))))))</f>
        <v/>
      </c>
      <c r="GH178" s="469" t="str">
        <f ca="1">IF(OR(GH$169&lt;SwaptionFirstMonthPosition+1,$FN178&lt;SwaptionFirstMonthPosition+1,GH$169&gt;SwaptionFirstMonthPosition+SwaptionNumOfMonths+1,$FN178&gt;SwaptionFirstMonthPosition+SwaptionNumOfMonths+1),"",IF($FN178=GH$169,1,IF($FN178&lt;GH$169,INDEX($FO$170:$IH$241,GH$169,$FN178),SUMPRODUCT(INDEX($FO$325:$IH$396,GH$169,1+SwaptionShift):INDEX($FO$325:$IH$396,GH$169,SwaptionMonthsToGo+SwaptionShift),INDEX($FO$245:$IH$316,$FN178-GH$169,73-GH$169+SwaptionShift):INDEX($FO$245:$IH$316,$FN178-GH$169,72-GH$169+SwaptionMonthsToGo+SwaptionShift))/SQRT(SUM(INDEX($FO333:$IH333,1+SwaptionShift):INDEX($FO333:$IH333,SwaptionMonthsToGo+SwaptionShift))*SUM(INDEX($FO$325:$IH$396,GH$169,1+SwaptionShift):INDEX($FO$325:$IH$396,GH$169,SwaptionMonthsToGo+SwaptionShift))))))</f>
        <v/>
      </c>
      <c r="GI178" s="469" t="str">
        <f ca="1">IF(OR(GI$169&lt;SwaptionFirstMonthPosition+1,$FN178&lt;SwaptionFirstMonthPosition+1,GI$169&gt;SwaptionFirstMonthPosition+SwaptionNumOfMonths+1,$FN178&gt;SwaptionFirstMonthPosition+SwaptionNumOfMonths+1),"",IF($FN178=GI$169,1,IF($FN178&lt;GI$169,INDEX($FO$170:$IH$241,GI$169,$FN178),SUMPRODUCT(INDEX($FO$325:$IH$396,GI$169,1+SwaptionShift):INDEX($FO$325:$IH$396,GI$169,SwaptionMonthsToGo+SwaptionShift),INDEX($FO$245:$IH$316,$FN178-GI$169,73-GI$169+SwaptionShift):INDEX($FO$245:$IH$316,$FN178-GI$169,72-GI$169+SwaptionMonthsToGo+SwaptionShift))/SQRT(SUM(INDEX($FO333:$IH333,1+SwaptionShift):INDEX($FO333:$IH333,SwaptionMonthsToGo+SwaptionShift))*SUM(INDEX($FO$325:$IH$396,GI$169,1+SwaptionShift):INDEX($FO$325:$IH$396,GI$169,SwaptionMonthsToGo+SwaptionShift))))))</f>
        <v/>
      </c>
      <c r="GJ178" s="469" t="str">
        <f ca="1">IF(OR(GJ$169&lt;SwaptionFirstMonthPosition+1,$FN178&lt;SwaptionFirstMonthPosition+1,GJ$169&gt;SwaptionFirstMonthPosition+SwaptionNumOfMonths+1,$FN178&gt;SwaptionFirstMonthPosition+SwaptionNumOfMonths+1),"",IF($FN178=GJ$169,1,IF($FN178&lt;GJ$169,INDEX($FO$170:$IH$241,GJ$169,$FN178),SUMPRODUCT(INDEX($FO$325:$IH$396,GJ$169,1+SwaptionShift):INDEX($FO$325:$IH$396,GJ$169,SwaptionMonthsToGo+SwaptionShift),INDEX($FO$245:$IH$316,$FN178-GJ$169,73-GJ$169+SwaptionShift):INDEX($FO$245:$IH$316,$FN178-GJ$169,72-GJ$169+SwaptionMonthsToGo+SwaptionShift))/SQRT(SUM(INDEX($FO333:$IH333,1+SwaptionShift):INDEX($FO333:$IH333,SwaptionMonthsToGo+SwaptionShift))*SUM(INDEX($FO$325:$IH$396,GJ$169,1+SwaptionShift):INDEX($FO$325:$IH$396,GJ$169,SwaptionMonthsToGo+SwaptionShift))))))</f>
        <v/>
      </c>
      <c r="GK178" s="469" t="str">
        <f ca="1">IF(OR(GK$169&lt;SwaptionFirstMonthPosition+1,$FN178&lt;SwaptionFirstMonthPosition+1,GK$169&gt;SwaptionFirstMonthPosition+SwaptionNumOfMonths+1,$FN178&gt;SwaptionFirstMonthPosition+SwaptionNumOfMonths+1),"",IF($FN178=GK$169,1,IF($FN178&lt;GK$169,INDEX($FO$170:$IH$241,GK$169,$FN178),SUMPRODUCT(INDEX($FO$325:$IH$396,GK$169,1+SwaptionShift):INDEX($FO$325:$IH$396,GK$169,SwaptionMonthsToGo+SwaptionShift),INDEX($FO$245:$IH$316,$FN178-GK$169,73-GK$169+SwaptionShift):INDEX($FO$245:$IH$316,$FN178-GK$169,72-GK$169+SwaptionMonthsToGo+SwaptionShift))/SQRT(SUM(INDEX($FO333:$IH333,1+SwaptionShift):INDEX($FO333:$IH333,SwaptionMonthsToGo+SwaptionShift))*SUM(INDEX($FO$325:$IH$396,GK$169,1+SwaptionShift):INDEX($FO$325:$IH$396,GK$169,SwaptionMonthsToGo+SwaptionShift))))))</f>
        <v/>
      </c>
      <c r="GL178" s="469" t="str">
        <f ca="1">IF(OR(GL$169&lt;SwaptionFirstMonthPosition+1,$FN178&lt;SwaptionFirstMonthPosition+1,GL$169&gt;SwaptionFirstMonthPosition+SwaptionNumOfMonths+1,$FN178&gt;SwaptionFirstMonthPosition+SwaptionNumOfMonths+1),"",IF($FN178=GL$169,1,IF($FN178&lt;GL$169,INDEX($FO$170:$IH$241,GL$169,$FN178),SUMPRODUCT(INDEX($FO$325:$IH$396,GL$169,1+SwaptionShift):INDEX($FO$325:$IH$396,GL$169,SwaptionMonthsToGo+SwaptionShift),INDEX($FO$245:$IH$316,$FN178-GL$169,73-GL$169+SwaptionShift):INDEX($FO$245:$IH$316,$FN178-GL$169,72-GL$169+SwaptionMonthsToGo+SwaptionShift))/SQRT(SUM(INDEX($FO333:$IH333,1+SwaptionShift):INDEX($FO333:$IH333,SwaptionMonthsToGo+SwaptionShift))*SUM(INDEX($FO$325:$IH$396,GL$169,1+SwaptionShift):INDEX($FO$325:$IH$396,GL$169,SwaptionMonthsToGo+SwaptionShift))))))</f>
        <v/>
      </c>
      <c r="GM178" s="469" t="str">
        <f ca="1">IF(OR(GM$169&lt;SwaptionFirstMonthPosition+1,$FN178&lt;SwaptionFirstMonthPosition+1,GM$169&gt;SwaptionFirstMonthPosition+SwaptionNumOfMonths+1,$FN178&gt;SwaptionFirstMonthPosition+SwaptionNumOfMonths+1),"",IF($FN178=GM$169,1,IF($FN178&lt;GM$169,INDEX($FO$170:$IH$241,GM$169,$FN178),SUMPRODUCT(INDEX($FO$325:$IH$396,GM$169,1+SwaptionShift):INDEX($FO$325:$IH$396,GM$169,SwaptionMonthsToGo+SwaptionShift),INDEX($FO$245:$IH$316,$FN178-GM$169,73-GM$169+SwaptionShift):INDEX($FO$245:$IH$316,$FN178-GM$169,72-GM$169+SwaptionMonthsToGo+SwaptionShift))/SQRT(SUM(INDEX($FO333:$IH333,1+SwaptionShift):INDEX($FO333:$IH333,SwaptionMonthsToGo+SwaptionShift))*SUM(INDEX($FO$325:$IH$396,GM$169,1+SwaptionShift):INDEX($FO$325:$IH$396,GM$169,SwaptionMonthsToGo+SwaptionShift))))))</f>
        <v/>
      </c>
      <c r="GN178" s="469" t="str">
        <f ca="1">IF(OR(GN$169&lt;SwaptionFirstMonthPosition+1,$FN178&lt;SwaptionFirstMonthPosition+1,GN$169&gt;SwaptionFirstMonthPosition+SwaptionNumOfMonths+1,$FN178&gt;SwaptionFirstMonthPosition+SwaptionNumOfMonths+1),"",IF($FN178=GN$169,1,IF($FN178&lt;GN$169,INDEX($FO$170:$IH$241,GN$169,$FN178),SUMPRODUCT(INDEX($FO$325:$IH$396,GN$169,1+SwaptionShift):INDEX($FO$325:$IH$396,GN$169,SwaptionMonthsToGo+SwaptionShift),INDEX($FO$245:$IH$316,$FN178-GN$169,73-GN$169+SwaptionShift):INDEX($FO$245:$IH$316,$FN178-GN$169,72-GN$169+SwaptionMonthsToGo+SwaptionShift))/SQRT(SUM(INDEX($FO333:$IH333,1+SwaptionShift):INDEX($FO333:$IH333,SwaptionMonthsToGo+SwaptionShift))*SUM(INDEX($FO$325:$IH$396,GN$169,1+SwaptionShift):INDEX($FO$325:$IH$396,GN$169,SwaptionMonthsToGo+SwaptionShift))))))</f>
        <v/>
      </c>
      <c r="GO178" s="469" t="str">
        <f ca="1">IF(OR(GO$169&lt;SwaptionFirstMonthPosition+1,$FN178&lt;SwaptionFirstMonthPosition+1,GO$169&gt;SwaptionFirstMonthPosition+SwaptionNumOfMonths+1,$FN178&gt;SwaptionFirstMonthPosition+SwaptionNumOfMonths+1),"",IF($FN178=GO$169,1,IF($FN178&lt;GO$169,INDEX($FO$170:$IH$241,GO$169,$FN178),SUMPRODUCT(INDEX($FO$325:$IH$396,GO$169,1+SwaptionShift):INDEX($FO$325:$IH$396,GO$169,SwaptionMonthsToGo+SwaptionShift),INDEX($FO$245:$IH$316,$FN178-GO$169,73-GO$169+SwaptionShift):INDEX($FO$245:$IH$316,$FN178-GO$169,72-GO$169+SwaptionMonthsToGo+SwaptionShift))/SQRT(SUM(INDEX($FO333:$IH333,1+SwaptionShift):INDEX($FO333:$IH333,SwaptionMonthsToGo+SwaptionShift))*SUM(INDEX($FO$325:$IH$396,GO$169,1+SwaptionShift):INDEX($FO$325:$IH$396,GO$169,SwaptionMonthsToGo+SwaptionShift))))))</f>
        <v/>
      </c>
      <c r="GP178" s="469" t="str">
        <f ca="1">IF(OR(GP$169&lt;SwaptionFirstMonthPosition+1,$FN178&lt;SwaptionFirstMonthPosition+1,GP$169&gt;SwaptionFirstMonthPosition+SwaptionNumOfMonths+1,$FN178&gt;SwaptionFirstMonthPosition+SwaptionNumOfMonths+1),"",IF($FN178=GP$169,1,IF($FN178&lt;GP$169,INDEX($FO$170:$IH$241,GP$169,$FN178),SUMPRODUCT(INDEX($FO$325:$IH$396,GP$169,1+SwaptionShift):INDEX($FO$325:$IH$396,GP$169,SwaptionMonthsToGo+SwaptionShift),INDEX($FO$245:$IH$316,$FN178-GP$169,73-GP$169+SwaptionShift):INDEX($FO$245:$IH$316,$FN178-GP$169,72-GP$169+SwaptionMonthsToGo+SwaptionShift))/SQRT(SUM(INDEX($FO333:$IH333,1+SwaptionShift):INDEX($FO333:$IH333,SwaptionMonthsToGo+SwaptionShift))*SUM(INDEX($FO$325:$IH$396,GP$169,1+SwaptionShift):INDEX($FO$325:$IH$396,GP$169,SwaptionMonthsToGo+SwaptionShift))))))</f>
        <v/>
      </c>
      <c r="GQ178" s="469" t="str">
        <f ca="1">IF(OR(GQ$169&lt;SwaptionFirstMonthPosition+1,$FN178&lt;SwaptionFirstMonthPosition+1,GQ$169&gt;SwaptionFirstMonthPosition+SwaptionNumOfMonths+1,$FN178&gt;SwaptionFirstMonthPosition+SwaptionNumOfMonths+1),"",IF($FN178=GQ$169,1,IF($FN178&lt;GQ$169,INDEX($FO$170:$IH$241,GQ$169,$FN178),SUMPRODUCT(INDEX($FO$325:$IH$396,GQ$169,1+SwaptionShift):INDEX($FO$325:$IH$396,GQ$169,SwaptionMonthsToGo+SwaptionShift),INDEX($FO$245:$IH$316,$FN178-GQ$169,73-GQ$169+SwaptionShift):INDEX($FO$245:$IH$316,$FN178-GQ$169,72-GQ$169+SwaptionMonthsToGo+SwaptionShift))/SQRT(SUM(INDEX($FO333:$IH333,1+SwaptionShift):INDEX($FO333:$IH333,SwaptionMonthsToGo+SwaptionShift))*SUM(INDEX($FO$325:$IH$396,GQ$169,1+SwaptionShift):INDEX($FO$325:$IH$396,GQ$169,SwaptionMonthsToGo+SwaptionShift))))))</f>
        <v/>
      </c>
      <c r="GR178" s="469" t="str">
        <f ca="1">IF(OR(GR$169&lt;SwaptionFirstMonthPosition+1,$FN178&lt;SwaptionFirstMonthPosition+1,GR$169&gt;SwaptionFirstMonthPosition+SwaptionNumOfMonths+1,$FN178&gt;SwaptionFirstMonthPosition+SwaptionNumOfMonths+1),"",IF($FN178=GR$169,1,IF($FN178&lt;GR$169,INDEX($FO$170:$IH$241,GR$169,$FN178),SUMPRODUCT(INDEX($FO$325:$IH$396,GR$169,1+SwaptionShift):INDEX($FO$325:$IH$396,GR$169,SwaptionMonthsToGo+SwaptionShift),INDEX($FO$245:$IH$316,$FN178-GR$169,73-GR$169+SwaptionShift):INDEX($FO$245:$IH$316,$FN178-GR$169,72-GR$169+SwaptionMonthsToGo+SwaptionShift))/SQRT(SUM(INDEX($FO333:$IH333,1+SwaptionShift):INDEX($FO333:$IH333,SwaptionMonthsToGo+SwaptionShift))*SUM(INDEX($FO$325:$IH$396,GR$169,1+SwaptionShift):INDEX($FO$325:$IH$396,GR$169,SwaptionMonthsToGo+SwaptionShift))))))</f>
        <v/>
      </c>
      <c r="GS178" s="469" t="str">
        <f ca="1">IF(OR(GS$169&lt;SwaptionFirstMonthPosition+1,$FN178&lt;SwaptionFirstMonthPosition+1,GS$169&gt;SwaptionFirstMonthPosition+SwaptionNumOfMonths+1,$FN178&gt;SwaptionFirstMonthPosition+SwaptionNumOfMonths+1),"",IF($FN178=GS$169,1,IF($FN178&lt;GS$169,INDEX($FO$170:$IH$241,GS$169,$FN178),SUMPRODUCT(INDEX($FO$325:$IH$396,GS$169,1+SwaptionShift):INDEX($FO$325:$IH$396,GS$169,SwaptionMonthsToGo+SwaptionShift),INDEX($FO$245:$IH$316,$FN178-GS$169,73-GS$169+SwaptionShift):INDEX($FO$245:$IH$316,$FN178-GS$169,72-GS$169+SwaptionMonthsToGo+SwaptionShift))/SQRT(SUM(INDEX($FO333:$IH333,1+SwaptionShift):INDEX($FO333:$IH333,SwaptionMonthsToGo+SwaptionShift))*SUM(INDEX($FO$325:$IH$396,GS$169,1+SwaptionShift):INDEX($FO$325:$IH$396,GS$169,SwaptionMonthsToGo+SwaptionShift))))))</f>
        <v/>
      </c>
      <c r="GT178" s="469" t="str">
        <f ca="1">IF(OR(GT$169&lt;SwaptionFirstMonthPosition+1,$FN178&lt;SwaptionFirstMonthPosition+1,GT$169&gt;SwaptionFirstMonthPosition+SwaptionNumOfMonths+1,$FN178&gt;SwaptionFirstMonthPosition+SwaptionNumOfMonths+1),"",IF($FN178=GT$169,1,IF($FN178&lt;GT$169,INDEX($FO$170:$IH$241,GT$169,$FN178),SUMPRODUCT(INDEX($FO$325:$IH$396,GT$169,1+SwaptionShift):INDEX($FO$325:$IH$396,GT$169,SwaptionMonthsToGo+SwaptionShift),INDEX($FO$245:$IH$316,$FN178-GT$169,73-GT$169+SwaptionShift):INDEX($FO$245:$IH$316,$FN178-GT$169,72-GT$169+SwaptionMonthsToGo+SwaptionShift))/SQRT(SUM(INDEX($FO333:$IH333,1+SwaptionShift):INDEX($FO333:$IH333,SwaptionMonthsToGo+SwaptionShift))*SUM(INDEX($FO$325:$IH$396,GT$169,1+SwaptionShift):INDEX($FO$325:$IH$396,GT$169,SwaptionMonthsToGo+SwaptionShift))))))</f>
        <v/>
      </c>
      <c r="GU178" s="469" t="str">
        <f ca="1">IF(OR(GU$169&lt;SwaptionFirstMonthPosition+1,$FN178&lt;SwaptionFirstMonthPosition+1,GU$169&gt;SwaptionFirstMonthPosition+SwaptionNumOfMonths+1,$FN178&gt;SwaptionFirstMonthPosition+SwaptionNumOfMonths+1),"",IF($FN178=GU$169,1,IF($FN178&lt;GU$169,INDEX($FO$170:$IH$241,GU$169,$FN178),SUMPRODUCT(INDEX($FO$325:$IH$396,GU$169,1+SwaptionShift):INDEX($FO$325:$IH$396,GU$169,SwaptionMonthsToGo+SwaptionShift),INDEX($FO$245:$IH$316,$FN178-GU$169,73-GU$169+SwaptionShift):INDEX($FO$245:$IH$316,$FN178-GU$169,72-GU$169+SwaptionMonthsToGo+SwaptionShift))/SQRT(SUM(INDEX($FO333:$IH333,1+SwaptionShift):INDEX($FO333:$IH333,SwaptionMonthsToGo+SwaptionShift))*SUM(INDEX($FO$325:$IH$396,GU$169,1+SwaptionShift):INDEX($FO$325:$IH$396,GU$169,SwaptionMonthsToGo+SwaptionShift))))))</f>
        <v/>
      </c>
      <c r="GV178" s="469" t="str">
        <f ca="1">IF(OR(GV$169&lt;SwaptionFirstMonthPosition+1,$FN178&lt;SwaptionFirstMonthPosition+1,GV$169&gt;SwaptionFirstMonthPosition+SwaptionNumOfMonths+1,$FN178&gt;SwaptionFirstMonthPosition+SwaptionNumOfMonths+1),"",IF($FN178=GV$169,1,IF($FN178&lt;GV$169,INDEX($FO$170:$IH$241,GV$169,$FN178),SUMPRODUCT(INDEX($FO$325:$IH$396,GV$169,1+SwaptionShift):INDEX($FO$325:$IH$396,GV$169,SwaptionMonthsToGo+SwaptionShift),INDEX($FO$245:$IH$316,$FN178-GV$169,73-GV$169+SwaptionShift):INDEX($FO$245:$IH$316,$FN178-GV$169,72-GV$169+SwaptionMonthsToGo+SwaptionShift))/SQRT(SUM(INDEX($FO333:$IH333,1+SwaptionShift):INDEX($FO333:$IH333,SwaptionMonthsToGo+SwaptionShift))*SUM(INDEX($FO$325:$IH$396,GV$169,1+SwaptionShift):INDEX($FO$325:$IH$396,GV$169,SwaptionMonthsToGo+SwaptionShift))))))</f>
        <v/>
      </c>
      <c r="GW178" s="469" t="str">
        <f ca="1">IF(OR(GW$169&lt;SwaptionFirstMonthPosition+1,$FN178&lt;SwaptionFirstMonthPosition+1,GW$169&gt;SwaptionFirstMonthPosition+SwaptionNumOfMonths+1,$FN178&gt;SwaptionFirstMonthPosition+SwaptionNumOfMonths+1),"",IF($FN178=GW$169,1,IF($FN178&lt;GW$169,INDEX($FO$170:$IH$241,GW$169,$FN178),SUMPRODUCT(INDEX($FO$325:$IH$396,GW$169,1+SwaptionShift):INDEX($FO$325:$IH$396,GW$169,SwaptionMonthsToGo+SwaptionShift),INDEX($FO$245:$IH$316,$FN178-GW$169,73-GW$169+SwaptionShift):INDEX($FO$245:$IH$316,$FN178-GW$169,72-GW$169+SwaptionMonthsToGo+SwaptionShift))/SQRT(SUM(INDEX($FO333:$IH333,1+SwaptionShift):INDEX($FO333:$IH333,SwaptionMonthsToGo+SwaptionShift))*SUM(INDEX($FO$325:$IH$396,GW$169,1+SwaptionShift):INDEX($FO$325:$IH$396,GW$169,SwaptionMonthsToGo+SwaptionShift))))))</f>
        <v/>
      </c>
      <c r="GX178" s="469" t="str">
        <f ca="1">IF(OR(GX$169&lt;SwaptionFirstMonthPosition+1,$FN178&lt;SwaptionFirstMonthPosition+1,GX$169&gt;SwaptionFirstMonthPosition+SwaptionNumOfMonths+1,$FN178&gt;SwaptionFirstMonthPosition+SwaptionNumOfMonths+1),"",IF($FN178=GX$169,1,IF($FN178&lt;GX$169,INDEX($FO$170:$IH$241,GX$169,$FN178),SUMPRODUCT(INDEX($FO$325:$IH$396,GX$169,1+SwaptionShift):INDEX($FO$325:$IH$396,GX$169,SwaptionMonthsToGo+SwaptionShift),INDEX($FO$245:$IH$316,$FN178-GX$169,73-GX$169+SwaptionShift):INDEX($FO$245:$IH$316,$FN178-GX$169,72-GX$169+SwaptionMonthsToGo+SwaptionShift))/SQRT(SUM(INDEX($FO333:$IH333,1+SwaptionShift):INDEX($FO333:$IH333,SwaptionMonthsToGo+SwaptionShift))*SUM(INDEX($FO$325:$IH$396,GX$169,1+SwaptionShift):INDEX($FO$325:$IH$396,GX$169,SwaptionMonthsToGo+SwaptionShift))))))</f>
        <v/>
      </c>
      <c r="GY178" s="469" t="str">
        <f ca="1">IF(OR(GY$169&lt;SwaptionFirstMonthPosition+1,$FN178&lt;SwaptionFirstMonthPosition+1,GY$169&gt;SwaptionFirstMonthPosition+SwaptionNumOfMonths+1,$FN178&gt;SwaptionFirstMonthPosition+SwaptionNumOfMonths+1),"",IF($FN178=GY$169,1,IF($FN178&lt;GY$169,INDEX($FO$170:$IH$241,GY$169,$FN178),SUMPRODUCT(INDEX($FO$325:$IH$396,GY$169,1+SwaptionShift):INDEX($FO$325:$IH$396,GY$169,SwaptionMonthsToGo+SwaptionShift),INDEX($FO$245:$IH$316,$FN178-GY$169,73-GY$169+SwaptionShift):INDEX($FO$245:$IH$316,$FN178-GY$169,72-GY$169+SwaptionMonthsToGo+SwaptionShift))/SQRT(SUM(INDEX($FO333:$IH333,1+SwaptionShift):INDEX($FO333:$IH333,SwaptionMonthsToGo+SwaptionShift))*SUM(INDEX($FO$325:$IH$396,GY$169,1+SwaptionShift):INDEX($FO$325:$IH$396,GY$169,SwaptionMonthsToGo+SwaptionShift))))))</f>
        <v/>
      </c>
      <c r="GZ178" s="469" t="str">
        <f ca="1">IF(OR(GZ$169&lt;SwaptionFirstMonthPosition+1,$FN178&lt;SwaptionFirstMonthPosition+1,GZ$169&gt;SwaptionFirstMonthPosition+SwaptionNumOfMonths+1,$FN178&gt;SwaptionFirstMonthPosition+SwaptionNumOfMonths+1),"",IF($FN178=GZ$169,1,IF($FN178&lt;GZ$169,INDEX($FO$170:$IH$241,GZ$169,$FN178),SUMPRODUCT(INDEX($FO$325:$IH$396,GZ$169,1+SwaptionShift):INDEX($FO$325:$IH$396,GZ$169,SwaptionMonthsToGo+SwaptionShift),INDEX($FO$245:$IH$316,$FN178-GZ$169,73-GZ$169+SwaptionShift):INDEX($FO$245:$IH$316,$FN178-GZ$169,72-GZ$169+SwaptionMonthsToGo+SwaptionShift))/SQRT(SUM(INDEX($FO333:$IH333,1+SwaptionShift):INDEX($FO333:$IH333,SwaptionMonthsToGo+SwaptionShift))*SUM(INDEX($FO$325:$IH$396,GZ$169,1+SwaptionShift):INDEX($FO$325:$IH$396,GZ$169,SwaptionMonthsToGo+SwaptionShift))))))</f>
        <v/>
      </c>
      <c r="HA178" s="469" t="str">
        <f ca="1">IF(OR(HA$169&lt;SwaptionFirstMonthPosition+1,$FN178&lt;SwaptionFirstMonthPosition+1,HA$169&gt;SwaptionFirstMonthPosition+SwaptionNumOfMonths+1,$FN178&gt;SwaptionFirstMonthPosition+SwaptionNumOfMonths+1),"",IF($FN178=HA$169,1,IF($FN178&lt;HA$169,INDEX($FO$170:$IH$241,HA$169,$FN178),SUMPRODUCT(INDEX($FO$325:$IH$396,HA$169,1+SwaptionShift):INDEX($FO$325:$IH$396,HA$169,SwaptionMonthsToGo+SwaptionShift),INDEX($FO$245:$IH$316,$FN178-HA$169,73-HA$169+SwaptionShift):INDEX($FO$245:$IH$316,$FN178-HA$169,72-HA$169+SwaptionMonthsToGo+SwaptionShift))/SQRT(SUM(INDEX($FO333:$IH333,1+SwaptionShift):INDEX($FO333:$IH333,SwaptionMonthsToGo+SwaptionShift))*SUM(INDEX($FO$325:$IH$396,HA$169,1+SwaptionShift):INDEX($FO$325:$IH$396,HA$169,SwaptionMonthsToGo+SwaptionShift))))))</f>
        <v/>
      </c>
      <c r="HB178" s="469" t="str">
        <f ca="1">IF(OR(HB$169&lt;SwaptionFirstMonthPosition+1,$FN178&lt;SwaptionFirstMonthPosition+1,HB$169&gt;SwaptionFirstMonthPosition+SwaptionNumOfMonths+1,$FN178&gt;SwaptionFirstMonthPosition+SwaptionNumOfMonths+1),"",IF($FN178=HB$169,1,IF($FN178&lt;HB$169,INDEX($FO$170:$IH$241,HB$169,$FN178),SUMPRODUCT(INDEX($FO$325:$IH$396,HB$169,1+SwaptionShift):INDEX($FO$325:$IH$396,HB$169,SwaptionMonthsToGo+SwaptionShift),INDEX($FO$245:$IH$316,$FN178-HB$169,73-HB$169+SwaptionShift):INDEX($FO$245:$IH$316,$FN178-HB$169,72-HB$169+SwaptionMonthsToGo+SwaptionShift))/SQRT(SUM(INDEX($FO333:$IH333,1+SwaptionShift):INDEX($FO333:$IH333,SwaptionMonthsToGo+SwaptionShift))*SUM(INDEX($FO$325:$IH$396,HB$169,1+SwaptionShift):INDEX($FO$325:$IH$396,HB$169,SwaptionMonthsToGo+SwaptionShift))))))</f>
        <v/>
      </c>
      <c r="HC178" s="469" t="str">
        <f ca="1">IF(OR(HC$169&lt;SwaptionFirstMonthPosition+1,$FN178&lt;SwaptionFirstMonthPosition+1,HC$169&gt;SwaptionFirstMonthPosition+SwaptionNumOfMonths+1,$FN178&gt;SwaptionFirstMonthPosition+SwaptionNumOfMonths+1),"",IF($FN178=HC$169,1,IF($FN178&lt;HC$169,INDEX($FO$170:$IH$241,HC$169,$FN178),SUMPRODUCT(INDEX($FO$325:$IH$396,HC$169,1+SwaptionShift):INDEX($FO$325:$IH$396,HC$169,SwaptionMonthsToGo+SwaptionShift),INDEX($FO$245:$IH$316,$FN178-HC$169,73-HC$169+SwaptionShift):INDEX($FO$245:$IH$316,$FN178-HC$169,72-HC$169+SwaptionMonthsToGo+SwaptionShift))/SQRT(SUM(INDEX($FO333:$IH333,1+SwaptionShift):INDEX($FO333:$IH333,SwaptionMonthsToGo+SwaptionShift))*SUM(INDEX($FO$325:$IH$396,HC$169,1+SwaptionShift):INDEX($FO$325:$IH$396,HC$169,SwaptionMonthsToGo+SwaptionShift))))))</f>
        <v/>
      </c>
      <c r="HD178" s="469" t="str">
        <f ca="1">IF(OR(HD$169&lt;SwaptionFirstMonthPosition+1,$FN178&lt;SwaptionFirstMonthPosition+1,HD$169&gt;SwaptionFirstMonthPosition+SwaptionNumOfMonths+1,$FN178&gt;SwaptionFirstMonthPosition+SwaptionNumOfMonths+1),"",IF($FN178=HD$169,1,IF($FN178&lt;HD$169,INDEX($FO$170:$IH$241,HD$169,$FN178),SUMPRODUCT(INDEX($FO$325:$IH$396,HD$169,1+SwaptionShift):INDEX($FO$325:$IH$396,HD$169,SwaptionMonthsToGo+SwaptionShift),INDEX($FO$245:$IH$316,$FN178-HD$169,73-HD$169+SwaptionShift):INDEX($FO$245:$IH$316,$FN178-HD$169,72-HD$169+SwaptionMonthsToGo+SwaptionShift))/SQRT(SUM(INDEX($FO333:$IH333,1+SwaptionShift):INDEX($FO333:$IH333,SwaptionMonthsToGo+SwaptionShift))*SUM(INDEX($FO$325:$IH$396,HD$169,1+SwaptionShift):INDEX($FO$325:$IH$396,HD$169,SwaptionMonthsToGo+SwaptionShift))))))</f>
        <v/>
      </c>
      <c r="HE178" s="469" t="str">
        <f ca="1">IF(OR(HE$169&lt;SwaptionFirstMonthPosition+1,$FN178&lt;SwaptionFirstMonthPosition+1,HE$169&gt;SwaptionFirstMonthPosition+SwaptionNumOfMonths+1,$FN178&gt;SwaptionFirstMonthPosition+SwaptionNumOfMonths+1),"",IF($FN178=HE$169,1,IF($FN178&lt;HE$169,INDEX($FO$170:$IH$241,HE$169,$FN178),SUMPRODUCT(INDEX($FO$325:$IH$396,HE$169,1+SwaptionShift):INDEX($FO$325:$IH$396,HE$169,SwaptionMonthsToGo+SwaptionShift),INDEX($FO$245:$IH$316,$FN178-HE$169,73-HE$169+SwaptionShift):INDEX($FO$245:$IH$316,$FN178-HE$169,72-HE$169+SwaptionMonthsToGo+SwaptionShift))/SQRT(SUM(INDEX($FO333:$IH333,1+SwaptionShift):INDEX($FO333:$IH333,SwaptionMonthsToGo+SwaptionShift))*SUM(INDEX($FO$325:$IH$396,HE$169,1+SwaptionShift):INDEX($FO$325:$IH$396,HE$169,SwaptionMonthsToGo+SwaptionShift))))))</f>
        <v/>
      </c>
      <c r="HF178" s="469" t="str">
        <f ca="1">IF(OR(HF$169&lt;SwaptionFirstMonthPosition+1,$FN178&lt;SwaptionFirstMonthPosition+1,HF$169&gt;SwaptionFirstMonthPosition+SwaptionNumOfMonths+1,$FN178&gt;SwaptionFirstMonthPosition+SwaptionNumOfMonths+1),"",IF($FN178=HF$169,1,IF($FN178&lt;HF$169,INDEX($FO$170:$IH$241,HF$169,$FN178),SUMPRODUCT(INDEX($FO$325:$IH$396,HF$169,1+SwaptionShift):INDEX($FO$325:$IH$396,HF$169,SwaptionMonthsToGo+SwaptionShift),INDEX($FO$245:$IH$316,$FN178-HF$169,73-HF$169+SwaptionShift):INDEX($FO$245:$IH$316,$FN178-HF$169,72-HF$169+SwaptionMonthsToGo+SwaptionShift))/SQRT(SUM(INDEX($FO333:$IH333,1+SwaptionShift):INDEX($FO333:$IH333,SwaptionMonthsToGo+SwaptionShift))*SUM(INDEX($FO$325:$IH$396,HF$169,1+SwaptionShift):INDEX($FO$325:$IH$396,HF$169,SwaptionMonthsToGo+SwaptionShift))))))</f>
        <v/>
      </c>
      <c r="HG178" s="469" t="str">
        <f ca="1">IF(OR(HG$169&lt;SwaptionFirstMonthPosition+1,$FN178&lt;SwaptionFirstMonthPosition+1,HG$169&gt;SwaptionFirstMonthPosition+SwaptionNumOfMonths+1,$FN178&gt;SwaptionFirstMonthPosition+SwaptionNumOfMonths+1),"",IF($FN178=HG$169,1,IF($FN178&lt;HG$169,INDEX($FO$170:$IH$241,HG$169,$FN178),SUMPRODUCT(INDEX($FO$325:$IH$396,HG$169,1+SwaptionShift):INDEX($FO$325:$IH$396,HG$169,SwaptionMonthsToGo+SwaptionShift),INDEX($FO$245:$IH$316,$FN178-HG$169,73-HG$169+SwaptionShift):INDEX($FO$245:$IH$316,$FN178-HG$169,72-HG$169+SwaptionMonthsToGo+SwaptionShift))/SQRT(SUM(INDEX($FO333:$IH333,1+SwaptionShift):INDEX($FO333:$IH333,SwaptionMonthsToGo+SwaptionShift))*SUM(INDEX($FO$325:$IH$396,HG$169,1+SwaptionShift):INDEX($FO$325:$IH$396,HG$169,SwaptionMonthsToGo+SwaptionShift))))))</f>
        <v/>
      </c>
      <c r="HH178" s="469" t="str">
        <f ca="1">IF(OR(HH$169&lt;SwaptionFirstMonthPosition+1,$FN178&lt;SwaptionFirstMonthPosition+1,HH$169&gt;SwaptionFirstMonthPosition+SwaptionNumOfMonths+1,$FN178&gt;SwaptionFirstMonthPosition+SwaptionNumOfMonths+1),"",IF($FN178=HH$169,1,IF($FN178&lt;HH$169,INDEX($FO$170:$IH$241,HH$169,$FN178),SUMPRODUCT(INDEX($FO$325:$IH$396,HH$169,1+SwaptionShift):INDEX($FO$325:$IH$396,HH$169,SwaptionMonthsToGo+SwaptionShift),INDEX($FO$245:$IH$316,$FN178-HH$169,73-HH$169+SwaptionShift):INDEX($FO$245:$IH$316,$FN178-HH$169,72-HH$169+SwaptionMonthsToGo+SwaptionShift))/SQRT(SUM(INDEX($FO333:$IH333,1+SwaptionShift):INDEX($FO333:$IH333,SwaptionMonthsToGo+SwaptionShift))*SUM(INDEX($FO$325:$IH$396,HH$169,1+SwaptionShift):INDEX($FO$325:$IH$396,HH$169,SwaptionMonthsToGo+SwaptionShift))))))</f>
        <v/>
      </c>
      <c r="HI178" s="469" t="str">
        <f ca="1">IF(OR(HI$169&lt;SwaptionFirstMonthPosition+1,$FN178&lt;SwaptionFirstMonthPosition+1,HI$169&gt;SwaptionFirstMonthPosition+SwaptionNumOfMonths+1,$FN178&gt;SwaptionFirstMonthPosition+SwaptionNumOfMonths+1),"",IF($FN178=HI$169,1,IF($FN178&lt;HI$169,INDEX($FO$170:$IH$241,HI$169,$FN178),SUMPRODUCT(INDEX($FO$325:$IH$396,HI$169,1+SwaptionShift):INDEX($FO$325:$IH$396,HI$169,SwaptionMonthsToGo+SwaptionShift),INDEX($FO$245:$IH$316,$FN178-HI$169,73-HI$169+SwaptionShift):INDEX($FO$245:$IH$316,$FN178-HI$169,72-HI$169+SwaptionMonthsToGo+SwaptionShift))/SQRT(SUM(INDEX($FO333:$IH333,1+SwaptionShift):INDEX($FO333:$IH333,SwaptionMonthsToGo+SwaptionShift))*SUM(INDEX($FO$325:$IH$396,HI$169,1+SwaptionShift):INDEX($FO$325:$IH$396,HI$169,SwaptionMonthsToGo+SwaptionShift))))))</f>
        <v/>
      </c>
      <c r="HJ178" s="469" t="str">
        <f ca="1">IF(OR(HJ$169&lt;SwaptionFirstMonthPosition+1,$FN178&lt;SwaptionFirstMonthPosition+1,HJ$169&gt;SwaptionFirstMonthPosition+SwaptionNumOfMonths+1,$FN178&gt;SwaptionFirstMonthPosition+SwaptionNumOfMonths+1),"",IF($FN178=HJ$169,1,IF($FN178&lt;HJ$169,INDEX($FO$170:$IH$241,HJ$169,$FN178),SUMPRODUCT(INDEX($FO$325:$IH$396,HJ$169,1+SwaptionShift):INDEX($FO$325:$IH$396,HJ$169,SwaptionMonthsToGo+SwaptionShift),INDEX($FO$245:$IH$316,$FN178-HJ$169,73-HJ$169+SwaptionShift):INDEX($FO$245:$IH$316,$FN178-HJ$169,72-HJ$169+SwaptionMonthsToGo+SwaptionShift))/SQRT(SUM(INDEX($FO333:$IH333,1+SwaptionShift):INDEX($FO333:$IH333,SwaptionMonthsToGo+SwaptionShift))*SUM(INDEX($FO$325:$IH$396,HJ$169,1+SwaptionShift):INDEX($FO$325:$IH$396,HJ$169,SwaptionMonthsToGo+SwaptionShift))))))</f>
        <v/>
      </c>
      <c r="HK178" s="469" t="str">
        <f ca="1">IF(OR(HK$169&lt;SwaptionFirstMonthPosition+1,$FN178&lt;SwaptionFirstMonthPosition+1,HK$169&gt;SwaptionFirstMonthPosition+SwaptionNumOfMonths+1,$FN178&gt;SwaptionFirstMonthPosition+SwaptionNumOfMonths+1),"",IF($FN178=HK$169,1,IF($FN178&lt;HK$169,INDEX($FO$170:$IH$241,HK$169,$FN178),SUMPRODUCT(INDEX($FO$325:$IH$396,HK$169,1+SwaptionShift):INDEX($FO$325:$IH$396,HK$169,SwaptionMonthsToGo+SwaptionShift),INDEX($FO$245:$IH$316,$FN178-HK$169,73-HK$169+SwaptionShift):INDEX($FO$245:$IH$316,$FN178-HK$169,72-HK$169+SwaptionMonthsToGo+SwaptionShift))/SQRT(SUM(INDEX($FO333:$IH333,1+SwaptionShift):INDEX($FO333:$IH333,SwaptionMonthsToGo+SwaptionShift))*SUM(INDEX($FO$325:$IH$396,HK$169,1+SwaptionShift):INDEX($FO$325:$IH$396,HK$169,SwaptionMonthsToGo+SwaptionShift))))))</f>
        <v/>
      </c>
      <c r="HL178" s="469" t="str">
        <f ca="1">IF(OR(HL$169&lt;SwaptionFirstMonthPosition+1,$FN178&lt;SwaptionFirstMonthPosition+1,HL$169&gt;SwaptionFirstMonthPosition+SwaptionNumOfMonths+1,$FN178&gt;SwaptionFirstMonthPosition+SwaptionNumOfMonths+1),"",IF($FN178=HL$169,1,IF($FN178&lt;HL$169,INDEX($FO$170:$IH$241,HL$169,$FN178),SUMPRODUCT(INDEX($FO$325:$IH$396,HL$169,1+SwaptionShift):INDEX($FO$325:$IH$396,HL$169,SwaptionMonthsToGo+SwaptionShift),INDEX($FO$245:$IH$316,$FN178-HL$169,73-HL$169+SwaptionShift):INDEX($FO$245:$IH$316,$FN178-HL$169,72-HL$169+SwaptionMonthsToGo+SwaptionShift))/SQRT(SUM(INDEX($FO333:$IH333,1+SwaptionShift):INDEX($FO333:$IH333,SwaptionMonthsToGo+SwaptionShift))*SUM(INDEX($FO$325:$IH$396,HL$169,1+SwaptionShift):INDEX($FO$325:$IH$396,HL$169,SwaptionMonthsToGo+SwaptionShift))))))</f>
        <v/>
      </c>
      <c r="HM178" s="469" t="str">
        <f ca="1">IF(OR(HM$169&lt;SwaptionFirstMonthPosition+1,$FN178&lt;SwaptionFirstMonthPosition+1,HM$169&gt;SwaptionFirstMonthPosition+SwaptionNumOfMonths+1,$FN178&gt;SwaptionFirstMonthPosition+SwaptionNumOfMonths+1),"",IF($FN178=HM$169,1,IF($FN178&lt;HM$169,INDEX($FO$170:$IH$241,HM$169,$FN178),SUMPRODUCT(INDEX($FO$325:$IH$396,HM$169,1+SwaptionShift):INDEX($FO$325:$IH$396,HM$169,SwaptionMonthsToGo+SwaptionShift),INDEX($FO$245:$IH$316,$FN178-HM$169,73-HM$169+SwaptionShift):INDEX($FO$245:$IH$316,$FN178-HM$169,72-HM$169+SwaptionMonthsToGo+SwaptionShift))/SQRT(SUM(INDEX($FO333:$IH333,1+SwaptionShift):INDEX($FO333:$IH333,SwaptionMonthsToGo+SwaptionShift))*SUM(INDEX($FO$325:$IH$396,HM$169,1+SwaptionShift):INDEX($FO$325:$IH$396,HM$169,SwaptionMonthsToGo+SwaptionShift))))))</f>
        <v/>
      </c>
      <c r="HN178" s="469" t="str">
        <f ca="1">IF(OR(HN$169&lt;SwaptionFirstMonthPosition+1,$FN178&lt;SwaptionFirstMonthPosition+1,HN$169&gt;SwaptionFirstMonthPosition+SwaptionNumOfMonths+1,$FN178&gt;SwaptionFirstMonthPosition+SwaptionNumOfMonths+1),"",IF($FN178=HN$169,1,IF($FN178&lt;HN$169,INDEX($FO$170:$IH$241,HN$169,$FN178),SUMPRODUCT(INDEX($FO$325:$IH$396,HN$169,1+SwaptionShift):INDEX($FO$325:$IH$396,HN$169,SwaptionMonthsToGo+SwaptionShift),INDEX($FO$245:$IH$316,$FN178-HN$169,73-HN$169+SwaptionShift):INDEX($FO$245:$IH$316,$FN178-HN$169,72-HN$169+SwaptionMonthsToGo+SwaptionShift))/SQRT(SUM(INDEX($FO333:$IH333,1+SwaptionShift):INDEX($FO333:$IH333,SwaptionMonthsToGo+SwaptionShift))*SUM(INDEX($FO$325:$IH$396,HN$169,1+SwaptionShift):INDEX($FO$325:$IH$396,HN$169,SwaptionMonthsToGo+SwaptionShift))))))</f>
        <v/>
      </c>
      <c r="HO178" s="469" t="str">
        <f ca="1">IF(OR(HO$169&lt;SwaptionFirstMonthPosition+1,$FN178&lt;SwaptionFirstMonthPosition+1,HO$169&gt;SwaptionFirstMonthPosition+SwaptionNumOfMonths+1,$FN178&gt;SwaptionFirstMonthPosition+SwaptionNumOfMonths+1),"",IF($FN178=HO$169,1,IF($FN178&lt;HO$169,INDEX($FO$170:$IH$241,HO$169,$FN178),SUMPRODUCT(INDEX($FO$325:$IH$396,HO$169,1+SwaptionShift):INDEX($FO$325:$IH$396,HO$169,SwaptionMonthsToGo+SwaptionShift),INDEX($FO$245:$IH$316,$FN178-HO$169,73-HO$169+SwaptionShift):INDEX($FO$245:$IH$316,$FN178-HO$169,72-HO$169+SwaptionMonthsToGo+SwaptionShift))/SQRT(SUM(INDEX($FO333:$IH333,1+SwaptionShift):INDEX($FO333:$IH333,SwaptionMonthsToGo+SwaptionShift))*SUM(INDEX($FO$325:$IH$396,HO$169,1+SwaptionShift):INDEX($FO$325:$IH$396,HO$169,SwaptionMonthsToGo+SwaptionShift))))))</f>
        <v/>
      </c>
      <c r="HP178" s="469" t="str">
        <f ca="1">IF(OR(HP$169&lt;SwaptionFirstMonthPosition+1,$FN178&lt;SwaptionFirstMonthPosition+1,HP$169&gt;SwaptionFirstMonthPosition+SwaptionNumOfMonths+1,$FN178&gt;SwaptionFirstMonthPosition+SwaptionNumOfMonths+1),"",IF($FN178=HP$169,1,IF($FN178&lt;HP$169,INDEX($FO$170:$IH$241,HP$169,$FN178),SUMPRODUCT(INDEX($FO$325:$IH$396,HP$169,1+SwaptionShift):INDEX($FO$325:$IH$396,HP$169,SwaptionMonthsToGo+SwaptionShift),INDEX($FO$245:$IH$316,$FN178-HP$169,73-HP$169+SwaptionShift):INDEX($FO$245:$IH$316,$FN178-HP$169,72-HP$169+SwaptionMonthsToGo+SwaptionShift))/SQRT(SUM(INDEX($FO333:$IH333,1+SwaptionShift):INDEX($FO333:$IH333,SwaptionMonthsToGo+SwaptionShift))*SUM(INDEX($FO$325:$IH$396,HP$169,1+SwaptionShift):INDEX($FO$325:$IH$396,HP$169,SwaptionMonthsToGo+SwaptionShift))))))</f>
        <v/>
      </c>
      <c r="HQ178" s="469" t="str">
        <f ca="1">IF(OR(HQ$169&lt;SwaptionFirstMonthPosition+1,$FN178&lt;SwaptionFirstMonthPosition+1,HQ$169&gt;SwaptionFirstMonthPosition+SwaptionNumOfMonths+1,$FN178&gt;SwaptionFirstMonthPosition+SwaptionNumOfMonths+1),"",IF($FN178=HQ$169,1,IF($FN178&lt;HQ$169,INDEX($FO$170:$IH$241,HQ$169,$FN178),SUMPRODUCT(INDEX($FO$325:$IH$396,HQ$169,1+SwaptionShift):INDEX($FO$325:$IH$396,HQ$169,SwaptionMonthsToGo+SwaptionShift),INDEX($FO$245:$IH$316,$FN178-HQ$169,73-HQ$169+SwaptionShift):INDEX($FO$245:$IH$316,$FN178-HQ$169,72-HQ$169+SwaptionMonthsToGo+SwaptionShift))/SQRT(SUM(INDEX($FO333:$IH333,1+SwaptionShift):INDEX($FO333:$IH333,SwaptionMonthsToGo+SwaptionShift))*SUM(INDEX($FO$325:$IH$396,HQ$169,1+SwaptionShift):INDEX($FO$325:$IH$396,HQ$169,SwaptionMonthsToGo+SwaptionShift))))))</f>
        <v/>
      </c>
      <c r="HR178" s="469" t="str">
        <f ca="1">IF(OR(HR$169&lt;SwaptionFirstMonthPosition+1,$FN178&lt;SwaptionFirstMonthPosition+1,HR$169&gt;SwaptionFirstMonthPosition+SwaptionNumOfMonths+1,$FN178&gt;SwaptionFirstMonthPosition+SwaptionNumOfMonths+1),"",IF($FN178=HR$169,1,IF($FN178&lt;HR$169,INDEX($FO$170:$IH$241,HR$169,$FN178),SUMPRODUCT(INDEX($FO$325:$IH$396,HR$169,1+SwaptionShift):INDEX($FO$325:$IH$396,HR$169,SwaptionMonthsToGo+SwaptionShift),INDEX($FO$245:$IH$316,$FN178-HR$169,73-HR$169+SwaptionShift):INDEX($FO$245:$IH$316,$FN178-HR$169,72-HR$169+SwaptionMonthsToGo+SwaptionShift))/SQRT(SUM(INDEX($FO333:$IH333,1+SwaptionShift):INDEX($FO333:$IH333,SwaptionMonthsToGo+SwaptionShift))*SUM(INDEX($FO$325:$IH$396,HR$169,1+SwaptionShift):INDEX($FO$325:$IH$396,HR$169,SwaptionMonthsToGo+SwaptionShift))))))</f>
        <v/>
      </c>
      <c r="HS178" s="469" t="str">
        <f ca="1">IF(OR(HS$169&lt;SwaptionFirstMonthPosition+1,$FN178&lt;SwaptionFirstMonthPosition+1,HS$169&gt;SwaptionFirstMonthPosition+SwaptionNumOfMonths+1,$FN178&gt;SwaptionFirstMonthPosition+SwaptionNumOfMonths+1),"",IF($FN178=HS$169,1,IF($FN178&lt;HS$169,INDEX($FO$170:$IH$241,HS$169,$FN178),SUMPRODUCT(INDEX($FO$325:$IH$396,HS$169,1+SwaptionShift):INDEX($FO$325:$IH$396,HS$169,SwaptionMonthsToGo+SwaptionShift),INDEX($FO$245:$IH$316,$FN178-HS$169,73-HS$169+SwaptionShift):INDEX($FO$245:$IH$316,$FN178-HS$169,72-HS$169+SwaptionMonthsToGo+SwaptionShift))/SQRT(SUM(INDEX($FO333:$IH333,1+SwaptionShift):INDEX($FO333:$IH333,SwaptionMonthsToGo+SwaptionShift))*SUM(INDEX($FO$325:$IH$396,HS$169,1+SwaptionShift):INDEX($FO$325:$IH$396,HS$169,SwaptionMonthsToGo+SwaptionShift))))))</f>
        <v/>
      </c>
      <c r="HT178" s="469" t="str">
        <f ca="1">IF(OR(HT$169&lt;SwaptionFirstMonthPosition+1,$FN178&lt;SwaptionFirstMonthPosition+1,HT$169&gt;SwaptionFirstMonthPosition+SwaptionNumOfMonths+1,$FN178&gt;SwaptionFirstMonthPosition+SwaptionNumOfMonths+1),"",IF($FN178=HT$169,1,IF($FN178&lt;HT$169,INDEX($FO$170:$IH$241,HT$169,$FN178),SUMPRODUCT(INDEX($FO$325:$IH$396,HT$169,1+SwaptionShift):INDEX($FO$325:$IH$396,HT$169,SwaptionMonthsToGo+SwaptionShift),INDEX($FO$245:$IH$316,$FN178-HT$169,73-HT$169+SwaptionShift):INDEX($FO$245:$IH$316,$FN178-HT$169,72-HT$169+SwaptionMonthsToGo+SwaptionShift))/SQRT(SUM(INDEX($FO333:$IH333,1+SwaptionShift):INDEX($FO333:$IH333,SwaptionMonthsToGo+SwaptionShift))*SUM(INDEX($FO$325:$IH$396,HT$169,1+SwaptionShift):INDEX($FO$325:$IH$396,HT$169,SwaptionMonthsToGo+SwaptionShift))))))</f>
        <v/>
      </c>
      <c r="HU178" s="469" t="str">
        <f ca="1">IF(OR(HU$169&lt;SwaptionFirstMonthPosition+1,$FN178&lt;SwaptionFirstMonthPosition+1,HU$169&gt;SwaptionFirstMonthPosition+SwaptionNumOfMonths+1,$FN178&gt;SwaptionFirstMonthPosition+SwaptionNumOfMonths+1),"",IF($FN178=HU$169,1,IF($FN178&lt;HU$169,INDEX($FO$170:$IH$241,HU$169,$FN178),SUMPRODUCT(INDEX($FO$325:$IH$396,HU$169,1+SwaptionShift):INDEX($FO$325:$IH$396,HU$169,SwaptionMonthsToGo+SwaptionShift),INDEX($FO$245:$IH$316,$FN178-HU$169,73-HU$169+SwaptionShift):INDEX($FO$245:$IH$316,$FN178-HU$169,72-HU$169+SwaptionMonthsToGo+SwaptionShift))/SQRT(SUM(INDEX($FO333:$IH333,1+SwaptionShift):INDEX($FO333:$IH333,SwaptionMonthsToGo+SwaptionShift))*SUM(INDEX($FO$325:$IH$396,HU$169,1+SwaptionShift):INDEX($FO$325:$IH$396,HU$169,SwaptionMonthsToGo+SwaptionShift))))))</f>
        <v/>
      </c>
      <c r="HV178" s="469" t="str">
        <f ca="1">IF(OR(HV$169&lt;SwaptionFirstMonthPosition+1,$FN178&lt;SwaptionFirstMonthPosition+1,HV$169&gt;SwaptionFirstMonthPosition+SwaptionNumOfMonths+1,$FN178&gt;SwaptionFirstMonthPosition+SwaptionNumOfMonths+1),"",IF($FN178=HV$169,1,IF($FN178&lt;HV$169,INDEX($FO$170:$IH$241,HV$169,$FN178),SUMPRODUCT(INDEX($FO$325:$IH$396,HV$169,1+SwaptionShift):INDEX($FO$325:$IH$396,HV$169,SwaptionMonthsToGo+SwaptionShift),INDEX($FO$245:$IH$316,$FN178-HV$169,73-HV$169+SwaptionShift):INDEX($FO$245:$IH$316,$FN178-HV$169,72-HV$169+SwaptionMonthsToGo+SwaptionShift))/SQRT(SUM(INDEX($FO333:$IH333,1+SwaptionShift):INDEX($FO333:$IH333,SwaptionMonthsToGo+SwaptionShift))*SUM(INDEX($FO$325:$IH$396,HV$169,1+SwaptionShift):INDEX($FO$325:$IH$396,HV$169,SwaptionMonthsToGo+SwaptionShift))))))</f>
        <v/>
      </c>
      <c r="HW178" s="469" t="str">
        <f ca="1">IF(OR(HW$169&lt;SwaptionFirstMonthPosition+1,$FN178&lt;SwaptionFirstMonthPosition+1,HW$169&gt;SwaptionFirstMonthPosition+SwaptionNumOfMonths+1,$FN178&gt;SwaptionFirstMonthPosition+SwaptionNumOfMonths+1),"",IF($FN178=HW$169,1,IF($FN178&lt;HW$169,INDEX($FO$170:$IH$241,HW$169,$FN178),SUMPRODUCT(INDEX($FO$325:$IH$396,HW$169,1+SwaptionShift):INDEX($FO$325:$IH$396,HW$169,SwaptionMonthsToGo+SwaptionShift),INDEX($FO$245:$IH$316,$FN178-HW$169,73-HW$169+SwaptionShift):INDEX($FO$245:$IH$316,$FN178-HW$169,72-HW$169+SwaptionMonthsToGo+SwaptionShift))/SQRT(SUM(INDEX($FO333:$IH333,1+SwaptionShift):INDEX($FO333:$IH333,SwaptionMonthsToGo+SwaptionShift))*SUM(INDEX($FO$325:$IH$396,HW$169,1+SwaptionShift):INDEX($FO$325:$IH$396,HW$169,SwaptionMonthsToGo+SwaptionShift))))))</f>
        <v/>
      </c>
      <c r="HX178" s="469" t="str">
        <f ca="1">IF(OR(HX$169&lt;SwaptionFirstMonthPosition+1,$FN178&lt;SwaptionFirstMonthPosition+1,HX$169&gt;SwaptionFirstMonthPosition+SwaptionNumOfMonths+1,$FN178&gt;SwaptionFirstMonthPosition+SwaptionNumOfMonths+1),"",IF($FN178=HX$169,1,IF($FN178&lt;HX$169,INDEX($FO$170:$IH$241,HX$169,$FN178),SUMPRODUCT(INDEX($FO$325:$IH$396,HX$169,1+SwaptionShift):INDEX($FO$325:$IH$396,HX$169,SwaptionMonthsToGo+SwaptionShift),INDEX($FO$245:$IH$316,$FN178-HX$169,73-HX$169+SwaptionShift):INDEX($FO$245:$IH$316,$FN178-HX$169,72-HX$169+SwaptionMonthsToGo+SwaptionShift))/SQRT(SUM(INDEX($FO333:$IH333,1+SwaptionShift):INDEX($FO333:$IH333,SwaptionMonthsToGo+SwaptionShift))*SUM(INDEX($FO$325:$IH$396,HX$169,1+SwaptionShift):INDEX($FO$325:$IH$396,HX$169,SwaptionMonthsToGo+SwaptionShift))))))</f>
        <v/>
      </c>
      <c r="HY178" s="469" t="str">
        <f ca="1">IF(OR(HY$169&lt;SwaptionFirstMonthPosition+1,$FN178&lt;SwaptionFirstMonthPosition+1,HY$169&gt;SwaptionFirstMonthPosition+SwaptionNumOfMonths+1,$FN178&gt;SwaptionFirstMonthPosition+SwaptionNumOfMonths+1),"",IF($FN178=HY$169,1,IF($FN178&lt;HY$169,INDEX($FO$170:$IH$241,HY$169,$FN178),SUMPRODUCT(INDEX($FO$325:$IH$396,HY$169,1+SwaptionShift):INDEX($FO$325:$IH$396,HY$169,SwaptionMonthsToGo+SwaptionShift),INDEX($FO$245:$IH$316,$FN178-HY$169,73-HY$169+SwaptionShift):INDEX($FO$245:$IH$316,$FN178-HY$169,72-HY$169+SwaptionMonthsToGo+SwaptionShift))/SQRT(SUM(INDEX($FO333:$IH333,1+SwaptionShift):INDEX($FO333:$IH333,SwaptionMonthsToGo+SwaptionShift))*SUM(INDEX($FO$325:$IH$396,HY$169,1+SwaptionShift):INDEX($FO$325:$IH$396,HY$169,SwaptionMonthsToGo+SwaptionShift))))))</f>
        <v/>
      </c>
      <c r="HZ178" s="469" t="str">
        <f ca="1">IF(OR(HZ$169&lt;SwaptionFirstMonthPosition+1,$FN178&lt;SwaptionFirstMonthPosition+1,HZ$169&gt;SwaptionFirstMonthPosition+SwaptionNumOfMonths+1,$FN178&gt;SwaptionFirstMonthPosition+SwaptionNumOfMonths+1),"",IF($FN178=HZ$169,1,IF($FN178&lt;HZ$169,INDEX($FO$170:$IH$241,HZ$169,$FN178),SUMPRODUCT(INDEX($FO$325:$IH$396,HZ$169,1+SwaptionShift):INDEX($FO$325:$IH$396,HZ$169,SwaptionMonthsToGo+SwaptionShift),INDEX($FO$245:$IH$316,$FN178-HZ$169,73-HZ$169+SwaptionShift):INDEX($FO$245:$IH$316,$FN178-HZ$169,72-HZ$169+SwaptionMonthsToGo+SwaptionShift))/SQRT(SUM(INDEX($FO333:$IH333,1+SwaptionShift):INDEX($FO333:$IH333,SwaptionMonthsToGo+SwaptionShift))*SUM(INDEX($FO$325:$IH$396,HZ$169,1+SwaptionShift):INDEX($FO$325:$IH$396,HZ$169,SwaptionMonthsToGo+SwaptionShift))))))</f>
        <v/>
      </c>
      <c r="IA178" s="469" t="str">
        <f ca="1">IF(OR(IA$169&lt;SwaptionFirstMonthPosition+1,$FN178&lt;SwaptionFirstMonthPosition+1,IA$169&gt;SwaptionFirstMonthPosition+SwaptionNumOfMonths+1,$FN178&gt;SwaptionFirstMonthPosition+SwaptionNumOfMonths+1),"",IF($FN178=IA$169,1,IF($FN178&lt;IA$169,INDEX($FO$170:$IH$241,IA$169,$FN178),SUMPRODUCT(INDEX($FO$325:$IH$396,IA$169,1+SwaptionShift):INDEX($FO$325:$IH$396,IA$169,SwaptionMonthsToGo+SwaptionShift),INDEX($FO$245:$IH$316,$FN178-IA$169,73-IA$169+SwaptionShift):INDEX($FO$245:$IH$316,$FN178-IA$169,72-IA$169+SwaptionMonthsToGo+SwaptionShift))/SQRT(SUM(INDEX($FO333:$IH333,1+SwaptionShift):INDEX($FO333:$IH333,SwaptionMonthsToGo+SwaptionShift))*SUM(INDEX($FO$325:$IH$396,IA$169,1+SwaptionShift):INDEX($FO$325:$IH$396,IA$169,SwaptionMonthsToGo+SwaptionShift))))))</f>
        <v/>
      </c>
      <c r="IB178" s="469" t="str">
        <f ca="1">IF(OR(IB$169&lt;SwaptionFirstMonthPosition+1,$FN178&lt;SwaptionFirstMonthPosition+1,IB$169&gt;SwaptionFirstMonthPosition+SwaptionNumOfMonths+1,$FN178&gt;SwaptionFirstMonthPosition+SwaptionNumOfMonths+1),"",IF($FN178=IB$169,1,IF($FN178&lt;IB$169,INDEX($FO$170:$IH$241,IB$169,$FN178),SUMPRODUCT(INDEX($FO$325:$IH$396,IB$169,1+SwaptionShift):INDEX($FO$325:$IH$396,IB$169,SwaptionMonthsToGo+SwaptionShift),INDEX($FO$245:$IH$316,$FN178-IB$169,73-IB$169+SwaptionShift):INDEX($FO$245:$IH$316,$FN178-IB$169,72-IB$169+SwaptionMonthsToGo+SwaptionShift))/SQRT(SUM(INDEX($FO333:$IH333,1+SwaptionShift):INDEX($FO333:$IH333,SwaptionMonthsToGo+SwaptionShift))*SUM(INDEX($FO$325:$IH$396,IB$169,1+SwaptionShift):INDEX($FO$325:$IH$396,IB$169,SwaptionMonthsToGo+SwaptionShift))))))</f>
        <v/>
      </c>
      <c r="IC178" s="469" t="str">
        <f ca="1">IF(OR(IC$169&lt;SwaptionFirstMonthPosition+1,$FN178&lt;SwaptionFirstMonthPosition+1,IC$169&gt;SwaptionFirstMonthPosition+SwaptionNumOfMonths+1,$FN178&gt;SwaptionFirstMonthPosition+SwaptionNumOfMonths+1),"",IF($FN178=IC$169,1,IF($FN178&lt;IC$169,INDEX($FO$170:$IH$241,IC$169,$FN178),SUMPRODUCT(INDEX($FO$325:$IH$396,IC$169,1+SwaptionShift):INDEX($FO$325:$IH$396,IC$169,SwaptionMonthsToGo+SwaptionShift),INDEX($FO$245:$IH$316,$FN178-IC$169,73-IC$169+SwaptionShift):INDEX($FO$245:$IH$316,$FN178-IC$169,72-IC$169+SwaptionMonthsToGo+SwaptionShift))/SQRT(SUM(INDEX($FO333:$IH333,1+SwaptionShift):INDEX($FO333:$IH333,SwaptionMonthsToGo+SwaptionShift))*SUM(INDEX($FO$325:$IH$396,IC$169,1+SwaptionShift):INDEX($FO$325:$IH$396,IC$169,SwaptionMonthsToGo+SwaptionShift))))))</f>
        <v/>
      </c>
      <c r="ID178" s="469" t="str">
        <f ca="1">IF(OR(ID$169&lt;SwaptionFirstMonthPosition+1,$FN178&lt;SwaptionFirstMonthPosition+1,ID$169&gt;SwaptionFirstMonthPosition+SwaptionNumOfMonths+1,$FN178&gt;SwaptionFirstMonthPosition+SwaptionNumOfMonths+1),"",IF($FN178=ID$169,1,IF($FN178&lt;ID$169,INDEX($FO$170:$IH$241,ID$169,$FN178),SUMPRODUCT(INDEX($FO$325:$IH$396,ID$169,1+SwaptionShift):INDEX($FO$325:$IH$396,ID$169,SwaptionMonthsToGo+SwaptionShift),INDEX($FO$245:$IH$316,$FN178-ID$169,73-ID$169+SwaptionShift):INDEX($FO$245:$IH$316,$FN178-ID$169,72-ID$169+SwaptionMonthsToGo+SwaptionShift))/SQRT(SUM(INDEX($FO333:$IH333,1+SwaptionShift):INDEX($FO333:$IH333,SwaptionMonthsToGo+SwaptionShift))*SUM(INDEX($FO$325:$IH$396,ID$169,1+SwaptionShift):INDEX($FO$325:$IH$396,ID$169,SwaptionMonthsToGo+SwaptionShift))))))</f>
        <v/>
      </c>
      <c r="IE178" s="469" t="str">
        <f ca="1">IF(OR(IE$169&lt;SwaptionFirstMonthPosition+1,$FN178&lt;SwaptionFirstMonthPosition+1,IE$169&gt;SwaptionFirstMonthPosition+SwaptionNumOfMonths+1,$FN178&gt;SwaptionFirstMonthPosition+SwaptionNumOfMonths+1),"",IF($FN178=IE$169,1,IF($FN178&lt;IE$169,INDEX($FO$170:$IH$241,IE$169,$FN178),SUMPRODUCT(INDEX($FO$325:$IH$396,IE$169,1+SwaptionShift):INDEX($FO$325:$IH$396,IE$169,SwaptionMonthsToGo+SwaptionShift),INDEX($FO$245:$IH$316,$FN178-IE$169,73-IE$169+SwaptionShift):INDEX($FO$245:$IH$316,$FN178-IE$169,72-IE$169+SwaptionMonthsToGo+SwaptionShift))/SQRT(SUM(INDEX($FO333:$IH333,1+SwaptionShift):INDEX($FO333:$IH333,SwaptionMonthsToGo+SwaptionShift))*SUM(INDEX($FO$325:$IH$396,IE$169,1+SwaptionShift):INDEX($FO$325:$IH$396,IE$169,SwaptionMonthsToGo+SwaptionShift))))))</f>
        <v/>
      </c>
      <c r="IF178" s="469" t="str">
        <f ca="1">IF(OR(IF$169&lt;SwaptionFirstMonthPosition+1,$FN178&lt;SwaptionFirstMonthPosition+1,IF$169&gt;SwaptionFirstMonthPosition+SwaptionNumOfMonths+1,$FN178&gt;SwaptionFirstMonthPosition+SwaptionNumOfMonths+1),"",IF($FN178=IF$169,1,IF($FN178&lt;IF$169,INDEX($FO$170:$IH$241,IF$169,$FN178),SUMPRODUCT(INDEX($FO$325:$IH$396,IF$169,1+SwaptionShift):INDEX($FO$325:$IH$396,IF$169,SwaptionMonthsToGo+SwaptionShift),INDEX($FO$245:$IH$316,$FN178-IF$169,73-IF$169+SwaptionShift):INDEX($FO$245:$IH$316,$FN178-IF$169,72-IF$169+SwaptionMonthsToGo+SwaptionShift))/SQRT(SUM(INDEX($FO333:$IH333,1+SwaptionShift):INDEX($FO333:$IH333,SwaptionMonthsToGo+SwaptionShift))*SUM(INDEX($FO$325:$IH$396,IF$169,1+SwaptionShift):INDEX($FO$325:$IH$396,IF$169,SwaptionMonthsToGo+SwaptionShift))))))</f>
        <v/>
      </c>
      <c r="IG178" s="469" t="str">
        <f ca="1">IF(OR(IG$169&lt;SwaptionFirstMonthPosition+1,$FN178&lt;SwaptionFirstMonthPosition+1,IG$169&gt;SwaptionFirstMonthPosition+SwaptionNumOfMonths+1,$FN178&gt;SwaptionFirstMonthPosition+SwaptionNumOfMonths+1),"",IF($FN178=IG$169,1,IF($FN178&lt;IG$169,INDEX($FO$170:$IH$241,IG$169,$FN178),SUMPRODUCT(INDEX($FO$325:$IH$396,IG$169,1+SwaptionShift):INDEX($FO$325:$IH$396,IG$169,SwaptionMonthsToGo+SwaptionShift),INDEX($FO$245:$IH$316,$FN178-IG$169,73-IG$169+SwaptionShift):INDEX($FO$245:$IH$316,$FN178-IG$169,72-IG$169+SwaptionMonthsToGo+SwaptionShift))/SQRT(SUM(INDEX($FO333:$IH333,1+SwaptionShift):INDEX($FO333:$IH333,SwaptionMonthsToGo+SwaptionShift))*SUM(INDEX($FO$325:$IH$396,IG$169,1+SwaptionShift):INDEX($FO$325:$IH$396,IG$169,SwaptionMonthsToGo+SwaptionShift))))))</f>
        <v/>
      </c>
      <c r="IH178" s="662" t="str">
        <f ca="1">IF(OR(IH$169&lt;SwaptionFirstMonthPosition+1,$FN178&lt;SwaptionFirstMonthPosition+1,IH$169&gt;SwaptionFirstMonthPosition+SwaptionNumOfMonths+1,$FN178&gt;SwaptionFirstMonthPosition+SwaptionNumOfMonths+1),"",IF($FN178=IH$169,1,IF($FN178&lt;IH$169,INDEX($FO$170:$IH$241,IH$169,$FN178),SUMPRODUCT(INDEX($FO$325:$IH$396,IH$169,1+SwaptionShift):INDEX($FO$325:$IH$396,IH$169,SwaptionMonthsToGo+SwaptionShift),INDEX($FO$245:$IH$316,$FN178-IH$169,73-IH$169+SwaptionShift):INDEX($FO$245:$IH$316,$FN178-IH$169,72-IH$169+SwaptionMonthsToGo+SwaptionShift))/SQRT(SUM(INDEX($FO333:$IH333,1+SwaptionShift):INDEX($FO333:$IH333,SwaptionMonthsToGo+SwaptionShift))*SUM(INDEX($FO$325:$IH$396,IH$169,1+SwaptionShift):INDEX($FO$325:$IH$396,IH$169,SwaptionMonthsToGo+SwaptionShift))))))</f>
        <v/>
      </c>
      <c r="II178" s="242"/>
    </row>
    <row r="179" spans="8:243">
      <c r="H179" s="49" t="e">
        <f t="shared" ca="1" si="529"/>
        <v>#N/A</v>
      </c>
      <c r="I179" s="369">
        <f t="shared" si="530"/>
        <v>41852</v>
      </c>
      <c r="J179" s="367">
        <v>23.3599999999999</v>
      </c>
      <c r="K179" s="101" t="s">
        <v>267</v>
      </c>
      <c r="L179" s="382">
        <f t="shared" si="531"/>
        <v>23.359999999999904</v>
      </c>
      <c r="M179" s="163">
        <v>0.14749999999999999</v>
      </c>
      <c r="N179" s="372">
        <v>0</v>
      </c>
      <c r="O179" s="163">
        <f t="shared" si="488"/>
        <v>0.14749999999999999</v>
      </c>
      <c r="P179" s="367">
        <v>21.919173192110101</v>
      </c>
      <c r="Q179" s="101" t="s">
        <v>267</v>
      </c>
      <c r="R179" s="367">
        <f t="shared" ca="1" si="549"/>
        <v>21.919173192110069</v>
      </c>
      <c r="S179" s="814">
        <f t="shared" si="474"/>
        <v>0.35021717308731221</v>
      </c>
      <c r="T179" s="813">
        <f t="shared" si="550"/>
        <v>0.99999999586005683</v>
      </c>
      <c r="U179" s="532">
        <f t="shared" si="551"/>
        <v>0.99999999999999978</v>
      </c>
      <c r="V179" s="379">
        <v>0</v>
      </c>
      <c r="W179" s="424">
        <f t="shared" ref="W179:W196" si="576">(J180*AJ179+J181*AK179)/AI179</f>
        <v>23.393333333333235</v>
      </c>
      <c r="X179" s="405">
        <f t="shared" ref="X179:X196" si="577">(L180*AJ179+L181*AK179)/AI179</f>
        <v>23.393333333333235</v>
      </c>
      <c r="Y179" s="313">
        <f t="shared" ref="Y179:Y196" si="578">IF(Q181="extra",W179-AA179,(P180*AM179+P181*AN179)/AL179)</f>
        <v>22.074933333333234</v>
      </c>
      <c r="Z179" s="313">
        <f t="shared" ref="Z179:Z196" ca="1" si="579">IF(Q181="extra",X179-AB179,(R180*AM179+R181*AN179)/AL179)</f>
        <v>22.074933333333234</v>
      </c>
      <c r="AA179" s="419">
        <f t="shared" si="493"/>
        <v>1.3184</v>
      </c>
      <c r="AB179" s="423">
        <f t="shared" ca="1" si="494"/>
        <v>1.3184</v>
      </c>
      <c r="AC179" s="221">
        <v>41840</v>
      </c>
      <c r="AD179" s="221">
        <v>41836</v>
      </c>
      <c r="AE179" s="221">
        <v>41835</v>
      </c>
      <c r="AF179" s="221">
        <v>41831</v>
      </c>
      <c r="AG179" s="241" t="s">
        <v>497</v>
      </c>
      <c r="AH179" s="239" t="s">
        <v>497</v>
      </c>
      <c r="AI179" s="141">
        <v>21</v>
      </c>
      <c r="AJ179" s="41">
        <v>14</v>
      </c>
      <c r="AK179" s="41">
        <v>7</v>
      </c>
      <c r="AL179" s="285">
        <v>21</v>
      </c>
      <c r="AM179" s="41">
        <v>10</v>
      </c>
      <c r="AN179" s="142">
        <v>11</v>
      </c>
      <c r="AO179" s="364">
        <v>6.1057224542670201E-2</v>
      </c>
      <c r="AP179" s="145">
        <f t="shared" ca="1" si="532"/>
        <v>0.44684674601593</v>
      </c>
      <c r="AQ179" s="364">
        <v>5.4157634708538196E-2</v>
      </c>
      <c r="AR179" s="145">
        <f t="shared" ca="1" si="552"/>
        <v>0.49214264808668085</v>
      </c>
      <c r="AS179" s="264">
        <f t="shared" ref="AS179:AS196" si="580">(O180*AJ179+O181*AK179)/AI179</f>
        <v>0.14696666666666666</v>
      </c>
      <c r="AT179" s="149">
        <f t="shared" si="533"/>
        <v>0.14749999999999999</v>
      </c>
      <c r="AU179" s="149">
        <f t="shared" si="496"/>
        <v>0.14689047619047618</v>
      </c>
      <c r="AV179" s="263">
        <f t="shared" ca="1" si="560"/>
        <v>0.14535386526785604</v>
      </c>
      <c r="AW179" s="150" t="str">
        <f t="shared" ref="AW179:AW242" ca="1" si="581">IF($I179-DateToday+15&gt;=$T$8,"",IF($I179-DateToday+15&lt;$T$5,1,MATCH($I179-DateToday+15,$T$5:$T$8)))</f>
        <v/>
      </c>
      <c r="AX179" s="149">
        <f t="shared" ca="1" si="553"/>
        <v>6.8928041765068436E-3</v>
      </c>
      <c r="AY179" s="149">
        <f t="shared" ca="1" si="554"/>
        <v>2.4717913982938182E-3</v>
      </c>
      <c r="AZ179" s="149">
        <f t="shared" ca="1" si="555"/>
        <v>2.336767261342393E-3</v>
      </c>
      <c r="BA179" s="149">
        <f t="shared" ca="1" si="556"/>
        <v>1.0000000000000755E-4</v>
      </c>
      <c r="BB179" s="149">
        <f t="shared" ca="1" si="557"/>
        <v>1.0000000000000755E-4</v>
      </c>
      <c r="BC179" s="149">
        <f t="shared" ca="1" si="558"/>
        <v>1.0000000000000755E-4</v>
      </c>
      <c r="BD179" s="143">
        <f t="shared" ref="BD179:BD196" ca="1" si="582">IF(OR(DateStart&gt;=I180,DateEnd&lt;I179),0,IF(VolumeOverrideFlag,V179,Volume))</f>
        <v>0</v>
      </c>
      <c r="BE179" s="144">
        <f t="shared" ref="BE179:BE196" ca="1" si="583">IF(OR(DateStart2&gt;=I180,DateEnd2&lt;I179),0,IF(VolumeOverrideFlag,V179,VolumeSwaption))</f>
        <v>0</v>
      </c>
      <c r="BF179" s="40">
        <f t="shared" ref="BF179:BF196" si="584">YEAR(I179)</f>
        <v>2014</v>
      </c>
      <c r="BG179" s="139">
        <f t="shared" ref="BG179:BG196" si="585">MONTH(I179)</f>
        <v>8</v>
      </c>
      <c r="BH179" s="140">
        <f t="shared" ref="BH179:BH196" ca="1" si="586">AD179-DateToday+1</f>
        <v>4846</v>
      </c>
      <c r="BI179" s="304">
        <f t="shared" ca="1" si="570"/>
        <v>13.311430527036277</v>
      </c>
      <c r="BJ179" s="42">
        <f t="shared" ca="1" si="503"/>
        <v>13.366187542778919</v>
      </c>
      <c r="BK179" s="42">
        <f t="shared" ca="1" si="504"/>
        <v>13.368925393566052</v>
      </c>
      <c r="BL179" s="42">
        <f t="shared" ca="1" si="571"/>
        <v>13.393566050650239</v>
      </c>
      <c r="BM179" s="285">
        <f t="shared" si="572"/>
        <v>21</v>
      </c>
      <c r="BN179" s="41">
        <f t="shared" si="573"/>
        <v>14</v>
      </c>
      <c r="BO179" s="41">
        <f t="shared" si="574"/>
        <v>7</v>
      </c>
      <c r="BP179" s="297" t="str">
        <f t="shared" ca="1" si="505"/>
        <v/>
      </c>
      <c r="BQ179" s="297" t="str">
        <f t="shared" ca="1" si="506"/>
        <v/>
      </c>
      <c r="BR179" s="299" t="str">
        <f t="shared" ca="1" si="507"/>
        <v/>
      </c>
      <c r="BS179" s="153" t="str">
        <f t="shared" ca="1" si="508"/>
        <v/>
      </c>
      <c r="BT179" s="153" t="str">
        <f t="shared" ca="1" si="509"/>
        <v/>
      </c>
      <c r="BU179" s="300" t="str">
        <f t="shared" ca="1" si="510"/>
        <v/>
      </c>
      <c r="BV179" s="301" t="str">
        <f t="shared" ca="1" si="511"/>
        <v/>
      </c>
      <c r="BW179" s="300" t="str">
        <f t="shared" ca="1" si="512"/>
        <v/>
      </c>
      <c r="BX179" s="301" t="str">
        <f t="shared" ca="1" si="513"/>
        <v/>
      </c>
      <c r="BY179" s="146" t="str">
        <f t="shared" ca="1" si="514"/>
        <v/>
      </c>
      <c r="BZ179" s="146" t="str">
        <f t="shared" ca="1" si="515"/>
        <v/>
      </c>
      <c r="CA179" s="146" t="str">
        <f t="shared" ca="1" si="516"/>
        <v/>
      </c>
      <c r="CB179" s="146" t="str">
        <f t="shared" ca="1" si="517"/>
        <v/>
      </c>
      <c r="CC179" s="302">
        <v>1</v>
      </c>
      <c r="CD179" s="154">
        <f ca="1">IF(BD179,_xll.xCrudeAPO(BS179,BT179,BY179,BZ179,S180,S181,BI179,BL179,BN179,BO179,0,Strike1,AO179,CC179,0,BL179,IF(OptControl=4,0,1),0,1),0)</f>
        <v>0</v>
      </c>
      <c r="CE179" s="155">
        <f ca="1">IF(BD179,_xll.xCrudeAPO(BS179,BT179,BY179,BZ179,S180,S181,BI179,BL179,BN179,BO179,0,Strike1,AO179,CC179,0,BL179,IF(OptControl=4,0,1),1,1)+_xll.xCrudeAPO(BS179,BT179,BY179,BZ179,S180,S181,BI179,BL179,BN179,BO179,0,Strike1,AO179,CC179,0,BL179,IF(OptControl=4,0,1),1,2)+IF(OR(VolSkewFlag=2,ABS(BQ179)&lt;0.0001),0,IF(BQ179&gt;0,-1,1)*CF179*Strike1/BP179^2*BW179/10%),0)</f>
        <v>0</v>
      </c>
      <c r="CF179" s="155">
        <f ca="1">IF(BD179,(_xll.xCrudeAPO(BS179,BT179,BY179,BZ179,S180,S181,BI179,BL179,BN179,BO179,0,Strike1,AO179,CC179,0,BL179,IF(OptControl=4,0,1),3,1)+_xll.xCrudeAPO(BS179,BT179,BY179,BZ179,S180,S181,BI179,BL179,BN179,BO179,0,Strike1,AO179,CC179,0,BL179,IF(OptControl=4,0,1),3,2))/100,0)</f>
        <v>0</v>
      </c>
      <c r="CG179" s="155">
        <f ca="1">IF(BD179,_xll.xCrudeAPO(BS179,BT179,BY179,BZ179,S180,S181,BI179-DaysForThetaCalculation/365.25,BL179-DaysForThetaCalculation/365.25,BN179,BO179,0,Strike1,AO179,CC179,0,BL179,IF(OptControl=4,0,1),0,1)-_xll.xCrudeAPO(BS179,BT179,BY179,BZ179,S180,S181,BI179,BL179,BN179,BO179,0,Strike1,AO179,CC179,0,BL179,IF(OptControl=4,0,1),0,1),0)</f>
        <v>0</v>
      </c>
      <c r="CH179" s="303">
        <f ca="1">IF(BD179,_xll.xCrudeAPO(BS179,BT179,CA179,CB179,S180,S181,BI179,BL179,BN179,BO179,0,Strike2,AO179,CC179,0,BL179,IF(OptControl=3,1,0),0,1),0)</f>
        <v>0</v>
      </c>
      <c r="CI179" s="155">
        <f ca="1">IF(BD179,_xll.xCrudeAPO(BS179,BT179,CA179,CB179,S180,S181,BI179,BL179,BN179,BO179,0,Strike2,AO179,CC179,0,BL179,IF(OptControl=3,1,0),1,1)+_xll.xCrudeAPO(BS179,BT179,CA179,CB179,S180,S181,BI179,BL179,BN179,BO179,0,Strike2,AO179,CC179,0,BL179,IF(OptControl=3,1,0),1,2)+IF(OR(VolSkewFlag=2,ABS(BR179)&lt;0.0001),0,IF(BR179&gt;0,-1,1)*CJ179*Strike2/BP179^2*BX179/10%),0)</f>
        <v>0</v>
      </c>
      <c r="CJ179" s="155">
        <f ca="1">IF(BD179,(_xll.xCrudeAPO(BS179,BT179,CA179,CB179,S180,S181,BI179,BL179,BN179,BO179,0,Strike2,AO179,CC179,0,BL179,IF(OptControl=3,1,0),3,1)+_xll.xCrudeAPO(BS179,BT179,CA179,CB179,S180,S181,BI179,BL179,BN179,BO179,0,Strike2,AO179,CC179,0,BL179,IF(OptControl=3,1,0),3,2))/100,0)</f>
        <v>0</v>
      </c>
      <c r="CK179" s="156">
        <f ca="1">IF(BD179,_xll.xCrudeAPO(BS179,BT179,CA179,CB179,S180,S181,BI179-DaysForThetaCalculation/365.25,BL179-DaysForThetaCalculation/365.25,BN179,BO179,0,Strike2,AO179,CC179,0,BL179,IF(OptControl=3,1,0),0,1)-_xll.xCrudeAPO(BS179,BT179,CA179,CB179,S180,S181,BI179,BL179,BN179,BO179,0,Strike2,AO179,CC179,0,BL179,IF(OptControl=3,1,0),0,1),0)</f>
        <v>0</v>
      </c>
      <c r="CL179" s="51"/>
      <c r="CM179" s="779" t="str">
        <f t="shared" ca="1" si="534"/>
        <v/>
      </c>
      <c r="CN179" s="783" t="str">
        <f t="shared" ca="1" si="535"/>
        <v/>
      </c>
      <c r="CO179" s="780" t="str">
        <f t="shared" ca="1" si="536"/>
        <v/>
      </c>
      <c r="CP179" s="780" t="str">
        <f t="shared" ca="1" si="537"/>
        <v/>
      </c>
      <c r="CQ179" s="780" t="str">
        <f t="shared" ca="1" si="538"/>
        <v/>
      </c>
      <c r="CR179" s="780" t="str">
        <f t="shared" ca="1" si="539"/>
        <v/>
      </c>
      <c r="CS179" s="781" t="str">
        <f t="shared" ca="1" si="540"/>
        <v/>
      </c>
      <c r="CT179" s="782" t="str">
        <f t="shared" ca="1" si="541"/>
        <v/>
      </c>
      <c r="CU179" s="782" t="str">
        <f t="shared" ca="1" si="542"/>
        <v/>
      </c>
      <c r="CV179" s="155">
        <f ca="1">IF(BD179,_xll.EURO(CN179,Strike1,AO179,AO179,CT179,CM179,IF(OptControl=4,0,1),0),0)</f>
        <v>0</v>
      </c>
      <c r="CW179" s="155">
        <f ca="1">IF(BD179,_xll.EURO(CN179,Strike1,AO179,AO179,CT179,CM179,IF(OptControl=4,0,1),1)+IF(OR(VolSkewFlag=2,ABS(CO179)&lt;0.0001),0,IF(CO179&gt;0,-1,1)*CX179*100*Strike1/CN179^2*CQ179/10%),0)</f>
        <v>0</v>
      </c>
      <c r="CX179" s="155">
        <f ca="1">IF(BD179,_xll.EURO(CN179,Strike1,AO179,AO179,CT179,CM179,IF(OptControl=4,0,1),3)/100,0)</f>
        <v>0</v>
      </c>
      <c r="CY179" s="155">
        <f ca="1">IF(BD179,_xll.EURO(CN179,Strike1,AO179,AO179,CT179,CM179,IF(OptControl=4,0,1),0)-_xll.EURO(CN179,Strike1,AO179,AO179,CT179,CM179-1,IF(OptControl=4,0,1),0),0)</f>
        <v>0</v>
      </c>
      <c r="CZ179" s="155">
        <f ca="1">IF(BD179,_xll.EURO(CN179,Strike2,AO179,AO179,CU179,CM179,IF(OptControl=3,1,0),0),0)</f>
        <v>0</v>
      </c>
      <c r="DA179" s="155">
        <f ca="1">IF(BD179,_xll.EURO(CN179,Strike2,AO179,AO179,CU179,CM179,IF(OptControl=3,1,0),1)+IF(OR(VolSkewFlag=2,ABS(CP179)&lt;0.0001),0,IF(CP179&gt;0,-1,1)*DB179*100*Strike2/CN179^2*CR179/10%),0)</f>
        <v>0</v>
      </c>
      <c r="DB179" s="155">
        <f ca="1">IF(BD179,_xll.EURO(CN179,Strike2,AO179,AO179,CU179,CM179,IF(OptControl=3,1,0),3)/100,0)</f>
        <v>0</v>
      </c>
      <c r="DC179" s="156">
        <f ca="1">IF(BD179,_xll.EURO(CN179,Strike2,AO179,AO179,CU179,CM179,IF(OptControl=3,1,0),0)-_xll.EURO(CN179,Strike2,AO179,AO179,CU179,CM179-1,IF(OptControl=3,1,0),0),0)</f>
        <v>0</v>
      </c>
      <c r="DE179" s="651">
        <f t="shared" ca="1" si="543"/>
        <v>41760</v>
      </c>
      <c r="DF179" s="465">
        <v>1E-4</v>
      </c>
      <c r="DG179" s="649">
        <v>1E-4</v>
      </c>
      <c r="DH179" s="650">
        <f t="shared" ref="DH179:DH196" ca="1" si="587">DE179</f>
        <v>41760</v>
      </c>
      <c r="DI179" s="465">
        <v>1E-4</v>
      </c>
      <c r="DJ179" s="649">
        <v>1E-4</v>
      </c>
      <c r="DK179" s="651">
        <f t="shared" ref="DK179:DK196" ca="1" si="588">DE179</f>
        <v>41760</v>
      </c>
      <c r="DL179" s="652">
        <f t="shared" ref="DL179:DL196" si="589">DI179+BrentPhyBrentSpread</f>
        <v>5.0100000000000006E-2</v>
      </c>
      <c r="DM179" s="651">
        <f t="shared" ca="1" si="544"/>
        <v>41760</v>
      </c>
      <c r="DN179" s="563">
        <f t="shared" si="545"/>
        <v>-0.12990000000000002</v>
      </c>
      <c r="DO179" s="803">
        <v>-0.13</v>
      </c>
      <c r="DP179" s="650">
        <f t="shared" ref="DP179:DP196" ca="1" si="590">DE179</f>
        <v>41760</v>
      </c>
      <c r="DQ179" s="653">
        <v>1E-4</v>
      </c>
      <c r="DR179" s="590">
        <v>1E-4</v>
      </c>
      <c r="DS179" s="650">
        <f t="shared" ref="DS179:DS196" ca="1" si="591">DE179</f>
        <v>41760</v>
      </c>
      <c r="DT179" s="653">
        <v>1E-4</v>
      </c>
      <c r="DU179" s="590">
        <v>1E-4</v>
      </c>
      <c r="DV179" s="651">
        <f t="shared" ref="DV179:DV196" ca="1" si="592">DE179</f>
        <v>41760</v>
      </c>
      <c r="DW179" s="590">
        <v>1E-4</v>
      </c>
      <c r="DX179" s="651">
        <f t="shared" ca="1" si="546"/>
        <v>41760</v>
      </c>
      <c r="DY179" s="590">
        <f t="shared" si="547"/>
        <v>1E-4</v>
      </c>
      <c r="DZ179" s="1"/>
      <c r="EA179" s="857"/>
      <c r="EB179" s="857"/>
      <c r="EC179" s="857"/>
      <c r="ED179" s="868" t="e">
        <f t="shared" ca="1" si="566"/>
        <v>#NAME?</v>
      </c>
      <c r="EE179" s="863" t="e">
        <f t="shared" ca="1" si="524"/>
        <v>#NAME?</v>
      </c>
      <c r="EF179" s="590" t="e">
        <f t="shared" ca="1" si="525"/>
        <v>#NAME?</v>
      </c>
      <c r="EG179" s="862" t="str">
        <f t="shared" ref="EG179:EG196" ca="1" si="593">IF(BD179,IF(Underlying=1,AS179,AU179),"")</f>
        <v/>
      </c>
      <c r="EH179" s="114" t="str">
        <f t="shared" ca="1" si="527"/>
        <v/>
      </c>
      <c r="EI179" s="109" t="str">
        <f t="shared" ca="1" si="528"/>
        <v/>
      </c>
      <c r="EJ179" s="115">
        <f ca="1">IF(BD179,_xll.xASN(BP179,Strike1,AO179,EH179,0,BM179,0,BI179,BL179,IF(OptControl=4,0,1),0),0)</f>
        <v>0</v>
      </c>
      <c r="EK179" s="108">
        <f ca="1">IF(BD179,_xll.xASN(BP179,Strike2,AO179,EI179,0,BM179,0,BI179,BL179,IF(OptControl=3,1,0),0),0)</f>
        <v>0</v>
      </c>
      <c r="EP179" s="53"/>
      <c r="EQ179" s="1"/>
      <c r="ER179" s="103"/>
      <c r="ES179" s="103"/>
      <c r="ET179" s="1"/>
      <c r="EU179" s="667" t="s">
        <v>391</v>
      </c>
      <c r="EW179" s="445"/>
      <c r="EX179" s="36"/>
      <c r="EY179" s="104"/>
      <c r="EZ179" s="465"/>
      <c r="FA179" s="446"/>
      <c r="FB179" s="446"/>
      <c r="FC179" s="242"/>
      <c r="FD179" s="242"/>
      <c r="FE179" s="242"/>
      <c r="FF179" s="242"/>
      <c r="FG179" s="242"/>
      <c r="FH179" s="242"/>
      <c r="FI179" s="242"/>
      <c r="FJ179" s="242"/>
      <c r="FK179" s="242"/>
      <c r="FL179" s="242"/>
      <c r="FM179" s="242"/>
      <c r="FN179" s="657">
        <v>10</v>
      </c>
      <c r="FO179" s="469" t="str">
        <f ca="1">IF(OR(FO$169&lt;SwaptionFirstMonthPosition+1,$FN179&lt;SwaptionFirstMonthPosition+1,FO$169&gt;SwaptionFirstMonthPosition+SwaptionNumOfMonths+1,$FN179&gt;SwaptionFirstMonthPosition+SwaptionNumOfMonths+1),"",IF($FN179=FO$169,1,IF($FN179&lt;FO$169,INDEX($FO$170:$IH$241,FO$169,$FN179),SUMPRODUCT(INDEX($FO$325:$IH$396,FO$169,1+SwaptionShift):INDEX($FO$325:$IH$396,FO$169,SwaptionMonthsToGo+SwaptionShift),INDEX($FO$245:$IH$316,$FN179-FO$169,73-FO$169+SwaptionShift):INDEX($FO$245:$IH$316,$FN179-FO$169,72-FO$169+SwaptionMonthsToGo+SwaptionShift))/SQRT(SUM(INDEX($FO334:$IH334,1+SwaptionShift):INDEX($FO334:$IH334,SwaptionMonthsToGo+SwaptionShift))*SUM(INDEX($FO$325:$IH$396,FO$169,1+SwaptionShift):INDEX($FO$325:$IH$396,FO$169,SwaptionMonthsToGo+SwaptionShift))))))</f>
        <v/>
      </c>
      <c r="FP179" s="469">
        <f ca="1">IF(OR(FP$169&lt;SwaptionFirstMonthPosition+1,$FN179&lt;SwaptionFirstMonthPosition+1,FP$169&gt;SwaptionFirstMonthPosition+SwaptionNumOfMonths+1,$FN179&gt;SwaptionFirstMonthPosition+SwaptionNumOfMonths+1),"",IF($FN179=FP$169,1,IF($FN179&lt;FP$169,INDEX($FO$170:$IH$241,FP$169,$FN179),SUMPRODUCT(INDEX($FO$325:$IH$396,FP$169,1+SwaptionShift):INDEX($FO$325:$IH$396,FP$169,SwaptionMonthsToGo+SwaptionShift),INDEX($FO$245:$IH$316,$FN179-FP$169,73-FP$169+SwaptionShift):INDEX($FO$245:$IH$316,$FN179-FP$169,72-FP$169+SwaptionMonthsToGo+SwaptionShift))/SQRT(SUM(INDEX($FO334:$IH334,1+SwaptionShift):INDEX($FO334:$IH334,SwaptionMonthsToGo+SwaptionShift))*SUM(INDEX($FO$325:$IH$396,FP$169,1+SwaptionShift):INDEX($FO$325:$IH$396,FP$169,SwaptionMonthsToGo+SwaptionShift))))))</f>
        <v>0.91624218599321239</v>
      </c>
      <c r="FQ179" s="469">
        <f ca="1">IF(OR(FQ$169&lt;SwaptionFirstMonthPosition+1,$FN179&lt;SwaptionFirstMonthPosition+1,FQ$169&gt;SwaptionFirstMonthPosition+SwaptionNumOfMonths+1,$FN179&gt;SwaptionFirstMonthPosition+SwaptionNumOfMonths+1),"",IF($FN179=FQ$169,1,IF($FN179&lt;FQ$169,INDEX($FO$170:$IH$241,FQ$169,$FN179),SUMPRODUCT(INDEX($FO$325:$IH$396,FQ$169,1+SwaptionShift):INDEX($FO$325:$IH$396,FQ$169,SwaptionMonthsToGo+SwaptionShift),INDEX($FO$245:$IH$316,$FN179-FQ$169,73-FQ$169+SwaptionShift):INDEX($FO$245:$IH$316,$FN179-FQ$169,72-FQ$169+SwaptionMonthsToGo+SwaptionShift))/SQRT(SUM(INDEX($FO334:$IH334,1+SwaptionShift):INDEX($FO334:$IH334,SwaptionMonthsToGo+SwaptionShift))*SUM(INDEX($FO$325:$IH$396,FQ$169,1+SwaptionShift):INDEX($FO$325:$IH$396,FQ$169,SwaptionMonthsToGo+SwaptionShift))))))</f>
        <v>0.9340641838902749</v>
      </c>
      <c r="FR179" s="469">
        <f ca="1">IF(OR(FR$169&lt;SwaptionFirstMonthPosition+1,$FN179&lt;SwaptionFirstMonthPosition+1,FR$169&gt;SwaptionFirstMonthPosition+SwaptionNumOfMonths+1,$FN179&gt;SwaptionFirstMonthPosition+SwaptionNumOfMonths+1),"",IF($FN179=FR$169,1,IF($FN179&lt;FR$169,INDEX($FO$170:$IH$241,FR$169,$FN179),SUMPRODUCT(INDEX($FO$325:$IH$396,FR$169,1+SwaptionShift):INDEX($FO$325:$IH$396,FR$169,SwaptionMonthsToGo+SwaptionShift),INDEX($FO$245:$IH$316,$FN179-FR$169,73-FR$169+SwaptionShift):INDEX($FO$245:$IH$316,$FN179-FR$169,72-FR$169+SwaptionMonthsToGo+SwaptionShift))/SQRT(SUM(INDEX($FO334:$IH334,1+SwaptionShift):INDEX($FO334:$IH334,SwaptionMonthsToGo+SwaptionShift))*SUM(INDEX($FO$325:$IH$396,FR$169,1+SwaptionShift):INDEX($FO$325:$IH$396,FR$169,SwaptionMonthsToGo+SwaptionShift))))))</f>
        <v>0.94889117339970475</v>
      </c>
      <c r="FS179" s="469">
        <f ca="1">IF(OR(FS$169&lt;SwaptionFirstMonthPosition+1,$FN179&lt;SwaptionFirstMonthPosition+1,FS$169&gt;SwaptionFirstMonthPosition+SwaptionNumOfMonths+1,$FN179&gt;SwaptionFirstMonthPosition+SwaptionNumOfMonths+1),"",IF($FN179=FS$169,1,IF($FN179&lt;FS$169,INDEX($FO$170:$IH$241,FS$169,$FN179),SUMPRODUCT(INDEX($FO$325:$IH$396,FS$169,1+SwaptionShift):INDEX($FO$325:$IH$396,FS$169,SwaptionMonthsToGo+SwaptionShift),INDEX($FO$245:$IH$316,$FN179-FS$169,73-FS$169+SwaptionShift):INDEX($FO$245:$IH$316,$FN179-FS$169,72-FS$169+SwaptionMonthsToGo+SwaptionShift))/SQRT(SUM(INDEX($FO334:$IH334,1+SwaptionShift):INDEX($FO334:$IH334,SwaptionMonthsToGo+SwaptionShift))*SUM(INDEX($FO$325:$IH$396,FS$169,1+SwaptionShift):INDEX($FO$325:$IH$396,FS$169,SwaptionMonthsToGo+SwaptionShift))))))</f>
        <v>0.96129075932042873</v>
      </c>
      <c r="FT179" s="469">
        <f ca="1">IF(OR(FT$169&lt;SwaptionFirstMonthPosition+1,$FN179&lt;SwaptionFirstMonthPosition+1,FT$169&gt;SwaptionFirstMonthPosition+SwaptionNumOfMonths+1,$FN179&gt;SwaptionFirstMonthPosition+SwaptionNumOfMonths+1),"",IF($FN179=FT$169,1,IF($FN179&lt;FT$169,INDEX($FO$170:$IH$241,FT$169,$FN179),SUMPRODUCT(INDEX($FO$325:$IH$396,FT$169,1+SwaptionShift):INDEX($FO$325:$IH$396,FT$169,SwaptionMonthsToGo+SwaptionShift),INDEX($FO$245:$IH$316,$FN179-FT$169,73-FT$169+SwaptionShift):INDEX($FO$245:$IH$316,$FN179-FT$169,72-FT$169+SwaptionMonthsToGo+SwaptionShift))/SQRT(SUM(INDEX($FO334:$IH334,1+SwaptionShift):INDEX($FO334:$IH334,SwaptionMonthsToGo+SwaptionShift))*SUM(INDEX($FO$325:$IH$396,FT$169,1+SwaptionShift):INDEX($FO$325:$IH$396,FT$169,SwaptionMonthsToGo+SwaptionShift))))))</f>
        <v>0.97171895483129078</v>
      </c>
      <c r="FU179" s="469">
        <f ca="1">IF(OR(FU$169&lt;SwaptionFirstMonthPosition+1,$FN179&lt;SwaptionFirstMonthPosition+1,FU$169&gt;SwaptionFirstMonthPosition+SwaptionNumOfMonths+1,$FN179&gt;SwaptionFirstMonthPosition+SwaptionNumOfMonths+1),"",IF($FN179=FU$169,1,IF($FN179&lt;FU$169,INDEX($FO$170:$IH$241,FU$169,$FN179),SUMPRODUCT(INDEX($FO$325:$IH$396,FU$169,1+SwaptionShift):INDEX($FO$325:$IH$396,FU$169,SwaptionMonthsToGo+SwaptionShift),INDEX($FO$245:$IH$316,$FN179-FU$169,73-FU$169+SwaptionShift):INDEX($FO$245:$IH$316,$FN179-FU$169,72-FU$169+SwaptionMonthsToGo+SwaptionShift))/SQRT(SUM(INDEX($FO334:$IH334,1+SwaptionShift):INDEX($FO334:$IH334,SwaptionMonthsToGo+SwaptionShift))*SUM(INDEX($FO$325:$IH$396,FU$169,1+SwaptionShift):INDEX($FO$325:$IH$396,FU$169,SwaptionMonthsToGo+SwaptionShift))))))</f>
        <v>0.98054062244140261</v>
      </c>
      <c r="FV179" s="469">
        <f ca="1">IF(OR(FV$169&lt;SwaptionFirstMonthPosition+1,$FN179&lt;SwaptionFirstMonthPosition+1,FV$169&gt;SwaptionFirstMonthPosition+SwaptionNumOfMonths+1,$FN179&gt;SwaptionFirstMonthPosition+SwaptionNumOfMonths+1),"",IF($FN179=FV$169,1,IF($FN179&lt;FV$169,INDEX($FO$170:$IH$241,FV$169,$FN179),SUMPRODUCT(INDEX($FO$325:$IH$396,FV$169,1+SwaptionShift):INDEX($FO$325:$IH$396,FV$169,SwaptionMonthsToGo+SwaptionShift),INDEX($FO$245:$IH$316,$FN179-FV$169,73-FV$169+SwaptionShift):INDEX($FO$245:$IH$316,$FN179-FV$169,72-FV$169+SwaptionMonthsToGo+SwaptionShift))/SQRT(SUM(INDEX($FO334:$IH334,1+SwaptionShift):INDEX($FO334:$IH334,SwaptionMonthsToGo+SwaptionShift))*SUM(INDEX($FO$325:$IH$396,FV$169,1+SwaptionShift):INDEX($FO$325:$IH$396,FV$169,SwaptionMonthsToGo+SwaptionShift))))))</f>
        <v>0.98804720254645362</v>
      </c>
      <c r="FW179" s="469">
        <f ca="1">IF(OR(FW$169&lt;SwaptionFirstMonthPosition+1,$FN179&lt;SwaptionFirstMonthPosition+1,FW$169&gt;SwaptionFirstMonthPosition+SwaptionNumOfMonths+1,$FN179&gt;SwaptionFirstMonthPosition+SwaptionNumOfMonths+1),"",IF($FN179=FW$169,1,IF($FN179&lt;FW$169,INDEX($FO$170:$IH$241,FW$169,$FN179),SUMPRODUCT(INDEX($FO$325:$IH$396,FW$169,1+SwaptionShift):INDEX($FO$325:$IH$396,FW$169,SwaptionMonthsToGo+SwaptionShift),INDEX($FO$245:$IH$316,$FN179-FW$169,73-FW$169+SwaptionShift):INDEX($FO$245:$IH$316,$FN179-FW$169,72-FW$169+SwaptionMonthsToGo+SwaptionShift))/SQRT(SUM(INDEX($FO334:$IH334,1+SwaptionShift):INDEX($FO334:$IH334,SwaptionMonthsToGo+SwaptionShift))*SUM(INDEX($FO$325:$IH$396,FW$169,1+SwaptionShift):INDEX($FO$325:$IH$396,FW$169,SwaptionMonthsToGo+SwaptionShift))))))</f>
        <v>0.99447154092820456</v>
      </c>
      <c r="FX179" s="469">
        <f ca="1">IF(OR(FX$169&lt;SwaptionFirstMonthPosition+1,$FN179&lt;SwaptionFirstMonthPosition+1,FX$169&gt;SwaptionFirstMonthPosition+SwaptionNumOfMonths+1,$FN179&gt;SwaptionFirstMonthPosition+SwaptionNumOfMonths+1),"",IF($FN179=FX$169,1,IF($FN179&lt;FX$169,INDEX($FO$170:$IH$241,FX$169,$FN179),SUMPRODUCT(INDEX($FO$325:$IH$396,FX$169,1+SwaptionShift):INDEX($FO$325:$IH$396,FX$169,SwaptionMonthsToGo+SwaptionShift),INDEX($FO$245:$IH$316,$FN179-FX$169,73-FX$169+SwaptionShift):INDEX($FO$245:$IH$316,$FN179-FX$169,72-FX$169+SwaptionMonthsToGo+SwaptionShift))/SQRT(SUM(INDEX($FO334:$IH334,1+SwaptionShift):INDEX($FO334:$IH334,SwaptionMonthsToGo+SwaptionShift))*SUM(INDEX($FO$325:$IH$396,FX$169,1+SwaptionShift):INDEX($FO$325:$IH$396,FX$169,SwaptionMonthsToGo+SwaptionShift))))))</f>
        <v>1</v>
      </c>
      <c r="FY179" s="469">
        <f ca="1">IF(OR(FY$169&lt;SwaptionFirstMonthPosition+1,$FN179&lt;SwaptionFirstMonthPosition+1,FY$169&gt;SwaptionFirstMonthPosition+SwaptionNumOfMonths+1,$FN179&gt;SwaptionFirstMonthPosition+SwaptionNumOfMonths+1),"",IF($FN179=FY$169,1,IF($FN179&lt;FY$169,INDEX($FO$170:$IH$241,FY$169,$FN179),SUMPRODUCT(INDEX($FO$325:$IH$396,FY$169,1+SwaptionShift):INDEX($FO$325:$IH$396,FY$169,SwaptionMonthsToGo+SwaptionShift),INDEX($FO$245:$IH$316,$FN179-FY$169,73-FY$169+SwaptionShift):INDEX($FO$245:$IH$316,$FN179-FY$169,72-FY$169+SwaptionMonthsToGo+SwaptionShift))/SQRT(SUM(INDEX($FO334:$IH334,1+SwaptionShift):INDEX($FO334:$IH334,SwaptionMonthsToGo+SwaptionShift))*SUM(INDEX($FO$325:$IH$396,FY$169,1+SwaptionShift):INDEX($FO$325:$IH$396,FY$169,SwaptionMonthsToGo+SwaptionShift))))))</f>
        <v>0.9952376983333221</v>
      </c>
      <c r="FZ179" s="469">
        <f ca="1">IF(OR(FZ$169&lt;SwaptionFirstMonthPosition+1,$FN179&lt;SwaptionFirstMonthPosition+1,FZ$169&gt;SwaptionFirstMonthPosition+SwaptionNumOfMonths+1,$FN179&gt;SwaptionFirstMonthPosition+SwaptionNumOfMonths+1),"",IF($FN179=FZ$169,1,IF($FN179&lt;FZ$169,INDEX($FO$170:$IH$241,FZ$169,$FN179),SUMPRODUCT(INDEX($FO$325:$IH$396,FZ$169,1+SwaptionShift):INDEX($FO$325:$IH$396,FZ$169,SwaptionMonthsToGo+SwaptionShift),INDEX($FO$245:$IH$316,$FN179-FZ$169,73-FZ$169+SwaptionShift):INDEX($FO$245:$IH$316,$FN179-FZ$169,72-FZ$169+SwaptionMonthsToGo+SwaptionShift))/SQRT(SUM(INDEX($FO334:$IH334,1+SwaptionShift):INDEX($FO334:$IH334,SwaptionMonthsToGo+SwaptionShift))*SUM(INDEX($FO$325:$IH$396,FZ$169,1+SwaptionShift):INDEX($FO$325:$IH$396,FZ$169,SwaptionMonthsToGo+SwaptionShift))))))</f>
        <v>0.9911301848710351</v>
      </c>
      <c r="GA179" s="469">
        <f ca="1">IF(OR(GA$169&lt;SwaptionFirstMonthPosition+1,$FN179&lt;SwaptionFirstMonthPosition+1,GA$169&gt;SwaptionFirstMonthPosition+SwaptionNumOfMonths+1,$FN179&gt;SwaptionFirstMonthPosition+SwaptionNumOfMonths+1),"",IF($FN179=GA$169,1,IF($FN179&lt;GA$169,INDEX($FO$170:$IH$241,GA$169,$FN179),SUMPRODUCT(INDEX($FO$325:$IH$396,GA$169,1+SwaptionShift):INDEX($FO$325:$IH$396,GA$169,SwaptionMonthsToGo+SwaptionShift),INDEX($FO$245:$IH$316,$FN179-GA$169,73-GA$169+SwaptionShift):INDEX($FO$245:$IH$316,$FN179-GA$169,72-GA$169+SwaptionMonthsToGo+SwaptionShift))/SQRT(SUM(INDEX($FO334:$IH334,1+SwaptionShift):INDEX($FO334:$IH334,SwaptionMonthsToGo+SwaptionShift))*SUM(INDEX($FO$325:$IH$396,GA$169,1+SwaptionShift):INDEX($FO$325:$IH$396,GA$169,SwaptionMonthsToGo+SwaptionShift))))))</f>
        <v>0.98756788681256713</v>
      </c>
      <c r="GB179" s="469">
        <f ca="1">IF(OR(GB$169&lt;SwaptionFirstMonthPosition+1,$FN179&lt;SwaptionFirstMonthPosition+1,GB$169&gt;SwaptionFirstMonthPosition+SwaptionNumOfMonths+1,$FN179&gt;SwaptionFirstMonthPosition+SwaptionNumOfMonths+1),"",IF($FN179=GB$169,1,IF($FN179&lt;GB$169,INDEX($FO$170:$IH$241,GB$169,$FN179),SUMPRODUCT(INDEX($FO$325:$IH$396,GB$169,1+SwaptionShift):INDEX($FO$325:$IH$396,GB$169,SwaptionMonthsToGo+SwaptionShift),INDEX($FO$245:$IH$316,$FN179-GB$169,73-GB$169+SwaptionShift):INDEX($FO$245:$IH$316,$FN179-GB$169,72-GB$169+SwaptionMonthsToGo+SwaptionShift))/SQRT(SUM(INDEX($FO334:$IH334,1+SwaptionShift):INDEX($FO334:$IH334,SwaptionMonthsToGo+SwaptionShift))*SUM(INDEX($FO$325:$IH$396,GB$169,1+SwaptionShift):INDEX($FO$325:$IH$396,GB$169,SwaptionMonthsToGo+SwaptionShift))))))</f>
        <v>0.98446331672559317</v>
      </c>
      <c r="GC179" s="469" t="str">
        <f ca="1">IF(OR(GC$169&lt;SwaptionFirstMonthPosition+1,$FN179&lt;SwaptionFirstMonthPosition+1,GC$169&gt;SwaptionFirstMonthPosition+SwaptionNumOfMonths+1,$FN179&gt;SwaptionFirstMonthPosition+SwaptionNumOfMonths+1),"",IF($FN179=GC$169,1,IF($FN179&lt;GC$169,INDEX($FO$170:$IH$241,GC$169,$FN179),SUMPRODUCT(INDEX($FO$325:$IH$396,GC$169,1+SwaptionShift):INDEX($FO$325:$IH$396,GC$169,SwaptionMonthsToGo+SwaptionShift),INDEX($FO$245:$IH$316,$FN179-GC$169,73-GC$169+SwaptionShift):INDEX($FO$245:$IH$316,$FN179-GC$169,72-GC$169+SwaptionMonthsToGo+SwaptionShift))/SQRT(SUM(INDEX($FO334:$IH334,1+SwaptionShift):INDEX($FO334:$IH334,SwaptionMonthsToGo+SwaptionShift))*SUM(INDEX($FO$325:$IH$396,GC$169,1+SwaptionShift):INDEX($FO$325:$IH$396,GC$169,SwaptionMonthsToGo+SwaptionShift))))))</f>
        <v/>
      </c>
      <c r="GD179" s="469" t="str">
        <f ca="1">IF(OR(GD$169&lt;SwaptionFirstMonthPosition+1,$FN179&lt;SwaptionFirstMonthPosition+1,GD$169&gt;SwaptionFirstMonthPosition+SwaptionNumOfMonths+1,$FN179&gt;SwaptionFirstMonthPosition+SwaptionNumOfMonths+1),"",IF($FN179=GD$169,1,IF($FN179&lt;GD$169,INDEX($FO$170:$IH$241,GD$169,$FN179),SUMPRODUCT(INDEX($FO$325:$IH$396,GD$169,1+SwaptionShift):INDEX($FO$325:$IH$396,GD$169,SwaptionMonthsToGo+SwaptionShift),INDEX($FO$245:$IH$316,$FN179-GD$169,73-GD$169+SwaptionShift):INDEX($FO$245:$IH$316,$FN179-GD$169,72-GD$169+SwaptionMonthsToGo+SwaptionShift))/SQRT(SUM(INDEX($FO334:$IH334,1+SwaptionShift):INDEX($FO334:$IH334,SwaptionMonthsToGo+SwaptionShift))*SUM(INDEX($FO$325:$IH$396,GD$169,1+SwaptionShift):INDEX($FO$325:$IH$396,GD$169,SwaptionMonthsToGo+SwaptionShift))))))</f>
        <v/>
      </c>
      <c r="GE179" s="469" t="str">
        <f ca="1">IF(OR(GE$169&lt;SwaptionFirstMonthPosition+1,$FN179&lt;SwaptionFirstMonthPosition+1,GE$169&gt;SwaptionFirstMonthPosition+SwaptionNumOfMonths+1,$FN179&gt;SwaptionFirstMonthPosition+SwaptionNumOfMonths+1),"",IF($FN179=GE$169,1,IF($FN179&lt;GE$169,INDEX($FO$170:$IH$241,GE$169,$FN179),SUMPRODUCT(INDEX($FO$325:$IH$396,GE$169,1+SwaptionShift):INDEX($FO$325:$IH$396,GE$169,SwaptionMonthsToGo+SwaptionShift),INDEX($FO$245:$IH$316,$FN179-GE$169,73-GE$169+SwaptionShift):INDEX($FO$245:$IH$316,$FN179-GE$169,72-GE$169+SwaptionMonthsToGo+SwaptionShift))/SQRT(SUM(INDEX($FO334:$IH334,1+SwaptionShift):INDEX($FO334:$IH334,SwaptionMonthsToGo+SwaptionShift))*SUM(INDEX($FO$325:$IH$396,GE$169,1+SwaptionShift):INDEX($FO$325:$IH$396,GE$169,SwaptionMonthsToGo+SwaptionShift))))))</f>
        <v/>
      </c>
      <c r="GF179" s="469" t="str">
        <f ca="1">IF(OR(GF$169&lt;SwaptionFirstMonthPosition+1,$FN179&lt;SwaptionFirstMonthPosition+1,GF$169&gt;SwaptionFirstMonthPosition+SwaptionNumOfMonths+1,$FN179&gt;SwaptionFirstMonthPosition+SwaptionNumOfMonths+1),"",IF($FN179=GF$169,1,IF($FN179&lt;GF$169,INDEX($FO$170:$IH$241,GF$169,$FN179),SUMPRODUCT(INDEX($FO$325:$IH$396,GF$169,1+SwaptionShift):INDEX($FO$325:$IH$396,GF$169,SwaptionMonthsToGo+SwaptionShift),INDEX($FO$245:$IH$316,$FN179-GF$169,73-GF$169+SwaptionShift):INDEX($FO$245:$IH$316,$FN179-GF$169,72-GF$169+SwaptionMonthsToGo+SwaptionShift))/SQRT(SUM(INDEX($FO334:$IH334,1+SwaptionShift):INDEX($FO334:$IH334,SwaptionMonthsToGo+SwaptionShift))*SUM(INDEX($FO$325:$IH$396,GF$169,1+SwaptionShift):INDEX($FO$325:$IH$396,GF$169,SwaptionMonthsToGo+SwaptionShift))))))</f>
        <v/>
      </c>
      <c r="GG179" s="469" t="str">
        <f ca="1">IF(OR(GG$169&lt;SwaptionFirstMonthPosition+1,$FN179&lt;SwaptionFirstMonthPosition+1,GG$169&gt;SwaptionFirstMonthPosition+SwaptionNumOfMonths+1,$FN179&gt;SwaptionFirstMonthPosition+SwaptionNumOfMonths+1),"",IF($FN179=GG$169,1,IF($FN179&lt;GG$169,INDEX($FO$170:$IH$241,GG$169,$FN179),SUMPRODUCT(INDEX($FO$325:$IH$396,GG$169,1+SwaptionShift):INDEX($FO$325:$IH$396,GG$169,SwaptionMonthsToGo+SwaptionShift),INDEX($FO$245:$IH$316,$FN179-GG$169,73-GG$169+SwaptionShift):INDEX($FO$245:$IH$316,$FN179-GG$169,72-GG$169+SwaptionMonthsToGo+SwaptionShift))/SQRT(SUM(INDEX($FO334:$IH334,1+SwaptionShift):INDEX($FO334:$IH334,SwaptionMonthsToGo+SwaptionShift))*SUM(INDEX($FO$325:$IH$396,GG$169,1+SwaptionShift):INDEX($FO$325:$IH$396,GG$169,SwaptionMonthsToGo+SwaptionShift))))))</f>
        <v/>
      </c>
      <c r="GH179" s="469" t="str">
        <f ca="1">IF(OR(GH$169&lt;SwaptionFirstMonthPosition+1,$FN179&lt;SwaptionFirstMonthPosition+1,GH$169&gt;SwaptionFirstMonthPosition+SwaptionNumOfMonths+1,$FN179&gt;SwaptionFirstMonthPosition+SwaptionNumOfMonths+1),"",IF($FN179=GH$169,1,IF($FN179&lt;GH$169,INDEX($FO$170:$IH$241,GH$169,$FN179),SUMPRODUCT(INDEX($FO$325:$IH$396,GH$169,1+SwaptionShift):INDEX($FO$325:$IH$396,GH$169,SwaptionMonthsToGo+SwaptionShift),INDEX($FO$245:$IH$316,$FN179-GH$169,73-GH$169+SwaptionShift):INDEX($FO$245:$IH$316,$FN179-GH$169,72-GH$169+SwaptionMonthsToGo+SwaptionShift))/SQRT(SUM(INDEX($FO334:$IH334,1+SwaptionShift):INDEX($FO334:$IH334,SwaptionMonthsToGo+SwaptionShift))*SUM(INDEX($FO$325:$IH$396,GH$169,1+SwaptionShift):INDEX($FO$325:$IH$396,GH$169,SwaptionMonthsToGo+SwaptionShift))))))</f>
        <v/>
      </c>
      <c r="GI179" s="469" t="str">
        <f ca="1">IF(OR(GI$169&lt;SwaptionFirstMonthPosition+1,$FN179&lt;SwaptionFirstMonthPosition+1,GI$169&gt;SwaptionFirstMonthPosition+SwaptionNumOfMonths+1,$FN179&gt;SwaptionFirstMonthPosition+SwaptionNumOfMonths+1),"",IF($FN179=GI$169,1,IF($FN179&lt;GI$169,INDEX($FO$170:$IH$241,GI$169,$FN179),SUMPRODUCT(INDEX($FO$325:$IH$396,GI$169,1+SwaptionShift):INDEX($FO$325:$IH$396,GI$169,SwaptionMonthsToGo+SwaptionShift),INDEX($FO$245:$IH$316,$FN179-GI$169,73-GI$169+SwaptionShift):INDEX($FO$245:$IH$316,$FN179-GI$169,72-GI$169+SwaptionMonthsToGo+SwaptionShift))/SQRT(SUM(INDEX($FO334:$IH334,1+SwaptionShift):INDEX($FO334:$IH334,SwaptionMonthsToGo+SwaptionShift))*SUM(INDEX($FO$325:$IH$396,GI$169,1+SwaptionShift):INDEX($FO$325:$IH$396,GI$169,SwaptionMonthsToGo+SwaptionShift))))))</f>
        <v/>
      </c>
      <c r="GJ179" s="469" t="str">
        <f ca="1">IF(OR(GJ$169&lt;SwaptionFirstMonthPosition+1,$FN179&lt;SwaptionFirstMonthPosition+1,GJ$169&gt;SwaptionFirstMonthPosition+SwaptionNumOfMonths+1,$FN179&gt;SwaptionFirstMonthPosition+SwaptionNumOfMonths+1),"",IF($FN179=GJ$169,1,IF($FN179&lt;GJ$169,INDEX($FO$170:$IH$241,GJ$169,$FN179),SUMPRODUCT(INDEX($FO$325:$IH$396,GJ$169,1+SwaptionShift):INDEX($FO$325:$IH$396,GJ$169,SwaptionMonthsToGo+SwaptionShift),INDEX($FO$245:$IH$316,$FN179-GJ$169,73-GJ$169+SwaptionShift):INDEX($FO$245:$IH$316,$FN179-GJ$169,72-GJ$169+SwaptionMonthsToGo+SwaptionShift))/SQRT(SUM(INDEX($FO334:$IH334,1+SwaptionShift):INDEX($FO334:$IH334,SwaptionMonthsToGo+SwaptionShift))*SUM(INDEX($FO$325:$IH$396,GJ$169,1+SwaptionShift):INDEX($FO$325:$IH$396,GJ$169,SwaptionMonthsToGo+SwaptionShift))))))</f>
        <v/>
      </c>
      <c r="GK179" s="469" t="str">
        <f ca="1">IF(OR(GK$169&lt;SwaptionFirstMonthPosition+1,$FN179&lt;SwaptionFirstMonthPosition+1,GK$169&gt;SwaptionFirstMonthPosition+SwaptionNumOfMonths+1,$FN179&gt;SwaptionFirstMonthPosition+SwaptionNumOfMonths+1),"",IF($FN179=GK$169,1,IF($FN179&lt;GK$169,INDEX($FO$170:$IH$241,GK$169,$FN179),SUMPRODUCT(INDEX($FO$325:$IH$396,GK$169,1+SwaptionShift):INDEX($FO$325:$IH$396,GK$169,SwaptionMonthsToGo+SwaptionShift),INDEX($FO$245:$IH$316,$FN179-GK$169,73-GK$169+SwaptionShift):INDEX($FO$245:$IH$316,$FN179-GK$169,72-GK$169+SwaptionMonthsToGo+SwaptionShift))/SQRT(SUM(INDEX($FO334:$IH334,1+SwaptionShift):INDEX($FO334:$IH334,SwaptionMonthsToGo+SwaptionShift))*SUM(INDEX($FO$325:$IH$396,GK$169,1+SwaptionShift):INDEX($FO$325:$IH$396,GK$169,SwaptionMonthsToGo+SwaptionShift))))))</f>
        <v/>
      </c>
      <c r="GL179" s="469" t="str">
        <f ca="1">IF(OR(GL$169&lt;SwaptionFirstMonthPosition+1,$FN179&lt;SwaptionFirstMonthPosition+1,GL$169&gt;SwaptionFirstMonthPosition+SwaptionNumOfMonths+1,$FN179&gt;SwaptionFirstMonthPosition+SwaptionNumOfMonths+1),"",IF($FN179=GL$169,1,IF($FN179&lt;GL$169,INDEX($FO$170:$IH$241,GL$169,$FN179),SUMPRODUCT(INDEX($FO$325:$IH$396,GL$169,1+SwaptionShift):INDEX($FO$325:$IH$396,GL$169,SwaptionMonthsToGo+SwaptionShift),INDEX($FO$245:$IH$316,$FN179-GL$169,73-GL$169+SwaptionShift):INDEX($FO$245:$IH$316,$FN179-GL$169,72-GL$169+SwaptionMonthsToGo+SwaptionShift))/SQRT(SUM(INDEX($FO334:$IH334,1+SwaptionShift):INDEX($FO334:$IH334,SwaptionMonthsToGo+SwaptionShift))*SUM(INDEX($FO$325:$IH$396,GL$169,1+SwaptionShift):INDEX($FO$325:$IH$396,GL$169,SwaptionMonthsToGo+SwaptionShift))))))</f>
        <v/>
      </c>
      <c r="GM179" s="469" t="str">
        <f ca="1">IF(OR(GM$169&lt;SwaptionFirstMonthPosition+1,$FN179&lt;SwaptionFirstMonthPosition+1,GM$169&gt;SwaptionFirstMonthPosition+SwaptionNumOfMonths+1,$FN179&gt;SwaptionFirstMonthPosition+SwaptionNumOfMonths+1),"",IF($FN179=GM$169,1,IF($FN179&lt;GM$169,INDEX($FO$170:$IH$241,GM$169,$FN179),SUMPRODUCT(INDEX($FO$325:$IH$396,GM$169,1+SwaptionShift):INDEX($FO$325:$IH$396,GM$169,SwaptionMonthsToGo+SwaptionShift),INDEX($FO$245:$IH$316,$FN179-GM$169,73-GM$169+SwaptionShift):INDEX($FO$245:$IH$316,$FN179-GM$169,72-GM$169+SwaptionMonthsToGo+SwaptionShift))/SQRT(SUM(INDEX($FO334:$IH334,1+SwaptionShift):INDEX($FO334:$IH334,SwaptionMonthsToGo+SwaptionShift))*SUM(INDEX($FO$325:$IH$396,GM$169,1+SwaptionShift):INDEX($FO$325:$IH$396,GM$169,SwaptionMonthsToGo+SwaptionShift))))))</f>
        <v/>
      </c>
      <c r="GN179" s="469" t="str">
        <f ca="1">IF(OR(GN$169&lt;SwaptionFirstMonthPosition+1,$FN179&lt;SwaptionFirstMonthPosition+1,GN$169&gt;SwaptionFirstMonthPosition+SwaptionNumOfMonths+1,$FN179&gt;SwaptionFirstMonthPosition+SwaptionNumOfMonths+1),"",IF($FN179=GN$169,1,IF($FN179&lt;GN$169,INDEX($FO$170:$IH$241,GN$169,$FN179),SUMPRODUCT(INDEX($FO$325:$IH$396,GN$169,1+SwaptionShift):INDEX($FO$325:$IH$396,GN$169,SwaptionMonthsToGo+SwaptionShift),INDEX($FO$245:$IH$316,$FN179-GN$169,73-GN$169+SwaptionShift):INDEX($FO$245:$IH$316,$FN179-GN$169,72-GN$169+SwaptionMonthsToGo+SwaptionShift))/SQRT(SUM(INDEX($FO334:$IH334,1+SwaptionShift):INDEX($FO334:$IH334,SwaptionMonthsToGo+SwaptionShift))*SUM(INDEX($FO$325:$IH$396,GN$169,1+SwaptionShift):INDEX($FO$325:$IH$396,GN$169,SwaptionMonthsToGo+SwaptionShift))))))</f>
        <v/>
      </c>
      <c r="GO179" s="469" t="str">
        <f ca="1">IF(OR(GO$169&lt;SwaptionFirstMonthPosition+1,$FN179&lt;SwaptionFirstMonthPosition+1,GO$169&gt;SwaptionFirstMonthPosition+SwaptionNumOfMonths+1,$FN179&gt;SwaptionFirstMonthPosition+SwaptionNumOfMonths+1),"",IF($FN179=GO$169,1,IF($FN179&lt;GO$169,INDEX($FO$170:$IH$241,GO$169,$FN179),SUMPRODUCT(INDEX($FO$325:$IH$396,GO$169,1+SwaptionShift):INDEX($FO$325:$IH$396,GO$169,SwaptionMonthsToGo+SwaptionShift),INDEX($FO$245:$IH$316,$FN179-GO$169,73-GO$169+SwaptionShift):INDEX($FO$245:$IH$316,$FN179-GO$169,72-GO$169+SwaptionMonthsToGo+SwaptionShift))/SQRT(SUM(INDEX($FO334:$IH334,1+SwaptionShift):INDEX($FO334:$IH334,SwaptionMonthsToGo+SwaptionShift))*SUM(INDEX($FO$325:$IH$396,GO$169,1+SwaptionShift):INDEX($FO$325:$IH$396,GO$169,SwaptionMonthsToGo+SwaptionShift))))))</f>
        <v/>
      </c>
      <c r="GP179" s="469" t="str">
        <f ca="1">IF(OR(GP$169&lt;SwaptionFirstMonthPosition+1,$FN179&lt;SwaptionFirstMonthPosition+1,GP$169&gt;SwaptionFirstMonthPosition+SwaptionNumOfMonths+1,$FN179&gt;SwaptionFirstMonthPosition+SwaptionNumOfMonths+1),"",IF($FN179=GP$169,1,IF($FN179&lt;GP$169,INDEX($FO$170:$IH$241,GP$169,$FN179),SUMPRODUCT(INDEX($FO$325:$IH$396,GP$169,1+SwaptionShift):INDEX($FO$325:$IH$396,GP$169,SwaptionMonthsToGo+SwaptionShift),INDEX($FO$245:$IH$316,$FN179-GP$169,73-GP$169+SwaptionShift):INDEX($FO$245:$IH$316,$FN179-GP$169,72-GP$169+SwaptionMonthsToGo+SwaptionShift))/SQRT(SUM(INDEX($FO334:$IH334,1+SwaptionShift):INDEX($FO334:$IH334,SwaptionMonthsToGo+SwaptionShift))*SUM(INDEX($FO$325:$IH$396,GP$169,1+SwaptionShift):INDEX($FO$325:$IH$396,GP$169,SwaptionMonthsToGo+SwaptionShift))))))</f>
        <v/>
      </c>
      <c r="GQ179" s="469" t="str">
        <f ca="1">IF(OR(GQ$169&lt;SwaptionFirstMonthPosition+1,$FN179&lt;SwaptionFirstMonthPosition+1,GQ$169&gt;SwaptionFirstMonthPosition+SwaptionNumOfMonths+1,$FN179&gt;SwaptionFirstMonthPosition+SwaptionNumOfMonths+1),"",IF($FN179=GQ$169,1,IF($FN179&lt;GQ$169,INDEX($FO$170:$IH$241,GQ$169,$FN179),SUMPRODUCT(INDEX($FO$325:$IH$396,GQ$169,1+SwaptionShift):INDEX($FO$325:$IH$396,GQ$169,SwaptionMonthsToGo+SwaptionShift),INDEX($FO$245:$IH$316,$FN179-GQ$169,73-GQ$169+SwaptionShift):INDEX($FO$245:$IH$316,$FN179-GQ$169,72-GQ$169+SwaptionMonthsToGo+SwaptionShift))/SQRT(SUM(INDEX($FO334:$IH334,1+SwaptionShift):INDEX($FO334:$IH334,SwaptionMonthsToGo+SwaptionShift))*SUM(INDEX($FO$325:$IH$396,GQ$169,1+SwaptionShift):INDEX($FO$325:$IH$396,GQ$169,SwaptionMonthsToGo+SwaptionShift))))))</f>
        <v/>
      </c>
      <c r="GR179" s="469" t="str">
        <f ca="1">IF(OR(GR$169&lt;SwaptionFirstMonthPosition+1,$FN179&lt;SwaptionFirstMonthPosition+1,GR$169&gt;SwaptionFirstMonthPosition+SwaptionNumOfMonths+1,$FN179&gt;SwaptionFirstMonthPosition+SwaptionNumOfMonths+1),"",IF($FN179=GR$169,1,IF($FN179&lt;GR$169,INDEX($FO$170:$IH$241,GR$169,$FN179),SUMPRODUCT(INDEX($FO$325:$IH$396,GR$169,1+SwaptionShift):INDEX($FO$325:$IH$396,GR$169,SwaptionMonthsToGo+SwaptionShift),INDEX($FO$245:$IH$316,$FN179-GR$169,73-GR$169+SwaptionShift):INDEX($FO$245:$IH$316,$FN179-GR$169,72-GR$169+SwaptionMonthsToGo+SwaptionShift))/SQRT(SUM(INDEX($FO334:$IH334,1+SwaptionShift):INDEX($FO334:$IH334,SwaptionMonthsToGo+SwaptionShift))*SUM(INDEX($FO$325:$IH$396,GR$169,1+SwaptionShift):INDEX($FO$325:$IH$396,GR$169,SwaptionMonthsToGo+SwaptionShift))))))</f>
        <v/>
      </c>
      <c r="GS179" s="469" t="str">
        <f ca="1">IF(OR(GS$169&lt;SwaptionFirstMonthPosition+1,$FN179&lt;SwaptionFirstMonthPosition+1,GS$169&gt;SwaptionFirstMonthPosition+SwaptionNumOfMonths+1,$FN179&gt;SwaptionFirstMonthPosition+SwaptionNumOfMonths+1),"",IF($FN179=GS$169,1,IF($FN179&lt;GS$169,INDEX($FO$170:$IH$241,GS$169,$FN179),SUMPRODUCT(INDEX($FO$325:$IH$396,GS$169,1+SwaptionShift):INDEX($FO$325:$IH$396,GS$169,SwaptionMonthsToGo+SwaptionShift),INDEX($FO$245:$IH$316,$FN179-GS$169,73-GS$169+SwaptionShift):INDEX($FO$245:$IH$316,$FN179-GS$169,72-GS$169+SwaptionMonthsToGo+SwaptionShift))/SQRT(SUM(INDEX($FO334:$IH334,1+SwaptionShift):INDEX($FO334:$IH334,SwaptionMonthsToGo+SwaptionShift))*SUM(INDEX($FO$325:$IH$396,GS$169,1+SwaptionShift):INDEX($FO$325:$IH$396,GS$169,SwaptionMonthsToGo+SwaptionShift))))))</f>
        <v/>
      </c>
      <c r="GT179" s="469" t="str">
        <f ca="1">IF(OR(GT$169&lt;SwaptionFirstMonthPosition+1,$FN179&lt;SwaptionFirstMonthPosition+1,GT$169&gt;SwaptionFirstMonthPosition+SwaptionNumOfMonths+1,$FN179&gt;SwaptionFirstMonthPosition+SwaptionNumOfMonths+1),"",IF($FN179=GT$169,1,IF($FN179&lt;GT$169,INDEX($FO$170:$IH$241,GT$169,$FN179),SUMPRODUCT(INDEX($FO$325:$IH$396,GT$169,1+SwaptionShift):INDEX($FO$325:$IH$396,GT$169,SwaptionMonthsToGo+SwaptionShift),INDEX($FO$245:$IH$316,$FN179-GT$169,73-GT$169+SwaptionShift):INDEX($FO$245:$IH$316,$FN179-GT$169,72-GT$169+SwaptionMonthsToGo+SwaptionShift))/SQRT(SUM(INDEX($FO334:$IH334,1+SwaptionShift):INDEX($FO334:$IH334,SwaptionMonthsToGo+SwaptionShift))*SUM(INDEX($FO$325:$IH$396,GT$169,1+SwaptionShift):INDEX($FO$325:$IH$396,GT$169,SwaptionMonthsToGo+SwaptionShift))))))</f>
        <v/>
      </c>
      <c r="GU179" s="469" t="str">
        <f ca="1">IF(OR(GU$169&lt;SwaptionFirstMonthPosition+1,$FN179&lt;SwaptionFirstMonthPosition+1,GU$169&gt;SwaptionFirstMonthPosition+SwaptionNumOfMonths+1,$FN179&gt;SwaptionFirstMonthPosition+SwaptionNumOfMonths+1),"",IF($FN179=GU$169,1,IF($FN179&lt;GU$169,INDEX($FO$170:$IH$241,GU$169,$FN179),SUMPRODUCT(INDEX($FO$325:$IH$396,GU$169,1+SwaptionShift):INDEX($FO$325:$IH$396,GU$169,SwaptionMonthsToGo+SwaptionShift),INDEX($FO$245:$IH$316,$FN179-GU$169,73-GU$169+SwaptionShift):INDEX($FO$245:$IH$316,$FN179-GU$169,72-GU$169+SwaptionMonthsToGo+SwaptionShift))/SQRT(SUM(INDEX($FO334:$IH334,1+SwaptionShift):INDEX($FO334:$IH334,SwaptionMonthsToGo+SwaptionShift))*SUM(INDEX($FO$325:$IH$396,GU$169,1+SwaptionShift):INDEX($FO$325:$IH$396,GU$169,SwaptionMonthsToGo+SwaptionShift))))))</f>
        <v/>
      </c>
      <c r="GV179" s="469" t="str">
        <f ca="1">IF(OR(GV$169&lt;SwaptionFirstMonthPosition+1,$FN179&lt;SwaptionFirstMonthPosition+1,GV$169&gt;SwaptionFirstMonthPosition+SwaptionNumOfMonths+1,$FN179&gt;SwaptionFirstMonthPosition+SwaptionNumOfMonths+1),"",IF($FN179=GV$169,1,IF($FN179&lt;GV$169,INDEX($FO$170:$IH$241,GV$169,$FN179),SUMPRODUCT(INDEX($FO$325:$IH$396,GV$169,1+SwaptionShift):INDEX($FO$325:$IH$396,GV$169,SwaptionMonthsToGo+SwaptionShift),INDEX($FO$245:$IH$316,$FN179-GV$169,73-GV$169+SwaptionShift):INDEX($FO$245:$IH$316,$FN179-GV$169,72-GV$169+SwaptionMonthsToGo+SwaptionShift))/SQRT(SUM(INDEX($FO334:$IH334,1+SwaptionShift):INDEX($FO334:$IH334,SwaptionMonthsToGo+SwaptionShift))*SUM(INDEX($FO$325:$IH$396,GV$169,1+SwaptionShift):INDEX($FO$325:$IH$396,GV$169,SwaptionMonthsToGo+SwaptionShift))))))</f>
        <v/>
      </c>
      <c r="GW179" s="469" t="str">
        <f ca="1">IF(OR(GW$169&lt;SwaptionFirstMonthPosition+1,$FN179&lt;SwaptionFirstMonthPosition+1,GW$169&gt;SwaptionFirstMonthPosition+SwaptionNumOfMonths+1,$FN179&gt;SwaptionFirstMonthPosition+SwaptionNumOfMonths+1),"",IF($FN179=GW$169,1,IF($FN179&lt;GW$169,INDEX($FO$170:$IH$241,GW$169,$FN179),SUMPRODUCT(INDEX($FO$325:$IH$396,GW$169,1+SwaptionShift):INDEX($FO$325:$IH$396,GW$169,SwaptionMonthsToGo+SwaptionShift),INDEX($FO$245:$IH$316,$FN179-GW$169,73-GW$169+SwaptionShift):INDEX($FO$245:$IH$316,$FN179-GW$169,72-GW$169+SwaptionMonthsToGo+SwaptionShift))/SQRT(SUM(INDEX($FO334:$IH334,1+SwaptionShift):INDEX($FO334:$IH334,SwaptionMonthsToGo+SwaptionShift))*SUM(INDEX($FO$325:$IH$396,GW$169,1+SwaptionShift):INDEX($FO$325:$IH$396,GW$169,SwaptionMonthsToGo+SwaptionShift))))))</f>
        <v/>
      </c>
      <c r="GX179" s="469" t="str">
        <f ca="1">IF(OR(GX$169&lt;SwaptionFirstMonthPosition+1,$FN179&lt;SwaptionFirstMonthPosition+1,GX$169&gt;SwaptionFirstMonthPosition+SwaptionNumOfMonths+1,$FN179&gt;SwaptionFirstMonthPosition+SwaptionNumOfMonths+1),"",IF($FN179=GX$169,1,IF($FN179&lt;GX$169,INDEX($FO$170:$IH$241,GX$169,$FN179),SUMPRODUCT(INDEX($FO$325:$IH$396,GX$169,1+SwaptionShift):INDEX($FO$325:$IH$396,GX$169,SwaptionMonthsToGo+SwaptionShift),INDEX($FO$245:$IH$316,$FN179-GX$169,73-GX$169+SwaptionShift):INDEX($FO$245:$IH$316,$FN179-GX$169,72-GX$169+SwaptionMonthsToGo+SwaptionShift))/SQRT(SUM(INDEX($FO334:$IH334,1+SwaptionShift):INDEX($FO334:$IH334,SwaptionMonthsToGo+SwaptionShift))*SUM(INDEX($FO$325:$IH$396,GX$169,1+SwaptionShift):INDEX($FO$325:$IH$396,GX$169,SwaptionMonthsToGo+SwaptionShift))))))</f>
        <v/>
      </c>
      <c r="GY179" s="469" t="str">
        <f ca="1">IF(OR(GY$169&lt;SwaptionFirstMonthPosition+1,$FN179&lt;SwaptionFirstMonthPosition+1,GY$169&gt;SwaptionFirstMonthPosition+SwaptionNumOfMonths+1,$FN179&gt;SwaptionFirstMonthPosition+SwaptionNumOfMonths+1),"",IF($FN179=GY$169,1,IF($FN179&lt;GY$169,INDEX($FO$170:$IH$241,GY$169,$FN179),SUMPRODUCT(INDEX($FO$325:$IH$396,GY$169,1+SwaptionShift):INDEX($FO$325:$IH$396,GY$169,SwaptionMonthsToGo+SwaptionShift),INDEX($FO$245:$IH$316,$FN179-GY$169,73-GY$169+SwaptionShift):INDEX($FO$245:$IH$316,$FN179-GY$169,72-GY$169+SwaptionMonthsToGo+SwaptionShift))/SQRT(SUM(INDEX($FO334:$IH334,1+SwaptionShift):INDEX($FO334:$IH334,SwaptionMonthsToGo+SwaptionShift))*SUM(INDEX($FO$325:$IH$396,GY$169,1+SwaptionShift):INDEX($FO$325:$IH$396,GY$169,SwaptionMonthsToGo+SwaptionShift))))))</f>
        <v/>
      </c>
      <c r="GZ179" s="469" t="str">
        <f ca="1">IF(OR(GZ$169&lt;SwaptionFirstMonthPosition+1,$FN179&lt;SwaptionFirstMonthPosition+1,GZ$169&gt;SwaptionFirstMonthPosition+SwaptionNumOfMonths+1,$FN179&gt;SwaptionFirstMonthPosition+SwaptionNumOfMonths+1),"",IF($FN179=GZ$169,1,IF($FN179&lt;GZ$169,INDEX($FO$170:$IH$241,GZ$169,$FN179),SUMPRODUCT(INDEX($FO$325:$IH$396,GZ$169,1+SwaptionShift):INDEX($FO$325:$IH$396,GZ$169,SwaptionMonthsToGo+SwaptionShift),INDEX($FO$245:$IH$316,$FN179-GZ$169,73-GZ$169+SwaptionShift):INDEX($FO$245:$IH$316,$FN179-GZ$169,72-GZ$169+SwaptionMonthsToGo+SwaptionShift))/SQRT(SUM(INDEX($FO334:$IH334,1+SwaptionShift):INDEX($FO334:$IH334,SwaptionMonthsToGo+SwaptionShift))*SUM(INDEX($FO$325:$IH$396,GZ$169,1+SwaptionShift):INDEX($FO$325:$IH$396,GZ$169,SwaptionMonthsToGo+SwaptionShift))))))</f>
        <v/>
      </c>
      <c r="HA179" s="469" t="str">
        <f ca="1">IF(OR(HA$169&lt;SwaptionFirstMonthPosition+1,$FN179&lt;SwaptionFirstMonthPosition+1,HA$169&gt;SwaptionFirstMonthPosition+SwaptionNumOfMonths+1,$FN179&gt;SwaptionFirstMonthPosition+SwaptionNumOfMonths+1),"",IF($FN179=HA$169,1,IF($FN179&lt;HA$169,INDEX($FO$170:$IH$241,HA$169,$FN179),SUMPRODUCT(INDEX($FO$325:$IH$396,HA$169,1+SwaptionShift):INDEX($FO$325:$IH$396,HA$169,SwaptionMonthsToGo+SwaptionShift),INDEX($FO$245:$IH$316,$FN179-HA$169,73-HA$169+SwaptionShift):INDEX($FO$245:$IH$316,$FN179-HA$169,72-HA$169+SwaptionMonthsToGo+SwaptionShift))/SQRT(SUM(INDEX($FO334:$IH334,1+SwaptionShift):INDEX($FO334:$IH334,SwaptionMonthsToGo+SwaptionShift))*SUM(INDEX($FO$325:$IH$396,HA$169,1+SwaptionShift):INDEX($FO$325:$IH$396,HA$169,SwaptionMonthsToGo+SwaptionShift))))))</f>
        <v/>
      </c>
      <c r="HB179" s="469" t="str">
        <f ca="1">IF(OR(HB$169&lt;SwaptionFirstMonthPosition+1,$FN179&lt;SwaptionFirstMonthPosition+1,HB$169&gt;SwaptionFirstMonthPosition+SwaptionNumOfMonths+1,$FN179&gt;SwaptionFirstMonthPosition+SwaptionNumOfMonths+1),"",IF($FN179=HB$169,1,IF($FN179&lt;HB$169,INDEX($FO$170:$IH$241,HB$169,$FN179),SUMPRODUCT(INDEX($FO$325:$IH$396,HB$169,1+SwaptionShift):INDEX($FO$325:$IH$396,HB$169,SwaptionMonthsToGo+SwaptionShift),INDEX($FO$245:$IH$316,$FN179-HB$169,73-HB$169+SwaptionShift):INDEX($FO$245:$IH$316,$FN179-HB$169,72-HB$169+SwaptionMonthsToGo+SwaptionShift))/SQRT(SUM(INDEX($FO334:$IH334,1+SwaptionShift):INDEX($FO334:$IH334,SwaptionMonthsToGo+SwaptionShift))*SUM(INDEX($FO$325:$IH$396,HB$169,1+SwaptionShift):INDEX($FO$325:$IH$396,HB$169,SwaptionMonthsToGo+SwaptionShift))))))</f>
        <v/>
      </c>
      <c r="HC179" s="469" t="str">
        <f ca="1">IF(OR(HC$169&lt;SwaptionFirstMonthPosition+1,$FN179&lt;SwaptionFirstMonthPosition+1,HC$169&gt;SwaptionFirstMonthPosition+SwaptionNumOfMonths+1,$FN179&gt;SwaptionFirstMonthPosition+SwaptionNumOfMonths+1),"",IF($FN179=HC$169,1,IF($FN179&lt;HC$169,INDEX($FO$170:$IH$241,HC$169,$FN179),SUMPRODUCT(INDEX($FO$325:$IH$396,HC$169,1+SwaptionShift):INDEX($FO$325:$IH$396,HC$169,SwaptionMonthsToGo+SwaptionShift),INDEX($FO$245:$IH$316,$FN179-HC$169,73-HC$169+SwaptionShift):INDEX($FO$245:$IH$316,$FN179-HC$169,72-HC$169+SwaptionMonthsToGo+SwaptionShift))/SQRT(SUM(INDEX($FO334:$IH334,1+SwaptionShift):INDEX($FO334:$IH334,SwaptionMonthsToGo+SwaptionShift))*SUM(INDEX($FO$325:$IH$396,HC$169,1+SwaptionShift):INDEX($FO$325:$IH$396,HC$169,SwaptionMonthsToGo+SwaptionShift))))))</f>
        <v/>
      </c>
      <c r="HD179" s="469" t="str">
        <f ca="1">IF(OR(HD$169&lt;SwaptionFirstMonthPosition+1,$FN179&lt;SwaptionFirstMonthPosition+1,HD$169&gt;SwaptionFirstMonthPosition+SwaptionNumOfMonths+1,$FN179&gt;SwaptionFirstMonthPosition+SwaptionNumOfMonths+1),"",IF($FN179=HD$169,1,IF($FN179&lt;HD$169,INDEX($FO$170:$IH$241,HD$169,$FN179),SUMPRODUCT(INDEX($FO$325:$IH$396,HD$169,1+SwaptionShift):INDEX($FO$325:$IH$396,HD$169,SwaptionMonthsToGo+SwaptionShift),INDEX($FO$245:$IH$316,$FN179-HD$169,73-HD$169+SwaptionShift):INDEX($FO$245:$IH$316,$FN179-HD$169,72-HD$169+SwaptionMonthsToGo+SwaptionShift))/SQRT(SUM(INDEX($FO334:$IH334,1+SwaptionShift):INDEX($FO334:$IH334,SwaptionMonthsToGo+SwaptionShift))*SUM(INDEX($FO$325:$IH$396,HD$169,1+SwaptionShift):INDEX($FO$325:$IH$396,HD$169,SwaptionMonthsToGo+SwaptionShift))))))</f>
        <v/>
      </c>
      <c r="HE179" s="469" t="str">
        <f ca="1">IF(OR(HE$169&lt;SwaptionFirstMonthPosition+1,$FN179&lt;SwaptionFirstMonthPosition+1,HE$169&gt;SwaptionFirstMonthPosition+SwaptionNumOfMonths+1,$FN179&gt;SwaptionFirstMonthPosition+SwaptionNumOfMonths+1),"",IF($FN179=HE$169,1,IF($FN179&lt;HE$169,INDEX($FO$170:$IH$241,HE$169,$FN179),SUMPRODUCT(INDEX($FO$325:$IH$396,HE$169,1+SwaptionShift):INDEX($FO$325:$IH$396,HE$169,SwaptionMonthsToGo+SwaptionShift),INDEX($FO$245:$IH$316,$FN179-HE$169,73-HE$169+SwaptionShift):INDEX($FO$245:$IH$316,$FN179-HE$169,72-HE$169+SwaptionMonthsToGo+SwaptionShift))/SQRT(SUM(INDEX($FO334:$IH334,1+SwaptionShift):INDEX($FO334:$IH334,SwaptionMonthsToGo+SwaptionShift))*SUM(INDEX($FO$325:$IH$396,HE$169,1+SwaptionShift):INDEX($FO$325:$IH$396,HE$169,SwaptionMonthsToGo+SwaptionShift))))))</f>
        <v/>
      </c>
      <c r="HF179" s="469" t="str">
        <f ca="1">IF(OR(HF$169&lt;SwaptionFirstMonthPosition+1,$FN179&lt;SwaptionFirstMonthPosition+1,HF$169&gt;SwaptionFirstMonthPosition+SwaptionNumOfMonths+1,$FN179&gt;SwaptionFirstMonthPosition+SwaptionNumOfMonths+1),"",IF($FN179=HF$169,1,IF($FN179&lt;HF$169,INDEX($FO$170:$IH$241,HF$169,$FN179),SUMPRODUCT(INDEX($FO$325:$IH$396,HF$169,1+SwaptionShift):INDEX($FO$325:$IH$396,HF$169,SwaptionMonthsToGo+SwaptionShift),INDEX($FO$245:$IH$316,$FN179-HF$169,73-HF$169+SwaptionShift):INDEX($FO$245:$IH$316,$FN179-HF$169,72-HF$169+SwaptionMonthsToGo+SwaptionShift))/SQRT(SUM(INDEX($FO334:$IH334,1+SwaptionShift):INDEX($FO334:$IH334,SwaptionMonthsToGo+SwaptionShift))*SUM(INDEX($FO$325:$IH$396,HF$169,1+SwaptionShift):INDEX($FO$325:$IH$396,HF$169,SwaptionMonthsToGo+SwaptionShift))))))</f>
        <v/>
      </c>
      <c r="HG179" s="469" t="str">
        <f ca="1">IF(OR(HG$169&lt;SwaptionFirstMonthPosition+1,$FN179&lt;SwaptionFirstMonthPosition+1,HG$169&gt;SwaptionFirstMonthPosition+SwaptionNumOfMonths+1,$FN179&gt;SwaptionFirstMonthPosition+SwaptionNumOfMonths+1),"",IF($FN179=HG$169,1,IF($FN179&lt;HG$169,INDEX($FO$170:$IH$241,HG$169,$FN179),SUMPRODUCT(INDEX($FO$325:$IH$396,HG$169,1+SwaptionShift):INDEX($FO$325:$IH$396,HG$169,SwaptionMonthsToGo+SwaptionShift),INDEX($FO$245:$IH$316,$FN179-HG$169,73-HG$169+SwaptionShift):INDEX($FO$245:$IH$316,$FN179-HG$169,72-HG$169+SwaptionMonthsToGo+SwaptionShift))/SQRT(SUM(INDEX($FO334:$IH334,1+SwaptionShift):INDEX($FO334:$IH334,SwaptionMonthsToGo+SwaptionShift))*SUM(INDEX($FO$325:$IH$396,HG$169,1+SwaptionShift):INDEX($FO$325:$IH$396,HG$169,SwaptionMonthsToGo+SwaptionShift))))))</f>
        <v/>
      </c>
      <c r="HH179" s="469" t="str">
        <f ca="1">IF(OR(HH$169&lt;SwaptionFirstMonthPosition+1,$FN179&lt;SwaptionFirstMonthPosition+1,HH$169&gt;SwaptionFirstMonthPosition+SwaptionNumOfMonths+1,$FN179&gt;SwaptionFirstMonthPosition+SwaptionNumOfMonths+1),"",IF($FN179=HH$169,1,IF($FN179&lt;HH$169,INDEX($FO$170:$IH$241,HH$169,$FN179),SUMPRODUCT(INDEX($FO$325:$IH$396,HH$169,1+SwaptionShift):INDEX($FO$325:$IH$396,HH$169,SwaptionMonthsToGo+SwaptionShift),INDEX($FO$245:$IH$316,$FN179-HH$169,73-HH$169+SwaptionShift):INDEX($FO$245:$IH$316,$FN179-HH$169,72-HH$169+SwaptionMonthsToGo+SwaptionShift))/SQRT(SUM(INDEX($FO334:$IH334,1+SwaptionShift):INDEX($FO334:$IH334,SwaptionMonthsToGo+SwaptionShift))*SUM(INDEX($FO$325:$IH$396,HH$169,1+SwaptionShift):INDEX($FO$325:$IH$396,HH$169,SwaptionMonthsToGo+SwaptionShift))))))</f>
        <v/>
      </c>
      <c r="HI179" s="469" t="str">
        <f ca="1">IF(OR(HI$169&lt;SwaptionFirstMonthPosition+1,$FN179&lt;SwaptionFirstMonthPosition+1,HI$169&gt;SwaptionFirstMonthPosition+SwaptionNumOfMonths+1,$FN179&gt;SwaptionFirstMonthPosition+SwaptionNumOfMonths+1),"",IF($FN179=HI$169,1,IF($FN179&lt;HI$169,INDEX($FO$170:$IH$241,HI$169,$FN179),SUMPRODUCT(INDEX($FO$325:$IH$396,HI$169,1+SwaptionShift):INDEX($FO$325:$IH$396,HI$169,SwaptionMonthsToGo+SwaptionShift),INDEX($FO$245:$IH$316,$FN179-HI$169,73-HI$169+SwaptionShift):INDEX($FO$245:$IH$316,$FN179-HI$169,72-HI$169+SwaptionMonthsToGo+SwaptionShift))/SQRT(SUM(INDEX($FO334:$IH334,1+SwaptionShift):INDEX($FO334:$IH334,SwaptionMonthsToGo+SwaptionShift))*SUM(INDEX($FO$325:$IH$396,HI$169,1+SwaptionShift):INDEX($FO$325:$IH$396,HI$169,SwaptionMonthsToGo+SwaptionShift))))))</f>
        <v/>
      </c>
      <c r="HJ179" s="469" t="str">
        <f ca="1">IF(OR(HJ$169&lt;SwaptionFirstMonthPosition+1,$FN179&lt;SwaptionFirstMonthPosition+1,HJ$169&gt;SwaptionFirstMonthPosition+SwaptionNumOfMonths+1,$FN179&gt;SwaptionFirstMonthPosition+SwaptionNumOfMonths+1),"",IF($FN179=HJ$169,1,IF($FN179&lt;HJ$169,INDEX($FO$170:$IH$241,HJ$169,$FN179),SUMPRODUCT(INDEX($FO$325:$IH$396,HJ$169,1+SwaptionShift):INDEX($FO$325:$IH$396,HJ$169,SwaptionMonthsToGo+SwaptionShift),INDEX($FO$245:$IH$316,$FN179-HJ$169,73-HJ$169+SwaptionShift):INDEX($FO$245:$IH$316,$FN179-HJ$169,72-HJ$169+SwaptionMonthsToGo+SwaptionShift))/SQRT(SUM(INDEX($FO334:$IH334,1+SwaptionShift):INDEX($FO334:$IH334,SwaptionMonthsToGo+SwaptionShift))*SUM(INDEX($FO$325:$IH$396,HJ$169,1+SwaptionShift):INDEX($FO$325:$IH$396,HJ$169,SwaptionMonthsToGo+SwaptionShift))))))</f>
        <v/>
      </c>
      <c r="HK179" s="469" t="str">
        <f ca="1">IF(OR(HK$169&lt;SwaptionFirstMonthPosition+1,$FN179&lt;SwaptionFirstMonthPosition+1,HK$169&gt;SwaptionFirstMonthPosition+SwaptionNumOfMonths+1,$FN179&gt;SwaptionFirstMonthPosition+SwaptionNumOfMonths+1),"",IF($FN179=HK$169,1,IF($FN179&lt;HK$169,INDEX($FO$170:$IH$241,HK$169,$FN179),SUMPRODUCT(INDEX($FO$325:$IH$396,HK$169,1+SwaptionShift):INDEX($FO$325:$IH$396,HK$169,SwaptionMonthsToGo+SwaptionShift),INDEX($FO$245:$IH$316,$FN179-HK$169,73-HK$169+SwaptionShift):INDEX($FO$245:$IH$316,$FN179-HK$169,72-HK$169+SwaptionMonthsToGo+SwaptionShift))/SQRT(SUM(INDEX($FO334:$IH334,1+SwaptionShift):INDEX($FO334:$IH334,SwaptionMonthsToGo+SwaptionShift))*SUM(INDEX($FO$325:$IH$396,HK$169,1+SwaptionShift):INDEX($FO$325:$IH$396,HK$169,SwaptionMonthsToGo+SwaptionShift))))))</f>
        <v/>
      </c>
      <c r="HL179" s="469" t="str">
        <f ca="1">IF(OR(HL$169&lt;SwaptionFirstMonthPosition+1,$FN179&lt;SwaptionFirstMonthPosition+1,HL$169&gt;SwaptionFirstMonthPosition+SwaptionNumOfMonths+1,$FN179&gt;SwaptionFirstMonthPosition+SwaptionNumOfMonths+1),"",IF($FN179=HL$169,1,IF($FN179&lt;HL$169,INDEX($FO$170:$IH$241,HL$169,$FN179),SUMPRODUCT(INDEX($FO$325:$IH$396,HL$169,1+SwaptionShift):INDEX($FO$325:$IH$396,HL$169,SwaptionMonthsToGo+SwaptionShift),INDEX($FO$245:$IH$316,$FN179-HL$169,73-HL$169+SwaptionShift):INDEX($FO$245:$IH$316,$FN179-HL$169,72-HL$169+SwaptionMonthsToGo+SwaptionShift))/SQRT(SUM(INDEX($FO334:$IH334,1+SwaptionShift):INDEX($FO334:$IH334,SwaptionMonthsToGo+SwaptionShift))*SUM(INDEX($FO$325:$IH$396,HL$169,1+SwaptionShift):INDEX($FO$325:$IH$396,HL$169,SwaptionMonthsToGo+SwaptionShift))))))</f>
        <v/>
      </c>
      <c r="HM179" s="469" t="str">
        <f ca="1">IF(OR(HM$169&lt;SwaptionFirstMonthPosition+1,$FN179&lt;SwaptionFirstMonthPosition+1,HM$169&gt;SwaptionFirstMonthPosition+SwaptionNumOfMonths+1,$FN179&gt;SwaptionFirstMonthPosition+SwaptionNumOfMonths+1),"",IF($FN179=HM$169,1,IF($FN179&lt;HM$169,INDEX($FO$170:$IH$241,HM$169,$FN179),SUMPRODUCT(INDEX($FO$325:$IH$396,HM$169,1+SwaptionShift):INDEX($FO$325:$IH$396,HM$169,SwaptionMonthsToGo+SwaptionShift),INDEX($FO$245:$IH$316,$FN179-HM$169,73-HM$169+SwaptionShift):INDEX($FO$245:$IH$316,$FN179-HM$169,72-HM$169+SwaptionMonthsToGo+SwaptionShift))/SQRT(SUM(INDEX($FO334:$IH334,1+SwaptionShift):INDEX($FO334:$IH334,SwaptionMonthsToGo+SwaptionShift))*SUM(INDEX($FO$325:$IH$396,HM$169,1+SwaptionShift):INDEX($FO$325:$IH$396,HM$169,SwaptionMonthsToGo+SwaptionShift))))))</f>
        <v/>
      </c>
      <c r="HN179" s="469" t="str">
        <f ca="1">IF(OR(HN$169&lt;SwaptionFirstMonthPosition+1,$FN179&lt;SwaptionFirstMonthPosition+1,HN$169&gt;SwaptionFirstMonthPosition+SwaptionNumOfMonths+1,$FN179&gt;SwaptionFirstMonthPosition+SwaptionNumOfMonths+1),"",IF($FN179=HN$169,1,IF($FN179&lt;HN$169,INDEX($FO$170:$IH$241,HN$169,$FN179),SUMPRODUCT(INDEX($FO$325:$IH$396,HN$169,1+SwaptionShift):INDEX($FO$325:$IH$396,HN$169,SwaptionMonthsToGo+SwaptionShift),INDEX($FO$245:$IH$316,$FN179-HN$169,73-HN$169+SwaptionShift):INDEX($FO$245:$IH$316,$FN179-HN$169,72-HN$169+SwaptionMonthsToGo+SwaptionShift))/SQRT(SUM(INDEX($FO334:$IH334,1+SwaptionShift):INDEX($FO334:$IH334,SwaptionMonthsToGo+SwaptionShift))*SUM(INDEX($FO$325:$IH$396,HN$169,1+SwaptionShift):INDEX($FO$325:$IH$396,HN$169,SwaptionMonthsToGo+SwaptionShift))))))</f>
        <v/>
      </c>
      <c r="HO179" s="469" t="str">
        <f ca="1">IF(OR(HO$169&lt;SwaptionFirstMonthPosition+1,$FN179&lt;SwaptionFirstMonthPosition+1,HO$169&gt;SwaptionFirstMonthPosition+SwaptionNumOfMonths+1,$FN179&gt;SwaptionFirstMonthPosition+SwaptionNumOfMonths+1),"",IF($FN179=HO$169,1,IF($FN179&lt;HO$169,INDEX($FO$170:$IH$241,HO$169,$FN179),SUMPRODUCT(INDEX($FO$325:$IH$396,HO$169,1+SwaptionShift):INDEX($FO$325:$IH$396,HO$169,SwaptionMonthsToGo+SwaptionShift),INDEX($FO$245:$IH$316,$FN179-HO$169,73-HO$169+SwaptionShift):INDEX($FO$245:$IH$316,$FN179-HO$169,72-HO$169+SwaptionMonthsToGo+SwaptionShift))/SQRT(SUM(INDEX($FO334:$IH334,1+SwaptionShift):INDEX($FO334:$IH334,SwaptionMonthsToGo+SwaptionShift))*SUM(INDEX($FO$325:$IH$396,HO$169,1+SwaptionShift):INDEX($FO$325:$IH$396,HO$169,SwaptionMonthsToGo+SwaptionShift))))))</f>
        <v/>
      </c>
      <c r="HP179" s="469" t="str">
        <f ca="1">IF(OR(HP$169&lt;SwaptionFirstMonthPosition+1,$FN179&lt;SwaptionFirstMonthPosition+1,HP$169&gt;SwaptionFirstMonthPosition+SwaptionNumOfMonths+1,$FN179&gt;SwaptionFirstMonthPosition+SwaptionNumOfMonths+1),"",IF($FN179=HP$169,1,IF($FN179&lt;HP$169,INDEX($FO$170:$IH$241,HP$169,$FN179),SUMPRODUCT(INDEX($FO$325:$IH$396,HP$169,1+SwaptionShift):INDEX($FO$325:$IH$396,HP$169,SwaptionMonthsToGo+SwaptionShift),INDEX($FO$245:$IH$316,$FN179-HP$169,73-HP$169+SwaptionShift):INDEX($FO$245:$IH$316,$FN179-HP$169,72-HP$169+SwaptionMonthsToGo+SwaptionShift))/SQRT(SUM(INDEX($FO334:$IH334,1+SwaptionShift):INDEX($FO334:$IH334,SwaptionMonthsToGo+SwaptionShift))*SUM(INDEX($FO$325:$IH$396,HP$169,1+SwaptionShift):INDEX($FO$325:$IH$396,HP$169,SwaptionMonthsToGo+SwaptionShift))))))</f>
        <v/>
      </c>
      <c r="HQ179" s="469" t="str">
        <f ca="1">IF(OR(HQ$169&lt;SwaptionFirstMonthPosition+1,$FN179&lt;SwaptionFirstMonthPosition+1,HQ$169&gt;SwaptionFirstMonthPosition+SwaptionNumOfMonths+1,$FN179&gt;SwaptionFirstMonthPosition+SwaptionNumOfMonths+1),"",IF($FN179=HQ$169,1,IF($FN179&lt;HQ$169,INDEX($FO$170:$IH$241,HQ$169,$FN179),SUMPRODUCT(INDEX($FO$325:$IH$396,HQ$169,1+SwaptionShift):INDEX($FO$325:$IH$396,HQ$169,SwaptionMonthsToGo+SwaptionShift),INDEX($FO$245:$IH$316,$FN179-HQ$169,73-HQ$169+SwaptionShift):INDEX($FO$245:$IH$316,$FN179-HQ$169,72-HQ$169+SwaptionMonthsToGo+SwaptionShift))/SQRT(SUM(INDEX($FO334:$IH334,1+SwaptionShift):INDEX($FO334:$IH334,SwaptionMonthsToGo+SwaptionShift))*SUM(INDEX($FO$325:$IH$396,HQ$169,1+SwaptionShift):INDEX($FO$325:$IH$396,HQ$169,SwaptionMonthsToGo+SwaptionShift))))))</f>
        <v/>
      </c>
      <c r="HR179" s="469" t="str">
        <f ca="1">IF(OR(HR$169&lt;SwaptionFirstMonthPosition+1,$FN179&lt;SwaptionFirstMonthPosition+1,HR$169&gt;SwaptionFirstMonthPosition+SwaptionNumOfMonths+1,$FN179&gt;SwaptionFirstMonthPosition+SwaptionNumOfMonths+1),"",IF($FN179=HR$169,1,IF($FN179&lt;HR$169,INDEX($FO$170:$IH$241,HR$169,$FN179),SUMPRODUCT(INDEX($FO$325:$IH$396,HR$169,1+SwaptionShift):INDEX($FO$325:$IH$396,HR$169,SwaptionMonthsToGo+SwaptionShift),INDEX($FO$245:$IH$316,$FN179-HR$169,73-HR$169+SwaptionShift):INDEX($FO$245:$IH$316,$FN179-HR$169,72-HR$169+SwaptionMonthsToGo+SwaptionShift))/SQRT(SUM(INDEX($FO334:$IH334,1+SwaptionShift):INDEX($FO334:$IH334,SwaptionMonthsToGo+SwaptionShift))*SUM(INDEX($FO$325:$IH$396,HR$169,1+SwaptionShift):INDEX($FO$325:$IH$396,HR$169,SwaptionMonthsToGo+SwaptionShift))))))</f>
        <v/>
      </c>
      <c r="HS179" s="469" t="str">
        <f ca="1">IF(OR(HS$169&lt;SwaptionFirstMonthPosition+1,$FN179&lt;SwaptionFirstMonthPosition+1,HS$169&gt;SwaptionFirstMonthPosition+SwaptionNumOfMonths+1,$FN179&gt;SwaptionFirstMonthPosition+SwaptionNumOfMonths+1),"",IF($FN179=HS$169,1,IF($FN179&lt;HS$169,INDEX($FO$170:$IH$241,HS$169,$FN179),SUMPRODUCT(INDEX($FO$325:$IH$396,HS$169,1+SwaptionShift):INDEX($FO$325:$IH$396,HS$169,SwaptionMonthsToGo+SwaptionShift),INDEX($FO$245:$IH$316,$FN179-HS$169,73-HS$169+SwaptionShift):INDEX($FO$245:$IH$316,$FN179-HS$169,72-HS$169+SwaptionMonthsToGo+SwaptionShift))/SQRT(SUM(INDEX($FO334:$IH334,1+SwaptionShift):INDEX($FO334:$IH334,SwaptionMonthsToGo+SwaptionShift))*SUM(INDEX($FO$325:$IH$396,HS$169,1+SwaptionShift):INDEX($FO$325:$IH$396,HS$169,SwaptionMonthsToGo+SwaptionShift))))))</f>
        <v/>
      </c>
      <c r="HT179" s="469" t="str">
        <f ca="1">IF(OR(HT$169&lt;SwaptionFirstMonthPosition+1,$FN179&lt;SwaptionFirstMonthPosition+1,HT$169&gt;SwaptionFirstMonthPosition+SwaptionNumOfMonths+1,$FN179&gt;SwaptionFirstMonthPosition+SwaptionNumOfMonths+1),"",IF($FN179=HT$169,1,IF($FN179&lt;HT$169,INDEX($FO$170:$IH$241,HT$169,$FN179),SUMPRODUCT(INDEX($FO$325:$IH$396,HT$169,1+SwaptionShift):INDEX($FO$325:$IH$396,HT$169,SwaptionMonthsToGo+SwaptionShift),INDEX($FO$245:$IH$316,$FN179-HT$169,73-HT$169+SwaptionShift):INDEX($FO$245:$IH$316,$FN179-HT$169,72-HT$169+SwaptionMonthsToGo+SwaptionShift))/SQRT(SUM(INDEX($FO334:$IH334,1+SwaptionShift):INDEX($FO334:$IH334,SwaptionMonthsToGo+SwaptionShift))*SUM(INDEX($FO$325:$IH$396,HT$169,1+SwaptionShift):INDEX($FO$325:$IH$396,HT$169,SwaptionMonthsToGo+SwaptionShift))))))</f>
        <v/>
      </c>
      <c r="HU179" s="469" t="str">
        <f ca="1">IF(OR(HU$169&lt;SwaptionFirstMonthPosition+1,$FN179&lt;SwaptionFirstMonthPosition+1,HU$169&gt;SwaptionFirstMonthPosition+SwaptionNumOfMonths+1,$FN179&gt;SwaptionFirstMonthPosition+SwaptionNumOfMonths+1),"",IF($FN179=HU$169,1,IF($FN179&lt;HU$169,INDEX($FO$170:$IH$241,HU$169,$FN179),SUMPRODUCT(INDEX($FO$325:$IH$396,HU$169,1+SwaptionShift):INDEX($FO$325:$IH$396,HU$169,SwaptionMonthsToGo+SwaptionShift),INDEX($FO$245:$IH$316,$FN179-HU$169,73-HU$169+SwaptionShift):INDEX($FO$245:$IH$316,$FN179-HU$169,72-HU$169+SwaptionMonthsToGo+SwaptionShift))/SQRT(SUM(INDEX($FO334:$IH334,1+SwaptionShift):INDEX($FO334:$IH334,SwaptionMonthsToGo+SwaptionShift))*SUM(INDEX($FO$325:$IH$396,HU$169,1+SwaptionShift):INDEX($FO$325:$IH$396,HU$169,SwaptionMonthsToGo+SwaptionShift))))))</f>
        <v/>
      </c>
      <c r="HV179" s="469" t="str">
        <f ca="1">IF(OR(HV$169&lt;SwaptionFirstMonthPosition+1,$FN179&lt;SwaptionFirstMonthPosition+1,HV$169&gt;SwaptionFirstMonthPosition+SwaptionNumOfMonths+1,$FN179&gt;SwaptionFirstMonthPosition+SwaptionNumOfMonths+1),"",IF($FN179=HV$169,1,IF($FN179&lt;HV$169,INDEX($FO$170:$IH$241,HV$169,$FN179),SUMPRODUCT(INDEX($FO$325:$IH$396,HV$169,1+SwaptionShift):INDEX($FO$325:$IH$396,HV$169,SwaptionMonthsToGo+SwaptionShift),INDEX($FO$245:$IH$316,$FN179-HV$169,73-HV$169+SwaptionShift):INDEX($FO$245:$IH$316,$FN179-HV$169,72-HV$169+SwaptionMonthsToGo+SwaptionShift))/SQRT(SUM(INDEX($FO334:$IH334,1+SwaptionShift):INDEX($FO334:$IH334,SwaptionMonthsToGo+SwaptionShift))*SUM(INDEX($FO$325:$IH$396,HV$169,1+SwaptionShift):INDEX($FO$325:$IH$396,HV$169,SwaptionMonthsToGo+SwaptionShift))))))</f>
        <v/>
      </c>
      <c r="HW179" s="469" t="str">
        <f ca="1">IF(OR(HW$169&lt;SwaptionFirstMonthPosition+1,$FN179&lt;SwaptionFirstMonthPosition+1,HW$169&gt;SwaptionFirstMonthPosition+SwaptionNumOfMonths+1,$FN179&gt;SwaptionFirstMonthPosition+SwaptionNumOfMonths+1),"",IF($FN179=HW$169,1,IF($FN179&lt;HW$169,INDEX($FO$170:$IH$241,HW$169,$FN179),SUMPRODUCT(INDEX($FO$325:$IH$396,HW$169,1+SwaptionShift):INDEX($FO$325:$IH$396,HW$169,SwaptionMonthsToGo+SwaptionShift),INDEX($FO$245:$IH$316,$FN179-HW$169,73-HW$169+SwaptionShift):INDEX($FO$245:$IH$316,$FN179-HW$169,72-HW$169+SwaptionMonthsToGo+SwaptionShift))/SQRT(SUM(INDEX($FO334:$IH334,1+SwaptionShift):INDEX($FO334:$IH334,SwaptionMonthsToGo+SwaptionShift))*SUM(INDEX($FO$325:$IH$396,HW$169,1+SwaptionShift):INDEX($FO$325:$IH$396,HW$169,SwaptionMonthsToGo+SwaptionShift))))))</f>
        <v/>
      </c>
      <c r="HX179" s="469" t="str">
        <f ca="1">IF(OR(HX$169&lt;SwaptionFirstMonthPosition+1,$FN179&lt;SwaptionFirstMonthPosition+1,HX$169&gt;SwaptionFirstMonthPosition+SwaptionNumOfMonths+1,$FN179&gt;SwaptionFirstMonthPosition+SwaptionNumOfMonths+1),"",IF($FN179=HX$169,1,IF($FN179&lt;HX$169,INDEX($FO$170:$IH$241,HX$169,$FN179),SUMPRODUCT(INDEX($FO$325:$IH$396,HX$169,1+SwaptionShift):INDEX($FO$325:$IH$396,HX$169,SwaptionMonthsToGo+SwaptionShift),INDEX($FO$245:$IH$316,$FN179-HX$169,73-HX$169+SwaptionShift):INDEX($FO$245:$IH$316,$FN179-HX$169,72-HX$169+SwaptionMonthsToGo+SwaptionShift))/SQRT(SUM(INDEX($FO334:$IH334,1+SwaptionShift):INDEX($FO334:$IH334,SwaptionMonthsToGo+SwaptionShift))*SUM(INDEX($FO$325:$IH$396,HX$169,1+SwaptionShift):INDEX($FO$325:$IH$396,HX$169,SwaptionMonthsToGo+SwaptionShift))))))</f>
        <v/>
      </c>
      <c r="HY179" s="469" t="str">
        <f ca="1">IF(OR(HY$169&lt;SwaptionFirstMonthPosition+1,$FN179&lt;SwaptionFirstMonthPosition+1,HY$169&gt;SwaptionFirstMonthPosition+SwaptionNumOfMonths+1,$FN179&gt;SwaptionFirstMonthPosition+SwaptionNumOfMonths+1),"",IF($FN179=HY$169,1,IF($FN179&lt;HY$169,INDEX($FO$170:$IH$241,HY$169,$FN179),SUMPRODUCT(INDEX($FO$325:$IH$396,HY$169,1+SwaptionShift):INDEX($FO$325:$IH$396,HY$169,SwaptionMonthsToGo+SwaptionShift),INDEX($FO$245:$IH$316,$FN179-HY$169,73-HY$169+SwaptionShift):INDEX($FO$245:$IH$316,$FN179-HY$169,72-HY$169+SwaptionMonthsToGo+SwaptionShift))/SQRT(SUM(INDEX($FO334:$IH334,1+SwaptionShift):INDEX($FO334:$IH334,SwaptionMonthsToGo+SwaptionShift))*SUM(INDEX($FO$325:$IH$396,HY$169,1+SwaptionShift):INDEX($FO$325:$IH$396,HY$169,SwaptionMonthsToGo+SwaptionShift))))))</f>
        <v/>
      </c>
      <c r="HZ179" s="469" t="str">
        <f ca="1">IF(OR(HZ$169&lt;SwaptionFirstMonthPosition+1,$FN179&lt;SwaptionFirstMonthPosition+1,HZ$169&gt;SwaptionFirstMonthPosition+SwaptionNumOfMonths+1,$FN179&gt;SwaptionFirstMonthPosition+SwaptionNumOfMonths+1),"",IF($FN179=HZ$169,1,IF($FN179&lt;HZ$169,INDEX($FO$170:$IH$241,HZ$169,$FN179),SUMPRODUCT(INDEX($FO$325:$IH$396,HZ$169,1+SwaptionShift):INDEX($FO$325:$IH$396,HZ$169,SwaptionMonthsToGo+SwaptionShift),INDEX($FO$245:$IH$316,$FN179-HZ$169,73-HZ$169+SwaptionShift):INDEX($FO$245:$IH$316,$FN179-HZ$169,72-HZ$169+SwaptionMonthsToGo+SwaptionShift))/SQRT(SUM(INDEX($FO334:$IH334,1+SwaptionShift):INDEX($FO334:$IH334,SwaptionMonthsToGo+SwaptionShift))*SUM(INDEX($FO$325:$IH$396,HZ$169,1+SwaptionShift):INDEX($FO$325:$IH$396,HZ$169,SwaptionMonthsToGo+SwaptionShift))))))</f>
        <v/>
      </c>
      <c r="IA179" s="469" t="str">
        <f ca="1">IF(OR(IA$169&lt;SwaptionFirstMonthPosition+1,$FN179&lt;SwaptionFirstMonthPosition+1,IA$169&gt;SwaptionFirstMonthPosition+SwaptionNumOfMonths+1,$FN179&gt;SwaptionFirstMonthPosition+SwaptionNumOfMonths+1),"",IF($FN179=IA$169,1,IF($FN179&lt;IA$169,INDEX($FO$170:$IH$241,IA$169,$FN179),SUMPRODUCT(INDEX($FO$325:$IH$396,IA$169,1+SwaptionShift):INDEX($FO$325:$IH$396,IA$169,SwaptionMonthsToGo+SwaptionShift),INDEX($FO$245:$IH$316,$FN179-IA$169,73-IA$169+SwaptionShift):INDEX($FO$245:$IH$316,$FN179-IA$169,72-IA$169+SwaptionMonthsToGo+SwaptionShift))/SQRT(SUM(INDEX($FO334:$IH334,1+SwaptionShift):INDEX($FO334:$IH334,SwaptionMonthsToGo+SwaptionShift))*SUM(INDEX($FO$325:$IH$396,IA$169,1+SwaptionShift):INDEX($FO$325:$IH$396,IA$169,SwaptionMonthsToGo+SwaptionShift))))))</f>
        <v/>
      </c>
      <c r="IB179" s="469" t="str">
        <f ca="1">IF(OR(IB$169&lt;SwaptionFirstMonthPosition+1,$FN179&lt;SwaptionFirstMonthPosition+1,IB$169&gt;SwaptionFirstMonthPosition+SwaptionNumOfMonths+1,$FN179&gt;SwaptionFirstMonthPosition+SwaptionNumOfMonths+1),"",IF($FN179=IB$169,1,IF($FN179&lt;IB$169,INDEX($FO$170:$IH$241,IB$169,$FN179),SUMPRODUCT(INDEX($FO$325:$IH$396,IB$169,1+SwaptionShift):INDEX($FO$325:$IH$396,IB$169,SwaptionMonthsToGo+SwaptionShift),INDEX($FO$245:$IH$316,$FN179-IB$169,73-IB$169+SwaptionShift):INDEX($FO$245:$IH$316,$FN179-IB$169,72-IB$169+SwaptionMonthsToGo+SwaptionShift))/SQRT(SUM(INDEX($FO334:$IH334,1+SwaptionShift):INDEX($FO334:$IH334,SwaptionMonthsToGo+SwaptionShift))*SUM(INDEX($FO$325:$IH$396,IB$169,1+SwaptionShift):INDEX($FO$325:$IH$396,IB$169,SwaptionMonthsToGo+SwaptionShift))))))</f>
        <v/>
      </c>
      <c r="IC179" s="469" t="str">
        <f ca="1">IF(OR(IC$169&lt;SwaptionFirstMonthPosition+1,$FN179&lt;SwaptionFirstMonthPosition+1,IC$169&gt;SwaptionFirstMonthPosition+SwaptionNumOfMonths+1,$FN179&gt;SwaptionFirstMonthPosition+SwaptionNumOfMonths+1),"",IF($FN179=IC$169,1,IF($FN179&lt;IC$169,INDEX($FO$170:$IH$241,IC$169,$FN179),SUMPRODUCT(INDEX($FO$325:$IH$396,IC$169,1+SwaptionShift):INDEX($FO$325:$IH$396,IC$169,SwaptionMonthsToGo+SwaptionShift),INDEX($FO$245:$IH$316,$FN179-IC$169,73-IC$169+SwaptionShift):INDEX($FO$245:$IH$316,$FN179-IC$169,72-IC$169+SwaptionMonthsToGo+SwaptionShift))/SQRT(SUM(INDEX($FO334:$IH334,1+SwaptionShift):INDEX($FO334:$IH334,SwaptionMonthsToGo+SwaptionShift))*SUM(INDEX($FO$325:$IH$396,IC$169,1+SwaptionShift):INDEX($FO$325:$IH$396,IC$169,SwaptionMonthsToGo+SwaptionShift))))))</f>
        <v/>
      </c>
      <c r="ID179" s="469" t="str">
        <f ca="1">IF(OR(ID$169&lt;SwaptionFirstMonthPosition+1,$FN179&lt;SwaptionFirstMonthPosition+1,ID$169&gt;SwaptionFirstMonthPosition+SwaptionNumOfMonths+1,$FN179&gt;SwaptionFirstMonthPosition+SwaptionNumOfMonths+1),"",IF($FN179=ID$169,1,IF($FN179&lt;ID$169,INDEX($FO$170:$IH$241,ID$169,$FN179),SUMPRODUCT(INDEX($FO$325:$IH$396,ID$169,1+SwaptionShift):INDEX($FO$325:$IH$396,ID$169,SwaptionMonthsToGo+SwaptionShift),INDEX($FO$245:$IH$316,$FN179-ID$169,73-ID$169+SwaptionShift):INDEX($FO$245:$IH$316,$FN179-ID$169,72-ID$169+SwaptionMonthsToGo+SwaptionShift))/SQRT(SUM(INDEX($FO334:$IH334,1+SwaptionShift):INDEX($FO334:$IH334,SwaptionMonthsToGo+SwaptionShift))*SUM(INDEX($FO$325:$IH$396,ID$169,1+SwaptionShift):INDEX($FO$325:$IH$396,ID$169,SwaptionMonthsToGo+SwaptionShift))))))</f>
        <v/>
      </c>
      <c r="IE179" s="469" t="str">
        <f ca="1">IF(OR(IE$169&lt;SwaptionFirstMonthPosition+1,$FN179&lt;SwaptionFirstMonthPosition+1,IE$169&gt;SwaptionFirstMonthPosition+SwaptionNumOfMonths+1,$FN179&gt;SwaptionFirstMonthPosition+SwaptionNumOfMonths+1),"",IF($FN179=IE$169,1,IF($FN179&lt;IE$169,INDEX($FO$170:$IH$241,IE$169,$FN179),SUMPRODUCT(INDEX($FO$325:$IH$396,IE$169,1+SwaptionShift):INDEX($FO$325:$IH$396,IE$169,SwaptionMonthsToGo+SwaptionShift),INDEX($FO$245:$IH$316,$FN179-IE$169,73-IE$169+SwaptionShift):INDEX($FO$245:$IH$316,$FN179-IE$169,72-IE$169+SwaptionMonthsToGo+SwaptionShift))/SQRT(SUM(INDEX($FO334:$IH334,1+SwaptionShift):INDEX($FO334:$IH334,SwaptionMonthsToGo+SwaptionShift))*SUM(INDEX($FO$325:$IH$396,IE$169,1+SwaptionShift):INDEX($FO$325:$IH$396,IE$169,SwaptionMonthsToGo+SwaptionShift))))))</f>
        <v/>
      </c>
      <c r="IF179" s="469" t="str">
        <f ca="1">IF(OR(IF$169&lt;SwaptionFirstMonthPosition+1,$FN179&lt;SwaptionFirstMonthPosition+1,IF$169&gt;SwaptionFirstMonthPosition+SwaptionNumOfMonths+1,$FN179&gt;SwaptionFirstMonthPosition+SwaptionNumOfMonths+1),"",IF($FN179=IF$169,1,IF($FN179&lt;IF$169,INDEX($FO$170:$IH$241,IF$169,$FN179),SUMPRODUCT(INDEX($FO$325:$IH$396,IF$169,1+SwaptionShift):INDEX($FO$325:$IH$396,IF$169,SwaptionMonthsToGo+SwaptionShift),INDEX($FO$245:$IH$316,$FN179-IF$169,73-IF$169+SwaptionShift):INDEX($FO$245:$IH$316,$FN179-IF$169,72-IF$169+SwaptionMonthsToGo+SwaptionShift))/SQRT(SUM(INDEX($FO334:$IH334,1+SwaptionShift):INDEX($FO334:$IH334,SwaptionMonthsToGo+SwaptionShift))*SUM(INDEX($FO$325:$IH$396,IF$169,1+SwaptionShift):INDEX($FO$325:$IH$396,IF$169,SwaptionMonthsToGo+SwaptionShift))))))</f>
        <v/>
      </c>
      <c r="IG179" s="469" t="str">
        <f ca="1">IF(OR(IG$169&lt;SwaptionFirstMonthPosition+1,$FN179&lt;SwaptionFirstMonthPosition+1,IG$169&gt;SwaptionFirstMonthPosition+SwaptionNumOfMonths+1,$FN179&gt;SwaptionFirstMonthPosition+SwaptionNumOfMonths+1),"",IF($FN179=IG$169,1,IF($FN179&lt;IG$169,INDEX($FO$170:$IH$241,IG$169,$FN179),SUMPRODUCT(INDEX($FO$325:$IH$396,IG$169,1+SwaptionShift):INDEX($FO$325:$IH$396,IG$169,SwaptionMonthsToGo+SwaptionShift),INDEX($FO$245:$IH$316,$FN179-IG$169,73-IG$169+SwaptionShift):INDEX($FO$245:$IH$316,$FN179-IG$169,72-IG$169+SwaptionMonthsToGo+SwaptionShift))/SQRT(SUM(INDEX($FO334:$IH334,1+SwaptionShift):INDEX($FO334:$IH334,SwaptionMonthsToGo+SwaptionShift))*SUM(INDEX($FO$325:$IH$396,IG$169,1+SwaptionShift):INDEX($FO$325:$IH$396,IG$169,SwaptionMonthsToGo+SwaptionShift))))))</f>
        <v/>
      </c>
      <c r="IH179" s="662" t="str">
        <f ca="1">IF(OR(IH$169&lt;SwaptionFirstMonthPosition+1,$FN179&lt;SwaptionFirstMonthPosition+1,IH$169&gt;SwaptionFirstMonthPosition+SwaptionNumOfMonths+1,$FN179&gt;SwaptionFirstMonthPosition+SwaptionNumOfMonths+1),"",IF($FN179=IH$169,1,IF($FN179&lt;IH$169,INDEX($FO$170:$IH$241,IH$169,$FN179),SUMPRODUCT(INDEX($FO$325:$IH$396,IH$169,1+SwaptionShift):INDEX($FO$325:$IH$396,IH$169,SwaptionMonthsToGo+SwaptionShift),INDEX($FO$245:$IH$316,$FN179-IH$169,73-IH$169+SwaptionShift):INDEX($FO$245:$IH$316,$FN179-IH$169,72-IH$169+SwaptionMonthsToGo+SwaptionShift))/SQRT(SUM(INDEX($FO334:$IH334,1+SwaptionShift):INDEX($FO334:$IH334,SwaptionMonthsToGo+SwaptionShift))*SUM(INDEX($FO$325:$IH$396,IH$169,1+SwaptionShift):INDEX($FO$325:$IH$396,IH$169,SwaptionMonthsToGo+SwaptionShift))))))</f>
        <v/>
      </c>
      <c r="II179" s="242"/>
    </row>
    <row r="180" spans="8:243">
      <c r="H180" s="49" t="e">
        <f t="shared" ca="1" si="529"/>
        <v>#N/A</v>
      </c>
      <c r="I180" s="369">
        <f t="shared" si="530"/>
        <v>41883</v>
      </c>
      <c r="J180" s="367">
        <v>23.384999999999902</v>
      </c>
      <c r="K180" s="101" t="s">
        <v>267</v>
      </c>
      <c r="L180" s="382">
        <f t="shared" si="531"/>
        <v>23.384999999999902</v>
      </c>
      <c r="M180" s="163">
        <v>0.14710000000000001</v>
      </c>
      <c r="N180" s="372">
        <v>0</v>
      </c>
      <c r="O180" s="163">
        <f t="shared" si="488"/>
        <v>0.14710000000000001</v>
      </c>
      <c r="P180" s="367">
        <v>22.153868873201898</v>
      </c>
      <c r="Q180" s="101" t="s">
        <v>267</v>
      </c>
      <c r="R180" s="367">
        <f t="shared" ca="1" si="549"/>
        <v>22.153868873201873</v>
      </c>
      <c r="S180" s="814">
        <f t="shared" si="474"/>
        <v>0.35011500135643908</v>
      </c>
      <c r="T180" s="813">
        <f t="shared" si="550"/>
        <v>0.99999999627405112</v>
      </c>
      <c r="U180" s="532">
        <f t="shared" si="551"/>
        <v>0.99999999999999978</v>
      </c>
      <c r="V180" s="379">
        <v>0</v>
      </c>
      <c r="W180" s="424">
        <f t="shared" si="576"/>
        <v>23.417954545454446</v>
      </c>
      <c r="X180" s="405">
        <f t="shared" si="577"/>
        <v>23.417954545454446</v>
      </c>
      <c r="Y180" s="313">
        <f t="shared" si="578"/>
        <v>22.099554545454446</v>
      </c>
      <c r="Z180" s="313">
        <f t="shared" ca="1" si="579"/>
        <v>22.099554545454446</v>
      </c>
      <c r="AA180" s="419">
        <f t="shared" si="493"/>
        <v>1.3184</v>
      </c>
      <c r="AB180" s="423">
        <f t="shared" ca="1" si="494"/>
        <v>1.3184</v>
      </c>
      <c r="AC180" s="221">
        <v>41871</v>
      </c>
      <c r="AD180" s="221">
        <v>41867</v>
      </c>
      <c r="AE180" s="221">
        <v>41866</v>
      </c>
      <c r="AF180" s="221">
        <v>41862</v>
      </c>
      <c r="AG180" s="241" t="s">
        <v>497</v>
      </c>
      <c r="AH180" s="239" t="s">
        <v>497</v>
      </c>
      <c r="AI180" s="141">
        <v>22</v>
      </c>
      <c r="AJ180" s="41">
        <v>15</v>
      </c>
      <c r="AK180" s="41">
        <v>7</v>
      </c>
      <c r="AL180" s="285">
        <v>22</v>
      </c>
      <c r="AM180" s="41">
        <v>10</v>
      </c>
      <c r="AN180" s="142">
        <v>12</v>
      </c>
      <c r="AO180" s="364">
        <v>6.1102547098672605E-2</v>
      </c>
      <c r="AP180" s="145">
        <f t="shared" ca="1" si="532"/>
        <v>0.44438135073865564</v>
      </c>
      <c r="AQ180" s="364">
        <v>5.4264663923415196E-2</v>
      </c>
      <c r="AR180" s="145">
        <f t="shared" ca="1" si="552"/>
        <v>0.48923444332541144</v>
      </c>
      <c r="AS180" s="264">
        <f t="shared" si="580"/>
        <v>0.14657272727272727</v>
      </c>
      <c r="AT180" s="149">
        <f t="shared" si="533"/>
        <v>0.14710000000000001</v>
      </c>
      <c r="AU180" s="149">
        <f t="shared" si="496"/>
        <v>0.14648181818181819</v>
      </c>
      <c r="AV180" s="263">
        <f t="shared" ca="1" si="560"/>
        <v>0.14488851053501739</v>
      </c>
      <c r="AW180" s="150" t="str">
        <f t="shared" ca="1" si="581"/>
        <v/>
      </c>
      <c r="AX180" s="149">
        <f t="shared" ca="1" si="553"/>
        <v>6.7959725902257085E-3</v>
      </c>
      <c r="AY180" s="149">
        <f t="shared" ca="1" si="554"/>
        <v>2.4292620805620724E-3</v>
      </c>
      <c r="AZ180" s="149">
        <f t="shared" ca="1" si="555"/>
        <v>2.3089178801727977E-3</v>
      </c>
      <c r="BA180" s="149">
        <f t="shared" ca="1" si="556"/>
        <v>1.0000000000000763E-4</v>
      </c>
      <c r="BB180" s="149">
        <f t="shared" ca="1" si="557"/>
        <v>1.0000000000000763E-4</v>
      </c>
      <c r="BC180" s="149">
        <f t="shared" ca="1" si="558"/>
        <v>1.0000000000000763E-4</v>
      </c>
      <c r="BD180" s="143">
        <f t="shared" ca="1" si="582"/>
        <v>0</v>
      </c>
      <c r="BE180" s="144">
        <f t="shared" ca="1" si="583"/>
        <v>0</v>
      </c>
      <c r="BF180" s="40">
        <f t="shared" si="584"/>
        <v>2014</v>
      </c>
      <c r="BG180" s="139">
        <f t="shared" si="585"/>
        <v>9</v>
      </c>
      <c r="BH180" s="140">
        <f t="shared" ca="1" si="586"/>
        <v>4877</v>
      </c>
      <c r="BI180" s="304">
        <f t="shared" ca="1" si="570"/>
        <v>13.396303901437372</v>
      </c>
      <c r="BJ180" s="42">
        <f t="shared" ca="1" si="503"/>
        <v>13.450438678364756</v>
      </c>
      <c r="BK180" s="42">
        <f t="shared" ca="1" si="504"/>
        <v>13.453176529151889</v>
      </c>
      <c r="BL180" s="42">
        <f t="shared" ca="1" si="571"/>
        <v>13.475701574264203</v>
      </c>
      <c r="BM180" s="285">
        <f t="shared" si="572"/>
        <v>22</v>
      </c>
      <c r="BN180" s="41">
        <f t="shared" si="573"/>
        <v>15</v>
      </c>
      <c r="BO180" s="41">
        <f t="shared" si="574"/>
        <v>7</v>
      </c>
      <c r="BP180" s="297" t="str">
        <f t="shared" ca="1" si="505"/>
        <v/>
      </c>
      <c r="BQ180" s="297" t="str">
        <f t="shared" ca="1" si="506"/>
        <v/>
      </c>
      <c r="BR180" s="299" t="str">
        <f t="shared" ca="1" si="507"/>
        <v/>
      </c>
      <c r="BS180" s="153" t="str">
        <f t="shared" ca="1" si="508"/>
        <v/>
      </c>
      <c r="BT180" s="153" t="str">
        <f t="shared" ca="1" si="509"/>
        <v/>
      </c>
      <c r="BU180" s="300" t="str">
        <f t="shared" ca="1" si="510"/>
        <v/>
      </c>
      <c r="BV180" s="301" t="str">
        <f t="shared" ca="1" si="511"/>
        <v/>
      </c>
      <c r="BW180" s="300" t="str">
        <f t="shared" ca="1" si="512"/>
        <v/>
      </c>
      <c r="BX180" s="301" t="str">
        <f t="shared" ca="1" si="513"/>
        <v/>
      </c>
      <c r="BY180" s="146" t="str">
        <f t="shared" ca="1" si="514"/>
        <v/>
      </c>
      <c r="BZ180" s="146" t="str">
        <f t="shared" ca="1" si="515"/>
        <v/>
      </c>
      <c r="CA180" s="146" t="str">
        <f t="shared" ca="1" si="516"/>
        <v/>
      </c>
      <c r="CB180" s="146" t="str">
        <f t="shared" ca="1" si="517"/>
        <v/>
      </c>
      <c r="CC180" s="302">
        <v>1</v>
      </c>
      <c r="CD180" s="154">
        <f ca="1">IF(BD180,_xll.xCrudeAPO(BS180,BT180,BY180,BZ180,S181,S182,BI180,BL180,BN180,BO180,0,Strike1,AO180,CC180,0,BL180,IF(OptControl=4,0,1),0,1),0)</f>
        <v>0</v>
      </c>
      <c r="CE180" s="155">
        <f ca="1">IF(BD180,_xll.xCrudeAPO(BS180,BT180,BY180,BZ180,S181,S182,BI180,BL180,BN180,BO180,0,Strike1,AO180,CC180,0,BL180,IF(OptControl=4,0,1),1,1)+_xll.xCrudeAPO(BS180,BT180,BY180,BZ180,S181,S182,BI180,BL180,BN180,BO180,0,Strike1,AO180,CC180,0,BL180,IF(OptControl=4,0,1),1,2)+IF(OR(VolSkewFlag=2,ABS(BQ180)&lt;0.0001),0,IF(BQ180&gt;0,-1,1)*CF180*Strike1/BP180^2*BW180/10%),0)</f>
        <v>0</v>
      </c>
      <c r="CF180" s="155">
        <f ca="1">IF(BD180,(_xll.xCrudeAPO(BS180,BT180,BY180,BZ180,S181,S182,BI180,BL180,BN180,BO180,0,Strike1,AO180,CC180,0,BL180,IF(OptControl=4,0,1),3,1)+_xll.xCrudeAPO(BS180,BT180,BY180,BZ180,S181,S182,BI180,BL180,BN180,BO180,0,Strike1,AO180,CC180,0,BL180,IF(OptControl=4,0,1),3,2))/100,0)</f>
        <v>0</v>
      </c>
      <c r="CG180" s="155">
        <f ca="1">IF(BD180,_xll.xCrudeAPO(BS180,BT180,BY180,BZ180,S181,S182,BI180-DaysForThetaCalculation/365.25,BL180-DaysForThetaCalculation/365.25,BN180,BO180,0,Strike1,AO180,CC180,0,BL180,IF(OptControl=4,0,1),0,1)-_xll.xCrudeAPO(BS180,BT180,BY180,BZ180,S181,S182,BI180,BL180,BN180,BO180,0,Strike1,AO180,CC180,0,BL180,IF(OptControl=4,0,1),0,1),0)</f>
        <v>0</v>
      </c>
      <c r="CH180" s="303">
        <f ca="1">IF(BD180,_xll.xCrudeAPO(BS180,BT180,CA180,CB180,S181,S182,BI180,BL180,BN180,BO180,0,Strike2,AO180,CC180,0,BL180,IF(OptControl=3,1,0),0,1),0)</f>
        <v>0</v>
      </c>
      <c r="CI180" s="155">
        <f ca="1">IF(BD180,_xll.xCrudeAPO(BS180,BT180,CA180,CB180,S181,S182,BI180,BL180,BN180,BO180,0,Strike2,AO180,CC180,0,BL180,IF(OptControl=3,1,0),1,1)+_xll.xCrudeAPO(BS180,BT180,CA180,CB180,S181,S182,BI180,BL180,BN180,BO180,0,Strike2,AO180,CC180,0,BL180,IF(OptControl=3,1,0),1,2)+IF(OR(VolSkewFlag=2,ABS(BR180)&lt;0.0001),0,IF(BR180&gt;0,-1,1)*CJ180*Strike2/BP180^2*BX180/10%),0)</f>
        <v>0</v>
      </c>
      <c r="CJ180" s="155">
        <f ca="1">IF(BD180,(_xll.xCrudeAPO(BS180,BT180,CA180,CB180,S181,S182,BI180,BL180,BN180,BO180,0,Strike2,AO180,CC180,0,BL180,IF(OptControl=3,1,0),3,1)+_xll.xCrudeAPO(BS180,BT180,CA180,CB180,S181,S182,BI180,BL180,BN180,BO180,0,Strike2,AO180,CC180,0,BL180,IF(OptControl=3,1,0),3,2))/100,0)</f>
        <v>0</v>
      </c>
      <c r="CK180" s="156">
        <f ca="1">IF(BD180,_xll.xCrudeAPO(BS180,BT180,CA180,CB180,S181,S182,BI180-DaysForThetaCalculation/365.25,BL180-DaysForThetaCalculation/365.25,BN180,BO180,0,Strike2,AO180,CC180,0,BL180,IF(OptControl=3,1,0),0,1)-_xll.xCrudeAPO(BS180,BT180,CA180,CB180,S181,S182,BI180,BL180,BN180,BO180,0,Strike2,AO180,CC180,0,BL180,IF(OptControl=3,1,0),0,1),0)</f>
        <v>0</v>
      </c>
      <c r="CL180" s="51"/>
      <c r="CM180" s="779" t="str">
        <f t="shared" ca="1" si="534"/>
        <v/>
      </c>
      <c r="CN180" s="783" t="str">
        <f t="shared" ca="1" si="535"/>
        <v/>
      </c>
      <c r="CO180" s="780" t="str">
        <f t="shared" ca="1" si="536"/>
        <v/>
      </c>
      <c r="CP180" s="780" t="str">
        <f t="shared" ca="1" si="537"/>
        <v/>
      </c>
      <c r="CQ180" s="780" t="str">
        <f t="shared" ca="1" si="538"/>
        <v/>
      </c>
      <c r="CR180" s="780" t="str">
        <f t="shared" ca="1" si="539"/>
        <v/>
      </c>
      <c r="CS180" s="781" t="str">
        <f t="shared" ca="1" si="540"/>
        <v/>
      </c>
      <c r="CT180" s="782" t="str">
        <f t="shared" ca="1" si="541"/>
        <v/>
      </c>
      <c r="CU180" s="782" t="str">
        <f t="shared" ca="1" si="542"/>
        <v/>
      </c>
      <c r="CV180" s="155">
        <f ca="1">IF(BD180,_xll.EURO(CN180,Strike1,AO180,AO180,CT180,CM180,IF(OptControl=4,0,1),0),0)</f>
        <v>0</v>
      </c>
      <c r="CW180" s="155">
        <f ca="1">IF(BD180,_xll.EURO(CN180,Strike1,AO180,AO180,CT180,CM180,IF(OptControl=4,0,1),1)+IF(OR(VolSkewFlag=2,ABS(CO180)&lt;0.0001),0,IF(CO180&gt;0,-1,1)*CX180*100*Strike1/CN180^2*CQ180/10%),0)</f>
        <v>0</v>
      </c>
      <c r="CX180" s="155">
        <f ca="1">IF(BD180,_xll.EURO(CN180,Strike1,AO180,AO180,CT180,CM180,IF(OptControl=4,0,1),3)/100,0)</f>
        <v>0</v>
      </c>
      <c r="CY180" s="155">
        <f ca="1">IF(BD180,_xll.EURO(CN180,Strike1,AO180,AO180,CT180,CM180,IF(OptControl=4,0,1),0)-_xll.EURO(CN180,Strike1,AO180,AO180,CT180,CM180-1,IF(OptControl=4,0,1),0),0)</f>
        <v>0</v>
      </c>
      <c r="CZ180" s="155">
        <f ca="1">IF(BD180,_xll.EURO(CN180,Strike2,AO180,AO180,CU180,CM180,IF(OptControl=3,1,0),0),0)</f>
        <v>0</v>
      </c>
      <c r="DA180" s="155">
        <f ca="1">IF(BD180,_xll.EURO(CN180,Strike2,AO180,AO180,CU180,CM180,IF(OptControl=3,1,0),1)+IF(OR(VolSkewFlag=2,ABS(CP180)&lt;0.0001),0,IF(CP180&gt;0,-1,1)*DB180*100*Strike2/CN180^2*CR180/10%),0)</f>
        <v>0</v>
      </c>
      <c r="DB180" s="155">
        <f ca="1">IF(BD180,_xll.EURO(CN180,Strike2,AO180,AO180,CU180,CM180,IF(OptControl=3,1,0),3)/100,0)</f>
        <v>0</v>
      </c>
      <c r="DC180" s="156">
        <f ca="1">IF(BD180,_xll.EURO(CN180,Strike2,AO180,AO180,CU180,CM180,IF(OptControl=3,1,0),0)-_xll.EURO(CN180,Strike2,AO180,AO180,CU180,CM180-1,IF(OptControl=3,1,0),0),0)</f>
        <v>0</v>
      </c>
      <c r="DE180" s="651">
        <f t="shared" ca="1" si="543"/>
        <v>41791</v>
      </c>
      <c r="DF180" s="465">
        <v>1E-4</v>
      </c>
      <c r="DG180" s="649">
        <v>1E-4</v>
      </c>
      <c r="DH180" s="650">
        <f t="shared" ca="1" si="587"/>
        <v>41791</v>
      </c>
      <c r="DI180" s="465">
        <v>1E-4</v>
      </c>
      <c r="DJ180" s="649">
        <v>1E-4</v>
      </c>
      <c r="DK180" s="651">
        <f t="shared" ca="1" si="588"/>
        <v>41791</v>
      </c>
      <c r="DL180" s="652">
        <f t="shared" si="589"/>
        <v>5.0100000000000006E-2</v>
      </c>
      <c r="DM180" s="651">
        <f t="shared" ca="1" si="544"/>
        <v>41791</v>
      </c>
      <c r="DN180" s="563">
        <f t="shared" si="545"/>
        <v>-0.12990000000000002</v>
      </c>
      <c r="DO180" s="803">
        <v>-0.13</v>
      </c>
      <c r="DP180" s="650">
        <f t="shared" ca="1" si="590"/>
        <v>41791</v>
      </c>
      <c r="DQ180" s="653">
        <v>1E-4</v>
      </c>
      <c r="DR180" s="590">
        <v>1E-4</v>
      </c>
      <c r="DS180" s="650">
        <f t="shared" ca="1" si="591"/>
        <v>41791</v>
      </c>
      <c r="DT180" s="653">
        <v>1E-4</v>
      </c>
      <c r="DU180" s="590">
        <v>1E-4</v>
      </c>
      <c r="DV180" s="651">
        <f t="shared" ca="1" si="592"/>
        <v>41791</v>
      </c>
      <c r="DW180" s="590">
        <v>1E-4</v>
      </c>
      <c r="DX180" s="651">
        <f t="shared" ca="1" si="546"/>
        <v>41791</v>
      </c>
      <c r="DY180" s="590">
        <f t="shared" si="547"/>
        <v>1E-4</v>
      </c>
      <c r="DZ180" s="1"/>
      <c r="EA180" s="857"/>
      <c r="EB180" s="857"/>
      <c r="EC180" s="857"/>
      <c r="ED180" s="868" t="e">
        <f t="shared" ca="1" si="566"/>
        <v>#NAME?</v>
      </c>
      <c r="EE180" s="863" t="e">
        <f t="shared" ca="1" si="524"/>
        <v>#NAME?</v>
      </c>
      <c r="EF180" s="590" t="e">
        <f t="shared" ca="1" si="525"/>
        <v>#NAME?</v>
      </c>
      <c r="EG180" s="862" t="str">
        <f t="shared" ca="1" si="593"/>
        <v/>
      </c>
      <c r="EH180" s="114" t="str">
        <f t="shared" ca="1" si="527"/>
        <v/>
      </c>
      <c r="EI180" s="109" t="str">
        <f t="shared" ca="1" si="528"/>
        <v/>
      </c>
      <c r="EJ180" s="115">
        <f ca="1">IF(BD180,_xll.xASN(BP180,Strike1,AO180,EH180,0,BM180,0,BI180,BL180,IF(OptControl=4,0,1),0),0)</f>
        <v>0</v>
      </c>
      <c r="EK180" s="108">
        <f ca="1">IF(BD180,_xll.xASN(BP180,Strike2,AO180,EI180,0,BM180,0,BI180,BL180,IF(OptControl=3,1,0),0),0)</f>
        <v>0</v>
      </c>
      <c r="EP180" s="53"/>
      <c r="EQ180" s="1"/>
      <c r="ER180" s="103"/>
      <c r="ES180" s="103"/>
      <c r="ET180" s="1"/>
      <c r="EU180" s="667" t="s">
        <v>392</v>
      </c>
      <c r="EW180" s="445"/>
      <c r="EX180" s="36"/>
      <c r="EY180" s="104"/>
      <c r="EZ180" s="465"/>
      <c r="FA180" s="446"/>
      <c r="FB180" s="446"/>
      <c r="FC180" s="242"/>
      <c r="FD180" s="242"/>
      <c r="FE180" s="242"/>
      <c r="FF180" s="242"/>
      <c r="FG180" s="242"/>
      <c r="FH180" s="242"/>
      <c r="FI180" s="242"/>
      <c r="FJ180" s="242"/>
      <c r="FK180" s="242"/>
      <c r="FL180" s="242"/>
      <c r="FM180" s="242"/>
      <c r="FN180" s="657">
        <v>11</v>
      </c>
      <c r="FO180" s="469" t="str">
        <f ca="1">IF(OR(FO$169&lt;SwaptionFirstMonthPosition+1,$FN180&lt;SwaptionFirstMonthPosition+1,FO$169&gt;SwaptionFirstMonthPosition+SwaptionNumOfMonths+1,$FN180&gt;SwaptionFirstMonthPosition+SwaptionNumOfMonths+1),"",IF($FN180=FO$169,1,IF($FN180&lt;FO$169,INDEX($FO$170:$IH$241,FO$169,$FN180),SUMPRODUCT(INDEX($FO$325:$IH$396,FO$169,1+SwaptionShift):INDEX($FO$325:$IH$396,FO$169,SwaptionMonthsToGo+SwaptionShift),INDEX($FO$245:$IH$316,$FN180-FO$169,73-FO$169+SwaptionShift):INDEX($FO$245:$IH$316,$FN180-FO$169,72-FO$169+SwaptionMonthsToGo+SwaptionShift))/SQRT(SUM(INDEX($FO335:$IH335,1+SwaptionShift):INDEX($FO335:$IH335,SwaptionMonthsToGo+SwaptionShift))*SUM(INDEX($FO$325:$IH$396,FO$169,1+SwaptionShift):INDEX($FO$325:$IH$396,FO$169,SwaptionMonthsToGo+SwaptionShift))))))</f>
        <v/>
      </c>
      <c r="FP180" s="469">
        <f ca="1">IF(OR(FP$169&lt;SwaptionFirstMonthPosition+1,$FN180&lt;SwaptionFirstMonthPosition+1,FP$169&gt;SwaptionFirstMonthPosition+SwaptionNumOfMonths+1,$FN180&gt;SwaptionFirstMonthPosition+SwaptionNumOfMonths+1),"",IF($FN180=FP$169,1,IF($FN180&lt;FP$169,INDEX($FO$170:$IH$241,FP$169,$FN180),SUMPRODUCT(INDEX($FO$325:$IH$396,FP$169,1+SwaptionShift):INDEX($FO$325:$IH$396,FP$169,SwaptionMonthsToGo+SwaptionShift),INDEX($FO$245:$IH$316,$FN180-FP$169,73-FP$169+SwaptionShift):INDEX($FO$245:$IH$316,$FN180-FP$169,72-FP$169+SwaptionMonthsToGo+SwaptionShift))/SQRT(SUM(INDEX($FO335:$IH335,1+SwaptionShift):INDEX($FO335:$IH335,SwaptionMonthsToGo+SwaptionShift))*SUM(INDEX($FO$325:$IH$396,FP$169,1+SwaptionShift):INDEX($FO$325:$IH$396,FP$169,SwaptionMonthsToGo+SwaptionShift))))))</f>
        <v>0.91184765922894662</v>
      </c>
      <c r="FQ180" s="469">
        <f ca="1">IF(OR(FQ$169&lt;SwaptionFirstMonthPosition+1,$FN180&lt;SwaptionFirstMonthPosition+1,FQ$169&gt;SwaptionFirstMonthPosition+SwaptionNumOfMonths+1,$FN180&gt;SwaptionFirstMonthPosition+SwaptionNumOfMonths+1),"",IF($FN180=FQ$169,1,IF($FN180&lt;FQ$169,INDEX($FO$170:$IH$241,FQ$169,$FN180),SUMPRODUCT(INDEX($FO$325:$IH$396,FQ$169,1+SwaptionShift):INDEX($FO$325:$IH$396,FQ$169,SwaptionMonthsToGo+SwaptionShift),INDEX($FO$245:$IH$316,$FN180-FQ$169,73-FQ$169+SwaptionShift):INDEX($FO$245:$IH$316,$FN180-FQ$169,72-FQ$169+SwaptionMonthsToGo+SwaptionShift))/SQRT(SUM(INDEX($FO335:$IH335,1+SwaptionShift):INDEX($FO335:$IH335,SwaptionMonthsToGo+SwaptionShift))*SUM(INDEX($FO$325:$IH$396,FQ$169,1+SwaptionShift):INDEX($FO$325:$IH$396,FQ$169,SwaptionMonthsToGo+SwaptionShift))))))</f>
        <v>0.92958910546237683</v>
      </c>
      <c r="FR180" s="469">
        <f ca="1">IF(OR(FR$169&lt;SwaptionFirstMonthPosition+1,$FN180&lt;SwaptionFirstMonthPosition+1,FR$169&gt;SwaptionFirstMonthPosition+SwaptionNumOfMonths+1,$FN180&gt;SwaptionFirstMonthPosition+SwaptionNumOfMonths+1),"",IF($FN180=FR$169,1,IF($FN180&lt;FR$169,INDEX($FO$170:$IH$241,FR$169,$FN180),SUMPRODUCT(INDEX($FO$325:$IH$396,FR$169,1+SwaptionShift):INDEX($FO$325:$IH$396,FR$169,SwaptionMonthsToGo+SwaptionShift),INDEX($FO$245:$IH$316,$FN180-FR$169,73-FR$169+SwaptionShift):INDEX($FO$245:$IH$316,$FN180-FR$169,72-FR$169+SwaptionMonthsToGo+SwaptionShift))/SQRT(SUM(INDEX($FO335:$IH335,1+SwaptionShift):INDEX($FO335:$IH335,SwaptionMonthsToGo+SwaptionShift))*SUM(INDEX($FO$325:$IH$396,FR$169,1+SwaptionShift):INDEX($FO$325:$IH$396,FR$169,SwaptionMonthsToGo+SwaptionShift))))))</f>
        <v>0.94434983855700183</v>
      </c>
      <c r="FS180" s="469">
        <f ca="1">IF(OR(FS$169&lt;SwaptionFirstMonthPosition+1,$FN180&lt;SwaptionFirstMonthPosition+1,FS$169&gt;SwaptionFirstMonthPosition+SwaptionNumOfMonths+1,$FN180&gt;SwaptionFirstMonthPosition+SwaptionNumOfMonths+1),"",IF($FN180=FS$169,1,IF($FN180&lt;FS$169,INDEX($FO$170:$IH$241,FS$169,$FN180),SUMPRODUCT(INDEX($FO$325:$IH$396,FS$169,1+SwaptionShift):INDEX($FO$325:$IH$396,FS$169,SwaptionMonthsToGo+SwaptionShift),INDEX($FO$245:$IH$316,$FN180-FS$169,73-FS$169+SwaptionShift):INDEX($FO$245:$IH$316,$FN180-FS$169,72-FS$169+SwaptionMonthsToGo+SwaptionShift))/SQRT(SUM(INDEX($FO335:$IH335,1+SwaptionShift):INDEX($FO335:$IH335,SwaptionMonthsToGo+SwaptionShift))*SUM(INDEX($FO$325:$IH$396,FS$169,1+SwaptionShift):INDEX($FO$325:$IH$396,FS$169,SwaptionMonthsToGo+SwaptionShift))))))</f>
        <v>0.95669464177158492</v>
      </c>
      <c r="FT180" s="469">
        <f ca="1">IF(OR(FT$169&lt;SwaptionFirstMonthPosition+1,$FN180&lt;SwaptionFirstMonthPosition+1,FT$169&gt;SwaptionFirstMonthPosition+SwaptionNumOfMonths+1,$FN180&gt;SwaptionFirstMonthPosition+SwaptionNumOfMonths+1),"",IF($FN180=FT$169,1,IF($FN180&lt;FT$169,INDEX($FO$170:$IH$241,FT$169,$FN180),SUMPRODUCT(INDEX($FO$325:$IH$396,FT$169,1+SwaptionShift):INDEX($FO$325:$IH$396,FT$169,SwaptionMonthsToGo+SwaptionShift),INDEX($FO$245:$IH$316,$FN180-FT$169,73-FT$169+SwaptionShift):INDEX($FO$245:$IH$316,$FN180-FT$169,72-FT$169+SwaptionMonthsToGo+SwaptionShift))/SQRT(SUM(INDEX($FO335:$IH335,1+SwaptionShift):INDEX($FO335:$IH335,SwaptionMonthsToGo+SwaptionShift))*SUM(INDEX($FO$325:$IH$396,FT$169,1+SwaptionShift):INDEX($FO$325:$IH$396,FT$169,SwaptionMonthsToGo+SwaptionShift))))))</f>
        <v>0.967077277828578</v>
      </c>
      <c r="FU180" s="469">
        <f ca="1">IF(OR(FU$169&lt;SwaptionFirstMonthPosition+1,$FN180&lt;SwaptionFirstMonthPosition+1,FU$169&gt;SwaptionFirstMonthPosition+SwaptionNumOfMonths+1,$FN180&gt;SwaptionFirstMonthPosition+SwaptionNumOfMonths+1),"",IF($FN180=FU$169,1,IF($FN180&lt;FU$169,INDEX($FO$170:$IH$241,FU$169,$FN180),SUMPRODUCT(INDEX($FO$325:$IH$396,FU$169,1+SwaptionShift):INDEX($FO$325:$IH$396,FU$169,SwaptionMonthsToGo+SwaptionShift),INDEX($FO$245:$IH$316,$FN180-FU$169,73-FU$169+SwaptionShift):INDEX($FO$245:$IH$316,$FN180-FU$169,72-FU$169+SwaptionMonthsToGo+SwaptionShift))/SQRT(SUM(INDEX($FO335:$IH335,1+SwaptionShift):INDEX($FO335:$IH335,SwaptionMonthsToGo+SwaptionShift))*SUM(INDEX($FO$325:$IH$396,FU$169,1+SwaptionShift):INDEX($FO$325:$IH$396,FU$169,SwaptionMonthsToGo+SwaptionShift))))))</f>
        <v>0.97586082228565507</v>
      </c>
      <c r="FV180" s="469">
        <f ca="1">IF(OR(FV$169&lt;SwaptionFirstMonthPosition+1,$FN180&lt;SwaptionFirstMonthPosition+1,FV$169&gt;SwaptionFirstMonthPosition+SwaptionNumOfMonths+1,$FN180&gt;SwaptionFirstMonthPosition+SwaptionNumOfMonths+1),"",IF($FN180=FV$169,1,IF($FN180&lt;FV$169,INDEX($FO$170:$IH$241,FV$169,$FN180),SUMPRODUCT(INDEX($FO$325:$IH$396,FV$169,1+SwaptionShift):INDEX($FO$325:$IH$396,FV$169,SwaptionMonthsToGo+SwaptionShift),INDEX($FO$245:$IH$316,$FN180-FV$169,73-FV$169+SwaptionShift):INDEX($FO$245:$IH$316,$FN180-FV$169,72-FV$169+SwaptionMonthsToGo+SwaptionShift))/SQRT(SUM(INDEX($FO335:$IH335,1+SwaptionShift):INDEX($FO335:$IH335,SwaptionMonthsToGo+SwaptionShift))*SUM(INDEX($FO$325:$IH$396,FV$169,1+SwaptionShift):INDEX($FO$325:$IH$396,FV$169,SwaptionMonthsToGo+SwaptionShift))))))</f>
        <v>0.98333529963564026</v>
      </c>
      <c r="FW180" s="469">
        <f ca="1">IF(OR(FW$169&lt;SwaptionFirstMonthPosition+1,$FN180&lt;SwaptionFirstMonthPosition+1,FW$169&gt;SwaptionFirstMonthPosition+SwaptionNumOfMonths+1,$FN180&gt;SwaptionFirstMonthPosition+SwaptionNumOfMonths+1),"",IF($FN180=FW$169,1,IF($FN180&lt;FW$169,INDEX($FO$170:$IH$241,FW$169,$FN180),SUMPRODUCT(INDEX($FO$325:$IH$396,FW$169,1+SwaptionShift):INDEX($FO$325:$IH$396,FW$169,SwaptionMonthsToGo+SwaptionShift),INDEX($FO$245:$IH$316,$FN180-FW$169,73-FW$169+SwaptionShift):INDEX($FO$245:$IH$316,$FN180-FW$169,72-FW$169+SwaptionMonthsToGo+SwaptionShift))/SQRT(SUM(INDEX($FO335:$IH335,1+SwaptionShift):INDEX($FO335:$IH335,SwaptionMonthsToGo+SwaptionShift))*SUM(INDEX($FO$325:$IH$396,FW$169,1+SwaptionShift):INDEX($FO$325:$IH$396,FW$169,SwaptionMonthsToGo+SwaptionShift))))))</f>
        <v>0.98973243405020084</v>
      </c>
      <c r="FX180" s="469">
        <f ca="1">IF(OR(FX$169&lt;SwaptionFirstMonthPosition+1,$FN180&lt;SwaptionFirstMonthPosition+1,FX$169&gt;SwaptionFirstMonthPosition+SwaptionNumOfMonths+1,$FN180&gt;SwaptionFirstMonthPosition+SwaptionNumOfMonths+1),"",IF($FN180=FX$169,1,IF($FN180&lt;FX$169,INDEX($FO$170:$IH$241,FX$169,$FN180),SUMPRODUCT(INDEX($FO$325:$IH$396,FX$169,1+SwaptionShift):INDEX($FO$325:$IH$396,FX$169,SwaptionMonthsToGo+SwaptionShift),INDEX($FO$245:$IH$316,$FN180-FX$169,73-FX$169+SwaptionShift):INDEX($FO$245:$IH$316,$FN180-FX$169,72-FX$169+SwaptionMonthsToGo+SwaptionShift))/SQRT(SUM(INDEX($FO335:$IH335,1+SwaptionShift):INDEX($FO335:$IH335,SwaptionMonthsToGo+SwaptionShift))*SUM(INDEX($FO$325:$IH$396,FX$169,1+SwaptionShift):INDEX($FO$325:$IH$396,FX$169,SwaptionMonthsToGo+SwaptionShift))))))</f>
        <v>0.9952376983333221</v>
      </c>
      <c r="FY180" s="469">
        <f ca="1">IF(OR(FY$169&lt;SwaptionFirstMonthPosition+1,$FN180&lt;SwaptionFirstMonthPosition+1,FY$169&gt;SwaptionFirstMonthPosition+SwaptionNumOfMonths+1,$FN180&gt;SwaptionFirstMonthPosition+SwaptionNumOfMonths+1),"",IF($FN180=FY$169,1,IF($FN180&lt;FY$169,INDEX($FO$170:$IH$241,FY$169,$FN180),SUMPRODUCT(INDEX($FO$325:$IH$396,FY$169,1+SwaptionShift):INDEX($FO$325:$IH$396,FY$169,SwaptionMonthsToGo+SwaptionShift),INDEX($FO$245:$IH$316,$FN180-FY$169,73-FY$169+SwaptionShift):INDEX($FO$245:$IH$316,$FN180-FY$169,72-FY$169+SwaptionMonthsToGo+SwaptionShift))/SQRT(SUM(INDEX($FO335:$IH335,1+SwaptionShift):INDEX($FO335:$IH335,SwaptionMonthsToGo+SwaptionShift))*SUM(INDEX($FO$325:$IH$396,FY$169,1+SwaptionShift):INDEX($FO$325:$IH$396,FY$169,SwaptionMonthsToGo+SwaptionShift))))))</f>
        <v>1</v>
      </c>
      <c r="FZ180" s="469">
        <f ca="1">IF(OR(FZ$169&lt;SwaptionFirstMonthPosition+1,$FN180&lt;SwaptionFirstMonthPosition+1,FZ$169&gt;SwaptionFirstMonthPosition+SwaptionNumOfMonths+1,$FN180&gt;SwaptionFirstMonthPosition+SwaptionNumOfMonths+1),"",IF($FN180=FZ$169,1,IF($FN180&lt;FZ$169,INDEX($FO$170:$IH$241,FZ$169,$FN180),SUMPRODUCT(INDEX($FO$325:$IH$396,FZ$169,1+SwaptionShift):INDEX($FO$325:$IH$396,FZ$169,SwaptionMonthsToGo+SwaptionShift),INDEX($FO$245:$IH$316,$FN180-FZ$169,73-FZ$169+SwaptionShift):INDEX($FO$245:$IH$316,$FN180-FZ$169,72-FZ$169+SwaptionMonthsToGo+SwaptionShift))/SQRT(SUM(INDEX($FO335:$IH335,1+SwaptionShift):INDEX($FO335:$IH335,SwaptionMonthsToGo+SwaptionShift))*SUM(INDEX($FO$325:$IH$396,FZ$169,1+SwaptionShift):INDEX($FO$325:$IH$396,FZ$169,SwaptionMonthsToGo+SwaptionShift))))))</f>
        <v>0.99587537313373908</v>
      </c>
      <c r="GA180" s="469">
        <f ca="1">IF(OR(GA$169&lt;SwaptionFirstMonthPosition+1,$FN180&lt;SwaptionFirstMonthPosition+1,GA$169&gt;SwaptionFirstMonthPosition+SwaptionNumOfMonths+1,$FN180&gt;SwaptionFirstMonthPosition+SwaptionNumOfMonths+1),"",IF($FN180=GA$169,1,IF($FN180&lt;GA$169,INDEX($FO$170:$IH$241,GA$169,$FN180),SUMPRODUCT(INDEX($FO$325:$IH$396,GA$169,1+SwaptionShift):INDEX($FO$325:$IH$396,GA$169,SwaptionMonthsToGo+SwaptionShift),INDEX($FO$245:$IH$316,$FN180-GA$169,73-GA$169+SwaptionShift):INDEX($FO$245:$IH$316,$FN180-GA$169,72-GA$169+SwaptionMonthsToGo+SwaptionShift))/SQRT(SUM(INDEX($FO335:$IH335,1+SwaptionShift):INDEX($FO335:$IH335,SwaptionMonthsToGo+SwaptionShift))*SUM(INDEX($FO$325:$IH$396,GA$169,1+SwaptionShift):INDEX($FO$325:$IH$396,GA$169,SwaptionMonthsToGo+SwaptionShift))))))</f>
        <v>0.99229826761116291</v>
      </c>
      <c r="GB180" s="469">
        <f ca="1">IF(OR(GB$169&lt;SwaptionFirstMonthPosition+1,$FN180&lt;SwaptionFirstMonthPosition+1,GB$169&gt;SwaptionFirstMonthPosition+SwaptionNumOfMonths+1,$FN180&gt;SwaptionFirstMonthPosition+SwaptionNumOfMonths+1),"",IF($FN180=GB$169,1,IF($FN180&lt;GB$169,INDEX($FO$170:$IH$241,GB$169,$FN180),SUMPRODUCT(INDEX($FO$325:$IH$396,GB$169,1+SwaptionShift):INDEX($FO$325:$IH$396,GB$169,SwaptionMonthsToGo+SwaptionShift),INDEX($FO$245:$IH$316,$FN180-GB$169,73-GB$169+SwaptionShift):INDEX($FO$245:$IH$316,$FN180-GB$169,72-GB$169+SwaptionMonthsToGo+SwaptionShift))/SQRT(SUM(INDEX($FO335:$IH335,1+SwaptionShift):INDEX($FO335:$IH335,SwaptionMonthsToGo+SwaptionShift))*SUM(INDEX($FO$325:$IH$396,GB$169,1+SwaptionShift):INDEX($FO$325:$IH$396,GB$169,SwaptionMonthsToGo+SwaptionShift))))))</f>
        <v>0.98918081912689515</v>
      </c>
      <c r="GC180" s="469" t="str">
        <f ca="1">IF(OR(GC$169&lt;SwaptionFirstMonthPosition+1,$FN180&lt;SwaptionFirstMonthPosition+1,GC$169&gt;SwaptionFirstMonthPosition+SwaptionNumOfMonths+1,$FN180&gt;SwaptionFirstMonthPosition+SwaptionNumOfMonths+1),"",IF($FN180=GC$169,1,IF($FN180&lt;GC$169,INDEX($FO$170:$IH$241,GC$169,$FN180),SUMPRODUCT(INDEX($FO$325:$IH$396,GC$169,1+SwaptionShift):INDEX($FO$325:$IH$396,GC$169,SwaptionMonthsToGo+SwaptionShift),INDEX($FO$245:$IH$316,$FN180-GC$169,73-GC$169+SwaptionShift):INDEX($FO$245:$IH$316,$FN180-GC$169,72-GC$169+SwaptionMonthsToGo+SwaptionShift))/SQRT(SUM(INDEX($FO335:$IH335,1+SwaptionShift):INDEX($FO335:$IH335,SwaptionMonthsToGo+SwaptionShift))*SUM(INDEX($FO$325:$IH$396,GC$169,1+SwaptionShift):INDEX($FO$325:$IH$396,GC$169,SwaptionMonthsToGo+SwaptionShift))))))</f>
        <v/>
      </c>
      <c r="GD180" s="469" t="str">
        <f ca="1">IF(OR(GD$169&lt;SwaptionFirstMonthPosition+1,$FN180&lt;SwaptionFirstMonthPosition+1,GD$169&gt;SwaptionFirstMonthPosition+SwaptionNumOfMonths+1,$FN180&gt;SwaptionFirstMonthPosition+SwaptionNumOfMonths+1),"",IF($FN180=GD$169,1,IF($FN180&lt;GD$169,INDEX($FO$170:$IH$241,GD$169,$FN180),SUMPRODUCT(INDEX($FO$325:$IH$396,GD$169,1+SwaptionShift):INDEX($FO$325:$IH$396,GD$169,SwaptionMonthsToGo+SwaptionShift),INDEX($FO$245:$IH$316,$FN180-GD$169,73-GD$169+SwaptionShift):INDEX($FO$245:$IH$316,$FN180-GD$169,72-GD$169+SwaptionMonthsToGo+SwaptionShift))/SQRT(SUM(INDEX($FO335:$IH335,1+SwaptionShift):INDEX($FO335:$IH335,SwaptionMonthsToGo+SwaptionShift))*SUM(INDEX($FO$325:$IH$396,GD$169,1+SwaptionShift):INDEX($FO$325:$IH$396,GD$169,SwaptionMonthsToGo+SwaptionShift))))))</f>
        <v/>
      </c>
      <c r="GE180" s="469" t="str">
        <f ca="1">IF(OR(GE$169&lt;SwaptionFirstMonthPosition+1,$FN180&lt;SwaptionFirstMonthPosition+1,GE$169&gt;SwaptionFirstMonthPosition+SwaptionNumOfMonths+1,$FN180&gt;SwaptionFirstMonthPosition+SwaptionNumOfMonths+1),"",IF($FN180=GE$169,1,IF($FN180&lt;GE$169,INDEX($FO$170:$IH$241,GE$169,$FN180),SUMPRODUCT(INDEX($FO$325:$IH$396,GE$169,1+SwaptionShift):INDEX($FO$325:$IH$396,GE$169,SwaptionMonthsToGo+SwaptionShift),INDEX($FO$245:$IH$316,$FN180-GE$169,73-GE$169+SwaptionShift):INDEX($FO$245:$IH$316,$FN180-GE$169,72-GE$169+SwaptionMonthsToGo+SwaptionShift))/SQRT(SUM(INDEX($FO335:$IH335,1+SwaptionShift):INDEX($FO335:$IH335,SwaptionMonthsToGo+SwaptionShift))*SUM(INDEX($FO$325:$IH$396,GE$169,1+SwaptionShift):INDEX($FO$325:$IH$396,GE$169,SwaptionMonthsToGo+SwaptionShift))))))</f>
        <v/>
      </c>
      <c r="GF180" s="469" t="str">
        <f ca="1">IF(OR(GF$169&lt;SwaptionFirstMonthPosition+1,$FN180&lt;SwaptionFirstMonthPosition+1,GF$169&gt;SwaptionFirstMonthPosition+SwaptionNumOfMonths+1,$FN180&gt;SwaptionFirstMonthPosition+SwaptionNumOfMonths+1),"",IF($FN180=GF$169,1,IF($FN180&lt;GF$169,INDEX($FO$170:$IH$241,GF$169,$FN180),SUMPRODUCT(INDEX($FO$325:$IH$396,GF$169,1+SwaptionShift):INDEX($FO$325:$IH$396,GF$169,SwaptionMonthsToGo+SwaptionShift),INDEX($FO$245:$IH$316,$FN180-GF$169,73-GF$169+SwaptionShift):INDEX($FO$245:$IH$316,$FN180-GF$169,72-GF$169+SwaptionMonthsToGo+SwaptionShift))/SQRT(SUM(INDEX($FO335:$IH335,1+SwaptionShift):INDEX($FO335:$IH335,SwaptionMonthsToGo+SwaptionShift))*SUM(INDEX($FO$325:$IH$396,GF$169,1+SwaptionShift):INDEX($FO$325:$IH$396,GF$169,SwaptionMonthsToGo+SwaptionShift))))))</f>
        <v/>
      </c>
      <c r="GG180" s="469" t="str">
        <f ca="1">IF(OR(GG$169&lt;SwaptionFirstMonthPosition+1,$FN180&lt;SwaptionFirstMonthPosition+1,GG$169&gt;SwaptionFirstMonthPosition+SwaptionNumOfMonths+1,$FN180&gt;SwaptionFirstMonthPosition+SwaptionNumOfMonths+1),"",IF($FN180=GG$169,1,IF($FN180&lt;GG$169,INDEX($FO$170:$IH$241,GG$169,$FN180),SUMPRODUCT(INDEX($FO$325:$IH$396,GG$169,1+SwaptionShift):INDEX($FO$325:$IH$396,GG$169,SwaptionMonthsToGo+SwaptionShift),INDEX($FO$245:$IH$316,$FN180-GG$169,73-GG$169+SwaptionShift):INDEX($FO$245:$IH$316,$FN180-GG$169,72-GG$169+SwaptionMonthsToGo+SwaptionShift))/SQRT(SUM(INDEX($FO335:$IH335,1+SwaptionShift):INDEX($FO335:$IH335,SwaptionMonthsToGo+SwaptionShift))*SUM(INDEX($FO$325:$IH$396,GG$169,1+SwaptionShift):INDEX($FO$325:$IH$396,GG$169,SwaptionMonthsToGo+SwaptionShift))))))</f>
        <v/>
      </c>
      <c r="GH180" s="469" t="str">
        <f ca="1">IF(OR(GH$169&lt;SwaptionFirstMonthPosition+1,$FN180&lt;SwaptionFirstMonthPosition+1,GH$169&gt;SwaptionFirstMonthPosition+SwaptionNumOfMonths+1,$FN180&gt;SwaptionFirstMonthPosition+SwaptionNumOfMonths+1),"",IF($FN180=GH$169,1,IF($FN180&lt;GH$169,INDEX($FO$170:$IH$241,GH$169,$FN180),SUMPRODUCT(INDEX($FO$325:$IH$396,GH$169,1+SwaptionShift):INDEX($FO$325:$IH$396,GH$169,SwaptionMonthsToGo+SwaptionShift),INDEX($FO$245:$IH$316,$FN180-GH$169,73-GH$169+SwaptionShift):INDEX($FO$245:$IH$316,$FN180-GH$169,72-GH$169+SwaptionMonthsToGo+SwaptionShift))/SQRT(SUM(INDEX($FO335:$IH335,1+SwaptionShift):INDEX($FO335:$IH335,SwaptionMonthsToGo+SwaptionShift))*SUM(INDEX($FO$325:$IH$396,GH$169,1+SwaptionShift):INDEX($FO$325:$IH$396,GH$169,SwaptionMonthsToGo+SwaptionShift))))))</f>
        <v/>
      </c>
      <c r="GI180" s="469" t="str">
        <f ca="1">IF(OR(GI$169&lt;SwaptionFirstMonthPosition+1,$FN180&lt;SwaptionFirstMonthPosition+1,GI$169&gt;SwaptionFirstMonthPosition+SwaptionNumOfMonths+1,$FN180&gt;SwaptionFirstMonthPosition+SwaptionNumOfMonths+1),"",IF($FN180=GI$169,1,IF($FN180&lt;GI$169,INDEX($FO$170:$IH$241,GI$169,$FN180),SUMPRODUCT(INDEX($FO$325:$IH$396,GI$169,1+SwaptionShift):INDEX($FO$325:$IH$396,GI$169,SwaptionMonthsToGo+SwaptionShift),INDEX($FO$245:$IH$316,$FN180-GI$169,73-GI$169+SwaptionShift):INDEX($FO$245:$IH$316,$FN180-GI$169,72-GI$169+SwaptionMonthsToGo+SwaptionShift))/SQRT(SUM(INDEX($FO335:$IH335,1+SwaptionShift):INDEX($FO335:$IH335,SwaptionMonthsToGo+SwaptionShift))*SUM(INDEX($FO$325:$IH$396,GI$169,1+SwaptionShift):INDEX($FO$325:$IH$396,GI$169,SwaptionMonthsToGo+SwaptionShift))))))</f>
        <v/>
      </c>
      <c r="GJ180" s="469" t="str">
        <f ca="1">IF(OR(GJ$169&lt;SwaptionFirstMonthPosition+1,$FN180&lt;SwaptionFirstMonthPosition+1,GJ$169&gt;SwaptionFirstMonthPosition+SwaptionNumOfMonths+1,$FN180&gt;SwaptionFirstMonthPosition+SwaptionNumOfMonths+1),"",IF($FN180=GJ$169,1,IF($FN180&lt;GJ$169,INDEX($FO$170:$IH$241,GJ$169,$FN180),SUMPRODUCT(INDEX($FO$325:$IH$396,GJ$169,1+SwaptionShift):INDEX($FO$325:$IH$396,GJ$169,SwaptionMonthsToGo+SwaptionShift),INDEX($FO$245:$IH$316,$FN180-GJ$169,73-GJ$169+SwaptionShift):INDEX($FO$245:$IH$316,$FN180-GJ$169,72-GJ$169+SwaptionMonthsToGo+SwaptionShift))/SQRT(SUM(INDEX($FO335:$IH335,1+SwaptionShift):INDEX($FO335:$IH335,SwaptionMonthsToGo+SwaptionShift))*SUM(INDEX($FO$325:$IH$396,GJ$169,1+SwaptionShift):INDEX($FO$325:$IH$396,GJ$169,SwaptionMonthsToGo+SwaptionShift))))))</f>
        <v/>
      </c>
      <c r="GK180" s="469" t="str">
        <f ca="1">IF(OR(GK$169&lt;SwaptionFirstMonthPosition+1,$FN180&lt;SwaptionFirstMonthPosition+1,GK$169&gt;SwaptionFirstMonthPosition+SwaptionNumOfMonths+1,$FN180&gt;SwaptionFirstMonthPosition+SwaptionNumOfMonths+1),"",IF($FN180=GK$169,1,IF($FN180&lt;GK$169,INDEX($FO$170:$IH$241,GK$169,$FN180),SUMPRODUCT(INDEX($FO$325:$IH$396,GK$169,1+SwaptionShift):INDEX($FO$325:$IH$396,GK$169,SwaptionMonthsToGo+SwaptionShift),INDEX($FO$245:$IH$316,$FN180-GK$169,73-GK$169+SwaptionShift):INDEX($FO$245:$IH$316,$FN180-GK$169,72-GK$169+SwaptionMonthsToGo+SwaptionShift))/SQRT(SUM(INDEX($FO335:$IH335,1+SwaptionShift):INDEX($FO335:$IH335,SwaptionMonthsToGo+SwaptionShift))*SUM(INDEX($FO$325:$IH$396,GK$169,1+SwaptionShift):INDEX($FO$325:$IH$396,GK$169,SwaptionMonthsToGo+SwaptionShift))))))</f>
        <v/>
      </c>
      <c r="GL180" s="469" t="str">
        <f ca="1">IF(OR(GL$169&lt;SwaptionFirstMonthPosition+1,$FN180&lt;SwaptionFirstMonthPosition+1,GL$169&gt;SwaptionFirstMonthPosition+SwaptionNumOfMonths+1,$FN180&gt;SwaptionFirstMonthPosition+SwaptionNumOfMonths+1),"",IF($FN180=GL$169,1,IF($FN180&lt;GL$169,INDEX($FO$170:$IH$241,GL$169,$FN180),SUMPRODUCT(INDEX($FO$325:$IH$396,GL$169,1+SwaptionShift):INDEX($FO$325:$IH$396,GL$169,SwaptionMonthsToGo+SwaptionShift),INDEX($FO$245:$IH$316,$FN180-GL$169,73-GL$169+SwaptionShift):INDEX($FO$245:$IH$316,$FN180-GL$169,72-GL$169+SwaptionMonthsToGo+SwaptionShift))/SQRT(SUM(INDEX($FO335:$IH335,1+SwaptionShift):INDEX($FO335:$IH335,SwaptionMonthsToGo+SwaptionShift))*SUM(INDEX($FO$325:$IH$396,GL$169,1+SwaptionShift):INDEX($FO$325:$IH$396,GL$169,SwaptionMonthsToGo+SwaptionShift))))))</f>
        <v/>
      </c>
      <c r="GM180" s="469" t="str">
        <f ca="1">IF(OR(GM$169&lt;SwaptionFirstMonthPosition+1,$FN180&lt;SwaptionFirstMonthPosition+1,GM$169&gt;SwaptionFirstMonthPosition+SwaptionNumOfMonths+1,$FN180&gt;SwaptionFirstMonthPosition+SwaptionNumOfMonths+1),"",IF($FN180=GM$169,1,IF($FN180&lt;GM$169,INDEX($FO$170:$IH$241,GM$169,$FN180),SUMPRODUCT(INDEX($FO$325:$IH$396,GM$169,1+SwaptionShift):INDEX($FO$325:$IH$396,GM$169,SwaptionMonthsToGo+SwaptionShift),INDEX($FO$245:$IH$316,$FN180-GM$169,73-GM$169+SwaptionShift):INDEX($FO$245:$IH$316,$FN180-GM$169,72-GM$169+SwaptionMonthsToGo+SwaptionShift))/SQRT(SUM(INDEX($FO335:$IH335,1+SwaptionShift):INDEX($FO335:$IH335,SwaptionMonthsToGo+SwaptionShift))*SUM(INDEX($FO$325:$IH$396,GM$169,1+SwaptionShift):INDEX($FO$325:$IH$396,GM$169,SwaptionMonthsToGo+SwaptionShift))))))</f>
        <v/>
      </c>
      <c r="GN180" s="469" t="str">
        <f ca="1">IF(OR(GN$169&lt;SwaptionFirstMonthPosition+1,$FN180&lt;SwaptionFirstMonthPosition+1,GN$169&gt;SwaptionFirstMonthPosition+SwaptionNumOfMonths+1,$FN180&gt;SwaptionFirstMonthPosition+SwaptionNumOfMonths+1),"",IF($FN180=GN$169,1,IF($FN180&lt;GN$169,INDEX($FO$170:$IH$241,GN$169,$FN180),SUMPRODUCT(INDEX($FO$325:$IH$396,GN$169,1+SwaptionShift):INDEX($FO$325:$IH$396,GN$169,SwaptionMonthsToGo+SwaptionShift),INDEX($FO$245:$IH$316,$FN180-GN$169,73-GN$169+SwaptionShift):INDEX($FO$245:$IH$316,$FN180-GN$169,72-GN$169+SwaptionMonthsToGo+SwaptionShift))/SQRT(SUM(INDEX($FO335:$IH335,1+SwaptionShift):INDEX($FO335:$IH335,SwaptionMonthsToGo+SwaptionShift))*SUM(INDEX($FO$325:$IH$396,GN$169,1+SwaptionShift):INDEX($FO$325:$IH$396,GN$169,SwaptionMonthsToGo+SwaptionShift))))))</f>
        <v/>
      </c>
      <c r="GO180" s="469" t="str">
        <f ca="1">IF(OR(GO$169&lt;SwaptionFirstMonthPosition+1,$FN180&lt;SwaptionFirstMonthPosition+1,GO$169&gt;SwaptionFirstMonthPosition+SwaptionNumOfMonths+1,$FN180&gt;SwaptionFirstMonthPosition+SwaptionNumOfMonths+1),"",IF($FN180=GO$169,1,IF($FN180&lt;GO$169,INDEX($FO$170:$IH$241,GO$169,$FN180),SUMPRODUCT(INDEX($FO$325:$IH$396,GO$169,1+SwaptionShift):INDEX($FO$325:$IH$396,GO$169,SwaptionMonthsToGo+SwaptionShift),INDEX($FO$245:$IH$316,$FN180-GO$169,73-GO$169+SwaptionShift):INDEX($FO$245:$IH$316,$FN180-GO$169,72-GO$169+SwaptionMonthsToGo+SwaptionShift))/SQRT(SUM(INDEX($FO335:$IH335,1+SwaptionShift):INDEX($FO335:$IH335,SwaptionMonthsToGo+SwaptionShift))*SUM(INDEX($FO$325:$IH$396,GO$169,1+SwaptionShift):INDEX($FO$325:$IH$396,GO$169,SwaptionMonthsToGo+SwaptionShift))))))</f>
        <v/>
      </c>
      <c r="GP180" s="469" t="str">
        <f ca="1">IF(OR(GP$169&lt;SwaptionFirstMonthPosition+1,$FN180&lt;SwaptionFirstMonthPosition+1,GP$169&gt;SwaptionFirstMonthPosition+SwaptionNumOfMonths+1,$FN180&gt;SwaptionFirstMonthPosition+SwaptionNumOfMonths+1),"",IF($FN180=GP$169,1,IF($FN180&lt;GP$169,INDEX($FO$170:$IH$241,GP$169,$FN180),SUMPRODUCT(INDEX($FO$325:$IH$396,GP$169,1+SwaptionShift):INDEX($FO$325:$IH$396,GP$169,SwaptionMonthsToGo+SwaptionShift),INDEX($FO$245:$IH$316,$FN180-GP$169,73-GP$169+SwaptionShift):INDEX($FO$245:$IH$316,$FN180-GP$169,72-GP$169+SwaptionMonthsToGo+SwaptionShift))/SQRT(SUM(INDEX($FO335:$IH335,1+SwaptionShift):INDEX($FO335:$IH335,SwaptionMonthsToGo+SwaptionShift))*SUM(INDEX($FO$325:$IH$396,GP$169,1+SwaptionShift):INDEX($FO$325:$IH$396,GP$169,SwaptionMonthsToGo+SwaptionShift))))))</f>
        <v/>
      </c>
      <c r="GQ180" s="469" t="str">
        <f ca="1">IF(OR(GQ$169&lt;SwaptionFirstMonthPosition+1,$FN180&lt;SwaptionFirstMonthPosition+1,GQ$169&gt;SwaptionFirstMonthPosition+SwaptionNumOfMonths+1,$FN180&gt;SwaptionFirstMonthPosition+SwaptionNumOfMonths+1),"",IF($FN180=GQ$169,1,IF($FN180&lt;GQ$169,INDEX($FO$170:$IH$241,GQ$169,$FN180),SUMPRODUCT(INDEX($FO$325:$IH$396,GQ$169,1+SwaptionShift):INDEX($FO$325:$IH$396,GQ$169,SwaptionMonthsToGo+SwaptionShift),INDEX($FO$245:$IH$316,$FN180-GQ$169,73-GQ$169+SwaptionShift):INDEX($FO$245:$IH$316,$FN180-GQ$169,72-GQ$169+SwaptionMonthsToGo+SwaptionShift))/SQRT(SUM(INDEX($FO335:$IH335,1+SwaptionShift):INDEX($FO335:$IH335,SwaptionMonthsToGo+SwaptionShift))*SUM(INDEX($FO$325:$IH$396,GQ$169,1+SwaptionShift):INDEX($FO$325:$IH$396,GQ$169,SwaptionMonthsToGo+SwaptionShift))))))</f>
        <v/>
      </c>
      <c r="GR180" s="469" t="str">
        <f ca="1">IF(OR(GR$169&lt;SwaptionFirstMonthPosition+1,$FN180&lt;SwaptionFirstMonthPosition+1,GR$169&gt;SwaptionFirstMonthPosition+SwaptionNumOfMonths+1,$FN180&gt;SwaptionFirstMonthPosition+SwaptionNumOfMonths+1),"",IF($FN180=GR$169,1,IF($FN180&lt;GR$169,INDEX($FO$170:$IH$241,GR$169,$FN180),SUMPRODUCT(INDEX($FO$325:$IH$396,GR$169,1+SwaptionShift):INDEX($FO$325:$IH$396,GR$169,SwaptionMonthsToGo+SwaptionShift),INDEX($FO$245:$IH$316,$FN180-GR$169,73-GR$169+SwaptionShift):INDEX($FO$245:$IH$316,$FN180-GR$169,72-GR$169+SwaptionMonthsToGo+SwaptionShift))/SQRT(SUM(INDEX($FO335:$IH335,1+SwaptionShift):INDEX($FO335:$IH335,SwaptionMonthsToGo+SwaptionShift))*SUM(INDEX($FO$325:$IH$396,GR$169,1+SwaptionShift):INDEX($FO$325:$IH$396,GR$169,SwaptionMonthsToGo+SwaptionShift))))))</f>
        <v/>
      </c>
      <c r="GS180" s="469" t="str">
        <f ca="1">IF(OR(GS$169&lt;SwaptionFirstMonthPosition+1,$FN180&lt;SwaptionFirstMonthPosition+1,GS$169&gt;SwaptionFirstMonthPosition+SwaptionNumOfMonths+1,$FN180&gt;SwaptionFirstMonthPosition+SwaptionNumOfMonths+1),"",IF($FN180=GS$169,1,IF($FN180&lt;GS$169,INDEX($FO$170:$IH$241,GS$169,$FN180),SUMPRODUCT(INDEX($FO$325:$IH$396,GS$169,1+SwaptionShift):INDEX($FO$325:$IH$396,GS$169,SwaptionMonthsToGo+SwaptionShift),INDEX($FO$245:$IH$316,$FN180-GS$169,73-GS$169+SwaptionShift):INDEX($FO$245:$IH$316,$FN180-GS$169,72-GS$169+SwaptionMonthsToGo+SwaptionShift))/SQRT(SUM(INDEX($FO335:$IH335,1+SwaptionShift):INDEX($FO335:$IH335,SwaptionMonthsToGo+SwaptionShift))*SUM(INDEX($FO$325:$IH$396,GS$169,1+SwaptionShift):INDEX($FO$325:$IH$396,GS$169,SwaptionMonthsToGo+SwaptionShift))))))</f>
        <v/>
      </c>
      <c r="GT180" s="469" t="str">
        <f ca="1">IF(OR(GT$169&lt;SwaptionFirstMonthPosition+1,$FN180&lt;SwaptionFirstMonthPosition+1,GT$169&gt;SwaptionFirstMonthPosition+SwaptionNumOfMonths+1,$FN180&gt;SwaptionFirstMonthPosition+SwaptionNumOfMonths+1),"",IF($FN180=GT$169,1,IF($FN180&lt;GT$169,INDEX($FO$170:$IH$241,GT$169,$FN180),SUMPRODUCT(INDEX($FO$325:$IH$396,GT$169,1+SwaptionShift):INDEX($FO$325:$IH$396,GT$169,SwaptionMonthsToGo+SwaptionShift),INDEX($FO$245:$IH$316,$FN180-GT$169,73-GT$169+SwaptionShift):INDEX($FO$245:$IH$316,$FN180-GT$169,72-GT$169+SwaptionMonthsToGo+SwaptionShift))/SQRT(SUM(INDEX($FO335:$IH335,1+SwaptionShift):INDEX($FO335:$IH335,SwaptionMonthsToGo+SwaptionShift))*SUM(INDEX($FO$325:$IH$396,GT$169,1+SwaptionShift):INDEX($FO$325:$IH$396,GT$169,SwaptionMonthsToGo+SwaptionShift))))))</f>
        <v/>
      </c>
      <c r="GU180" s="469" t="str">
        <f ca="1">IF(OR(GU$169&lt;SwaptionFirstMonthPosition+1,$FN180&lt;SwaptionFirstMonthPosition+1,GU$169&gt;SwaptionFirstMonthPosition+SwaptionNumOfMonths+1,$FN180&gt;SwaptionFirstMonthPosition+SwaptionNumOfMonths+1),"",IF($FN180=GU$169,1,IF($FN180&lt;GU$169,INDEX($FO$170:$IH$241,GU$169,$FN180),SUMPRODUCT(INDEX($FO$325:$IH$396,GU$169,1+SwaptionShift):INDEX($FO$325:$IH$396,GU$169,SwaptionMonthsToGo+SwaptionShift),INDEX($FO$245:$IH$316,$FN180-GU$169,73-GU$169+SwaptionShift):INDEX($FO$245:$IH$316,$FN180-GU$169,72-GU$169+SwaptionMonthsToGo+SwaptionShift))/SQRT(SUM(INDEX($FO335:$IH335,1+SwaptionShift):INDEX($FO335:$IH335,SwaptionMonthsToGo+SwaptionShift))*SUM(INDEX($FO$325:$IH$396,GU$169,1+SwaptionShift):INDEX($FO$325:$IH$396,GU$169,SwaptionMonthsToGo+SwaptionShift))))))</f>
        <v/>
      </c>
      <c r="GV180" s="469" t="str">
        <f ca="1">IF(OR(GV$169&lt;SwaptionFirstMonthPosition+1,$FN180&lt;SwaptionFirstMonthPosition+1,GV$169&gt;SwaptionFirstMonthPosition+SwaptionNumOfMonths+1,$FN180&gt;SwaptionFirstMonthPosition+SwaptionNumOfMonths+1),"",IF($FN180=GV$169,1,IF($FN180&lt;GV$169,INDEX($FO$170:$IH$241,GV$169,$FN180),SUMPRODUCT(INDEX($FO$325:$IH$396,GV$169,1+SwaptionShift):INDEX($FO$325:$IH$396,GV$169,SwaptionMonthsToGo+SwaptionShift),INDEX($FO$245:$IH$316,$FN180-GV$169,73-GV$169+SwaptionShift):INDEX($FO$245:$IH$316,$FN180-GV$169,72-GV$169+SwaptionMonthsToGo+SwaptionShift))/SQRT(SUM(INDEX($FO335:$IH335,1+SwaptionShift):INDEX($FO335:$IH335,SwaptionMonthsToGo+SwaptionShift))*SUM(INDEX($FO$325:$IH$396,GV$169,1+SwaptionShift):INDEX($FO$325:$IH$396,GV$169,SwaptionMonthsToGo+SwaptionShift))))))</f>
        <v/>
      </c>
      <c r="GW180" s="469" t="str">
        <f ca="1">IF(OR(GW$169&lt;SwaptionFirstMonthPosition+1,$FN180&lt;SwaptionFirstMonthPosition+1,GW$169&gt;SwaptionFirstMonthPosition+SwaptionNumOfMonths+1,$FN180&gt;SwaptionFirstMonthPosition+SwaptionNumOfMonths+1),"",IF($FN180=GW$169,1,IF($FN180&lt;GW$169,INDEX($FO$170:$IH$241,GW$169,$FN180),SUMPRODUCT(INDEX($FO$325:$IH$396,GW$169,1+SwaptionShift):INDEX($FO$325:$IH$396,GW$169,SwaptionMonthsToGo+SwaptionShift),INDEX($FO$245:$IH$316,$FN180-GW$169,73-GW$169+SwaptionShift):INDEX($FO$245:$IH$316,$FN180-GW$169,72-GW$169+SwaptionMonthsToGo+SwaptionShift))/SQRT(SUM(INDEX($FO335:$IH335,1+SwaptionShift):INDEX($FO335:$IH335,SwaptionMonthsToGo+SwaptionShift))*SUM(INDEX($FO$325:$IH$396,GW$169,1+SwaptionShift):INDEX($FO$325:$IH$396,GW$169,SwaptionMonthsToGo+SwaptionShift))))))</f>
        <v/>
      </c>
      <c r="GX180" s="469" t="str">
        <f ca="1">IF(OR(GX$169&lt;SwaptionFirstMonthPosition+1,$FN180&lt;SwaptionFirstMonthPosition+1,GX$169&gt;SwaptionFirstMonthPosition+SwaptionNumOfMonths+1,$FN180&gt;SwaptionFirstMonthPosition+SwaptionNumOfMonths+1),"",IF($FN180=GX$169,1,IF($FN180&lt;GX$169,INDEX($FO$170:$IH$241,GX$169,$FN180),SUMPRODUCT(INDEX($FO$325:$IH$396,GX$169,1+SwaptionShift):INDEX($FO$325:$IH$396,GX$169,SwaptionMonthsToGo+SwaptionShift),INDEX($FO$245:$IH$316,$FN180-GX$169,73-GX$169+SwaptionShift):INDEX($FO$245:$IH$316,$FN180-GX$169,72-GX$169+SwaptionMonthsToGo+SwaptionShift))/SQRT(SUM(INDEX($FO335:$IH335,1+SwaptionShift):INDEX($FO335:$IH335,SwaptionMonthsToGo+SwaptionShift))*SUM(INDEX($FO$325:$IH$396,GX$169,1+SwaptionShift):INDEX($FO$325:$IH$396,GX$169,SwaptionMonthsToGo+SwaptionShift))))))</f>
        <v/>
      </c>
      <c r="GY180" s="469" t="str">
        <f ca="1">IF(OR(GY$169&lt;SwaptionFirstMonthPosition+1,$FN180&lt;SwaptionFirstMonthPosition+1,GY$169&gt;SwaptionFirstMonthPosition+SwaptionNumOfMonths+1,$FN180&gt;SwaptionFirstMonthPosition+SwaptionNumOfMonths+1),"",IF($FN180=GY$169,1,IF($FN180&lt;GY$169,INDEX($FO$170:$IH$241,GY$169,$FN180),SUMPRODUCT(INDEX($FO$325:$IH$396,GY$169,1+SwaptionShift):INDEX($FO$325:$IH$396,GY$169,SwaptionMonthsToGo+SwaptionShift),INDEX($FO$245:$IH$316,$FN180-GY$169,73-GY$169+SwaptionShift):INDEX($FO$245:$IH$316,$FN180-GY$169,72-GY$169+SwaptionMonthsToGo+SwaptionShift))/SQRT(SUM(INDEX($FO335:$IH335,1+SwaptionShift):INDEX($FO335:$IH335,SwaptionMonthsToGo+SwaptionShift))*SUM(INDEX($FO$325:$IH$396,GY$169,1+SwaptionShift):INDEX($FO$325:$IH$396,GY$169,SwaptionMonthsToGo+SwaptionShift))))))</f>
        <v/>
      </c>
      <c r="GZ180" s="469" t="str">
        <f ca="1">IF(OR(GZ$169&lt;SwaptionFirstMonthPosition+1,$FN180&lt;SwaptionFirstMonthPosition+1,GZ$169&gt;SwaptionFirstMonthPosition+SwaptionNumOfMonths+1,$FN180&gt;SwaptionFirstMonthPosition+SwaptionNumOfMonths+1),"",IF($FN180=GZ$169,1,IF($FN180&lt;GZ$169,INDEX($FO$170:$IH$241,GZ$169,$FN180),SUMPRODUCT(INDEX($FO$325:$IH$396,GZ$169,1+SwaptionShift):INDEX($FO$325:$IH$396,GZ$169,SwaptionMonthsToGo+SwaptionShift),INDEX($FO$245:$IH$316,$FN180-GZ$169,73-GZ$169+SwaptionShift):INDEX($FO$245:$IH$316,$FN180-GZ$169,72-GZ$169+SwaptionMonthsToGo+SwaptionShift))/SQRT(SUM(INDEX($FO335:$IH335,1+SwaptionShift):INDEX($FO335:$IH335,SwaptionMonthsToGo+SwaptionShift))*SUM(INDEX($FO$325:$IH$396,GZ$169,1+SwaptionShift):INDEX($FO$325:$IH$396,GZ$169,SwaptionMonthsToGo+SwaptionShift))))))</f>
        <v/>
      </c>
      <c r="HA180" s="469" t="str">
        <f ca="1">IF(OR(HA$169&lt;SwaptionFirstMonthPosition+1,$FN180&lt;SwaptionFirstMonthPosition+1,HA$169&gt;SwaptionFirstMonthPosition+SwaptionNumOfMonths+1,$FN180&gt;SwaptionFirstMonthPosition+SwaptionNumOfMonths+1),"",IF($FN180=HA$169,1,IF($FN180&lt;HA$169,INDEX($FO$170:$IH$241,HA$169,$FN180),SUMPRODUCT(INDEX($FO$325:$IH$396,HA$169,1+SwaptionShift):INDEX($FO$325:$IH$396,HA$169,SwaptionMonthsToGo+SwaptionShift),INDEX($FO$245:$IH$316,$FN180-HA$169,73-HA$169+SwaptionShift):INDEX($FO$245:$IH$316,$FN180-HA$169,72-HA$169+SwaptionMonthsToGo+SwaptionShift))/SQRT(SUM(INDEX($FO335:$IH335,1+SwaptionShift):INDEX($FO335:$IH335,SwaptionMonthsToGo+SwaptionShift))*SUM(INDEX($FO$325:$IH$396,HA$169,1+SwaptionShift):INDEX($FO$325:$IH$396,HA$169,SwaptionMonthsToGo+SwaptionShift))))))</f>
        <v/>
      </c>
      <c r="HB180" s="469" t="str">
        <f ca="1">IF(OR(HB$169&lt;SwaptionFirstMonthPosition+1,$FN180&lt;SwaptionFirstMonthPosition+1,HB$169&gt;SwaptionFirstMonthPosition+SwaptionNumOfMonths+1,$FN180&gt;SwaptionFirstMonthPosition+SwaptionNumOfMonths+1),"",IF($FN180=HB$169,1,IF($FN180&lt;HB$169,INDEX($FO$170:$IH$241,HB$169,$FN180),SUMPRODUCT(INDEX($FO$325:$IH$396,HB$169,1+SwaptionShift):INDEX($FO$325:$IH$396,HB$169,SwaptionMonthsToGo+SwaptionShift),INDEX($FO$245:$IH$316,$FN180-HB$169,73-HB$169+SwaptionShift):INDEX($FO$245:$IH$316,$FN180-HB$169,72-HB$169+SwaptionMonthsToGo+SwaptionShift))/SQRT(SUM(INDEX($FO335:$IH335,1+SwaptionShift):INDEX($FO335:$IH335,SwaptionMonthsToGo+SwaptionShift))*SUM(INDEX($FO$325:$IH$396,HB$169,1+SwaptionShift):INDEX($FO$325:$IH$396,HB$169,SwaptionMonthsToGo+SwaptionShift))))))</f>
        <v/>
      </c>
      <c r="HC180" s="469" t="str">
        <f ca="1">IF(OR(HC$169&lt;SwaptionFirstMonthPosition+1,$FN180&lt;SwaptionFirstMonthPosition+1,HC$169&gt;SwaptionFirstMonthPosition+SwaptionNumOfMonths+1,$FN180&gt;SwaptionFirstMonthPosition+SwaptionNumOfMonths+1),"",IF($FN180=HC$169,1,IF($FN180&lt;HC$169,INDEX($FO$170:$IH$241,HC$169,$FN180),SUMPRODUCT(INDEX($FO$325:$IH$396,HC$169,1+SwaptionShift):INDEX($FO$325:$IH$396,HC$169,SwaptionMonthsToGo+SwaptionShift),INDEX($FO$245:$IH$316,$FN180-HC$169,73-HC$169+SwaptionShift):INDEX($FO$245:$IH$316,$FN180-HC$169,72-HC$169+SwaptionMonthsToGo+SwaptionShift))/SQRT(SUM(INDEX($FO335:$IH335,1+SwaptionShift):INDEX($FO335:$IH335,SwaptionMonthsToGo+SwaptionShift))*SUM(INDEX($FO$325:$IH$396,HC$169,1+SwaptionShift):INDEX($FO$325:$IH$396,HC$169,SwaptionMonthsToGo+SwaptionShift))))))</f>
        <v/>
      </c>
      <c r="HD180" s="469" t="str">
        <f ca="1">IF(OR(HD$169&lt;SwaptionFirstMonthPosition+1,$FN180&lt;SwaptionFirstMonthPosition+1,HD$169&gt;SwaptionFirstMonthPosition+SwaptionNumOfMonths+1,$FN180&gt;SwaptionFirstMonthPosition+SwaptionNumOfMonths+1),"",IF($FN180=HD$169,1,IF($FN180&lt;HD$169,INDEX($FO$170:$IH$241,HD$169,$FN180),SUMPRODUCT(INDEX($FO$325:$IH$396,HD$169,1+SwaptionShift):INDEX($FO$325:$IH$396,HD$169,SwaptionMonthsToGo+SwaptionShift),INDEX($FO$245:$IH$316,$FN180-HD$169,73-HD$169+SwaptionShift):INDEX($FO$245:$IH$316,$FN180-HD$169,72-HD$169+SwaptionMonthsToGo+SwaptionShift))/SQRT(SUM(INDEX($FO335:$IH335,1+SwaptionShift):INDEX($FO335:$IH335,SwaptionMonthsToGo+SwaptionShift))*SUM(INDEX($FO$325:$IH$396,HD$169,1+SwaptionShift):INDEX($FO$325:$IH$396,HD$169,SwaptionMonthsToGo+SwaptionShift))))))</f>
        <v/>
      </c>
      <c r="HE180" s="469" t="str">
        <f ca="1">IF(OR(HE$169&lt;SwaptionFirstMonthPosition+1,$FN180&lt;SwaptionFirstMonthPosition+1,HE$169&gt;SwaptionFirstMonthPosition+SwaptionNumOfMonths+1,$FN180&gt;SwaptionFirstMonthPosition+SwaptionNumOfMonths+1),"",IF($FN180=HE$169,1,IF($FN180&lt;HE$169,INDEX($FO$170:$IH$241,HE$169,$FN180),SUMPRODUCT(INDEX($FO$325:$IH$396,HE$169,1+SwaptionShift):INDEX($FO$325:$IH$396,HE$169,SwaptionMonthsToGo+SwaptionShift),INDEX($FO$245:$IH$316,$FN180-HE$169,73-HE$169+SwaptionShift):INDEX($FO$245:$IH$316,$FN180-HE$169,72-HE$169+SwaptionMonthsToGo+SwaptionShift))/SQRT(SUM(INDEX($FO335:$IH335,1+SwaptionShift):INDEX($FO335:$IH335,SwaptionMonthsToGo+SwaptionShift))*SUM(INDEX($FO$325:$IH$396,HE$169,1+SwaptionShift):INDEX($FO$325:$IH$396,HE$169,SwaptionMonthsToGo+SwaptionShift))))))</f>
        <v/>
      </c>
      <c r="HF180" s="469" t="str">
        <f ca="1">IF(OR(HF$169&lt;SwaptionFirstMonthPosition+1,$FN180&lt;SwaptionFirstMonthPosition+1,HF$169&gt;SwaptionFirstMonthPosition+SwaptionNumOfMonths+1,$FN180&gt;SwaptionFirstMonthPosition+SwaptionNumOfMonths+1),"",IF($FN180=HF$169,1,IF($FN180&lt;HF$169,INDEX($FO$170:$IH$241,HF$169,$FN180),SUMPRODUCT(INDEX($FO$325:$IH$396,HF$169,1+SwaptionShift):INDEX($FO$325:$IH$396,HF$169,SwaptionMonthsToGo+SwaptionShift),INDEX($FO$245:$IH$316,$FN180-HF$169,73-HF$169+SwaptionShift):INDEX($FO$245:$IH$316,$FN180-HF$169,72-HF$169+SwaptionMonthsToGo+SwaptionShift))/SQRT(SUM(INDEX($FO335:$IH335,1+SwaptionShift):INDEX($FO335:$IH335,SwaptionMonthsToGo+SwaptionShift))*SUM(INDEX($FO$325:$IH$396,HF$169,1+SwaptionShift):INDEX($FO$325:$IH$396,HF$169,SwaptionMonthsToGo+SwaptionShift))))))</f>
        <v/>
      </c>
      <c r="HG180" s="469" t="str">
        <f ca="1">IF(OR(HG$169&lt;SwaptionFirstMonthPosition+1,$FN180&lt;SwaptionFirstMonthPosition+1,HG$169&gt;SwaptionFirstMonthPosition+SwaptionNumOfMonths+1,$FN180&gt;SwaptionFirstMonthPosition+SwaptionNumOfMonths+1),"",IF($FN180=HG$169,1,IF($FN180&lt;HG$169,INDEX($FO$170:$IH$241,HG$169,$FN180),SUMPRODUCT(INDEX($FO$325:$IH$396,HG$169,1+SwaptionShift):INDEX($FO$325:$IH$396,HG$169,SwaptionMonthsToGo+SwaptionShift),INDEX($FO$245:$IH$316,$FN180-HG$169,73-HG$169+SwaptionShift):INDEX($FO$245:$IH$316,$FN180-HG$169,72-HG$169+SwaptionMonthsToGo+SwaptionShift))/SQRT(SUM(INDEX($FO335:$IH335,1+SwaptionShift):INDEX($FO335:$IH335,SwaptionMonthsToGo+SwaptionShift))*SUM(INDEX($FO$325:$IH$396,HG$169,1+SwaptionShift):INDEX($FO$325:$IH$396,HG$169,SwaptionMonthsToGo+SwaptionShift))))))</f>
        <v/>
      </c>
      <c r="HH180" s="469" t="str">
        <f ca="1">IF(OR(HH$169&lt;SwaptionFirstMonthPosition+1,$FN180&lt;SwaptionFirstMonthPosition+1,HH$169&gt;SwaptionFirstMonthPosition+SwaptionNumOfMonths+1,$FN180&gt;SwaptionFirstMonthPosition+SwaptionNumOfMonths+1),"",IF($FN180=HH$169,1,IF($FN180&lt;HH$169,INDEX($FO$170:$IH$241,HH$169,$FN180),SUMPRODUCT(INDEX($FO$325:$IH$396,HH$169,1+SwaptionShift):INDEX($FO$325:$IH$396,HH$169,SwaptionMonthsToGo+SwaptionShift),INDEX($FO$245:$IH$316,$FN180-HH$169,73-HH$169+SwaptionShift):INDEX($FO$245:$IH$316,$FN180-HH$169,72-HH$169+SwaptionMonthsToGo+SwaptionShift))/SQRT(SUM(INDEX($FO335:$IH335,1+SwaptionShift):INDEX($FO335:$IH335,SwaptionMonthsToGo+SwaptionShift))*SUM(INDEX($FO$325:$IH$396,HH$169,1+SwaptionShift):INDEX($FO$325:$IH$396,HH$169,SwaptionMonthsToGo+SwaptionShift))))))</f>
        <v/>
      </c>
      <c r="HI180" s="469" t="str">
        <f ca="1">IF(OR(HI$169&lt;SwaptionFirstMonthPosition+1,$FN180&lt;SwaptionFirstMonthPosition+1,HI$169&gt;SwaptionFirstMonthPosition+SwaptionNumOfMonths+1,$FN180&gt;SwaptionFirstMonthPosition+SwaptionNumOfMonths+1),"",IF($FN180=HI$169,1,IF($FN180&lt;HI$169,INDEX($FO$170:$IH$241,HI$169,$FN180),SUMPRODUCT(INDEX($FO$325:$IH$396,HI$169,1+SwaptionShift):INDEX($FO$325:$IH$396,HI$169,SwaptionMonthsToGo+SwaptionShift),INDEX($FO$245:$IH$316,$FN180-HI$169,73-HI$169+SwaptionShift):INDEX($FO$245:$IH$316,$FN180-HI$169,72-HI$169+SwaptionMonthsToGo+SwaptionShift))/SQRT(SUM(INDEX($FO335:$IH335,1+SwaptionShift):INDEX($FO335:$IH335,SwaptionMonthsToGo+SwaptionShift))*SUM(INDEX($FO$325:$IH$396,HI$169,1+SwaptionShift):INDEX($FO$325:$IH$396,HI$169,SwaptionMonthsToGo+SwaptionShift))))))</f>
        <v/>
      </c>
      <c r="HJ180" s="469" t="str">
        <f ca="1">IF(OR(HJ$169&lt;SwaptionFirstMonthPosition+1,$FN180&lt;SwaptionFirstMonthPosition+1,HJ$169&gt;SwaptionFirstMonthPosition+SwaptionNumOfMonths+1,$FN180&gt;SwaptionFirstMonthPosition+SwaptionNumOfMonths+1),"",IF($FN180=HJ$169,1,IF($FN180&lt;HJ$169,INDEX($FO$170:$IH$241,HJ$169,$FN180),SUMPRODUCT(INDEX($FO$325:$IH$396,HJ$169,1+SwaptionShift):INDEX($FO$325:$IH$396,HJ$169,SwaptionMonthsToGo+SwaptionShift),INDEX($FO$245:$IH$316,$FN180-HJ$169,73-HJ$169+SwaptionShift):INDEX($FO$245:$IH$316,$FN180-HJ$169,72-HJ$169+SwaptionMonthsToGo+SwaptionShift))/SQRT(SUM(INDEX($FO335:$IH335,1+SwaptionShift):INDEX($FO335:$IH335,SwaptionMonthsToGo+SwaptionShift))*SUM(INDEX($FO$325:$IH$396,HJ$169,1+SwaptionShift):INDEX($FO$325:$IH$396,HJ$169,SwaptionMonthsToGo+SwaptionShift))))))</f>
        <v/>
      </c>
      <c r="HK180" s="469" t="str">
        <f ca="1">IF(OR(HK$169&lt;SwaptionFirstMonthPosition+1,$FN180&lt;SwaptionFirstMonthPosition+1,HK$169&gt;SwaptionFirstMonthPosition+SwaptionNumOfMonths+1,$FN180&gt;SwaptionFirstMonthPosition+SwaptionNumOfMonths+1),"",IF($FN180=HK$169,1,IF($FN180&lt;HK$169,INDEX($FO$170:$IH$241,HK$169,$FN180),SUMPRODUCT(INDEX($FO$325:$IH$396,HK$169,1+SwaptionShift):INDEX($FO$325:$IH$396,HK$169,SwaptionMonthsToGo+SwaptionShift),INDEX($FO$245:$IH$316,$FN180-HK$169,73-HK$169+SwaptionShift):INDEX($FO$245:$IH$316,$FN180-HK$169,72-HK$169+SwaptionMonthsToGo+SwaptionShift))/SQRT(SUM(INDEX($FO335:$IH335,1+SwaptionShift):INDEX($FO335:$IH335,SwaptionMonthsToGo+SwaptionShift))*SUM(INDEX($FO$325:$IH$396,HK$169,1+SwaptionShift):INDEX($FO$325:$IH$396,HK$169,SwaptionMonthsToGo+SwaptionShift))))))</f>
        <v/>
      </c>
      <c r="HL180" s="469" t="str">
        <f ca="1">IF(OR(HL$169&lt;SwaptionFirstMonthPosition+1,$FN180&lt;SwaptionFirstMonthPosition+1,HL$169&gt;SwaptionFirstMonthPosition+SwaptionNumOfMonths+1,$FN180&gt;SwaptionFirstMonthPosition+SwaptionNumOfMonths+1),"",IF($FN180=HL$169,1,IF($FN180&lt;HL$169,INDEX($FO$170:$IH$241,HL$169,$FN180),SUMPRODUCT(INDEX($FO$325:$IH$396,HL$169,1+SwaptionShift):INDEX($FO$325:$IH$396,HL$169,SwaptionMonthsToGo+SwaptionShift),INDEX($FO$245:$IH$316,$FN180-HL$169,73-HL$169+SwaptionShift):INDEX($FO$245:$IH$316,$FN180-HL$169,72-HL$169+SwaptionMonthsToGo+SwaptionShift))/SQRT(SUM(INDEX($FO335:$IH335,1+SwaptionShift):INDEX($FO335:$IH335,SwaptionMonthsToGo+SwaptionShift))*SUM(INDEX($FO$325:$IH$396,HL$169,1+SwaptionShift):INDEX($FO$325:$IH$396,HL$169,SwaptionMonthsToGo+SwaptionShift))))))</f>
        <v/>
      </c>
      <c r="HM180" s="469" t="str">
        <f ca="1">IF(OR(HM$169&lt;SwaptionFirstMonthPosition+1,$FN180&lt;SwaptionFirstMonthPosition+1,HM$169&gt;SwaptionFirstMonthPosition+SwaptionNumOfMonths+1,$FN180&gt;SwaptionFirstMonthPosition+SwaptionNumOfMonths+1),"",IF($FN180=HM$169,1,IF($FN180&lt;HM$169,INDEX($FO$170:$IH$241,HM$169,$FN180),SUMPRODUCT(INDEX($FO$325:$IH$396,HM$169,1+SwaptionShift):INDEX($FO$325:$IH$396,HM$169,SwaptionMonthsToGo+SwaptionShift),INDEX($FO$245:$IH$316,$FN180-HM$169,73-HM$169+SwaptionShift):INDEX($FO$245:$IH$316,$FN180-HM$169,72-HM$169+SwaptionMonthsToGo+SwaptionShift))/SQRT(SUM(INDEX($FO335:$IH335,1+SwaptionShift):INDEX($FO335:$IH335,SwaptionMonthsToGo+SwaptionShift))*SUM(INDEX($FO$325:$IH$396,HM$169,1+SwaptionShift):INDEX($FO$325:$IH$396,HM$169,SwaptionMonthsToGo+SwaptionShift))))))</f>
        <v/>
      </c>
      <c r="HN180" s="469" t="str">
        <f ca="1">IF(OR(HN$169&lt;SwaptionFirstMonthPosition+1,$FN180&lt;SwaptionFirstMonthPosition+1,HN$169&gt;SwaptionFirstMonthPosition+SwaptionNumOfMonths+1,$FN180&gt;SwaptionFirstMonthPosition+SwaptionNumOfMonths+1),"",IF($FN180=HN$169,1,IF($FN180&lt;HN$169,INDEX($FO$170:$IH$241,HN$169,$FN180),SUMPRODUCT(INDEX($FO$325:$IH$396,HN$169,1+SwaptionShift):INDEX($FO$325:$IH$396,HN$169,SwaptionMonthsToGo+SwaptionShift),INDEX($FO$245:$IH$316,$FN180-HN$169,73-HN$169+SwaptionShift):INDEX($FO$245:$IH$316,$FN180-HN$169,72-HN$169+SwaptionMonthsToGo+SwaptionShift))/SQRT(SUM(INDEX($FO335:$IH335,1+SwaptionShift):INDEX($FO335:$IH335,SwaptionMonthsToGo+SwaptionShift))*SUM(INDEX($FO$325:$IH$396,HN$169,1+SwaptionShift):INDEX($FO$325:$IH$396,HN$169,SwaptionMonthsToGo+SwaptionShift))))))</f>
        <v/>
      </c>
      <c r="HO180" s="469" t="str">
        <f ca="1">IF(OR(HO$169&lt;SwaptionFirstMonthPosition+1,$FN180&lt;SwaptionFirstMonthPosition+1,HO$169&gt;SwaptionFirstMonthPosition+SwaptionNumOfMonths+1,$FN180&gt;SwaptionFirstMonthPosition+SwaptionNumOfMonths+1),"",IF($FN180=HO$169,1,IF($FN180&lt;HO$169,INDEX($FO$170:$IH$241,HO$169,$FN180),SUMPRODUCT(INDEX($FO$325:$IH$396,HO$169,1+SwaptionShift):INDEX($FO$325:$IH$396,HO$169,SwaptionMonthsToGo+SwaptionShift),INDEX($FO$245:$IH$316,$FN180-HO$169,73-HO$169+SwaptionShift):INDEX($FO$245:$IH$316,$FN180-HO$169,72-HO$169+SwaptionMonthsToGo+SwaptionShift))/SQRT(SUM(INDEX($FO335:$IH335,1+SwaptionShift):INDEX($FO335:$IH335,SwaptionMonthsToGo+SwaptionShift))*SUM(INDEX($FO$325:$IH$396,HO$169,1+SwaptionShift):INDEX($FO$325:$IH$396,HO$169,SwaptionMonthsToGo+SwaptionShift))))))</f>
        <v/>
      </c>
      <c r="HP180" s="469" t="str">
        <f ca="1">IF(OR(HP$169&lt;SwaptionFirstMonthPosition+1,$FN180&lt;SwaptionFirstMonthPosition+1,HP$169&gt;SwaptionFirstMonthPosition+SwaptionNumOfMonths+1,$FN180&gt;SwaptionFirstMonthPosition+SwaptionNumOfMonths+1),"",IF($FN180=HP$169,1,IF($FN180&lt;HP$169,INDEX($FO$170:$IH$241,HP$169,$FN180),SUMPRODUCT(INDEX($FO$325:$IH$396,HP$169,1+SwaptionShift):INDEX($FO$325:$IH$396,HP$169,SwaptionMonthsToGo+SwaptionShift),INDEX($FO$245:$IH$316,$FN180-HP$169,73-HP$169+SwaptionShift):INDEX($FO$245:$IH$316,$FN180-HP$169,72-HP$169+SwaptionMonthsToGo+SwaptionShift))/SQRT(SUM(INDEX($FO335:$IH335,1+SwaptionShift):INDEX($FO335:$IH335,SwaptionMonthsToGo+SwaptionShift))*SUM(INDEX($FO$325:$IH$396,HP$169,1+SwaptionShift):INDEX($FO$325:$IH$396,HP$169,SwaptionMonthsToGo+SwaptionShift))))))</f>
        <v/>
      </c>
      <c r="HQ180" s="469" t="str">
        <f ca="1">IF(OR(HQ$169&lt;SwaptionFirstMonthPosition+1,$FN180&lt;SwaptionFirstMonthPosition+1,HQ$169&gt;SwaptionFirstMonthPosition+SwaptionNumOfMonths+1,$FN180&gt;SwaptionFirstMonthPosition+SwaptionNumOfMonths+1),"",IF($FN180=HQ$169,1,IF($FN180&lt;HQ$169,INDEX($FO$170:$IH$241,HQ$169,$FN180),SUMPRODUCT(INDEX($FO$325:$IH$396,HQ$169,1+SwaptionShift):INDEX($FO$325:$IH$396,HQ$169,SwaptionMonthsToGo+SwaptionShift),INDEX($FO$245:$IH$316,$FN180-HQ$169,73-HQ$169+SwaptionShift):INDEX($FO$245:$IH$316,$FN180-HQ$169,72-HQ$169+SwaptionMonthsToGo+SwaptionShift))/SQRT(SUM(INDEX($FO335:$IH335,1+SwaptionShift):INDEX($FO335:$IH335,SwaptionMonthsToGo+SwaptionShift))*SUM(INDEX($FO$325:$IH$396,HQ$169,1+SwaptionShift):INDEX($FO$325:$IH$396,HQ$169,SwaptionMonthsToGo+SwaptionShift))))))</f>
        <v/>
      </c>
      <c r="HR180" s="469" t="str">
        <f ca="1">IF(OR(HR$169&lt;SwaptionFirstMonthPosition+1,$FN180&lt;SwaptionFirstMonthPosition+1,HR$169&gt;SwaptionFirstMonthPosition+SwaptionNumOfMonths+1,$FN180&gt;SwaptionFirstMonthPosition+SwaptionNumOfMonths+1),"",IF($FN180=HR$169,1,IF($FN180&lt;HR$169,INDEX($FO$170:$IH$241,HR$169,$FN180),SUMPRODUCT(INDEX($FO$325:$IH$396,HR$169,1+SwaptionShift):INDEX($FO$325:$IH$396,HR$169,SwaptionMonthsToGo+SwaptionShift),INDEX($FO$245:$IH$316,$FN180-HR$169,73-HR$169+SwaptionShift):INDEX($FO$245:$IH$316,$FN180-HR$169,72-HR$169+SwaptionMonthsToGo+SwaptionShift))/SQRT(SUM(INDEX($FO335:$IH335,1+SwaptionShift):INDEX($FO335:$IH335,SwaptionMonthsToGo+SwaptionShift))*SUM(INDEX($FO$325:$IH$396,HR$169,1+SwaptionShift):INDEX($FO$325:$IH$396,HR$169,SwaptionMonthsToGo+SwaptionShift))))))</f>
        <v/>
      </c>
      <c r="HS180" s="469" t="str">
        <f ca="1">IF(OR(HS$169&lt;SwaptionFirstMonthPosition+1,$FN180&lt;SwaptionFirstMonthPosition+1,HS$169&gt;SwaptionFirstMonthPosition+SwaptionNumOfMonths+1,$FN180&gt;SwaptionFirstMonthPosition+SwaptionNumOfMonths+1),"",IF($FN180=HS$169,1,IF($FN180&lt;HS$169,INDEX($FO$170:$IH$241,HS$169,$FN180),SUMPRODUCT(INDEX($FO$325:$IH$396,HS$169,1+SwaptionShift):INDEX($FO$325:$IH$396,HS$169,SwaptionMonthsToGo+SwaptionShift),INDEX($FO$245:$IH$316,$FN180-HS$169,73-HS$169+SwaptionShift):INDEX($FO$245:$IH$316,$FN180-HS$169,72-HS$169+SwaptionMonthsToGo+SwaptionShift))/SQRT(SUM(INDEX($FO335:$IH335,1+SwaptionShift):INDEX($FO335:$IH335,SwaptionMonthsToGo+SwaptionShift))*SUM(INDEX($FO$325:$IH$396,HS$169,1+SwaptionShift):INDEX($FO$325:$IH$396,HS$169,SwaptionMonthsToGo+SwaptionShift))))))</f>
        <v/>
      </c>
      <c r="HT180" s="469" t="str">
        <f ca="1">IF(OR(HT$169&lt;SwaptionFirstMonthPosition+1,$FN180&lt;SwaptionFirstMonthPosition+1,HT$169&gt;SwaptionFirstMonthPosition+SwaptionNumOfMonths+1,$FN180&gt;SwaptionFirstMonthPosition+SwaptionNumOfMonths+1),"",IF($FN180=HT$169,1,IF($FN180&lt;HT$169,INDEX($FO$170:$IH$241,HT$169,$FN180),SUMPRODUCT(INDEX($FO$325:$IH$396,HT$169,1+SwaptionShift):INDEX($FO$325:$IH$396,HT$169,SwaptionMonthsToGo+SwaptionShift),INDEX($FO$245:$IH$316,$FN180-HT$169,73-HT$169+SwaptionShift):INDEX($FO$245:$IH$316,$FN180-HT$169,72-HT$169+SwaptionMonthsToGo+SwaptionShift))/SQRT(SUM(INDEX($FO335:$IH335,1+SwaptionShift):INDEX($FO335:$IH335,SwaptionMonthsToGo+SwaptionShift))*SUM(INDEX($FO$325:$IH$396,HT$169,1+SwaptionShift):INDEX($FO$325:$IH$396,HT$169,SwaptionMonthsToGo+SwaptionShift))))))</f>
        <v/>
      </c>
      <c r="HU180" s="469" t="str">
        <f ca="1">IF(OR(HU$169&lt;SwaptionFirstMonthPosition+1,$FN180&lt;SwaptionFirstMonthPosition+1,HU$169&gt;SwaptionFirstMonthPosition+SwaptionNumOfMonths+1,$FN180&gt;SwaptionFirstMonthPosition+SwaptionNumOfMonths+1),"",IF($FN180=HU$169,1,IF($FN180&lt;HU$169,INDEX($FO$170:$IH$241,HU$169,$FN180),SUMPRODUCT(INDEX($FO$325:$IH$396,HU$169,1+SwaptionShift):INDEX($FO$325:$IH$396,HU$169,SwaptionMonthsToGo+SwaptionShift),INDEX($FO$245:$IH$316,$FN180-HU$169,73-HU$169+SwaptionShift):INDEX($FO$245:$IH$316,$FN180-HU$169,72-HU$169+SwaptionMonthsToGo+SwaptionShift))/SQRT(SUM(INDEX($FO335:$IH335,1+SwaptionShift):INDEX($FO335:$IH335,SwaptionMonthsToGo+SwaptionShift))*SUM(INDEX($FO$325:$IH$396,HU$169,1+SwaptionShift):INDEX($FO$325:$IH$396,HU$169,SwaptionMonthsToGo+SwaptionShift))))))</f>
        <v/>
      </c>
      <c r="HV180" s="469" t="str">
        <f ca="1">IF(OR(HV$169&lt;SwaptionFirstMonthPosition+1,$FN180&lt;SwaptionFirstMonthPosition+1,HV$169&gt;SwaptionFirstMonthPosition+SwaptionNumOfMonths+1,$FN180&gt;SwaptionFirstMonthPosition+SwaptionNumOfMonths+1),"",IF($FN180=HV$169,1,IF($FN180&lt;HV$169,INDEX($FO$170:$IH$241,HV$169,$FN180),SUMPRODUCT(INDEX($FO$325:$IH$396,HV$169,1+SwaptionShift):INDEX($FO$325:$IH$396,HV$169,SwaptionMonthsToGo+SwaptionShift),INDEX($FO$245:$IH$316,$FN180-HV$169,73-HV$169+SwaptionShift):INDEX($FO$245:$IH$316,$FN180-HV$169,72-HV$169+SwaptionMonthsToGo+SwaptionShift))/SQRT(SUM(INDEX($FO335:$IH335,1+SwaptionShift):INDEX($FO335:$IH335,SwaptionMonthsToGo+SwaptionShift))*SUM(INDEX($FO$325:$IH$396,HV$169,1+SwaptionShift):INDEX($FO$325:$IH$396,HV$169,SwaptionMonthsToGo+SwaptionShift))))))</f>
        <v/>
      </c>
      <c r="HW180" s="469" t="str">
        <f ca="1">IF(OR(HW$169&lt;SwaptionFirstMonthPosition+1,$FN180&lt;SwaptionFirstMonthPosition+1,HW$169&gt;SwaptionFirstMonthPosition+SwaptionNumOfMonths+1,$FN180&gt;SwaptionFirstMonthPosition+SwaptionNumOfMonths+1),"",IF($FN180=HW$169,1,IF($FN180&lt;HW$169,INDEX($FO$170:$IH$241,HW$169,$FN180),SUMPRODUCT(INDEX($FO$325:$IH$396,HW$169,1+SwaptionShift):INDEX($FO$325:$IH$396,HW$169,SwaptionMonthsToGo+SwaptionShift),INDEX($FO$245:$IH$316,$FN180-HW$169,73-HW$169+SwaptionShift):INDEX($FO$245:$IH$316,$FN180-HW$169,72-HW$169+SwaptionMonthsToGo+SwaptionShift))/SQRT(SUM(INDEX($FO335:$IH335,1+SwaptionShift):INDEX($FO335:$IH335,SwaptionMonthsToGo+SwaptionShift))*SUM(INDEX($FO$325:$IH$396,HW$169,1+SwaptionShift):INDEX($FO$325:$IH$396,HW$169,SwaptionMonthsToGo+SwaptionShift))))))</f>
        <v/>
      </c>
      <c r="HX180" s="469" t="str">
        <f ca="1">IF(OR(HX$169&lt;SwaptionFirstMonthPosition+1,$FN180&lt;SwaptionFirstMonthPosition+1,HX$169&gt;SwaptionFirstMonthPosition+SwaptionNumOfMonths+1,$FN180&gt;SwaptionFirstMonthPosition+SwaptionNumOfMonths+1),"",IF($FN180=HX$169,1,IF($FN180&lt;HX$169,INDEX($FO$170:$IH$241,HX$169,$FN180),SUMPRODUCT(INDEX($FO$325:$IH$396,HX$169,1+SwaptionShift):INDEX($FO$325:$IH$396,HX$169,SwaptionMonthsToGo+SwaptionShift),INDEX($FO$245:$IH$316,$FN180-HX$169,73-HX$169+SwaptionShift):INDEX($FO$245:$IH$316,$FN180-HX$169,72-HX$169+SwaptionMonthsToGo+SwaptionShift))/SQRT(SUM(INDEX($FO335:$IH335,1+SwaptionShift):INDEX($FO335:$IH335,SwaptionMonthsToGo+SwaptionShift))*SUM(INDEX($FO$325:$IH$396,HX$169,1+SwaptionShift):INDEX($FO$325:$IH$396,HX$169,SwaptionMonthsToGo+SwaptionShift))))))</f>
        <v/>
      </c>
      <c r="HY180" s="469" t="str">
        <f ca="1">IF(OR(HY$169&lt;SwaptionFirstMonthPosition+1,$FN180&lt;SwaptionFirstMonthPosition+1,HY$169&gt;SwaptionFirstMonthPosition+SwaptionNumOfMonths+1,$FN180&gt;SwaptionFirstMonthPosition+SwaptionNumOfMonths+1),"",IF($FN180=HY$169,1,IF($FN180&lt;HY$169,INDEX($FO$170:$IH$241,HY$169,$FN180),SUMPRODUCT(INDEX($FO$325:$IH$396,HY$169,1+SwaptionShift):INDEX($FO$325:$IH$396,HY$169,SwaptionMonthsToGo+SwaptionShift),INDEX($FO$245:$IH$316,$FN180-HY$169,73-HY$169+SwaptionShift):INDEX($FO$245:$IH$316,$FN180-HY$169,72-HY$169+SwaptionMonthsToGo+SwaptionShift))/SQRT(SUM(INDEX($FO335:$IH335,1+SwaptionShift):INDEX($FO335:$IH335,SwaptionMonthsToGo+SwaptionShift))*SUM(INDEX($FO$325:$IH$396,HY$169,1+SwaptionShift):INDEX($FO$325:$IH$396,HY$169,SwaptionMonthsToGo+SwaptionShift))))))</f>
        <v/>
      </c>
      <c r="HZ180" s="469" t="str">
        <f ca="1">IF(OR(HZ$169&lt;SwaptionFirstMonthPosition+1,$FN180&lt;SwaptionFirstMonthPosition+1,HZ$169&gt;SwaptionFirstMonthPosition+SwaptionNumOfMonths+1,$FN180&gt;SwaptionFirstMonthPosition+SwaptionNumOfMonths+1),"",IF($FN180=HZ$169,1,IF($FN180&lt;HZ$169,INDEX($FO$170:$IH$241,HZ$169,$FN180),SUMPRODUCT(INDEX($FO$325:$IH$396,HZ$169,1+SwaptionShift):INDEX($FO$325:$IH$396,HZ$169,SwaptionMonthsToGo+SwaptionShift),INDEX($FO$245:$IH$316,$FN180-HZ$169,73-HZ$169+SwaptionShift):INDEX($FO$245:$IH$316,$FN180-HZ$169,72-HZ$169+SwaptionMonthsToGo+SwaptionShift))/SQRT(SUM(INDEX($FO335:$IH335,1+SwaptionShift):INDEX($FO335:$IH335,SwaptionMonthsToGo+SwaptionShift))*SUM(INDEX($FO$325:$IH$396,HZ$169,1+SwaptionShift):INDEX($FO$325:$IH$396,HZ$169,SwaptionMonthsToGo+SwaptionShift))))))</f>
        <v/>
      </c>
      <c r="IA180" s="469" t="str">
        <f ca="1">IF(OR(IA$169&lt;SwaptionFirstMonthPosition+1,$FN180&lt;SwaptionFirstMonthPosition+1,IA$169&gt;SwaptionFirstMonthPosition+SwaptionNumOfMonths+1,$FN180&gt;SwaptionFirstMonthPosition+SwaptionNumOfMonths+1),"",IF($FN180=IA$169,1,IF($FN180&lt;IA$169,INDEX($FO$170:$IH$241,IA$169,$FN180),SUMPRODUCT(INDEX($FO$325:$IH$396,IA$169,1+SwaptionShift):INDEX($FO$325:$IH$396,IA$169,SwaptionMonthsToGo+SwaptionShift),INDEX($FO$245:$IH$316,$FN180-IA$169,73-IA$169+SwaptionShift):INDEX($FO$245:$IH$316,$FN180-IA$169,72-IA$169+SwaptionMonthsToGo+SwaptionShift))/SQRT(SUM(INDEX($FO335:$IH335,1+SwaptionShift):INDEX($FO335:$IH335,SwaptionMonthsToGo+SwaptionShift))*SUM(INDEX($FO$325:$IH$396,IA$169,1+SwaptionShift):INDEX($FO$325:$IH$396,IA$169,SwaptionMonthsToGo+SwaptionShift))))))</f>
        <v/>
      </c>
      <c r="IB180" s="469" t="str">
        <f ca="1">IF(OR(IB$169&lt;SwaptionFirstMonthPosition+1,$FN180&lt;SwaptionFirstMonthPosition+1,IB$169&gt;SwaptionFirstMonthPosition+SwaptionNumOfMonths+1,$FN180&gt;SwaptionFirstMonthPosition+SwaptionNumOfMonths+1),"",IF($FN180=IB$169,1,IF($FN180&lt;IB$169,INDEX($FO$170:$IH$241,IB$169,$FN180),SUMPRODUCT(INDEX($FO$325:$IH$396,IB$169,1+SwaptionShift):INDEX($FO$325:$IH$396,IB$169,SwaptionMonthsToGo+SwaptionShift),INDEX($FO$245:$IH$316,$FN180-IB$169,73-IB$169+SwaptionShift):INDEX($FO$245:$IH$316,$FN180-IB$169,72-IB$169+SwaptionMonthsToGo+SwaptionShift))/SQRT(SUM(INDEX($FO335:$IH335,1+SwaptionShift):INDEX($FO335:$IH335,SwaptionMonthsToGo+SwaptionShift))*SUM(INDEX($FO$325:$IH$396,IB$169,1+SwaptionShift):INDEX($FO$325:$IH$396,IB$169,SwaptionMonthsToGo+SwaptionShift))))))</f>
        <v/>
      </c>
      <c r="IC180" s="469" t="str">
        <f ca="1">IF(OR(IC$169&lt;SwaptionFirstMonthPosition+1,$FN180&lt;SwaptionFirstMonthPosition+1,IC$169&gt;SwaptionFirstMonthPosition+SwaptionNumOfMonths+1,$FN180&gt;SwaptionFirstMonthPosition+SwaptionNumOfMonths+1),"",IF($FN180=IC$169,1,IF($FN180&lt;IC$169,INDEX($FO$170:$IH$241,IC$169,$FN180),SUMPRODUCT(INDEX($FO$325:$IH$396,IC$169,1+SwaptionShift):INDEX($FO$325:$IH$396,IC$169,SwaptionMonthsToGo+SwaptionShift),INDEX($FO$245:$IH$316,$FN180-IC$169,73-IC$169+SwaptionShift):INDEX($FO$245:$IH$316,$FN180-IC$169,72-IC$169+SwaptionMonthsToGo+SwaptionShift))/SQRT(SUM(INDEX($FO335:$IH335,1+SwaptionShift):INDEX($FO335:$IH335,SwaptionMonthsToGo+SwaptionShift))*SUM(INDEX($FO$325:$IH$396,IC$169,1+SwaptionShift):INDEX($FO$325:$IH$396,IC$169,SwaptionMonthsToGo+SwaptionShift))))))</f>
        <v/>
      </c>
      <c r="ID180" s="469" t="str">
        <f ca="1">IF(OR(ID$169&lt;SwaptionFirstMonthPosition+1,$FN180&lt;SwaptionFirstMonthPosition+1,ID$169&gt;SwaptionFirstMonthPosition+SwaptionNumOfMonths+1,$FN180&gt;SwaptionFirstMonthPosition+SwaptionNumOfMonths+1),"",IF($FN180=ID$169,1,IF($FN180&lt;ID$169,INDEX($FO$170:$IH$241,ID$169,$FN180),SUMPRODUCT(INDEX($FO$325:$IH$396,ID$169,1+SwaptionShift):INDEX($FO$325:$IH$396,ID$169,SwaptionMonthsToGo+SwaptionShift),INDEX($FO$245:$IH$316,$FN180-ID$169,73-ID$169+SwaptionShift):INDEX($FO$245:$IH$316,$FN180-ID$169,72-ID$169+SwaptionMonthsToGo+SwaptionShift))/SQRT(SUM(INDEX($FO335:$IH335,1+SwaptionShift):INDEX($FO335:$IH335,SwaptionMonthsToGo+SwaptionShift))*SUM(INDEX($FO$325:$IH$396,ID$169,1+SwaptionShift):INDEX($FO$325:$IH$396,ID$169,SwaptionMonthsToGo+SwaptionShift))))))</f>
        <v/>
      </c>
      <c r="IE180" s="469" t="str">
        <f ca="1">IF(OR(IE$169&lt;SwaptionFirstMonthPosition+1,$FN180&lt;SwaptionFirstMonthPosition+1,IE$169&gt;SwaptionFirstMonthPosition+SwaptionNumOfMonths+1,$FN180&gt;SwaptionFirstMonthPosition+SwaptionNumOfMonths+1),"",IF($FN180=IE$169,1,IF($FN180&lt;IE$169,INDEX($FO$170:$IH$241,IE$169,$FN180),SUMPRODUCT(INDEX($FO$325:$IH$396,IE$169,1+SwaptionShift):INDEX($FO$325:$IH$396,IE$169,SwaptionMonthsToGo+SwaptionShift),INDEX($FO$245:$IH$316,$FN180-IE$169,73-IE$169+SwaptionShift):INDEX($FO$245:$IH$316,$FN180-IE$169,72-IE$169+SwaptionMonthsToGo+SwaptionShift))/SQRT(SUM(INDEX($FO335:$IH335,1+SwaptionShift):INDEX($FO335:$IH335,SwaptionMonthsToGo+SwaptionShift))*SUM(INDEX($FO$325:$IH$396,IE$169,1+SwaptionShift):INDEX($FO$325:$IH$396,IE$169,SwaptionMonthsToGo+SwaptionShift))))))</f>
        <v/>
      </c>
      <c r="IF180" s="469" t="str">
        <f ca="1">IF(OR(IF$169&lt;SwaptionFirstMonthPosition+1,$FN180&lt;SwaptionFirstMonthPosition+1,IF$169&gt;SwaptionFirstMonthPosition+SwaptionNumOfMonths+1,$FN180&gt;SwaptionFirstMonthPosition+SwaptionNumOfMonths+1),"",IF($FN180=IF$169,1,IF($FN180&lt;IF$169,INDEX($FO$170:$IH$241,IF$169,$FN180),SUMPRODUCT(INDEX($FO$325:$IH$396,IF$169,1+SwaptionShift):INDEX($FO$325:$IH$396,IF$169,SwaptionMonthsToGo+SwaptionShift),INDEX($FO$245:$IH$316,$FN180-IF$169,73-IF$169+SwaptionShift):INDEX($FO$245:$IH$316,$FN180-IF$169,72-IF$169+SwaptionMonthsToGo+SwaptionShift))/SQRT(SUM(INDEX($FO335:$IH335,1+SwaptionShift):INDEX($FO335:$IH335,SwaptionMonthsToGo+SwaptionShift))*SUM(INDEX($FO$325:$IH$396,IF$169,1+SwaptionShift):INDEX($FO$325:$IH$396,IF$169,SwaptionMonthsToGo+SwaptionShift))))))</f>
        <v/>
      </c>
      <c r="IG180" s="469" t="str">
        <f ca="1">IF(OR(IG$169&lt;SwaptionFirstMonthPosition+1,$FN180&lt;SwaptionFirstMonthPosition+1,IG$169&gt;SwaptionFirstMonthPosition+SwaptionNumOfMonths+1,$FN180&gt;SwaptionFirstMonthPosition+SwaptionNumOfMonths+1),"",IF($FN180=IG$169,1,IF($FN180&lt;IG$169,INDEX($FO$170:$IH$241,IG$169,$FN180),SUMPRODUCT(INDEX($FO$325:$IH$396,IG$169,1+SwaptionShift):INDEX($FO$325:$IH$396,IG$169,SwaptionMonthsToGo+SwaptionShift),INDEX($FO$245:$IH$316,$FN180-IG$169,73-IG$169+SwaptionShift):INDEX($FO$245:$IH$316,$FN180-IG$169,72-IG$169+SwaptionMonthsToGo+SwaptionShift))/SQRT(SUM(INDEX($FO335:$IH335,1+SwaptionShift):INDEX($FO335:$IH335,SwaptionMonthsToGo+SwaptionShift))*SUM(INDEX($FO$325:$IH$396,IG$169,1+SwaptionShift):INDEX($FO$325:$IH$396,IG$169,SwaptionMonthsToGo+SwaptionShift))))))</f>
        <v/>
      </c>
      <c r="IH180" s="662" t="str">
        <f ca="1">IF(OR(IH$169&lt;SwaptionFirstMonthPosition+1,$FN180&lt;SwaptionFirstMonthPosition+1,IH$169&gt;SwaptionFirstMonthPosition+SwaptionNumOfMonths+1,$FN180&gt;SwaptionFirstMonthPosition+SwaptionNumOfMonths+1),"",IF($FN180=IH$169,1,IF($FN180&lt;IH$169,INDEX($FO$170:$IH$241,IH$169,$FN180),SUMPRODUCT(INDEX($FO$325:$IH$396,IH$169,1+SwaptionShift):INDEX($FO$325:$IH$396,IH$169,SwaptionMonthsToGo+SwaptionShift),INDEX($FO$245:$IH$316,$FN180-IH$169,73-IH$169+SwaptionShift):INDEX($FO$245:$IH$316,$FN180-IH$169,72-IH$169+SwaptionMonthsToGo+SwaptionShift))/SQRT(SUM(INDEX($FO335:$IH335,1+SwaptionShift):INDEX($FO335:$IH335,SwaptionMonthsToGo+SwaptionShift))*SUM(INDEX($FO$325:$IH$396,IH$169,1+SwaptionShift):INDEX($FO$325:$IH$396,IH$169,SwaptionMonthsToGo+SwaptionShift))))))</f>
        <v/>
      </c>
      <c r="II180" s="242"/>
    </row>
    <row r="181" spans="8:243">
      <c r="H181" s="49" t="e">
        <f t="shared" ca="1" si="529"/>
        <v>#N/A</v>
      </c>
      <c r="I181" s="369">
        <f t="shared" si="530"/>
        <v>41913</v>
      </c>
      <c r="J181" s="367">
        <v>23.409999999999901</v>
      </c>
      <c r="K181" s="101" t="s">
        <v>267</v>
      </c>
      <c r="L181" s="382">
        <f t="shared" si="531"/>
        <v>23.409999999999901</v>
      </c>
      <c r="M181" s="163">
        <v>0.1467</v>
      </c>
      <c r="N181" s="372">
        <v>0</v>
      </c>
      <c r="O181" s="163">
        <f t="shared" si="488"/>
        <v>0.1467</v>
      </c>
      <c r="P181" s="367">
        <v>22.003173751634499</v>
      </c>
      <c r="Q181" s="101" t="s">
        <v>267</v>
      </c>
      <c r="R181" s="367">
        <f t="shared" ca="1" si="549"/>
        <v>22.003173751634471</v>
      </c>
      <c r="S181" s="814">
        <f t="shared" si="474"/>
        <v>0.35001385134287472</v>
      </c>
      <c r="T181" s="813">
        <f t="shared" si="550"/>
        <v>0.99999999664664596</v>
      </c>
      <c r="U181" s="532">
        <f t="shared" si="551"/>
        <v>0.99999999999999978</v>
      </c>
      <c r="V181" s="379">
        <v>0</v>
      </c>
      <c r="W181" s="424">
        <f t="shared" si="576"/>
        <v>23.444782608695554</v>
      </c>
      <c r="X181" s="405">
        <f t="shared" si="577"/>
        <v>23.444782608695554</v>
      </c>
      <c r="Y181" s="313">
        <f t="shared" si="578"/>
        <v>22.203182608695556</v>
      </c>
      <c r="Z181" s="313">
        <f t="shared" ca="1" si="579"/>
        <v>22.203182608695556</v>
      </c>
      <c r="AA181" s="419">
        <f t="shared" si="493"/>
        <v>1.2416</v>
      </c>
      <c r="AB181" s="423">
        <f t="shared" ca="1" si="494"/>
        <v>1.2416</v>
      </c>
      <c r="AC181" s="221">
        <v>41902</v>
      </c>
      <c r="AD181" s="221">
        <v>41898</v>
      </c>
      <c r="AE181" s="221">
        <v>41897</v>
      </c>
      <c r="AF181" s="221">
        <v>41893</v>
      </c>
      <c r="AG181" s="241" t="s">
        <v>497</v>
      </c>
      <c r="AH181" s="239" t="s">
        <v>497</v>
      </c>
      <c r="AI181" s="141">
        <v>23</v>
      </c>
      <c r="AJ181" s="41">
        <v>14</v>
      </c>
      <c r="AK181" s="41">
        <v>9</v>
      </c>
      <c r="AL181" s="285">
        <v>23</v>
      </c>
      <c r="AM181" s="41">
        <v>10</v>
      </c>
      <c r="AN181" s="142">
        <v>13</v>
      </c>
      <c r="AO181" s="364">
        <v>6.1146407637388704E-2</v>
      </c>
      <c r="AP181" s="145">
        <f t="shared" ca="1" si="532"/>
        <v>0.44186200111455082</v>
      </c>
      <c r="AQ181" s="364">
        <v>5.43682406592896E-2</v>
      </c>
      <c r="AR181" s="145">
        <f t="shared" ca="1" si="552"/>
        <v>0.48635682239355044</v>
      </c>
      <c r="AS181" s="264">
        <f t="shared" si="580"/>
        <v>0.14614347826086957</v>
      </c>
      <c r="AT181" s="149">
        <f t="shared" si="533"/>
        <v>0.1467</v>
      </c>
      <c r="AU181" s="149">
        <f t="shared" si="496"/>
        <v>0.14607391304347828</v>
      </c>
      <c r="AV181" s="263">
        <f t="shared" ca="1" si="560"/>
        <v>0.14449556437423461</v>
      </c>
      <c r="AW181" s="150" t="str">
        <f t="shared" ca="1" si="581"/>
        <v/>
      </c>
      <c r="AX181" s="149">
        <f t="shared" ca="1" si="553"/>
        <v>6.7005013147646139E-3</v>
      </c>
      <c r="AY181" s="149">
        <f t="shared" ca="1" si="554"/>
        <v>2.387464516678154E-3</v>
      </c>
      <c r="AZ181" s="149">
        <f t="shared" ca="1" si="555"/>
        <v>2.2814004054126937E-3</v>
      </c>
      <c r="BA181" s="149">
        <f t="shared" ca="1" si="556"/>
        <v>1.0000000000000772E-4</v>
      </c>
      <c r="BB181" s="149">
        <f t="shared" ca="1" si="557"/>
        <v>1.0000000000000772E-4</v>
      </c>
      <c r="BC181" s="149">
        <f t="shared" ca="1" si="558"/>
        <v>1.0000000000000772E-4</v>
      </c>
      <c r="BD181" s="143">
        <f t="shared" ca="1" si="582"/>
        <v>0</v>
      </c>
      <c r="BE181" s="144">
        <f t="shared" ca="1" si="583"/>
        <v>0</v>
      </c>
      <c r="BF181" s="40">
        <f t="shared" si="584"/>
        <v>2014</v>
      </c>
      <c r="BG181" s="139">
        <f t="shared" si="585"/>
        <v>10</v>
      </c>
      <c r="BH181" s="140">
        <f t="shared" ca="1" si="586"/>
        <v>4908</v>
      </c>
      <c r="BI181" s="304">
        <f t="shared" ca="1" si="570"/>
        <v>13.478439425051334</v>
      </c>
      <c r="BJ181" s="42">
        <f t="shared" ca="1" si="503"/>
        <v>13.528434961164182</v>
      </c>
      <c r="BK181" s="42">
        <f t="shared" ca="1" si="504"/>
        <v>13.531172811951315</v>
      </c>
      <c r="BL181" s="42">
        <f t="shared" ca="1" si="571"/>
        <v>13.560574948665298</v>
      </c>
      <c r="BM181" s="285">
        <f t="shared" si="572"/>
        <v>23</v>
      </c>
      <c r="BN181" s="41">
        <f t="shared" si="573"/>
        <v>14</v>
      </c>
      <c r="BO181" s="41">
        <f t="shared" si="574"/>
        <v>9</v>
      </c>
      <c r="BP181" s="297" t="str">
        <f t="shared" ca="1" si="505"/>
        <v/>
      </c>
      <c r="BQ181" s="297" t="str">
        <f t="shared" ca="1" si="506"/>
        <v/>
      </c>
      <c r="BR181" s="299" t="str">
        <f t="shared" ca="1" si="507"/>
        <v/>
      </c>
      <c r="BS181" s="153" t="str">
        <f t="shared" ca="1" si="508"/>
        <v/>
      </c>
      <c r="BT181" s="153" t="str">
        <f t="shared" ca="1" si="509"/>
        <v/>
      </c>
      <c r="BU181" s="300" t="str">
        <f t="shared" ca="1" si="510"/>
        <v/>
      </c>
      <c r="BV181" s="301" t="str">
        <f t="shared" ca="1" si="511"/>
        <v/>
      </c>
      <c r="BW181" s="300" t="str">
        <f t="shared" ca="1" si="512"/>
        <v/>
      </c>
      <c r="BX181" s="301" t="str">
        <f t="shared" ca="1" si="513"/>
        <v/>
      </c>
      <c r="BY181" s="146" t="str">
        <f t="shared" ca="1" si="514"/>
        <v/>
      </c>
      <c r="BZ181" s="146" t="str">
        <f t="shared" ca="1" si="515"/>
        <v/>
      </c>
      <c r="CA181" s="146" t="str">
        <f t="shared" ca="1" si="516"/>
        <v/>
      </c>
      <c r="CB181" s="146" t="str">
        <f t="shared" ca="1" si="517"/>
        <v/>
      </c>
      <c r="CC181" s="302">
        <v>1</v>
      </c>
      <c r="CD181" s="154">
        <f ca="1">IF(BD181,_xll.xCrudeAPO(BS181,BT181,BY181,BZ181,S182,S183,BI181,BL181,BN181,BO181,0,Strike1,AO181,CC181,0,BL181,IF(OptControl=4,0,1),0,1),0)</f>
        <v>0</v>
      </c>
      <c r="CE181" s="155">
        <f ca="1">IF(BD181,_xll.xCrudeAPO(BS181,BT181,BY181,BZ181,S182,S183,BI181,BL181,BN181,BO181,0,Strike1,AO181,CC181,0,BL181,IF(OptControl=4,0,1),1,1)+_xll.xCrudeAPO(BS181,BT181,BY181,BZ181,S182,S183,BI181,BL181,BN181,BO181,0,Strike1,AO181,CC181,0,BL181,IF(OptControl=4,0,1),1,2)+IF(OR(VolSkewFlag=2,ABS(BQ181)&lt;0.0001),0,IF(BQ181&gt;0,-1,1)*CF181*Strike1/BP181^2*BW181/10%),0)</f>
        <v>0</v>
      </c>
      <c r="CF181" s="155">
        <f ca="1">IF(BD181,(_xll.xCrudeAPO(BS181,BT181,BY181,BZ181,S182,S183,BI181,BL181,BN181,BO181,0,Strike1,AO181,CC181,0,BL181,IF(OptControl=4,0,1),3,1)+_xll.xCrudeAPO(BS181,BT181,BY181,BZ181,S182,S183,BI181,BL181,BN181,BO181,0,Strike1,AO181,CC181,0,BL181,IF(OptControl=4,0,1),3,2))/100,0)</f>
        <v>0</v>
      </c>
      <c r="CG181" s="155">
        <f ca="1">IF(BD181,_xll.xCrudeAPO(BS181,BT181,BY181,BZ181,S182,S183,BI181-DaysForThetaCalculation/365.25,BL181-DaysForThetaCalculation/365.25,BN181,BO181,0,Strike1,AO181,CC181,0,BL181,IF(OptControl=4,0,1),0,1)-_xll.xCrudeAPO(BS181,BT181,BY181,BZ181,S182,S183,BI181,BL181,BN181,BO181,0,Strike1,AO181,CC181,0,BL181,IF(OptControl=4,0,1),0,1),0)</f>
        <v>0</v>
      </c>
      <c r="CH181" s="303">
        <f ca="1">IF(BD181,_xll.xCrudeAPO(BS181,BT181,CA181,CB181,S182,S183,BI181,BL181,BN181,BO181,0,Strike2,AO181,CC181,0,BL181,IF(OptControl=3,1,0),0,1),0)</f>
        <v>0</v>
      </c>
      <c r="CI181" s="155">
        <f ca="1">IF(BD181,_xll.xCrudeAPO(BS181,BT181,CA181,CB181,S182,S183,BI181,BL181,BN181,BO181,0,Strike2,AO181,CC181,0,BL181,IF(OptControl=3,1,0),1,1)+_xll.xCrudeAPO(BS181,BT181,CA181,CB181,S182,S183,BI181,BL181,BN181,BO181,0,Strike2,AO181,CC181,0,BL181,IF(OptControl=3,1,0),1,2)+IF(OR(VolSkewFlag=2,ABS(BR181)&lt;0.0001),0,IF(BR181&gt;0,-1,1)*CJ181*Strike2/BP181^2*BX181/10%),0)</f>
        <v>0</v>
      </c>
      <c r="CJ181" s="155">
        <f ca="1">IF(BD181,(_xll.xCrudeAPO(BS181,BT181,CA181,CB181,S182,S183,BI181,BL181,BN181,BO181,0,Strike2,AO181,CC181,0,BL181,IF(OptControl=3,1,0),3,1)+_xll.xCrudeAPO(BS181,BT181,CA181,CB181,S182,S183,BI181,BL181,BN181,BO181,0,Strike2,AO181,CC181,0,BL181,IF(OptControl=3,1,0),3,2))/100,0)</f>
        <v>0</v>
      </c>
      <c r="CK181" s="156">
        <f ca="1">IF(BD181,_xll.xCrudeAPO(BS181,BT181,CA181,CB181,S182,S183,BI181-DaysForThetaCalculation/365.25,BL181-DaysForThetaCalculation/365.25,BN181,BO181,0,Strike2,AO181,CC181,0,BL181,IF(OptControl=3,1,0),0,1)-_xll.xCrudeAPO(BS181,BT181,CA181,CB181,S182,S183,BI181,BL181,BN181,BO181,0,Strike2,AO181,CC181,0,BL181,IF(OptControl=3,1,0),0,1),0)</f>
        <v>0</v>
      </c>
      <c r="CL181" s="51"/>
      <c r="CM181" s="779" t="str">
        <f t="shared" ca="1" si="534"/>
        <v/>
      </c>
      <c r="CN181" s="783" t="str">
        <f t="shared" ca="1" si="535"/>
        <v/>
      </c>
      <c r="CO181" s="780" t="str">
        <f t="shared" ca="1" si="536"/>
        <v/>
      </c>
      <c r="CP181" s="780" t="str">
        <f t="shared" ca="1" si="537"/>
        <v/>
      </c>
      <c r="CQ181" s="780" t="str">
        <f t="shared" ca="1" si="538"/>
        <v/>
      </c>
      <c r="CR181" s="780" t="str">
        <f t="shared" ca="1" si="539"/>
        <v/>
      </c>
      <c r="CS181" s="781" t="str">
        <f t="shared" ca="1" si="540"/>
        <v/>
      </c>
      <c r="CT181" s="782" t="str">
        <f t="shared" ca="1" si="541"/>
        <v/>
      </c>
      <c r="CU181" s="782" t="str">
        <f t="shared" ca="1" si="542"/>
        <v/>
      </c>
      <c r="CV181" s="155">
        <f ca="1">IF(BD181,_xll.EURO(CN181,Strike1,AO181,AO181,CT181,CM181,IF(OptControl=4,0,1),0),0)</f>
        <v>0</v>
      </c>
      <c r="CW181" s="155">
        <f ca="1">IF(BD181,_xll.EURO(CN181,Strike1,AO181,AO181,CT181,CM181,IF(OptControl=4,0,1),1)+IF(OR(VolSkewFlag=2,ABS(CO181)&lt;0.0001),0,IF(CO181&gt;0,-1,1)*CX181*100*Strike1/CN181^2*CQ181/10%),0)</f>
        <v>0</v>
      </c>
      <c r="CX181" s="155">
        <f ca="1">IF(BD181,_xll.EURO(CN181,Strike1,AO181,AO181,CT181,CM181,IF(OptControl=4,0,1),3)/100,0)</f>
        <v>0</v>
      </c>
      <c r="CY181" s="155">
        <f ca="1">IF(BD181,_xll.EURO(CN181,Strike1,AO181,AO181,CT181,CM181,IF(OptControl=4,0,1),0)-_xll.EURO(CN181,Strike1,AO181,AO181,CT181,CM181-1,IF(OptControl=4,0,1),0),0)</f>
        <v>0</v>
      </c>
      <c r="CZ181" s="155">
        <f ca="1">IF(BD181,_xll.EURO(CN181,Strike2,AO181,AO181,CU181,CM181,IF(OptControl=3,1,0),0),0)</f>
        <v>0</v>
      </c>
      <c r="DA181" s="155">
        <f ca="1">IF(BD181,_xll.EURO(CN181,Strike2,AO181,AO181,CU181,CM181,IF(OptControl=3,1,0),1)+IF(OR(VolSkewFlag=2,ABS(CP181)&lt;0.0001),0,IF(CP181&gt;0,-1,1)*DB181*100*Strike2/CN181^2*CR181/10%),0)</f>
        <v>0</v>
      </c>
      <c r="DB181" s="155">
        <f ca="1">IF(BD181,_xll.EURO(CN181,Strike2,AO181,AO181,CU181,CM181,IF(OptControl=3,1,0),3)/100,0)</f>
        <v>0</v>
      </c>
      <c r="DC181" s="156">
        <f ca="1">IF(BD181,_xll.EURO(CN181,Strike2,AO181,AO181,CU181,CM181,IF(OptControl=3,1,0),0)-_xll.EURO(CN181,Strike2,AO181,AO181,CU181,CM181-1,IF(OptControl=3,1,0),0),0)</f>
        <v>0</v>
      </c>
      <c r="DE181" s="651">
        <f t="shared" ca="1" si="543"/>
        <v>41821</v>
      </c>
      <c r="DF181" s="465">
        <v>1E-4</v>
      </c>
      <c r="DG181" s="649">
        <v>1E-4</v>
      </c>
      <c r="DH181" s="650">
        <f t="shared" ca="1" si="587"/>
        <v>41821</v>
      </c>
      <c r="DI181" s="465">
        <v>1E-4</v>
      </c>
      <c r="DJ181" s="649">
        <v>1E-4</v>
      </c>
      <c r="DK181" s="651">
        <f t="shared" ca="1" si="588"/>
        <v>41821</v>
      </c>
      <c r="DL181" s="652">
        <f t="shared" si="589"/>
        <v>5.0100000000000006E-2</v>
      </c>
      <c r="DM181" s="651">
        <f t="shared" ca="1" si="544"/>
        <v>41821</v>
      </c>
      <c r="DN181" s="563">
        <f t="shared" si="545"/>
        <v>-0.12990000000000002</v>
      </c>
      <c r="DO181" s="803">
        <v>-0.13</v>
      </c>
      <c r="DP181" s="650">
        <f t="shared" ca="1" si="590"/>
        <v>41821</v>
      </c>
      <c r="DQ181" s="653">
        <v>1E-4</v>
      </c>
      <c r="DR181" s="590">
        <v>1E-4</v>
      </c>
      <c r="DS181" s="650">
        <f t="shared" ca="1" si="591"/>
        <v>41821</v>
      </c>
      <c r="DT181" s="653">
        <v>1E-4</v>
      </c>
      <c r="DU181" s="590">
        <v>1E-4</v>
      </c>
      <c r="DV181" s="651">
        <f t="shared" ca="1" si="592"/>
        <v>41821</v>
      </c>
      <c r="DW181" s="590">
        <v>1E-4</v>
      </c>
      <c r="DX181" s="651">
        <f t="shared" ca="1" si="546"/>
        <v>41821</v>
      </c>
      <c r="DY181" s="590">
        <f t="shared" si="547"/>
        <v>1E-4</v>
      </c>
      <c r="DZ181" s="1"/>
      <c r="EA181" s="857"/>
      <c r="EB181" s="857"/>
      <c r="EC181" s="857"/>
      <c r="ED181" s="868" t="e">
        <f t="shared" ca="1" si="566"/>
        <v>#NAME?</v>
      </c>
      <c r="EE181" s="863" t="e">
        <f t="shared" ca="1" si="524"/>
        <v>#NAME?</v>
      </c>
      <c r="EF181" s="590" t="e">
        <f t="shared" ca="1" si="525"/>
        <v>#NAME?</v>
      </c>
      <c r="EG181" s="862" t="str">
        <f t="shared" ca="1" si="593"/>
        <v/>
      </c>
      <c r="EH181" s="114" t="str">
        <f t="shared" ca="1" si="527"/>
        <v/>
      </c>
      <c r="EI181" s="109" t="str">
        <f t="shared" ca="1" si="528"/>
        <v/>
      </c>
      <c r="EJ181" s="115">
        <f ca="1">IF(BD181,_xll.xASN(BP181,Strike1,AO181,EH181,0,BM181,0,BI181,BL181,IF(OptControl=4,0,1),0),0)</f>
        <v>0</v>
      </c>
      <c r="EK181" s="108">
        <f ca="1">IF(BD181,_xll.xASN(BP181,Strike2,AO181,EI181,0,BM181,0,BI181,BL181,IF(OptControl=3,1,0),0),0)</f>
        <v>0</v>
      </c>
      <c r="EP181" s="53"/>
      <c r="EQ181" s="1"/>
      <c r="ER181" s="103"/>
      <c r="ES181" s="103"/>
      <c r="ET181" s="1"/>
      <c r="EU181" s="667" t="s">
        <v>393</v>
      </c>
      <c r="EW181" s="445"/>
      <c r="EX181" s="36"/>
      <c r="EY181" s="104"/>
      <c r="EZ181" s="465"/>
      <c r="FA181" s="446"/>
      <c r="FB181" s="446"/>
      <c r="FC181" s="242"/>
      <c r="FD181" s="242"/>
      <c r="FE181" s="242"/>
      <c r="FF181" s="242"/>
      <c r="FG181" s="242"/>
      <c r="FH181" s="242"/>
      <c r="FI181" s="242"/>
      <c r="FJ181" s="242"/>
      <c r="FK181" s="242"/>
      <c r="FL181" s="242"/>
      <c r="FM181" s="242"/>
      <c r="FN181" s="657">
        <v>12</v>
      </c>
      <c r="FO181" s="469" t="str">
        <f ca="1">IF(OR(FO$169&lt;SwaptionFirstMonthPosition+1,$FN181&lt;SwaptionFirstMonthPosition+1,FO$169&gt;SwaptionFirstMonthPosition+SwaptionNumOfMonths+1,$FN181&gt;SwaptionFirstMonthPosition+SwaptionNumOfMonths+1),"",IF($FN181=FO$169,1,IF($FN181&lt;FO$169,INDEX($FO$170:$IH$241,FO$169,$FN181),SUMPRODUCT(INDEX($FO$325:$IH$396,FO$169,1+SwaptionShift):INDEX($FO$325:$IH$396,FO$169,SwaptionMonthsToGo+SwaptionShift),INDEX($FO$245:$IH$316,$FN181-FO$169,73-FO$169+SwaptionShift):INDEX($FO$245:$IH$316,$FN181-FO$169,72-FO$169+SwaptionMonthsToGo+SwaptionShift))/SQRT(SUM(INDEX($FO336:$IH336,1+SwaptionShift):INDEX($FO336:$IH336,SwaptionMonthsToGo+SwaptionShift))*SUM(INDEX($FO$325:$IH$396,FO$169,1+SwaptionShift):INDEX($FO$325:$IH$396,FO$169,SwaptionMonthsToGo+SwaptionShift))))))</f>
        <v/>
      </c>
      <c r="FP181" s="469">
        <f ca="1">IF(OR(FP$169&lt;SwaptionFirstMonthPosition+1,$FN181&lt;SwaptionFirstMonthPosition+1,FP$169&gt;SwaptionFirstMonthPosition+SwaptionNumOfMonths+1,$FN181&gt;SwaptionFirstMonthPosition+SwaptionNumOfMonths+1),"",IF($FN181=FP$169,1,IF($FN181&lt;FP$169,INDEX($FO$170:$IH$241,FP$169,$FN181),SUMPRODUCT(INDEX($FO$325:$IH$396,FP$169,1+SwaptionShift):INDEX($FO$325:$IH$396,FP$169,SwaptionMonthsToGo+SwaptionShift),INDEX($FO$245:$IH$316,$FN181-FP$169,73-FP$169+SwaptionShift):INDEX($FO$245:$IH$316,$FN181-FP$169,72-FP$169+SwaptionMonthsToGo+SwaptionShift))/SQRT(SUM(INDEX($FO336:$IH336,1+SwaptionShift):INDEX($FO336:$IH336,SwaptionMonthsToGo+SwaptionShift))*SUM(INDEX($FO$325:$IH$396,FP$169,1+SwaptionShift):INDEX($FO$325:$IH$396,FP$169,SwaptionMonthsToGo+SwaptionShift))))))</f>
        <v>0.90805687418695091</v>
      </c>
      <c r="FQ181" s="469">
        <f ca="1">IF(OR(FQ$169&lt;SwaptionFirstMonthPosition+1,$FN181&lt;SwaptionFirstMonthPosition+1,FQ$169&gt;SwaptionFirstMonthPosition+SwaptionNumOfMonths+1,$FN181&gt;SwaptionFirstMonthPosition+SwaptionNumOfMonths+1),"",IF($FN181=FQ$169,1,IF($FN181&lt;FQ$169,INDEX($FO$170:$IH$241,FQ$169,$FN181),SUMPRODUCT(INDEX($FO$325:$IH$396,FQ$169,1+SwaptionShift):INDEX($FO$325:$IH$396,FQ$169,SwaptionMonthsToGo+SwaptionShift),INDEX($FO$245:$IH$316,$FN181-FQ$169,73-FQ$169+SwaptionShift):INDEX($FO$245:$IH$316,$FN181-FQ$169,72-FQ$169+SwaptionMonthsToGo+SwaptionShift))/SQRT(SUM(INDEX($FO336:$IH336,1+SwaptionShift):INDEX($FO336:$IH336,SwaptionMonthsToGo+SwaptionShift))*SUM(INDEX($FO$325:$IH$396,FQ$169,1+SwaptionShift):INDEX($FO$325:$IH$396,FQ$169,SwaptionMonthsToGo+SwaptionShift))))))</f>
        <v>0.92572891077522701</v>
      </c>
      <c r="FR181" s="469">
        <f ca="1">IF(OR(FR$169&lt;SwaptionFirstMonthPosition+1,$FN181&lt;SwaptionFirstMonthPosition+1,FR$169&gt;SwaptionFirstMonthPosition+SwaptionNumOfMonths+1,$FN181&gt;SwaptionFirstMonthPosition+SwaptionNumOfMonths+1),"",IF($FN181=FR$169,1,IF($FN181&lt;FR$169,INDEX($FO$170:$IH$241,FR$169,$FN181),SUMPRODUCT(INDEX($FO$325:$IH$396,FR$169,1+SwaptionShift):INDEX($FO$325:$IH$396,FR$169,SwaptionMonthsToGo+SwaptionShift),INDEX($FO$245:$IH$316,$FN181-FR$169,73-FR$169+SwaptionShift):INDEX($FO$245:$IH$316,$FN181-FR$169,72-FR$169+SwaptionMonthsToGo+SwaptionShift))/SQRT(SUM(INDEX($FO336:$IH336,1+SwaptionShift):INDEX($FO336:$IH336,SwaptionMonthsToGo+SwaptionShift))*SUM(INDEX($FO$325:$IH$396,FR$169,1+SwaptionShift):INDEX($FO$325:$IH$396,FR$169,SwaptionMonthsToGo+SwaptionShift))))))</f>
        <v>0.94043256445688006</v>
      </c>
      <c r="FS181" s="469">
        <f ca="1">IF(OR(FS$169&lt;SwaptionFirstMonthPosition+1,$FN181&lt;SwaptionFirstMonthPosition+1,FS$169&gt;SwaptionFirstMonthPosition+SwaptionNumOfMonths+1,$FN181&gt;SwaptionFirstMonthPosition+SwaptionNumOfMonths+1),"",IF($FN181=FS$169,1,IF($FN181&lt;FS$169,INDEX($FO$170:$IH$241,FS$169,$FN181),SUMPRODUCT(INDEX($FO$325:$IH$396,FS$169,1+SwaptionShift):INDEX($FO$325:$IH$396,FS$169,SwaptionMonthsToGo+SwaptionShift),INDEX($FO$245:$IH$316,$FN181-FS$169,73-FS$169+SwaptionShift):INDEX($FO$245:$IH$316,$FN181-FS$169,72-FS$169+SwaptionMonthsToGo+SwaptionShift))/SQRT(SUM(INDEX($FO336:$IH336,1+SwaptionShift):INDEX($FO336:$IH336,SwaptionMonthsToGo+SwaptionShift))*SUM(INDEX($FO$325:$IH$396,FS$169,1+SwaptionShift):INDEX($FO$325:$IH$396,FS$169,SwaptionMonthsToGo+SwaptionShift))))))</f>
        <v>0.95273018306935409</v>
      </c>
      <c r="FT181" s="469">
        <f ca="1">IF(OR(FT$169&lt;SwaptionFirstMonthPosition+1,$FN181&lt;SwaptionFirstMonthPosition+1,FT$169&gt;SwaptionFirstMonthPosition+SwaptionNumOfMonths+1,$FN181&gt;SwaptionFirstMonthPosition+SwaptionNumOfMonths+1),"",IF($FN181=FT$169,1,IF($FN181&lt;FT$169,INDEX($FO$170:$IH$241,FT$169,$FN181),SUMPRODUCT(INDEX($FO$325:$IH$396,FT$169,1+SwaptionShift):INDEX($FO$325:$IH$396,FT$169,SwaptionMonthsToGo+SwaptionShift),INDEX($FO$245:$IH$316,$FN181-FT$169,73-FT$169+SwaptionShift):INDEX($FO$245:$IH$316,$FN181-FT$169,72-FT$169+SwaptionMonthsToGo+SwaptionShift))/SQRT(SUM(INDEX($FO336:$IH336,1+SwaptionShift):INDEX($FO336:$IH336,SwaptionMonthsToGo+SwaptionShift))*SUM(INDEX($FO$325:$IH$396,FT$169,1+SwaptionShift):INDEX($FO$325:$IH$396,FT$169,SwaptionMonthsToGo+SwaptionShift))))))</f>
        <v>0.96307358708831303</v>
      </c>
      <c r="FU181" s="469">
        <f ca="1">IF(OR(FU$169&lt;SwaptionFirstMonthPosition+1,$FN181&lt;SwaptionFirstMonthPosition+1,FU$169&gt;SwaptionFirstMonthPosition+SwaptionNumOfMonths+1,$FN181&gt;SwaptionFirstMonthPosition+SwaptionNumOfMonths+1),"",IF($FN181=FU$169,1,IF($FN181&lt;FU$169,INDEX($FO$170:$IH$241,FU$169,$FN181),SUMPRODUCT(INDEX($FO$325:$IH$396,FU$169,1+SwaptionShift):INDEX($FO$325:$IH$396,FU$169,SwaptionMonthsToGo+SwaptionShift),INDEX($FO$245:$IH$316,$FN181-FU$169,73-FU$169+SwaptionShift):INDEX($FO$245:$IH$316,$FN181-FU$169,72-FU$169+SwaptionMonthsToGo+SwaptionShift))/SQRT(SUM(INDEX($FO336:$IH336,1+SwaptionShift):INDEX($FO336:$IH336,SwaptionMonthsToGo+SwaptionShift))*SUM(INDEX($FO$325:$IH$396,FU$169,1+SwaptionShift):INDEX($FO$325:$IH$396,FU$169,SwaptionMonthsToGo+SwaptionShift))))))</f>
        <v>0.97182431005401637</v>
      </c>
      <c r="FV181" s="469">
        <f ca="1">IF(OR(FV$169&lt;SwaptionFirstMonthPosition+1,$FN181&lt;SwaptionFirstMonthPosition+1,FV$169&gt;SwaptionFirstMonthPosition+SwaptionNumOfMonths+1,$FN181&gt;SwaptionFirstMonthPosition+SwaptionNumOfMonths+1),"",IF($FN181=FV$169,1,IF($FN181&lt;FV$169,INDEX($FO$170:$IH$241,FV$169,$FN181),SUMPRODUCT(INDEX($FO$325:$IH$396,FV$169,1+SwaptionShift):INDEX($FO$325:$IH$396,FV$169,SwaptionMonthsToGo+SwaptionShift),INDEX($FO$245:$IH$316,$FN181-FV$169,73-FV$169+SwaptionShift):INDEX($FO$245:$IH$316,$FN181-FV$169,72-FV$169+SwaptionMonthsToGo+SwaptionShift))/SQRT(SUM(INDEX($FO336:$IH336,1+SwaptionShift):INDEX($FO336:$IH336,SwaptionMonthsToGo+SwaptionShift))*SUM(INDEX($FO$325:$IH$396,FV$169,1+SwaptionShift):INDEX($FO$325:$IH$396,FV$169,SwaptionMonthsToGo+SwaptionShift))))))</f>
        <v>0.97927115480329585</v>
      </c>
      <c r="FW181" s="469">
        <f ca="1">IF(OR(FW$169&lt;SwaptionFirstMonthPosition+1,$FN181&lt;SwaptionFirstMonthPosition+1,FW$169&gt;SwaptionFirstMonthPosition+SwaptionNumOfMonths+1,$FN181&gt;SwaptionFirstMonthPosition+SwaptionNumOfMonths+1),"",IF($FN181=FW$169,1,IF($FN181&lt;FW$169,INDEX($FO$170:$IH$241,FW$169,$FN181),SUMPRODUCT(INDEX($FO$325:$IH$396,FW$169,1+SwaptionShift):INDEX($FO$325:$IH$396,FW$169,SwaptionMonthsToGo+SwaptionShift),INDEX($FO$245:$IH$316,$FN181-FW$169,73-FW$169+SwaptionShift):INDEX($FO$245:$IH$316,$FN181-FW$169,72-FW$169+SwaptionMonthsToGo+SwaptionShift))/SQRT(SUM(INDEX($FO336:$IH336,1+SwaptionShift):INDEX($FO336:$IH336,SwaptionMonthsToGo+SwaptionShift))*SUM(INDEX($FO$325:$IH$396,FW$169,1+SwaptionShift):INDEX($FO$325:$IH$396,FW$169,SwaptionMonthsToGo+SwaptionShift))))))</f>
        <v>0.98564487791619482</v>
      </c>
      <c r="FX181" s="469">
        <f ca="1">IF(OR(FX$169&lt;SwaptionFirstMonthPosition+1,$FN181&lt;SwaptionFirstMonthPosition+1,FX$169&gt;SwaptionFirstMonthPosition+SwaptionNumOfMonths+1,$FN181&gt;SwaptionFirstMonthPosition+SwaptionNumOfMonths+1),"",IF($FN181=FX$169,1,IF($FN181&lt;FX$169,INDEX($FO$170:$IH$241,FX$169,$FN181),SUMPRODUCT(INDEX($FO$325:$IH$396,FX$169,1+SwaptionShift):INDEX($FO$325:$IH$396,FX$169,SwaptionMonthsToGo+SwaptionShift),INDEX($FO$245:$IH$316,$FN181-FX$169,73-FX$169+SwaptionShift):INDEX($FO$245:$IH$316,$FN181-FX$169,72-FX$169+SwaptionMonthsToGo+SwaptionShift))/SQRT(SUM(INDEX($FO336:$IH336,1+SwaptionShift):INDEX($FO336:$IH336,SwaptionMonthsToGo+SwaptionShift))*SUM(INDEX($FO$325:$IH$396,FX$169,1+SwaptionShift):INDEX($FO$325:$IH$396,FX$169,SwaptionMonthsToGo+SwaptionShift))))))</f>
        <v>0.9911301848710351</v>
      </c>
      <c r="FY181" s="469">
        <f ca="1">IF(OR(FY$169&lt;SwaptionFirstMonthPosition+1,$FN181&lt;SwaptionFirstMonthPosition+1,FY$169&gt;SwaptionFirstMonthPosition+SwaptionNumOfMonths+1,$FN181&gt;SwaptionFirstMonthPosition+SwaptionNumOfMonths+1),"",IF($FN181=FY$169,1,IF($FN181&lt;FY$169,INDEX($FO$170:$IH$241,FY$169,$FN181),SUMPRODUCT(INDEX($FO$325:$IH$396,FY$169,1+SwaptionShift):INDEX($FO$325:$IH$396,FY$169,SwaptionMonthsToGo+SwaptionShift),INDEX($FO$245:$IH$316,$FN181-FY$169,73-FY$169+SwaptionShift):INDEX($FO$245:$IH$316,$FN181-FY$169,72-FY$169+SwaptionMonthsToGo+SwaptionShift))/SQRT(SUM(INDEX($FO336:$IH336,1+SwaptionShift):INDEX($FO336:$IH336,SwaptionMonthsToGo+SwaptionShift))*SUM(INDEX($FO$325:$IH$396,FY$169,1+SwaptionShift):INDEX($FO$325:$IH$396,FY$169,SwaptionMonthsToGo+SwaptionShift))))))</f>
        <v>0.99587537313373908</v>
      </c>
      <c r="FZ181" s="469">
        <f ca="1">IF(OR(FZ$169&lt;SwaptionFirstMonthPosition+1,$FN181&lt;SwaptionFirstMonthPosition+1,FZ$169&gt;SwaptionFirstMonthPosition+SwaptionNumOfMonths+1,$FN181&gt;SwaptionFirstMonthPosition+SwaptionNumOfMonths+1),"",IF($FN181=FZ$169,1,IF($FN181&lt;FZ$169,INDEX($FO$170:$IH$241,FZ$169,$FN181),SUMPRODUCT(INDEX($FO$325:$IH$396,FZ$169,1+SwaptionShift):INDEX($FO$325:$IH$396,FZ$169,SwaptionMonthsToGo+SwaptionShift),INDEX($FO$245:$IH$316,$FN181-FZ$169,73-FZ$169+SwaptionShift):INDEX($FO$245:$IH$316,$FN181-FZ$169,72-FZ$169+SwaptionMonthsToGo+SwaptionShift))/SQRT(SUM(INDEX($FO336:$IH336,1+SwaptionShift):INDEX($FO336:$IH336,SwaptionMonthsToGo+SwaptionShift))*SUM(INDEX($FO$325:$IH$396,FZ$169,1+SwaptionShift):INDEX($FO$325:$IH$396,FZ$169,SwaptionMonthsToGo+SwaptionShift))))))</f>
        <v>1</v>
      </c>
      <c r="GA181" s="469">
        <f ca="1">IF(OR(GA$169&lt;SwaptionFirstMonthPosition+1,$FN181&lt;SwaptionFirstMonthPosition+1,GA$169&gt;SwaptionFirstMonthPosition+SwaptionNumOfMonths+1,$FN181&gt;SwaptionFirstMonthPosition+SwaptionNumOfMonths+1),"",IF($FN181=GA$169,1,IF($FN181&lt;GA$169,INDEX($FO$170:$IH$241,GA$169,$FN181),SUMPRODUCT(INDEX($FO$325:$IH$396,GA$169,1+SwaptionShift):INDEX($FO$325:$IH$396,GA$169,SwaptionMonthsToGo+SwaptionShift),INDEX($FO$245:$IH$316,$FN181-GA$169,73-GA$169+SwaptionShift):INDEX($FO$245:$IH$316,$FN181-GA$169,72-GA$169+SwaptionMonthsToGo+SwaptionShift))/SQRT(SUM(INDEX($FO336:$IH336,1+SwaptionShift):INDEX($FO336:$IH336,SwaptionMonthsToGo+SwaptionShift))*SUM(INDEX($FO$325:$IH$396,GA$169,1+SwaptionShift):INDEX($FO$325:$IH$396,GA$169,SwaptionMonthsToGo+SwaptionShift))))))</f>
        <v>0.9964101284043938</v>
      </c>
      <c r="GB181" s="469">
        <f ca="1">IF(OR(GB$169&lt;SwaptionFirstMonthPosition+1,$FN181&lt;SwaptionFirstMonthPosition+1,GB$169&gt;SwaptionFirstMonthPosition+SwaptionNumOfMonths+1,$FN181&gt;SwaptionFirstMonthPosition+SwaptionNumOfMonths+1),"",IF($FN181=GB$169,1,IF($FN181&lt;GB$169,INDEX($FO$170:$IH$241,GB$169,$FN181),SUMPRODUCT(INDEX($FO$325:$IH$396,GB$169,1+SwaptionShift):INDEX($FO$325:$IH$396,GB$169,SwaptionMonthsToGo+SwaptionShift),INDEX($FO$245:$IH$316,$FN181-GB$169,73-GB$169+SwaptionShift):INDEX($FO$245:$IH$316,$FN181-GB$169,72-GB$169+SwaptionMonthsToGo+SwaptionShift))/SQRT(SUM(INDEX($FO336:$IH336,1+SwaptionShift):INDEX($FO336:$IH336,SwaptionMonthsToGo+SwaptionShift))*SUM(INDEX($FO$325:$IH$396,GB$169,1+SwaptionShift):INDEX($FO$325:$IH$396,GB$169,SwaptionMonthsToGo+SwaptionShift))))))</f>
        <v>0.99328157838884878</v>
      </c>
      <c r="GC181" s="469" t="str">
        <f ca="1">IF(OR(GC$169&lt;SwaptionFirstMonthPosition+1,$FN181&lt;SwaptionFirstMonthPosition+1,GC$169&gt;SwaptionFirstMonthPosition+SwaptionNumOfMonths+1,$FN181&gt;SwaptionFirstMonthPosition+SwaptionNumOfMonths+1),"",IF($FN181=GC$169,1,IF($FN181&lt;GC$169,INDEX($FO$170:$IH$241,GC$169,$FN181),SUMPRODUCT(INDEX($FO$325:$IH$396,GC$169,1+SwaptionShift):INDEX($FO$325:$IH$396,GC$169,SwaptionMonthsToGo+SwaptionShift),INDEX($FO$245:$IH$316,$FN181-GC$169,73-GC$169+SwaptionShift):INDEX($FO$245:$IH$316,$FN181-GC$169,72-GC$169+SwaptionMonthsToGo+SwaptionShift))/SQRT(SUM(INDEX($FO336:$IH336,1+SwaptionShift):INDEX($FO336:$IH336,SwaptionMonthsToGo+SwaptionShift))*SUM(INDEX($FO$325:$IH$396,GC$169,1+SwaptionShift):INDEX($FO$325:$IH$396,GC$169,SwaptionMonthsToGo+SwaptionShift))))))</f>
        <v/>
      </c>
      <c r="GD181" s="469" t="str">
        <f ca="1">IF(OR(GD$169&lt;SwaptionFirstMonthPosition+1,$FN181&lt;SwaptionFirstMonthPosition+1,GD$169&gt;SwaptionFirstMonthPosition+SwaptionNumOfMonths+1,$FN181&gt;SwaptionFirstMonthPosition+SwaptionNumOfMonths+1),"",IF($FN181=GD$169,1,IF($FN181&lt;GD$169,INDEX($FO$170:$IH$241,GD$169,$FN181),SUMPRODUCT(INDEX($FO$325:$IH$396,GD$169,1+SwaptionShift):INDEX($FO$325:$IH$396,GD$169,SwaptionMonthsToGo+SwaptionShift),INDEX($FO$245:$IH$316,$FN181-GD$169,73-GD$169+SwaptionShift):INDEX($FO$245:$IH$316,$FN181-GD$169,72-GD$169+SwaptionMonthsToGo+SwaptionShift))/SQRT(SUM(INDEX($FO336:$IH336,1+SwaptionShift):INDEX($FO336:$IH336,SwaptionMonthsToGo+SwaptionShift))*SUM(INDEX($FO$325:$IH$396,GD$169,1+SwaptionShift):INDEX($FO$325:$IH$396,GD$169,SwaptionMonthsToGo+SwaptionShift))))))</f>
        <v/>
      </c>
      <c r="GE181" s="469" t="str">
        <f ca="1">IF(OR(GE$169&lt;SwaptionFirstMonthPosition+1,$FN181&lt;SwaptionFirstMonthPosition+1,GE$169&gt;SwaptionFirstMonthPosition+SwaptionNumOfMonths+1,$FN181&gt;SwaptionFirstMonthPosition+SwaptionNumOfMonths+1),"",IF($FN181=GE$169,1,IF($FN181&lt;GE$169,INDEX($FO$170:$IH$241,GE$169,$FN181),SUMPRODUCT(INDEX($FO$325:$IH$396,GE$169,1+SwaptionShift):INDEX($FO$325:$IH$396,GE$169,SwaptionMonthsToGo+SwaptionShift),INDEX($FO$245:$IH$316,$FN181-GE$169,73-GE$169+SwaptionShift):INDEX($FO$245:$IH$316,$FN181-GE$169,72-GE$169+SwaptionMonthsToGo+SwaptionShift))/SQRT(SUM(INDEX($FO336:$IH336,1+SwaptionShift):INDEX($FO336:$IH336,SwaptionMonthsToGo+SwaptionShift))*SUM(INDEX($FO$325:$IH$396,GE$169,1+SwaptionShift):INDEX($FO$325:$IH$396,GE$169,SwaptionMonthsToGo+SwaptionShift))))))</f>
        <v/>
      </c>
      <c r="GF181" s="469" t="str">
        <f ca="1">IF(OR(GF$169&lt;SwaptionFirstMonthPosition+1,$FN181&lt;SwaptionFirstMonthPosition+1,GF$169&gt;SwaptionFirstMonthPosition+SwaptionNumOfMonths+1,$FN181&gt;SwaptionFirstMonthPosition+SwaptionNumOfMonths+1),"",IF($FN181=GF$169,1,IF($FN181&lt;GF$169,INDEX($FO$170:$IH$241,GF$169,$FN181),SUMPRODUCT(INDEX($FO$325:$IH$396,GF$169,1+SwaptionShift):INDEX($FO$325:$IH$396,GF$169,SwaptionMonthsToGo+SwaptionShift),INDEX($FO$245:$IH$316,$FN181-GF$169,73-GF$169+SwaptionShift):INDEX($FO$245:$IH$316,$FN181-GF$169,72-GF$169+SwaptionMonthsToGo+SwaptionShift))/SQRT(SUM(INDEX($FO336:$IH336,1+SwaptionShift):INDEX($FO336:$IH336,SwaptionMonthsToGo+SwaptionShift))*SUM(INDEX($FO$325:$IH$396,GF$169,1+SwaptionShift):INDEX($FO$325:$IH$396,GF$169,SwaptionMonthsToGo+SwaptionShift))))))</f>
        <v/>
      </c>
      <c r="GG181" s="469" t="str">
        <f ca="1">IF(OR(GG$169&lt;SwaptionFirstMonthPosition+1,$FN181&lt;SwaptionFirstMonthPosition+1,GG$169&gt;SwaptionFirstMonthPosition+SwaptionNumOfMonths+1,$FN181&gt;SwaptionFirstMonthPosition+SwaptionNumOfMonths+1),"",IF($FN181=GG$169,1,IF($FN181&lt;GG$169,INDEX($FO$170:$IH$241,GG$169,$FN181),SUMPRODUCT(INDEX($FO$325:$IH$396,GG$169,1+SwaptionShift):INDEX($FO$325:$IH$396,GG$169,SwaptionMonthsToGo+SwaptionShift),INDEX($FO$245:$IH$316,$FN181-GG$169,73-GG$169+SwaptionShift):INDEX($FO$245:$IH$316,$FN181-GG$169,72-GG$169+SwaptionMonthsToGo+SwaptionShift))/SQRT(SUM(INDEX($FO336:$IH336,1+SwaptionShift):INDEX($FO336:$IH336,SwaptionMonthsToGo+SwaptionShift))*SUM(INDEX($FO$325:$IH$396,GG$169,1+SwaptionShift):INDEX($FO$325:$IH$396,GG$169,SwaptionMonthsToGo+SwaptionShift))))))</f>
        <v/>
      </c>
      <c r="GH181" s="469" t="str">
        <f ca="1">IF(OR(GH$169&lt;SwaptionFirstMonthPosition+1,$FN181&lt;SwaptionFirstMonthPosition+1,GH$169&gt;SwaptionFirstMonthPosition+SwaptionNumOfMonths+1,$FN181&gt;SwaptionFirstMonthPosition+SwaptionNumOfMonths+1),"",IF($FN181=GH$169,1,IF($FN181&lt;GH$169,INDEX($FO$170:$IH$241,GH$169,$FN181),SUMPRODUCT(INDEX($FO$325:$IH$396,GH$169,1+SwaptionShift):INDEX($FO$325:$IH$396,GH$169,SwaptionMonthsToGo+SwaptionShift),INDEX($FO$245:$IH$316,$FN181-GH$169,73-GH$169+SwaptionShift):INDEX($FO$245:$IH$316,$FN181-GH$169,72-GH$169+SwaptionMonthsToGo+SwaptionShift))/SQRT(SUM(INDEX($FO336:$IH336,1+SwaptionShift):INDEX($FO336:$IH336,SwaptionMonthsToGo+SwaptionShift))*SUM(INDEX($FO$325:$IH$396,GH$169,1+SwaptionShift):INDEX($FO$325:$IH$396,GH$169,SwaptionMonthsToGo+SwaptionShift))))))</f>
        <v/>
      </c>
      <c r="GI181" s="469" t="str">
        <f ca="1">IF(OR(GI$169&lt;SwaptionFirstMonthPosition+1,$FN181&lt;SwaptionFirstMonthPosition+1,GI$169&gt;SwaptionFirstMonthPosition+SwaptionNumOfMonths+1,$FN181&gt;SwaptionFirstMonthPosition+SwaptionNumOfMonths+1),"",IF($FN181=GI$169,1,IF($FN181&lt;GI$169,INDEX($FO$170:$IH$241,GI$169,$FN181),SUMPRODUCT(INDEX($FO$325:$IH$396,GI$169,1+SwaptionShift):INDEX($FO$325:$IH$396,GI$169,SwaptionMonthsToGo+SwaptionShift),INDEX($FO$245:$IH$316,$FN181-GI$169,73-GI$169+SwaptionShift):INDEX($FO$245:$IH$316,$FN181-GI$169,72-GI$169+SwaptionMonthsToGo+SwaptionShift))/SQRT(SUM(INDEX($FO336:$IH336,1+SwaptionShift):INDEX($FO336:$IH336,SwaptionMonthsToGo+SwaptionShift))*SUM(INDEX($FO$325:$IH$396,GI$169,1+SwaptionShift):INDEX($FO$325:$IH$396,GI$169,SwaptionMonthsToGo+SwaptionShift))))))</f>
        <v/>
      </c>
      <c r="GJ181" s="469" t="str">
        <f ca="1">IF(OR(GJ$169&lt;SwaptionFirstMonthPosition+1,$FN181&lt;SwaptionFirstMonthPosition+1,GJ$169&gt;SwaptionFirstMonthPosition+SwaptionNumOfMonths+1,$FN181&gt;SwaptionFirstMonthPosition+SwaptionNumOfMonths+1),"",IF($FN181=GJ$169,1,IF($FN181&lt;GJ$169,INDEX($FO$170:$IH$241,GJ$169,$FN181),SUMPRODUCT(INDEX($FO$325:$IH$396,GJ$169,1+SwaptionShift):INDEX($FO$325:$IH$396,GJ$169,SwaptionMonthsToGo+SwaptionShift),INDEX($FO$245:$IH$316,$FN181-GJ$169,73-GJ$169+SwaptionShift):INDEX($FO$245:$IH$316,$FN181-GJ$169,72-GJ$169+SwaptionMonthsToGo+SwaptionShift))/SQRT(SUM(INDEX($FO336:$IH336,1+SwaptionShift):INDEX($FO336:$IH336,SwaptionMonthsToGo+SwaptionShift))*SUM(INDEX($FO$325:$IH$396,GJ$169,1+SwaptionShift):INDEX($FO$325:$IH$396,GJ$169,SwaptionMonthsToGo+SwaptionShift))))))</f>
        <v/>
      </c>
      <c r="GK181" s="469" t="str">
        <f ca="1">IF(OR(GK$169&lt;SwaptionFirstMonthPosition+1,$FN181&lt;SwaptionFirstMonthPosition+1,GK$169&gt;SwaptionFirstMonthPosition+SwaptionNumOfMonths+1,$FN181&gt;SwaptionFirstMonthPosition+SwaptionNumOfMonths+1),"",IF($FN181=GK$169,1,IF($FN181&lt;GK$169,INDEX($FO$170:$IH$241,GK$169,$FN181),SUMPRODUCT(INDEX($FO$325:$IH$396,GK$169,1+SwaptionShift):INDEX($FO$325:$IH$396,GK$169,SwaptionMonthsToGo+SwaptionShift),INDEX($FO$245:$IH$316,$FN181-GK$169,73-GK$169+SwaptionShift):INDEX($FO$245:$IH$316,$FN181-GK$169,72-GK$169+SwaptionMonthsToGo+SwaptionShift))/SQRT(SUM(INDEX($FO336:$IH336,1+SwaptionShift):INDEX($FO336:$IH336,SwaptionMonthsToGo+SwaptionShift))*SUM(INDEX($FO$325:$IH$396,GK$169,1+SwaptionShift):INDEX($FO$325:$IH$396,GK$169,SwaptionMonthsToGo+SwaptionShift))))))</f>
        <v/>
      </c>
      <c r="GL181" s="469" t="str">
        <f ca="1">IF(OR(GL$169&lt;SwaptionFirstMonthPosition+1,$FN181&lt;SwaptionFirstMonthPosition+1,GL$169&gt;SwaptionFirstMonthPosition+SwaptionNumOfMonths+1,$FN181&gt;SwaptionFirstMonthPosition+SwaptionNumOfMonths+1),"",IF($FN181=GL$169,1,IF($FN181&lt;GL$169,INDEX($FO$170:$IH$241,GL$169,$FN181),SUMPRODUCT(INDEX($FO$325:$IH$396,GL$169,1+SwaptionShift):INDEX($FO$325:$IH$396,GL$169,SwaptionMonthsToGo+SwaptionShift),INDEX($FO$245:$IH$316,$FN181-GL$169,73-GL$169+SwaptionShift):INDEX($FO$245:$IH$316,$FN181-GL$169,72-GL$169+SwaptionMonthsToGo+SwaptionShift))/SQRT(SUM(INDEX($FO336:$IH336,1+SwaptionShift):INDEX($FO336:$IH336,SwaptionMonthsToGo+SwaptionShift))*SUM(INDEX($FO$325:$IH$396,GL$169,1+SwaptionShift):INDEX($FO$325:$IH$396,GL$169,SwaptionMonthsToGo+SwaptionShift))))))</f>
        <v/>
      </c>
      <c r="GM181" s="469" t="str">
        <f ca="1">IF(OR(GM$169&lt;SwaptionFirstMonthPosition+1,$FN181&lt;SwaptionFirstMonthPosition+1,GM$169&gt;SwaptionFirstMonthPosition+SwaptionNumOfMonths+1,$FN181&gt;SwaptionFirstMonthPosition+SwaptionNumOfMonths+1),"",IF($FN181=GM$169,1,IF($FN181&lt;GM$169,INDEX($FO$170:$IH$241,GM$169,$FN181),SUMPRODUCT(INDEX($FO$325:$IH$396,GM$169,1+SwaptionShift):INDEX($FO$325:$IH$396,GM$169,SwaptionMonthsToGo+SwaptionShift),INDEX($FO$245:$IH$316,$FN181-GM$169,73-GM$169+SwaptionShift):INDEX($FO$245:$IH$316,$FN181-GM$169,72-GM$169+SwaptionMonthsToGo+SwaptionShift))/SQRT(SUM(INDEX($FO336:$IH336,1+SwaptionShift):INDEX($FO336:$IH336,SwaptionMonthsToGo+SwaptionShift))*SUM(INDEX($FO$325:$IH$396,GM$169,1+SwaptionShift):INDEX($FO$325:$IH$396,GM$169,SwaptionMonthsToGo+SwaptionShift))))))</f>
        <v/>
      </c>
      <c r="GN181" s="469" t="str">
        <f ca="1">IF(OR(GN$169&lt;SwaptionFirstMonthPosition+1,$FN181&lt;SwaptionFirstMonthPosition+1,GN$169&gt;SwaptionFirstMonthPosition+SwaptionNumOfMonths+1,$FN181&gt;SwaptionFirstMonthPosition+SwaptionNumOfMonths+1),"",IF($FN181=GN$169,1,IF($FN181&lt;GN$169,INDEX($FO$170:$IH$241,GN$169,$FN181),SUMPRODUCT(INDEX($FO$325:$IH$396,GN$169,1+SwaptionShift):INDEX($FO$325:$IH$396,GN$169,SwaptionMonthsToGo+SwaptionShift),INDEX($FO$245:$IH$316,$FN181-GN$169,73-GN$169+SwaptionShift):INDEX($FO$245:$IH$316,$FN181-GN$169,72-GN$169+SwaptionMonthsToGo+SwaptionShift))/SQRT(SUM(INDEX($FO336:$IH336,1+SwaptionShift):INDEX($FO336:$IH336,SwaptionMonthsToGo+SwaptionShift))*SUM(INDEX($FO$325:$IH$396,GN$169,1+SwaptionShift):INDEX($FO$325:$IH$396,GN$169,SwaptionMonthsToGo+SwaptionShift))))))</f>
        <v/>
      </c>
      <c r="GO181" s="469" t="str">
        <f ca="1">IF(OR(GO$169&lt;SwaptionFirstMonthPosition+1,$FN181&lt;SwaptionFirstMonthPosition+1,GO$169&gt;SwaptionFirstMonthPosition+SwaptionNumOfMonths+1,$FN181&gt;SwaptionFirstMonthPosition+SwaptionNumOfMonths+1),"",IF($FN181=GO$169,1,IF($FN181&lt;GO$169,INDEX($FO$170:$IH$241,GO$169,$FN181),SUMPRODUCT(INDEX($FO$325:$IH$396,GO$169,1+SwaptionShift):INDEX($FO$325:$IH$396,GO$169,SwaptionMonthsToGo+SwaptionShift),INDEX($FO$245:$IH$316,$FN181-GO$169,73-GO$169+SwaptionShift):INDEX($FO$245:$IH$316,$FN181-GO$169,72-GO$169+SwaptionMonthsToGo+SwaptionShift))/SQRT(SUM(INDEX($FO336:$IH336,1+SwaptionShift):INDEX($FO336:$IH336,SwaptionMonthsToGo+SwaptionShift))*SUM(INDEX($FO$325:$IH$396,GO$169,1+SwaptionShift):INDEX($FO$325:$IH$396,GO$169,SwaptionMonthsToGo+SwaptionShift))))))</f>
        <v/>
      </c>
      <c r="GP181" s="469" t="str">
        <f ca="1">IF(OR(GP$169&lt;SwaptionFirstMonthPosition+1,$FN181&lt;SwaptionFirstMonthPosition+1,GP$169&gt;SwaptionFirstMonthPosition+SwaptionNumOfMonths+1,$FN181&gt;SwaptionFirstMonthPosition+SwaptionNumOfMonths+1),"",IF($FN181=GP$169,1,IF($FN181&lt;GP$169,INDEX($FO$170:$IH$241,GP$169,$FN181),SUMPRODUCT(INDEX($FO$325:$IH$396,GP$169,1+SwaptionShift):INDEX($FO$325:$IH$396,GP$169,SwaptionMonthsToGo+SwaptionShift),INDEX($FO$245:$IH$316,$FN181-GP$169,73-GP$169+SwaptionShift):INDEX($FO$245:$IH$316,$FN181-GP$169,72-GP$169+SwaptionMonthsToGo+SwaptionShift))/SQRT(SUM(INDEX($FO336:$IH336,1+SwaptionShift):INDEX($FO336:$IH336,SwaptionMonthsToGo+SwaptionShift))*SUM(INDEX($FO$325:$IH$396,GP$169,1+SwaptionShift):INDEX($FO$325:$IH$396,GP$169,SwaptionMonthsToGo+SwaptionShift))))))</f>
        <v/>
      </c>
      <c r="GQ181" s="469" t="str">
        <f ca="1">IF(OR(GQ$169&lt;SwaptionFirstMonthPosition+1,$FN181&lt;SwaptionFirstMonthPosition+1,GQ$169&gt;SwaptionFirstMonthPosition+SwaptionNumOfMonths+1,$FN181&gt;SwaptionFirstMonthPosition+SwaptionNumOfMonths+1),"",IF($FN181=GQ$169,1,IF($FN181&lt;GQ$169,INDEX($FO$170:$IH$241,GQ$169,$FN181),SUMPRODUCT(INDEX($FO$325:$IH$396,GQ$169,1+SwaptionShift):INDEX($FO$325:$IH$396,GQ$169,SwaptionMonthsToGo+SwaptionShift),INDEX($FO$245:$IH$316,$FN181-GQ$169,73-GQ$169+SwaptionShift):INDEX($FO$245:$IH$316,$FN181-GQ$169,72-GQ$169+SwaptionMonthsToGo+SwaptionShift))/SQRT(SUM(INDEX($FO336:$IH336,1+SwaptionShift):INDEX($FO336:$IH336,SwaptionMonthsToGo+SwaptionShift))*SUM(INDEX($FO$325:$IH$396,GQ$169,1+SwaptionShift):INDEX($FO$325:$IH$396,GQ$169,SwaptionMonthsToGo+SwaptionShift))))))</f>
        <v/>
      </c>
      <c r="GR181" s="469" t="str">
        <f ca="1">IF(OR(GR$169&lt;SwaptionFirstMonthPosition+1,$FN181&lt;SwaptionFirstMonthPosition+1,GR$169&gt;SwaptionFirstMonthPosition+SwaptionNumOfMonths+1,$FN181&gt;SwaptionFirstMonthPosition+SwaptionNumOfMonths+1),"",IF($FN181=GR$169,1,IF($FN181&lt;GR$169,INDEX($FO$170:$IH$241,GR$169,$FN181),SUMPRODUCT(INDEX($FO$325:$IH$396,GR$169,1+SwaptionShift):INDEX($FO$325:$IH$396,GR$169,SwaptionMonthsToGo+SwaptionShift),INDEX($FO$245:$IH$316,$FN181-GR$169,73-GR$169+SwaptionShift):INDEX($FO$245:$IH$316,$FN181-GR$169,72-GR$169+SwaptionMonthsToGo+SwaptionShift))/SQRT(SUM(INDEX($FO336:$IH336,1+SwaptionShift):INDEX($FO336:$IH336,SwaptionMonthsToGo+SwaptionShift))*SUM(INDEX($FO$325:$IH$396,GR$169,1+SwaptionShift):INDEX($FO$325:$IH$396,GR$169,SwaptionMonthsToGo+SwaptionShift))))))</f>
        <v/>
      </c>
      <c r="GS181" s="469" t="str">
        <f ca="1">IF(OR(GS$169&lt;SwaptionFirstMonthPosition+1,$FN181&lt;SwaptionFirstMonthPosition+1,GS$169&gt;SwaptionFirstMonthPosition+SwaptionNumOfMonths+1,$FN181&gt;SwaptionFirstMonthPosition+SwaptionNumOfMonths+1),"",IF($FN181=GS$169,1,IF($FN181&lt;GS$169,INDEX($FO$170:$IH$241,GS$169,$FN181),SUMPRODUCT(INDEX($FO$325:$IH$396,GS$169,1+SwaptionShift):INDEX($FO$325:$IH$396,GS$169,SwaptionMonthsToGo+SwaptionShift),INDEX($FO$245:$IH$316,$FN181-GS$169,73-GS$169+SwaptionShift):INDEX($FO$245:$IH$316,$FN181-GS$169,72-GS$169+SwaptionMonthsToGo+SwaptionShift))/SQRT(SUM(INDEX($FO336:$IH336,1+SwaptionShift):INDEX($FO336:$IH336,SwaptionMonthsToGo+SwaptionShift))*SUM(INDEX($FO$325:$IH$396,GS$169,1+SwaptionShift):INDEX($FO$325:$IH$396,GS$169,SwaptionMonthsToGo+SwaptionShift))))))</f>
        <v/>
      </c>
      <c r="GT181" s="469" t="str">
        <f ca="1">IF(OR(GT$169&lt;SwaptionFirstMonthPosition+1,$FN181&lt;SwaptionFirstMonthPosition+1,GT$169&gt;SwaptionFirstMonthPosition+SwaptionNumOfMonths+1,$FN181&gt;SwaptionFirstMonthPosition+SwaptionNumOfMonths+1),"",IF($FN181=GT$169,1,IF($FN181&lt;GT$169,INDEX($FO$170:$IH$241,GT$169,$FN181),SUMPRODUCT(INDEX($FO$325:$IH$396,GT$169,1+SwaptionShift):INDEX($FO$325:$IH$396,GT$169,SwaptionMonthsToGo+SwaptionShift),INDEX($FO$245:$IH$316,$FN181-GT$169,73-GT$169+SwaptionShift):INDEX($FO$245:$IH$316,$FN181-GT$169,72-GT$169+SwaptionMonthsToGo+SwaptionShift))/SQRT(SUM(INDEX($FO336:$IH336,1+SwaptionShift):INDEX($FO336:$IH336,SwaptionMonthsToGo+SwaptionShift))*SUM(INDEX($FO$325:$IH$396,GT$169,1+SwaptionShift):INDEX($FO$325:$IH$396,GT$169,SwaptionMonthsToGo+SwaptionShift))))))</f>
        <v/>
      </c>
      <c r="GU181" s="469" t="str">
        <f ca="1">IF(OR(GU$169&lt;SwaptionFirstMonthPosition+1,$FN181&lt;SwaptionFirstMonthPosition+1,GU$169&gt;SwaptionFirstMonthPosition+SwaptionNumOfMonths+1,$FN181&gt;SwaptionFirstMonthPosition+SwaptionNumOfMonths+1),"",IF($FN181=GU$169,1,IF($FN181&lt;GU$169,INDEX($FO$170:$IH$241,GU$169,$FN181),SUMPRODUCT(INDEX($FO$325:$IH$396,GU$169,1+SwaptionShift):INDEX($FO$325:$IH$396,GU$169,SwaptionMonthsToGo+SwaptionShift),INDEX($FO$245:$IH$316,$FN181-GU$169,73-GU$169+SwaptionShift):INDEX($FO$245:$IH$316,$FN181-GU$169,72-GU$169+SwaptionMonthsToGo+SwaptionShift))/SQRT(SUM(INDEX($FO336:$IH336,1+SwaptionShift):INDEX($FO336:$IH336,SwaptionMonthsToGo+SwaptionShift))*SUM(INDEX($FO$325:$IH$396,GU$169,1+SwaptionShift):INDEX($FO$325:$IH$396,GU$169,SwaptionMonthsToGo+SwaptionShift))))))</f>
        <v/>
      </c>
      <c r="GV181" s="469" t="str">
        <f ca="1">IF(OR(GV$169&lt;SwaptionFirstMonthPosition+1,$FN181&lt;SwaptionFirstMonthPosition+1,GV$169&gt;SwaptionFirstMonthPosition+SwaptionNumOfMonths+1,$FN181&gt;SwaptionFirstMonthPosition+SwaptionNumOfMonths+1),"",IF($FN181=GV$169,1,IF($FN181&lt;GV$169,INDEX($FO$170:$IH$241,GV$169,$FN181),SUMPRODUCT(INDEX($FO$325:$IH$396,GV$169,1+SwaptionShift):INDEX($FO$325:$IH$396,GV$169,SwaptionMonthsToGo+SwaptionShift),INDEX($FO$245:$IH$316,$FN181-GV$169,73-GV$169+SwaptionShift):INDEX($FO$245:$IH$316,$FN181-GV$169,72-GV$169+SwaptionMonthsToGo+SwaptionShift))/SQRT(SUM(INDEX($FO336:$IH336,1+SwaptionShift):INDEX($FO336:$IH336,SwaptionMonthsToGo+SwaptionShift))*SUM(INDEX($FO$325:$IH$396,GV$169,1+SwaptionShift):INDEX($FO$325:$IH$396,GV$169,SwaptionMonthsToGo+SwaptionShift))))))</f>
        <v/>
      </c>
      <c r="GW181" s="469" t="str">
        <f ca="1">IF(OR(GW$169&lt;SwaptionFirstMonthPosition+1,$FN181&lt;SwaptionFirstMonthPosition+1,GW$169&gt;SwaptionFirstMonthPosition+SwaptionNumOfMonths+1,$FN181&gt;SwaptionFirstMonthPosition+SwaptionNumOfMonths+1),"",IF($FN181=GW$169,1,IF($FN181&lt;GW$169,INDEX($FO$170:$IH$241,GW$169,$FN181),SUMPRODUCT(INDEX($FO$325:$IH$396,GW$169,1+SwaptionShift):INDEX($FO$325:$IH$396,GW$169,SwaptionMonthsToGo+SwaptionShift),INDEX($FO$245:$IH$316,$FN181-GW$169,73-GW$169+SwaptionShift):INDEX($FO$245:$IH$316,$FN181-GW$169,72-GW$169+SwaptionMonthsToGo+SwaptionShift))/SQRT(SUM(INDEX($FO336:$IH336,1+SwaptionShift):INDEX($FO336:$IH336,SwaptionMonthsToGo+SwaptionShift))*SUM(INDEX($FO$325:$IH$396,GW$169,1+SwaptionShift):INDEX($FO$325:$IH$396,GW$169,SwaptionMonthsToGo+SwaptionShift))))))</f>
        <v/>
      </c>
      <c r="GX181" s="469" t="str">
        <f ca="1">IF(OR(GX$169&lt;SwaptionFirstMonthPosition+1,$FN181&lt;SwaptionFirstMonthPosition+1,GX$169&gt;SwaptionFirstMonthPosition+SwaptionNumOfMonths+1,$FN181&gt;SwaptionFirstMonthPosition+SwaptionNumOfMonths+1),"",IF($FN181=GX$169,1,IF($FN181&lt;GX$169,INDEX($FO$170:$IH$241,GX$169,$FN181),SUMPRODUCT(INDEX($FO$325:$IH$396,GX$169,1+SwaptionShift):INDEX($FO$325:$IH$396,GX$169,SwaptionMonthsToGo+SwaptionShift),INDEX($FO$245:$IH$316,$FN181-GX$169,73-GX$169+SwaptionShift):INDEX($FO$245:$IH$316,$FN181-GX$169,72-GX$169+SwaptionMonthsToGo+SwaptionShift))/SQRT(SUM(INDEX($FO336:$IH336,1+SwaptionShift):INDEX($FO336:$IH336,SwaptionMonthsToGo+SwaptionShift))*SUM(INDEX($FO$325:$IH$396,GX$169,1+SwaptionShift):INDEX($FO$325:$IH$396,GX$169,SwaptionMonthsToGo+SwaptionShift))))))</f>
        <v/>
      </c>
      <c r="GY181" s="469" t="str">
        <f ca="1">IF(OR(GY$169&lt;SwaptionFirstMonthPosition+1,$FN181&lt;SwaptionFirstMonthPosition+1,GY$169&gt;SwaptionFirstMonthPosition+SwaptionNumOfMonths+1,$FN181&gt;SwaptionFirstMonthPosition+SwaptionNumOfMonths+1),"",IF($FN181=GY$169,1,IF($FN181&lt;GY$169,INDEX($FO$170:$IH$241,GY$169,$FN181),SUMPRODUCT(INDEX($FO$325:$IH$396,GY$169,1+SwaptionShift):INDEX($FO$325:$IH$396,GY$169,SwaptionMonthsToGo+SwaptionShift),INDEX($FO$245:$IH$316,$FN181-GY$169,73-GY$169+SwaptionShift):INDEX($FO$245:$IH$316,$FN181-GY$169,72-GY$169+SwaptionMonthsToGo+SwaptionShift))/SQRT(SUM(INDEX($FO336:$IH336,1+SwaptionShift):INDEX($FO336:$IH336,SwaptionMonthsToGo+SwaptionShift))*SUM(INDEX($FO$325:$IH$396,GY$169,1+SwaptionShift):INDEX($FO$325:$IH$396,GY$169,SwaptionMonthsToGo+SwaptionShift))))))</f>
        <v/>
      </c>
      <c r="GZ181" s="469" t="str">
        <f ca="1">IF(OR(GZ$169&lt;SwaptionFirstMonthPosition+1,$FN181&lt;SwaptionFirstMonthPosition+1,GZ$169&gt;SwaptionFirstMonthPosition+SwaptionNumOfMonths+1,$FN181&gt;SwaptionFirstMonthPosition+SwaptionNumOfMonths+1),"",IF($FN181=GZ$169,1,IF($FN181&lt;GZ$169,INDEX($FO$170:$IH$241,GZ$169,$FN181),SUMPRODUCT(INDEX($FO$325:$IH$396,GZ$169,1+SwaptionShift):INDEX($FO$325:$IH$396,GZ$169,SwaptionMonthsToGo+SwaptionShift),INDEX($FO$245:$IH$316,$FN181-GZ$169,73-GZ$169+SwaptionShift):INDEX($FO$245:$IH$316,$FN181-GZ$169,72-GZ$169+SwaptionMonthsToGo+SwaptionShift))/SQRT(SUM(INDEX($FO336:$IH336,1+SwaptionShift):INDEX($FO336:$IH336,SwaptionMonthsToGo+SwaptionShift))*SUM(INDEX($FO$325:$IH$396,GZ$169,1+SwaptionShift):INDEX($FO$325:$IH$396,GZ$169,SwaptionMonthsToGo+SwaptionShift))))))</f>
        <v/>
      </c>
      <c r="HA181" s="469" t="str">
        <f ca="1">IF(OR(HA$169&lt;SwaptionFirstMonthPosition+1,$FN181&lt;SwaptionFirstMonthPosition+1,HA$169&gt;SwaptionFirstMonthPosition+SwaptionNumOfMonths+1,$FN181&gt;SwaptionFirstMonthPosition+SwaptionNumOfMonths+1),"",IF($FN181=HA$169,1,IF($FN181&lt;HA$169,INDEX($FO$170:$IH$241,HA$169,$FN181),SUMPRODUCT(INDEX($FO$325:$IH$396,HA$169,1+SwaptionShift):INDEX($FO$325:$IH$396,HA$169,SwaptionMonthsToGo+SwaptionShift),INDEX($FO$245:$IH$316,$FN181-HA$169,73-HA$169+SwaptionShift):INDEX($FO$245:$IH$316,$FN181-HA$169,72-HA$169+SwaptionMonthsToGo+SwaptionShift))/SQRT(SUM(INDEX($FO336:$IH336,1+SwaptionShift):INDEX($FO336:$IH336,SwaptionMonthsToGo+SwaptionShift))*SUM(INDEX($FO$325:$IH$396,HA$169,1+SwaptionShift):INDEX($FO$325:$IH$396,HA$169,SwaptionMonthsToGo+SwaptionShift))))))</f>
        <v/>
      </c>
      <c r="HB181" s="469" t="str">
        <f ca="1">IF(OR(HB$169&lt;SwaptionFirstMonthPosition+1,$FN181&lt;SwaptionFirstMonthPosition+1,HB$169&gt;SwaptionFirstMonthPosition+SwaptionNumOfMonths+1,$FN181&gt;SwaptionFirstMonthPosition+SwaptionNumOfMonths+1),"",IF($FN181=HB$169,1,IF($FN181&lt;HB$169,INDEX($FO$170:$IH$241,HB$169,$FN181),SUMPRODUCT(INDEX($FO$325:$IH$396,HB$169,1+SwaptionShift):INDEX($FO$325:$IH$396,HB$169,SwaptionMonthsToGo+SwaptionShift),INDEX($FO$245:$IH$316,$FN181-HB$169,73-HB$169+SwaptionShift):INDEX($FO$245:$IH$316,$FN181-HB$169,72-HB$169+SwaptionMonthsToGo+SwaptionShift))/SQRT(SUM(INDEX($FO336:$IH336,1+SwaptionShift):INDEX($FO336:$IH336,SwaptionMonthsToGo+SwaptionShift))*SUM(INDEX($FO$325:$IH$396,HB$169,1+SwaptionShift):INDEX($FO$325:$IH$396,HB$169,SwaptionMonthsToGo+SwaptionShift))))))</f>
        <v/>
      </c>
      <c r="HC181" s="469" t="str">
        <f ca="1">IF(OR(HC$169&lt;SwaptionFirstMonthPosition+1,$FN181&lt;SwaptionFirstMonthPosition+1,HC$169&gt;SwaptionFirstMonthPosition+SwaptionNumOfMonths+1,$FN181&gt;SwaptionFirstMonthPosition+SwaptionNumOfMonths+1),"",IF($FN181=HC$169,1,IF($FN181&lt;HC$169,INDEX($FO$170:$IH$241,HC$169,$FN181),SUMPRODUCT(INDEX($FO$325:$IH$396,HC$169,1+SwaptionShift):INDEX($FO$325:$IH$396,HC$169,SwaptionMonthsToGo+SwaptionShift),INDEX($FO$245:$IH$316,$FN181-HC$169,73-HC$169+SwaptionShift):INDEX($FO$245:$IH$316,$FN181-HC$169,72-HC$169+SwaptionMonthsToGo+SwaptionShift))/SQRT(SUM(INDEX($FO336:$IH336,1+SwaptionShift):INDEX($FO336:$IH336,SwaptionMonthsToGo+SwaptionShift))*SUM(INDEX($FO$325:$IH$396,HC$169,1+SwaptionShift):INDEX($FO$325:$IH$396,HC$169,SwaptionMonthsToGo+SwaptionShift))))))</f>
        <v/>
      </c>
      <c r="HD181" s="469" t="str">
        <f ca="1">IF(OR(HD$169&lt;SwaptionFirstMonthPosition+1,$FN181&lt;SwaptionFirstMonthPosition+1,HD$169&gt;SwaptionFirstMonthPosition+SwaptionNumOfMonths+1,$FN181&gt;SwaptionFirstMonthPosition+SwaptionNumOfMonths+1),"",IF($FN181=HD$169,1,IF($FN181&lt;HD$169,INDEX($FO$170:$IH$241,HD$169,$FN181),SUMPRODUCT(INDEX($FO$325:$IH$396,HD$169,1+SwaptionShift):INDEX($FO$325:$IH$396,HD$169,SwaptionMonthsToGo+SwaptionShift),INDEX($FO$245:$IH$316,$FN181-HD$169,73-HD$169+SwaptionShift):INDEX($FO$245:$IH$316,$FN181-HD$169,72-HD$169+SwaptionMonthsToGo+SwaptionShift))/SQRT(SUM(INDEX($FO336:$IH336,1+SwaptionShift):INDEX($FO336:$IH336,SwaptionMonthsToGo+SwaptionShift))*SUM(INDEX($FO$325:$IH$396,HD$169,1+SwaptionShift):INDEX($FO$325:$IH$396,HD$169,SwaptionMonthsToGo+SwaptionShift))))))</f>
        <v/>
      </c>
      <c r="HE181" s="469" t="str">
        <f ca="1">IF(OR(HE$169&lt;SwaptionFirstMonthPosition+1,$FN181&lt;SwaptionFirstMonthPosition+1,HE$169&gt;SwaptionFirstMonthPosition+SwaptionNumOfMonths+1,$FN181&gt;SwaptionFirstMonthPosition+SwaptionNumOfMonths+1),"",IF($FN181=HE$169,1,IF($FN181&lt;HE$169,INDEX($FO$170:$IH$241,HE$169,$FN181),SUMPRODUCT(INDEX($FO$325:$IH$396,HE$169,1+SwaptionShift):INDEX($FO$325:$IH$396,HE$169,SwaptionMonthsToGo+SwaptionShift),INDEX($FO$245:$IH$316,$FN181-HE$169,73-HE$169+SwaptionShift):INDEX($FO$245:$IH$316,$FN181-HE$169,72-HE$169+SwaptionMonthsToGo+SwaptionShift))/SQRT(SUM(INDEX($FO336:$IH336,1+SwaptionShift):INDEX($FO336:$IH336,SwaptionMonthsToGo+SwaptionShift))*SUM(INDEX($FO$325:$IH$396,HE$169,1+SwaptionShift):INDEX($FO$325:$IH$396,HE$169,SwaptionMonthsToGo+SwaptionShift))))))</f>
        <v/>
      </c>
      <c r="HF181" s="469" t="str">
        <f ca="1">IF(OR(HF$169&lt;SwaptionFirstMonthPosition+1,$FN181&lt;SwaptionFirstMonthPosition+1,HF$169&gt;SwaptionFirstMonthPosition+SwaptionNumOfMonths+1,$FN181&gt;SwaptionFirstMonthPosition+SwaptionNumOfMonths+1),"",IF($FN181=HF$169,1,IF($FN181&lt;HF$169,INDEX($FO$170:$IH$241,HF$169,$FN181),SUMPRODUCT(INDEX($FO$325:$IH$396,HF$169,1+SwaptionShift):INDEX($FO$325:$IH$396,HF$169,SwaptionMonthsToGo+SwaptionShift),INDEX($FO$245:$IH$316,$FN181-HF$169,73-HF$169+SwaptionShift):INDEX($FO$245:$IH$316,$FN181-HF$169,72-HF$169+SwaptionMonthsToGo+SwaptionShift))/SQRT(SUM(INDEX($FO336:$IH336,1+SwaptionShift):INDEX($FO336:$IH336,SwaptionMonthsToGo+SwaptionShift))*SUM(INDEX($FO$325:$IH$396,HF$169,1+SwaptionShift):INDEX($FO$325:$IH$396,HF$169,SwaptionMonthsToGo+SwaptionShift))))))</f>
        <v/>
      </c>
      <c r="HG181" s="469" t="str">
        <f ca="1">IF(OR(HG$169&lt;SwaptionFirstMonthPosition+1,$FN181&lt;SwaptionFirstMonthPosition+1,HG$169&gt;SwaptionFirstMonthPosition+SwaptionNumOfMonths+1,$FN181&gt;SwaptionFirstMonthPosition+SwaptionNumOfMonths+1),"",IF($FN181=HG$169,1,IF($FN181&lt;HG$169,INDEX($FO$170:$IH$241,HG$169,$FN181),SUMPRODUCT(INDEX($FO$325:$IH$396,HG$169,1+SwaptionShift):INDEX($FO$325:$IH$396,HG$169,SwaptionMonthsToGo+SwaptionShift),INDEX($FO$245:$IH$316,$FN181-HG$169,73-HG$169+SwaptionShift):INDEX($FO$245:$IH$316,$FN181-HG$169,72-HG$169+SwaptionMonthsToGo+SwaptionShift))/SQRT(SUM(INDEX($FO336:$IH336,1+SwaptionShift):INDEX($FO336:$IH336,SwaptionMonthsToGo+SwaptionShift))*SUM(INDEX($FO$325:$IH$396,HG$169,1+SwaptionShift):INDEX($FO$325:$IH$396,HG$169,SwaptionMonthsToGo+SwaptionShift))))))</f>
        <v/>
      </c>
      <c r="HH181" s="469" t="str">
        <f ca="1">IF(OR(HH$169&lt;SwaptionFirstMonthPosition+1,$FN181&lt;SwaptionFirstMonthPosition+1,HH$169&gt;SwaptionFirstMonthPosition+SwaptionNumOfMonths+1,$FN181&gt;SwaptionFirstMonthPosition+SwaptionNumOfMonths+1),"",IF($FN181=HH$169,1,IF($FN181&lt;HH$169,INDEX($FO$170:$IH$241,HH$169,$FN181),SUMPRODUCT(INDEX($FO$325:$IH$396,HH$169,1+SwaptionShift):INDEX($FO$325:$IH$396,HH$169,SwaptionMonthsToGo+SwaptionShift),INDEX($FO$245:$IH$316,$FN181-HH$169,73-HH$169+SwaptionShift):INDEX($FO$245:$IH$316,$FN181-HH$169,72-HH$169+SwaptionMonthsToGo+SwaptionShift))/SQRT(SUM(INDEX($FO336:$IH336,1+SwaptionShift):INDEX($FO336:$IH336,SwaptionMonthsToGo+SwaptionShift))*SUM(INDEX($FO$325:$IH$396,HH$169,1+SwaptionShift):INDEX($FO$325:$IH$396,HH$169,SwaptionMonthsToGo+SwaptionShift))))))</f>
        <v/>
      </c>
      <c r="HI181" s="469" t="str">
        <f ca="1">IF(OR(HI$169&lt;SwaptionFirstMonthPosition+1,$FN181&lt;SwaptionFirstMonthPosition+1,HI$169&gt;SwaptionFirstMonthPosition+SwaptionNumOfMonths+1,$FN181&gt;SwaptionFirstMonthPosition+SwaptionNumOfMonths+1),"",IF($FN181=HI$169,1,IF($FN181&lt;HI$169,INDEX($FO$170:$IH$241,HI$169,$FN181),SUMPRODUCT(INDEX($FO$325:$IH$396,HI$169,1+SwaptionShift):INDEX($FO$325:$IH$396,HI$169,SwaptionMonthsToGo+SwaptionShift),INDEX($FO$245:$IH$316,$FN181-HI$169,73-HI$169+SwaptionShift):INDEX($FO$245:$IH$316,$FN181-HI$169,72-HI$169+SwaptionMonthsToGo+SwaptionShift))/SQRT(SUM(INDEX($FO336:$IH336,1+SwaptionShift):INDEX($FO336:$IH336,SwaptionMonthsToGo+SwaptionShift))*SUM(INDEX($FO$325:$IH$396,HI$169,1+SwaptionShift):INDEX($FO$325:$IH$396,HI$169,SwaptionMonthsToGo+SwaptionShift))))))</f>
        <v/>
      </c>
      <c r="HJ181" s="469" t="str">
        <f ca="1">IF(OR(HJ$169&lt;SwaptionFirstMonthPosition+1,$FN181&lt;SwaptionFirstMonthPosition+1,HJ$169&gt;SwaptionFirstMonthPosition+SwaptionNumOfMonths+1,$FN181&gt;SwaptionFirstMonthPosition+SwaptionNumOfMonths+1),"",IF($FN181=HJ$169,1,IF($FN181&lt;HJ$169,INDEX($FO$170:$IH$241,HJ$169,$FN181),SUMPRODUCT(INDEX($FO$325:$IH$396,HJ$169,1+SwaptionShift):INDEX($FO$325:$IH$396,HJ$169,SwaptionMonthsToGo+SwaptionShift),INDEX($FO$245:$IH$316,$FN181-HJ$169,73-HJ$169+SwaptionShift):INDEX($FO$245:$IH$316,$FN181-HJ$169,72-HJ$169+SwaptionMonthsToGo+SwaptionShift))/SQRT(SUM(INDEX($FO336:$IH336,1+SwaptionShift):INDEX($FO336:$IH336,SwaptionMonthsToGo+SwaptionShift))*SUM(INDEX($FO$325:$IH$396,HJ$169,1+SwaptionShift):INDEX($FO$325:$IH$396,HJ$169,SwaptionMonthsToGo+SwaptionShift))))))</f>
        <v/>
      </c>
      <c r="HK181" s="469" t="str">
        <f ca="1">IF(OR(HK$169&lt;SwaptionFirstMonthPosition+1,$FN181&lt;SwaptionFirstMonthPosition+1,HK$169&gt;SwaptionFirstMonthPosition+SwaptionNumOfMonths+1,$FN181&gt;SwaptionFirstMonthPosition+SwaptionNumOfMonths+1),"",IF($FN181=HK$169,1,IF($FN181&lt;HK$169,INDEX($FO$170:$IH$241,HK$169,$FN181),SUMPRODUCT(INDEX($FO$325:$IH$396,HK$169,1+SwaptionShift):INDEX($FO$325:$IH$396,HK$169,SwaptionMonthsToGo+SwaptionShift),INDEX($FO$245:$IH$316,$FN181-HK$169,73-HK$169+SwaptionShift):INDEX($FO$245:$IH$316,$FN181-HK$169,72-HK$169+SwaptionMonthsToGo+SwaptionShift))/SQRT(SUM(INDEX($FO336:$IH336,1+SwaptionShift):INDEX($FO336:$IH336,SwaptionMonthsToGo+SwaptionShift))*SUM(INDEX($FO$325:$IH$396,HK$169,1+SwaptionShift):INDEX($FO$325:$IH$396,HK$169,SwaptionMonthsToGo+SwaptionShift))))))</f>
        <v/>
      </c>
      <c r="HL181" s="469" t="str">
        <f ca="1">IF(OR(HL$169&lt;SwaptionFirstMonthPosition+1,$FN181&lt;SwaptionFirstMonthPosition+1,HL$169&gt;SwaptionFirstMonthPosition+SwaptionNumOfMonths+1,$FN181&gt;SwaptionFirstMonthPosition+SwaptionNumOfMonths+1),"",IF($FN181=HL$169,1,IF($FN181&lt;HL$169,INDEX($FO$170:$IH$241,HL$169,$FN181),SUMPRODUCT(INDEX($FO$325:$IH$396,HL$169,1+SwaptionShift):INDEX($FO$325:$IH$396,HL$169,SwaptionMonthsToGo+SwaptionShift),INDEX($FO$245:$IH$316,$FN181-HL$169,73-HL$169+SwaptionShift):INDEX($FO$245:$IH$316,$FN181-HL$169,72-HL$169+SwaptionMonthsToGo+SwaptionShift))/SQRT(SUM(INDEX($FO336:$IH336,1+SwaptionShift):INDEX($FO336:$IH336,SwaptionMonthsToGo+SwaptionShift))*SUM(INDEX($FO$325:$IH$396,HL$169,1+SwaptionShift):INDEX($FO$325:$IH$396,HL$169,SwaptionMonthsToGo+SwaptionShift))))))</f>
        <v/>
      </c>
      <c r="HM181" s="469" t="str">
        <f ca="1">IF(OR(HM$169&lt;SwaptionFirstMonthPosition+1,$FN181&lt;SwaptionFirstMonthPosition+1,HM$169&gt;SwaptionFirstMonthPosition+SwaptionNumOfMonths+1,$FN181&gt;SwaptionFirstMonthPosition+SwaptionNumOfMonths+1),"",IF($FN181=HM$169,1,IF($FN181&lt;HM$169,INDEX($FO$170:$IH$241,HM$169,$FN181),SUMPRODUCT(INDEX($FO$325:$IH$396,HM$169,1+SwaptionShift):INDEX($FO$325:$IH$396,HM$169,SwaptionMonthsToGo+SwaptionShift),INDEX($FO$245:$IH$316,$FN181-HM$169,73-HM$169+SwaptionShift):INDEX($FO$245:$IH$316,$FN181-HM$169,72-HM$169+SwaptionMonthsToGo+SwaptionShift))/SQRT(SUM(INDEX($FO336:$IH336,1+SwaptionShift):INDEX($FO336:$IH336,SwaptionMonthsToGo+SwaptionShift))*SUM(INDEX($FO$325:$IH$396,HM$169,1+SwaptionShift):INDEX($FO$325:$IH$396,HM$169,SwaptionMonthsToGo+SwaptionShift))))))</f>
        <v/>
      </c>
      <c r="HN181" s="469" t="str">
        <f ca="1">IF(OR(HN$169&lt;SwaptionFirstMonthPosition+1,$FN181&lt;SwaptionFirstMonthPosition+1,HN$169&gt;SwaptionFirstMonthPosition+SwaptionNumOfMonths+1,$FN181&gt;SwaptionFirstMonthPosition+SwaptionNumOfMonths+1),"",IF($FN181=HN$169,1,IF($FN181&lt;HN$169,INDEX($FO$170:$IH$241,HN$169,$FN181),SUMPRODUCT(INDEX($FO$325:$IH$396,HN$169,1+SwaptionShift):INDEX($FO$325:$IH$396,HN$169,SwaptionMonthsToGo+SwaptionShift),INDEX($FO$245:$IH$316,$FN181-HN$169,73-HN$169+SwaptionShift):INDEX($FO$245:$IH$316,$FN181-HN$169,72-HN$169+SwaptionMonthsToGo+SwaptionShift))/SQRT(SUM(INDEX($FO336:$IH336,1+SwaptionShift):INDEX($FO336:$IH336,SwaptionMonthsToGo+SwaptionShift))*SUM(INDEX($FO$325:$IH$396,HN$169,1+SwaptionShift):INDEX($FO$325:$IH$396,HN$169,SwaptionMonthsToGo+SwaptionShift))))))</f>
        <v/>
      </c>
      <c r="HO181" s="469" t="str">
        <f ca="1">IF(OR(HO$169&lt;SwaptionFirstMonthPosition+1,$FN181&lt;SwaptionFirstMonthPosition+1,HO$169&gt;SwaptionFirstMonthPosition+SwaptionNumOfMonths+1,$FN181&gt;SwaptionFirstMonthPosition+SwaptionNumOfMonths+1),"",IF($FN181=HO$169,1,IF($FN181&lt;HO$169,INDEX($FO$170:$IH$241,HO$169,$FN181),SUMPRODUCT(INDEX($FO$325:$IH$396,HO$169,1+SwaptionShift):INDEX($FO$325:$IH$396,HO$169,SwaptionMonthsToGo+SwaptionShift),INDEX($FO$245:$IH$316,$FN181-HO$169,73-HO$169+SwaptionShift):INDEX($FO$245:$IH$316,$FN181-HO$169,72-HO$169+SwaptionMonthsToGo+SwaptionShift))/SQRT(SUM(INDEX($FO336:$IH336,1+SwaptionShift):INDEX($FO336:$IH336,SwaptionMonthsToGo+SwaptionShift))*SUM(INDEX($FO$325:$IH$396,HO$169,1+SwaptionShift):INDEX($FO$325:$IH$396,HO$169,SwaptionMonthsToGo+SwaptionShift))))))</f>
        <v/>
      </c>
      <c r="HP181" s="469" t="str">
        <f ca="1">IF(OR(HP$169&lt;SwaptionFirstMonthPosition+1,$FN181&lt;SwaptionFirstMonthPosition+1,HP$169&gt;SwaptionFirstMonthPosition+SwaptionNumOfMonths+1,$FN181&gt;SwaptionFirstMonthPosition+SwaptionNumOfMonths+1),"",IF($FN181=HP$169,1,IF($FN181&lt;HP$169,INDEX($FO$170:$IH$241,HP$169,$FN181),SUMPRODUCT(INDEX($FO$325:$IH$396,HP$169,1+SwaptionShift):INDEX($FO$325:$IH$396,HP$169,SwaptionMonthsToGo+SwaptionShift),INDEX($FO$245:$IH$316,$FN181-HP$169,73-HP$169+SwaptionShift):INDEX($FO$245:$IH$316,$FN181-HP$169,72-HP$169+SwaptionMonthsToGo+SwaptionShift))/SQRT(SUM(INDEX($FO336:$IH336,1+SwaptionShift):INDEX($FO336:$IH336,SwaptionMonthsToGo+SwaptionShift))*SUM(INDEX($FO$325:$IH$396,HP$169,1+SwaptionShift):INDEX($FO$325:$IH$396,HP$169,SwaptionMonthsToGo+SwaptionShift))))))</f>
        <v/>
      </c>
      <c r="HQ181" s="469" t="str">
        <f ca="1">IF(OR(HQ$169&lt;SwaptionFirstMonthPosition+1,$FN181&lt;SwaptionFirstMonthPosition+1,HQ$169&gt;SwaptionFirstMonthPosition+SwaptionNumOfMonths+1,$FN181&gt;SwaptionFirstMonthPosition+SwaptionNumOfMonths+1),"",IF($FN181=HQ$169,1,IF($FN181&lt;HQ$169,INDEX($FO$170:$IH$241,HQ$169,$FN181),SUMPRODUCT(INDEX($FO$325:$IH$396,HQ$169,1+SwaptionShift):INDEX($FO$325:$IH$396,HQ$169,SwaptionMonthsToGo+SwaptionShift),INDEX($FO$245:$IH$316,$FN181-HQ$169,73-HQ$169+SwaptionShift):INDEX($FO$245:$IH$316,$FN181-HQ$169,72-HQ$169+SwaptionMonthsToGo+SwaptionShift))/SQRT(SUM(INDEX($FO336:$IH336,1+SwaptionShift):INDEX($FO336:$IH336,SwaptionMonthsToGo+SwaptionShift))*SUM(INDEX($FO$325:$IH$396,HQ$169,1+SwaptionShift):INDEX($FO$325:$IH$396,HQ$169,SwaptionMonthsToGo+SwaptionShift))))))</f>
        <v/>
      </c>
      <c r="HR181" s="469" t="str">
        <f ca="1">IF(OR(HR$169&lt;SwaptionFirstMonthPosition+1,$FN181&lt;SwaptionFirstMonthPosition+1,HR$169&gt;SwaptionFirstMonthPosition+SwaptionNumOfMonths+1,$FN181&gt;SwaptionFirstMonthPosition+SwaptionNumOfMonths+1),"",IF($FN181=HR$169,1,IF($FN181&lt;HR$169,INDEX($FO$170:$IH$241,HR$169,$FN181),SUMPRODUCT(INDEX($FO$325:$IH$396,HR$169,1+SwaptionShift):INDEX($FO$325:$IH$396,HR$169,SwaptionMonthsToGo+SwaptionShift),INDEX($FO$245:$IH$316,$FN181-HR$169,73-HR$169+SwaptionShift):INDEX($FO$245:$IH$316,$FN181-HR$169,72-HR$169+SwaptionMonthsToGo+SwaptionShift))/SQRT(SUM(INDEX($FO336:$IH336,1+SwaptionShift):INDEX($FO336:$IH336,SwaptionMonthsToGo+SwaptionShift))*SUM(INDEX($FO$325:$IH$396,HR$169,1+SwaptionShift):INDEX($FO$325:$IH$396,HR$169,SwaptionMonthsToGo+SwaptionShift))))))</f>
        <v/>
      </c>
      <c r="HS181" s="469" t="str">
        <f ca="1">IF(OR(HS$169&lt;SwaptionFirstMonthPosition+1,$FN181&lt;SwaptionFirstMonthPosition+1,HS$169&gt;SwaptionFirstMonthPosition+SwaptionNumOfMonths+1,$FN181&gt;SwaptionFirstMonthPosition+SwaptionNumOfMonths+1),"",IF($FN181=HS$169,1,IF($FN181&lt;HS$169,INDEX($FO$170:$IH$241,HS$169,$FN181),SUMPRODUCT(INDEX($FO$325:$IH$396,HS$169,1+SwaptionShift):INDEX($FO$325:$IH$396,HS$169,SwaptionMonthsToGo+SwaptionShift),INDEX($FO$245:$IH$316,$FN181-HS$169,73-HS$169+SwaptionShift):INDEX($FO$245:$IH$316,$FN181-HS$169,72-HS$169+SwaptionMonthsToGo+SwaptionShift))/SQRT(SUM(INDEX($FO336:$IH336,1+SwaptionShift):INDEX($FO336:$IH336,SwaptionMonthsToGo+SwaptionShift))*SUM(INDEX($FO$325:$IH$396,HS$169,1+SwaptionShift):INDEX($FO$325:$IH$396,HS$169,SwaptionMonthsToGo+SwaptionShift))))))</f>
        <v/>
      </c>
      <c r="HT181" s="469" t="str">
        <f ca="1">IF(OR(HT$169&lt;SwaptionFirstMonthPosition+1,$FN181&lt;SwaptionFirstMonthPosition+1,HT$169&gt;SwaptionFirstMonthPosition+SwaptionNumOfMonths+1,$FN181&gt;SwaptionFirstMonthPosition+SwaptionNumOfMonths+1),"",IF($FN181=HT$169,1,IF($FN181&lt;HT$169,INDEX($FO$170:$IH$241,HT$169,$FN181),SUMPRODUCT(INDEX($FO$325:$IH$396,HT$169,1+SwaptionShift):INDEX($FO$325:$IH$396,HT$169,SwaptionMonthsToGo+SwaptionShift),INDEX($FO$245:$IH$316,$FN181-HT$169,73-HT$169+SwaptionShift):INDEX($FO$245:$IH$316,$FN181-HT$169,72-HT$169+SwaptionMonthsToGo+SwaptionShift))/SQRT(SUM(INDEX($FO336:$IH336,1+SwaptionShift):INDEX($FO336:$IH336,SwaptionMonthsToGo+SwaptionShift))*SUM(INDEX($FO$325:$IH$396,HT$169,1+SwaptionShift):INDEX($FO$325:$IH$396,HT$169,SwaptionMonthsToGo+SwaptionShift))))))</f>
        <v/>
      </c>
      <c r="HU181" s="469" t="str">
        <f ca="1">IF(OR(HU$169&lt;SwaptionFirstMonthPosition+1,$FN181&lt;SwaptionFirstMonthPosition+1,HU$169&gt;SwaptionFirstMonthPosition+SwaptionNumOfMonths+1,$FN181&gt;SwaptionFirstMonthPosition+SwaptionNumOfMonths+1),"",IF($FN181=HU$169,1,IF($FN181&lt;HU$169,INDEX($FO$170:$IH$241,HU$169,$FN181),SUMPRODUCT(INDEX($FO$325:$IH$396,HU$169,1+SwaptionShift):INDEX($FO$325:$IH$396,HU$169,SwaptionMonthsToGo+SwaptionShift),INDEX($FO$245:$IH$316,$FN181-HU$169,73-HU$169+SwaptionShift):INDEX($FO$245:$IH$316,$FN181-HU$169,72-HU$169+SwaptionMonthsToGo+SwaptionShift))/SQRT(SUM(INDEX($FO336:$IH336,1+SwaptionShift):INDEX($FO336:$IH336,SwaptionMonthsToGo+SwaptionShift))*SUM(INDEX($FO$325:$IH$396,HU$169,1+SwaptionShift):INDEX($FO$325:$IH$396,HU$169,SwaptionMonthsToGo+SwaptionShift))))))</f>
        <v/>
      </c>
      <c r="HV181" s="469" t="str">
        <f ca="1">IF(OR(HV$169&lt;SwaptionFirstMonthPosition+1,$FN181&lt;SwaptionFirstMonthPosition+1,HV$169&gt;SwaptionFirstMonthPosition+SwaptionNumOfMonths+1,$FN181&gt;SwaptionFirstMonthPosition+SwaptionNumOfMonths+1),"",IF($FN181=HV$169,1,IF($FN181&lt;HV$169,INDEX($FO$170:$IH$241,HV$169,$FN181),SUMPRODUCT(INDEX($FO$325:$IH$396,HV$169,1+SwaptionShift):INDEX($FO$325:$IH$396,HV$169,SwaptionMonthsToGo+SwaptionShift),INDEX($FO$245:$IH$316,$FN181-HV$169,73-HV$169+SwaptionShift):INDEX($FO$245:$IH$316,$FN181-HV$169,72-HV$169+SwaptionMonthsToGo+SwaptionShift))/SQRT(SUM(INDEX($FO336:$IH336,1+SwaptionShift):INDEX($FO336:$IH336,SwaptionMonthsToGo+SwaptionShift))*SUM(INDEX($FO$325:$IH$396,HV$169,1+SwaptionShift):INDEX($FO$325:$IH$396,HV$169,SwaptionMonthsToGo+SwaptionShift))))))</f>
        <v/>
      </c>
      <c r="HW181" s="469" t="str">
        <f ca="1">IF(OR(HW$169&lt;SwaptionFirstMonthPosition+1,$FN181&lt;SwaptionFirstMonthPosition+1,HW$169&gt;SwaptionFirstMonthPosition+SwaptionNumOfMonths+1,$FN181&gt;SwaptionFirstMonthPosition+SwaptionNumOfMonths+1),"",IF($FN181=HW$169,1,IF($FN181&lt;HW$169,INDEX($FO$170:$IH$241,HW$169,$FN181),SUMPRODUCT(INDEX($FO$325:$IH$396,HW$169,1+SwaptionShift):INDEX($FO$325:$IH$396,HW$169,SwaptionMonthsToGo+SwaptionShift),INDEX($FO$245:$IH$316,$FN181-HW$169,73-HW$169+SwaptionShift):INDEX($FO$245:$IH$316,$FN181-HW$169,72-HW$169+SwaptionMonthsToGo+SwaptionShift))/SQRT(SUM(INDEX($FO336:$IH336,1+SwaptionShift):INDEX($FO336:$IH336,SwaptionMonthsToGo+SwaptionShift))*SUM(INDEX($FO$325:$IH$396,HW$169,1+SwaptionShift):INDEX($FO$325:$IH$396,HW$169,SwaptionMonthsToGo+SwaptionShift))))))</f>
        <v/>
      </c>
      <c r="HX181" s="469" t="str">
        <f ca="1">IF(OR(HX$169&lt;SwaptionFirstMonthPosition+1,$FN181&lt;SwaptionFirstMonthPosition+1,HX$169&gt;SwaptionFirstMonthPosition+SwaptionNumOfMonths+1,$FN181&gt;SwaptionFirstMonthPosition+SwaptionNumOfMonths+1),"",IF($FN181=HX$169,1,IF($FN181&lt;HX$169,INDEX($FO$170:$IH$241,HX$169,$FN181),SUMPRODUCT(INDEX($FO$325:$IH$396,HX$169,1+SwaptionShift):INDEX($FO$325:$IH$396,HX$169,SwaptionMonthsToGo+SwaptionShift),INDEX($FO$245:$IH$316,$FN181-HX$169,73-HX$169+SwaptionShift):INDEX($FO$245:$IH$316,$FN181-HX$169,72-HX$169+SwaptionMonthsToGo+SwaptionShift))/SQRT(SUM(INDEX($FO336:$IH336,1+SwaptionShift):INDEX($FO336:$IH336,SwaptionMonthsToGo+SwaptionShift))*SUM(INDEX($FO$325:$IH$396,HX$169,1+SwaptionShift):INDEX($FO$325:$IH$396,HX$169,SwaptionMonthsToGo+SwaptionShift))))))</f>
        <v/>
      </c>
      <c r="HY181" s="469" t="str">
        <f ca="1">IF(OR(HY$169&lt;SwaptionFirstMonthPosition+1,$FN181&lt;SwaptionFirstMonthPosition+1,HY$169&gt;SwaptionFirstMonthPosition+SwaptionNumOfMonths+1,$FN181&gt;SwaptionFirstMonthPosition+SwaptionNumOfMonths+1),"",IF($FN181=HY$169,1,IF($FN181&lt;HY$169,INDEX($FO$170:$IH$241,HY$169,$FN181),SUMPRODUCT(INDEX($FO$325:$IH$396,HY$169,1+SwaptionShift):INDEX($FO$325:$IH$396,HY$169,SwaptionMonthsToGo+SwaptionShift),INDEX($FO$245:$IH$316,$FN181-HY$169,73-HY$169+SwaptionShift):INDEX($FO$245:$IH$316,$FN181-HY$169,72-HY$169+SwaptionMonthsToGo+SwaptionShift))/SQRT(SUM(INDEX($FO336:$IH336,1+SwaptionShift):INDEX($FO336:$IH336,SwaptionMonthsToGo+SwaptionShift))*SUM(INDEX($FO$325:$IH$396,HY$169,1+SwaptionShift):INDEX($FO$325:$IH$396,HY$169,SwaptionMonthsToGo+SwaptionShift))))))</f>
        <v/>
      </c>
      <c r="HZ181" s="469" t="str">
        <f ca="1">IF(OR(HZ$169&lt;SwaptionFirstMonthPosition+1,$FN181&lt;SwaptionFirstMonthPosition+1,HZ$169&gt;SwaptionFirstMonthPosition+SwaptionNumOfMonths+1,$FN181&gt;SwaptionFirstMonthPosition+SwaptionNumOfMonths+1),"",IF($FN181=HZ$169,1,IF($FN181&lt;HZ$169,INDEX($FO$170:$IH$241,HZ$169,$FN181),SUMPRODUCT(INDEX($FO$325:$IH$396,HZ$169,1+SwaptionShift):INDEX($FO$325:$IH$396,HZ$169,SwaptionMonthsToGo+SwaptionShift),INDEX($FO$245:$IH$316,$FN181-HZ$169,73-HZ$169+SwaptionShift):INDEX($FO$245:$IH$316,$FN181-HZ$169,72-HZ$169+SwaptionMonthsToGo+SwaptionShift))/SQRT(SUM(INDEX($FO336:$IH336,1+SwaptionShift):INDEX($FO336:$IH336,SwaptionMonthsToGo+SwaptionShift))*SUM(INDEX($FO$325:$IH$396,HZ$169,1+SwaptionShift):INDEX($FO$325:$IH$396,HZ$169,SwaptionMonthsToGo+SwaptionShift))))))</f>
        <v/>
      </c>
      <c r="IA181" s="469" t="str">
        <f ca="1">IF(OR(IA$169&lt;SwaptionFirstMonthPosition+1,$FN181&lt;SwaptionFirstMonthPosition+1,IA$169&gt;SwaptionFirstMonthPosition+SwaptionNumOfMonths+1,$FN181&gt;SwaptionFirstMonthPosition+SwaptionNumOfMonths+1),"",IF($FN181=IA$169,1,IF($FN181&lt;IA$169,INDEX($FO$170:$IH$241,IA$169,$FN181),SUMPRODUCT(INDEX($FO$325:$IH$396,IA$169,1+SwaptionShift):INDEX($FO$325:$IH$396,IA$169,SwaptionMonthsToGo+SwaptionShift),INDEX($FO$245:$IH$316,$FN181-IA$169,73-IA$169+SwaptionShift):INDEX($FO$245:$IH$316,$FN181-IA$169,72-IA$169+SwaptionMonthsToGo+SwaptionShift))/SQRT(SUM(INDEX($FO336:$IH336,1+SwaptionShift):INDEX($FO336:$IH336,SwaptionMonthsToGo+SwaptionShift))*SUM(INDEX($FO$325:$IH$396,IA$169,1+SwaptionShift):INDEX($FO$325:$IH$396,IA$169,SwaptionMonthsToGo+SwaptionShift))))))</f>
        <v/>
      </c>
      <c r="IB181" s="469" t="str">
        <f ca="1">IF(OR(IB$169&lt;SwaptionFirstMonthPosition+1,$FN181&lt;SwaptionFirstMonthPosition+1,IB$169&gt;SwaptionFirstMonthPosition+SwaptionNumOfMonths+1,$FN181&gt;SwaptionFirstMonthPosition+SwaptionNumOfMonths+1),"",IF($FN181=IB$169,1,IF($FN181&lt;IB$169,INDEX($FO$170:$IH$241,IB$169,$FN181),SUMPRODUCT(INDEX($FO$325:$IH$396,IB$169,1+SwaptionShift):INDEX($FO$325:$IH$396,IB$169,SwaptionMonthsToGo+SwaptionShift),INDEX($FO$245:$IH$316,$FN181-IB$169,73-IB$169+SwaptionShift):INDEX($FO$245:$IH$316,$FN181-IB$169,72-IB$169+SwaptionMonthsToGo+SwaptionShift))/SQRT(SUM(INDEX($FO336:$IH336,1+SwaptionShift):INDEX($FO336:$IH336,SwaptionMonthsToGo+SwaptionShift))*SUM(INDEX($FO$325:$IH$396,IB$169,1+SwaptionShift):INDEX($FO$325:$IH$396,IB$169,SwaptionMonthsToGo+SwaptionShift))))))</f>
        <v/>
      </c>
      <c r="IC181" s="469" t="str">
        <f ca="1">IF(OR(IC$169&lt;SwaptionFirstMonthPosition+1,$FN181&lt;SwaptionFirstMonthPosition+1,IC$169&gt;SwaptionFirstMonthPosition+SwaptionNumOfMonths+1,$FN181&gt;SwaptionFirstMonthPosition+SwaptionNumOfMonths+1),"",IF($FN181=IC$169,1,IF($FN181&lt;IC$169,INDEX($FO$170:$IH$241,IC$169,$FN181),SUMPRODUCT(INDEX($FO$325:$IH$396,IC$169,1+SwaptionShift):INDEX($FO$325:$IH$396,IC$169,SwaptionMonthsToGo+SwaptionShift),INDEX($FO$245:$IH$316,$FN181-IC$169,73-IC$169+SwaptionShift):INDEX($FO$245:$IH$316,$FN181-IC$169,72-IC$169+SwaptionMonthsToGo+SwaptionShift))/SQRT(SUM(INDEX($FO336:$IH336,1+SwaptionShift):INDEX($FO336:$IH336,SwaptionMonthsToGo+SwaptionShift))*SUM(INDEX($FO$325:$IH$396,IC$169,1+SwaptionShift):INDEX($FO$325:$IH$396,IC$169,SwaptionMonthsToGo+SwaptionShift))))))</f>
        <v/>
      </c>
      <c r="ID181" s="469" t="str">
        <f ca="1">IF(OR(ID$169&lt;SwaptionFirstMonthPosition+1,$FN181&lt;SwaptionFirstMonthPosition+1,ID$169&gt;SwaptionFirstMonthPosition+SwaptionNumOfMonths+1,$FN181&gt;SwaptionFirstMonthPosition+SwaptionNumOfMonths+1),"",IF($FN181=ID$169,1,IF($FN181&lt;ID$169,INDEX($FO$170:$IH$241,ID$169,$FN181),SUMPRODUCT(INDEX($FO$325:$IH$396,ID$169,1+SwaptionShift):INDEX($FO$325:$IH$396,ID$169,SwaptionMonthsToGo+SwaptionShift),INDEX($FO$245:$IH$316,$FN181-ID$169,73-ID$169+SwaptionShift):INDEX($FO$245:$IH$316,$FN181-ID$169,72-ID$169+SwaptionMonthsToGo+SwaptionShift))/SQRT(SUM(INDEX($FO336:$IH336,1+SwaptionShift):INDEX($FO336:$IH336,SwaptionMonthsToGo+SwaptionShift))*SUM(INDEX($FO$325:$IH$396,ID$169,1+SwaptionShift):INDEX($FO$325:$IH$396,ID$169,SwaptionMonthsToGo+SwaptionShift))))))</f>
        <v/>
      </c>
      <c r="IE181" s="469" t="str">
        <f ca="1">IF(OR(IE$169&lt;SwaptionFirstMonthPosition+1,$FN181&lt;SwaptionFirstMonthPosition+1,IE$169&gt;SwaptionFirstMonthPosition+SwaptionNumOfMonths+1,$FN181&gt;SwaptionFirstMonthPosition+SwaptionNumOfMonths+1),"",IF($FN181=IE$169,1,IF($FN181&lt;IE$169,INDEX($FO$170:$IH$241,IE$169,$FN181),SUMPRODUCT(INDEX($FO$325:$IH$396,IE$169,1+SwaptionShift):INDEX($FO$325:$IH$396,IE$169,SwaptionMonthsToGo+SwaptionShift),INDEX($FO$245:$IH$316,$FN181-IE$169,73-IE$169+SwaptionShift):INDEX($FO$245:$IH$316,$FN181-IE$169,72-IE$169+SwaptionMonthsToGo+SwaptionShift))/SQRT(SUM(INDEX($FO336:$IH336,1+SwaptionShift):INDEX($FO336:$IH336,SwaptionMonthsToGo+SwaptionShift))*SUM(INDEX($FO$325:$IH$396,IE$169,1+SwaptionShift):INDEX($FO$325:$IH$396,IE$169,SwaptionMonthsToGo+SwaptionShift))))))</f>
        <v/>
      </c>
      <c r="IF181" s="469" t="str">
        <f ca="1">IF(OR(IF$169&lt;SwaptionFirstMonthPosition+1,$FN181&lt;SwaptionFirstMonthPosition+1,IF$169&gt;SwaptionFirstMonthPosition+SwaptionNumOfMonths+1,$FN181&gt;SwaptionFirstMonthPosition+SwaptionNumOfMonths+1),"",IF($FN181=IF$169,1,IF($FN181&lt;IF$169,INDEX($FO$170:$IH$241,IF$169,$FN181),SUMPRODUCT(INDEX($FO$325:$IH$396,IF$169,1+SwaptionShift):INDEX($FO$325:$IH$396,IF$169,SwaptionMonthsToGo+SwaptionShift),INDEX($FO$245:$IH$316,$FN181-IF$169,73-IF$169+SwaptionShift):INDEX($FO$245:$IH$316,$FN181-IF$169,72-IF$169+SwaptionMonthsToGo+SwaptionShift))/SQRT(SUM(INDEX($FO336:$IH336,1+SwaptionShift):INDEX($FO336:$IH336,SwaptionMonthsToGo+SwaptionShift))*SUM(INDEX($FO$325:$IH$396,IF$169,1+SwaptionShift):INDEX($FO$325:$IH$396,IF$169,SwaptionMonthsToGo+SwaptionShift))))))</f>
        <v/>
      </c>
      <c r="IG181" s="469" t="str">
        <f ca="1">IF(OR(IG$169&lt;SwaptionFirstMonthPosition+1,$FN181&lt;SwaptionFirstMonthPosition+1,IG$169&gt;SwaptionFirstMonthPosition+SwaptionNumOfMonths+1,$FN181&gt;SwaptionFirstMonthPosition+SwaptionNumOfMonths+1),"",IF($FN181=IG$169,1,IF($FN181&lt;IG$169,INDEX($FO$170:$IH$241,IG$169,$FN181),SUMPRODUCT(INDEX($FO$325:$IH$396,IG$169,1+SwaptionShift):INDEX($FO$325:$IH$396,IG$169,SwaptionMonthsToGo+SwaptionShift),INDEX($FO$245:$IH$316,$FN181-IG$169,73-IG$169+SwaptionShift):INDEX($FO$245:$IH$316,$FN181-IG$169,72-IG$169+SwaptionMonthsToGo+SwaptionShift))/SQRT(SUM(INDEX($FO336:$IH336,1+SwaptionShift):INDEX($FO336:$IH336,SwaptionMonthsToGo+SwaptionShift))*SUM(INDEX($FO$325:$IH$396,IG$169,1+SwaptionShift):INDEX($FO$325:$IH$396,IG$169,SwaptionMonthsToGo+SwaptionShift))))))</f>
        <v/>
      </c>
      <c r="IH181" s="662" t="str">
        <f ca="1">IF(OR(IH$169&lt;SwaptionFirstMonthPosition+1,$FN181&lt;SwaptionFirstMonthPosition+1,IH$169&gt;SwaptionFirstMonthPosition+SwaptionNumOfMonths+1,$FN181&gt;SwaptionFirstMonthPosition+SwaptionNumOfMonths+1),"",IF($FN181=IH$169,1,IF($FN181&lt;IH$169,INDEX($FO$170:$IH$241,IH$169,$FN181),SUMPRODUCT(INDEX($FO$325:$IH$396,IH$169,1+SwaptionShift):INDEX($FO$325:$IH$396,IH$169,SwaptionMonthsToGo+SwaptionShift),INDEX($FO$245:$IH$316,$FN181-IH$169,73-IH$169+SwaptionShift):INDEX($FO$245:$IH$316,$FN181-IH$169,72-IH$169+SwaptionMonthsToGo+SwaptionShift))/SQRT(SUM(INDEX($FO336:$IH336,1+SwaptionShift):INDEX($FO336:$IH336,SwaptionMonthsToGo+SwaptionShift))*SUM(INDEX($FO$325:$IH$396,IH$169,1+SwaptionShift):INDEX($FO$325:$IH$396,IH$169,SwaptionMonthsToGo+SwaptionShift))))))</f>
        <v/>
      </c>
      <c r="II181" s="242"/>
    </row>
    <row r="182" spans="8:243">
      <c r="H182" s="49" t="e">
        <f t="shared" ca="1" si="529"/>
        <v>#N/A</v>
      </c>
      <c r="I182" s="369">
        <f t="shared" si="530"/>
        <v>41944</v>
      </c>
      <c r="J182" s="367">
        <v>23.434999999999899</v>
      </c>
      <c r="K182" s="101" t="s">
        <v>267</v>
      </c>
      <c r="L182" s="382">
        <f t="shared" si="531"/>
        <v>23.434999999999899</v>
      </c>
      <c r="M182" s="163">
        <v>0.14630000000000001</v>
      </c>
      <c r="N182" s="372">
        <v>0</v>
      </c>
      <c r="O182" s="163">
        <f t="shared" si="488"/>
        <v>0.14630000000000001</v>
      </c>
      <c r="P182" s="367">
        <v>22.179871873637797</v>
      </c>
      <c r="Q182" s="101" t="s">
        <v>267</v>
      </c>
      <c r="R182" s="367">
        <f t="shared" ca="1" si="549"/>
        <v>22.179871873637754</v>
      </c>
      <c r="S182" s="814">
        <f t="shared" si="474"/>
        <v>0.34991371282944594</v>
      </c>
      <c r="T182" s="813">
        <f t="shared" si="550"/>
        <v>0.99999999698198128</v>
      </c>
      <c r="U182" s="532">
        <f t="shared" si="551"/>
        <v>0.99999999999999978</v>
      </c>
      <c r="V182" s="379">
        <v>0</v>
      </c>
      <c r="W182" s="424">
        <f t="shared" si="576"/>
        <v>23.467499999999902</v>
      </c>
      <c r="X182" s="405">
        <f t="shared" si="577"/>
        <v>23.467499999999898</v>
      </c>
      <c r="Y182" s="313">
        <f t="shared" si="578"/>
        <v>22.225899999999903</v>
      </c>
      <c r="Z182" s="313">
        <f t="shared" ca="1" si="579"/>
        <v>22.225899999999896</v>
      </c>
      <c r="AA182" s="419">
        <f t="shared" si="493"/>
        <v>1.2416</v>
      </c>
      <c r="AB182" s="423">
        <f t="shared" ca="1" si="494"/>
        <v>1.2416</v>
      </c>
      <c r="AC182" s="221">
        <v>41932</v>
      </c>
      <c r="AD182" s="221">
        <v>41928</v>
      </c>
      <c r="AE182" s="221">
        <v>41927</v>
      </c>
      <c r="AF182" s="221">
        <v>41923</v>
      </c>
      <c r="AG182" s="241" t="s">
        <v>497</v>
      </c>
      <c r="AH182" s="239" t="s">
        <v>497</v>
      </c>
      <c r="AI182" s="141">
        <v>20</v>
      </c>
      <c r="AJ182" s="41">
        <v>14</v>
      </c>
      <c r="AK182" s="41">
        <v>6</v>
      </c>
      <c r="AL182" s="285">
        <v>20</v>
      </c>
      <c r="AM182" s="41">
        <v>10</v>
      </c>
      <c r="AN182" s="142">
        <v>10</v>
      </c>
      <c r="AO182" s="364">
        <v>6.1191730194733097E-2</v>
      </c>
      <c r="AP182" s="145">
        <f t="shared" ca="1" si="532"/>
        <v>0.43941776874886257</v>
      </c>
      <c r="AQ182" s="364">
        <v>5.4475270031882198E-2</v>
      </c>
      <c r="AR182" s="145">
        <f t="shared" ca="1" si="552"/>
        <v>0.48353705814862952</v>
      </c>
      <c r="AS182" s="264">
        <f t="shared" si="580"/>
        <v>0.14578000000000002</v>
      </c>
      <c r="AT182" s="149">
        <f t="shared" si="533"/>
        <v>0.14630000000000001</v>
      </c>
      <c r="AU182" s="149">
        <f t="shared" si="496"/>
        <v>0.1457</v>
      </c>
      <c r="AV182" s="263">
        <f t="shared" ca="1" si="560"/>
        <v>0.14417389170283326</v>
      </c>
      <c r="AW182" s="150" t="str">
        <f t="shared" ca="1" si="581"/>
        <v/>
      </c>
      <c r="AX182" s="149">
        <f t="shared" ca="1" si="553"/>
        <v>6.6063712401864183E-3</v>
      </c>
      <c r="AY182" s="149">
        <f t="shared" ca="1" si="554"/>
        <v>2.3463861161815906E-3</v>
      </c>
      <c r="AZ182" s="149">
        <f t="shared" ca="1" si="555"/>
        <v>2.2542108814314699E-3</v>
      </c>
      <c r="BA182" s="149">
        <f t="shared" ca="1" si="556"/>
        <v>1.000000000000078E-4</v>
      </c>
      <c r="BB182" s="149">
        <f t="shared" ca="1" si="557"/>
        <v>1.000000000000078E-4</v>
      </c>
      <c r="BC182" s="149">
        <f t="shared" ca="1" si="558"/>
        <v>1.000000000000078E-4</v>
      </c>
      <c r="BD182" s="143">
        <f t="shared" ca="1" si="582"/>
        <v>0</v>
      </c>
      <c r="BE182" s="144">
        <f t="shared" ca="1" si="583"/>
        <v>0</v>
      </c>
      <c r="BF182" s="40">
        <f t="shared" si="584"/>
        <v>2014</v>
      </c>
      <c r="BG182" s="139">
        <f t="shared" si="585"/>
        <v>11</v>
      </c>
      <c r="BH182" s="140">
        <f t="shared" ca="1" si="586"/>
        <v>4938</v>
      </c>
      <c r="BI182" s="304">
        <f t="shared" ca="1" si="570"/>
        <v>13.563312799452429</v>
      </c>
      <c r="BJ182" s="42">
        <f t="shared" ca="1" si="503"/>
        <v>13.61889117043121</v>
      </c>
      <c r="BK182" s="42">
        <f t="shared" ca="1" si="504"/>
        <v>13.621629021218343</v>
      </c>
      <c r="BL182" s="42">
        <f t="shared" ca="1" si="571"/>
        <v>13.64271047227926</v>
      </c>
      <c r="BM182" s="285">
        <f t="shared" si="572"/>
        <v>20</v>
      </c>
      <c r="BN182" s="41">
        <f t="shared" si="573"/>
        <v>14</v>
      </c>
      <c r="BO182" s="41">
        <f t="shared" si="574"/>
        <v>6</v>
      </c>
      <c r="BP182" s="297" t="str">
        <f t="shared" ca="1" si="505"/>
        <v/>
      </c>
      <c r="BQ182" s="297" t="str">
        <f t="shared" ca="1" si="506"/>
        <v/>
      </c>
      <c r="BR182" s="299" t="str">
        <f t="shared" ca="1" si="507"/>
        <v/>
      </c>
      <c r="BS182" s="153" t="str">
        <f t="shared" ca="1" si="508"/>
        <v/>
      </c>
      <c r="BT182" s="153" t="str">
        <f t="shared" ca="1" si="509"/>
        <v/>
      </c>
      <c r="BU182" s="300" t="str">
        <f t="shared" ca="1" si="510"/>
        <v/>
      </c>
      <c r="BV182" s="301" t="str">
        <f t="shared" ca="1" si="511"/>
        <v/>
      </c>
      <c r="BW182" s="300" t="str">
        <f t="shared" ca="1" si="512"/>
        <v/>
      </c>
      <c r="BX182" s="301" t="str">
        <f t="shared" ca="1" si="513"/>
        <v/>
      </c>
      <c r="BY182" s="146" t="str">
        <f t="shared" ca="1" si="514"/>
        <v/>
      </c>
      <c r="BZ182" s="146" t="str">
        <f t="shared" ca="1" si="515"/>
        <v/>
      </c>
      <c r="CA182" s="146" t="str">
        <f t="shared" ca="1" si="516"/>
        <v/>
      </c>
      <c r="CB182" s="146" t="str">
        <f t="shared" ca="1" si="517"/>
        <v/>
      </c>
      <c r="CC182" s="302">
        <v>1</v>
      </c>
      <c r="CD182" s="154">
        <f ca="1">IF(BD182,_xll.xCrudeAPO(BS182,BT182,BY182,BZ182,S183,S184,BI182,BL182,BN182,BO182,0,Strike1,AO182,CC182,0,BL182,IF(OptControl=4,0,1),0,1),0)</f>
        <v>0</v>
      </c>
      <c r="CE182" s="155">
        <f ca="1">IF(BD182,_xll.xCrudeAPO(BS182,BT182,BY182,BZ182,S183,S184,BI182,BL182,BN182,BO182,0,Strike1,AO182,CC182,0,BL182,IF(OptControl=4,0,1),1,1)+_xll.xCrudeAPO(BS182,BT182,BY182,BZ182,S183,S184,BI182,BL182,BN182,BO182,0,Strike1,AO182,CC182,0,BL182,IF(OptControl=4,0,1),1,2)+IF(OR(VolSkewFlag=2,ABS(BQ182)&lt;0.0001),0,IF(BQ182&gt;0,-1,1)*CF182*Strike1/BP182^2*BW182/10%),0)</f>
        <v>0</v>
      </c>
      <c r="CF182" s="155">
        <f ca="1">IF(BD182,(_xll.xCrudeAPO(BS182,BT182,BY182,BZ182,S183,S184,BI182,BL182,BN182,BO182,0,Strike1,AO182,CC182,0,BL182,IF(OptControl=4,0,1),3,1)+_xll.xCrudeAPO(BS182,BT182,BY182,BZ182,S183,S184,BI182,BL182,BN182,BO182,0,Strike1,AO182,CC182,0,BL182,IF(OptControl=4,0,1),3,2))/100,0)</f>
        <v>0</v>
      </c>
      <c r="CG182" s="155">
        <f ca="1">IF(BD182,_xll.xCrudeAPO(BS182,BT182,BY182,BZ182,S183,S184,BI182-DaysForThetaCalculation/365.25,BL182-DaysForThetaCalculation/365.25,BN182,BO182,0,Strike1,AO182,CC182,0,BL182,IF(OptControl=4,0,1),0,1)-_xll.xCrudeAPO(BS182,BT182,BY182,BZ182,S183,S184,BI182,BL182,BN182,BO182,0,Strike1,AO182,CC182,0,BL182,IF(OptControl=4,0,1),0,1),0)</f>
        <v>0</v>
      </c>
      <c r="CH182" s="303">
        <f ca="1">IF(BD182,_xll.xCrudeAPO(BS182,BT182,CA182,CB182,S183,S184,BI182,BL182,BN182,BO182,0,Strike2,AO182,CC182,0,BL182,IF(OptControl=3,1,0),0,1),0)</f>
        <v>0</v>
      </c>
      <c r="CI182" s="155">
        <f ca="1">IF(BD182,_xll.xCrudeAPO(BS182,BT182,CA182,CB182,S183,S184,BI182,BL182,BN182,BO182,0,Strike2,AO182,CC182,0,BL182,IF(OptControl=3,1,0),1,1)+_xll.xCrudeAPO(BS182,BT182,CA182,CB182,S183,S184,BI182,BL182,BN182,BO182,0,Strike2,AO182,CC182,0,BL182,IF(OptControl=3,1,0),1,2)+IF(OR(VolSkewFlag=2,ABS(BR182)&lt;0.0001),0,IF(BR182&gt;0,-1,1)*CJ182*Strike2/BP182^2*BX182/10%),0)</f>
        <v>0</v>
      </c>
      <c r="CJ182" s="155">
        <f ca="1">IF(BD182,(_xll.xCrudeAPO(BS182,BT182,CA182,CB182,S183,S184,BI182,BL182,BN182,BO182,0,Strike2,AO182,CC182,0,BL182,IF(OptControl=3,1,0),3,1)+_xll.xCrudeAPO(BS182,BT182,CA182,CB182,S183,S184,BI182,BL182,BN182,BO182,0,Strike2,AO182,CC182,0,BL182,IF(OptControl=3,1,0),3,2))/100,0)</f>
        <v>0</v>
      </c>
      <c r="CK182" s="156">
        <f ca="1">IF(BD182,_xll.xCrudeAPO(BS182,BT182,CA182,CB182,S183,S184,BI182-DaysForThetaCalculation/365.25,BL182-DaysForThetaCalculation/365.25,BN182,BO182,0,Strike2,AO182,CC182,0,BL182,IF(OptControl=3,1,0),0,1)-_xll.xCrudeAPO(BS182,BT182,CA182,CB182,S183,S184,BI182,BL182,BN182,BO182,0,Strike2,AO182,CC182,0,BL182,IF(OptControl=3,1,0),0,1),0)</f>
        <v>0</v>
      </c>
      <c r="CL182" s="51"/>
      <c r="CM182" s="779" t="str">
        <f t="shared" ca="1" si="534"/>
        <v/>
      </c>
      <c r="CN182" s="783" t="str">
        <f t="shared" ca="1" si="535"/>
        <v/>
      </c>
      <c r="CO182" s="780" t="str">
        <f t="shared" ca="1" si="536"/>
        <v/>
      </c>
      <c r="CP182" s="780" t="str">
        <f t="shared" ca="1" si="537"/>
        <v/>
      </c>
      <c r="CQ182" s="780" t="str">
        <f t="shared" ca="1" si="538"/>
        <v/>
      </c>
      <c r="CR182" s="780" t="str">
        <f t="shared" ca="1" si="539"/>
        <v/>
      </c>
      <c r="CS182" s="781" t="str">
        <f t="shared" ca="1" si="540"/>
        <v/>
      </c>
      <c r="CT182" s="782" t="str">
        <f t="shared" ca="1" si="541"/>
        <v/>
      </c>
      <c r="CU182" s="782" t="str">
        <f t="shared" ca="1" si="542"/>
        <v/>
      </c>
      <c r="CV182" s="155">
        <f ca="1">IF(BD182,_xll.EURO(CN182,Strike1,AO182,AO182,CT182,CM182,IF(OptControl=4,0,1),0),0)</f>
        <v>0</v>
      </c>
      <c r="CW182" s="155">
        <f ca="1">IF(BD182,_xll.EURO(CN182,Strike1,AO182,AO182,CT182,CM182,IF(OptControl=4,0,1),1)+IF(OR(VolSkewFlag=2,ABS(CO182)&lt;0.0001),0,IF(CO182&gt;0,-1,1)*CX182*100*Strike1/CN182^2*CQ182/10%),0)</f>
        <v>0</v>
      </c>
      <c r="CX182" s="155">
        <f ca="1">IF(BD182,_xll.EURO(CN182,Strike1,AO182,AO182,CT182,CM182,IF(OptControl=4,0,1),3)/100,0)</f>
        <v>0</v>
      </c>
      <c r="CY182" s="155">
        <f ca="1">IF(BD182,_xll.EURO(CN182,Strike1,AO182,AO182,CT182,CM182,IF(OptControl=4,0,1),0)-_xll.EURO(CN182,Strike1,AO182,AO182,CT182,CM182-1,IF(OptControl=4,0,1),0),0)</f>
        <v>0</v>
      </c>
      <c r="CZ182" s="155">
        <f ca="1">IF(BD182,_xll.EURO(CN182,Strike2,AO182,AO182,CU182,CM182,IF(OptControl=3,1,0),0),0)</f>
        <v>0</v>
      </c>
      <c r="DA182" s="155">
        <f ca="1">IF(BD182,_xll.EURO(CN182,Strike2,AO182,AO182,CU182,CM182,IF(OptControl=3,1,0),1)+IF(OR(VolSkewFlag=2,ABS(CP182)&lt;0.0001),0,IF(CP182&gt;0,-1,1)*DB182*100*Strike2/CN182^2*CR182/10%),0)</f>
        <v>0</v>
      </c>
      <c r="DB182" s="155">
        <f ca="1">IF(BD182,_xll.EURO(CN182,Strike2,AO182,AO182,CU182,CM182,IF(OptControl=3,1,0),3)/100,0)</f>
        <v>0</v>
      </c>
      <c r="DC182" s="156">
        <f ca="1">IF(BD182,_xll.EURO(CN182,Strike2,AO182,AO182,CU182,CM182,IF(OptControl=3,1,0),0)-_xll.EURO(CN182,Strike2,AO182,AO182,CU182,CM182-1,IF(OptControl=3,1,0),0),0)</f>
        <v>0</v>
      </c>
      <c r="DE182" s="651">
        <f t="shared" ca="1" si="543"/>
        <v>41852</v>
      </c>
      <c r="DF182" s="465">
        <v>1E-4</v>
      </c>
      <c r="DG182" s="649">
        <v>1E-4</v>
      </c>
      <c r="DH182" s="650">
        <f t="shared" ca="1" si="587"/>
        <v>41852</v>
      </c>
      <c r="DI182" s="465">
        <v>1E-4</v>
      </c>
      <c r="DJ182" s="649">
        <v>1E-4</v>
      </c>
      <c r="DK182" s="651">
        <f t="shared" ca="1" si="588"/>
        <v>41852</v>
      </c>
      <c r="DL182" s="652">
        <f t="shared" si="589"/>
        <v>5.0100000000000006E-2</v>
      </c>
      <c r="DM182" s="651">
        <f t="shared" ca="1" si="544"/>
        <v>41852</v>
      </c>
      <c r="DN182" s="563">
        <f t="shared" si="545"/>
        <v>-0.12990000000000002</v>
      </c>
      <c r="DO182" s="803">
        <v>-0.13</v>
      </c>
      <c r="DP182" s="650">
        <f t="shared" ca="1" si="590"/>
        <v>41852</v>
      </c>
      <c r="DQ182" s="653">
        <v>1E-4</v>
      </c>
      <c r="DR182" s="590">
        <v>1E-4</v>
      </c>
      <c r="DS182" s="650">
        <f t="shared" ca="1" si="591"/>
        <v>41852</v>
      </c>
      <c r="DT182" s="653">
        <v>1E-4</v>
      </c>
      <c r="DU182" s="590">
        <v>1E-4</v>
      </c>
      <c r="DV182" s="651">
        <f t="shared" ca="1" si="592"/>
        <v>41852</v>
      </c>
      <c r="DW182" s="590">
        <v>1E-4</v>
      </c>
      <c r="DX182" s="651">
        <f t="shared" ca="1" si="546"/>
        <v>41852</v>
      </c>
      <c r="DY182" s="590">
        <f t="shared" si="547"/>
        <v>1E-4</v>
      </c>
      <c r="DZ182" s="1"/>
      <c r="EA182" s="857"/>
      <c r="EB182" s="857"/>
      <c r="EC182" s="857"/>
      <c r="ED182" s="868" t="e">
        <f t="shared" ca="1" si="566"/>
        <v>#NAME?</v>
      </c>
      <c r="EE182" s="863" t="e">
        <f t="shared" ca="1" si="524"/>
        <v>#NAME?</v>
      </c>
      <c r="EF182" s="590" t="e">
        <f t="shared" ca="1" si="525"/>
        <v>#NAME?</v>
      </c>
      <c r="EG182" s="862" t="str">
        <f t="shared" ca="1" si="593"/>
        <v/>
      </c>
      <c r="EH182" s="114" t="str">
        <f t="shared" ca="1" si="527"/>
        <v/>
      </c>
      <c r="EI182" s="109" t="str">
        <f t="shared" ca="1" si="528"/>
        <v/>
      </c>
      <c r="EJ182" s="115">
        <f ca="1">IF(BD182,_xll.xASN(BP182,Strike1,AO182,EH182,0,BM182,0,BI182,BL182,IF(OptControl=4,0,1),0),0)</f>
        <v>0</v>
      </c>
      <c r="EK182" s="108">
        <f ca="1">IF(BD182,_xll.xASN(BP182,Strike2,AO182,EI182,0,BM182,0,BI182,BL182,IF(OptControl=3,1,0),0),0)</f>
        <v>0</v>
      </c>
      <c r="EP182" s="53"/>
      <c r="EQ182" s="1"/>
      <c r="ER182" s="103"/>
      <c r="ES182" s="103"/>
      <c r="ET182" s="1"/>
      <c r="EU182" s="667" t="s">
        <v>394</v>
      </c>
      <c r="EW182" s="445"/>
      <c r="EX182" s="36"/>
      <c r="EY182" s="104"/>
      <c r="EZ182" s="465"/>
      <c r="FA182" s="446"/>
      <c r="FB182" s="446"/>
      <c r="FC182" s="242"/>
      <c r="FD182" s="242"/>
      <c r="FE182" s="242"/>
      <c r="FF182" s="242"/>
      <c r="FG182" s="242"/>
      <c r="FH182" s="242"/>
      <c r="FI182" s="242"/>
      <c r="FJ182" s="242"/>
      <c r="FK182" s="242"/>
      <c r="FL182" s="242"/>
      <c r="FM182" s="242"/>
      <c r="FN182" s="657">
        <v>13</v>
      </c>
      <c r="FO182" s="469" t="str">
        <f ca="1">IF(OR(FO$169&lt;SwaptionFirstMonthPosition+1,$FN182&lt;SwaptionFirstMonthPosition+1,FO$169&gt;SwaptionFirstMonthPosition+SwaptionNumOfMonths+1,$FN182&gt;SwaptionFirstMonthPosition+SwaptionNumOfMonths+1),"",IF($FN182=FO$169,1,IF($FN182&lt;FO$169,INDEX($FO$170:$IH$241,FO$169,$FN182),SUMPRODUCT(INDEX($FO$325:$IH$396,FO$169,1+SwaptionShift):INDEX($FO$325:$IH$396,FO$169,SwaptionMonthsToGo+SwaptionShift),INDEX($FO$245:$IH$316,$FN182-FO$169,73-FO$169+SwaptionShift):INDEX($FO$245:$IH$316,$FN182-FO$169,72-FO$169+SwaptionMonthsToGo+SwaptionShift))/SQRT(SUM(INDEX($FO337:$IH337,1+SwaptionShift):INDEX($FO337:$IH337,SwaptionMonthsToGo+SwaptionShift))*SUM(INDEX($FO$325:$IH$396,FO$169,1+SwaptionShift):INDEX($FO$325:$IH$396,FO$169,SwaptionMonthsToGo+SwaptionShift))))))</f>
        <v/>
      </c>
      <c r="FP182" s="469">
        <f ca="1">IF(OR(FP$169&lt;SwaptionFirstMonthPosition+1,$FN182&lt;SwaptionFirstMonthPosition+1,FP$169&gt;SwaptionFirstMonthPosition+SwaptionNumOfMonths+1,$FN182&gt;SwaptionFirstMonthPosition+SwaptionNumOfMonths+1),"",IF($FN182=FP$169,1,IF($FN182&lt;FP$169,INDEX($FO$170:$IH$241,FP$169,$FN182),SUMPRODUCT(INDEX($FO$325:$IH$396,FP$169,1+SwaptionShift):INDEX($FO$325:$IH$396,FP$169,SwaptionMonthsToGo+SwaptionShift),INDEX($FO$245:$IH$316,$FN182-FP$169,73-FP$169+SwaptionShift):INDEX($FO$245:$IH$316,$FN182-FP$169,72-FP$169+SwaptionMonthsToGo+SwaptionShift))/SQRT(SUM(INDEX($FO337:$IH337,1+SwaptionShift):INDEX($FO337:$IH337,SwaptionMonthsToGo+SwaptionShift))*SUM(INDEX($FO$325:$IH$396,FP$169,1+SwaptionShift):INDEX($FO$325:$IH$396,FP$169,SwaptionMonthsToGo+SwaptionShift))))))</f>
        <v>0.90476889216708756</v>
      </c>
      <c r="FQ182" s="469">
        <f ca="1">IF(OR(FQ$169&lt;SwaptionFirstMonthPosition+1,$FN182&lt;SwaptionFirstMonthPosition+1,FQ$169&gt;SwaptionFirstMonthPosition+SwaptionNumOfMonths+1,$FN182&gt;SwaptionFirstMonthPosition+SwaptionNumOfMonths+1),"",IF($FN182=FQ$169,1,IF($FN182&lt;FQ$169,INDEX($FO$170:$IH$241,FQ$169,$FN182),SUMPRODUCT(INDEX($FO$325:$IH$396,FQ$169,1+SwaptionShift):INDEX($FO$325:$IH$396,FQ$169,SwaptionMonthsToGo+SwaptionShift),INDEX($FO$245:$IH$316,$FN182-FQ$169,73-FQ$169+SwaptionShift):INDEX($FO$245:$IH$316,$FN182-FQ$169,72-FQ$169+SwaptionMonthsToGo+SwaptionShift))/SQRT(SUM(INDEX($FO337:$IH337,1+SwaptionShift):INDEX($FO337:$IH337,SwaptionMonthsToGo+SwaptionShift))*SUM(INDEX($FO$325:$IH$396,FQ$169,1+SwaptionShift):INDEX($FO$325:$IH$396,FQ$169,SwaptionMonthsToGo+SwaptionShift))))))</f>
        <v>0.92238078383899691</v>
      </c>
      <c r="FR182" s="469">
        <f ca="1">IF(OR(FR$169&lt;SwaptionFirstMonthPosition+1,$FN182&lt;SwaptionFirstMonthPosition+1,FR$169&gt;SwaptionFirstMonthPosition+SwaptionNumOfMonths+1,$FN182&gt;SwaptionFirstMonthPosition+SwaptionNumOfMonths+1),"",IF($FN182=FR$169,1,IF($FN182&lt;FR$169,INDEX($FO$170:$IH$241,FR$169,$FN182),SUMPRODUCT(INDEX($FO$325:$IH$396,FR$169,1+SwaptionShift):INDEX($FO$325:$IH$396,FR$169,SwaptionMonthsToGo+SwaptionShift),INDEX($FO$245:$IH$316,$FN182-FR$169,73-FR$169+SwaptionShift):INDEX($FO$245:$IH$316,$FN182-FR$169,72-FR$169+SwaptionMonthsToGo+SwaptionShift))/SQRT(SUM(INDEX($FO337:$IH337,1+SwaptionShift):INDEX($FO337:$IH337,SwaptionMonthsToGo+SwaptionShift))*SUM(INDEX($FO$325:$IH$396,FR$169,1+SwaptionShift):INDEX($FO$325:$IH$396,FR$169,SwaptionMonthsToGo+SwaptionShift))))))</f>
        <v>0.93703498655240769</v>
      </c>
      <c r="FS182" s="469">
        <f ca="1">IF(OR(FS$169&lt;SwaptionFirstMonthPosition+1,$FN182&lt;SwaptionFirstMonthPosition+1,FS$169&gt;SwaptionFirstMonthPosition+SwaptionNumOfMonths+1,$FN182&gt;SwaptionFirstMonthPosition+SwaptionNumOfMonths+1),"",IF($FN182=FS$169,1,IF($FN182&lt;FS$169,INDEX($FO$170:$IH$241,FS$169,$FN182),SUMPRODUCT(INDEX($FO$325:$IH$396,FS$169,1+SwaptionShift):INDEX($FO$325:$IH$396,FS$169,SwaptionMonthsToGo+SwaptionShift),INDEX($FO$245:$IH$316,$FN182-FS$169,73-FS$169+SwaptionShift):INDEX($FO$245:$IH$316,$FN182-FS$169,72-FS$169+SwaptionMonthsToGo+SwaptionShift))/SQRT(SUM(INDEX($FO337:$IH337,1+SwaptionShift):INDEX($FO337:$IH337,SwaptionMonthsToGo+SwaptionShift))*SUM(INDEX($FO$325:$IH$396,FS$169,1+SwaptionShift):INDEX($FO$325:$IH$396,FS$169,SwaptionMonthsToGo+SwaptionShift))))))</f>
        <v>0.94929173457891003</v>
      </c>
      <c r="FT182" s="469">
        <f ca="1">IF(OR(FT$169&lt;SwaptionFirstMonthPosition+1,$FN182&lt;SwaptionFirstMonthPosition+1,FT$169&gt;SwaptionFirstMonthPosition+SwaptionNumOfMonths+1,$FN182&gt;SwaptionFirstMonthPosition+SwaptionNumOfMonths+1),"",IF($FN182=FT$169,1,IF($FN182&lt;FT$169,INDEX($FO$170:$IH$241,FT$169,$FN182),SUMPRODUCT(INDEX($FO$325:$IH$396,FT$169,1+SwaptionShift):INDEX($FO$325:$IH$396,FT$169,SwaptionMonthsToGo+SwaptionShift),INDEX($FO$245:$IH$316,$FN182-FT$169,73-FT$169+SwaptionShift):INDEX($FO$245:$IH$316,$FN182-FT$169,72-FT$169+SwaptionMonthsToGo+SwaptionShift))/SQRT(SUM(INDEX($FO337:$IH337,1+SwaptionShift):INDEX($FO337:$IH337,SwaptionMonthsToGo+SwaptionShift))*SUM(INDEX($FO$325:$IH$396,FT$169,1+SwaptionShift):INDEX($FO$325:$IH$396,FT$169,SwaptionMonthsToGo+SwaptionShift))))))</f>
        <v>0.95960116301379883</v>
      </c>
      <c r="FU182" s="469">
        <f ca="1">IF(OR(FU$169&lt;SwaptionFirstMonthPosition+1,$FN182&lt;SwaptionFirstMonthPosition+1,FU$169&gt;SwaptionFirstMonthPosition+SwaptionNumOfMonths+1,$FN182&gt;SwaptionFirstMonthPosition+SwaptionNumOfMonths+1),"",IF($FN182=FU$169,1,IF($FN182&lt;FU$169,INDEX($FO$170:$IH$241,FU$169,$FN182),SUMPRODUCT(INDEX($FO$325:$IH$396,FU$169,1+SwaptionShift):INDEX($FO$325:$IH$396,FU$169,SwaptionMonthsToGo+SwaptionShift),INDEX($FO$245:$IH$316,$FN182-FU$169,73-FU$169+SwaptionShift):INDEX($FO$245:$IH$316,$FN182-FU$169,72-FU$169+SwaptionMonthsToGo+SwaptionShift))/SQRT(SUM(INDEX($FO337:$IH337,1+SwaptionShift):INDEX($FO337:$IH337,SwaptionMonthsToGo+SwaptionShift))*SUM(INDEX($FO$325:$IH$396,FU$169,1+SwaptionShift):INDEX($FO$325:$IH$396,FU$169,SwaptionMonthsToGo+SwaptionShift))))))</f>
        <v>0.96832346747239872</v>
      </c>
      <c r="FV182" s="469">
        <f ca="1">IF(OR(FV$169&lt;SwaptionFirstMonthPosition+1,$FN182&lt;SwaptionFirstMonthPosition+1,FV$169&gt;SwaptionFirstMonthPosition+SwaptionNumOfMonths+1,$FN182&gt;SwaptionFirstMonthPosition+SwaptionNumOfMonths+1),"",IF($FN182=FV$169,1,IF($FN182&lt;FV$169,INDEX($FO$170:$IH$241,FV$169,$FN182),SUMPRODUCT(INDEX($FO$325:$IH$396,FV$169,1+SwaptionShift):INDEX($FO$325:$IH$396,FV$169,SwaptionMonthsToGo+SwaptionShift),INDEX($FO$245:$IH$316,$FN182-FV$169,73-FV$169+SwaptionShift):INDEX($FO$245:$IH$316,$FN182-FV$169,72-FV$169+SwaptionMonthsToGo+SwaptionShift))/SQRT(SUM(INDEX($FO337:$IH337,1+SwaptionShift):INDEX($FO337:$IH337,SwaptionMonthsToGo+SwaptionShift))*SUM(INDEX($FO$325:$IH$396,FV$169,1+SwaptionShift):INDEX($FO$325:$IH$396,FV$169,SwaptionMonthsToGo+SwaptionShift))))))</f>
        <v>0.97574639095967897</v>
      </c>
      <c r="FW182" s="469">
        <f ca="1">IF(OR(FW$169&lt;SwaptionFirstMonthPosition+1,$FN182&lt;SwaptionFirstMonthPosition+1,FW$169&gt;SwaptionFirstMonthPosition+SwaptionNumOfMonths+1,$FN182&gt;SwaptionFirstMonthPosition+SwaptionNumOfMonths+1),"",IF($FN182=FW$169,1,IF($FN182&lt;FW$169,INDEX($FO$170:$IH$241,FW$169,$FN182),SUMPRODUCT(INDEX($FO$325:$IH$396,FW$169,1+SwaptionShift):INDEX($FO$325:$IH$396,FW$169,SwaptionMonthsToGo+SwaptionShift),INDEX($FO$245:$IH$316,$FN182-FW$169,73-FW$169+SwaptionShift):INDEX($FO$245:$IH$316,$FN182-FW$169,72-FW$169+SwaptionMonthsToGo+SwaptionShift))/SQRT(SUM(INDEX($FO337:$IH337,1+SwaptionShift):INDEX($FO337:$IH337,SwaptionMonthsToGo+SwaptionShift))*SUM(INDEX($FO$325:$IH$396,FW$169,1+SwaptionShift):INDEX($FO$325:$IH$396,FW$169,SwaptionMonthsToGo+SwaptionShift))))))</f>
        <v>0.98209985074657014</v>
      </c>
      <c r="FX182" s="469">
        <f ca="1">IF(OR(FX$169&lt;SwaptionFirstMonthPosition+1,$FN182&lt;SwaptionFirstMonthPosition+1,FX$169&gt;SwaptionFirstMonthPosition+SwaptionNumOfMonths+1,$FN182&gt;SwaptionFirstMonthPosition+SwaptionNumOfMonths+1),"",IF($FN182=FX$169,1,IF($FN182&lt;FX$169,INDEX($FO$170:$IH$241,FX$169,$FN182),SUMPRODUCT(INDEX($FO$325:$IH$396,FX$169,1+SwaptionShift):INDEX($FO$325:$IH$396,FX$169,SwaptionMonthsToGo+SwaptionShift),INDEX($FO$245:$IH$316,$FN182-FX$169,73-FX$169+SwaptionShift):INDEX($FO$245:$IH$316,$FN182-FX$169,72-FX$169+SwaptionMonthsToGo+SwaptionShift))/SQRT(SUM(INDEX($FO337:$IH337,1+SwaptionShift):INDEX($FO337:$IH337,SwaptionMonthsToGo+SwaptionShift))*SUM(INDEX($FO$325:$IH$396,FX$169,1+SwaptionShift):INDEX($FO$325:$IH$396,FX$169,SwaptionMonthsToGo+SwaptionShift))))))</f>
        <v>0.98756788681256713</v>
      </c>
      <c r="FY182" s="469">
        <f ca="1">IF(OR(FY$169&lt;SwaptionFirstMonthPosition+1,$FN182&lt;SwaptionFirstMonthPosition+1,FY$169&gt;SwaptionFirstMonthPosition+SwaptionNumOfMonths+1,$FN182&gt;SwaptionFirstMonthPosition+SwaptionNumOfMonths+1),"",IF($FN182=FY$169,1,IF($FN182&lt;FY$169,INDEX($FO$170:$IH$241,FY$169,$FN182),SUMPRODUCT(INDEX($FO$325:$IH$396,FY$169,1+SwaptionShift):INDEX($FO$325:$IH$396,FY$169,SwaptionMonthsToGo+SwaptionShift),INDEX($FO$245:$IH$316,$FN182-FY$169,73-FY$169+SwaptionShift):INDEX($FO$245:$IH$316,$FN182-FY$169,72-FY$169+SwaptionMonthsToGo+SwaptionShift))/SQRT(SUM(INDEX($FO337:$IH337,1+SwaptionShift):INDEX($FO337:$IH337,SwaptionMonthsToGo+SwaptionShift))*SUM(INDEX($FO$325:$IH$396,FY$169,1+SwaptionShift):INDEX($FO$325:$IH$396,FY$169,SwaptionMonthsToGo+SwaptionShift))))))</f>
        <v>0.99229826761116291</v>
      </c>
      <c r="FZ182" s="469">
        <f ca="1">IF(OR(FZ$169&lt;SwaptionFirstMonthPosition+1,$FN182&lt;SwaptionFirstMonthPosition+1,FZ$169&gt;SwaptionFirstMonthPosition+SwaptionNumOfMonths+1,$FN182&gt;SwaptionFirstMonthPosition+SwaptionNumOfMonths+1),"",IF($FN182=FZ$169,1,IF($FN182&lt;FZ$169,INDEX($FO$170:$IH$241,FZ$169,$FN182),SUMPRODUCT(INDEX($FO$325:$IH$396,FZ$169,1+SwaptionShift):INDEX($FO$325:$IH$396,FZ$169,SwaptionMonthsToGo+SwaptionShift),INDEX($FO$245:$IH$316,$FN182-FZ$169,73-FZ$169+SwaptionShift):INDEX($FO$245:$IH$316,$FN182-FZ$169,72-FZ$169+SwaptionMonthsToGo+SwaptionShift))/SQRT(SUM(INDEX($FO337:$IH337,1+SwaptionShift):INDEX($FO337:$IH337,SwaptionMonthsToGo+SwaptionShift))*SUM(INDEX($FO$325:$IH$396,FZ$169,1+SwaptionShift):INDEX($FO$325:$IH$396,FZ$169,SwaptionMonthsToGo+SwaptionShift))))))</f>
        <v>0.9964101284043938</v>
      </c>
      <c r="GA182" s="469">
        <f ca="1">IF(OR(GA$169&lt;SwaptionFirstMonthPosition+1,$FN182&lt;SwaptionFirstMonthPosition+1,GA$169&gt;SwaptionFirstMonthPosition+SwaptionNumOfMonths+1,$FN182&gt;SwaptionFirstMonthPosition+SwaptionNumOfMonths+1),"",IF($FN182=GA$169,1,IF($FN182&lt;GA$169,INDEX($FO$170:$IH$241,GA$169,$FN182),SUMPRODUCT(INDEX($FO$325:$IH$396,GA$169,1+SwaptionShift):INDEX($FO$325:$IH$396,GA$169,SwaptionMonthsToGo+SwaptionShift),INDEX($FO$245:$IH$316,$FN182-GA$169,73-GA$169+SwaptionShift):INDEX($FO$245:$IH$316,$FN182-GA$169,72-GA$169+SwaptionMonthsToGo+SwaptionShift))/SQRT(SUM(INDEX($FO337:$IH337,1+SwaptionShift):INDEX($FO337:$IH337,SwaptionMonthsToGo+SwaptionShift))*SUM(INDEX($FO$325:$IH$396,GA$169,1+SwaptionShift):INDEX($FO$325:$IH$396,GA$169,SwaptionMonthsToGo+SwaptionShift))))))</f>
        <v>1</v>
      </c>
      <c r="GB182" s="469">
        <f ca="1">IF(OR(GB$169&lt;SwaptionFirstMonthPosition+1,$FN182&lt;SwaptionFirstMonthPosition+1,GB$169&gt;SwaptionFirstMonthPosition+SwaptionNumOfMonths+1,$FN182&gt;SwaptionFirstMonthPosition+SwaptionNumOfMonths+1),"",IF($FN182=GB$169,1,IF($FN182&lt;GB$169,INDEX($FO$170:$IH$241,GB$169,$FN182),SUMPRODUCT(INDEX($FO$325:$IH$396,GB$169,1+SwaptionShift):INDEX($FO$325:$IH$396,GB$169,SwaptionMonthsToGo+SwaptionShift),INDEX($FO$245:$IH$316,$FN182-GB$169,73-GB$169+SwaptionShift):INDEX($FO$245:$IH$316,$FN182-GB$169,72-GB$169+SwaptionMonthsToGo+SwaptionShift))/SQRT(SUM(INDEX($FO337:$IH337,1+SwaptionShift):INDEX($FO337:$IH337,SwaptionMonthsToGo+SwaptionShift))*SUM(INDEX($FO$325:$IH$396,GB$169,1+SwaptionShift):INDEX($FO$325:$IH$396,GB$169,SwaptionMonthsToGo+SwaptionShift))))))</f>
        <v>0.99686183068053869</v>
      </c>
      <c r="GC182" s="469" t="str">
        <f ca="1">IF(OR(GC$169&lt;SwaptionFirstMonthPosition+1,$FN182&lt;SwaptionFirstMonthPosition+1,GC$169&gt;SwaptionFirstMonthPosition+SwaptionNumOfMonths+1,$FN182&gt;SwaptionFirstMonthPosition+SwaptionNumOfMonths+1),"",IF($FN182=GC$169,1,IF($FN182&lt;GC$169,INDEX($FO$170:$IH$241,GC$169,$FN182),SUMPRODUCT(INDEX($FO$325:$IH$396,GC$169,1+SwaptionShift):INDEX($FO$325:$IH$396,GC$169,SwaptionMonthsToGo+SwaptionShift),INDEX($FO$245:$IH$316,$FN182-GC$169,73-GC$169+SwaptionShift):INDEX($FO$245:$IH$316,$FN182-GC$169,72-GC$169+SwaptionMonthsToGo+SwaptionShift))/SQRT(SUM(INDEX($FO337:$IH337,1+SwaptionShift):INDEX($FO337:$IH337,SwaptionMonthsToGo+SwaptionShift))*SUM(INDEX($FO$325:$IH$396,GC$169,1+SwaptionShift):INDEX($FO$325:$IH$396,GC$169,SwaptionMonthsToGo+SwaptionShift))))))</f>
        <v/>
      </c>
      <c r="GD182" s="469" t="str">
        <f ca="1">IF(OR(GD$169&lt;SwaptionFirstMonthPosition+1,$FN182&lt;SwaptionFirstMonthPosition+1,GD$169&gt;SwaptionFirstMonthPosition+SwaptionNumOfMonths+1,$FN182&gt;SwaptionFirstMonthPosition+SwaptionNumOfMonths+1),"",IF($FN182=GD$169,1,IF($FN182&lt;GD$169,INDEX($FO$170:$IH$241,GD$169,$FN182),SUMPRODUCT(INDEX($FO$325:$IH$396,GD$169,1+SwaptionShift):INDEX($FO$325:$IH$396,GD$169,SwaptionMonthsToGo+SwaptionShift),INDEX($FO$245:$IH$316,$FN182-GD$169,73-GD$169+SwaptionShift):INDEX($FO$245:$IH$316,$FN182-GD$169,72-GD$169+SwaptionMonthsToGo+SwaptionShift))/SQRT(SUM(INDEX($FO337:$IH337,1+SwaptionShift):INDEX($FO337:$IH337,SwaptionMonthsToGo+SwaptionShift))*SUM(INDEX($FO$325:$IH$396,GD$169,1+SwaptionShift):INDEX($FO$325:$IH$396,GD$169,SwaptionMonthsToGo+SwaptionShift))))))</f>
        <v/>
      </c>
      <c r="GE182" s="469" t="str">
        <f ca="1">IF(OR(GE$169&lt;SwaptionFirstMonthPosition+1,$FN182&lt;SwaptionFirstMonthPosition+1,GE$169&gt;SwaptionFirstMonthPosition+SwaptionNumOfMonths+1,$FN182&gt;SwaptionFirstMonthPosition+SwaptionNumOfMonths+1),"",IF($FN182=GE$169,1,IF($FN182&lt;GE$169,INDEX($FO$170:$IH$241,GE$169,$FN182),SUMPRODUCT(INDEX($FO$325:$IH$396,GE$169,1+SwaptionShift):INDEX($FO$325:$IH$396,GE$169,SwaptionMonthsToGo+SwaptionShift),INDEX($FO$245:$IH$316,$FN182-GE$169,73-GE$169+SwaptionShift):INDEX($FO$245:$IH$316,$FN182-GE$169,72-GE$169+SwaptionMonthsToGo+SwaptionShift))/SQRT(SUM(INDEX($FO337:$IH337,1+SwaptionShift):INDEX($FO337:$IH337,SwaptionMonthsToGo+SwaptionShift))*SUM(INDEX($FO$325:$IH$396,GE$169,1+SwaptionShift):INDEX($FO$325:$IH$396,GE$169,SwaptionMonthsToGo+SwaptionShift))))))</f>
        <v/>
      </c>
      <c r="GF182" s="469" t="str">
        <f ca="1">IF(OR(GF$169&lt;SwaptionFirstMonthPosition+1,$FN182&lt;SwaptionFirstMonthPosition+1,GF$169&gt;SwaptionFirstMonthPosition+SwaptionNumOfMonths+1,$FN182&gt;SwaptionFirstMonthPosition+SwaptionNumOfMonths+1),"",IF($FN182=GF$169,1,IF($FN182&lt;GF$169,INDEX($FO$170:$IH$241,GF$169,$FN182),SUMPRODUCT(INDEX($FO$325:$IH$396,GF$169,1+SwaptionShift):INDEX($FO$325:$IH$396,GF$169,SwaptionMonthsToGo+SwaptionShift),INDEX($FO$245:$IH$316,$FN182-GF$169,73-GF$169+SwaptionShift):INDEX($FO$245:$IH$316,$FN182-GF$169,72-GF$169+SwaptionMonthsToGo+SwaptionShift))/SQRT(SUM(INDEX($FO337:$IH337,1+SwaptionShift):INDEX($FO337:$IH337,SwaptionMonthsToGo+SwaptionShift))*SUM(INDEX($FO$325:$IH$396,GF$169,1+SwaptionShift):INDEX($FO$325:$IH$396,GF$169,SwaptionMonthsToGo+SwaptionShift))))))</f>
        <v/>
      </c>
      <c r="GG182" s="469" t="str">
        <f ca="1">IF(OR(GG$169&lt;SwaptionFirstMonthPosition+1,$FN182&lt;SwaptionFirstMonthPosition+1,GG$169&gt;SwaptionFirstMonthPosition+SwaptionNumOfMonths+1,$FN182&gt;SwaptionFirstMonthPosition+SwaptionNumOfMonths+1),"",IF($FN182=GG$169,1,IF($FN182&lt;GG$169,INDEX($FO$170:$IH$241,GG$169,$FN182),SUMPRODUCT(INDEX($FO$325:$IH$396,GG$169,1+SwaptionShift):INDEX($FO$325:$IH$396,GG$169,SwaptionMonthsToGo+SwaptionShift),INDEX($FO$245:$IH$316,$FN182-GG$169,73-GG$169+SwaptionShift):INDEX($FO$245:$IH$316,$FN182-GG$169,72-GG$169+SwaptionMonthsToGo+SwaptionShift))/SQRT(SUM(INDEX($FO337:$IH337,1+SwaptionShift):INDEX($FO337:$IH337,SwaptionMonthsToGo+SwaptionShift))*SUM(INDEX($FO$325:$IH$396,GG$169,1+SwaptionShift):INDEX($FO$325:$IH$396,GG$169,SwaptionMonthsToGo+SwaptionShift))))))</f>
        <v/>
      </c>
      <c r="GH182" s="469" t="str">
        <f ca="1">IF(OR(GH$169&lt;SwaptionFirstMonthPosition+1,$FN182&lt;SwaptionFirstMonthPosition+1,GH$169&gt;SwaptionFirstMonthPosition+SwaptionNumOfMonths+1,$FN182&gt;SwaptionFirstMonthPosition+SwaptionNumOfMonths+1),"",IF($FN182=GH$169,1,IF($FN182&lt;GH$169,INDEX($FO$170:$IH$241,GH$169,$FN182),SUMPRODUCT(INDEX($FO$325:$IH$396,GH$169,1+SwaptionShift):INDEX($FO$325:$IH$396,GH$169,SwaptionMonthsToGo+SwaptionShift),INDEX($FO$245:$IH$316,$FN182-GH$169,73-GH$169+SwaptionShift):INDEX($FO$245:$IH$316,$FN182-GH$169,72-GH$169+SwaptionMonthsToGo+SwaptionShift))/SQRT(SUM(INDEX($FO337:$IH337,1+SwaptionShift):INDEX($FO337:$IH337,SwaptionMonthsToGo+SwaptionShift))*SUM(INDEX($FO$325:$IH$396,GH$169,1+SwaptionShift):INDEX($FO$325:$IH$396,GH$169,SwaptionMonthsToGo+SwaptionShift))))))</f>
        <v/>
      </c>
      <c r="GI182" s="469" t="str">
        <f ca="1">IF(OR(GI$169&lt;SwaptionFirstMonthPosition+1,$FN182&lt;SwaptionFirstMonthPosition+1,GI$169&gt;SwaptionFirstMonthPosition+SwaptionNumOfMonths+1,$FN182&gt;SwaptionFirstMonthPosition+SwaptionNumOfMonths+1),"",IF($FN182=GI$169,1,IF($FN182&lt;GI$169,INDEX($FO$170:$IH$241,GI$169,$FN182),SUMPRODUCT(INDEX($FO$325:$IH$396,GI$169,1+SwaptionShift):INDEX($FO$325:$IH$396,GI$169,SwaptionMonthsToGo+SwaptionShift),INDEX($FO$245:$IH$316,$FN182-GI$169,73-GI$169+SwaptionShift):INDEX($FO$245:$IH$316,$FN182-GI$169,72-GI$169+SwaptionMonthsToGo+SwaptionShift))/SQRT(SUM(INDEX($FO337:$IH337,1+SwaptionShift):INDEX($FO337:$IH337,SwaptionMonthsToGo+SwaptionShift))*SUM(INDEX($FO$325:$IH$396,GI$169,1+SwaptionShift):INDEX($FO$325:$IH$396,GI$169,SwaptionMonthsToGo+SwaptionShift))))))</f>
        <v/>
      </c>
      <c r="GJ182" s="469" t="str">
        <f ca="1">IF(OR(GJ$169&lt;SwaptionFirstMonthPosition+1,$FN182&lt;SwaptionFirstMonthPosition+1,GJ$169&gt;SwaptionFirstMonthPosition+SwaptionNumOfMonths+1,$FN182&gt;SwaptionFirstMonthPosition+SwaptionNumOfMonths+1),"",IF($FN182=GJ$169,1,IF($FN182&lt;GJ$169,INDEX($FO$170:$IH$241,GJ$169,$FN182),SUMPRODUCT(INDEX($FO$325:$IH$396,GJ$169,1+SwaptionShift):INDEX($FO$325:$IH$396,GJ$169,SwaptionMonthsToGo+SwaptionShift),INDEX($FO$245:$IH$316,$FN182-GJ$169,73-GJ$169+SwaptionShift):INDEX($FO$245:$IH$316,$FN182-GJ$169,72-GJ$169+SwaptionMonthsToGo+SwaptionShift))/SQRT(SUM(INDEX($FO337:$IH337,1+SwaptionShift):INDEX($FO337:$IH337,SwaptionMonthsToGo+SwaptionShift))*SUM(INDEX($FO$325:$IH$396,GJ$169,1+SwaptionShift):INDEX($FO$325:$IH$396,GJ$169,SwaptionMonthsToGo+SwaptionShift))))))</f>
        <v/>
      </c>
      <c r="GK182" s="469" t="str">
        <f ca="1">IF(OR(GK$169&lt;SwaptionFirstMonthPosition+1,$FN182&lt;SwaptionFirstMonthPosition+1,GK$169&gt;SwaptionFirstMonthPosition+SwaptionNumOfMonths+1,$FN182&gt;SwaptionFirstMonthPosition+SwaptionNumOfMonths+1),"",IF($FN182=GK$169,1,IF($FN182&lt;GK$169,INDEX($FO$170:$IH$241,GK$169,$FN182),SUMPRODUCT(INDEX($FO$325:$IH$396,GK$169,1+SwaptionShift):INDEX($FO$325:$IH$396,GK$169,SwaptionMonthsToGo+SwaptionShift),INDEX($FO$245:$IH$316,$FN182-GK$169,73-GK$169+SwaptionShift):INDEX($FO$245:$IH$316,$FN182-GK$169,72-GK$169+SwaptionMonthsToGo+SwaptionShift))/SQRT(SUM(INDEX($FO337:$IH337,1+SwaptionShift):INDEX($FO337:$IH337,SwaptionMonthsToGo+SwaptionShift))*SUM(INDEX($FO$325:$IH$396,GK$169,1+SwaptionShift):INDEX($FO$325:$IH$396,GK$169,SwaptionMonthsToGo+SwaptionShift))))))</f>
        <v/>
      </c>
      <c r="GL182" s="469" t="str">
        <f ca="1">IF(OR(GL$169&lt;SwaptionFirstMonthPosition+1,$FN182&lt;SwaptionFirstMonthPosition+1,GL$169&gt;SwaptionFirstMonthPosition+SwaptionNumOfMonths+1,$FN182&gt;SwaptionFirstMonthPosition+SwaptionNumOfMonths+1),"",IF($FN182=GL$169,1,IF($FN182&lt;GL$169,INDEX($FO$170:$IH$241,GL$169,$FN182),SUMPRODUCT(INDEX($FO$325:$IH$396,GL$169,1+SwaptionShift):INDEX($FO$325:$IH$396,GL$169,SwaptionMonthsToGo+SwaptionShift),INDEX($FO$245:$IH$316,$FN182-GL$169,73-GL$169+SwaptionShift):INDEX($FO$245:$IH$316,$FN182-GL$169,72-GL$169+SwaptionMonthsToGo+SwaptionShift))/SQRT(SUM(INDEX($FO337:$IH337,1+SwaptionShift):INDEX($FO337:$IH337,SwaptionMonthsToGo+SwaptionShift))*SUM(INDEX($FO$325:$IH$396,GL$169,1+SwaptionShift):INDEX($FO$325:$IH$396,GL$169,SwaptionMonthsToGo+SwaptionShift))))))</f>
        <v/>
      </c>
      <c r="GM182" s="469" t="str">
        <f ca="1">IF(OR(GM$169&lt;SwaptionFirstMonthPosition+1,$FN182&lt;SwaptionFirstMonthPosition+1,GM$169&gt;SwaptionFirstMonthPosition+SwaptionNumOfMonths+1,$FN182&gt;SwaptionFirstMonthPosition+SwaptionNumOfMonths+1),"",IF($FN182=GM$169,1,IF($FN182&lt;GM$169,INDEX($FO$170:$IH$241,GM$169,$FN182),SUMPRODUCT(INDEX($FO$325:$IH$396,GM$169,1+SwaptionShift):INDEX($FO$325:$IH$396,GM$169,SwaptionMonthsToGo+SwaptionShift),INDEX($FO$245:$IH$316,$FN182-GM$169,73-GM$169+SwaptionShift):INDEX($FO$245:$IH$316,$FN182-GM$169,72-GM$169+SwaptionMonthsToGo+SwaptionShift))/SQRT(SUM(INDEX($FO337:$IH337,1+SwaptionShift):INDEX($FO337:$IH337,SwaptionMonthsToGo+SwaptionShift))*SUM(INDEX($FO$325:$IH$396,GM$169,1+SwaptionShift):INDEX($FO$325:$IH$396,GM$169,SwaptionMonthsToGo+SwaptionShift))))))</f>
        <v/>
      </c>
      <c r="GN182" s="469" t="str">
        <f ca="1">IF(OR(GN$169&lt;SwaptionFirstMonthPosition+1,$FN182&lt;SwaptionFirstMonthPosition+1,GN$169&gt;SwaptionFirstMonthPosition+SwaptionNumOfMonths+1,$FN182&gt;SwaptionFirstMonthPosition+SwaptionNumOfMonths+1),"",IF($FN182=GN$169,1,IF($FN182&lt;GN$169,INDEX($FO$170:$IH$241,GN$169,$FN182),SUMPRODUCT(INDEX($FO$325:$IH$396,GN$169,1+SwaptionShift):INDEX($FO$325:$IH$396,GN$169,SwaptionMonthsToGo+SwaptionShift),INDEX($FO$245:$IH$316,$FN182-GN$169,73-GN$169+SwaptionShift):INDEX($FO$245:$IH$316,$FN182-GN$169,72-GN$169+SwaptionMonthsToGo+SwaptionShift))/SQRT(SUM(INDEX($FO337:$IH337,1+SwaptionShift):INDEX($FO337:$IH337,SwaptionMonthsToGo+SwaptionShift))*SUM(INDEX($FO$325:$IH$396,GN$169,1+SwaptionShift):INDEX($FO$325:$IH$396,GN$169,SwaptionMonthsToGo+SwaptionShift))))))</f>
        <v/>
      </c>
      <c r="GO182" s="469" t="str">
        <f ca="1">IF(OR(GO$169&lt;SwaptionFirstMonthPosition+1,$FN182&lt;SwaptionFirstMonthPosition+1,GO$169&gt;SwaptionFirstMonthPosition+SwaptionNumOfMonths+1,$FN182&gt;SwaptionFirstMonthPosition+SwaptionNumOfMonths+1),"",IF($FN182=GO$169,1,IF($FN182&lt;GO$169,INDEX($FO$170:$IH$241,GO$169,$FN182),SUMPRODUCT(INDEX($FO$325:$IH$396,GO$169,1+SwaptionShift):INDEX($FO$325:$IH$396,GO$169,SwaptionMonthsToGo+SwaptionShift),INDEX($FO$245:$IH$316,$FN182-GO$169,73-GO$169+SwaptionShift):INDEX($FO$245:$IH$316,$FN182-GO$169,72-GO$169+SwaptionMonthsToGo+SwaptionShift))/SQRT(SUM(INDEX($FO337:$IH337,1+SwaptionShift):INDEX($FO337:$IH337,SwaptionMonthsToGo+SwaptionShift))*SUM(INDEX($FO$325:$IH$396,GO$169,1+SwaptionShift):INDEX($FO$325:$IH$396,GO$169,SwaptionMonthsToGo+SwaptionShift))))))</f>
        <v/>
      </c>
      <c r="GP182" s="469" t="str">
        <f ca="1">IF(OR(GP$169&lt;SwaptionFirstMonthPosition+1,$FN182&lt;SwaptionFirstMonthPosition+1,GP$169&gt;SwaptionFirstMonthPosition+SwaptionNumOfMonths+1,$FN182&gt;SwaptionFirstMonthPosition+SwaptionNumOfMonths+1),"",IF($FN182=GP$169,1,IF($FN182&lt;GP$169,INDEX($FO$170:$IH$241,GP$169,$FN182),SUMPRODUCT(INDEX($FO$325:$IH$396,GP$169,1+SwaptionShift):INDEX($FO$325:$IH$396,GP$169,SwaptionMonthsToGo+SwaptionShift),INDEX($FO$245:$IH$316,$FN182-GP$169,73-GP$169+SwaptionShift):INDEX($FO$245:$IH$316,$FN182-GP$169,72-GP$169+SwaptionMonthsToGo+SwaptionShift))/SQRT(SUM(INDEX($FO337:$IH337,1+SwaptionShift):INDEX($FO337:$IH337,SwaptionMonthsToGo+SwaptionShift))*SUM(INDEX($FO$325:$IH$396,GP$169,1+SwaptionShift):INDEX($FO$325:$IH$396,GP$169,SwaptionMonthsToGo+SwaptionShift))))))</f>
        <v/>
      </c>
      <c r="GQ182" s="469" t="str">
        <f ca="1">IF(OR(GQ$169&lt;SwaptionFirstMonthPosition+1,$FN182&lt;SwaptionFirstMonthPosition+1,GQ$169&gt;SwaptionFirstMonthPosition+SwaptionNumOfMonths+1,$FN182&gt;SwaptionFirstMonthPosition+SwaptionNumOfMonths+1),"",IF($FN182=GQ$169,1,IF($FN182&lt;GQ$169,INDEX($FO$170:$IH$241,GQ$169,$FN182),SUMPRODUCT(INDEX($FO$325:$IH$396,GQ$169,1+SwaptionShift):INDEX($FO$325:$IH$396,GQ$169,SwaptionMonthsToGo+SwaptionShift),INDEX($FO$245:$IH$316,$FN182-GQ$169,73-GQ$169+SwaptionShift):INDEX($FO$245:$IH$316,$FN182-GQ$169,72-GQ$169+SwaptionMonthsToGo+SwaptionShift))/SQRT(SUM(INDEX($FO337:$IH337,1+SwaptionShift):INDEX($FO337:$IH337,SwaptionMonthsToGo+SwaptionShift))*SUM(INDEX($FO$325:$IH$396,GQ$169,1+SwaptionShift):INDEX($FO$325:$IH$396,GQ$169,SwaptionMonthsToGo+SwaptionShift))))))</f>
        <v/>
      </c>
      <c r="GR182" s="469" t="str">
        <f ca="1">IF(OR(GR$169&lt;SwaptionFirstMonthPosition+1,$FN182&lt;SwaptionFirstMonthPosition+1,GR$169&gt;SwaptionFirstMonthPosition+SwaptionNumOfMonths+1,$FN182&gt;SwaptionFirstMonthPosition+SwaptionNumOfMonths+1),"",IF($FN182=GR$169,1,IF($FN182&lt;GR$169,INDEX($FO$170:$IH$241,GR$169,$FN182),SUMPRODUCT(INDEX($FO$325:$IH$396,GR$169,1+SwaptionShift):INDEX($FO$325:$IH$396,GR$169,SwaptionMonthsToGo+SwaptionShift),INDEX($FO$245:$IH$316,$FN182-GR$169,73-GR$169+SwaptionShift):INDEX($FO$245:$IH$316,$FN182-GR$169,72-GR$169+SwaptionMonthsToGo+SwaptionShift))/SQRT(SUM(INDEX($FO337:$IH337,1+SwaptionShift):INDEX($FO337:$IH337,SwaptionMonthsToGo+SwaptionShift))*SUM(INDEX($FO$325:$IH$396,GR$169,1+SwaptionShift):INDEX($FO$325:$IH$396,GR$169,SwaptionMonthsToGo+SwaptionShift))))))</f>
        <v/>
      </c>
      <c r="GS182" s="469" t="str">
        <f ca="1">IF(OR(GS$169&lt;SwaptionFirstMonthPosition+1,$FN182&lt;SwaptionFirstMonthPosition+1,GS$169&gt;SwaptionFirstMonthPosition+SwaptionNumOfMonths+1,$FN182&gt;SwaptionFirstMonthPosition+SwaptionNumOfMonths+1),"",IF($FN182=GS$169,1,IF($FN182&lt;GS$169,INDEX($FO$170:$IH$241,GS$169,$FN182),SUMPRODUCT(INDEX($FO$325:$IH$396,GS$169,1+SwaptionShift):INDEX($FO$325:$IH$396,GS$169,SwaptionMonthsToGo+SwaptionShift),INDEX($FO$245:$IH$316,$FN182-GS$169,73-GS$169+SwaptionShift):INDEX($FO$245:$IH$316,$FN182-GS$169,72-GS$169+SwaptionMonthsToGo+SwaptionShift))/SQRT(SUM(INDEX($FO337:$IH337,1+SwaptionShift):INDEX($FO337:$IH337,SwaptionMonthsToGo+SwaptionShift))*SUM(INDEX($FO$325:$IH$396,GS$169,1+SwaptionShift):INDEX($FO$325:$IH$396,GS$169,SwaptionMonthsToGo+SwaptionShift))))))</f>
        <v/>
      </c>
      <c r="GT182" s="469" t="str">
        <f ca="1">IF(OR(GT$169&lt;SwaptionFirstMonthPosition+1,$FN182&lt;SwaptionFirstMonthPosition+1,GT$169&gt;SwaptionFirstMonthPosition+SwaptionNumOfMonths+1,$FN182&gt;SwaptionFirstMonthPosition+SwaptionNumOfMonths+1),"",IF($FN182=GT$169,1,IF($FN182&lt;GT$169,INDEX($FO$170:$IH$241,GT$169,$FN182),SUMPRODUCT(INDEX($FO$325:$IH$396,GT$169,1+SwaptionShift):INDEX($FO$325:$IH$396,GT$169,SwaptionMonthsToGo+SwaptionShift),INDEX($FO$245:$IH$316,$FN182-GT$169,73-GT$169+SwaptionShift):INDEX($FO$245:$IH$316,$FN182-GT$169,72-GT$169+SwaptionMonthsToGo+SwaptionShift))/SQRT(SUM(INDEX($FO337:$IH337,1+SwaptionShift):INDEX($FO337:$IH337,SwaptionMonthsToGo+SwaptionShift))*SUM(INDEX($FO$325:$IH$396,GT$169,1+SwaptionShift):INDEX($FO$325:$IH$396,GT$169,SwaptionMonthsToGo+SwaptionShift))))))</f>
        <v/>
      </c>
      <c r="GU182" s="469" t="str">
        <f ca="1">IF(OR(GU$169&lt;SwaptionFirstMonthPosition+1,$FN182&lt;SwaptionFirstMonthPosition+1,GU$169&gt;SwaptionFirstMonthPosition+SwaptionNumOfMonths+1,$FN182&gt;SwaptionFirstMonthPosition+SwaptionNumOfMonths+1),"",IF($FN182=GU$169,1,IF($FN182&lt;GU$169,INDEX($FO$170:$IH$241,GU$169,$FN182),SUMPRODUCT(INDEX($FO$325:$IH$396,GU$169,1+SwaptionShift):INDEX($FO$325:$IH$396,GU$169,SwaptionMonthsToGo+SwaptionShift),INDEX($FO$245:$IH$316,$FN182-GU$169,73-GU$169+SwaptionShift):INDEX($FO$245:$IH$316,$FN182-GU$169,72-GU$169+SwaptionMonthsToGo+SwaptionShift))/SQRT(SUM(INDEX($FO337:$IH337,1+SwaptionShift):INDEX($FO337:$IH337,SwaptionMonthsToGo+SwaptionShift))*SUM(INDEX($FO$325:$IH$396,GU$169,1+SwaptionShift):INDEX($FO$325:$IH$396,GU$169,SwaptionMonthsToGo+SwaptionShift))))))</f>
        <v/>
      </c>
      <c r="GV182" s="469" t="str">
        <f ca="1">IF(OR(GV$169&lt;SwaptionFirstMonthPosition+1,$FN182&lt;SwaptionFirstMonthPosition+1,GV$169&gt;SwaptionFirstMonthPosition+SwaptionNumOfMonths+1,$FN182&gt;SwaptionFirstMonthPosition+SwaptionNumOfMonths+1),"",IF($FN182=GV$169,1,IF($FN182&lt;GV$169,INDEX($FO$170:$IH$241,GV$169,$FN182),SUMPRODUCT(INDEX($FO$325:$IH$396,GV$169,1+SwaptionShift):INDEX($FO$325:$IH$396,GV$169,SwaptionMonthsToGo+SwaptionShift),INDEX($FO$245:$IH$316,$FN182-GV$169,73-GV$169+SwaptionShift):INDEX($FO$245:$IH$316,$FN182-GV$169,72-GV$169+SwaptionMonthsToGo+SwaptionShift))/SQRT(SUM(INDEX($FO337:$IH337,1+SwaptionShift):INDEX($FO337:$IH337,SwaptionMonthsToGo+SwaptionShift))*SUM(INDEX($FO$325:$IH$396,GV$169,1+SwaptionShift):INDEX($FO$325:$IH$396,GV$169,SwaptionMonthsToGo+SwaptionShift))))))</f>
        <v/>
      </c>
      <c r="GW182" s="469" t="str">
        <f ca="1">IF(OR(GW$169&lt;SwaptionFirstMonthPosition+1,$FN182&lt;SwaptionFirstMonthPosition+1,GW$169&gt;SwaptionFirstMonthPosition+SwaptionNumOfMonths+1,$FN182&gt;SwaptionFirstMonthPosition+SwaptionNumOfMonths+1),"",IF($FN182=GW$169,1,IF($FN182&lt;GW$169,INDEX($FO$170:$IH$241,GW$169,$FN182),SUMPRODUCT(INDEX($FO$325:$IH$396,GW$169,1+SwaptionShift):INDEX($FO$325:$IH$396,GW$169,SwaptionMonthsToGo+SwaptionShift),INDEX($FO$245:$IH$316,$FN182-GW$169,73-GW$169+SwaptionShift):INDEX($FO$245:$IH$316,$FN182-GW$169,72-GW$169+SwaptionMonthsToGo+SwaptionShift))/SQRT(SUM(INDEX($FO337:$IH337,1+SwaptionShift):INDEX($FO337:$IH337,SwaptionMonthsToGo+SwaptionShift))*SUM(INDEX($FO$325:$IH$396,GW$169,1+SwaptionShift):INDEX($FO$325:$IH$396,GW$169,SwaptionMonthsToGo+SwaptionShift))))))</f>
        <v/>
      </c>
      <c r="GX182" s="469" t="str">
        <f ca="1">IF(OR(GX$169&lt;SwaptionFirstMonthPosition+1,$FN182&lt;SwaptionFirstMonthPosition+1,GX$169&gt;SwaptionFirstMonthPosition+SwaptionNumOfMonths+1,$FN182&gt;SwaptionFirstMonthPosition+SwaptionNumOfMonths+1),"",IF($FN182=GX$169,1,IF($FN182&lt;GX$169,INDEX($FO$170:$IH$241,GX$169,$FN182),SUMPRODUCT(INDEX($FO$325:$IH$396,GX$169,1+SwaptionShift):INDEX($FO$325:$IH$396,GX$169,SwaptionMonthsToGo+SwaptionShift),INDEX($FO$245:$IH$316,$FN182-GX$169,73-GX$169+SwaptionShift):INDEX($FO$245:$IH$316,$FN182-GX$169,72-GX$169+SwaptionMonthsToGo+SwaptionShift))/SQRT(SUM(INDEX($FO337:$IH337,1+SwaptionShift):INDEX($FO337:$IH337,SwaptionMonthsToGo+SwaptionShift))*SUM(INDEX($FO$325:$IH$396,GX$169,1+SwaptionShift):INDEX($FO$325:$IH$396,GX$169,SwaptionMonthsToGo+SwaptionShift))))))</f>
        <v/>
      </c>
      <c r="GY182" s="469" t="str">
        <f ca="1">IF(OR(GY$169&lt;SwaptionFirstMonthPosition+1,$FN182&lt;SwaptionFirstMonthPosition+1,GY$169&gt;SwaptionFirstMonthPosition+SwaptionNumOfMonths+1,$FN182&gt;SwaptionFirstMonthPosition+SwaptionNumOfMonths+1),"",IF($FN182=GY$169,1,IF($FN182&lt;GY$169,INDEX($FO$170:$IH$241,GY$169,$FN182),SUMPRODUCT(INDEX($FO$325:$IH$396,GY$169,1+SwaptionShift):INDEX($FO$325:$IH$396,GY$169,SwaptionMonthsToGo+SwaptionShift),INDEX($FO$245:$IH$316,$FN182-GY$169,73-GY$169+SwaptionShift):INDEX($FO$245:$IH$316,$FN182-GY$169,72-GY$169+SwaptionMonthsToGo+SwaptionShift))/SQRT(SUM(INDEX($FO337:$IH337,1+SwaptionShift):INDEX($FO337:$IH337,SwaptionMonthsToGo+SwaptionShift))*SUM(INDEX($FO$325:$IH$396,GY$169,1+SwaptionShift):INDEX($FO$325:$IH$396,GY$169,SwaptionMonthsToGo+SwaptionShift))))))</f>
        <v/>
      </c>
      <c r="GZ182" s="469" t="str">
        <f ca="1">IF(OR(GZ$169&lt;SwaptionFirstMonthPosition+1,$FN182&lt;SwaptionFirstMonthPosition+1,GZ$169&gt;SwaptionFirstMonthPosition+SwaptionNumOfMonths+1,$FN182&gt;SwaptionFirstMonthPosition+SwaptionNumOfMonths+1),"",IF($FN182=GZ$169,1,IF($FN182&lt;GZ$169,INDEX($FO$170:$IH$241,GZ$169,$FN182),SUMPRODUCT(INDEX($FO$325:$IH$396,GZ$169,1+SwaptionShift):INDEX($FO$325:$IH$396,GZ$169,SwaptionMonthsToGo+SwaptionShift),INDEX($FO$245:$IH$316,$FN182-GZ$169,73-GZ$169+SwaptionShift):INDEX($FO$245:$IH$316,$FN182-GZ$169,72-GZ$169+SwaptionMonthsToGo+SwaptionShift))/SQRT(SUM(INDEX($FO337:$IH337,1+SwaptionShift):INDEX($FO337:$IH337,SwaptionMonthsToGo+SwaptionShift))*SUM(INDEX($FO$325:$IH$396,GZ$169,1+SwaptionShift):INDEX($FO$325:$IH$396,GZ$169,SwaptionMonthsToGo+SwaptionShift))))))</f>
        <v/>
      </c>
      <c r="HA182" s="469" t="str">
        <f ca="1">IF(OR(HA$169&lt;SwaptionFirstMonthPosition+1,$FN182&lt;SwaptionFirstMonthPosition+1,HA$169&gt;SwaptionFirstMonthPosition+SwaptionNumOfMonths+1,$FN182&gt;SwaptionFirstMonthPosition+SwaptionNumOfMonths+1),"",IF($FN182=HA$169,1,IF($FN182&lt;HA$169,INDEX($FO$170:$IH$241,HA$169,$FN182),SUMPRODUCT(INDEX($FO$325:$IH$396,HA$169,1+SwaptionShift):INDEX($FO$325:$IH$396,HA$169,SwaptionMonthsToGo+SwaptionShift),INDEX($FO$245:$IH$316,$FN182-HA$169,73-HA$169+SwaptionShift):INDEX($FO$245:$IH$316,$FN182-HA$169,72-HA$169+SwaptionMonthsToGo+SwaptionShift))/SQRT(SUM(INDEX($FO337:$IH337,1+SwaptionShift):INDEX($FO337:$IH337,SwaptionMonthsToGo+SwaptionShift))*SUM(INDEX($FO$325:$IH$396,HA$169,1+SwaptionShift):INDEX($FO$325:$IH$396,HA$169,SwaptionMonthsToGo+SwaptionShift))))))</f>
        <v/>
      </c>
      <c r="HB182" s="469" t="str">
        <f ca="1">IF(OR(HB$169&lt;SwaptionFirstMonthPosition+1,$FN182&lt;SwaptionFirstMonthPosition+1,HB$169&gt;SwaptionFirstMonthPosition+SwaptionNumOfMonths+1,$FN182&gt;SwaptionFirstMonthPosition+SwaptionNumOfMonths+1),"",IF($FN182=HB$169,1,IF($FN182&lt;HB$169,INDEX($FO$170:$IH$241,HB$169,$FN182),SUMPRODUCT(INDEX($FO$325:$IH$396,HB$169,1+SwaptionShift):INDEX($FO$325:$IH$396,HB$169,SwaptionMonthsToGo+SwaptionShift),INDEX($FO$245:$IH$316,$FN182-HB$169,73-HB$169+SwaptionShift):INDEX($FO$245:$IH$316,$FN182-HB$169,72-HB$169+SwaptionMonthsToGo+SwaptionShift))/SQRT(SUM(INDEX($FO337:$IH337,1+SwaptionShift):INDEX($FO337:$IH337,SwaptionMonthsToGo+SwaptionShift))*SUM(INDEX($FO$325:$IH$396,HB$169,1+SwaptionShift):INDEX($FO$325:$IH$396,HB$169,SwaptionMonthsToGo+SwaptionShift))))))</f>
        <v/>
      </c>
      <c r="HC182" s="469" t="str">
        <f ca="1">IF(OR(HC$169&lt;SwaptionFirstMonthPosition+1,$FN182&lt;SwaptionFirstMonthPosition+1,HC$169&gt;SwaptionFirstMonthPosition+SwaptionNumOfMonths+1,$FN182&gt;SwaptionFirstMonthPosition+SwaptionNumOfMonths+1),"",IF($FN182=HC$169,1,IF($FN182&lt;HC$169,INDEX($FO$170:$IH$241,HC$169,$FN182),SUMPRODUCT(INDEX($FO$325:$IH$396,HC$169,1+SwaptionShift):INDEX($FO$325:$IH$396,HC$169,SwaptionMonthsToGo+SwaptionShift),INDEX($FO$245:$IH$316,$FN182-HC$169,73-HC$169+SwaptionShift):INDEX($FO$245:$IH$316,$FN182-HC$169,72-HC$169+SwaptionMonthsToGo+SwaptionShift))/SQRT(SUM(INDEX($FO337:$IH337,1+SwaptionShift):INDEX($FO337:$IH337,SwaptionMonthsToGo+SwaptionShift))*SUM(INDEX($FO$325:$IH$396,HC$169,1+SwaptionShift):INDEX($FO$325:$IH$396,HC$169,SwaptionMonthsToGo+SwaptionShift))))))</f>
        <v/>
      </c>
      <c r="HD182" s="469" t="str">
        <f ca="1">IF(OR(HD$169&lt;SwaptionFirstMonthPosition+1,$FN182&lt;SwaptionFirstMonthPosition+1,HD$169&gt;SwaptionFirstMonthPosition+SwaptionNumOfMonths+1,$FN182&gt;SwaptionFirstMonthPosition+SwaptionNumOfMonths+1),"",IF($FN182=HD$169,1,IF($FN182&lt;HD$169,INDEX($FO$170:$IH$241,HD$169,$FN182),SUMPRODUCT(INDEX($FO$325:$IH$396,HD$169,1+SwaptionShift):INDEX($FO$325:$IH$396,HD$169,SwaptionMonthsToGo+SwaptionShift),INDEX($FO$245:$IH$316,$FN182-HD$169,73-HD$169+SwaptionShift):INDEX($FO$245:$IH$316,$FN182-HD$169,72-HD$169+SwaptionMonthsToGo+SwaptionShift))/SQRT(SUM(INDEX($FO337:$IH337,1+SwaptionShift):INDEX($FO337:$IH337,SwaptionMonthsToGo+SwaptionShift))*SUM(INDEX($FO$325:$IH$396,HD$169,1+SwaptionShift):INDEX($FO$325:$IH$396,HD$169,SwaptionMonthsToGo+SwaptionShift))))))</f>
        <v/>
      </c>
      <c r="HE182" s="469" t="str">
        <f ca="1">IF(OR(HE$169&lt;SwaptionFirstMonthPosition+1,$FN182&lt;SwaptionFirstMonthPosition+1,HE$169&gt;SwaptionFirstMonthPosition+SwaptionNumOfMonths+1,$FN182&gt;SwaptionFirstMonthPosition+SwaptionNumOfMonths+1),"",IF($FN182=HE$169,1,IF($FN182&lt;HE$169,INDEX($FO$170:$IH$241,HE$169,$FN182),SUMPRODUCT(INDEX($FO$325:$IH$396,HE$169,1+SwaptionShift):INDEX($FO$325:$IH$396,HE$169,SwaptionMonthsToGo+SwaptionShift),INDEX($FO$245:$IH$316,$FN182-HE$169,73-HE$169+SwaptionShift):INDEX($FO$245:$IH$316,$FN182-HE$169,72-HE$169+SwaptionMonthsToGo+SwaptionShift))/SQRT(SUM(INDEX($FO337:$IH337,1+SwaptionShift):INDEX($FO337:$IH337,SwaptionMonthsToGo+SwaptionShift))*SUM(INDEX($FO$325:$IH$396,HE$169,1+SwaptionShift):INDEX($FO$325:$IH$396,HE$169,SwaptionMonthsToGo+SwaptionShift))))))</f>
        <v/>
      </c>
      <c r="HF182" s="469" t="str">
        <f ca="1">IF(OR(HF$169&lt;SwaptionFirstMonthPosition+1,$FN182&lt;SwaptionFirstMonthPosition+1,HF$169&gt;SwaptionFirstMonthPosition+SwaptionNumOfMonths+1,$FN182&gt;SwaptionFirstMonthPosition+SwaptionNumOfMonths+1),"",IF($FN182=HF$169,1,IF($FN182&lt;HF$169,INDEX($FO$170:$IH$241,HF$169,$FN182),SUMPRODUCT(INDEX($FO$325:$IH$396,HF$169,1+SwaptionShift):INDEX($FO$325:$IH$396,HF$169,SwaptionMonthsToGo+SwaptionShift),INDEX($FO$245:$IH$316,$FN182-HF$169,73-HF$169+SwaptionShift):INDEX($FO$245:$IH$316,$FN182-HF$169,72-HF$169+SwaptionMonthsToGo+SwaptionShift))/SQRT(SUM(INDEX($FO337:$IH337,1+SwaptionShift):INDEX($FO337:$IH337,SwaptionMonthsToGo+SwaptionShift))*SUM(INDEX($FO$325:$IH$396,HF$169,1+SwaptionShift):INDEX($FO$325:$IH$396,HF$169,SwaptionMonthsToGo+SwaptionShift))))))</f>
        <v/>
      </c>
      <c r="HG182" s="469" t="str">
        <f ca="1">IF(OR(HG$169&lt;SwaptionFirstMonthPosition+1,$FN182&lt;SwaptionFirstMonthPosition+1,HG$169&gt;SwaptionFirstMonthPosition+SwaptionNumOfMonths+1,$FN182&gt;SwaptionFirstMonthPosition+SwaptionNumOfMonths+1),"",IF($FN182=HG$169,1,IF($FN182&lt;HG$169,INDEX($FO$170:$IH$241,HG$169,$FN182),SUMPRODUCT(INDEX($FO$325:$IH$396,HG$169,1+SwaptionShift):INDEX($FO$325:$IH$396,HG$169,SwaptionMonthsToGo+SwaptionShift),INDEX($FO$245:$IH$316,$FN182-HG$169,73-HG$169+SwaptionShift):INDEX($FO$245:$IH$316,$FN182-HG$169,72-HG$169+SwaptionMonthsToGo+SwaptionShift))/SQRT(SUM(INDEX($FO337:$IH337,1+SwaptionShift):INDEX($FO337:$IH337,SwaptionMonthsToGo+SwaptionShift))*SUM(INDEX($FO$325:$IH$396,HG$169,1+SwaptionShift):INDEX($FO$325:$IH$396,HG$169,SwaptionMonthsToGo+SwaptionShift))))))</f>
        <v/>
      </c>
      <c r="HH182" s="469" t="str">
        <f ca="1">IF(OR(HH$169&lt;SwaptionFirstMonthPosition+1,$FN182&lt;SwaptionFirstMonthPosition+1,HH$169&gt;SwaptionFirstMonthPosition+SwaptionNumOfMonths+1,$FN182&gt;SwaptionFirstMonthPosition+SwaptionNumOfMonths+1),"",IF($FN182=HH$169,1,IF($FN182&lt;HH$169,INDEX($FO$170:$IH$241,HH$169,$FN182),SUMPRODUCT(INDEX($FO$325:$IH$396,HH$169,1+SwaptionShift):INDEX($FO$325:$IH$396,HH$169,SwaptionMonthsToGo+SwaptionShift),INDEX($FO$245:$IH$316,$FN182-HH$169,73-HH$169+SwaptionShift):INDEX($FO$245:$IH$316,$FN182-HH$169,72-HH$169+SwaptionMonthsToGo+SwaptionShift))/SQRT(SUM(INDEX($FO337:$IH337,1+SwaptionShift):INDEX($FO337:$IH337,SwaptionMonthsToGo+SwaptionShift))*SUM(INDEX($FO$325:$IH$396,HH$169,1+SwaptionShift):INDEX($FO$325:$IH$396,HH$169,SwaptionMonthsToGo+SwaptionShift))))))</f>
        <v/>
      </c>
      <c r="HI182" s="469" t="str">
        <f ca="1">IF(OR(HI$169&lt;SwaptionFirstMonthPosition+1,$FN182&lt;SwaptionFirstMonthPosition+1,HI$169&gt;SwaptionFirstMonthPosition+SwaptionNumOfMonths+1,$FN182&gt;SwaptionFirstMonthPosition+SwaptionNumOfMonths+1),"",IF($FN182=HI$169,1,IF($FN182&lt;HI$169,INDEX($FO$170:$IH$241,HI$169,$FN182),SUMPRODUCT(INDEX($FO$325:$IH$396,HI$169,1+SwaptionShift):INDEX($FO$325:$IH$396,HI$169,SwaptionMonthsToGo+SwaptionShift),INDEX($FO$245:$IH$316,$FN182-HI$169,73-HI$169+SwaptionShift):INDEX($FO$245:$IH$316,$FN182-HI$169,72-HI$169+SwaptionMonthsToGo+SwaptionShift))/SQRT(SUM(INDEX($FO337:$IH337,1+SwaptionShift):INDEX($FO337:$IH337,SwaptionMonthsToGo+SwaptionShift))*SUM(INDEX($FO$325:$IH$396,HI$169,1+SwaptionShift):INDEX($FO$325:$IH$396,HI$169,SwaptionMonthsToGo+SwaptionShift))))))</f>
        <v/>
      </c>
      <c r="HJ182" s="469" t="str">
        <f ca="1">IF(OR(HJ$169&lt;SwaptionFirstMonthPosition+1,$FN182&lt;SwaptionFirstMonthPosition+1,HJ$169&gt;SwaptionFirstMonthPosition+SwaptionNumOfMonths+1,$FN182&gt;SwaptionFirstMonthPosition+SwaptionNumOfMonths+1),"",IF($FN182=HJ$169,1,IF($FN182&lt;HJ$169,INDEX($FO$170:$IH$241,HJ$169,$FN182),SUMPRODUCT(INDEX($FO$325:$IH$396,HJ$169,1+SwaptionShift):INDEX($FO$325:$IH$396,HJ$169,SwaptionMonthsToGo+SwaptionShift),INDEX($FO$245:$IH$316,$FN182-HJ$169,73-HJ$169+SwaptionShift):INDEX($FO$245:$IH$316,$FN182-HJ$169,72-HJ$169+SwaptionMonthsToGo+SwaptionShift))/SQRT(SUM(INDEX($FO337:$IH337,1+SwaptionShift):INDEX($FO337:$IH337,SwaptionMonthsToGo+SwaptionShift))*SUM(INDEX($FO$325:$IH$396,HJ$169,1+SwaptionShift):INDEX($FO$325:$IH$396,HJ$169,SwaptionMonthsToGo+SwaptionShift))))))</f>
        <v/>
      </c>
      <c r="HK182" s="469" t="str">
        <f ca="1">IF(OR(HK$169&lt;SwaptionFirstMonthPosition+1,$FN182&lt;SwaptionFirstMonthPosition+1,HK$169&gt;SwaptionFirstMonthPosition+SwaptionNumOfMonths+1,$FN182&gt;SwaptionFirstMonthPosition+SwaptionNumOfMonths+1),"",IF($FN182=HK$169,1,IF($FN182&lt;HK$169,INDEX($FO$170:$IH$241,HK$169,$FN182),SUMPRODUCT(INDEX($FO$325:$IH$396,HK$169,1+SwaptionShift):INDEX($FO$325:$IH$396,HK$169,SwaptionMonthsToGo+SwaptionShift),INDEX($FO$245:$IH$316,$FN182-HK$169,73-HK$169+SwaptionShift):INDEX($FO$245:$IH$316,$FN182-HK$169,72-HK$169+SwaptionMonthsToGo+SwaptionShift))/SQRT(SUM(INDEX($FO337:$IH337,1+SwaptionShift):INDEX($FO337:$IH337,SwaptionMonthsToGo+SwaptionShift))*SUM(INDEX($FO$325:$IH$396,HK$169,1+SwaptionShift):INDEX($FO$325:$IH$396,HK$169,SwaptionMonthsToGo+SwaptionShift))))))</f>
        <v/>
      </c>
      <c r="HL182" s="469" t="str">
        <f ca="1">IF(OR(HL$169&lt;SwaptionFirstMonthPosition+1,$FN182&lt;SwaptionFirstMonthPosition+1,HL$169&gt;SwaptionFirstMonthPosition+SwaptionNumOfMonths+1,$FN182&gt;SwaptionFirstMonthPosition+SwaptionNumOfMonths+1),"",IF($FN182=HL$169,1,IF($FN182&lt;HL$169,INDEX($FO$170:$IH$241,HL$169,$FN182),SUMPRODUCT(INDEX($FO$325:$IH$396,HL$169,1+SwaptionShift):INDEX($FO$325:$IH$396,HL$169,SwaptionMonthsToGo+SwaptionShift),INDEX($FO$245:$IH$316,$FN182-HL$169,73-HL$169+SwaptionShift):INDEX($FO$245:$IH$316,$FN182-HL$169,72-HL$169+SwaptionMonthsToGo+SwaptionShift))/SQRT(SUM(INDEX($FO337:$IH337,1+SwaptionShift):INDEX($FO337:$IH337,SwaptionMonthsToGo+SwaptionShift))*SUM(INDEX($FO$325:$IH$396,HL$169,1+SwaptionShift):INDEX($FO$325:$IH$396,HL$169,SwaptionMonthsToGo+SwaptionShift))))))</f>
        <v/>
      </c>
      <c r="HM182" s="469" t="str">
        <f ca="1">IF(OR(HM$169&lt;SwaptionFirstMonthPosition+1,$FN182&lt;SwaptionFirstMonthPosition+1,HM$169&gt;SwaptionFirstMonthPosition+SwaptionNumOfMonths+1,$FN182&gt;SwaptionFirstMonthPosition+SwaptionNumOfMonths+1),"",IF($FN182=HM$169,1,IF($FN182&lt;HM$169,INDEX($FO$170:$IH$241,HM$169,$FN182),SUMPRODUCT(INDEX($FO$325:$IH$396,HM$169,1+SwaptionShift):INDEX($FO$325:$IH$396,HM$169,SwaptionMonthsToGo+SwaptionShift),INDEX($FO$245:$IH$316,$FN182-HM$169,73-HM$169+SwaptionShift):INDEX($FO$245:$IH$316,$FN182-HM$169,72-HM$169+SwaptionMonthsToGo+SwaptionShift))/SQRT(SUM(INDEX($FO337:$IH337,1+SwaptionShift):INDEX($FO337:$IH337,SwaptionMonthsToGo+SwaptionShift))*SUM(INDEX($FO$325:$IH$396,HM$169,1+SwaptionShift):INDEX($FO$325:$IH$396,HM$169,SwaptionMonthsToGo+SwaptionShift))))))</f>
        <v/>
      </c>
      <c r="HN182" s="469" t="str">
        <f ca="1">IF(OR(HN$169&lt;SwaptionFirstMonthPosition+1,$FN182&lt;SwaptionFirstMonthPosition+1,HN$169&gt;SwaptionFirstMonthPosition+SwaptionNumOfMonths+1,$FN182&gt;SwaptionFirstMonthPosition+SwaptionNumOfMonths+1),"",IF($FN182=HN$169,1,IF($FN182&lt;HN$169,INDEX($FO$170:$IH$241,HN$169,$FN182),SUMPRODUCT(INDEX($FO$325:$IH$396,HN$169,1+SwaptionShift):INDEX($FO$325:$IH$396,HN$169,SwaptionMonthsToGo+SwaptionShift),INDEX($FO$245:$IH$316,$FN182-HN$169,73-HN$169+SwaptionShift):INDEX($FO$245:$IH$316,$FN182-HN$169,72-HN$169+SwaptionMonthsToGo+SwaptionShift))/SQRT(SUM(INDEX($FO337:$IH337,1+SwaptionShift):INDEX($FO337:$IH337,SwaptionMonthsToGo+SwaptionShift))*SUM(INDEX($FO$325:$IH$396,HN$169,1+SwaptionShift):INDEX($FO$325:$IH$396,HN$169,SwaptionMonthsToGo+SwaptionShift))))))</f>
        <v/>
      </c>
      <c r="HO182" s="469" t="str">
        <f ca="1">IF(OR(HO$169&lt;SwaptionFirstMonthPosition+1,$FN182&lt;SwaptionFirstMonthPosition+1,HO$169&gt;SwaptionFirstMonthPosition+SwaptionNumOfMonths+1,$FN182&gt;SwaptionFirstMonthPosition+SwaptionNumOfMonths+1),"",IF($FN182=HO$169,1,IF($FN182&lt;HO$169,INDEX($FO$170:$IH$241,HO$169,$FN182),SUMPRODUCT(INDEX($FO$325:$IH$396,HO$169,1+SwaptionShift):INDEX($FO$325:$IH$396,HO$169,SwaptionMonthsToGo+SwaptionShift),INDEX($FO$245:$IH$316,$FN182-HO$169,73-HO$169+SwaptionShift):INDEX($FO$245:$IH$316,$FN182-HO$169,72-HO$169+SwaptionMonthsToGo+SwaptionShift))/SQRT(SUM(INDEX($FO337:$IH337,1+SwaptionShift):INDEX($FO337:$IH337,SwaptionMonthsToGo+SwaptionShift))*SUM(INDEX($FO$325:$IH$396,HO$169,1+SwaptionShift):INDEX($FO$325:$IH$396,HO$169,SwaptionMonthsToGo+SwaptionShift))))))</f>
        <v/>
      </c>
      <c r="HP182" s="469" t="str">
        <f ca="1">IF(OR(HP$169&lt;SwaptionFirstMonthPosition+1,$FN182&lt;SwaptionFirstMonthPosition+1,HP$169&gt;SwaptionFirstMonthPosition+SwaptionNumOfMonths+1,$FN182&gt;SwaptionFirstMonthPosition+SwaptionNumOfMonths+1),"",IF($FN182=HP$169,1,IF($FN182&lt;HP$169,INDEX($FO$170:$IH$241,HP$169,$FN182),SUMPRODUCT(INDEX($FO$325:$IH$396,HP$169,1+SwaptionShift):INDEX($FO$325:$IH$396,HP$169,SwaptionMonthsToGo+SwaptionShift),INDEX($FO$245:$IH$316,$FN182-HP$169,73-HP$169+SwaptionShift):INDEX($FO$245:$IH$316,$FN182-HP$169,72-HP$169+SwaptionMonthsToGo+SwaptionShift))/SQRT(SUM(INDEX($FO337:$IH337,1+SwaptionShift):INDEX($FO337:$IH337,SwaptionMonthsToGo+SwaptionShift))*SUM(INDEX($FO$325:$IH$396,HP$169,1+SwaptionShift):INDEX($FO$325:$IH$396,HP$169,SwaptionMonthsToGo+SwaptionShift))))))</f>
        <v/>
      </c>
      <c r="HQ182" s="469" t="str">
        <f ca="1">IF(OR(HQ$169&lt;SwaptionFirstMonthPosition+1,$FN182&lt;SwaptionFirstMonthPosition+1,HQ$169&gt;SwaptionFirstMonthPosition+SwaptionNumOfMonths+1,$FN182&gt;SwaptionFirstMonthPosition+SwaptionNumOfMonths+1),"",IF($FN182=HQ$169,1,IF($FN182&lt;HQ$169,INDEX($FO$170:$IH$241,HQ$169,$FN182),SUMPRODUCT(INDEX($FO$325:$IH$396,HQ$169,1+SwaptionShift):INDEX($FO$325:$IH$396,HQ$169,SwaptionMonthsToGo+SwaptionShift),INDEX($FO$245:$IH$316,$FN182-HQ$169,73-HQ$169+SwaptionShift):INDEX($FO$245:$IH$316,$FN182-HQ$169,72-HQ$169+SwaptionMonthsToGo+SwaptionShift))/SQRT(SUM(INDEX($FO337:$IH337,1+SwaptionShift):INDEX($FO337:$IH337,SwaptionMonthsToGo+SwaptionShift))*SUM(INDEX($FO$325:$IH$396,HQ$169,1+SwaptionShift):INDEX($FO$325:$IH$396,HQ$169,SwaptionMonthsToGo+SwaptionShift))))))</f>
        <v/>
      </c>
      <c r="HR182" s="469" t="str">
        <f ca="1">IF(OR(HR$169&lt;SwaptionFirstMonthPosition+1,$FN182&lt;SwaptionFirstMonthPosition+1,HR$169&gt;SwaptionFirstMonthPosition+SwaptionNumOfMonths+1,$FN182&gt;SwaptionFirstMonthPosition+SwaptionNumOfMonths+1),"",IF($FN182=HR$169,1,IF($FN182&lt;HR$169,INDEX($FO$170:$IH$241,HR$169,$FN182),SUMPRODUCT(INDEX($FO$325:$IH$396,HR$169,1+SwaptionShift):INDEX($FO$325:$IH$396,HR$169,SwaptionMonthsToGo+SwaptionShift),INDEX($FO$245:$IH$316,$FN182-HR$169,73-HR$169+SwaptionShift):INDEX($FO$245:$IH$316,$FN182-HR$169,72-HR$169+SwaptionMonthsToGo+SwaptionShift))/SQRT(SUM(INDEX($FO337:$IH337,1+SwaptionShift):INDEX($FO337:$IH337,SwaptionMonthsToGo+SwaptionShift))*SUM(INDEX($FO$325:$IH$396,HR$169,1+SwaptionShift):INDEX($FO$325:$IH$396,HR$169,SwaptionMonthsToGo+SwaptionShift))))))</f>
        <v/>
      </c>
      <c r="HS182" s="469" t="str">
        <f ca="1">IF(OR(HS$169&lt;SwaptionFirstMonthPosition+1,$FN182&lt;SwaptionFirstMonthPosition+1,HS$169&gt;SwaptionFirstMonthPosition+SwaptionNumOfMonths+1,$FN182&gt;SwaptionFirstMonthPosition+SwaptionNumOfMonths+1),"",IF($FN182=HS$169,1,IF($FN182&lt;HS$169,INDEX($FO$170:$IH$241,HS$169,$FN182),SUMPRODUCT(INDEX($FO$325:$IH$396,HS$169,1+SwaptionShift):INDEX($FO$325:$IH$396,HS$169,SwaptionMonthsToGo+SwaptionShift),INDEX($FO$245:$IH$316,$FN182-HS$169,73-HS$169+SwaptionShift):INDEX($FO$245:$IH$316,$FN182-HS$169,72-HS$169+SwaptionMonthsToGo+SwaptionShift))/SQRT(SUM(INDEX($FO337:$IH337,1+SwaptionShift):INDEX($FO337:$IH337,SwaptionMonthsToGo+SwaptionShift))*SUM(INDEX($FO$325:$IH$396,HS$169,1+SwaptionShift):INDEX($FO$325:$IH$396,HS$169,SwaptionMonthsToGo+SwaptionShift))))))</f>
        <v/>
      </c>
      <c r="HT182" s="469" t="str">
        <f ca="1">IF(OR(HT$169&lt;SwaptionFirstMonthPosition+1,$FN182&lt;SwaptionFirstMonthPosition+1,HT$169&gt;SwaptionFirstMonthPosition+SwaptionNumOfMonths+1,$FN182&gt;SwaptionFirstMonthPosition+SwaptionNumOfMonths+1),"",IF($FN182=HT$169,1,IF($FN182&lt;HT$169,INDEX($FO$170:$IH$241,HT$169,$FN182),SUMPRODUCT(INDEX($FO$325:$IH$396,HT$169,1+SwaptionShift):INDEX($FO$325:$IH$396,HT$169,SwaptionMonthsToGo+SwaptionShift),INDEX($FO$245:$IH$316,$FN182-HT$169,73-HT$169+SwaptionShift):INDEX($FO$245:$IH$316,$FN182-HT$169,72-HT$169+SwaptionMonthsToGo+SwaptionShift))/SQRT(SUM(INDEX($FO337:$IH337,1+SwaptionShift):INDEX($FO337:$IH337,SwaptionMonthsToGo+SwaptionShift))*SUM(INDEX($FO$325:$IH$396,HT$169,1+SwaptionShift):INDEX($FO$325:$IH$396,HT$169,SwaptionMonthsToGo+SwaptionShift))))))</f>
        <v/>
      </c>
      <c r="HU182" s="469" t="str">
        <f ca="1">IF(OR(HU$169&lt;SwaptionFirstMonthPosition+1,$FN182&lt;SwaptionFirstMonthPosition+1,HU$169&gt;SwaptionFirstMonthPosition+SwaptionNumOfMonths+1,$FN182&gt;SwaptionFirstMonthPosition+SwaptionNumOfMonths+1),"",IF($FN182=HU$169,1,IF($FN182&lt;HU$169,INDEX($FO$170:$IH$241,HU$169,$FN182),SUMPRODUCT(INDEX($FO$325:$IH$396,HU$169,1+SwaptionShift):INDEX($FO$325:$IH$396,HU$169,SwaptionMonthsToGo+SwaptionShift),INDEX($FO$245:$IH$316,$FN182-HU$169,73-HU$169+SwaptionShift):INDEX($FO$245:$IH$316,$FN182-HU$169,72-HU$169+SwaptionMonthsToGo+SwaptionShift))/SQRT(SUM(INDEX($FO337:$IH337,1+SwaptionShift):INDEX($FO337:$IH337,SwaptionMonthsToGo+SwaptionShift))*SUM(INDEX($FO$325:$IH$396,HU$169,1+SwaptionShift):INDEX($FO$325:$IH$396,HU$169,SwaptionMonthsToGo+SwaptionShift))))))</f>
        <v/>
      </c>
      <c r="HV182" s="469" t="str">
        <f ca="1">IF(OR(HV$169&lt;SwaptionFirstMonthPosition+1,$FN182&lt;SwaptionFirstMonthPosition+1,HV$169&gt;SwaptionFirstMonthPosition+SwaptionNumOfMonths+1,$FN182&gt;SwaptionFirstMonthPosition+SwaptionNumOfMonths+1),"",IF($FN182=HV$169,1,IF($FN182&lt;HV$169,INDEX($FO$170:$IH$241,HV$169,$FN182),SUMPRODUCT(INDEX($FO$325:$IH$396,HV$169,1+SwaptionShift):INDEX($FO$325:$IH$396,HV$169,SwaptionMonthsToGo+SwaptionShift),INDEX($FO$245:$IH$316,$FN182-HV$169,73-HV$169+SwaptionShift):INDEX($FO$245:$IH$316,$FN182-HV$169,72-HV$169+SwaptionMonthsToGo+SwaptionShift))/SQRT(SUM(INDEX($FO337:$IH337,1+SwaptionShift):INDEX($FO337:$IH337,SwaptionMonthsToGo+SwaptionShift))*SUM(INDEX($FO$325:$IH$396,HV$169,1+SwaptionShift):INDEX($FO$325:$IH$396,HV$169,SwaptionMonthsToGo+SwaptionShift))))))</f>
        <v/>
      </c>
      <c r="HW182" s="469" t="str">
        <f ca="1">IF(OR(HW$169&lt;SwaptionFirstMonthPosition+1,$FN182&lt;SwaptionFirstMonthPosition+1,HW$169&gt;SwaptionFirstMonthPosition+SwaptionNumOfMonths+1,$FN182&gt;SwaptionFirstMonthPosition+SwaptionNumOfMonths+1),"",IF($FN182=HW$169,1,IF($FN182&lt;HW$169,INDEX($FO$170:$IH$241,HW$169,$FN182),SUMPRODUCT(INDEX($FO$325:$IH$396,HW$169,1+SwaptionShift):INDEX($FO$325:$IH$396,HW$169,SwaptionMonthsToGo+SwaptionShift),INDEX($FO$245:$IH$316,$FN182-HW$169,73-HW$169+SwaptionShift):INDEX($FO$245:$IH$316,$FN182-HW$169,72-HW$169+SwaptionMonthsToGo+SwaptionShift))/SQRT(SUM(INDEX($FO337:$IH337,1+SwaptionShift):INDEX($FO337:$IH337,SwaptionMonthsToGo+SwaptionShift))*SUM(INDEX($FO$325:$IH$396,HW$169,1+SwaptionShift):INDEX($FO$325:$IH$396,HW$169,SwaptionMonthsToGo+SwaptionShift))))))</f>
        <v/>
      </c>
      <c r="HX182" s="469" t="str">
        <f ca="1">IF(OR(HX$169&lt;SwaptionFirstMonthPosition+1,$FN182&lt;SwaptionFirstMonthPosition+1,HX$169&gt;SwaptionFirstMonthPosition+SwaptionNumOfMonths+1,$FN182&gt;SwaptionFirstMonthPosition+SwaptionNumOfMonths+1),"",IF($FN182=HX$169,1,IF($FN182&lt;HX$169,INDEX($FO$170:$IH$241,HX$169,$FN182),SUMPRODUCT(INDEX($FO$325:$IH$396,HX$169,1+SwaptionShift):INDEX($FO$325:$IH$396,HX$169,SwaptionMonthsToGo+SwaptionShift),INDEX($FO$245:$IH$316,$FN182-HX$169,73-HX$169+SwaptionShift):INDEX($FO$245:$IH$316,$FN182-HX$169,72-HX$169+SwaptionMonthsToGo+SwaptionShift))/SQRT(SUM(INDEX($FO337:$IH337,1+SwaptionShift):INDEX($FO337:$IH337,SwaptionMonthsToGo+SwaptionShift))*SUM(INDEX($FO$325:$IH$396,HX$169,1+SwaptionShift):INDEX($FO$325:$IH$396,HX$169,SwaptionMonthsToGo+SwaptionShift))))))</f>
        <v/>
      </c>
      <c r="HY182" s="469" t="str">
        <f ca="1">IF(OR(HY$169&lt;SwaptionFirstMonthPosition+1,$FN182&lt;SwaptionFirstMonthPosition+1,HY$169&gt;SwaptionFirstMonthPosition+SwaptionNumOfMonths+1,$FN182&gt;SwaptionFirstMonthPosition+SwaptionNumOfMonths+1),"",IF($FN182=HY$169,1,IF($FN182&lt;HY$169,INDEX($FO$170:$IH$241,HY$169,$FN182),SUMPRODUCT(INDEX($FO$325:$IH$396,HY$169,1+SwaptionShift):INDEX($FO$325:$IH$396,HY$169,SwaptionMonthsToGo+SwaptionShift),INDEX($FO$245:$IH$316,$FN182-HY$169,73-HY$169+SwaptionShift):INDEX($FO$245:$IH$316,$FN182-HY$169,72-HY$169+SwaptionMonthsToGo+SwaptionShift))/SQRT(SUM(INDEX($FO337:$IH337,1+SwaptionShift):INDEX($FO337:$IH337,SwaptionMonthsToGo+SwaptionShift))*SUM(INDEX($FO$325:$IH$396,HY$169,1+SwaptionShift):INDEX($FO$325:$IH$396,HY$169,SwaptionMonthsToGo+SwaptionShift))))))</f>
        <v/>
      </c>
      <c r="HZ182" s="469" t="str">
        <f ca="1">IF(OR(HZ$169&lt;SwaptionFirstMonthPosition+1,$FN182&lt;SwaptionFirstMonthPosition+1,HZ$169&gt;SwaptionFirstMonthPosition+SwaptionNumOfMonths+1,$FN182&gt;SwaptionFirstMonthPosition+SwaptionNumOfMonths+1),"",IF($FN182=HZ$169,1,IF($FN182&lt;HZ$169,INDEX($FO$170:$IH$241,HZ$169,$FN182),SUMPRODUCT(INDEX($FO$325:$IH$396,HZ$169,1+SwaptionShift):INDEX($FO$325:$IH$396,HZ$169,SwaptionMonthsToGo+SwaptionShift),INDEX($FO$245:$IH$316,$FN182-HZ$169,73-HZ$169+SwaptionShift):INDEX($FO$245:$IH$316,$FN182-HZ$169,72-HZ$169+SwaptionMonthsToGo+SwaptionShift))/SQRT(SUM(INDEX($FO337:$IH337,1+SwaptionShift):INDEX($FO337:$IH337,SwaptionMonthsToGo+SwaptionShift))*SUM(INDEX($FO$325:$IH$396,HZ$169,1+SwaptionShift):INDEX($FO$325:$IH$396,HZ$169,SwaptionMonthsToGo+SwaptionShift))))))</f>
        <v/>
      </c>
      <c r="IA182" s="469" t="str">
        <f ca="1">IF(OR(IA$169&lt;SwaptionFirstMonthPosition+1,$FN182&lt;SwaptionFirstMonthPosition+1,IA$169&gt;SwaptionFirstMonthPosition+SwaptionNumOfMonths+1,$FN182&gt;SwaptionFirstMonthPosition+SwaptionNumOfMonths+1),"",IF($FN182=IA$169,1,IF($FN182&lt;IA$169,INDEX($FO$170:$IH$241,IA$169,$FN182),SUMPRODUCT(INDEX($FO$325:$IH$396,IA$169,1+SwaptionShift):INDEX($FO$325:$IH$396,IA$169,SwaptionMonthsToGo+SwaptionShift),INDEX($FO$245:$IH$316,$FN182-IA$169,73-IA$169+SwaptionShift):INDEX($FO$245:$IH$316,$FN182-IA$169,72-IA$169+SwaptionMonthsToGo+SwaptionShift))/SQRT(SUM(INDEX($FO337:$IH337,1+SwaptionShift):INDEX($FO337:$IH337,SwaptionMonthsToGo+SwaptionShift))*SUM(INDEX($FO$325:$IH$396,IA$169,1+SwaptionShift):INDEX($FO$325:$IH$396,IA$169,SwaptionMonthsToGo+SwaptionShift))))))</f>
        <v/>
      </c>
      <c r="IB182" s="469" t="str">
        <f ca="1">IF(OR(IB$169&lt;SwaptionFirstMonthPosition+1,$FN182&lt;SwaptionFirstMonthPosition+1,IB$169&gt;SwaptionFirstMonthPosition+SwaptionNumOfMonths+1,$FN182&gt;SwaptionFirstMonthPosition+SwaptionNumOfMonths+1),"",IF($FN182=IB$169,1,IF($FN182&lt;IB$169,INDEX($FO$170:$IH$241,IB$169,$FN182),SUMPRODUCT(INDEX($FO$325:$IH$396,IB$169,1+SwaptionShift):INDEX($FO$325:$IH$396,IB$169,SwaptionMonthsToGo+SwaptionShift),INDEX($FO$245:$IH$316,$FN182-IB$169,73-IB$169+SwaptionShift):INDEX($FO$245:$IH$316,$FN182-IB$169,72-IB$169+SwaptionMonthsToGo+SwaptionShift))/SQRT(SUM(INDEX($FO337:$IH337,1+SwaptionShift):INDEX($FO337:$IH337,SwaptionMonthsToGo+SwaptionShift))*SUM(INDEX($FO$325:$IH$396,IB$169,1+SwaptionShift):INDEX($FO$325:$IH$396,IB$169,SwaptionMonthsToGo+SwaptionShift))))))</f>
        <v/>
      </c>
      <c r="IC182" s="469" t="str">
        <f ca="1">IF(OR(IC$169&lt;SwaptionFirstMonthPosition+1,$FN182&lt;SwaptionFirstMonthPosition+1,IC$169&gt;SwaptionFirstMonthPosition+SwaptionNumOfMonths+1,$FN182&gt;SwaptionFirstMonthPosition+SwaptionNumOfMonths+1),"",IF($FN182=IC$169,1,IF($FN182&lt;IC$169,INDEX($FO$170:$IH$241,IC$169,$FN182),SUMPRODUCT(INDEX($FO$325:$IH$396,IC$169,1+SwaptionShift):INDEX($FO$325:$IH$396,IC$169,SwaptionMonthsToGo+SwaptionShift),INDEX($FO$245:$IH$316,$FN182-IC$169,73-IC$169+SwaptionShift):INDEX($FO$245:$IH$316,$FN182-IC$169,72-IC$169+SwaptionMonthsToGo+SwaptionShift))/SQRT(SUM(INDEX($FO337:$IH337,1+SwaptionShift):INDEX($FO337:$IH337,SwaptionMonthsToGo+SwaptionShift))*SUM(INDEX($FO$325:$IH$396,IC$169,1+SwaptionShift):INDEX($FO$325:$IH$396,IC$169,SwaptionMonthsToGo+SwaptionShift))))))</f>
        <v/>
      </c>
      <c r="ID182" s="469" t="str">
        <f ca="1">IF(OR(ID$169&lt;SwaptionFirstMonthPosition+1,$FN182&lt;SwaptionFirstMonthPosition+1,ID$169&gt;SwaptionFirstMonthPosition+SwaptionNumOfMonths+1,$FN182&gt;SwaptionFirstMonthPosition+SwaptionNumOfMonths+1),"",IF($FN182=ID$169,1,IF($FN182&lt;ID$169,INDEX($FO$170:$IH$241,ID$169,$FN182),SUMPRODUCT(INDEX($FO$325:$IH$396,ID$169,1+SwaptionShift):INDEX($FO$325:$IH$396,ID$169,SwaptionMonthsToGo+SwaptionShift),INDEX($FO$245:$IH$316,$FN182-ID$169,73-ID$169+SwaptionShift):INDEX($FO$245:$IH$316,$FN182-ID$169,72-ID$169+SwaptionMonthsToGo+SwaptionShift))/SQRT(SUM(INDEX($FO337:$IH337,1+SwaptionShift):INDEX($FO337:$IH337,SwaptionMonthsToGo+SwaptionShift))*SUM(INDEX($FO$325:$IH$396,ID$169,1+SwaptionShift):INDEX($FO$325:$IH$396,ID$169,SwaptionMonthsToGo+SwaptionShift))))))</f>
        <v/>
      </c>
      <c r="IE182" s="469" t="str">
        <f ca="1">IF(OR(IE$169&lt;SwaptionFirstMonthPosition+1,$FN182&lt;SwaptionFirstMonthPosition+1,IE$169&gt;SwaptionFirstMonthPosition+SwaptionNumOfMonths+1,$FN182&gt;SwaptionFirstMonthPosition+SwaptionNumOfMonths+1),"",IF($FN182=IE$169,1,IF($FN182&lt;IE$169,INDEX($FO$170:$IH$241,IE$169,$FN182),SUMPRODUCT(INDEX($FO$325:$IH$396,IE$169,1+SwaptionShift):INDEX($FO$325:$IH$396,IE$169,SwaptionMonthsToGo+SwaptionShift),INDEX($FO$245:$IH$316,$FN182-IE$169,73-IE$169+SwaptionShift):INDEX($FO$245:$IH$316,$FN182-IE$169,72-IE$169+SwaptionMonthsToGo+SwaptionShift))/SQRT(SUM(INDEX($FO337:$IH337,1+SwaptionShift):INDEX($FO337:$IH337,SwaptionMonthsToGo+SwaptionShift))*SUM(INDEX($FO$325:$IH$396,IE$169,1+SwaptionShift):INDEX($FO$325:$IH$396,IE$169,SwaptionMonthsToGo+SwaptionShift))))))</f>
        <v/>
      </c>
      <c r="IF182" s="469" t="str">
        <f ca="1">IF(OR(IF$169&lt;SwaptionFirstMonthPosition+1,$FN182&lt;SwaptionFirstMonthPosition+1,IF$169&gt;SwaptionFirstMonthPosition+SwaptionNumOfMonths+1,$FN182&gt;SwaptionFirstMonthPosition+SwaptionNumOfMonths+1),"",IF($FN182=IF$169,1,IF($FN182&lt;IF$169,INDEX($FO$170:$IH$241,IF$169,$FN182),SUMPRODUCT(INDEX($FO$325:$IH$396,IF$169,1+SwaptionShift):INDEX($FO$325:$IH$396,IF$169,SwaptionMonthsToGo+SwaptionShift),INDEX($FO$245:$IH$316,$FN182-IF$169,73-IF$169+SwaptionShift):INDEX($FO$245:$IH$316,$FN182-IF$169,72-IF$169+SwaptionMonthsToGo+SwaptionShift))/SQRT(SUM(INDEX($FO337:$IH337,1+SwaptionShift):INDEX($FO337:$IH337,SwaptionMonthsToGo+SwaptionShift))*SUM(INDEX($FO$325:$IH$396,IF$169,1+SwaptionShift):INDEX($FO$325:$IH$396,IF$169,SwaptionMonthsToGo+SwaptionShift))))))</f>
        <v/>
      </c>
      <c r="IG182" s="469" t="str">
        <f ca="1">IF(OR(IG$169&lt;SwaptionFirstMonthPosition+1,$FN182&lt;SwaptionFirstMonthPosition+1,IG$169&gt;SwaptionFirstMonthPosition+SwaptionNumOfMonths+1,$FN182&gt;SwaptionFirstMonthPosition+SwaptionNumOfMonths+1),"",IF($FN182=IG$169,1,IF($FN182&lt;IG$169,INDEX($FO$170:$IH$241,IG$169,$FN182),SUMPRODUCT(INDEX($FO$325:$IH$396,IG$169,1+SwaptionShift):INDEX($FO$325:$IH$396,IG$169,SwaptionMonthsToGo+SwaptionShift),INDEX($FO$245:$IH$316,$FN182-IG$169,73-IG$169+SwaptionShift):INDEX($FO$245:$IH$316,$FN182-IG$169,72-IG$169+SwaptionMonthsToGo+SwaptionShift))/SQRT(SUM(INDEX($FO337:$IH337,1+SwaptionShift):INDEX($FO337:$IH337,SwaptionMonthsToGo+SwaptionShift))*SUM(INDEX($FO$325:$IH$396,IG$169,1+SwaptionShift):INDEX($FO$325:$IH$396,IG$169,SwaptionMonthsToGo+SwaptionShift))))))</f>
        <v/>
      </c>
      <c r="IH182" s="662" t="str">
        <f ca="1">IF(OR(IH$169&lt;SwaptionFirstMonthPosition+1,$FN182&lt;SwaptionFirstMonthPosition+1,IH$169&gt;SwaptionFirstMonthPosition+SwaptionNumOfMonths+1,$FN182&gt;SwaptionFirstMonthPosition+SwaptionNumOfMonths+1),"",IF($FN182=IH$169,1,IF($FN182&lt;IH$169,INDEX($FO$170:$IH$241,IH$169,$FN182),SUMPRODUCT(INDEX($FO$325:$IH$396,IH$169,1+SwaptionShift):INDEX($FO$325:$IH$396,IH$169,SwaptionMonthsToGo+SwaptionShift),INDEX($FO$245:$IH$316,$FN182-IH$169,73-IH$169+SwaptionShift):INDEX($FO$245:$IH$316,$FN182-IH$169,72-IH$169+SwaptionMonthsToGo+SwaptionShift))/SQRT(SUM(INDEX($FO337:$IH337,1+SwaptionShift):INDEX($FO337:$IH337,SwaptionMonthsToGo+SwaptionShift))*SUM(INDEX($FO$325:$IH$396,IH$169,1+SwaptionShift):INDEX($FO$325:$IH$396,IH$169,SwaptionMonthsToGo+SwaptionShift))))))</f>
        <v/>
      </c>
      <c r="II182" s="242"/>
    </row>
    <row r="183" spans="8:243">
      <c r="H183" s="49" t="e">
        <f t="shared" ca="1" si="529"/>
        <v>#N/A</v>
      </c>
      <c r="I183" s="369">
        <f t="shared" si="530"/>
        <v>41974</v>
      </c>
      <c r="J183" s="367">
        <v>23.459999999999901</v>
      </c>
      <c r="K183" s="101" t="s">
        <v>267</v>
      </c>
      <c r="L183" s="382">
        <f t="shared" si="531"/>
        <v>23.459999999999898</v>
      </c>
      <c r="M183" s="163">
        <v>0.1459</v>
      </c>
      <c r="N183" s="372">
        <v>0</v>
      </c>
      <c r="O183" s="163">
        <f t="shared" si="488"/>
        <v>0.1459</v>
      </c>
      <c r="P183" s="367">
        <v>22.221113943355398</v>
      </c>
      <c r="Q183" s="101" t="s">
        <v>267</v>
      </c>
      <c r="R183" s="367">
        <f t="shared" ca="1" si="549"/>
        <v>22.221113943355405</v>
      </c>
      <c r="S183" s="814">
        <f t="shared" si="474"/>
        <v>0.34981457570115149</v>
      </c>
      <c r="T183" s="813">
        <f t="shared" si="550"/>
        <v>0.99999999728378308</v>
      </c>
      <c r="U183" s="532">
        <f t="shared" si="551"/>
        <v>0.99999999999999978</v>
      </c>
      <c r="V183" s="379">
        <v>0</v>
      </c>
      <c r="W183" s="424">
        <f t="shared" si="576"/>
        <v>23.492954545454442</v>
      </c>
      <c r="X183" s="405">
        <f t="shared" si="577"/>
        <v>23.492954545454442</v>
      </c>
      <c r="Y183" s="313">
        <f t="shared" si="578"/>
        <v>22.25135454545444</v>
      </c>
      <c r="Z183" s="313">
        <f t="shared" ca="1" si="579"/>
        <v>22.25135454545444</v>
      </c>
      <c r="AA183" s="419">
        <f t="shared" si="493"/>
        <v>1.2416</v>
      </c>
      <c r="AB183" s="423">
        <f t="shared" ca="1" si="494"/>
        <v>1.2416</v>
      </c>
      <c r="AC183" s="221">
        <v>41963</v>
      </c>
      <c r="AD183" s="221">
        <v>41959</v>
      </c>
      <c r="AE183" s="221">
        <v>41958</v>
      </c>
      <c r="AF183" s="221">
        <v>41954</v>
      </c>
      <c r="AG183" s="241" t="s">
        <v>497</v>
      </c>
      <c r="AH183" s="239" t="s">
        <v>497</v>
      </c>
      <c r="AI183" s="141">
        <v>22</v>
      </c>
      <c r="AJ183" s="41">
        <v>15</v>
      </c>
      <c r="AK183" s="41">
        <v>7</v>
      </c>
      <c r="AL183" s="285">
        <v>22</v>
      </c>
      <c r="AM183" s="41">
        <v>10</v>
      </c>
      <c r="AN183" s="142">
        <v>12</v>
      </c>
      <c r="AO183" s="364">
        <v>6.1235590734748199E-2</v>
      </c>
      <c r="AP183" s="145">
        <f t="shared" ca="1" si="532"/>
        <v>0.4369202557310285</v>
      </c>
      <c r="AQ183" s="364">
        <v>5.4578846920377601E-2</v>
      </c>
      <c r="AR183" s="145">
        <f t="shared" ca="1" si="552"/>
        <v>0.48067655528744185</v>
      </c>
      <c r="AS183" s="264">
        <f t="shared" si="580"/>
        <v>0.14537272727272726</v>
      </c>
      <c r="AT183" s="149">
        <f t="shared" si="533"/>
        <v>0.1459</v>
      </c>
      <c r="AU183" s="149">
        <f t="shared" si="496"/>
        <v>0.14528181818181818</v>
      </c>
      <c r="AV183" s="263">
        <f t="shared" ca="1" si="560"/>
        <v>0.14370881630028712</v>
      </c>
      <c r="AW183" s="150" t="str">
        <f t="shared" ca="1" si="581"/>
        <v/>
      </c>
      <c r="AX183" s="149">
        <f t="shared" ca="1" si="553"/>
        <v>6.5135635250144616E-3</v>
      </c>
      <c r="AY183" s="149">
        <f t="shared" ca="1" si="554"/>
        <v>2.3060145052417173E-3</v>
      </c>
      <c r="AZ183" s="149">
        <f t="shared" ca="1" si="555"/>
        <v>2.2273453997413632E-3</v>
      </c>
      <c r="BA183" s="149">
        <f t="shared" ca="1" si="556"/>
        <v>1.0000000000000789E-4</v>
      </c>
      <c r="BB183" s="149">
        <f t="shared" ca="1" si="557"/>
        <v>1.0000000000000789E-4</v>
      </c>
      <c r="BC183" s="149">
        <f t="shared" ca="1" si="558"/>
        <v>1.0000000000000789E-4</v>
      </c>
      <c r="BD183" s="143">
        <f t="shared" ca="1" si="582"/>
        <v>0</v>
      </c>
      <c r="BE183" s="144">
        <f t="shared" ca="1" si="583"/>
        <v>0</v>
      </c>
      <c r="BF183" s="40">
        <f t="shared" si="584"/>
        <v>2014</v>
      </c>
      <c r="BG183" s="139">
        <f t="shared" si="585"/>
        <v>12</v>
      </c>
      <c r="BH183" s="140">
        <f t="shared" ca="1" si="586"/>
        <v>4969</v>
      </c>
      <c r="BI183" s="304">
        <f t="shared" ca="1" si="570"/>
        <v>13.645448323066393</v>
      </c>
      <c r="BJ183" s="42">
        <f t="shared" ca="1" si="503"/>
        <v>13.701449816439549</v>
      </c>
      <c r="BK183" s="42">
        <f t="shared" ca="1" si="504"/>
        <v>13.704187667226682</v>
      </c>
      <c r="BL183" s="42">
        <f t="shared" ca="1" si="571"/>
        <v>13.727583846680355</v>
      </c>
      <c r="BM183" s="285">
        <f t="shared" si="572"/>
        <v>22</v>
      </c>
      <c r="BN183" s="41">
        <f t="shared" si="573"/>
        <v>15</v>
      </c>
      <c r="BO183" s="41">
        <f t="shared" si="574"/>
        <v>7</v>
      </c>
      <c r="BP183" s="297" t="str">
        <f t="shared" ca="1" si="505"/>
        <v/>
      </c>
      <c r="BQ183" s="297" t="str">
        <f t="shared" ca="1" si="506"/>
        <v/>
      </c>
      <c r="BR183" s="299" t="str">
        <f t="shared" ca="1" si="507"/>
        <v/>
      </c>
      <c r="BS183" s="153" t="str">
        <f t="shared" ca="1" si="508"/>
        <v/>
      </c>
      <c r="BT183" s="153" t="str">
        <f t="shared" ca="1" si="509"/>
        <v/>
      </c>
      <c r="BU183" s="300" t="str">
        <f t="shared" ca="1" si="510"/>
        <v/>
      </c>
      <c r="BV183" s="301" t="str">
        <f t="shared" ca="1" si="511"/>
        <v/>
      </c>
      <c r="BW183" s="300" t="str">
        <f t="shared" ca="1" si="512"/>
        <v/>
      </c>
      <c r="BX183" s="301" t="str">
        <f t="shared" ca="1" si="513"/>
        <v/>
      </c>
      <c r="BY183" s="146" t="str">
        <f t="shared" ca="1" si="514"/>
        <v/>
      </c>
      <c r="BZ183" s="146" t="str">
        <f t="shared" ca="1" si="515"/>
        <v/>
      </c>
      <c r="CA183" s="146" t="str">
        <f t="shared" ca="1" si="516"/>
        <v/>
      </c>
      <c r="CB183" s="146" t="str">
        <f t="shared" ca="1" si="517"/>
        <v/>
      </c>
      <c r="CC183" s="302">
        <v>1</v>
      </c>
      <c r="CD183" s="154">
        <f ca="1">IF(BD183,_xll.xCrudeAPO(BS183,BT183,BY183,BZ183,S184,S185,BI183,BL183,BN183,BO183,0,Strike1,AO183,CC183,0,BL183,IF(OptControl=4,0,1),0,1),0)</f>
        <v>0</v>
      </c>
      <c r="CE183" s="155">
        <f ca="1">IF(BD183,_xll.xCrudeAPO(BS183,BT183,BY183,BZ183,S184,S185,BI183,BL183,BN183,BO183,0,Strike1,AO183,CC183,0,BL183,IF(OptControl=4,0,1),1,1)+_xll.xCrudeAPO(BS183,BT183,BY183,BZ183,S184,S185,BI183,BL183,BN183,BO183,0,Strike1,AO183,CC183,0,BL183,IF(OptControl=4,0,1),1,2)+IF(OR(VolSkewFlag=2,ABS(BQ183)&lt;0.0001),0,IF(BQ183&gt;0,-1,1)*CF183*Strike1/BP183^2*BW183/10%),0)</f>
        <v>0</v>
      </c>
      <c r="CF183" s="155">
        <f ca="1">IF(BD183,(_xll.xCrudeAPO(BS183,BT183,BY183,BZ183,S184,S185,BI183,BL183,BN183,BO183,0,Strike1,AO183,CC183,0,BL183,IF(OptControl=4,0,1),3,1)+_xll.xCrudeAPO(BS183,BT183,BY183,BZ183,S184,S185,BI183,BL183,BN183,BO183,0,Strike1,AO183,CC183,0,BL183,IF(OptControl=4,0,1),3,2))/100,0)</f>
        <v>0</v>
      </c>
      <c r="CG183" s="155">
        <f ca="1">IF(BD183,_xll.xCrudeAPO(BS183,BT183,BY183,BZ183,S184,S185,BI183-DaysForThetaCalculation/365.25,BL183-DaysForThetaCalculation/365.25,BN183,BO183,0,Strike1,AO183,CC183,0,BL183,IF(OptControl=4,0,1),0,1)-_xll.xCrudeAPO(BS183,BT183,BY183,BZ183,S184,S185,BI183,BL183,BN183,BO183,0,Strike1,AO183,CC183,0,BL183,IF(OptControl=4,0,1),0,1),0)</f>
        <v>0</v>
      </c>
      <c r="CH183" s="303">
        <f ca="1">IF(BD183,_xll.xCrudeAPO(BS183,BT183,CA183,CB183,S184,S185,BI183,BL183,BN183,BO183,0,Strike2,AO183,CC183,0,BL183,IF(OptControl=3,1,0),0,1),0)</f>
        <v>0</v>
      </c>
      <c r="CI183" s="155">
        <f ca="1">IF(BD183,_xll.xCrudeAPO(BS183,BT183,CA183,CB183,S184,S185,BI183,BL183,BN183,BO183,0,Strike2,AO183,CC183,0,BL183,IF(OptControl=3,1,0),1,1)+_xll.xCrudeAPO(BS183,BT183,CA183,CB183,S184,S185,BI183,BL183,BN183,BO183,0,Strike2,AO183,CC183,0,BL183,IF(OptControl=3,1,0),1,2)+IF(OR(VolSkewFlag=2,ABS(BR183)&lt;0.0001),0,IF(BR183&gt;0,-1,1)*CJ183*Strike2/BP183^2*BX183/10%),0)</f>
        <v>0</v>
      </c>
      <c r="CJ183" s="155">
        <f ca="1">IF(BD183,(_xll.xCrudeAPO(BS183,BT183,CA183,CB183,S184,S185,BI183,BL183,BN183,BO183,0,Strike2,AO183,CC183,0,BL183,IF(OptControl=3,1,0),3,1)+_xll.xCrudeAPO(BS183,BT183,CA183,CB183,S184,S185,BI183,BL183,BN183,BO183,0,Strike2,AO183,CC183,0,BL183,IF(OptControl=3,1,0),3,2))/100,0)</f>
        <v>0</v>
      </c>
      <c r="CK183" s="156">
        <f ca="1">IF(BD183,_xll.xCrudeAPO(BS183,BT183,CA183,CB183,S184,S185,BI183-DaysForThetaCalculation/365.25,BL183-DaysForThetaCalculation/365.25,BN183,BO183,0,Strike2,AO183,CC183,0,BL183,IF(OptControl=3,1,0),0,1)-_xll.xCrudeAPO(BS183,BT183,CA183,CB183,S184,S185,BI183,BL183,BN183,BO183,0,Strike2,AO183,CC183,0,BL183,IF(OptControl=3,1,0),0,1),0)</f>
        <v>0</v>
      </c>
      <c r="CL183" s="51"/>
      <c r="CM183" s="779" t="str">
        <f t="shared" ca="1" si="534"/>
        <v/>
      </c>
      <c r="CN183" s="783" t="str">
        <f t="shared" ca="1" si="535"/>
        <v/>
      </c>
      <c r="CO183" s="780" t="str">
        <f t="shared" ca="1" si="536"/>
        <v/>
      </c>
      <c r="CP183" s="780" t="str">
        <f t="shared" ca="1" si="537"/>
        <v/>
      </c>
      <c r="CQ183" s="780" t="str">
        <f t="shared" ca="1" si="538"/>
        <v/>
      </c>
      <c r="CR183" s="780" t="str">
        <f t="shared" ca="1" si="539"/>
        <v/>
      </c>
      <c r="CS183" s="781" t="str">
        <f t="shared" ca="1" si="540"/>
        <v/>
      </c>
      <c r="CT183" s="782" t="str">
        <f t="shared" ca="1" si="541"/>
        <v/>
      </c>
      <c r="CU183" s="782" t="str">
        <f t="shared" ca="1" si="542"/>
        <v/>
      </c>
      <c r="CV183" s="155">
        <f ca="1">IF(BD183,_xll.EURO(CN183,Strike1,AO183,AO183,CT183,CM183,IF(OptControl=4,0,1),0),0)</f>
        <v>0</v>
      </c>
      <c r="CW183" s="155">
        <f ca="1">IF(BD183,_xll.EURO(CN183,Strike1,AO183,AO183,CT183,CM183,IF(OptControl=4,0,1),1)+IF(OR(VolSkewFlag=2,ABS(CO183)&lt;0.0001),0,IF(CO183&gt;0,-1,1)*CX183*100*Strike1/CN183^2*CQ183/10%),0)</f>
        <v>0</v>
      </c>
      <c r="CX183" s="155">
        <f ca="1">IF(BD183,_xll.EURO(CN183,Strike1,AO183,AO183,CT183,CM183,IF(OptControl=4,0,1),3)/100,0)</f>
        <v>0</v>
      </c>
      <c r="CY183" s="155">
        <f ca="1">IF(BD183,_xll.EURO(CN183,Strike1,AO183,AO183,CT183,CM183,IF(OptControl=4,0,1),0)-_xll.EURO(CN183,Strike1,AO183,AO183,CT183,CM183-1,IF(OptControl=4,0,1),0),0)</f>
        <v>0</v>
      </c>
      <c r="CZ183" s="155">
        <f ca="1">IF(BD183,_xll.EURO(CN183,Strike2,AO183,AO183,CU183,CM183,IF(OptControl=3,1,0),0),0)</f>
        <v>0</v>
      </c>
      <c r="DA183" s="155">
        <f ca="1">IF(BD183,_xll.EURO(CN183,Strike2,AO183,AO183,CU183,CM183,IF(OptControl=3,1,0),1)+IF(OR(VolSkewFlag=2,ABS(CP183)&lt;0.0001),0,IF(CP183&gt;0,-1,1)*DB183*100*Strike2/CN183^2*CR183/10%),0)</f>
        <v>0</v>
      </c>
      <c r="DB183" s="155">
        <f ca="1">IF(BD183,_xll.EURO(CN183,Strike2,AO183,AO183,CU183,CM183,IF(OptControl=3,1,0),3)/100,0)</f>
        <v>0</v>
      </c>
      <c r="DC183" s="156">
        <f ca="1">IF(BD183,_xll.EURO(CN183,Strike2,AO183,AO183,CU183,CM183,IF(OptControl=3,1,0),0)-_xll.EURO(CN183,Strike2,AO183,AO183,CU183,CM183-1,IF(OptControl=3,1,0),0),0)</f>
        <v>0</v>
      </c>
      <c r="DE183" s="651">
        <f t="shared" ca="1" si="543"/>
        <v>41883</v>
      </c>
      <c r="DF183" s="465">
        <v>1E-4</v>
      </c>
      <c r="DG183" s="649">
        <v>1E-4</v>
      </c>
      <c r="DH183" s="650">
        <f t="shared" ca="1" si="587"/>
        <v>41883</v>
      </c>
      <c r="DI183" s="465">
        <v>1E-4</v>
      </c>
      <c r="DJ183" s="649">
        <v>1E-4</v>
      </c>
      <c r="DK183" s="651">
        <f t="shared" ca="1" si="588"/>
        <v>41883</v>
      </c>
      <c r="DL183" s="652">
        <f t="shared" si="589"/>
        <v>5.0100000000000006E-2</v>
      </c>
      <c r="DM183" s="651">
        <f t="shared" ca="1" si="544"/>
        <v>41883</v>
      </c>
      <c r="DN183" s="563">
        <f t="shared" si="545"/>
        <v>-0.12990000000000002</v>
      </c>
      <c r="DO183" s="803">
        <v>-0.13</v>
      </c>
      <c r="DP183" s="650">
        <f t="shared" ca="1" si="590"/>
        <v>41883</v>
      </c>
      <c r="DQ183" s="653">
        <v>1E-4</v>
      </c>
      <c r="DR183" s="590">
        <v>1E-4</v>
      </c>
      <c r="DS183" s="650">
        <f t="shared" ca="1" si="591"/>
        <v>41883</v>
      </c>
      <c r="DT183" s="653">
        <v>1E-4</v>
      </c>
      <c r="DU183" s="590">
        <v>1E-4</v>
      </c>
      <c r="DV183" s="651">
        <f t="shared" ca="1" si="592"/>
        <v>41883</v>
      </c>
      <c r="DW183" s="590">
        <v>1E-4</v>
      </c>
      <c r="DX183" s="651">
        <f t="shared" ca="1" si="546"/>
        <v>41883</v>
      </c>
      <c r="DY183" s="590">
        <f t="shared" si="547"/>
        <v>1E-4</v>
      </c>
      <c r="DZ183" s="1"/>
      <c r="EA183" s="857"/>
      <c r="EB183" s="857"/>
      <c r="EC183" s="857"/>
      <c r="ED183" s="868" t="e">
        <f t="shared" ca="1" si="566"/>
        <v>#NAME?</v>
      </c>
      <c r="EE183" s="863" t="e">
        <f t="shared" ca="1" si="524"/>
        <v>#NAME?</v>
      </c>
      <c r="EF183" s="590" t="e">
        <f t="shared" ca="1" si="525"/>
        <v>#NAME?</v>
      </c>
      <c r="EG183" s="862" t="str">
        <f t="shared" ca="1" si="593"/>
        <v/>
      </c>
      <c r="EH183" s="114" t="str">
        <f t="shared" ca="1" si="527"/>
        <v/>
      </c>
      <c r="EI183" s="109" t="str">
        <f t="shared" ca="1" si="528"/>
        <v/>
      </c>
      <c r="EJ183" s="115">
        <f ca="1">IF(BD183,_xll.xASN(BP183,Strike1,AO183,EH183,0,BM183,0,BI183,BL183,IF(OptControl=4,0,1),0),0)</f>
        <v>0</v>
      </c>
      <c r="EK183" s="108">
        <f ca="1">IF(BD183,_xll.xASN(BP183,Strike2,AO183,EI183,0,BM183,0,BI183,BL183,IF(OptControl=3,1,0),0),0)</f>
        <v>0</v>
      </c>
      <c r="EP183" s="53"/>
      <c r="EQ183" s="1"/>
      <c r="ER183" s="103"/>
      <c r="ES183" s="103"/>
      <c r="ET183" s="1"/>
      <c r="EU183" s="667" t="s">
        <v>395</v>
      </c>
      <c r="EW183" s="445"/>
      <c r="EX183" s="36"/>
      <c r="EY183" s="104"/>
      <c r="EZ183" s="465"/>
      <c r="FA183" s="446"/>
      <c r="FB183" s="446"/>
      <c r="FC183" s="242"/>
      <c r="FD183" s="242"/>
      <c r="FE183" s="242"/>
      <c r="FF183" s="242"/>
      <c r="FG183" s="242"/>
      <c r="FH183" s="242"/>
      <c r="FI183" s="242"/>
      <c r="FJ183" s="242"/>
      <c r="FK183" s="242"/>
      <c r="FL183" s="242"/>
      <c r="FM183" s="242"/>
      <c r="FN183" s="657">
        <v>14</v>
      </c>
      <c r="FO183" s="469" t="str">
        <f ca="1">IF(OR(FO$169&lt;SwaptionFirstMonthPosition+1,$FN183&lt;SwaptionFirstMonthPosition+1,FO$169&gt;SwaptionFirstMonthPosition+SwaptionNumOfMonths+1,$FN183&gt;SwaptionFirstMonthPosition+SwaptionNumOfMonths+1),"",IF($FN183=FO$169,1,IF($FN183&lt;FO$169,INDEX($FO$170:$IH$241,FO$169,$FN183),SUMPRODUCT(INDEX($FO$325:$IH$396,FO$169,1+SwaptionShift):INDEX($FO$325:$IH$396,FO$169,SwaptionMonthsToGo+SwaptionShift),INDEX($FO$245:$IH$316,$FN183-FO$169,73-FO$169+SwaptionShift):INDEX($FO$245:$IH$316,$FN183-FO$169,72-FO$169+SwaptionMonthsToGo+SwaptionShift))/SQRT(SUM(INDEX($FO338:$IH338,1+SwaptionShift):INDEX($FO338:$IH338,SwaptionMonthsToGo+SwaptionShift))*SUM(INDEX($FO$325:$IH$396,FO$169,1+SwaptionShift):INDEX($FO$325:$IH$396,FO$169,SwaptionMonthsToGo+SwaptionShift))))))</f>
        <v/>
      </c>
      <c r="FP183" s="469">
        <f ca="1">IF(OR(FP$169&lt;SwaptionFirstMonthPosition+1,$FN183&lt;SwaptionFirstMonthPosition+1,FP$169&gt;SwaptionFirstMonthPosition+SwaptionNumOfMonths+1,$FN183&gt;SwaptionFirstMonthPosition+SwaptionNumOfMonths+1),"",IF($FN183=FP$169,1,IF($FN183&lt;FP$169,INDEX($FO$170:$IH$241,FP$169,$FN183),SUMPRODUCT(INDEX($FO$325:$IH$396,FP$169,1+SwaptionShift):INDEX($FO$325:$IH$396,FP$169,SwaptionMonthsToGo+SwaptionShift),INDEX($FO$245:$IH$316,$FN183-FP$169,73-FP$169+SwaptionShift):INDEX($FO$245:$IH$316,$FN183-FP$169,72-FP$169+SwaptionMonthsToGo+SwaptionShift))/SQRT(SUM(INDEX($FO338:$IH338,1+SwaptionShift):INDEX($FO338:$IH338,SwaptionMonthsToGo+SwaptionShift))*SUM(INDEX($FO$325:$IH$396,FP$169,1+SwaptionShift):INDEX($FO$325:$IH$396,FP$169,SwaptionMonthsToGo+SwaptionShift))))))</f>
        <v>0.90190310537675022</v>
      </c>
      <c r="FQ183" s="469">
        <f ca="1">IF(OR(FQ$169&lt;SwaptionFirstMonthPosition+1,$FN183&lt;SwaptionFirstMonthPosition+1,FQ$169&gt;SwaptionFirstMonthPosition+SwaptionNumOfMonths+1,$FN183&gt;SwaptionFirstMonthPosition+SwaptionNumOfMonths+1),"",IF($FN183=FQ$169,1,IF($FN183&lt;FQ$169,INDEX($FO$170:$IH$241,FQ$169,$FN183),SUMPRODUCT(INDEX($FO$325:$IH$396,FQ$169,1+SwaptionShift):INDEX($FO$325:$IH$396,FQ$169,SwaptionMonthsToGo+SwaptionShift),INDEX($FO$245:$IH$316,$FN183-FQ$169,73-FQ$169+SwaptionShift):INDEX($FO$245:$IH$316,$FN183-FQ$169,72-FQ$169+SwaptionMonthsToGo+SwaptionShift))/SQRT(SUM(INDEX($FO338:$IH338,1+SwaptionShift):INDEX($FO338:$IH338,SwaptionMonthsToGo+SwaptionShift))*SUM(INDEX($FO$325:$IH$396,FQ$169,1+SwaptionShift):INDEX($FO$325:$IH$396,FQ$169,SwaptionMonthsToGo+SwaptionShift))))))</f>
        <v>0.91946261992625289</v>
      </c>
      <c r="FR183" s="469">
        <f ca="1">IF(OR(FR$169&lt;SwaptionFirstMonthPosition+1,$FN183&lt;SwaptionFirstMonthPosition+1,FR$169&gt;SwaptionFirstMonthPosition+SwaptionNumOfMonths+1,$FN183&gt;SwaptionFirstMonthPosition+SwaptionNumOfMonths+1),"",IF($FN183=FR$169,1,IF($FN183&lt;FR$169,INDEX($FO$170:$IH$241,FR$169,$FN183),SUMPRODUCT(INDEX($FO$325:$IH$396,FR$169,1+SwaptionShift):INDEX($FO$325:$IH$396,FR$169,SwaptionMonthsToGo+SwaptionShift),INDEX($FO$245:$IH$316,$FN183-FR$169,73-FR$169+SwaptionShift):INDEX($FO$245:$IH$316,$FN183-FR$169,72-FR$169+SwaptionMonthsToGo+SwaptionShift))/SQRT(SUM(INDEX($FO338:$IH338,1+SwaptionShift):INDEX($FO338:$IH338,SwaptionMonthsToGo+SwaptionShift))*SUM(INDEX($FO$325:$IH$396,FR$169,1+SwaptionShift):INDEX($FO$325:$IH$396,FR$169,SwaptionMonthsToGo+SwaptionShift))))))</f>
        <v>0.93407376566958777</v>
      </c>
      <c r="FS183" s="469">
        <f ca="1">IF(OR(FS$169&lt;SwaptionFirstMonthPosition+1,$FN183&lt;SwaptionFirstMonthPosition+1,FS$169&gt;SwaptionFirstMonthPosition+SwaptionNumOfMonths+1,$FN183&gt;SwaptionFirstMonthPosition+SwaptionNumOfMonths+1),"",IF($FN183=FS$169,1,IF($FN183&lt;FS$169,INDEX($FO$170:$IH$241,FS$169,$FN183),SUMPRODUCT(INDEX($FO$325:$IH$396,FS$169,1+SwaptionShift):INDEX($FO$325:$IH$396,FS$169,SwaptionMonthsToGo+SwaptionShift),INDEX($FO$245:$IH$316,$FN183-FS$169,73-FS$169+SwaptionShift):INDEX($FO$245:$IH$316,$FN183-FS$169,72-FS$169+SwaptionMonthsToGo+SwaptionShift))/SQRT(SUM(INDEX($FO338:$IH338,1+SwaptionShift):INDEX($FO338:$IH338,SwaptionMonthsToGo+SwaptionShift))*SUM(INDEX($FO$325:$IH$396,FS$169,1+SwaptionShift):INDEX($FO$325:$IH$396,FS$169,SwaptionMonthsToGo+SwaptionShift))))))</f>
        <v>0.9462949338034351</v>
      </c>
      <c r="FT183" s="469">
        <f ca="1">IF(OR(FT$169&lt;SwaptionFirstMonthPosition+1,$FN183&lt;SwaptionFirstMonthPosition+1,FT$169&gt;SwaptionFirstMonthPosition+SwaptionNumOfMonths+1,$FN183&gt;SwaptionFirstMonthPosition+SwaptionNumOfMonths+1),"",IF($FN183=FT$169,1,IF($FN183&lt;FT$169,INDEX($FO$170:$IH$241,FT$169,$FN183),SUMPRODUCT(INDEX($FO$325:$IH$396,FT$169,1+SwaptionShift):INDEX($FO$325:$IH$396,FT$169,SwaptionMonthsToGo+SwaptionShift),INDEX($FO$245:$IH$316,$FN183-FT$169,73-FT$169+SwaptionShift):INDEX($FO$245:$IH$316,$FN183-FT$169,72-FT$169+SwaptionMonthsToGo+SwaptionShift))/SQRT(SUM(INDEX($FO338:$IH338,1+SwaptionShift):INDEX($FO338:$IH338,SwaptionMonthsToGo+SwaptionShift))*SUM(INDEX($FO$325:$IH$396,FT$169,1+SwaptionShift):INDEX($FO$325:$IH$396,FT$169,SwaptionMonthsToGo+SwaptionShift))))))</f>
        <v>0.95657478987871225</v>
      </c>
      <c r="FU183" s="469">
        <f ca="1">IF(OR(FU$169&lt;SwaptionFirstMonthPosition+1,$FN183&lt;SwaptionFirstMonthPosition+1,FU$169&gt;SwaptionFirstMonthPosition+SwaptionNumOfMonths+1,$FN183&gt;SwaptionFirstMonthPosition+SwaptionNumOfMonths+1),"",IF($FN183=FU$169,1,IF($FN183&lt;FU$169,INDEX($FO$170:$IH$241,FU$169,$FN183),SUMPRODUCT(INDEX($FO$325:$IH$396,FU$169,1+SwaptionShift):INDEX($FO$325:$IH$396,FU$169,SwaptionMonthsToGo+SwaptionShift),INDEX($FO$245:$IH$316,$FN183-FU$169,73-FU$169+SwaptionShift):INDEX($FO$245:$IH$316,$FN183-FU$169,72-FU$169+SwaptionMonthsToGo+SwaptionShift))/SQRT(SUM(INDEX($FO338:$IH338,1+SwaptionShift):INDEX($FO338:$IH338,SwaptionMonthsToGo+SwaptionShift))*SUM(INDEX($FO$325:$IH$396,FU$169,1+SwaptionShift):INDEX($FO$325:$IH$396,FU$169,SwaptionMonthsToGo+SwaptionShift))))))</f>
        <v>0.96527236304620945</v>
      </c>
      <c r="FV183" s="469">
        <f ca="1">IF(OR(FV$169&lt;SwaptionFirstMonthPosition+1,$FN183&lt;SwaptionFirstMonthPosition+1,FV$169&gt;SwaptionFirstMonthPosition+SwaptionNumOfMonths+1,$FN183&gt;SwaptionFirstMonthPosition+SwaptionNumOfMonths+1),"",IF($FN183=FV$169,1,IF($FN183&lt;FV$169,INDEX($FO$170:$IH$241,FV$169,$FN183),SUMPRODUCT(INDEX($FO$325:$IH$396,FV$169,1+SwaptionShift):INDEX($FO$325:$IH$396,FV$169,SwaptionMonthsToGo+SwaptionShift),INDEX($FO$245:$IH$316,$FN183-FV$169,73-FV$169+SwaptionShift):INDEX($FO$245:$IH$316,$FN183-FV$169,72-FV$169+SwaptionMonthsToGo+SwaptionShift))/SQRT(SUM(INDEX($FO338:$IH338,1+SwaptionShift):INDEX($FO338:$IH338,SwaptionMonthsToGo+SwaptionShift))*SUM(INDEX($FO$325:$IH$396,FV$169,1+SwaptionShift):INDEX($FO$325:$IH$396,FV$169,SwaptionMonthsToGo+SwaptionShift))))))</f>
        <v>0.9726744724027564</v>
      </c>
      <c r="FW183" s="469">
        <f ca="1">IF(OR(FW$169&lt;SwaptionFirstMonthPosition+1,$FN183&lt;SwaptionFirstMonthPosition+1,FW$169&gt;SwaptionFirstMonthPosition+SwaptionNumOfMonths+1,$FN183&gt;SwaptionFirstMonthPosition+SwaptionNumOfMonths+1),"",IF($FN183=FW$169,1,IF($FN183&lt;FW$169,INDEX($FO$170:$IH$241,FW$169,$FN183),SUMPRODUCT(INDEX($FO$325:$IH$396,FW$169,1+SwaptionShift):INDEX($FO$325:$IH$396,FW$169,SwaptionMonthsToGo+SwaptionShift),INDEX($FO$245:$IH$316,$FN183-FW$169,73-FW$169+SwaptionShift):INDEX($FO$245:$IH$316,$FN183-FW$169,72-FW$169+SwaptionMonthsToGo+SwaptionShift))/SQRT(SUM(INDEX($FO338:$IH338,1+SwaptionShift):INDEX($FO338:$IH338,SwaptionMonthsToGo+SwaptionShift))*SUM(INDEX($FO$325:$IH$396,FW$169,1+SwaptionShift):INDEX($FO$325:$IH$396,FW$169,SwaptionMonthsToGo+SwaptionShift))))))</f>
        <v>0.97901030363823538</v>
      </c>
      <c r="FX183" s="469">
        <f ca="1">IF(OR(FX$169&lt;SwaptionFirstMonthPosition+1,$FN183&lt;SwaptionFirstMonthPosition+1,FX$169&gt;SwaptionFirstMonthPosition+SwaptionNumOfMonths+1,$FN183&gt;SwaptionFirstMonthPosition+SwaptionNumOfMonths+1),"",IF($FN183=FX$169,1,IF($FN183&lt;FX$169,INDEX($FO$170:$IH$241,FX$169,$FN183),SUMPRODUCT(INDEX($FO$325:$IH$396,FX$169,1+SwaptionShift):INDEX($FO$325:$IH$396,FX$169,SwaptionMonthsToGo+SwaptionShift),INDEX($FO$245:$IH$316,$FN183-FX$169,73-FX$169+SwaptionShift):INDEX($FO$245:$IH$316,$FN183-FX$169,72-FX$169+SwaptionMonthsToGo+SwaptionShift))/SQRT(SUM(INDEX($FO338:$IH338,1+SwaptionShift):INDEX($FO338:$IH338,SwaptionMonthsToGo+SwaptionShift))*SUM(INDEX($FO$325:$IH$396,FX$169,1+SwaptionShift):INDEX($FO$325:$IH$396,FX$169,SwaptionMonthsToGo+SwaptionShift))))))</f>
        <v>0.98446331672559317</v>
      </c>
      <c r="FY183" s="469">
        <f ca="1">IF(OR(FY$169&lt;SwaptionFirstMonthPosition+1,$FN183&lt;SwaptionFirstMonthPosition+1,FY$169&gt;SwaptionFirstMonthPosition+SwaptionNumOfMonths+1,$FN183&gt;SwaptionFirstMonthPosition+SwaptionNumOfMonths+1),"",IF($FN183=FY$169,1,IF($FN183&lt;FY$169,INDEX($FO$170:$IH$241,FY$169,$FN183),SUMPRODUCT(INDEX($FO$325:$IH$396,FY$169,1+SwaptionShift):INDEX($FO$325:$IH$396,FY$169,SwaptionMonthsToGo+SwaptionShift),INDEX($FO$245:$IH$316,$FN183-FY$169,73-FY$169+SwaptionShift):INDEX($FO$245:$IH$316,$FN183-FY$169,72-FY$169+SwaptionMonthsToGo+SwaptionShift))/SQRT(SUM(INDEX($FO338:$IH338,1+SwaptionShift):INDEX($FO338:$IH338,SwaptionMonthsToGo+SwaptionShift))*SUM(INDEX($FO$325:$IH$396,FY$169,1+SwaptionShift):INDEX($FO$325:$IH$396,FY$169,SwaptionMonthsToGo+SwaptionShift))))))</f>
        <v>0.98918081912689515</v>
      </c>
      <c r="FZ183" s="469">
        <f ca="1">IF(OR(FZ$169&lt;SwaptionFirstMonthPosition+1,$FN183&lt;SwaptionFirstMonthPosition+1,FZ$169&gt;SwaptionFirstMonthPosition+SwaptionNumOfMonths+1,$FN183&gt;SwaptionFirstMonthPosition+SwaptionNumOfMonths+1),"",IF($FN183=FZ$169,1,IF($FN183&lt;FZ$169,INDEX($FO$170:$IH$241,FZ$169,$FN183),SUMPRODUCT(INDEX($FO$325:$IH$396,FZ$169,1+SwaptionShift):INDEX($FO$325:$IH$396,FZ$169,SwaptionMonthsToGo+SwaptionShift),INDEX($FO$245:$IH$316,$FN183-FZ$169,73-FZ$169+SwaptionShift):INDEX($FO$245:$IH$316,$FN183-FZ$169,72-FZ$169+SwaptionMonthsToGo+SwaptionShift))/SQRT(SUM(INDEX($FO338:$IH338,1+SwaptionShift):INDEX($FO338:$IH338,SwaptionMonthsToGo+SwaptionShift))*SUM(INDEX($FO$325:$IH$396,FZ$169,1+SwaptionShift):INDEX($FO$325:$IH$396,FZ$169,SwaptionMonthsToGo+SwaptionShift))))))</f>
        <v>0.99328157838884878</v>
      </c>
      <c r="GA183" s="469">
        <f ca="1">IF(OR(GA$169&lt;SwaptionFirstMonthPosition+1,$FN183&lt;SwaptionFirstMonthPosition+1,GA$169&gt;SwaptionFirstMonthPosition+SwaptionNumOfMonths+1,$FN183&gt;SwaptionFirstMonthPosition+SwaptionNumOfMonths+1),"",IF($FN183=GA$169,1,IF($FN183&lt;GA$169,INDEX($FO$170:$IH$241,GA$169,$FN183),SUMPRODUCT(INDEX($FO$325:$IH$396,GA$169,1+SwaptionShift):INDEX($FO$325:$IH$396,GA$169,SwaptionMonthsToGo+SwaptionShift),INDEX($FO$245:$IH$316,$FN183-GA$169,73-GA$169+SwaptionShift):INDEX($FO$245:$IH$316,$FN183-GA$169,72-GA$169+SwaptionMonthsToGo+SwaptionShift))/SQRT(SUM(INDEX($FO338:$IH338,1+SwaptionShift):INDEX($FO338:$IH338,SwaptionMonthsToGo+SwaptionShift))*SUM(INDEX($FO$325:$IH$396,GA$169,1+SwaptionShift):INDEX($FO$325:$IH$396,GA$169,SwaptionMonthsToGo+SwaptionShift))))))</f>
        <v>0.99686183068053869</v>
      </c>
      <c r="GB183" s="469">
        <f ca="1">IF(OR(GB$169&lt;SwaptionFirstMonthPosition+1,$FN183&lt;SwaptionFirstMonthPosition+1,GB$169&gt;SwaptionFirstMonthPosition+SwaptionNumOfMonths+1,$FN183&gt;SwaptionFirstMonthPosition+SwaptionNumOfMonths+1),"",IF($FN183=GB$169,1,IF($FN183&lt;GB$169,INDEX($FO$170:$IH$241,GB$169,$FN183),SUMPRODUCT(INDEX($FO$325:$IH$396,GB$169,1+SwaptionShift):INDEX($FO$325:$IH$396,GB$169,SwaptionMonthsToGo+SwaptionShift),INDEX($FO$245:$IH$316,$FN183-GB$169,73-GB$169+SwaptionShift):INDEX($FO$245:$IH$316,$FN183-GB$169,72-GB$169+SwaptionMonthsToGo+SwaptionShift))/SQRT(SUM(INDEX($FO338:$IH338,1+SwaptionShift):INDEX($FO338:$IH338,SwaptionMonthsToGo+SwaptionShift))*SUM(INDEX($FO$325:$IH$396,GB$169,1+SwaptionShift):INDEX($FO$325:$IH$396,GB$169,SwaptionMonthsToGo+SwaptionShift))))))</f>
        <v>1</v>
      </c>
      <c r="GC183" s="469" t="str">
        <f ca="1">IF(OR(GC$169&lt;SwaptionFirstMonthPosition+1,$FN183&lt;SwaptionFirstMonthPosition+1,GC$169&gt;SwaptionFirstMonthPosition+SwaptionNumOfMonths+1,$FN183&gt;SwaptionFirstMonthPosition+SwaptionNumOfMonths+1),"",IF($FN183=GC$169,1,IF($FN183&lt;GC$169,INDEX($FO$170:$IH$241,GC$169,$FN183),SUMPRODUCT(INDEX($FO$325:$IH$396,GC$169,1+SwaptionShift):INDEX($FO$325:$IH$396,GC$169,SwaptionMonthsToGo+SwaptionShift),INDEX($FO$245:$IH$316,$FN183-GC$169,73-GC$169+SwaptionShift):INDEX($FO$245:$IH$316,$FN183-GC$169,72-GC$169+SwaptionMonthsToGo+SwaptionShift))/SQRT(SUM(INDEX($FO338:$IH338,1+SwaptionShift):INDEX($FO338:$IH338,SwaptionMonthsToGo+SwaptionShift))*SUM(INDEX($FO$325:$IH$396,GC$169,1+SwaptionShift):INDEX($FO$325:$IH$396,GC$169,SwaptionMonthsToGo+SwaptionShift))))))</f>
        <v/>
      </c>
      <c r="GD183" s="469" t="str">
        <f ca="1">IF(OR(GD$169&lt;SwaptionFirstMonthPosition+1,$FN183&lt;SwaptionFirstMonthPosition+1,GD$169&gt;SwaptionFirstMonthPosition+SwaptionNumOfMonths+1,$FN183&gt;SwaptionFirstMonthPosition+SwaptionNumOfMonths+1),"",IF($FN183=GD$169,1,IF($FN183&lt;GD$169,INDEX($FO$170:$IH$241,GD$169,$FN183),SUMPRODUCT(INDEX($FO$325:$IH$396,GD$169,1+SwaptionShift):INDEX($FO$325:$IH$396,GD$169,SwaptionMonthsToGo+SwaptionShift),INDEX($FO$245:$IH$316,$FN183-GD$169,73-GD$169+SwaptionShift):INDEX($FO$245:$IH$316,$FN183-GD$169,72-GD$169+SwaptionMonthsToGo+SwaptionShift))/SQRT(SUM(INDEX($FO338:$IH338,1+SwaptionShift):INDEX($FO338:$IH338,SwaptionMonthsToGo+SwaptionShift))*SUM(INDEX($FO$325:$IH$396,GD$169,1+SwaptionShift):INDEX($FO$325:$IH$396,GD$169,SwaptionMonthsToGo+SwaptionShift))))))</f>
        <v/>
      </c>
      <c r="GE183" s="469" t="str">
        <f ca="1">IF(OR(GE$169&lt;SwaptionFirstMonthPosition+1,$FN183&lt;SwaptionFirstMonthPosition+1,GE$169&gt;SwaptionFirstMonthPosition+SwaptionNumOfMonths+1,$FN183&gt;SwaptionFirstMonthPosition+SwaptionNumOfMonths+1),"",IF($FN183=GE$169,1,IF($FN183&lt;GE$169,INDEX($FO$170:$IH$241,GE$169,$FN183),SUMPRODUCT(INDEX($FO$325:$IH$396,GE$169,1+SwaptionShift):INDEX($FO$325:$IH$396,GE$169,SwaptionMonthsToGo+SwaptionShift),INDEX($FO$245:$IH$316,$FN183-GE$169,73-GE$169+SwaptionShift):INDEX($FO$245:$IH$316,$FN183-GE$169,72-GE$169+SwaptionMonthsToGo+SwaptionShift))/SQRT(SUM(INDEX($FO338:$IH338,1+SwaptionShift):INDEX($FO338:$IH338,SwaptionMonthsToGo+SwaptionShift))*SUM(INDEX($FO$325:$IH$396,GE$169,1+SwaptionShift):INDEX($FO$325:$IH$396,GE$169,SwaptionMonthsToGo+SwaptionShift))))))</f>
        <v/>
      </c>
      <c r="GF183" s="469" t="str">
        <f ca="1">IF(OR(GF$169&lt;SwaptionFirstMonthPosition+1,$FN183&lt;SwaptionFirstMonthPosition+1,GF$169&gt;SwaptionFirstMonthPosition+SwaptionNumOfMonths+1,$FN183&gt;SwaptionFirstMonthPosition+SwaptionNumOfMonths+1),"",IF($FN183=GF$169,1,IF($FN183&lt;GF$169,INDEX($FO$170:$IH$241,GF$169,$FN183),SUMPRODUCT(INDEX($FO$325:$IH$396,GF$169,1+SwaptionShift):INDEX($FO$325:$IH$396,GF$169,SwaptionMonthsToGo+SwaptionShift),INDEX($FO$245:$IH$316,$FN183-GF$169,73-GF$169+SwaptionShift):INDEX($FO$245:$IH$316,$FN183-GF$169,72-GF$169+SwaptionMonthsToGo+SwaptionShift))/SQRT(SUM(INDEX($FO338:$IH338,1+SwaptionShift):INDEX($FO338:$IH338,SwaptionMonthsToGo+SwaptionShift))*SUM(INDEX($FO$325:$IH$396,GF$169,1+SwaptionShift):INDEX($FO$325:$IH$396,GF$169,SwaptionMonthsToGo+SwaptionShift))))))</f>
        <v/>
      </c>
      <c r="GG183" s="469" t="str">
        <f ca="1">IF(OR(GG$169&lt;SwaptionFirstMonthPosition+1,$FN183&lt;SwaptionFirstMonthPosition+1,GG$169&gt;SwaptionFirstMonthPosition+SwaptionNumOfMonths+1,$FN183&gt;SwaptionFirstMonthPosition+SwaptionNumOfMonths+1),"",IF($FN183=GG$169,1,IF($FN183&lt;GG$169,INDEX($FO$170:$IH$241,GG$169,$FN183),SUMPRODUCT(INDEX($FO$325:$IH$396,GG$169,1+SwaptionShift):INDEX($FO$325:$IH$396,GG$169,SwaptionMonthsToGo+SwaptionShift),INDEX($FO$245:$IH$316,$FN183-GG$169,73-GG$169+SwaptionShift):INDEX($FO$245:$IH$316,$FN183-GG$169,72-GG$169+SwaptionMonthsToGo+SwaptionShift))/SQRT(SUM(INDEX($FO338:$IH338,1+SwaptionShift):INDEX($FO338:$IH338,SwaptionMonthsToGo+SwaptionShift))*SUM(INDEX($FO$325:$IH$396,GG$169,1+SwaptionShift):INDEX($FO$325:$IH$396,GG$169,SwaptionMonthsToGo+SwaptionShift))))))</f>
        <v/>
      </c>
      <c r="GH183" s="469" t="str">
        <f ca="1">IF(OR(GH$169&lt;SwaptionFirstMonthPosition+1,$FN183&lt;SwaptionFirstMonthPosition+1,GH$169&gt;SwaptionFirstMonthPosition+SwaptionNumOfMonths+1,$FN183&gt;SwaptionFirstMonthPosition+SwaptionNumOfMonths+1),"",IF($FN183=GH$169,1,IF($FN183&lt;GH$169,INDEX($FO$170:$IH$241,GH$169,$FN183),SUMPRODUCT(INDEX($FO$325:$IH$396,GH$169,1+SwaptionShift):INDEX($FO$325:$IH$396,GH$169,SwaptionMonthsToGo+SwaptionShift),INDEX($FO$245:$IH$316,$FN183-GH$169,73-GH$169+SwaptionShift):INDEX($FO$245:$IH$316,$FN183-GH$169,72-GH$169+SwaptionMonthsToGo+SwaptionShift))/SQRT(SUM(INDEX($FO338:$IH338,1+SwaptionShift):INDEX($FO338:$IH338,SwaptionMonthsToGo+SwaptionShift))*SUM(INDEX($FO$325:$IH$396,GH$169,1+SwaptionShift):INDEX($FO$325:$IH$396,GH$169,SwaptionMonthsToGo+SwaptionShift))))))</f>
        <v/>
      </c>
      <c r="GI183" s="469" t="str">
        <f ca="1">IF(OR(GI$169&lt;SwaptionFirstMonthPosition+1,$FN183&lt;SwaptionFirstMonthPosition+1,GI$169&gt;SwaptionFirstMonthPosition+SwaptionNumOfMonths+1,$FN183&gt;SwaptionFirstMonthPosition+SwaptionNumOfMonths+1),"",IF($FN183=GI$169,1,IF($FN183&lt;GI$169,INDEX($FO$170:$IH$241,GI$169,$FN183),SUMPRODUCT(INDEX($FO$325:$IH$396,GI$169,1+SwaptionShift):INDEX($FO$325:$IH$396,GI$169,SwaptionMonthsToGo+SwaptionShift),INDEX($FO$245:$IH$316,$FN183-GI$169,73-GI$169+SwaptionShift):INDEX($FO$245:$IH$316,$FN183-GI$169,72-GI$169+SwaptionMonthsToGo+SwaptionShift))/SQRT(SUM(INDEX($FO338:$IH338,1+SwaptionShift):INDEX($FO338:$IH338,SwaptionMonthsToGo+SwaptionShift))*SUM(INDEX($FO$325:$IH$396,GI$169,1+SwaptionShift):INDEX($FO$325:$IH$396,GI$169,SwaptionMonthsToGo+SwaptionShift))))))</f>
        <v/>
      </c>
      <c r="GJ183" s="469" t="str">
        <f ca="1">IF(OR(GJ$169&lt;SwaptionFirstMonthPosition+1,$FN183&lt;SwaptionFirstMonthPosition+1,GJ$169&gt;SwaptionFirstMonthPosition+SwaptionNumOfMonths+1,$FN183&gt;SwaptionFirstMonthPosition+SwaptionNumOfMonths+1),"",IF($FN183=GJ$169,1,IF($FN183&lt;GJ$169,INDEX($FO$170:$IH$241,GJ$169,$FN183),SUMPRODUCT(INDEX($FO$325:$IH$396,GJ$169,1+SwaptionShift):INDEX($FO$325:$IH$396,GJ$169,SwaptionMonthsToGo+SwaptionShift),INDEX($FO$245:$IH$316,$FN183-GJ$169,73-GJ$169+SwaptionShift):INDEX($FO$245:$IH$316,$FN183-GJ$169,72-GJ$169+SwaptionMonthsToGo+SwaptionShift))/SQRT(SUM(INDEX($FO338:$IH338,1+SwaptionShift):INDEX($FO338:$IH338,SwaptionMonthsToGo+SwaptionShift))*SUM(INDEX($FO$325:$IH$396,GJ$169,1+SwaptionShift):INDEX($FO$325:$IH$396,GJ$169,SwaptionMonthsToGo+SwaptionShift))))))</f>
        <v/>
      </c>
      <c r="GK183" s="469" t="str">
        <f ca="1">IF(OR(GK$169&lt;SwaptionFirstMonthPosition+1,$FN183&lt;SwaptionFirstMonthPosition+1,GK$169&gt;SwaptionFirstMonthPosition+SwaptionNumOfMonths+1,$FN183&gt;SwaptionFirstMonthPosition+SwaptionNumOfMonths+1),"",IF($FN183=GK$169,1,IF($FN183&lt;GK$169,INDEX($FO$170:$IH$241,GK$169,$FN183),SUMPRODUCT(INDEX($FO$325:$IH$396,GK$169,1+SwaptionShift):INDEX($FO$325:$IH$396,GK$169,SwaptionMonthsToGo+SwaptionShift),INDEX($FO$245:$IH$316,$FN183-GK$169,73-GK$169+SwaptionShift):INDEX($FO$245:$IH$316,$FN183-GK$169,72-GK$169+SwaptionMonthsToGo+SwaptionShift))/SQRT(SUM(INDEX($FO338:$IH338,1+SwaptionShift):INDEX($FO338:$IH338,SwaptionMonthsToGo+SwaptionShift))*SUM(INDEX($FO$325:$IH$396,GK$169,1+SwaptionShift):INDEX($FO$325:$IH$396,GK$169,SwaptionMonthsToGo+SwaptionShift))))))</f>
        <v/>
      </c>
      <c r="GL183" s="469" t="str">
        <f ca="1">IF(OR(GL$169&lt;SwaptionFirstMonthPosition+1,$FN183&lt;SwaptionFirstMonthPosition+1,GL$169&gt;SwaptionFirstMonthPosition+SwaptionNumOfMonths+1,$FN183&gt;SwaptionFirstMonthPosition+SwaptionNumOfMonths+1),"",IF($FN183=GL$169,1,IF($FN183&lt;GL$169,INDEX($FO$170:$IH$241,GL$169,$FN183),SUMPRODUCT(INDEX($FO$325:$IH$396,GL$169,1+SwaptionShift):INDEX($FO$325:$IH$396,GL$169,SwaptionMonthsToGo+SwaptionShift),INDEX($FO$245:$IH$316,$FN183-GL$169,73-GL$169+SwaptionShift):INDEX($FO$245:$IH$316,$FN183-GL$169,72-GL$169+SwaptionMonthsToGo+SwaptionShift))/SQRT(SUM(INDEX($FO338:$IH338,1+SwaptionShift):INDEX($FO338:$IH338,SwaptionMonthsToGo+SwaptionShift))*SUM(INDEX($FO$325:$IH$396,GL$169,1+SwaptionShift):INDEX($FO$325:$IH$396,GL$169,SwaptionMonthsToGo+SwaptionShift))))))</f>
        <v/>
      </c>
      <c r="GM183" s="469" t="str">
        <f ca="1">IF(OR(GM$169&lt;SwaptionFirstMonthPosition+1,$FN183&lt;SwaptionFirstMonthPosition+1,GM$169&gt;SwaptionFirstMonthPosition+SwaptionNumOfMonths+1,$FN183&gt;SwaptionFirstMonthPosition+SwaptionNumOfMonths+1),"",IF($FN183=GM$169,1,IF($FN183&lt;GM$169,INDEX($FO$170:$IH$241,GM$169,$FN183),SUMPRODUCT(INDEX($FO$325:$IH$396,GM$169,1+SwaptionShift):INDEX($FO$325:$IH$396,GM$169,SwaptionMonthsToGo+SwaptionShift),INDEX($FO$245:$IH$316,$FN183-GM$169,73-GM$169+SwaptionShift):INDEX($FO$245:$IH$316,$FN183-GM$169,72-GM$169+SwaptionMonthsToGo+SwaptionShift))/SQRT(SUM(INDEX($FO338:$IH338,1+SwaptionShift):INDEX($FO338:$IH338,SwaptionMonthsToGo+SwaptionShift))*SUM(INDEX($FO$325:$IH$396,GM$169,1+SwaptionShift):INDEX($FO$325:$IH$396,GM$169,SwaptionMonthsToGo+SwaptionShift))))))</f>
        <v/>
      </c>
      <c r="GN183" s="469" t="str">
        <f ca="1">IF(OR(GN$169&lt;SwaptionFirstMonthPosition+1,$FN183&lt;SwaptionFirstMonthPosition+1,GN$169&gt;SwaptionFirstMonthPosition+SwaptionNumOfMonths+1,$FN183&gt;SwaptionFirstMonthPosition+SwaptionNumOfMonths+1),"",IF($FN183=GN$169,1,IF($FN183&lt;GN$169,INDEX($FO$170:$IH$241,GN$169,$FN183),SUMPRODUCT(INDEX($FO$325:$IH$396,GN$169,1+SwaptionShift):INDEX($FO$325:$IH$396,GN$169,SwaptionMonthsToGo+SwaptionShift),INDEX($FO$245:$IH$316,$FN183-GN$169,73-GN$169+SwaptionShift):INDEX($FO$245:$IH$316,$FN183-GN$169,72-GN$169+SwaptionMonthsToGo+SwaptionShift))/SQRT(SUM(INDEX($FO338:$IH338,1+SwaptionShift):INDEX($FO338:$IH338,SwaptionMonthsToGo+SwaptionShift))*SUM(INDEX($FO$325:$IH$396,GN$169,1+SwaptionShift):INDEX($FO$325:$IH$396,GN$169,SwaptionMonthsToGo+SwaptionShift))))))</f>
        <v/>
      </c>
      <c r="GO183" s="469" t="str">
        <f ca="1">IF(OR(GO$169&lt;SwaptionFirstMonthPosition+1,$FN183&lt;SwaptionFirstMonthPosition+1,GO$169&gt;SwaptionFirstMonthPosition+SwaptionNumOfMonths+1,$FN183&gt;SwaptionFirstMonthPosition+SwaptionNumOfMonths+1),"",IF($FN183=GO$169,1,IF($FN183&lt;GO$169,INDEX($FO$170:$IH$241,GO$169,$FN183),SUMPRODUCT(INDEX($FO$325:$IH$396,GO$169,1+SwaptionShift):INDEX($FO$325:$IH$396,GO$169,SwaptionMonthsToGo+SwaptionShift),INDEX($FO$245:$IH$316,$FN183-GO$169,73-GO$169+SwaptionShift):INDEX($FO$245:$IH$316,$FN183-GO$169,72-GO$169+SwaptionMonthsToGo+SwaptionShift))/SQRT(SUM(INDEX($FO338:$IH338,1+SwaptionShift):INDEX($FO338:$IH338,SwaptionMonthsToGo+SwaptionShift))*SUM(INDEX($FO$325:$IH$396,GO$169,1+SwaptionShift):INDEX($FO$325:$IH$396,GO$169,SwaptionMonthsToGo+SwaptionShift))))))</f>
        <v/>
      </c>
      <c r="GP183" s="469" t="str">
        <f ca="1">IF(OR(GP$169&lt;SwaptionFirstMonthPosition+1,$FN183&lt;SwaptionFirstMonthPosition+1,GP$169&gt;SwaptionFirstMonthPosition+SwaptionNumOfMonths+1,$FN183&gt;SwaptionFirstMonthPosition+SwaptionNumOfMonths+1),"",IF($FN183=GP$169,1,IF($FN183&lt;GP$169,INDEX($FO$170:$IH$241,GP$169,$FN183),SUMPRODUCT(INDEX($FO$325:$IH$396,GP$169,1+SwaptionShift):INDEX($FO$325:$IH$396,GP$169,SwaptionMonthsToGo+SwaptionShift),INDEX($FO$245:$IH$316,$FN183-GP$169,73-GP$169+SwaptionShift):INDEX($FO$245:$IH$316,$FN183-GP$169,72-GP$169+SwaptionMonthsToGo+SwaptionShift))/SQRT(SUM(INDEX($FO338:$IH338,1+SwaptionShift):INDEX($FO338:$IH338,SwaptionMonthsToGo+SwaptionShift))*SUM(INDEX($FO$325:$IH$396,GP$169,1+SwaptionShift):INDEX($FO$325:$IH$396,GP$169,SwaptionMonthsToGo+SwaptionShift))))))</f>
        <v/>
      </c>
      <c r="GQ183" s="469" t="str">
        <f ca="1">IF(OR(GQ$169&lt;SwaptionFirstMonthPosition+1,$FN183&lt;SwaptionFirstMonthPosition+1,GQ$169&gt;SwaptionFirstMonthPosition+SwaptionNumOfMonths+1,$FN183&gt;SwaptionFirstMonthPosition+SwaptionNumOfMonths+1),"",IF($FN183=GQ$169,1,IF($FN183&lt;GQ$169,INDEX($FO$170:$IH$241,GQ$169,$FN183),SUMPRODUCT(INDEX($FO$325:$IH$396,GQ$169,1+SwaptionShift):INDEX($FO$325:$IH$396,GQ$169,SwaptionMonthsToGo+SwaptionShift),INDEX($FO$245:$IH$316,$FN183-GQ$169,73-GQ$169+SwaptionShift):INDEX($FO$245:$IH$316,$FN183-GQ$169,72-GQ$169+SwaptionMonthsToGo+SwaptionShift))/SQRT(SUM(INDEX($FO338:$IH338,1+SwaptionShift):INDEX($FO338:$IH338,SwaptionMonthsToGo+SwaptionShift))*SUM(INDEX($FO$325:$IH$396,GQ$169,1+SwaptionShift):INDEX($FO$325:$IH$396,GQ$169,SwaptionMonthsToGo+SwaptionShift))))))</f>
        <v/>
      </c>
      <c r="GR183" s="469" t="str">
        <f ca="1">IF(OR(GR$169&lt;SwaptionFirstMonthPosition+1,$FN183&lt;SwaptionFirstMonthPosition+1,GR$169&gt;SwaptionFirstMonthPosition+SwaptionNumOfMonths+1,$FN183&gt;SwaptionFirstMonthPosition+SwaptionNumOfMonths+1),"",IF($FN183=GR$169,1,IF($FN183&lt;GR$169,INDEX($FO$170:$IH$241,GR$169,$FN183),SUMPRODUCT(INDEX($FO$325:$IH$396,GR$169,1+SwaptionShift):INDEX($FO$325:$IH$396,GR$169,SwaptionMonthsToGo+SwaptionShift),INDEX($FO$245:$IH$316,$FN183-GR$169,73-GR$169+SwaptionShift):INDEX($FO$245:$IH$316,$FN183-GR$169,72-GR$169+SwaptionMonthsToGo+SwaptionShift))/SQRT(SUM(INDEX($FO338:$IH338,1+SwaptionShift):INDEX($FO338:$IH338,SwaptionMonthsToGo+SwaptionShift))*SUM(INDEX($FO$325:$IH$396,GR$169,1+SwaptionShift):INDEX($FO$325:$IH$396,GR$169,SwaptionMonthsToGo+SwaptionShift))))))</f>
        <v/>
      </c>
      <c r="GS183" s="469" t="str">
        <f ca="1">IF(OR(GS$169&lt;SwaptionFirstMonthPosition+1,$FN183&lt;SwaptionFirstMonthPosition+1,GS$169&gt;SwaptionFirstMonthPosition+SwaptionNumOfMonths+1,$FN183&gt;SwaptionFirstMonthPosition+SwaptionNumOfMonths+1),"",IF($FN183=GS$169,1,IF($FN183&lt;GS$169,INDEX($FO$170:$IH$241,GS$169,$FN183),SUMPRODUCT(INDEX($FO$325:$IH$396,GS$169,1+SwaptionShift):INDEX($FO$325:$IH$396,GS$169,SwaptionMonthsToGo+SwaptionShift),INDEX($FO$245:$IH$316,$FN183-GS$169,73-GS$169+SwaptionShift):INDEX($FO$245:$IH$316,$FN183-GS$169,72-GS$169+SwaptionMonthsToGo+SwaptionShift))/SQRT(SUM(INDEX($FO338:$IH338,1+SwaptionShift):INDEX($FO338:$IH338,SwaptionMonthsToGo+SwaptionShift))*SUM(INDEX($FO$325:$IH$396,GS$169,1+SwaptionShift):INDEX($FO$325:$IH$396,GS$169,SwaptionMonthsToGo+SwaptionShift))))))</f>
        <v/>
      </c>
      <c r="GT183" s="469" t="str">
        <f ca="1">IF(OR(GT$169&lt;SwaptionFirstMonthPosition+1,$FN183&lt;SwaptionFirstMonthPosition+1,GT$169&gt;SwaptionFirstMonthPosition+SwaptionNumOfMonths+1,$FN183&gt;SwaptionFirstMonthPosition+SwaptionNumOfMonths+1),"",IF($FN183=GT$169,1,IF($FN183&lt;GT$169,INDEX($FO$170:$IH$241,GT$169,$FN183),SUMPRODUCT(INDEX($FO$325:$IH$396,GT$169,1+SwaptionShift):INDEX($FO$325:$IH$396,GT$169,SwaptionMonthsToGo+SwaptionShift),INDEX($FO$245:$IH$316,$FN183-GT$169,73-GT$169+SwaptionShift):INDEX($FO$245:$IH$316,$FN183-GT$169,72-GT$169+SwaptionMonthsToGo+SwaptionShift))/SQRT(SUM(INDEX($FO338:$IH338,1+SwaptionShift):INDEX($FO338:$IH338,SwaptionMonthsToGo+SwaptionShift))*SUM(INDEX($FO$325:$IH$396,GT$169,1+SwaptionShift):INDEX($FO$325:$IH$396,GT$169,SwaptionMonthsToGo+SwaptionShift))))))</f>
        <v/>
      </c>
      <c r="GU183" s="469" t="str">
        <f ca="1">IF(OR(GU$169&lt;SwaptionFirstMonthPosition+1,$FN183&lt;SwaptionFirstMonthPosition+1,GU$169&gt;SwaptionFirstMonthPosition+SwaptionNumOfMonths+1,$FN183&gt;SwaptionFirstMonthPosition+SwaptionNumOfMonths+1),"",IF($FN183=GU$169,1,IF($FN183&lt;GU$169,INDEX($FO$170:$IH$241,GU$169,$FN183),SUMPRODUCT(INDEX($FO$325:$IH$396,GU$169,1+SwaptionShift):INDEX($FO$325:$IH$396,GU$169,SwaptionMonthsToGo+SwaptionShift),INDEX($FO$245:$IH$316,$FN183-GU$169,73-GU$169+SwaptionShift):INDEX($FO$245:$IH$316,$FN183-GU$169,72-GU$169+SwaptionMonthsToGo+SwaptionShift))/SQRT(SUM(INDEX($FO338:$IH338,1+SwaptionShift):INDEX($FO338:$IH338,SwaptionMonthsToGo+SwaptionShift))*SUM(INDEX($FO$325:$IH$396,GU$169,1+SwaptionShift):INDEX($FO$325:$IH$396,GU$169,SwaptionMonthsToGo+SwaptionShift))))))</f>
        <v/>
      </c>
      <c r="GV183" s="469" t="str">
        <f ca="1">IF(OR(GV$169&lt;SwaptionFirstMonthPosition+1,$FN183&lt;SwaptionFirstMonthPosition+1,GV$169&gt;SwaptionFirstMonthPosition+SwaptionNumOfMonths+1,$FN183&gt;SwaptionFirstMonthPosition+SwaptionNumOfMonths+1),"",IF($FN183=GV$169,1,IF($FN183&lt;GV$169,INDEX($FO$170:$IH$241,GV$169,$FN183),SUMPRODUCT(INDEX($FO$325:$IH$396,GV$169,1+SwaptionShift):INDEX($FO$325:$IH$396,GV$169,SwaptionMonthsToGo+SwaptionShift),INDEX($FO$245:$IH$316,$FN183-GV$169,73-GV$169+SwaptionShift):INDEX($FO$245:$IH$316,$FN183-GV$169,72-GV$169+SwaptionMonthsToGo+SwaptionShift))/SQRT(SUM(INDEX($FO338:$IH338,1+SwaptionShift):INDEX($FO338:$IH338,SwaptionMonthsToGo+SwaptionShift))*SUM(INDEX($FO$325:$IH$396,GV$169,1+SwaptionShift):INDEX($FO$325:$IH$396,GV$169,SwaptionMonthsToGo+SwaptionShift))))))</f>
        <v/>
      </c>
      <c r="GW183" s="469" t="str">
        <f ca="1">IF(OR(GW$169&lt;SwaptionFirstMonthPosition+1,$FN183&lt;SwaptionFirstMonthPosition+1,GW$169&gt;SwaptionFirstMonthPosition+SwaptionNumOfMonths+1,$FN183&gt;SwaptionFirstMonthPosition+SwaptionNumOfMonths+1),"",IF($FN183=GW$169,1,IF($FN183&lt;GW$169,INDEX($FO$170:$IH$241,GW$169,$FN183),SUMPRODUCT(INDEX($FO$325:$IH$396,GW$169,1+SwaptionShift):INDEX($FO$325:$IH$396,GW$169,SwaptionMonthsToGo+SwaptionShift),INDEX($FO$245:$IH$316,$FN183-GW$169,73-GW$169+SwaptionShift):INDEX($FO$245:$IH$316,$FN183-GW$169,72-GW$169+SwaptionMonthsToGo+SwaptionShift))/SQRT(SUM(INDEX($FO338:$IH338,1+SwaptionShift):INDEX($FO338:$IH338,SwaptionMonthsToGo+SwaptionShift))*SUM(INDEX($FO$325:$IH$396,GW$169,1+SwaptionShift):INDEX($FO$325:$IH$396,GW$169,SwaptionMonthsToGo+SwaptionShift))))))</f>
        <v/>
      </c>
      <c r="GX183" s="469" t="str">
        <f ca="1">IF(OR(GX$169&lt;SwaptionFirstMonthPosition+1,$FN183&lt;SwaptionFirstMonthPosition+1,GX$169&gt;SwaptionFirstMonthPosition+SwaptionNumOfMonths+1,$FN183&gt;SwaptionFirstMonthPosition+SwaptionNumOfMonths+1),"",IF($FN183=GX$169,1,IF($FN183&lt;GX$169,INDEX($FO$170:$IH$241,GX$169,$FN183),SUMPRODUCT(INDEX($FO$325:$IH$396,GX$169,1+SwaptionShift):INDEX($FO$325:$IH$396,GX$169,SwaptionMonthsToGo+SwaptionShift),INDEX($FO$245:$IH$316,$FN183-GX$169,73-GX$169+SwaptionShift):INDEX($FO$245:$IH$316,$FN183-GX$169,72-GX$169+SwaptionMonthsToGo+SwaptionShift))/SQRT(SUM(INDEX($FO338:$IH338,1+SwaptionShift):INDEX($FO338:$IH338,SwaptionMonthsToGo+SwaptionShift))*SUM(INDEX($FO$325:$IH$396,GX$169,1+SwaptionShift):INDEX($FO$325:$IH$396,GX$169,SwaptionMonthsToGo+SwaptionShift))))))</f>
        <v/>
      </c>
      <c r="GY183" s="469" t="str">
        <f ca="1">IF(OR(GY$169&lt;SwaptionFirstMonthPosition+1,$FN183&lt;SwaptionFirstMonthPosition+1,GY$169&gt;SwaptionFirstMonthPosition+SwaptionNumOfMonths+1,$FN183&gt;SwaptionFirstMonthPosition+SwaptionNumOfMonths+1),"",IF($FN183=GY$169,1,IF($FN183&lt;GY$169,INDEX($FO$170:$IH$241,GY$169,$FN183),SUMPRODUCT(INDEX($FO$325:$IH$396,GY$169,1+SwaptionShift):INDEX($FO$325:$IH$396,GY$169,SwaptionMonthsToGo+SwaptionShift),INDEX($FO$245:$IH$316,$FN183-GY$169,73-GY$169+SwaptionShift):INDEX($FO$245:$IH$316,$FN183-GY$169,72-GY$169+SwaptionMonthsToGo+SwaptionShift))/SQRT(SUM(INDEX($FO338:$IH338,1+SwaptionShift):INDEX($FO338:$IH338,SwaptionMonthsToGo+SwaptionShift))*SUM(INDEX($FO$325:$IH$396,GY$169,1+SwaptionShift):INDEX($FO$325:$IH$396,GY$169,SwaptionMonthsToGo+SwaptionShift))))))</f>
        <v/>
      </c>
      <c r="GZ183" s="469" t="str">
        <f ca="1">IF(OR(GZ$169&lt;SwaptionFirstMonthPosition+1,$FN183&lt;SwaptionFirstMonthPosition+1,GZ$169&gt;SwaptionFirstMonthPosition+SwaptionNumOfMonths+1,$FN183&gt;SwaptionFirstMonthPosition+SwaptionNumOfMonths+1),"",IF($FN183=GZ$169,1,IF($FN183&lt;GZ$169,INDEX($FO$170:$IH$241,GZ$169,$FN183),SUMPRODUCT(INDEX($FO$325:$IH$396,GZ$169,1+SwaptionShift):INDEX($FO$325:$IH$396,GZ$169,SwaptionMonthsToGo+SwaptionShift),INDEX($FO$245:$IH$316,$FN183-GZ$169,73-GZ$169+SwaptionShift):INDEX($FO$245:$IH$316,$FN183-GZ$169,72-GZ$169+SwaptionMonthsToGo+SwaptionShift))/SQRT(SUM(INDEX($FO338:$IH338,1+SwaptionShift):INDEX($FO338:$IH338,SwaptionMonthsToGo+SwaptionShift))*SUM(INDEX($FO$325:$IH$396,GZ$169,1+SwaptionShift):INDEX($FO$325:$IH$396,GZ$169,SwaptionMonthsToGo+SwaptionShift))))))</f>
        <v/>
      </c>
      <c r="HA183" s="469" t="str">
        <f ca="1">IF(OR(HA$169&lt;SwaptionFirstMonthPosition+1,$FN183&lt;SwaptionFirstMonthPosition+1,HA$169&gt;SwaptionFirstMonthPosition+SwaptionNumOfMonths+1,$FN183&gt;SwaptionFirstMonthPosition+SwaptionNumOfMonths+1),"",IF($FN183=HA$169,1,IF($FN183&lt;HA$169,INDEX($FO$170:$IH$241,HA$169,$FN183),SUMPRODUCT(INDEX($FO$325:$IH$396,HA$169,1+SwaptionShift):INDEX($FO$325:$IH$396,HA$169,SwaptionMonthsToGo+SwaptionShift),INDEX($FO$245:$IH$316,$FN183-HA$169,73-HA$169+SwaptionShift):INDEX($FO$245:$IH$316,$FN183-HA$169,72-HA$169+SwaptionMonthsToGo+SwaptionShift))/SQRT(SUM(INDEX($FO338:$IH338,1+SwaptionShift):INDEX($FO338:$IH338,SwaptionMonthsToGo+SwaptionShift))*SUM(INDEX($FO$325:$IH$396,HA$169,1+SwaptionShift):INDEX($FO$325:$IH$396,HA$169,SwaptionMonthsToGo+SwaptionShift))))))</f>
        <v/>
      </c>
      <c r="HB183" s="469" t="str">
        <f ca="1">IF(OR(HB$169&lt;SwaptionFirstMonthPosition+1,$FN183&lt;SwaptionFirstMonthPosition+1,HB$169&gt;SwaptionFirstMonthPosition+SwaptionNumOfMonths+1,$FN183&gt;SwaptionFirstMonthPosition+SwaptionNumOfMonths+1),"",IF($FN183=HB$169,1,IF($FN183&lt;HB$169,INDEX($FO$170:$IH$241,HB$169,$FN183),SUMPRODUCT(INDEX($FO$325:$IH$396,HB$169,1+SwaptionShift):INDEX($FO$325:$IH$396,HB$169,SwaptionMonthsToGo+SwaptionShift),INDEX($FO$245:$IH$316,$FN183-HB$169,73-HB$169+SwaptionShift):INDEX($FO$245:$IH$316,$FN183-HB$169,72-HB$169+SwaptionMonthsToGo+SwaptionShift))/SQRT(SUM(INDEX($FO338:$IH338,1+SwaptionShift):INDEX($FO338:$IH338,SwaptionMonthsToGo+SwaptionShift))*SUM(INDEX($FO$325:$IH$396,HB$169,1+SwaptionShift):INDEX($FO$325:$IH$396,HB$169,SwaptionMonthsToGo+SwaptionShift))))))</f>
        <v/>
      </c>
      <c r="HC183" s="469" t="str">
        <f ca="1">IF(OR(HC$169&lt;SwaptionFirstMonthPosition+1,$FN183&lt;SwaptionFirstMonthPosition+1,HC$169&gt;SwaptionFirstMonthPosition+SwaptionNumOfMonths+1,$FN183&gt;SwaptionFirstMonthPosition+SwaptionNumOfMonths+1),"",IF($FN183=HC$169,1,IF($FN183&lt;HC$169,INDEX($FO$170:$IH$241,HC$169,$FN183),SUMPRODUCT(INDEX($FO$325:$IH$396,HC$169,1+SwaptionShift):INDEX($FO$325:$IH$396,HC$169,SwaptionMonthsToGo+SwaptionShift),INDEX($FO$245:$IH$316,$FN183-HC$169,73-HC$169+SwaptionShift):INDEX($FO$245:$IH$316,$FN183-HC$169,72-HC$169+SwaptionMonthsToGo+SwaptionShift))/SQRT(SUM(INDEX($FO338:$IH338,1+SwaptionShift):INDEX($FO338:$IH338,SwaptionMonthsToGo+SwaptionShift))*SUM(INDEX($FO$325:$IH$396,HC$169,1+SwaptionShift):INDEX($FO$325:$IH$396,HC$169,SwaptionMonthsToGo+SwaptionShift))))))</f>
        <v/>
      </c>
      <c r="HD183" s="469" t="str">
        <f ca="1">IF(OR(HD$169&lt;SwaptionFirstMonthPosition+1,$FN183&lt;SwaptionFirstMonthPosition+1,HD$169&gt;SwaptionFirstMonthPosition+SwaptionNumOfMonths+1,$FN183&gt;SwaptionFirstMonthPosition+SwaptionNumOfMonths+1),"",IF($FN183=HD$169,1,IF($FN183&lt;HD$169,INDEX($FO$170:$IH$241,HD$169,$FN183),SUMPRODUCT(INDEX($FO$325:$IH$396,HD$169,1+SwaptionShift):INDEX($FO$325:$IH$396,HD$169,SwaptionMonthsToGo+SwaptionShift),INDEX($FO$245:$IH$316,$FN183-HD$169,73-HD$169+SwaptionShift):INDEX($FO$245:$IH$316,$FN183-HD$169,72-HD$169+SwaptionMonthsToGo+SwaptionShift))/SQRT(SUM(INDEX($FO338:$IH338,1+SwaptionShift):INDEX($FO338:$IH338,SwaptionMonthsToGo+SwaptionShift))*SUM(INDEX($FO$325:$IH$396,HD$169,1+SwaptionShift):INDEX($FO$325:$IH$396,HD$169,SwaptionMonthsToGo+SwaptionShift))))))</f>
        <v/>
      </c>
      <c r="HE183" s="469" t="str">
        <f ca="1">IF(OR(HE$169&lt;SwaptionFirstMonthPosition+1,$FN183&lt;SwaptionFirstMonthPosition+1,HE$169&gt;SwaptionFirstMonthPosition+SwaptionNumOfMonths+1,$FN183&gt;SwaptionFirstMonthPosition+SwaptionNumOfMonths+1),"",IF($FN183=HE$169,1,IF($FN183&lt;HE$169,INDEX($FO$170:$IH$241,HE$169,$FN183),SUMPRODUCT(INDEX($FO$325:$IH$396,HE$169,1+SwaptionShift):INDEX($FO$325:$IH$396,HE$169,SwaptionMonthsToGo+SwaptionShift),INDEX($FO$245:$IH$316,$FN183-HE$169,73-HE$169+SwaptionShift):INDEX($FO$245:$IH$316,$FN183-HE$169,72-HE$169+SwaptionMonthsToGo+SwaptionShift))/SQRT(SUM(INDEX($FO338:$IH338,1+SwaptionShift):INDEX($FO338:$IH338,SwaptionMonthsToGo+SwaptionShift))*SUM(INDEX($FO$325:$IH$396,HE$169,1+SwaptionShift):INDEX($FO$325:$IH$396,HE$169,SwaptionMonthsToGo+SwaptionShift))))))</f>
        <v/>
      </c>
      <c r="HF183" s="469" t="str">
        <f ca="1">IF(OR(HF$169&lt;SwaptionFirstMonthPosition+1,$FN183&lt;SwaptionFirstMonthPosition+1,HF$169&gt;SwaptionFirstMonthPosition+SwaptionNumOfMonths+1,$FN183&gt;SwaptionFirstMonthPosition+SwaptionNumOfMonths+1),"",IF($FN183=HF$169,1,IF($FN183&lt;HF$169,INDEX($FO$170:$IH$241,HF$169,$FN183),SUMPRODUCT(INDEX($FO$325:$IH$396,HF$169,1+SwaptionShift):INDEX($FO$325:$IH$396,HF$169,SwaptionMonthsToGo+SwaptionShift),INDEX($FO$245:$IH$316,$FN183-HF$169,73-HF$169+SwaptionShift):INDEX($FO$245:$IH$316,$FN183-HF$169,72-HF$169+SwaptionMonthsToGo+SwaptionShift))/SQRT(SUM(INDEX($FO338:$IH338,1+SwaptionShift):INDEX($FO338:$IH338,SwaptionMonthsToGo+SwaptionShift))*SUM(INDEX($FO$325:$IH$396,HF$169,1+SwaptionShift):INDEX($FO$325:$IH$396,HF$169,SwaptionMonthsToGo+SwaptionShift))))))</f>
        <v/>
      </c>
      <c r="HG183" s="469" t="str">
        <f ca="1">IF(OR(HG$169&lt;SwaptionFirstMonthPosition+1,$FN183&lt;SwaptionFirstMonthPosition+1,HG$169&gt;SwaptionFirstMonthPosition+SwaptionNumOfMonths+1,$FN183&gt;SwaptionFirstMonthPosition+SwaptionNumOfMonths+1),"",IF($FN183=HG$169,1,IF($FN183&lt;HG$169,INDEX($FO$170:$IH$241,HG$169,$FN183),SUMPRODUCT(INDEX($FO$325:$IH$396,HG$169,1+SwaptionShift):INDEX($FO$325:$IH$396,HG$169,SwaptionMonthsToGo+SwaptionShift),INDEX($FO$245:$IH$316,$FN183-HG$169,73-HG$169+SwaptionShift):INDEX($FO$245:$IH$316,$FN183-HG$169,72-HG$169+SwaptionMonthsToGo+SwaptionShift))/SQRT(SUM(INDEX($FO338:$IH338,1+SwaptionShift):INDEX($FO338:$IH338,SwaptionMonthsToGo+SwaptionShift))*SUM(INDEX($FO$325:$IH$396,HG$169,1+SwaptionShift):INDEX($FO$325:$IH$396,HG$169,SwaptionMonthsToGo+SwaptionShift))))))</f>
        <v/>
      </c>
      <c r="HH183" s="469" t="str">
        <f ca="1">IF(OR(HH$169&lt;SwaptionFirstMonthPosition+1,$FN183&lt;SwaptionFirstMonthPosition+1,HH$169&gt;SwaptionFirstMonthPosition+SwaptionNumOfMonths+1,$FN183&gt;SwaptionFirstMonthPosition+SwaptionNumOfMonths+1),"",IF($FN183=HH$169,1,IF($FN183&lt;HH$169,INDEX($FO$170:$IH$241,HH$169,$FN183),SUMPRODUCT(INDEX($FO$325:$IH$396,HH$169,1+SwaptionShift):INDEX($FO$325:$IH$396,HH$169,SwaptionMonthsToGo+SwaptionShift),INDEX($FO$245:$IH$316,$FN183-HH$169,73-HH$169+SwaptionShift):INDEX($FO$245:$IH$316,$FN183-HH$169,72-HH$169+SwaptionMonthsToGo+SwaptionShift))/SQRT(SUM(INDEX($FO338:$IH338,1+SwaptionShift):INDEX($FO338:$IH338,SwaptionMonthsToGo+SwaptionShift))*SUM(INDEX($FO$325:$IH$396,HH$169,1+SwaptionShift):INDEX($FO$325:$IH$396,HH$169,SwaptionMonthsToGo+SwaptionShift))))))</f>
        <v/>
      </c>
      <c r="HI183" s="469" t="str">
        <f ca="1">IF(OR(HI$169&lt;SwaptionFirstMonthPosition+1,$FN183&lt;SwaptionFirstMonthPosition+1,HI$169&gt;SwaptionFirstMonthPosition+SwaptionNumOfMonths+1,$FN183&gt;SwaptionFirstMonthPosition+SwaptionNumOfMonths+1),"",IF($FN183=HI$169,1,IF($FN183&lt;HI$169,INDEX($FO$170:$IH$241,HI$169,$FN183),SUMPRODUCT(INDEX($FO$325:$IH$396,HI$169,1+SwaptionShift):INDEX($FO$325:$IH$396,HI$169,SwaptionMonthsToGo+SwaptionShift),INDEX($FO$245:$IH$316,$FN183-HI$169,73-HI$169+SwaptionShift):INDEX($FO$245:$IH$316,$FN183-HI$169,72-HI$169+SwaptionMonthsToGo+SwaptionShift))/SQRT(SUM(INDEX($FO338:$IH338,1+SwaptionShift):INDEX($FO338:$IH338,SwaptionMonthsToGo+SwaptionShift))*SUM(INDEX($FO$325:$IH$396,HI$169,1+SwaptionShift):INDEX($FO$325:$IH$396,HI$169,SwaptionMonthsToGo+SwaptionShift))))))</f>
        <v/>
      </c>
      <c r="HJ183" s="469" t="str">
        <f ca="1">IF(OR(HJ$169&lt;SwaptionFirstMonthPosition+1,$FN183&lt;SwaptionFirstMonthPosition+1,HJ$169&gt;SwaptionFirstMonthPosition+SwaptionNumOfMonths+1,$FN183&gt;SwaptionFirstMonthPosition+SwaptionNumOfMonths+1),"",IF($FN183=HJ$169,1,IF($FN183&lt;HJ$169,INDEX($FO$170:$IH$241,HJ$169,$FN183),SUMPRODUCT(INDEX($FO$325:$IH$396,HJ$169,1+SwaptionShift):INDEX($FO$325:$IH$396,HJ$169,SwaptionMonthsToGo+SwaptionShift),INDEX($FO$245:$IH$316,$FN183-HJ$169,73-HJ$169+SwaptionShift):INDEX($FO$245:$IH$316,$FN183-HJ$169,72-HJ$169+SwaptionMonthsToGo+SwaptionShift))/SQRT(SUM(INDEX($FO338:$IH338,1+SwaptionShift):INDEX($FO338:$IH338,SwaptionMonthsToGo+SwaptionShift))*SUM(INDEX($FO$325:$IH$396,HJ$169,1+SwaptionShift):INDEX($FO$325:$IH$396,HJ$169,SwaptionMonthsToGo+SwaptionShift))))))</f>
        <v/>
      </c>
      <c r="HK183" s="469" t="str">
        <f ca="1">IF(OR(HK$169&lt;SwaptionFirstMonthPosition+1,$FN183&lt;SwaptionFirstMonthPosition+1,HK$169&gt;SwaptionFirstMonthPosition+SwaptionNumOfMonths+1,$FN183&gt;SwaptionFirstMonthPosition+SwaptionNumOfMonths+1),"",IF($FN183=HK$169,1,IF($FN183&lt;HK$169,INDEX($FO$170:$IH$241,HK$169,$FN183),SUMPRODUCT(INDEX($FO$325:$IH$396,HK$169,1+SwaptionShift):INDEX($FO$325:$IH$396,HK$169,SwaptionMonthsToGo+SwaptionShift),INDEX($FO$245:$IH$316,$FN183-HK$169,73-HK$169+SwaptionShift):INDEX($FO$245:$IH$316,$FN183-HK$169,72-HK$169+SwaptionMonthsToGo+SwaptionShift))/SQRT(SUM(INDEX($FO338:$IH338,1+SwaptionShift):INDEX($FO338:$IH338,SwaptionMonthsToGo+SwaptionShift))*SUM(INDEX($FO$325:$IH$396,HK$169,1+SwaptionShift):INDEX($FO$325:$IH$396,HK$169,SwaptionMonthsToGo+SwaptionShift))))))</f>
        <v/>
      </c>
      <c r="HL183" s="469" t="str">
        <f ca="1">IF(OR(HL$169&lt;SwaptionFirstMonthPosition+1,$FN183&lt;SwaptionFirstMonthPosition+1,HL$169&gt;SwaptionFirstMonthPosition+SwaptionNumOfMonths+1,$FN183&gt;SwaptionFirstMonthPosition+SwaptionNumOfMonths+1),"",IF($FN183=HL$169,1,IF($FN183&lt;HL$169,INDEX($FO$170:$IH$241,HL$169,$FN183),SUMPRODUCT(INDEX($FO$325:$IH$396,HL$169,1+SwaptionShift):INDEX($FO$325:$IH$396,HL$169,SwaptionMonthsToGo+SwaptionShift),INDEX($FO$245:$IH$316,$FN183-HL$169,73-HL$169+SwaptionShift):INDEX($FO$245:$IH$316,$FN183-HL$169,72-HL$169+SwaptionMonthsToGo+SwaptionShift))/SQRT(SUM(INDEX($FO338:$IH338,1+SwaptionShift):INDEX($FO338:$IH338,SwaptionMonthsToGo+SwaptionShift))*SUM(INDEX($FO$325:$IH$396,HL$169,1+SwaptionShift):INDEX($FO$325:$IH$396,HL$169,SwaptionMonthsToGo+SwaptionShift))))))</f>
        <v/>
      </c>
      <c r="HM183" s="469" t="str">
        <f ca="1">IF(OR(HM$169&lt;SwaptionFirstMonthPosition+1,$FN183&lt;SwaptionFirstMonthPosition+1,HM$169&gt;SwaptionFirstMonthPosition+SwaptionNumOfMonths+1,$FN183&gt;SwaptionFirstMonthPosition+SwaptionNumOfMonths+1),"",IF($FN183=HM$169,1,IF($FN183&lt;HM$169,INDEX($FO$170:$IH$241,HM$169,$FN183),SUMPRODUCT(INDEX($FO$325:$IH$396,HM$169,1+SwaptionShift):INDEX($FO$325:$IH$396,HM$169,SwaptionMonthsToGo+SwaptionShift),INDEX($FO$245:$IH$316,$FN183-HM$169,73-HM$169+SwaptionShift):INDEX($FO$245:$IH$316,$FN183-HM$169,72-HM$169+SwaptionMonthsToGo+SwaptionShift))/SQRT(SUM(INDEX($FO338:$IH338,1+SwaptionShift):INDEX($FO338:$IH338,SwaptionMonthsToGo+SwaptionShift))*SUM(INDEX($FO$325:$IH$396,HM$169,1+SwaptionShift):INDEX($FO$325:$IH$396,HM$169,SwaptionMonthsToGo+SwaptionShift))))))</f>
        <v/>
      </c>
      <c r="HN183" s="469" t="str">
        <f ca="1">IF(OR(HN$169&lt;SwaptionFirstMonthPosition+1,$FN183&lt;SwaptionFirstMonthPosition+1,HN$169&gt;SwaptionFirstMonthPosition+SwaptionNumOfMonths+1,$FN183&gt;SwaptionFirstMonthPosition+SwaptionNumOfMonths+1),"",IF($FN183=HN$169,1,IF($FN183&lt;HN$169,INDEX($FO$170:$IH$241,HN$169,$FN183),SUMPRODUCT(INDEX($FO$325:$IH$396,HN$169,1+SwaptionShift):INDEX($FO$325:$IH$396,HN$169,SwaptionMonthsToGo+SwaptionShift),INDEX($FO$245:$IH$316,$FN183-HN$169,73-HN$169+SwaptionShift):INDEX($FO$245:$IH$316,$FN183-HN$169,72-HN$169+SwaptionMonthsToGo+SwaptionShift))/SQRT(SUM(INDEX($FO338:$IH338,1+SwaptionShift):INDEX($FO338:$IH338,SwaptionMonthsToGo+SwaptionShift))*SUM(INDEX($FO$325:$IH$396,HN$169,1+SwaptionShift):INDEX($FO$325:$IH$396,HN$169,SwaptionMonthsToGo+SwaptionShift))))))</f>
        <v/>
      </c>
      <c r="HO183" s="469" t="str">
        <f ca="1">IF(OR(HO$169&lt;SwaptionFirstMonthPosition+1,$FN183&lt;SwaptionFirstMonthPosition+1,HO$169&gt;SwaptionFirstMonthPosition+SwaptionNumOfMonths+1,$FN183&gt;SwaptionFirstMonthPosition+SwaptionNumOfMonths+1),"",IF($FN183=HO$169,1,IF($FN183&lt;HO$169,INDEX($FO$170:$IH$241,HO$169,$FN183),SUMPRODUCT(INDEX($FO$325:$IH$396,HO$169,1+SwaptionShift):INDEX($FO$325:$IH$396,HO$169,SwaptionMonthsToGo+SwaptionShift),INDEX($FO$245:$IH$316,$FN183-HO$169,73-HO$169+SwaptionShift):INDEX($FO$245:$IH$316,$FN183-HO$169,72-HO$169+SwaptionMonthsToGo+SwaptionShift))/SQRT(SUM(INDEX($FO338:$IH338,1+SwaptionShift):INDEX($FO338:$IH338,SwaptionMonthsToGo+SwaptionShift))*SUM(INDEX($FO$325:$IH$396,HO$169,1+SwaptionShift):INDEX($FO$325:$IH$396,HO$169,SwaptionMonthsToGo+SwaptionShift))))))</f>
        <v/>
      </c>
      <c r="HP183" s="469" t="str">
        <f ca="1">IF(OR(HP$169&lt;SwaptionFirstMonthPosition+1,$FN183&lt;SwaptionFirstMonthPosition+1,HP$169&gt;SwaptionFirstMonthPosition+SwaptionNumOfMonths+1,$FN183&gt;SwaptionFirstMonthPosition+SwaptionNumOfMonths+1),"",IF($FN183=HP$169,1,IF($FN183&lt;HP$169,INDEX($FO$170:$IH$241,HP$169,$FN183),SUMPRODUCT(INDEX($FO$325:$IH$396,HP$169,1+SwaptionShift):INDEX($FO$325:$IH$396,HP$169,SwaptionMonthsToGo+SwaptionShift),INDEX($FO$245:$IH$316,$FN183-HP$169,73-HP$169+SwaptionShift):INDEX($FO$245:$IH$316,$FN183-HP$169,72-HP$169+SwaptionMonthsToGo+SwaptionShift))/SQRT(SUM(INDEX($FO338:$IH338,1+SwaptionShift):INDEX($FO338:$IH338,SwaptionMonthsToGo+SwaptionShift))*SUM(INDEX($FO$325:$IH$396,HP$169,1+SwaptionShift):INDEX($FO$325:$IH$396,HP$169,SwaptionMonthsToGo+SwaptionShift))))))</f>
        <v/>
      </c>
      <c r="HQ183" s="469" t="str">
        <f ca="1">IF(OR(HQ$169&lt;SwaptionFirstMonthPosition+1,$FN183&lt;SwaptionFirstMonthPosition+1,HQ$169&gt;SwaptionFirstMonthPosition+SwaptionNumOfMonths+1,$FN183&gt;SwaptionFirstMonthPosition+SwaptionNumOfMonths+1),"",IF($FN183=HQ$169,1,IF($FN183&lt;HQ$169,INDEX($FO$170:$IH$241,HQ$169,$FN183),SUMPRODUCT(INDEX($FO$325:$IH$396,HQ$169,1+SwaptionShift):INDEX($FO$325:$IH$396,HQ$169,SwaptionMonthsToGo+SwaptionShift),INDEX($FO$245:$IH$316,$FN183-HQ$169,73-HQ$169+SwaptionShift):INDEX($FO$245:$IH$316,$FN183-HQ$169,72-HQ$169+SwaptionMonthsToGo+SwaptionShift))/SQRT(SUM(INDEX($FO338:$IH338,1+SwaptionShift):INDEX($FO338:$IH338,SwaptionMonthsToGo+SwaptionShift))*SUM(INDEX($FO$325:$IH$396,HQ$169,1+SwaptionShift):INDEX($FO$325:$IH$396,HQ$169,SwaptionMonthsToGo+SwaptionShift))))))</f>
        <v/>
      </c>
      <c r="HR183" s="469" t="str">
        <f ca="1">IF(OR(HR$169&lt;SwaptionFirstMonthPosition+1,$FN183&lt;SwaptionFirstMonthPosition+1,HR$169&gt;SwaptionFirstMonthPosition+SwaptionNumOfMonths+1,$FN183&gt;SwaptionFirstMonthPosition+SwaptionNumOfMonths+1),"",IF($FN183=HR$169,1,IF($FN183&lt;HR$169,INDEX($FO$170:$IH$241,HR$169,$FN183),SUMPRODUCT(INDEX($FO$325:$IH$396,HR$169,1+SwaptionShift):INDEX($FO$325:$IH$396,HR$169,SwaptionMonthsToGo+SwaptionShift),INDEX($FO$245:$IH$316,$FN183-HR$169,73-HR$169+SwaptionShift):INDEX($FO$245:$IH$316,$FN183-HR$169,72-HR$169+SwaptionMonthsToGo+SwaptionShift))/SQRT(SUM(INDEX($FO338:$IH338,1+SwaptionShift):INDEX($FO338:$IH338,SwaptionMonthsToGo+SwaptionShift))*SUM(INDEX($FO$325:$IH$396,HR$169,1+SwaptionShift):INDEX($FO$325:$IH$396,HR$169,SwaptionMonthsToGo+SwaptionShift))))))</f>
        <v/>
      </c>
      <c r="HS183" s="469" t="str">
        <f ca="1">IF(OR(HS$169&lt;SwaptionFirstMonthPosition+1,$FN183&lt;SwaptionFirstMonthPosition+1,HS$169&gt;SwaptionFirstMonthPosition+SwaptionNumOfMonths+1,$FN183&gt;SwaptionFirstMonthPosition+SwaptionNumOfMonths+1),"",IF($FN183=HS$169,1,IF($FN183&lt;HS$169,INDEX($FO$170:$IH$241,HS$169,$FN183),SUMPRODUCT(INDEX($FO$325:$IH$396,HS$169,1+SwaptionShift):INDEX($FO$325:$IH$396,HS$169,SwaptionMonthsToGo+SwaptionShift),INDEX($FO$245:$IH$316,$FN183-HS$169,73-HS$169+SwaptionShift):INDEX($FO$245:$IH$316,$FN183-HS$169,72-HS$169+SwaptionMonthsToGo+SwaptionShift))/SQRT(SUM(INDEX($FO338:$IH338,1+SwaptionShift):INDEX($FO338:$IH338,SwaptionMonthsToGo+SwaptionShift))*SUM(INDEX($FO$325:$IH$396,HS$169,1+SwaptionShift):INDEX($FO$325:$IH$396,HS$169,SwaptionMonthsToGo+SwaptionShift))))))</f>
        <v/>
      </c>
      <c r="HT183" s="469" t="str">
        <f ca="1">IF(OR(HT$169&lt;SwaptionFirstMonthPosition+1,$FN183&lt;SwaptionFirstMonthPosition+1,HT$169&gt;SwaptionFirstMonthPosition+SwaptionNumOfMonths+1,$FN183&gt;SwaptionFirstMonthPosition+SwaptionNumOfMonths+1),"",IF($FN183=HT$169,1,IF($FN183&lt;HT$169,INDEX($FO$170:$IH$241,HT$169,$FN183),SUMPRODUCT(INDEX($FO$325:$IH$396,HT$169,1+SwaptionShift):INDEX($FO$325:$IH$396,HT$169,SwaptionMonthsToGo+SwaptionShift),INDEX($FO$245:$IH$316,$FN183-HT$169,73-HT$169+SwaptionShift):INDEX($FO$245:$IH$316,$FN183-HT$169,72-HT$169+SwaptionMonthsToGo+SwaptionShift))/SQRT(SUM(INDEX($FO338:$IH338,1+SwaptionShift):INDEX($FO338:$IH338,SwaptionMonthsToGo+SwaptionShift))*SUM(INDEX($FO$325:$IH$396,HT$169,1+SwaptionShift):INDEX($FO$325:$IH$396,HT$169,SwaptionMonthsToGo+SwaptionShift))))))</f>
        <v/>
      </c>
      <c r="HU183" s="469" t="str">
        <f ca="1">IF(OR(HU$169&lt;SwaptionFirstMonthPosition+1,$FN183&lt;SwaptionFirstMonthPosition+1,HU$169&gt;SwaptionFirstMonthPosition+SwaptionNumOfMonths+1,$FN183&gt;SwaptionFirstMonthPosition+SwaptionNumOfMonths+1),"",IF($FN183=HU$169,1,IF($FN183&lt;HU$169,INDEX($FO$170:$IH$241,HU$169,$FN183),SUMPRODUCT(INDEX($FO$325:$IH$396,HU$169,1+SwaptionShift):INDEX($FO$325:$IH$396,HU$169,SwaptionMonthsToGo+SwaptionShift),INDEX($FO$245:$IH$316,$FN183-HU$169,73-HU$169+SwaptionShift):INDEX($FO$245:$IH$316,$FN183-HU$169,72-HU$169+SwaptionMonthsToGo+SwaptionShift))/SQRT(SUM(INDEX($FO338:$IH338,1+SwaptionShift):INDEX($FO338:$IH338,SwaptionMonthsToGo+SwaptionShift))*SUM(INDEX($FO$325:$IH$396,HU$169,1+SwaptionShift):INDEX($FO$325:$IH$396,HU$169,SwaptionMonthsToGo+SwaptionShift))))))</f>
        <v/>
      </c>
      <c r="HV183" s="469" t="str">
        <f ca="1">IF(OR(HV$169&lt;SwaptionFirstMonthPosition+1,$FN183&lt;SwaptionFirstMonthPosition+1,HV$169&gt;SwaptionFirstMonthPosition+SwaptionNumOfMonths+1,$FN183&gt;SwaptionFirstMonthPosition+SwaptionNumOfMonths+1),"",IF($FN183=HV$169,1,IF($FN183&lt;HV$169,INDEX($FO$170:$IH$241,HV$169,$FN183),SUMPRODUCT(INDEX($FO$325:$IH$396,HV$169,1+SwaptionShift):INDEX($FO$325:$IH$396,HV$169,SwaptionMonthsToGo+SwaptionShift),INDEX($FO$245:$IH$316,$FN183-HV$169,73-HV$169+SwaptionShift):INDEX($FO$245:$IH$316,$FN183-HV$169,72-HV$169+SwaptionMonthsToGo+SwaptionShift))/SQRT(SUM(INDEX($FO338:$IH338,1+SwaptionShift):INDEX($FO338:$IH338,SwaptionMonthsToGo+SwaptionShift))*SUM(INDEX($FO$325:$IH$396,HV$169,1+SwaptionShift):INDEX($FO$325:$IH$396,HV$169,SwaptionMonthsToGo+SwaptionShift))))))</f>
        <v/>
      </c>
      <c r="HW183" s="469" t="str">
        <f ca="1">IF(OR(HW$169&lt;SwaptionFirstMonthPosition+1,$FN183&lt;SwaptionFirstMonthPosition+1,HW$169&gt;SwaptionFirstMonthPosition+SwaptionNumOfMonths+1,$FN183&gt;SwaptionFirstMonthPosition+SwaptionNumOfMonths+1),"",IF($FN183=HW$169,1,IF($FN183&lt;HW$169,INDEX($FO$170:$IH$241,HW$169,$FN183),SUMPRODUCT(INDEX($FO$325:$IH$396,HW$169,1+SwaptionShift):INDEX($FO$325:$IH$396,HW$169,SwaptionMonthsToGo+SwaptionShift),INDEX($FO$245:$IH$316,$FN183-HW$169,73-HW$169+SwaptionShift):INDEX($FO$245:$IH$316,$FN183-HW$169,72-HW$169+SwaptionMonthsToGo+SwaptionShift))/SQRT(SUM(INDEX($FO338:$IH338,1+SwaptionShift):INDEX($FO338:$IH338,SwaptionMonthsToGo+SwaptionShift))*SUM(INDEX($FO$325:$IH$396,HW$169,1+SwaptionShift):INDEX($FO$325:$IH$396,HW$169,SwaptionMonthsToGo+SwaptionShift))))))</f>
        <v/>
      </c>
      <c r="HX183" s="469" t="str">
        <f ca="1">IF(OR(HX$169&lt;SwaptionFirstMonthPosition+1,$FN183&lt;SwaptionFirstMonthPosition+1,HX$169&gt;SwaptionFirstMonthPosition+SwaptionNumOfMonths+1,$FN183&gt;SwaptionFirstMonthPosition+SwaptionNumOfMonths+1),"",IF($FN183=HX$169,1,IF($FN183&lt;HX$169,INDEX($FO$170:$IH$241,HX$169,$FN183),SUMPRODUCT(INDEX($FO$325:$IH$396,HX$169,1+SwaptionShift):INDEX($FO$325:$IH$396,HX$169,SwaptionMonthsToGo+SwaptionShift),INDEX($FO$245:$IH$316,$FN183-HX$169,73-HX$169+SwaptionShift):INDEX($FO$245:$IH$316,$FN183-HX$169,72-HX$169+SwaptionMonthsToGo+SwaptionShift))/SQRT(SUM(INDEX($FO338:$IH338,1+SwaptionShift):INDEX($FO338:$IH338,SwaptionMonthsToGo+SwaptionShift))*SUM(INDEX($FO$325:$IH$396,HX$169,1+SwaptionShift):INDEX($FO$325:$IH$396,HX$169,SwaptionMonthsToGo+SwaptionShift))))))</f>
        <v/>
      </c>
      <c r="HY183" s="469" t="str">
        <f ca="1">IF(OR(HY$169&lt;SwaptionFirstMonthPosition+1,$FN183&lt;SwaptionFirstMonthPosition+1,HY$169&gt;SwaptionFirstMonthPosition+SwaptionNumOfMonths+1,$FN183&gt;SwaptionFirstMonthPosition+SwaptionNumOfMonths+1),"",IF($FN183=HY$169,1,IF($FN183&lt;HY$169,INDEX($FO$170:$IH$241,HY$169,$FN183),SUMPRODUCT(INDEX($FO$325:$IH$396,HY$169,1+SwaptionShift):INDEX($FO$325:$IH$396,HY$169,SwaptionMonthsToGo+SwaptionShift),INDEX($FO$245:$IH$316,$FN183-HY$169,73-HY$169+SwaptionShift):INDEX($FO$245:$IH$316,$FN183-HY$169,72-HY$169+SwaptionMonthsToGo+SwaptionShift))/SQRT(SUM(INDEX($FO338:$IH338,1+SwaptionShift):INDEX($FO338:$IH338,SwaptionMonthsToGo+SwaptionShift))*SUM(INDEX($FO$325:$IH$396,HY$169,1+SwaptionShift):INDEX($FO$325:$IH$396,HY$169,SwaptionMonthsToGo+SwaptionShift))))))</f>
        <v/>
      </c>
      <c r="HZ183" s="469" t="str">
        <f ca="1">IF(OR(HZ$169&lt;SwaptionFirstMonthPosition+1,$FN183&lt;SwaptionFirstMonthPosition+1,HZ$169&gt;SwaptionFirstMonthPosition+SwaptionNumOfMonths+1,$FN183&gt;SwaptionFirstMonthPosition+SwaptionNumOfMonths+1),"",IF($FN183=HZ$169,1,IF($FN183&lt;HZ$169,INDEX($FO$170:$IH$241,HZ$169,$FN183),SUMPRODUCT(INDEX($FO$325:$IH$396,HZ$169,1+SwaptionShift):INDEX($FO$325:$IH$396,HZ$169,SwaptionMonthsToGo+SwaptionShift),INDEX($FO$245:$IH$316,$FN183-HZ$169,73-HZ$169+SwaptionShift):INDEX($FO$245:$IH$316,$FN183-HZ$169,72-HZ$169+SwaptionMonthsToGo+SwaptionShift))/SQRT(SUM(INDEX($FO338:$IH338,1+SwaptionShift):INDEX($FO338:$IH338,SwaptionMonthsToGo+SwaptionShift))*SUM(INDEX($FO$325:$IH$396,HZ$169,1+SwaptionShift):INDEX($FO$325:$IH$396,HZ$169,SwaptionMonthsToGo+SwaptionShift))))))</f>
        <v/>
      </c>
      <c r="IA183" s="469" t="str">
        <f ca="1">IF(OR(IA$169&lt;SwaptionFirstMonthPosition+1,$FN183&lt;SwaptionFirstMonthPosition+1,IA$169&gt;SwaptionFirstMonthPosition+SwaptionNumOfMonths+1,$FN183&gt;SwaptionFirstMonthPosition+SwaptionNumOfMonths+1),"",IF($FN183=IA$169,1,IF($FN183&lt;IA$169,INDEX($FO$170:$IH$241,IA$169,$FN183),SUMPRODUCT(INDEX($FO$325:$IH$396,IA$169,1+SwaptionShift):INDEX($FO$325:$IH$396,IA$169,SwaptionMonthsToGo+SwaptionShift),INDEX($FO$245:$IH$316,$FN183-IA$169,73-IA$169+SwaptionShift):INDEX($FO$245:$IH$316,$FN183-IA$169,72-IA$169+SwaptionMonthsToGo+SwaptionShift))/SQRT(SUM(INDEX($FO338:$IH338,1+SwaptionShift):INDEX($FO338:$IH338,SwaptionMonthsToGo+SwaptionShift))*SUM(INDEX($FO$325:$IH$396,IA$169,1+SwaptionShift):INDEX($FO$325:$IH$396,IA$169,SwaptionMonthsToGo+SwaptionShift))))))</f>
        <v/>
      </c>
      <c r="IB183" s="469" t="str">
        <f ca="1">IF(OR(IB$169&lt;SwaptionFirstMonthPosition+1,$FN183&lt;SwaptionFirstMonthPosition+1,IB$169&gt;SwaptionFirstMonthPosition+SwaptionNumOfMonths+1,$FN183&gt;SwaptionFirstMonthPosition+SwaptionNumOfMonths+1),"",IF($FN183=IB$169,1,IF($FN183&lt;IB$169,INDEX($FO$170:$IH$241,IB$169,$FN183),SUMPRODUCT(INDEX($FO$325:$IH$396,IB$169,1+SwaptionShift):INDEX($FO$325:$IH$396,IB$169,SwaptionMonthsToGo+SwaptionShift),INDEX($FO$245:$IH$316,$FN183-IB$169,73-IB$169+SwaptionShift):INDEX($FO$245:$IH$316,$FN183-IB$169,72-IB$169+SwaptionMonthsToGo+SwaptionShift))/SQRT(SUM(INDEX($FO338:$IH338,1+SwaptionShift):INDEX($FO338:$IH338,SwaptionMonthsToGo+SwaptionShift))*SUM(INDEX($FO$325:$IH$396,IB$169,1+SwaptionShift):INDEX($FO$325:$IH$396,IB$169,SwaptionMonthsToGo+SwaptionShift))))))</f>
        <v/>
      </c>
      <c r="IC183" s="469" t="str">
        <f ca="1">IF(OR(IC$169&lt;SwaptionFirstMonthPosition+1,$FN183&lt;SwaptionFirstMonthPosition+1,IC$169&gt;SwaptionFirstMonthPosition+SwaptionNumOfMonths+1,$FN183&gt;SwaptionFirstMonthPosition+SwaptionNumOfMonths+1),"",IF($FN183=IC$169,1,IF($FN183&lt;IC$169,INDEX($FO$170:$IH$241,IC$169,$FN183),SUMPRODUCT(INDEX($FO$325:$IH$396,IC$169,1+SwaptionShift):INDEX($FO$325:$IH$396,IC$169,SwaptionMonthsToGo+SwaptionShift),INDEX($FO$245:$IH$316,$FN183-IC$169,73-IC$169+SwaptionShift):INDEX($FO$245:$IH$316,$FN183-IC$169,72-IC$169+SwaptionMonthsToGo+SwaptionShift))/SQRT(SUM(INDEX($FO338:$IH338,1+SwaptionShift):INDEX($FO338:$IH338,SwaptionMonthsToGo+SwaptionShift))*SUM(INDEX($FO$325:$IH$396,IC$169,1+SwaptionShift):INDEX($FO$325:$IH$396,IC$169,SwaptionMonthsToGo+SwaptionShift))))))</f>
        <v/>
      </c>
      <c r="ID183" s="469" t="str">
        <f ca="1">IF(OR(ID$169&lt;SwaptionFirstMonthPosition+1,$FN183&lt;SwaptionFirstMonthPosition+1,ID$169&gt;SwaptionFirstMonthPosition+SwaptionNumOfMonths+1,$FN183&gt;SwaptionFirstMonthPosition+SwaptionNumOfMonths+1),"",IF($FN183=ID$169,1,IF($FN183&lt;ID$169,INDEX($FO$170:$IH$241,ID$169,$FN183),SUMPRODUCT(INDEX($FO$325:$IH$396,ID$169,1+SwaptionShift):INDEX($FO$325:$IH$396,ID$169,SwaptionMonthsToGo+SwaptionShift),INDEX($FO$245:$IH$316,$FN183-ID$169,73-ID$169+SwaptionShift):INDEX($FO$245:$IH$316,$FN183-ID$169,72-ID$169+SwaptionMonthsToGo+SwaptionShift))/SQRT(SUM(INDEX($FO338:$IH338,1+SwaptionShift):INDEX($FO338:$IH338,SwaptionMonthsToGo+SwaptionShift))*SUM(INDEX($FO$325:$IH$396,ID$169,1+SwaptionShift):INDEX($FO$325:$IH$396,ID$169,SwaptionMonthsToGo+SwaptionShift))))))</f>
        <v/>
      </c>
      <c r="IE183" s="469" t="str">
        <f ca="1">IF(OR(IE$169&lt;SwaptionFirstMonthPosition+1,$FN183&lt;SwaptionFirstMonthPosition+1,IE$169&gt;SwaptionFirstMonthPosition+SwaptionNumOfMonths+1,$FN183&gt;SwaptionFirstMonthPosition+SwaptionNumOfMonths+1),"",IF($FN183=IE$169,1,IF($FN183&lt;IE$169,INDEX($FO$170:$IH$241,IE$169,$FN183),SUMPRODUCT(INDEX($FO$325:$IH$396,IE$169,1+SwaptionShift):INDEX($FO$325:$IH$396,IE$169,SwaptionMonthsToGo+SwaptionShift),INDEX($FO$245:$IH$316,$FN183-IE$169,73-IE$169+SwaptionShift):INDEX($FO$245:$IH$316,$FN183-IE$169,72-IE$169+SwaptionMonthsToGo+SwaptionShift))/SQRT(SUM(INDEX($FO338:$IH338,1+SwaptionShift):INDEX($FO338:$IH338,SwaptionMonthsToGo+SwaptionShift))*SUM(INDEX($FO$325:$IH$396,IE$169,1+SwaptionShift):INDEX($FO$325:$IH$396,IE$169,SwaptionMonthsToGo+SwaptionShift))))))</f>
        <v/>
      </c>
      <c r="IF183" s="469" t="str">
        <f ca="1">IF(OR(IF$169&lt;SwaptionFirstMonthPosition+1,$FN183&lt;SwaptionFirstMonthPosition+1,IF$169&gt;SwaptionFirstMonthPosition+SwaptionNumOfMonths+1,$FN183&gt;SwaptionFirstMonthPosition+SwaptionNumOfMonths+1),"",IF($FN183=IF$169,1,IF($FN183&lt;IF$169,INDEX($FO$170:$IH$241,IF$169,$FN183),SUMPRODUCT(INDEX($FO$325:$IH$396,IF$169,1+SwaptionShift):INDEX($FO$325:$IH$396,IF$169,SwaptionMonthsToGo+SwaptionShift),INDEX($FO$245:$IH$316,$FN183-IF$169,73-IF$169+SwaptionShift):INDEX($FO$245:$IH$316,$FN183-IF$169,72-IF$169+SwaptionMonthsToGo+SwaptionShift))/SQRT(SUM(INDEX($FO338:$IH338,1+SwaptionShift):INDEX($FO338:$IH338,SwaptionMonthsToGo+SwaptionShift))*SUM(INDEX($FO$325:$IH$396,IF$169,1+SwaptionShift):INDEX($FO$325:$IH$396,IF$169,SwaptionMonthsToGo+SwaptionShift))))))</f>
        <v/>
      </c>
      <c r="IG183" s="469" t="str">
        <f ca="1">IF(OR(IG$169&lt;SwaptionFirstMonthPosition+1,$FN183&lt;SwaptionFirstMonthPosition+1,IG$169&gt;SwaptionFirstMonthPosition+SwaptionNumOfMonths+1,$FN183&gt;SwaptionFirstMonthPosition+SwaptionNumOfMonths+1),"",IF($FN183=IG$169,1,IF($FN183&lt;IG$169,INDEX($FO$170:$IH$241,IG$169,$FN183),SUMPRODUCT(INDEX($FO$325:$IH$396,IG$169,1+SwaptionShift):INDEX($FO$325:$IH$396,IG$169,SwaptionMonthsToGo+SwaptionShift),INDEX($FO$245:$IH$316,$FN183-IG$169,73-IG$169+SwaptionShift):INDEX($FO$245:$IH$316,$FN183-IG$169,72-IG$169+SwaptionMonthsToGo+SwaptionShift))/SQRT(SUM(INDEX($FO338:$IH338,1+SwaptionShift):INDEX($FO338:$IH338,SwaptionMonthsToGo+SwaptionShift))*SUM(INDEX($FO$325:$IH$396,IG$169,1+SwaptionShift):INDEX($FO$325:$IH$396,IG$169,SwaptionMonthsToGo+SwaptionShift))))))</f>
        <v/>
      </c>
      <c r="IH183" s="662" t="str">
        <f ca="1">IF(OR(IH$169&lt;SwaptionFirstMonthPosition+1,$FN183&lt;SwaptionFirstMonthPosition+1,IH$169&gt;SwaptionFirstMonthPosition+SwaptionNumOfMonths+1,$FN183&gt;SwaptionFirstMonthPosition+SwaptionNumOfMonths+1),"",IF($FN183=IH$169,1,IF($FN183&lt;IH$169,INDEX($FO$170:$IH$241,IH$169,$FN183),SUMPRODUCT(INDEX($FO$325:$IH$396,IH$169,1+SwaptionShift):INDEX($FO$325:$IH$396,IH$169,SwaptionMonthsToGo+SwaptionShift),INDEX($FO$245:$IH$316,$FN183-IH$169,73-IH$169+SwaptionShift):INDEX($FO$245:$IH$316,$FN183-IH$169,72-IH$169+SwaptionMonthsToGo+SwaptionShift))/SQRT(SUM(INDEX($FO338:$IH338,1+SwaptionShift):INDEX($FO338:$IH338,SwaptionMonthsToGo+SwaptionShift))*SUM(INDEX($FO$325:$IH$396,IH$169,1+SwaptionShift):INDEX($FO$325:$IH$396,IH$169,SwaptionMonthsToGo+SwaptionShift))))))</f>
        <v/>
      </c>
      <c r="II183" s="242"/>
    </row>
    <row r="184" spans="8:243">
      <c r="H184" s="49" t="e">
        <f t="shared" ca="1" si="529"/>
        <v>#N/A</v>
      </c>
      <c r="I184" s="369">
        <f t="shared" si="530"/>
        <v>42005</v>
      </c>
      <c r="J184" s="367">
        <v>23.4849999999999</v>
      </c>
      <c r="K184" s="101" t="s">
        <v>267</v>
      </c>
      <c r="L184" s="382">
        <f t="shared" si="531"/>
        <v>23.484999999999896</v>
      </c>
      <c r="M184" s="163">
        <v>0.14550000000000002</v>
      </c>
      <c r="N184" s="372">
        <v>0</v>
      </c>
      <c r="O184" s="163">
        <f t="shared" si="488"/>
        <v>0.14550000000000002</v>
      </c>
      <c r="P184" s="367">
        <v>22.230686056644398</v>
      </c>
      <c r="Q184" s="101" t="s">
        <v>267</v>
      </c>
      <c r="R184" s="367">
        <f t="shared" ca="1" si="549"/>
        <v>22.230686056644387</v>
      </c>
      <c r="S184" s="814">
        <f t="shared" si="474"/>
        <v>0.34971642994413998</v>
      </c>
      <c r="T184" s="813">
        <f t="shared" si="550"/>
        <v>0.9999999975554047</v>
      </c>
      <c r="U184" s="532">
        <f t="shared" si="551"/>
        <v>0.99999999999999978</v>
      </c>
      <c r="V184" s="379">
        <v>0</v>
      </c>
      <c r="W184" s="424">
        <f t="shared" si="576"/>
        <v>23.519523809523712</v>
      </c>
      <c r="X184" s="405">
        <f t="shared" si="577"/>
        <v>23.519523809523704</v>
      </c>
      <c r="Y184" s="313">
        <f t="shared" si="578"/>
        <v>22.30352380952371</v>
      </c>
      <c r="Z184" s="313">
        <f t="shared" ca="1" si="579"/>
        <v>22.303523809523703</v>
      </c>
      <c r="AA184" s="419">
        <f t="shared" si="493"/>
        <v>1.216</v>
      </c>
      <c r="AB184" s="423">
        <f t="shared" ca="1" si="494"/>
        <v>1.216</v>
      </c>
      <c r="AC184" s="221">
        <v>41993</v>
      </c>
      <c r="AD184" s="221">
        <v>41989</v>
      </c>
      <c r="AE184" s="221">
        <v>41988</v>
      </c>
      <c r="AF184" s="221">
        <v>41984</v>
      </c>
      <c r="AG184" s="241" t="s">
        <v>497</v>
      </c>
      <c r="AH184" s="239" t="s">
        <v>497</v>
      </c>
      <c r="AI184" s="141">
        <v>21</v>
      </c>
      <c r="AJ184" s="41">
        <v>13</v>
      </c>
      <c r="AK184" s="41">
        <v>8</v>
      </c>
      <c r="AL184" s="285">
        <v>21</v>
      </c>
      <c r="AM184" s="41">
        <v>9</v>
      </c>
      <c r="AN184" s="142">
        <v>12</v>
      </c>
      <c r="AO184" s="364">
        <v>6.12809132934347E-2</v>
      </c>
      <c r="AP184" s="145">
        <f t="shared" ca="1" si="532"/>
        <v>0.43442529274456487</v>
      </c>
      <c r="AQ184" s="364">
        <v>5.4685876450669905E-2</v>
      </c>
      <c r="AR184" s="145">
        <f t="shared" ca="1" si="552"/>
        <v>0.47787342941328514</v>
      </c>
      <c r="AS184" s="264">
        <f t="shared" si="580"/>
        <v>0.14494761904761905</v>
      </c>
      <c r="AT184" s="149">
        <f t="shared" si="533"/>
        <v>0.14550000000000002</v>
      </c>
      <c r="AU184" s="149">
        <f t="shared" si="496"/>
        <v>0.14487142857142857</v>
      </c>
      <c r="AV184" s="263">
        <f t="shared" ca="1" si="560"/>
        <v>0.14338645841148545</v>
      </c>
      <c r="AW184" s="150" t="str">
        <f t="shared" ca="1" si="581"/>
        <v/>
      </c>
      <c r="AX184" s="149">
        <f t="shared" ca="1" si="553"/>
        <v>6.4220595924611747E-3</v>
      </c>
      <c r="AY184" s="149">
        <f t="shared" ca="1" si="554"/>
        <v>2.266337522930372E-3</v>
      </c>
      <c r="AZ184" s="149">
        <f t="shared" ca="1" si="555"/>
        <v>2.2008000984356148E-3</v>
      </c>
      <c r="BA184" s="149">
        <f t="shared" ca="1" si="556"/>
        <v>1.0000000000000799E-4</v>
      </c>
      <c r="BB184" s="149">
        <f t="shared" ca="1" si="557"/>
        <v>1.0000000000000799E-4</v>
      </c>
      <c r="BC184" s="149">
        <f t="shared" ca="1" si="558"/>
        <v>1.0000000000000799E-4</v>
      </c>
      <c r="BD184" s="143">
        <f t="shared" ca="1" si="582"/>
        <v>0</v>
      </c>
      <c r="BE184" s="144">
        <f t="shared" ca="1" si="583"/>
        <v>0</v>
      </c>
      <c r="BF184" s="40">
        <f t="shared" si="584"/>
        <v>2015</v>
      </c>
      <c r="BG184" s="139">
        <f t="shared" si="585"/>
        <v>1</v>
      </c>
      <c r="BH184" s="140">
        <f t="shared" ca="1" si="586"/>
        <v>4999</v>
      </c>
      <c r="BI184" s="304">
        <f t="shared" ca="1" si="570"/>
        <v>13.730321697467488</v>
      </c>
      <c r="BJ184" s="42">
        <f t="shared" ca="1" si="503"/>
        <v>13.781167497799942</v>
      </c>
      <c r="BK184" s="42">
        <f t="shared" ca="1" si="504"/>
        <v>13.783905348587075</v>
      </c>
      <c r="BL184" s="42">
        <f t="shared" ca="1" si="571"/>
        <v>13.81245722108145</v>
      </c>
      <c r="BM184" s="285">
        <f t="shared" si="572"/>
        <v>21</v>
      </c>
      <c r="BN184" s="41">
        <f t="shared" si="573"/>
        <v>13</v>
      </c>
      <c r="BO184" s="41">
        <f t="shared" si="574"/>
        <v>8</v>
      </c>
      <c r="BP184" s="297" t="str">
        <f t="shared" ca="1" si="505"/>
        <v/>
      </c>
      <c r="BQ184" s="297" t="str">
        <f t="shared" ca="1" si="506"/>
        <v/>
      </c>
      <c r="BR184" s="299" t="str">
        <f t="shared" ca="1" si="507"/>
        <v/>
      </c>
      <c r="BS184" s="153" t="str">
        <f t="shared" ca="1" si="508"/>
        <v/>
      </c>
      <c r="BT184" s="153" t="str">
        <f t="shared" ca="1" si="509"/>
        <v/>
      </c>
      <c r="BU184" s="300" t="str">
        <f t="shared" ca="1" si="510"/>
        <v/>
      </c>
      <c r="BV184" s="301" t="str">
        <f t="shared" ca="1" si="511"/>
        <v/>
      </c>
      <c r="BW184" s="300" t="str">
        <f t="shared" ca="1" si="512"/>
        <v/>
      </c>
      <c r="BX184" s="301" t="str">
        <f t="shared" ca="1" si="513"/>
        <v/>
      </c>
      <c r="BY184" s="146" t="str">
        <f t="shared" ca="1" si="514"/>
        <v/>
      </c>
      <c r="BZ184" s="146" t="str">
        <f t="shared" ca="1" si="515"/>
        <v/>
      </c>
      <c r="CA184" s="146" t="str">
        <f t="shared" ca="1" si="516"/>
        <v/>
      </c>
      <c r="CB184" s="146" t="str">
        <f t="shared" ca="1" si="517"/>
        <v/>
      </c>
      <c r="CC184" s="302">
        <v>1</v>
      </c>
      <c r="CD184" s="154">
        <f ca="1">IF(BD184,_xll.xCrudeAPO(BS184,BT184,BY184,BZ184,S185,S186,BI184,BL184,BN184,BO184,0,Strike1,AO184,CC184,0,BL184,IF(OptControl=4,0,1),0,1),0)</f>
        <v>0</v>
      </c>
      <c r="CE184" s="155">
        <f ca="1">IF(BD184,_xll.xCrudeAPO(BS184,BT184,BY184,BZ184,S185,S186,BI184,BL184,BN184,BO184,0,Strike1,AO184,CC184,0,BL184,IF(OptControl=4,0,1),1,1)+_xll.xCrudeAPO(BS184,BT184,BY184,BZ184,S185,S186,BI184,BL184,BN184,BO184,0,Strike1,AO184,CC184,0,BL184,IF(OptControl=4,0,1),1,2)+IF(OR(VolSkewFlag=2,ABS(BQ184)&lt;0.0001),0,IF(BQ184&gt;0,-1,1)*CF184*Strike1/BP184^2*BW184/10%),0)</f>
        <v>0</v>
      </c>
      <c r="CF184" s="155">
        <f ca="1">IF(BD184,(_xll.xCrudeAPO(BS184,BT184,BY184,BZ184,S185,S186,BI184,BL184,BN184,BO184,0,Strike1,AO184,CC184,0,BL184,IF(OptControl=4,0,1),3,1)+_xll.xCrudeAPO(BS184,BT184,BY184,BZ184,S185,S186,BI184,BL184,BN184,BO184,0,Strike1,AO184,CC184,0,BL184,IF(OptControl=4,0,1),3,2))/100,0)</f>
        <v>0</v>
      </c>
      <c r="CG184" s="155">
        <f ca="1">IF(BD184,_xll.xCrudeAPO(BS184,BT184,BY184,BZ184,S185,S186,BI184-DaysForThetaCalculation/365.25,BL184-DaysForThetaCalculation/365.25,BN184,BO184,0,Strike1,AO184,CC184,0,BL184,IF(OptControl=4,0,1),0,1)-_xll.xCrudeAPO(BS184,BT184,BY184,BZ184,S185,S186,BI184,BL184,BN184,BO184,0,Strike1,AO184,CC184,0,BL184,IF(OptControl=4,0,1),0,1),0)</f>
        <v>0</v>
      </c>
      <c r="CH184" s="303">
        <f ca="1">IF(BD184,_xll.xCrudeAPO(BS184,BT184,CA184,CB184,S185,S186,BI184,BL184,BN184,BO184,0,Strike2,AO184,CC184,0,BL184,IF(OptControl=3,1,0),0,1),0)</f>
        <v>0</v>
      </c>
      <c r="CI184" s="155">
        <f ca="1">IF(BD184,_xll.xCrudeAPO(BS184,BT184,CA184,CB184,S185,S186,BI184,BL184,BN184,BO184,0,Strike2,AO184,CC184,0,BL184,IF(OptControl=3,1,0),1,1)+_xll.xCrudeAPO(BS184,BT184,CA184,CB184,S185,S186,BI184,BL184,BN184,BO184,0,Strike2,AO184,CC184,0,BL184,IF(OptControl=3,1,0),1,2)+IF(OR(VolSkewFlag=2,ABS(BR184)&lt;0.0001),0,IF(BR184&gt;0,-1,1)*CJ184*Strike2/BP184^2*BX184/10%),0)</f>
        <v>0</v>
      </c>
      <c r="CJ184" s="155">
        <f ca="1">IF(BD184,(_xll.xCrudeAPO(BS184,BT184,CA184,CB184,S185,S186,BI184,BL184,BN184,BO184,0,Strike2,AO184,CC184,0,BL184,IF(OptControl=3,1,0),3,1)+_xll.xCrudeAPO(BS184,BT184,CA184,CB184,S185,S186,BI184,BL184,BN184,BO184,0,Strike2,AO184,CC184,0,BL184,IF(OptControl=3,1,0),3,2))/100,0)</f>
        <v>0</v>
      </c>
      <c r="CK184" s="156">
        <f ca="1">IF(BD184,_xll.xCrudeAPO(BS184,BT184,CA184,CB184,S185,S186,BI184-DaysForThetaCalculation/365.25,BL184-DaysForThetaCalculation/365.25,BN184,BO184,0,Strike2,AO184,CC184,0,BL184,IF(OptControl=3,1,0),0,1)-_xll.xCrudeAPO(BS184,BT184,CA184,CB184,S185,S186,BI184,BL184,BN184,BO184,0,Strike2,AO184,CC184,0,BL184,IF(OptControl=3,1,0),0,1),0)</f>
        <v>0</v>
      </c>
      <c r="CL184" s="51"/>
      <c r="CM184" s="779" t="str">
        <f t="shared" ca="1" si="534"/>
        <v/>
      </c>
      <c r="CN184" s="783" t="str">
        <f t="shared" ca="1" si="535"/>
        <v/>
      </c>
      <c r="CO184" s="780" t="str">
        <f t="shared" ca="1" si="536"/>
        <v/>
      </c>
      <c r="CP184" s="780" t="str">
        <f t="shared" ca="1" si="537"/>
        <v/>
      </c>
      <c r="CQ184" s="780" t="str">
        <f t="shared" ca="1" si="538"/>
        <v/>
      </c>
      <c r="CR184" s="780" t="str">
        <f t="shared" ca="1" si="539"/>
        <v/>
      </c>
      <c r="CS184" s="781" t="str">
        <f t="shared" ca="1" si="540"/>
        <v/>
      </c>
      <c r="CT184" s="782" t="str">
        <f t="shared" ca="1" si="541"/>
        <v/>
      </c>
      <c r="CU184" s="782" t="str">
        <f t="shared" ca="1" si="542"/>
        <v/>
      </c>
      <c r="CV184" s="155">
        <f ca="1">IF(BD184,_xll.EURO(CN184,Strike1,AO184,AO184,CT184,CM184,IF(OptControl=4,0,1),0),0)</f>
        <v>0</v>
      </c>
      <c r="CW184" s="155">
        <f ca="1">IF(BD184,_xll.EURO(CN184,Strike1,AO184,AO184,CT184,CM184,IF(OptControl=4,0,1),1)+IF(OR(VolSkewFlag=2,ABS(CO184)&lt;0.0001),0,IF(CO184&gt;0,-1,1)*CX184*100*Strike1/CN184^2*CQ184/10%),0)</f>
        <v>0</v>
      </c>
      <c r="CX184" s="155">
        <f ca="1">IF(BD184,_xll.EURO(CN184,Strike1,AO184,AO184,CT184,CM184,IF(OptControl=4,0,1),3)/100,0)</f>
        <v>0</v>
      </c>
      <c r="CY184" s="155">
        <f ca="1">IF(BD184,_xll.EURO(CN184,Strike1,AO184,AO184,CT184,CM184,IF(OptControl=4,0,1),0)-_xll.EURO(CN184,Strike1,AO184,AO184,CT184,CM184-1,IF(OptControl=4,0,1),0),0)</f>
        <v>0</v>
      </c>
      <c r="CZ184" s="155">
        <f ca="1">IF(BD184,_xll.EURO(CN184,Strike2,AO184,AO184,CU184,CM184,IF(OptControl=3,1,0),0),0)</f>
        <v>0</v>
      </c>
      <c r="DA184" s="155">
        <f ca="1">IF(BD184,_xll.EURO(CN184,Strike2,AO184,AO184,CU184,CM184,IF(OptControl=3,1,0),1)+IF(OR(VolSkewFlag=2,ABS(CP184)&lt;0.0001),0,IF(CP184&gt;0,-1,1)*DB184*100*Strike2/CN184^2*CR184/10%),0)</f>
        <v>0</v>
      </c>
      <c r="DB184" s="155">
        <f ca="1">IF(BD184,_xll.EURO(CN184,Strike2,AO184,AO184,CU184,CM184,IF(OptControl=3,1,0),3)/100,0)</f>
        <v>0</v>
      </c>
      <c r="DC184" s="156">
        <f ca="1">IF(BD184,_xll.EURO(CN184,Strike2,AO184,AO184,CU184,CM184,IF(OptControl=3,1,0),0)-_xll.EURO(CN184,Strike2,AO184,AO184,CU184,CM184-1,IF(OptControl=3,1,0),0),0)</f>
        <v>0</v>
      </c>
      <c r="DE184" s="651">
        <f t="shared" ca="1" si="543"/>
        <v>41913</v>
      </c>
      <c r="DF184" s="465">
        <v>1E-4</v>
      </c>
      <c r="DG184" s="649">
        <v>1E-4</v>
      </c>
      <c r="DH184" s="650">
        <f t="shared" ca="1" si="587"/>
        <v>41913</v>
      </c>
      <c r="DI184" s="465">
        <v>1E-4</v>
      </c>
      <c r="DJ184" s="649">
        <v>1E-4</v>
      </c>
      <c r="DK184" s="651">
        <f t="shared" ca="1" si="588"/>
        <v>41913</v>
      </c>
      <c r="DL184" s="652">
        <f t="shared" si="589"/>
        <v>5.0100000000000006E-2</v>
      </c>
      <c r="DM184" s="651">
        <f t="shared" ca="1" si="544"/>
        <v>41913</v>
      </c>
      <c r="DN184" s="563">
        <f t="shared" si="545"/>
        <v>-0.12990000000000002</v>
      </c>
      <c r="DO184" s="803">
        <v>-0.13</v>
      </c>
      <c r="DP184" s="650">
        <f t="shared" ca="1" si="590"/>
        <v>41913</v>
      </c>
      <c r="DQ184" s="653">
        <v>1E-4</v>
      </c>
      <c r="DR184" s="590">
        <v>1E-4</v>
      </c>
      <c r="DS184" s="650">
        <f t="shared" ca="1" si="591"/>
        <v>41913</v>
      </c>
      <c r="DT184" s="653">
        <v>1E-4</v>
      </c>
      <c r="DU184" s="590">
        <v>1E-4</v>
      </c>
      <c r="DV184" s="651">
        <f t="shared" ca="1" si="592"/>
        <v>41913</v>
      </c>
      <c r="DW184" s="590">
        <v>1E-4</v>
      </c>
      <c r="DX184" s="651">
        <f t="shared" ca="1" si="546"/>
        <v>41913</v>
      </c>
      <c r="DY184" s="590">
        <f t="shared" si="547"/>
        <v>1E-4</v>
      </c>
      <c r="DZ184" s="1"/>
      <c r="EA184" s="857"/>
      <c r="EB184" s="857"/>
      <c r="EC184" s="857"/>
      <c r="ED184" s="868" t="e">
        <f t="shared" ca="1" si="566"/>
        <v>#NAME?</v>
      </c>
      <c r="EE184" s="863" t="e">
        <f t="shared" ca="1" si="524"/>
        <v>#NAME?</v>
      </c>
      <c r="EF184" s="590" t="e">
        <f t="shared" ca="1" si="525"/>
        <v>#NAME?</v>
      </c>
      <c r="EG184" s="862" t="str">
        <f t="shared" ca="1" si="593"/>
        <v/>
      </c>
      <c r="EH184" s="114" t="str">
        <f t="shared" ca="1" si="527"/>
        <v/>
      </c>
      <c r="EI184" s="109" t="str">
        <f t="shared" ca="1" si="528"/>
        <v/>
      </c>
      <c r="EJ184" s="115">
        <f ca="1">IF(BD184,_xll.xASN(BP184,Strike1,AO184,EH184,0,BM184,0,BI184,BL184,IF(OptControl=4,0,1),0),0)</f>
        <v>0</v>
      </c>
      <c r="EK184" s="108">
        <f ca="1">IF(BD184,_xll.xASN(BP184,Strike2,AO184,EI184,0,BM184,0,BI184,BL184,IF(OptControl=3,1,0),0),0)</f>
        <v>0</v>
      </c>
      <c r="EP184" s="53"/>
      <c r="EQ184" s="1"/>
      <c r="ER184" s="103"/>
      <c r="ES184" s="103"/>
      <c r="ET184" s="1"/>
      <c r="EU184" s="667" t="s">
        <v>396</v>
      </c>
      <c r="EW184" s="445"/>
      <c r="EX184" s="36"/>
      <c r="EY184" s="104"/>
      <c r="EZ184" s="465"/>
      <c r="FA184" s="446"/>
      <c r="FB184" s="446"/>
      <c r="FC184" s="242"/>
      <c r="FD184" s="242"/>
      <c r="FE184" s="242"/>
      <c r="FF184" s="242"/>
      <c r="FG184" s="242"/>
      <c r="FH184" s="242"/>
      <c r="FI184" s="242"/>
      <c r="FJ184" s="242"/>
      <c r="FK184" s="242"/>
      <c r="FL184" s="242"/>
      <c r="FM184" s="242"/>
      <c r="FN184" s="657">
        <v>15</v>
      </c>
      <c r="FO184" s="469" t="str">
        <f ca="1">IF(OR(FO$169&lt;SwaptionFirstMonthPosition+1,$FN184&lt;SwaptionFirstMonthPosition+1,FO$169&gt;SwaptionFirstMonthPosition+SwaptionNumOfMonths+1,$FN184&gt;SwaptionFirstMonthPosition+SwaptionNumOfMonths+1),"",IF($FN184=FO$169,1,IF($FN184&lt;FO$169,INDEX($FO$170:$IH$241,FO$169,$FN184),SUMPRODUCT(INDEX($FO$325:$IH$396,FO$169,1+SwaptionShift):INDEX($FO$325:$IH$396,FO$169,SwaptionMonthsToGo+SwaptionShift),INDEX($FO$245:$IH$316,$FN184-FO$169,73-FO$169+SwaptionShift):INDEX($FO$245:$IH$316,$FN184-FO$169,72-FO$169+SwaptionMonthsToGo+SwaptionShift))/SQRT(SUM(INDEX($FO339:$IH339,1+SwaptionShift):INDEX($FO339:$IH339,SwaptionMonthsToGo+SwaptionShift))*SUM(INDEX($FO$325:$IH$396,FO$169,1+SwaptionShift):INDEX($FO$325:$IH$396,FO$169,SwaptionMonthsToGo+SwaptionShift))))))</f>
        <v/>
      </c>
      <c r="FP184" s="469" t="str">
        <f ca="1">IF(OR(FP$169&lt;SwaptionFirstMonthPosition+1,$FN184&lt;SwaptionFirstMonthPosition+1,FP$169&gt;SwaptionFirstMonthPosition+SwaptionNumOfMonths+1,$FN184&gt;SwaptionFirstMonthPosition+SwaptionNumOfMonths+1),"",IF($FN184=FP$169,1,IF($FN184&lt;FP$169,INDEX($FO$170:$IH$241,FP$169,$FN184),SUMPRODUCT(INDEX($FO$325:$IH$396,FP$169,1+SwaptionShift):INDEX($FO$325:$IH$396,FP$169,SwaptionMonthsToGo+SwaptionShift),INDEX($FO$245:$IH$316,$FN184-FP$169,73-FP$169+SwaptionShift):INDEX($FO$245:$IH$316,$FN184-FP$169,72-FP$169+SwaptionMonthsToGo+SwaptionShift))/SQRT(SUM(INDEX($FO339:$IH339,1+SwaptionShift):INDEX($FO339:$IH339,SwaptionMonthsToGo+SwaptionShift))*SUM(INDEX($FO$325:$IH$396,FP$169,1+SwaptionShift):INDEX($FO$325:$IH$396,FP$169,SwaptionMonthsToGo+SwaptionShift))))))</f>
        <v/>
      </c>
      <c r="FQ184" s="469" t="str">
        <f ca="1">IF(OR(FQ$169&lt;SwaptionFirstMonthPosition+1,$FN184&lt;SwaptionFirstMonthPosition+1,FQ$169&gt;SwaptionFirstMonthPosition+SwaptionNumOfMonths+1,$FN184&gt;SwaptionFirstMonthPosition+SwaptionNumOfMonths+1),"",IF($FN184=FQ$169,1,IF($FN184&lt;FQ$169,INDEX($FO$170:$IH$241,FQ$169,$FN184),SUMPRODUCT(INDEX($FO$325:$IH$396,FQ$169,1+SwaptionShift):INDEX($FO$325:$IH$396,FQ$169,SwaptionMonthsToGo+SwaptionShift),INDEX($FO$245:$IH$316,$FN184-FQ$169,73-FQ$169+SwaptionShift):INDEX($FO$245:$IH$316,$FN184-FQ$169,72-FQ$169+SwaptionMonthsToGo+SwaptionShift))/SQRT(SUM(INDEX($FO339:$IH339,1+SwaptionShift):INDEX($FO339:$IH339,SwaptionMonthsToGo+SwaptionShift))*SUM(INDEX($FO$325:$IH$396,FQ$169,1+SwaptionShift):INDEX($FO$325:$IH$396,FQ$169,SwaptionMonthsToGo+SwaptionShift))))))</f>
        <v/>
      </c>
      <c r="FR184" s="469" t="str">
        <f ca="1">IF(OR(FR$169&lt;SwaptionFirstMonthPosition+1,$FN184&lt;SwaptionFirstMonthPosition+1,FR$169&gt;SwaptionFirstMonthPosition+SwaptionNumOfMonths+1,$FN184&gt;SwaptionFirstMonthPosition+SwaptionNumOfMonths+1),"",IF($FN184=FR$169,1,IF($FN184&lt;FR$169,INDEX($FO$170:$IH$241,FR$169,$FN184),SUMPRODUCT(INDEX($FO$325:$IH$396,FR$169,1+SwaptionShift):INDEX($FO$325:$IH$396,FR$169,SwaptionMonthsToGo+SwaptionShift),INDEX($FO$245:$IH$316,$FN184-FR$169,73-FR$169+SwaptionShift):INDEX($FO$245:$IH$316,$FN184-FR$169,72-FR$169+SwaptionMonthsToGo+SwaptionShift))/SQRT(SUM(INDEX($FO339:$IH339,1+SwaptionShift):INDEX($FO339:$IH339,SwaptionMonthsToGo+SwaptionShift))*SUM(INDEX($FO$325:$IH$396,FR$169,1+SwaptionShift):INDEX($FO$325:$IH$396,FR$169,SwaptionMonthsToGo+SwaptionShift))))))</f>
        <v/>
      </c>
      <c r="FS184" s="469" t="str">
        <f ca="1">IF(OR(FS$169&lt;SwaptionFirstMonthPosition+1,$FN184&lt;SwaptionFirstMonthPosition+1,FS$169&gt;SwaptionFirstMonthPosition+SwaptionNumOfMonths+1,$FN184&gt;SwaptionFirstMonthPosition+SwaptionNumOfMonths+1),"",IF($FN184=FS$169,1,IF($FN184&lt;FS$169,INDEX($FO$170:$IH$241,FS$169,$FN184),SUMPRODUCT(INDEX($FO$325:$IH$396,FS$169,1+SwaptionShift):INDEX($FO$325:$IH$396,FS$169,SwaptionMonthsToGo+SwaptionShift),INDEX($FO$245:$IH$316,$FN184-FS$169,73-FS$169+SwaptionShift):INDEX($FO$245:$IH$316,$FN184-FS$169,72-FS$169+SwaptionMonthsToGo+SwaptionShift))/SQRT(SUM(INDEX($FO339:$IH339,1+SwaptionShift):INDEX($FO339:$IH339,SwaptionMonthsToGo+SwaptionShift))*SUM(INDEX($FO$325:$IH$396,FS$169,1+SwaptionShift):INDEX($FO$325:$IH$396,FS$169,SwaptionMonthsToGo+SwaptionShift))))))</f>
        <v/>
      </c>
      <c r="FT184" s="469" t="str">
        <f ca="1">IF(OR(FT$169&lt;SwaptionFirstMonthPosition+1,$FN184&lt;SwaptionFirstMonthPosition+1,FT$169&gt;SwaptionFirstMonthPosition+SwaptionNumOfMonths+1,$FN184&gt;SwaptionFirstMonthPosition+SwaptionNumOfMonths+1),"",IF($FN184=FT$169,1,IF($FN184&lt;FT$169,INDEX($FO$170:$IH$241,FT$169,$FN184),SUMPRODUCT(INDEX($FO$325:$IH$396,FT$169,1+SwaptionShift):INDEX($FO$325:$IH$396,FT$169,SwaptionMonthsToGo+SwaptionShift),INDEX($FO$245:$IH$316,$FN184-FT$169,73-FT$169+SwaptionShift):INDEX($FO$245:$IH$316,$FN184-FT$169,72-FT$169+SwaptionMonthsToGo+SwaptionShift))/SQRT(SUM(INDEX($FO339:$IH339,1+SwaptionShift):INDEX($FO339:$IH339,SwaptionMonthsToGo+SwaptionShift))*SUM(INDEX($FO$325:$IH$396,FT$169,1+SwaptionShift):INDEX($FO$325:$IH$396,FT$169,SwaptionMonthsToGo+SwaptionShift))))))</f>
        <v/>
      </c>
      <c r="FU184" s="469" t="str">
        <f ca="1">IF(OR(FU$169&lt;SwaptionFirstMonthPosition+1,$FN184&lt;SwaptionFirstMonthPosition+1,FU$169&gt;SwaptionFirstMonthPosition+SwaptionNumOfMonths+1,$FN184&gt;SwaptionFirstMonthPosition+SwaptionNumOfMonths+1),"",IF($FN184=FU$169,1,IF($FN184&lt;FU$169,INDEX($FO$170:$IH$241,FU$169,$FN184),SUMPRODUCT(INDEX($FO$325:$IH$396,FU$169,1+SwaptionShift):INDEX($FO$325:$IH$396,FU$169,SwaptionMonthsToGo+SwaptionShift),INDEX($FO$245:$IH$316,$FN184-FU$169,73-FU$169+SwaptionShift):INDEX($FO$245:$IH$316,$FN184-FU$169,72-FU$169+SwaptionMonthsToGo+SwaptionShift))/SQRT(SUM(INDEX($FO339:$IH339,1+SwaptionShift):INDEX($FO339:$IH339,SwaptionMonthsToGo+SwaptionShift))*SUM(INDEX($FO$325:$IH$396,FU$169,1+SwaptionShift):INDEX($FO$325:$IH$396,FU$169,SwaptionMonthsToGo+SwaptionShift))))))</f>
        <v/>
      </c>
      <c r="FV184" s="469" t="str">
        <f ca="1">IF(OR(FV$169&lt;SwaptionFirstMonthPosition+1,$FN184&lt;SwaptionFirstMonthPosition+1,FV$169&gt;SwaptionFirstMonthPosition+SwaptionNumOfMonths+1,$FN184&gt;SwaptionFirstMonthPosition+SwaptionNumOfMonths+1),"",IF($FN184=FV$169,1,IF($FN184&lt;FV$169,INDEX($FO$170:$IH$241,FV$169,$FN184),SUMPRODUCT(INDEX($FO$325:$IH$396,FV$169,1+SwaptionShift):INDEX($FO$325:$IH$396,FV$169,SwaptionMonthsToGo+SwaptionShift),INDEX($FO$245:$IH$316,$FN184-FV$169,73-FV$169+SwaptionShift):INDEX($FO$245:$IH$316,$FN184-FV$169,72-FV$169+SwaptionMonthsToGo+SwaptionShift))/SQRT(SUM(INDEX($FO339:$IH339,1+SwaptionShift):INDEX($FO339:$IH339,SwaptionMonthsToGo+SwaptionShift))*SUM(INDEX($FO$325:$IH$396,FV$169,1+SwaptionShift):INDEX($FO$325:$IH$396,FV$169,SwaptionMonthsToGo+SwaptionShift))))))</f>
        <v/>
      </c>
      <c r="FW184" s="469" t="str">
        <f ca="1">IF(OR(FW$169&lt;SwaptionFirstMonthPosition+1,$FN184&lt;SwaptionFirstMonthPosition+1,FW$169&gt;SwaptionFirstMonthPosition+SwaptionNumOfMonths+1,$FN184&gt;SwaptionFirstMonthPosition+SwaptionNumOfMonths+1),"",IF($FN184=FW$169,1,IF($FN184&lt;FW$169,INDEX($FO$170:$IH$241,FW$169,$FN184),SUMPRODUCT(INDEX($FO$325:$IH$396,FW$169,1+SwaptionShift):INDEX($FO$325:$IH$396,FW$169,SwaptionMonthsToGo+SwaptionShift),INDEX($FO$245:$IH$316,$FN184-FW$169,73-FW$169+SwaptionShift):INDEX($FO$245:$IH$316,$FN184-FW$169,72-FW$169+SwaptionMonthsToGo+SwaptionShift))/SQRT(SUM(INDEX($FO339:$IH339,1+SwaptionShift):INDEX($FO339:$IH339,SwaptionMonthsToGo+SwaptionShift))*SUM(INDEX($FO$325:$IH$396,FW$169,1+SwaptionShift):INDEX($FO$325:$IH$396,FW$169,SwaptionMonthsToGo+SwaptionShift))))))</f>
        <v/>
      </c>
      <c r="FX184" s="469" t="str">
        <f ca="1">IF(OR(FX$169&lt;SwaptionFirstMonthPosition+1,$FN184&lt;SwaptionFirstMonthPosition+1,FX$169&gt;SwaptionFirstMonthPosition+SwaptionNumOfMonths+1,$FN184&gt;SwaptionFirstMonthPosition+SwaptionNumOfMonths+1),"",IF($FN184=FX$169,1,IF($FN184&lt;FX$169,INDEX($FO$170:$IH$241,FX$169,$FN184),SUMPRODUCT(INDEX($FO$325:$IH$396,FX$169,1+SwaptionShift):INDEX($FO$325:$IH$396,FX$169,SwaptionMonthsToGo+SwaptionShift),INDEX($FO$245:$IH$316,$FN184-FX$169,73-FX$169+SwaptionShift):INDEX($FO$245:$IH$316,$FN184-FX$169,72-FX$169+SwaptionMonthsToGo+SwaptionShift))/SQRT(SUM(INDEX($FO339:$IH339,1+SwaptionShift):INDEX($FO339:$IH339,SwaptionMonthsToGo+SwaptionShift))*SUM(INDEX($FO$325:$IH$396,FX$169,1+SwaptionShift):INDEX($FO$325:$IH$396,FX$169,SwaptionMonthsToGo+SwaptionShift))))))</f>
        <v/>
      </c>
      <c r="FY184" s="469" t="str">
        <f ca="1">IF(OR(FY$169&lt;SwaptionFirstMonthPosition+1,$FN184&lt;SwaptionFirstMonthPosition+1,FY$169&gt;SwaptionFirstMonthPosition+SwaptionNumOfMonths+1,$FN184&gt;SwaptionFirstMonthPosition+SwaptionNumOfMonths+1),"",IF($FN184=FY$169,1,IF($FN184&lt;FY$169,INDEX($FO$170:$IH$241,FY$169,$FN184),SUMPRODUCT(INDEX($FO$325:$IH$396,FY$169,1+SwaptionShift):INDEX($FO$325:$IH$396,FY$169,SwaptionMonthsToGo+SwaptionShift),INDEX($FO$245:$IH$316,$FN184-FY$169,73-FY$169+SwaptionShift):INDEX($FO$245:$IH$316,$FN184-FY$169,72-FY$169+SwaptionMonthsToGo+SwaptionShift))/SQRT(SUM(INDEX($FO339:$IH339,1+SwaptionShift):INDEX($FO339:$IH339,SwaptionMonthsToGo+SwaptionShift))*SUM(INDEX($FO$325:$IH$396,FY$169,1+SwaptionShift):INDEX($FO$325:$IH$396,FY$169,SwaptionMonthsToGo+SwaptionShift))))))</f>
        <v/>
      </c>
      <c r="FZ184" s="469" t="str">
        <f ca="1">IF(OR(FZ$169&lt;SwaptionFirstMonthPosition+1,$FN184&lt;SwaptionFirstMonthPosition+1,FZ$169&gt;SwaptionFirstMonthPosition+SwaptionNumOfMonths+1,$FN184&gt;SwaptionFirstMonthPosition+SwaptionNumOfMonths+1),"",IF($FN184=FZ$169,1,IF($FN184&lt;FZ$169,INDEX($FO$170:$IH$241,FZ$169,$FN184),SUMPRODUCT(INDEX($FO$325:$IH$396,FZ$169,1+SwaptionShift):INDEX($FO$325:$IH$396,FZ$169,SwaptionMonthsToGo+SwaptionShift),INDEX($FO$245:$IH$316,$FN184-FZ$169,73-FZ$169+SwaptionShift):INDEX($FO$245:$IH$316,$FN184-FZ$169,72-FZ$169+SwaptionMonthsToGo+SwaptionShift))/SQRT(SUM(INDEX($FO339:$IH339,1+SwaptionShift):INDEX($FO339:$IH339,SwaptionMonthsToGo+SwaptionShift))*SUM(INDEX($FO$325:$IH$396,FZ$169,1+SwaptionShift):INDEX($FO$325:$IH$396,FZ$169,SwaptionMonthsToGo+SwaptionShift))))))</f>
        <v/>
      </c>
      <c r="GA184" s="469" t="str">
        <f ca="1">IF(OR(GA$169&lt;SwaptionFirstMonthPosition+1,$FN184&lt;SwaptionFirstMonthPosition+1,GA$169&gt;SwaptionFirstMonthPosition+SwaptionNumOfMonths+1,$FN184&gt;SwaptionFirstMonthPosition+SwaptionNumOfMonths+1),"",IF($FN184=GA$169,1,IF($FN184&lt;GA$169,INDEX($FO$170:$IH$241,GA$169,$FN184),SUMPRODUCT(INDEX($FO$325:$IH$396,GA$169,1+SwaptionShift):INDEX($FO$325:$IH$396,GA$169,SwaptionMonthsToGo+SwaptionShift),INDEX($FO$245:$IH$316,$FN184-GA$169,73-GA$169+SwaptionShift):INDEX($FO$245:$IH$316,$FN184-GA$169,72-GA$169+SwaptionMonthsToGo+SwaptionShift))/SQRT(SUM(INDEX($FO339:$IH339,1+SwaptionShift):INDEX($FO339:$IH339,SwaptionMonthsToGo+SwaptionShift))*SUM(INDEX($FO$325:$IH$396,GA$169,1+SwaptionShift):INDEX($FO$325:$IH$396,GA$169,SwaptionMonthsToGo+SwaptionShift))))))</f>
        <v/>
      </c>
      <c r="GB184" s="469" t="str">
        <f ca="1">IF(OR(GB$169&lt;SwaptionFirstMonthPosition+1,$FN184&lt;SwaptionFirstMonthPosition+1,GB$169&gt;SwaptionFirstMonthPosition+SwaptionNumOfMonths+1,$FN184&gt;SwaptionFirstMonthPosition+SwaptionNumOfMonths+1),"",IF($FN184=GB$169,1,IF($FN184&lt;GB$169,INDEX($FO$170:$IH$241,GB$169,$FN184),SUMPRODUCT(INDEX($FO$325:$IH$396,GB$169,1+SwaptionShift):INDEX($FO$325:$IH$396,GB$169,SwaptionMonthsToGo+SwaptionShift),INDEX($FO$245:$IH$316,$FN184-GB$169,73-GB$169+SwaptionShift):INDEX($FO$245:$IH$316,$FN184-GB$169,72-GB$169+SwaptionMonthsToGo+SwaptionShift))/SQRT(SUM(INDEX($FO339:$IH339,1+SwaptionShift):INDEX($FO339:$IH339,SwaptionMonthsToGo+SwaptionShift))*SUM(INDEX($FO$325:$IH$396,GB$169,1+SwaptionShift):INDEX($FO$325:$IH$396,GB$169,SwaptionMonthsToGo+SwaptionShift))))))</f>
        <v/>
      </c>
      <c r="GC184" s="469" t="str">
        <f ca="1">IF(OR(GC$169&lt;SwaptionFirstMonthPosition+1,$FN184&lt;SwaptionFirstMonthPosition+1,GC$169&gt;SwaptionFirstMonthPosition+SwaptionNumOfMonths+1,$FN184&gt;SwaptionFirstMonthPosition+SwaptionNumOfMonths+1),"",IF($FN184=GC$169,1,IF($FN184&lt;GC$169,INDEX($FO$170:$IH$241,GC$169,$FN184),SUMPRODUCT(INDEX($FO$325:$IH$396,GC$169,1+SwaptionShift):INDEX($FO$325:$IH$396,GC$169,SwaptionMonthsToGo+SwaptionShift),INDEX($FO$245:$IH$316,$FN184-GC$169,73-GC$169+SwaptionShift):INDEX($FO$245:$IH$316,$FN184-GC$169,72-GC$169+SwaptionMonthsToGo+SwaptionShift))/SQRT(SUM(INDEX($FO339:$IH339,1+SwaptionShift):INDEX($FO339:$IH339,SwaptionMonthsToGo+SwaptionShift))*SUM(INDEX($FO$325:$IH$396,GC$169,1+SwaptionShift):INDEX($FO$325:$IH$396,GC$169,SwaptionMonthsToGo+SwaptionShift))))))</f>
        <v/>
      </c>
      <c r="GD184" s="469" t="str">
        <f ca="1">IF(OR(GD$169&lt;SwaptionFirstMonthPosition+1,$FN184&lt;SwaptionFirstMonthPosition+1,GD$169&gt;SwaptionFirstMonthPosition+SwaptionNumOfMonths+1,$FN184&gt;SwaptionFirstMonthPosition+SwaptionNumOfMonths+1),"",IF($FN184=GD$169,1,IF($FN184&lt;GD$169,INDEX($FO$170:$IH$241,GD$169,$FN184),SUMPRODUCT(INDEX($FO$325:$IH$396,GD$169,1+SwaptionShift):INDEX($FO$325:$IH$396,GD$169,SwaptionMonthsToGo+SwaptionShift),INDEX($FO$245:$IH$316,$FN184-GD$169,73-GD$169+SwaptionShift):INDEX($FO$245:$IH$316,$FN184-GD$169,72-GD$169+SwaptionMonthsToGo+SwaptionShift))/SQRT(SUM(INDEX($FO339:$IH339,1+SwaptionShift):INDEX($FO339:$IH339,SwaptionMonthsToGo+SwaptionShift))*SUM(INDEX($FO$325:$IH$396,GD$169,1+SwaptionShift):INDEX($FO$325:$IH$396,GD$169,SwaptionMonthsToGo+SwaptionShift))))))</f>
        <v/>
      </c>
      <c r="GE184" s="469" t="str">
        <f ca="1">IF(OR(GE$169&lt;SwaptionFirstMonthPosition+1,$FN184&lt;SwaptionFirstMonthPosition+1,GE$169&gt;SwaptionFirstMonthPosition+SwaptionNumOfMonths+1,$FN184&gt;SwaptionFirstMonthPosition+SwaptionNumOfMonths+1),"",IF($FN184=GE$169,1,IF($FN184&lt;GE$169,INDEX($FO$170:$IH$241,GE$169,$FN184),SUMPRODUCT(INDEX($FO$325:$IH$396,GE$169,1+SwaptionShift):INDEX($FO$325:$IH$396,GE$169,SwaptionMonthsToGo+SwaptionShift),INDEX($FO$245:$IH$316,$FN184-GE$169,73-GE$169+SwaptionShift):INDEX($FO$245:$IH$316,$FN184-GE$169,72-GE$169+SwaptionMonthsToGo+SwaptionShift))/SQRT(SUM(INDEX($FO339:$IH339,1+SwaptionShift):INDEX($FO339:$IH339,SwaptionMonthsToGo+SwaptionShift))*SUM(INDEX($FO$325:$IH$396,GE$169,1+SwaptionShift):INDEX($FO$325:$IH$396,GE$169,SwaptionMonthsToGo+SwaptionShift))))))</f>
        <v/>
      </c>
      <c r="GF184" s="469" t="str">
        <f ca="1">IF(OR(GF$169&lt;SwaptionFirstMonthPosition+1,$FN184&lt;SwaptionFirstMonthPosition+1,GF$169&gt;SwaptionFirstMonthPosition+SwaptionNumOfMonths+1,$FN184&gt;SwaptionFirstMonthPosition+SwaptionNumOfMonths+1),"",IF($FN184=GF$169,1,IF($FN184&lt;GF$169,INDEX($FO$170:$IH$241,GF$169,$FN184),SUMPRODUCT(INDEX($FO$325:$IH$396,GF$169,1+SwaptionShift):INDEX($FO$325:$IH$396,GF$169,SwaptionMonthsToGo+SwaptionShift),INDEX($FO$245:$IH$316,$FN184-GF$169,73-GF$169+SwaptionShift):INDEX($FO$245:$IH$316,$FN184-GF$169,72-GF$169+SwaptionMonthsToGo+SwaptionShift))/SQRT(SUM(INDEX($FO339:$IH339,1+SwaptionShift):INDEX($FO339:$IH339,SwaptionMonthsToGo+SwaptionShift))*SUM(INDEX($FO$325:$IH$396,GF$169,1+SwaptionShift):INDEX($FO$325:$IH$396,GF$169,SwaptionMonthsToGo+SwaptionShift))))))</f>
        <v/>
      </c>
      <c r="GG184" s="469" t="str">
        <f ca="1">IF(OR(GG$169&lt;SwaptionFirstMonthPosition+1,$FN184&lt;SwaptionFirstMonthPosition+1,GG$169&gt;SwaptionFirstMonthPosition+SwaptionNumOfMonths+1,$FN184&gt;SwaptionFirstMonthPosition+SwaptionNumOfMonths+1),"",IF($FN184=GG$169,1,IF($FN184&lt;GG$169,INDEX($FO$170:$IH$241,GG$169,$FN184),SUMPRODUCT(INDEX($FO$325:$IH$396,GG$169,1+SwaptionShift):INDEX($FO$325:$IH$396,GG$169,SwaptionMonthsToGo+SwaptionShift),INDEX($FO$245:$IH$316,$FN184-GG$169,73-GG$169+SwaptionShift):INDEX($FO$245:$IH$316,$FN184-GG$169,72-GG$169+SwaptionMonthsToGo+SwaptionShift))/SQRT(SUM(INDEX($FO339:$IH339,1+SwaptionShift):INDEX($FO339:$IH339,SwaptionMonthsToGo+SwaptionShift))*SUM(INDEX($FO$325:$IH$396,GG$169,1+SwaptionShift):INDEX($FO$325:$IH$396,GG$169,SwaptionMonthsToGo+SwaptionShift))))))</f>
        <v/>
      </c>
      <c r="GH184" s="469" t="str">
        <f ca="1">IF(OR(GH$169&lt;SwaptionFirstMonthPosition+1,$FN184&lt;SwaptionFirstMonthPosition+1,GH$169&gt;SwaptionFirstMonthPosition+SwaptionNumOfMonths+1,$FN184&gt;SwaptionFirstMonthPosition+SwaptionNumOfMonths+1),"",IF($FN184=GH$169,1,IF($FN184&lt;GH$169,INDEX($FO$170:$IH$241,GH$169,$FN184),SUMPRODUCT(INDEX($FO$325:$IH$396,GH$169,1+SwaptionShift):INDEX($FO$325:$IH$396,GH$169,SwaptionMonthsToGo+SwaptionShift),INDEX($FO$245:$IH$316,$FN184-GH$169,73-GH$169+SwaptionShift):INDEX($FO$245:$IH$316,$FN184-GH$169,72-GH$169+SwaptionMonthsToGo+SwaptionShift))/SQRT(SUM(INDEX($FO339:$IH339,1+SwaptionShift):INDEX($FO339:$IH339,SwaptionMonthsToGo+SwaptionShift))*SUM(INDEX($FO$325:$IH$396,GH$169,1+SwaptionShift):INDEX($FO$325:$IH$396,GH$169,SwaptionMonthsToGo+SwaptionShift))))))</f>
        <v/>
      </c>
      <c r="GI184" s="469" t="str">
        <f ca="1">IF(OR(GI$169&lt;SwaptionFirstMonthPosition+1,$FN184&lt;SwaptionFirstMonthPosition+1,GI$169&gt;SwaptionFirstMonthPosition+SwaptionNumOfMonths+1,$FN184&gt;SwaptionFirstMonthPosition+SwaptionNumOfMonths+1),"",IF($FN184=GI$169,1,IF($FN184&lt;GI$169,INDEX($FO$170:$IH$241,GI$169,$FN184),SUMPRODUCT(INDEX($FO$325:$IH$396,GI$169,1+SwaptionShift):INDEX($FO$325:$IH$396,GI$169,SwaptionMonthsToGo+SwaptionShift),INDEX($FO$245:$IH$316,$FN184-GI$169,73-GI$169+SwaptionShift):INDEX($FO$245:$IH$316,$FN184-GI$169,72-GI$169+SwaptionMonthsToGo+SwaptionShift))/SQRT(SUM(INDEX($FO339:$IH339,1+SwaptionShift):INDEX($FO339:$IH339,SwaptionMonthsToGo+SwaptionShift))*SUM(INDEX($FO$325:$IH$396,GI$169,1+SwaptionShift):INDEX($FO$325:$IH$396,GI$169,SwaptionMonthsToGo+SwaptionShift))))))</f>
        <v/>
      </c>
      <c r="GJ184" s="469" t="str">
        <f ca="1">IF(OR(GJ$169&lt;SwaptionFirstMonthPosition+1,$FN184&lt;SwaptionFirstMonthPosition+1,GJ$169&gt;SwaptionFirstMonthPosition+SwaptionNumOfMonths+1,$FN184&gt;SwaptionFirstMonthPosition+SwaptionNumOfMonths+1),"",IF($FN184=GJ$169,1,IF($FN184&lt;GJ$169,INDEX($FO$170:$IH$241,GJ$169,$FN184),SUMPRODUCT(INDEX($FO$325:$IH$396,GJ$169,1+SwaptionShift):INDEX($FO$325:$IH$396,GJ$169,SwaptionMonthsToGo+SwaptionShift),INDEX($FO$245:$IH$316,$FN184-GJ$169,73-GJ$169+SwaptionShift):INDEX($FO$245:$IH$316,$FN184-GJ$169,72-GJ$169+SwaptionMonthsToGo+SwaptionShift))/SQRT(SUM(INDEX($FO339:$IH339,1+SwaptionShift):INDEX($FO339:$IH339,SwaptionMonthsToGo+SwaptionShift))*SUM(INDEX($FO$325:$IH$396,GJ$169,1+SwaptionShift):INDEX($FO$325:$IH$396,GJ$169,SwaptionMonthsToGo+SwaptionShift))))))</f>
        <v/>
      </c>
      <c r="GK184" s="469" t="str">
        <f ca="1">IF(OR(GK$169&lt;SwaptionFirstMonthPosition+1,$FN184&lt;SwaptionFirstMonthPosition+1,GK$169&gt;SwaptionFirstMonthPosition+SwaptionNumOfMonths+1,$FN184&gt;SwaptionFirstMonthPosition+SwaptionNumOfMonths+1),"",IF($FN184=GK$169,1,IF($FN184&lt;GK$169,INDEX($FO$170:$IH$241,GK$169,$FN184),SUMPRODUCT(INDEX($FO$325:$IH$396,GK$169,1+SwaptionShift):INDEX($FO$325:$IH$396,GK$169,SwaptionMonthsToGo+SwaptionShift),INDEX($FO$245:$IH$316,$FN184-GK$169,73-GK$169+SwaptionShift):INDEX($FO$245:$IH$316,$FN184-GK$169,72-GK$169+SwaptionMonthsToGo+SwaptionShift))/SQRT(SUM(INDEX($FO339:$IH339,1+SwaptionShift):INDEX($FO339:$IH339,SwaptionMonthsToGo+SwaptionShift))*SUM(INDEX($FO$325:$IH$396,GK$169,1+SwaptionShift):INDEX($FO$325:$IH$396,GK$169,SwaptionMonthsToGo+SwaptionShift))))))</f>
        <v/>
      </c>
      <c r="GL184" s="469" t="str">
        <f ca="1">IF(OR(GL$169&lt;SwaptionFirstMonthPosition+1,$FN184&lt;SwaptionFirstMonthPosition+1,GL$169&gt;SwaptionFirstMonthPosition+SwaptionNumOfMonths+1,$FN184&gt;SwaptionFirstMonthPosition+SwaptionNumOfMonths+1),"",IF($FN184=GL$169,1,IF($FN184&lt;GL$169,INDEX($FO$170:$IH$241,GL$169,$FN184),SUMPRODUCT(INDEX($FO$325:$IH$396,GL$169,1+SwaptionShift):INDEX($FO$325:$IH$396,GL$169,SwaptionMonthsToGo+SwaptionShift),INDEX($FO$245:$IH$316,$FN184-GL$169,73-GL$169+SwaptionShift):INDEX($FO$245:$IH$316,$FN184-GL$169,72-GL$169+SwaptionMonthsToGo+SwaptionShift))/SQRT(SUM(INDEX($FO339:$IH339,1+SwaptionShift):INDEX($FO339:$IH339,SwaptionMonthsToGo+SwaptionShift))*SUM(INDEX($FO$325:$IH$396,GL$169,1+SwaptionShift):INDEX($FO$325:$IH$396,GL$169,SwaptionMonthsToGo+SwaptionShift))))))</f>
        <v/>
      </c>
      <c r="GM184" s="469" t="str">
        <f ca="1">IF(OR(GM$169&lt;SwaptionFirstMonthPosition+1,$FN184&lt;SwaptionFirstMonthPosition+1,GM$169&gt;SwaptionFirstMonthPosition+SwaptionNumOfMonths+1,$FN184&gt;SwaptionFirstMonthPosition+SwaptionNumOfMonths+1),"",IF($FN184=GM$169,1,IF($FN184&lt;GM$169,INDEX($FO$170:$IH$241,GM$169,$FN184),SUMPRODUCT(INDEX($FO$325:$IH$396,GM$169,1+SwaptionShift):INDEX($FO$325:$IH$396,GM$169,SwaptionMonthsToGo+SwaptionShift),INDEX($FO$245:$IH$316,$FN184-GM$169,73-GM$169+SwaptionShift):INDEX($FO$245:$IH$316,$FN184-GM$169,72-GM$169+SwaptionMonthsToGo+SwaptionShift))/SQRT(SUM(INDEX($FO339:$IH339,1+SwaptionShift):INDEX($FO339:$IH339,SwaptionMonthsToGo+SwaptionShift))*SUM(INDEX($FO$325:$IH$396,GM$169,1+SwaptionShift):INDEX($FO$325:$IH$396,GM$169,SwaptionMonthsToGo+SwaptionShift))))))</f>
        <v/>
      </c>
      <c r="GN184" s="469" t="str">
        <f ca="1">IF(OR(GN$169&lt;SwaptionFirstMonthPosition+1,$FN184&lt;SwaptionFirstMonthPosition+1,GN$169&gt;SwaptionFirstMonthPosition+SwaptionNumOfMonths+1,$FN184&gt;SwaptionFirstMonthPosition+SwaptionNumOfMonths+1),"",IF($FN184=GN$169,1,IF($FN184&lt;GN$169,INDEX($FO$170:$IH$241,GN$169,$FN184),SUMPRODUCT(INDEX($FO$325:$IH$396,GN$169,1+SwaptionShift):INDEX($FO$325:$IH$396,GN$169,SwaptionMonthsToGo+SwaptionShift),INDEX($FO$245:$IH$316,$FN184-GN$169,73-GN$169+SwaptionShift):INDEX($FO$245:$IH$316,$FN184-GN$169,72-GN$169+SwaptionMonthsToGo+SwaptionShift))/SQRT(SUM(INDEX($FO339:$IH339,1+SwaptionShift):INDEX($FO339:$IH339,SwaptionMonthsToGo+SwaptionShift))*SUM(INDEX($FO$325:$IH$396,GN$169,1+SwaptionShift):INDEX($FO$325:$IH$396,GN$169,SwaptionMonthsToGo+SwaptionShift))))))</f>
        <v/>
      </c>
      <c r="GO184" s="469" t="str">
        <f ca="1">IF(OR(GO$169&lt;SwaptionFirstMonthPosition+1,$FN184&lt;SwaptionFirstMonthPosition+1,GO$169&gt;SwaptionFirstMonthPosition+SwaptionNumOfMonths+1,$FN184&gt;SwaptionFirstMonthPosition+SwaptionNumOfMonths+1),"",IF($FN184=GO$169,1,IF($FN184&lt;GO$169,INDEX($FO$170:$IH$241,GO$169,$FN184),SUMPRODUCT(INDEX($FO$325:$IH$396,GO$169,1+SwaptionShift):INDEX($FO$325:$IH$396,GO$169,SwaptionMonthsToGo+SwaptionShift),INDEX($FO$245:$IH$316,$FN184-GO$169,73-GO$169+SwaptionShift):INDEX($FO$245:$IH$316,$FN184-GO$169,72-GO$169+SwaptionMonthsToGo+SwaptionShift))/SQRT(SUM(INDEX($FO339:$IH339,1+SwaptionShift):INDEX($FO339:$IH339,SwaptionMonthsToGo+SwaptionShift))*SUM(INDEX($FO$325:$IH$396,GO$169,1+SwaptionShift):INDEX($FO$325:$IH$396,GO$169,SwaptionMonthsToGo+SwaptionShift))))))</f>
        <v/>
      </c>
      <c r="GP184" s="469" t="str">
        <f ca="1">IF(OR(GP$169&lt;SwaptionFirstMonthPosition+1,$FN184&lt;SwaptionFirstMonthPosition+1,GP$169&gt;SwaptionFirstMonthPosition+SwaptionNumOfMonths+1,$FN184&gt;SwaptionFirstMonthPosition+SwaptionNumOfMonths+1),"",IF($FN184=GP$169,1,IF($FN184&lt;GP$169,INDEX($FO$170:$IH$241,GP$169,$FN184),SUMPRODUCT(INDEX($FO$325:$IH$396,GP$169,1+SwaptionShift):INDEX($FO$325:$IH$396,GP$169,SwaptionMonthsToGo+SwaptionShift),INDEX($FO$245:$IH$316,$FN184-GP$169,73-GP$169+SwaptionShift):INDEX($FO$245:$IH$316,$FN184-GP$169,72-GP$169+SwaptionMonthsToGo+SwaptionShift))/SQRT(SUM(INDEX($FO339:$IH339,1+SwaptionShift):INDEX($FO339:$IH339,SwaptionMonthsToGo+SwaptionShift))*SUM(INDEX($FO$325:$IH$396,GP$169,1+SwaptionShift):INDEX($FO$325:$IH$396,GP$169,SwaptionMonthsToGo+SwaptionShift))))))</f>
        <v/>
      </c>
      <c r="GQ184" s="469" t="str">
        <f ca="1">IF(OR(GQ$169&lt;SwaptionFirstMonthPosition+1,$FN184&lt;SwaptionFirstMonthPosition+1,GQ$169&gt;SwaptionFirstMonthPosition+SwaptionNumOfMonths+1,$FN184&gt;SwaptionFirstMonthPosition+SwaptionNumOfMonths+1),"",IF($FN184=GQ$169,1,IF($FN184&lt;GQ$169,INDEX($FO$170:$IH$241,GQ$169,$FN184),SUMPRODUCT(INDEX($FO$325:$IH$396,GQ$169,1+SwaptionShift):INDEX($FO$325:$IH$396,GQ$169,SwaptionMonthsToGo+SwaptionShift),INDEX($FO$245:$IH$316,$FN184-GQ$169,73-GQ$169+SwaptionShift):INDEX($FO$245:$IH$316,$FN184-GQ$169,72-GQ$169+SwaptionMonthsToGo+SwaptionShift))/SQRT(SUM(INDEX($FO339:$IH339,1+SwaptionShift):INDEX($FO339:$IH339,SwaptionMonthsToGo+SwaptionShift))*SUM(INDEX($FO$325:$IH$396,GQ$169,1+SwaptionShift):INDEX($FO$325:$IH$396,GQ$169,SwaptionMonthsToGo+SwaptionShift))))))</f>
        <v/>
      </c>
      <c r="GR184" s="469" t="str">
        <f ca="1">IF(OR(GR$169&lt;SwaptionFirstMonthPosition+1,$FN184&lt;SwaptionFirstMonthPosition+1,GR$169&gt;SwaptionFirstMonthPosition+SwaptionNumOfMonths+1,$FN184&gt;SwaptionFirstMonthPosition+SwaptionNumOfMonths+1),"",IF($FN184=GR$169,1,IF($FN184&lt;GR$169,INDEX($FO$170:$IH$241,GR$169,$FN184),SUMPRODUCT(INDEX($FO$325:$IH$396,GR$169,1+SwaptionShift):INDEX($FO$325:$IH$396,GR$169,SwaptionMonthsToGo+SwaptionShift),INDEX($FO$245:$IH$316,$FN184-GR$169,73-GR$169+SwaptionShift):INDEX($FO$245:$IH$316,$FN184-GR$169,72-GR$169+SwaptionMonthsToGo+SwaptionShift))/SQRT(SUM(INDEX($FO339:$IH339,1+SwaptionShift):INDEX($FO339:$IH339,SwaptionMonthsToGo+SwaptionShift))*SUM(INDEX($FO$325:$IH$396,GR$169,1+SwaptionShift):INDEX($FO$325:$IH$396,GR$169,SwaptionMonthsToGo+SwaptionShift))))))</f>
        <v/>
      </c>
      <c r="GS184" s="469" t="str">
        <f ca="1">IF(OR(GS$169&lt;SwaptionFirstMonthPosition+1,$FN184&lt;SwaptionFirstMonthPosition+1,GS$169&gt;SwaptionFirstMonthPosition+SwaptionNumOfMonths+1,$FN184&gt;SwaptionFirstMonthPosition+SwaptionNumOfMonths+1),"",IF($FN184=GS$169,1,IF($FN184&lt;GS$169,INDEX($FO$170:$IH$241,GS$169,$FN184),SUMPRODUCT(INDEX($FO$325:$IH$396,GS$169,1+SwaptionShift):INDEX($FO$325:$IH$396,GS$169,SwaptionMonthsToGo+SwaptionShift),INDEX($FO$245:$IH$316,$FN184-GS$169,73-GS$169+SwaptionShift):INDEX($FO$245:$IH$316,$FN184-GS$169,72-GS$169+SwaptionMonthsToGo+SwaptionShift))/SQRT(SUM(INDEX($FO339:$IH339,1+SwaptionShift):INDEX($FO339:$IH339,SwaptionMonthsToGo+SwaptionShift))*SUM(INDEX($FO$325:$IH$396,GS$169,1+SwaptionShift):INDEX($FO$325:$IH$396,GS$169,SwaptionMonthsToGo+SwaptionShift))))))</f>
        <v/>
      </c>
      <c r="GT184" s="469" t="str">
        <f ca="1">IF(OR(GT$169&lt;SwaptionFirstMonthPosition+1,$FN184&lt;SwaptionFirstMonthPosition+1,GT$169&gt;SwaptionFirstMonthPosition+SwaptionNumOfMonths+1,$FN184&gt;SwaptionFirstMonthPosition+SwaptionNumOfMonths+1),"",IF($FN184=GT$169,1,IF($FN184&lt;GT$169,INDEX($FO$170:$IH$241,GT$169,$FN184),SUMPRODUCT(INDEX($FO$325:$IH$396,GT$169,1+SwaptionShift):INDEX($FO$325:$IH$396,GT$169,SwaptionMonthsToGo+SwaptionShift),INDEX($FO$245:$IH$316,$FN184-GT$169,73-GT$169+SwaptionShift):INDEX($FO$245:$IH$316,$FN184-GT$169,72-GT$169+SwaptionMonthsToGo+SwaptionShift))/SQRT(SUM(INDEX($FO339:$IH339,1+SwaptionShift):INDEX($FO339:$IH339,SwaptionMonthsToGo+SwaptionShift))*SUM(INDEX($FO$325:$IH$396,GT$169,1+SwaptionShift):INDEX($FO$325:$IH$396,GT$169,SwaptionMonthsToGo+SwaptionShift))))))</f>
        <v/>
      </c>
      <c r="GU184" s="469" t="str">
        <f ca="1">IF(OR(GU$169&lt;SwaptionFirstMonthPosition+1,$FN184&lt;SwaptionFirstMonthPosition+1,GU$169&gt;SwaptionFirstMonthPosition+SwaptionNumOfMonths+1,$FN184&gt;SwaptionFirstMonthPosition+SwaptionNumOfMonths+1),"",IF($FN184=GU$169,1,IF($FN184&lt;GU$169,INDEX($FO$170:$IH$241,GU$169,$FN184),SUMPRODUCT(INDEX($FO$325:$IH$396,GU$169,1+SwaptionShift):INDEX($FO$325:$IH$396,GU$169,SwaptionMonthsToGo+SwaptionShift),INDEX($FO$245:$IH$316,$FN184-GU$169,73-GU$169+SwaptionShift):INDEX($FO$245:$IH$316,$FN184-GU$169,72-GU$169+SwaptionMonthsToGo+SwaptionShift))/SQRT(SUM(INDEX($FO339:$IH339,1+SwaptionShift):INDEX($FO339:$IH339,SwaptionMonthsToGo+SwaptionShift))*SUM(INDEX($FO$325:$IH$396,GU$169,1+SwaptionShift):INDEX($FO$325:$IH$396,GU$169,SwaptionMonthsToGo+SwaptionShift))))))</f>
        <v/>
      </c>
      <c r="GV184" s="469" t="str">
        <f ca="1">IF(OR(GV$169&lt;SwaptionFirstMonthPosition+1,$FN184&lt;SwaptionFirstMonthPosition+1,GV$169&gt;SwaptionFirstMonthPosition+SwaptionNumOfMonths+1,$FN184&gt;SwaptionFirstMonthPosition+SwaptionNumOfMonths+1),"",IF($FN184=GV$169,1,IF($FN184&lt;GV$169,INDEX($FO$170:$IH$241,GV$169,$FN184),SUMPRODUCT(INDEX($FO$325:$IH$396,GV$169,1+SwaptionShift):INDEX($FO$325:$IH$396,GV$169,SwaptionMonthsToGo+SwaptionShift),INDEX($FO$245:$IH$316,$FN184-GV$169,73-GV$169+SwaptionShift):INDEX($FO$245:$IH$316,$FN184-GV$169,72-GV$169+SwaptionMonthsToGo+SwaptionShift))/SQRT(SUM(INDEX($FO339:$IH339,1+SwaptionShift):INDEX($FO339:$IH339,SwaptionMonthsToGo+SwaptionShift))*SUM(INDEX($FO$325:$IH$396,GV$169,1+SwaptionShift):INDEX($FO$325:$IH$396,GV$169,SwaptionMonthsToGo+SwaptionShift))))))</f>
        <v/>
      </c>
      <c r="GW184" s="469" t="str">
        <f ca="1">IF(OR(GW$169&lt;SwaptionFirstMonthPosition+1,$FN184&lt;SwaptionFirstMonthPosition+1,GW$169&gt;SwaptionFirstMonthPosition+SwaptionNumOfMonths+1,$FN184&gt;SwaptionFirstMonthPosition+SwaptionNumOfMonths+1),"",IF($FN184=GW$169,1,IF($FN184&lt;GW$169,INDEX($FO$170:$IH$241,GW$169,$FN184),SUMPRODUCT(INDEX($FO$325:$IH$396,GW$169,1+SwaptionShift):INDEX($FO$325:$IH$396,GW$169,SwaptionMonthsToGo+SwaptionShift),INDEX($FO$245:$IH$316,$FN184-GW$169,73-GW$169+SwaptionShift):INDEX($FO$245:$IH$316,$FN184-GW$169,72-GW$169+SwaptionMonthsToGo+SwaptionShift))/SQRT(SUM(INDEX($FO339:$IH339,1+SwaptionShift):INDEX($FO339:$IH339,SwaptionMonthsToGo+SwaptionShift))*SUM(INDEX($FO$325:$IH$396,GW$169,1+SwaptionShift):INDEX($FO$325:$IH$396,GW$169,SwaptionMonthsToGo+SwaptionShift))))))</f>
        <v/>
      </c>
      <c r="GX184" s="469" t="str">
        <f ca="1">IF(OR(GX$169&lt;SwaptionFirstMonthPosition+1,$FN184&lt;SwaptionFirstMonthPosition+1,GX$169&gt;SwaptionFirstMonthPosition+SwaptionNumOfMonths+1,$FN184&gt;SwaptionFirstMonthPosition+SwaptionNumOfMonths+1),"",IF($FN184=GX$169,1,IF($FN184&lt;GX$169,INDEX($FO$170:$IH$241,GX$169,$FN184),SUMPRODUCT(INDEX($FO$325:$IH$396,GX$169,1+SwaptionShift):INDEX($FO$325:$IH$396,GX$169,SwaptionMonthsToGo+SwaptionShift),INDEX($FO$245:$IH$316,$FN184-GX$169,73-GX$169+SwaptionShift):INDEX($FO$245:$IH$316,$FN184-GX$169,72-GX$169+SwaptionMonthsToGo+SwaptionShift))/SQRT(SUM(INDEX($FO339:$IH339,1+SwaptionShift):INDEX($FO339:$IH339,SwaptionMonthsToGo+SwaptionShift))*SUM(INDEX($FO$325:$IH$396,GX$169,1+SwaptionShift):INDEX($FO$325:$IH$396,GX$169,SwaptionMonthsToGo+SwaptionShift))))))</f>
        <v/>
      </c>
      <c r="GY184" s="469" t="str">
        <f ca="1">IF(OR(GY$169&lt;SwaptionFirstMonthPosition+1,$FN184&lt;SwaptionFirstMonthPosition+1,GY$169&gt;SwaptionFirstMonthPosition+SwaptionNumOfMonths+1,$FN184&gt;SwaptionFirstMonthPosition+SwaptionNumOfMonths+1),"",IF($FN184=GY$169,1,IF($FN184&lt;GY$169,INDEX($FO$170:$IH$241,GY$169,$FN184),SUMPRODUCT(INDEX($FO$325:$IH$396,GY$169,1+SwaptionShift):INDEX($FO$325:$IH$396,GY$169,SwaptionMonthsToGo+SwaptionShift),INDEX($FO$245:$IH$316,$FN184-GY$169,73-GY$169+SwaptionShift):INDEX($FO$245:$IH$316,$FN184-GY$169,72-GY$169+SwaptionMonthsToGo+SwaptionShift))/SQRT(SUM(INDEX($FO339:$IH339,1+SwaptionShift):INDEX($FO339:$IH339,SwaptionMonthsToGo+SwaptionShift))*SUM(INDEX($FO$325:$IH$396,GY$169,1+SwaptionShift):INDEX($FO$325:$IH$396,GY$169,SwaptionMonthsToGo+SwaptionShift))))))</f>
        <v/>
      </c>
      <c r="GZ184" s="469" t="str">
        <f ca="1">IF(OR(GZ$169&lt;SwaptionFirstMonthPosition+1,$FN184&lt;SwaptionFirstMonthPosition+1,GZ$169&gt;SwaptionFirstMonthPosition+SwaptionNumOfMonths+1,$FN184&gt;SwaptionFirstMonthPosition+SwaptionNumOfMonths+1),"",IF($FN184=GZ$169,1,IF($FN184&lt;GZ$169,INDEX($FO$170:$IH$241,GZ$169,$FN184),SUMPRODUCT(INDEX($FO$325:$IH$396,GZ$169,1+SwaptionShift):INDEX($FO$325:$IH$396,GZ$169,SwaptionMonthsToGo+SwaptionShift),INDEX($FO$245:$IH$316,$FN184-GZ$169,73-GZ$169+SwaptionShift):INDEX($FO$245:$IH$316,$FN184-GZ$169,72-GZ$169+SwaptionMonthsToGo+SwaptionShift))/SQRT(SUM(INDEX($FO339:$IH339,1+SwaptionShift):INDEX($FO339:$IH339,SwaptionMonthsToGo+SwaptionShift))*SUM(INDEX($FO$325:$IH$396,GZ$169,1+SwaptionShift):INDEX($FO$325:$IH$396,GZ$169,SwaptionMonthsToGo+SwaptionShift))))))</f>
        <v/>
      </c>
      <c r="HA184" s="469" t="str">
        <f ca="1">IF(OR(HA$169&lt;SwaptionFirstMonthPosition+1,$FN184&lt;SwaptionFirstMonthPosition+1,HA$169&gt;SwaptionFirstMonthPosition+SwaptionNumOfMonths+1,$FN184&gt;SwaptionFirstMonthPosition+SwaptionNumOfMonths+1),"",IF($FN184=HA$169,1,IF($FN184&lt;HA$169,INDEX($FO$170:$IH$241,HA$169,$FN184),SUMPRODUCT(INDEX($FO$325:$IH$396,HA$169,1+SwaptionShift):INDEX($FO$325:$IH$396,HA$169,SwaptionMonthsToGo+SwaptionShift),INDEX($FO$245:$IH$316,$FN184-HA$169,73-HA$169+SwaptionShift):INDEX($FO$245:$IH$316,$FN184-HA$169,72-HA$169+SwaptionMonthsToGo+SwaptionShift))/SQRT(SUM(INDEX($FO339:$IH339,1+SwaptionShift):INDEX($FO339:$IH339,SwaptionMonthsToGo+SwaptionShift))*SUM(INDEX($FO$325:$IH$396,HA$169,1+SwaptionShift):INDEX($FO$325:$IH$396,HA$169,SwaptionMonthsToGo+SwaptionShift))))))</f>
        <v/>
      </c>
      <c r="HB184" s="469" t="str">
        <f ca="1">IF(OR(HB$169&lt;SwaptionFirstMonthPosition+1,$FN184&lt;SwaptionFirstMonthPosition+1,HB$169&gt;SwaptionFirstMonthPosition+SwaptionNumOfMonths+1,$FN184&gt;SwaptionFirstMonthPosition+SwaptionNumOfMonths+1),"",IF($FN184=HB$169,1,IF($FN184&lt;HB$169,INDEX($FO$170:$IH$241,HB$169,$FN184),SUMPRODUCT(INDEX($FO$325:$IH$396,HB$169,1+SwaptionShift):INDEX($FO$325:$IH$396,HB$169,SwaptionMonthsToGo+SwaptionShift),INDEX($FO$245:$IH$316,$FN184-HB$169,73-HB$169+SwaptionShift):INDEX($FO$245:$IH$316,$FN184-HB$169,72-HB$169+SwaptionMonthsToGo+SwaptionShift))/SQRT(SUM(INDEX($FO339:$IH339,1+SwaptionShift):INDEX($FO339:$IH339,SwaptionMonthsToGo+SwaptionShift))*SUM(INDEX($FO$325:$IH$396,HB$169,1+SwaptionShift):INDEX($FO$325:$IH$396,HB$169,SwaptionMonthsToGo+SwaptionShift))))))</f>
        <v/>
      </c>
      <c r="HC184" s="469" t="str">
        <f ca="1">IF(OR(HC$169&lt;SwaptionFirstMonthPosition+1,$FN184&lt;SwaptionFirstMonthPosition+1,HC$169&gt;SwaptionFirstMonthPosition+SwaptionNumOfMonths+1,$FN184&gt;SwaptionFirstMonthPosition+SwaptionNumOfMonths+1),"",IF($FN184=HC$169,1,IF($FN184&lt;HC$169,INDEX($FO$170:$IH$241,HC$169,$FN184),SUMPRODUCT(INDEX($FO$325:$IH$396,HC$169,1+SwaptionShift):INDEX($FO$325:$IH$396,HC$169,SwaptionMonthsToGo+SwaptionShift),INDEX($FO$245:$IH$316,$FN184-HC$169,73-HC$169+SwaptionShift):INDEX($FO$245:$IH$316,$FN184-HC$169,72-HC$169+SwaptionMonthsToGo+SwaptionShift))/SQRT(SUM(INDEX($FO339:$IH339,1+SwaptionShift):INDEX($FO339:$IH339,SwaptionMonthsToGo+SwaptionShift))*SUM(INDEX($FO$325:$IH$396,HC$169,1+SwaptionShift):INDEX($FO$325:$IH$396,HC$169,SwaptionMonthsToGo+SwaptionShift))))))</f>
        <v/>
      </c>
      <c r="HD184" s="469" t="str">
        <f ca="1">IF(OR(HD$169&lt;SwaptionFirstMonthPosition+1,$FN184&lt;SwaptionFirstMonthPosition+1,HD$169&gt;SwaptionFirstMonthPosition+SwaptionNumOfMonths+1,$FN184&gt;SwaptionFirstMonthPosition+SwaptionNumOfMonths+1),"",IF($FN184=HD$169,1,IF($FN184&lt;HD$169,INDEX($FO$170:$IH$241,HD$169,$FN184),SUMPRODUCT(INDEX($FO$325:$IH$396,HD$169,1+SwaptionShift):INDEX($FO$325:$IH$396,HD$169,SwaptionMonthsToGo+SwaptionShift),INDEX($FO$245:$IH$316,$FN184-HD$169,73-HD$169+SwaptionShift):INDEX($FO$245:$IH$316,$FN184-HD$169,72-HD$169+SwaptionMonthsToGo+SwaptionShift))/SQRT(SUM(INDEX($FO339:$IH339,1+SwaptionShift):INDEX($FO339:$IH339,SwaptionMonthsToGo+SwaptionShift))*SUM(INDEX($FO$325:$IH$396,HD$169,1+SwaptionShift):INDEX($FO$325:$IH$396,HD$169,SwaptionMonthsToGo+SwaptionShift))))))</f>
        <v/>
      </c>
      <c r="HE184" s="469" t="str">
        <f ca="1">IF(OR(HE$169&lt;SwaptionFirstMonthPosition+1,$FN184&lt;SwaptionFirstMonthPosition+1,HE$169&gt;SwaptionFirstMonthPosition+SwaptionNumOfMonths+1,$FN184&gt;SwaptionFirstMonthPosition+SwaptionNumOfMonths+1),"",IF($FN184=HE$169,1,IF($FN184&lt;HE$169,INDEX($FO$170:$IH$241,HE$169,$FN184),SUMPRODUCT(INDEX($FO$325:$IH$396,HE$169,1+SwaptionShift):INDEX($FO$325:$IH$396,HE$169,SwaptionMonthsToGo+SwaptionShift),INDEX($FO$245:$IH$316,$FN184-HE$169,73-HE$169+SwaptionShift):INDEX($FO$245:$IH$316,$FN184-HE$169,72-HE$169+SwaptionMonthsToGo+SwaptionShift))/SQRT(SUM(INDEX($FO339:$IH339,1+SwaptionShift):INDEX($FO339:$IH339,SwaptionMonthsToGo+SwaptionShift))*SUM(INDEX($FO$325:$IH$396,HE$169,1+SwaptionShift):INDEX($FO$325:$IH$396,HE$169,SwaptionMonthsToGo+SwaptionShift))))))</f>
        <v/>
      </c>
      <c r="HF184" s="469" t="str">
        <f ca="1">IF(OR(HF$169&lt;SwaptionFirstMonthPosition+1,$FN184&lt;SwaptionFirstMonthPosition+1,HF$169&gt;SwaptionFirstMonthPosition+SwaptionNumOfMonths+1,$FN184&gt;SwaptionFirstMonthPosition+SwaptionNumOfMonths+1),"",IF($FN184=HF$169,1,IF($FN184&lt;HF$169,INDEX($FO$170:$IH$241,HF$169,$FN184),SUMPRODUCT(INDEX($FO$325:$IH$396,HF$169,1+SwaptionShift):INDEX($FO$325:$IH$396,HF$169,SwaptionMonthsToGo+SwaptionShift),INDEX($FO$245:$IH$316,$FN184-HF$169,73-HF$169+SwaptionShift):INDEX($FO$245:$IH$316,$FN184-HF$169,72-HF$169+SwaptionMonthsToGo+SwaptionShift))/SQRT(SUM(INDEX($FO339:$IH339,1+SwaptionShift):INDEX($FO339:$IH339,SwaptionMonthsToGo+SwaptionShift))*SUM(INDEX($FO$325:$IH$396,HF$169,1+SwaptionShift):INDEX($FO$325:$IH$396,HF$169,SwaptionMonthsToGo+SwaptionShift))))))</f>
        <v/>
      </c>
      <c r="HG184" s="469" t="str">
        <f ca="1">IF(OR(HG$169&lt;SwaptionFirstMonthPosition+1,$FN184&lt;SwaptionFirstMonthPosition+1,HG$169&gt;SwaptionFirstMonthPosition+SwaptionNumOfMonths+1,$FN184&gt;SwaptionFirstMonthPosition+SwaptionNumOfMonths+1),"",IF($FN184=HG$169,1,IF($FN184&lt;HG$169,INDEX($FO$170:$IH$241,HG$169,$FN184),SUMPRODUCT(INDEX($FO$325:$IH$396,HG$169,1+SwaptionShift):INDEX($FO$325:$IH$396,HG$169,SwaptionMonthsToGo+SwaptionShift),INDEX($FO$245:$IH$316,$FN184-HG$169,73-HG$169+SwaptionShift):INDEX($FO$245:$IH$316,$FN184-HG$169,72-HG$169+SwaptionMonthsToGo+SwaptionShift))/SQRT(SUM(INDEX($FO339:$IH339,1+SwaptionShift):INDEX($FO339:$IH339,SwaptionMonthsToGo+SwaptionShift))*SUM(INDEX($FO$325:$IH$396,HG$169,1+SwaptionShift):INDEX($FO$325:$IH$396,HG$169,SwaptionMonthsToGo+SwaptionShift))))))</f>
        <v/>
      </c>
      <c r="HH184" s="469" t="str">
        <f ca="1">IF(OR(HH$169&lt;SwaptionFirstMonthPosition+1,$FN184&lt;SwaptionFirstMonthPosition+1,HH$169&gt;SwaptionFirstMonthPosition+SwaptionNumOfMonths+1,$FN184&gt;SwaptionFirstMonthPosition+SwaptionNumOfMonths+1),"",IF($FN184=HH$169,1,IF($FN184&lt;HH$169,INDEX($FO$170:$IH$241,HH$169,$FN184),SUMPRODUCT(INDEX($FO$325:$IH$396,HH$169,1+SwaptionShift):INDEX($FO$325:$IH$396,HH$169,SwaptionMonthsToGo+SwaptionShift),INDEX($FO$245:$IH$316,$FN184-HH$169,73-HH$169+SwaptionShift):INDEX($FO$245:$IH$316,$FN184-HH$169,72-HH$169+SwaptionMonthsToGo+SwaptionShift))/SQRT(SUM(INDEX($FO339:$IH339,1+SwaptionShift):INDEX($FO339:$IH339,SwaptionMonthsToGo+SwaptionShift))*SUM(INDEX($FO$325:$IH$396,HH$169,1+SwaptionShift):INDEX($FO$325:$IH$396,HH$169,SwaptionMonthsToGo+SwaptionShift))))))</f>
        <v/>
      </c>
      <c r="HI184" s="469" t="str">
        <f ca="1">IF(OR(HI$169&lt;SwaptionFirstMonthPosition+1,$FN184&lt;SwaptionFirstMonthPosition+1,HI$169&gt;SwaptionFirstMonthPosition+SwaptionNumOfMonths+1,$FN184&gt;SwaptionFirstMonthPosition+SwaptionNumOfMonths+1),"",IF($FN184=HI$169,1,IF($FN184&lt;HI$169,INDEX($FO$170:$IH$241,HI$169,$FN184),SUMPRODUCT(INDEX($FO$325:$IH$396,HI$169,1+SwaptionShift):INDEX($FO$325:$IH$396,HI$169,SwaptionMonthsToGo+SwaptionShift),INDEX($FO$245:$IH$316,$FN184-HI$169,73-HI$169+SwaptionShift):INDEX($FO$245:$IH$316,$FN184-HI$169,72-HI$169+SwaptionMonthsToGo+SwaptionShift))/SQRT(SUM(INDEX($FO339:$IH339,1+SwaptionShift):INDEX($FO339:$IH339,SwaptionMonthsToGo+SwaptionShift))*SUM(INDEX($FO$325:$IH$396,HI$169,1+SwaptionShift):INDEX($FO$325:$IH$396,HI$169,SwaptionMonthsToGo+SwaptionShift))))))</f>
        <v/>
      </c>
      <c r="HJ184" s="469" t="str">
        <f ca="1">IF(OR(HJ$169&lt;SwaptionFirstMonthPosition+1,$FN184&lt;SwaptionFirstMonthPosition+1,HJ$169&gt;SwaptionFirstMonthPosition+SwaptionNumOfMonths+1,$FN184&gt;SwaptionFirstMonthPosition+SwaptionNumOfMonths+1),"",IF($FN184=HJ$169,1,IF($FN184&lt;HJ$169,INDEX($FO$170:$IH$241,HJ$169,$FN184),SUMPRODUCT(INDEX($FO$325:$IH$396,HJ$169,1+SwaptionShift):INDEX($FO$325:$IH$396,HJ$169,SwaptionMonthsToGo+SwaptionShift),INDEX($FO$245:$IH$316,$FN184-HJ$169,73-HJ$169+SwaptionShift):INDEX($FO$245:$IH$316,$FN184-HJ$169,72-HJ$169+SwaptionMonthsToGo+SwaptionShift))/SQRT(SUM(INDEX($FO339:$IH339,1+SwaptionShift):INDEX($FO339:$IH339,SwaptionMonthsToGo+SwaptionShift))*SUM(INDEX($FO$325:$IH$396,HJ$169,1+SwaptionShift):INDEX($FO$325:$IH$396,HJ$169,SwaptionMonthsToGo+SwaptionShift))))))</f>
        <v/>
      </c>
      <c r="HK184" s="469" t="str">
        <f ca="1">IF(OR(HK$169&lt;SwaptionFirstMonthPosition+1,$FN184&lt;SwaptionFirstMonthPosition+1,HK$169&gt;SwaptionFirstMonthPosition+SwaptionNumOfMonths+1,$FN184&gt;SwaptionFirstMonthPosition+SwaptionNumOfMonths+1),"",IF($FN184=HK$169,1,IF($FN184&lt;HK$169,INDEX($FO$170:$IH$241,HK$169,$FN184),SUMPRODUCT(INDEX($FO$325:$IH$396,HK$169,1+SwaptionShift):INDEX($FO$325:$IH$396,HK$169,SwaptionMonthsToGo+SwaptionShift),INDEX($FO$245:$IH$316,$FN184-HK$169,73-HK$169+SwaptionShift):INDEX($FO$245:$IH$316,$FN184-HK$169,72-HK$169+SwaptionMonthsToGo+SwaptionShift))/SQRT(SUM(INDEX($FO339:$IH339,1+SwaptionShift):INDEX($FO339:$IH339,SwaptionMonthsToGo+SwaptionShift))*SUM(INDEX($FO$325:$IH$396,HK$169,1+SwaptionShift):INDEX($FO$325:$IH$396,HK$169,SwaptionMonthsToGo+SwaptionShift))))))</f>
        <v/>
      </c>
      <c r="HL184" s="469" t="str">
        <f ca="1">IF(OR(HL$169&lt;SwaptionFirstMonthPosition+1,$FN184&lt;SwaptionFirstMonthPosition+1,HL$169&gt;SwaptionFirstMonthPosition+SwaptionNumOfMonths+1,$FN184&gt;SwaptionFirstMonthPosition+SwaptionNumOfMonths+1),"",IF($FN184=HL$169,1,IF($FN184&lt;HL$169,INDEX($FO$170:$IH$241,HL$169,$FN184),SUMPRODUCT(INDEX($FO$325:$IH$396,HL$169,1+SwaptionShift):INDEX($FO$325:$IH$396,HL$169,SwaptionMonthsToGo+SwaptionShift),INDEX($FO$245:$IH$316,$FN184-HL$169,73-HL$169+SwaptionShift):INDEX($FO$245:$IH$316,$FN184-HL$169,72-HL$169+SwaptionMonthsToGo+SwaptionShift))/SQRT(SUM(INDEX($FO339:$IH339,1+SwaptionShift):INDEX($FO339:$IH339,SwaptionMonthsToGo+SwaptionShift))*SUM(INDEX($FO$325:$IH$396,HL$169,1+SwaptionShift):INDEX($FO$325:$IH$396,HL$169,SwaptionMonthsToGo+SwaptionShift))))))</f>
        <v/>
      </c>
      <c r="HM184" s="469" t="str">
        <f ca="1">IF(OR(HM$169&lt;SwaptionFirstMonthPosition+1,$FN184&lt;SwaptionFirstMonthPosition+1,HM$169&gt;SwaptionFirstMonthPosition+SwaptionNumOfMonths+1,$FN184&gt;SwaptionFirstMonthPosition+SwaptionNumOfMonths+1),"",IF($FN184=HM$169,1,IF($FN184&lt;HM$169,INDEX($FO$170:$IH$241,HM$169,$FN184),SUMPRODUCT(INDEX($FO$325:$IH$396,HM$169,1+SwaptionShift):INDEX($FO$325:$IH$396,HM$169,SwaptionMonthsToGo+SwaptionShift),INDEX($FO$245:$IH$316,$FN184-HM$169,73-HM$169+SwaptionShift):INDEX($FO$245:$IH$316,$FN184-HM$169,72-HM$169+SwaptionMonthsToGo+SwaptionShift))/SQRT(SUM(INDEX($FO339:$IH339,1+SwaptionShift):INDEX($FO339:$IH339,SwaptionMonthsToGo+SwaptionShift))*SUM(INDEX($FO$325:$IH$396,HM$169,1+SwaptionShift):INDEX($FO$325:$IH$396,HM$169,SwaptionMonthsToGo+SwaptionShift))))))</f>
        <v/>
      </c>
      <c r="HN184" s="469" t="str">
        <f ca="1">IF(OR(HN$169&lt;SwaptionFirstMonthPosition+1,$FN184&lt;SwaptionFirstMonthPosition+1,HN$169&gt;SwaptionFirstMonthPosition+SwaptionNumOfMonths+1,$FN184&gt;SwaptionFirstMonthPosition+SwaptionNumOfMonths+1),"",IF($FN184=HN$169,1,IF($FN184&lt;HN$169,INDEX($FO$170:$IH$241,HN$169,$FN184),SUMPRODUCT(INDEX($FO$325:$IH$396,HN$169,1+SwaptionShift):INDEX($FO$325:$IH$396,HN$169,SwaptionMonthsToGo+SwaptionShift),INDEX($FO$245:$IH$316,$FN184-HN$169,73-HN$169+SwaptionShift):INDEX($FO$245:$IH$316,$FN184-HN$169,72-HN$169+SwaptionMonthsToGo+SwaptionShift))/SQRT(SUM(INDEX($FO339:$IH339,1+SwaptionShift):INDEX($FO339:$IH339,SwaptionMonthsToGo+SwaptionShift))*SUM(INDEX($FO$325:$IH$396,HN$169,1+SwaptionShift):INDEX($FO$325:$IH$396,HN$169,SwaptionMonthsToGo+SwaptionShift))))))</f>
        <v/>
      </c>
      <c r="HO184" s="469" t="str">
        <f ca="1">IF(OR(HO$169&lt;SwaptionFirstMonthPosition+1,$FN184&lt;SwaptionFirstMonthPosition+1,HO$169&gt;SwaptionFirstMonthPosition+SwaptionNumOfMonths+1,$FN184&gt;SwaptionFirstMonthPosition+SwaptionNumOfMonths+1),"",IF($FN184=HO$169,1,IF($FN184&lt;HO$169,INDEX($FO$170:$IH$241,HO$169,$FN184),SUMPRODUCT(INDEX($FO$325:$IH$396,HO$169,1+SwaptionShift):INDEX($FO$325:$IH$396,HO$169,SwaptionMonthsToGo+SwaptionShift),INDEX($FO$245:$IH$316,$FN184-HO$169,73-HO$169+SwaptionShift):INDEX($FO$245:$IH$316,$FN184-HO$169,72-HO$169+SwaptionMonthsToGo+SwaptionShift))/SQRT(SUM(INDEX($FO339:$IH339,1+SwaptionShift):INDEX($FO339:$IH339,SwaptionMonthsToGo+SwaptionShift))*SUM(INDEX($FO$325:$IH$396,HO$169,1+SwaptionShift):INDEX($FO$325:$IH$396,HO$169,SwaptionMonthsToGo+SwaptionShift))))))</f>
        <v/>
      </c>
      <c r="HP184" s="469" t="str">
        <f ca="1">IF(OR(HP$169&lt;SwaptionFirstMonthPosition+1,$FN184&lt;SwaptionFirstMonthPosition+1,HP$169&gt;SwaptionFirstMonthPosition+SwaptionNumOfMonths+1,$FN184&gt;SwaptionFirstMonthPosition+SwaptionNumOfMonths+1),"",IF($FN184=HP$169,1,IF($FN184&lt;HP$169,INDEX($FO$170:$IH$241,HP$169,$FN184),SUMPRODUCT(INDEX($FO$325:$IH$396,HP$169,1+SwaptionShift):INDEX($FO$325:$IH$396,HP$169,SwaptionMonthsToGo+SwaptionShift),INDEX($FO$245:$IH$316,$FN184-HP$169,73-HP$169+SwaptionShift):INDEX($FO$245:$IH$316,$FN184-HP$169,72-HP$169+SwaptionMonthsToGo+SwaptionShift))/SQRT(SUM(INDEX($FO339:$IH339,1+SwaptionShift):INDEX($FO339:$IH339,SwaptionMonthsToGo+SwaptionShift))*SUM(INDEX($FO$325:$IH$396,HP$169,1+SwaptionShift):INDEX($FO$325:$IH$396,HP$169,SwaptionMonthsToGo+SwaptionShift))))))</f>
        <v/>
      </c>
      <c r="HQ184" s="469" t="str">
        <f ca="1">IF(OR(HQ$169&lt;SwaptionFirstMonthPosition+1,$FN184&lt;SwaptionFirstMonthPosition+1,HQ$169&gt;SwaptionFirstMonthPosition+SwaptionNumOfMonths+1,$FN184&gt;SwaptionFirstMonthPosition+SwaptionNumOfMonths+1),"",IF($FN184=HQ$169,1,IF($FN184&lt;HQ$169,INDEX($FO$170:$IH$241,HQ$169,$FN184),SUMPRODUCT(INDEX($FO$325:$IH$396,HQ$169,1+SwaptionShift):INDEX($FO$325:$IH$396,HQ$169,SwaptionMonthsToGo+SwaptionShift),INDEX($FO$245:$IH$316,$FN184-HQ$169,73-HQ$169+SwaptionShift):INDEX($FO$245:$IH$316,$FN184-HQ$169,72-HQ$169+SwaptionMonthsToGo+SwaptionShift))/SQRT(SUM(INDEX($FO339:$IH339,1+SwaptionShift):INDEX($FO339:$IH339,SwaptionMonthsToGo+SwaptionShift))*SUM(INDEX($FO$325:$IH$396,HQ$169,1+SwaptionShift):INDEX($FO$325:$IH$396,HQ$169,SwaptionMonthsToGo+SwaptionShift))))))</f>
        <v/>
      </c>
      <c r="HR184" s="469" t="str">
        <f ca="1">IF(OR(HR$169&lt;SwaptionFirstMonthPosition+1,$FN184&lt;SwaptionFirstMonthPosition+1,HR$169&gt;SwaptionFirstMonthPosition+SwaptionNumOfMonths+1,$FN184&gt;SwaptionFirstMonthPosition+SwaptionNumOfMonths+1),"",IF($FN184=HR$169,1,IF($FN184&lt;HR$169,INDEX($FO$170:$IH$241,HR$169,$FN184),SUMPRODUCT(INDEX($FO$325:$IH$396,HR$169,1+SwaptionShift):INDEX($FO$325:$IH$396,HR$169,SwaptionMonthsToGo+SwaptionShift),INDEX($FO$245:$IH$316,$FN184-HR$169,73-HR$169+SwaptionShift):INDEX($FO$245:$IH$316,$FN184-HR$169,72-HR$169+SwaptionMonthsToGo+SwaptionShift))/SQRT(SUM(INDEX($FO339:$IH339,1+SwaptionShift):INDEX($FO339:$IH339,SwaptionMonthsToGo+SwaptionShift))*SUM(INDEX($FO$325:$IH$396,HR$169,1+SwaptionShift):INDEX($FO$325:$IH$396,HR$169,SwaptionMonthsToGo+SwaptionShift))))))</f>
        <v/>
      </c>
      <c r="HS184" s="469" t="str">
        <f ca="1">IF(OR(HS$169&lt;SwaptionFirstMonthPosition+1,$FN184&lt;SwaptionFirstMonthPosition+1,HS$169&gt;SwaptionFirstMonthPosition+SwaptionNumOfMonths+1,$FN184&gt;SwaptionFirstMonthPosition+SwaptionNumOfMonths+1),"",IF($FN184=HS$169,1,IF($FN184&lt;HS$169,INDEX($FO$170:$IH$241,HS$169,$FN184),SUMPRODUCT(INDEX($FO$325:$IH$396,HS$169,1+SwaptionShift):INDEX($FO$325:$IH$396,HS$169,SwaptionMonthsToGo+SwaptionShift),INDEX($FO$245:$IH$316,$FN184-HS$169,73-HS$169+SwaptionShift):INDEX($FO$245:$IH$316,$FN184-HS$169,72-HS$169+SwaptionMonthsToGo+SwaptionShift))/SQRT(SUM(INDEX($FO339:$IH339,1+SwaptionShift):INDEX($FO339:$IH339,SwaptionMonthsToGo+SwaptionShift))*SUM(INDEX($FO$325:$IH$396,HS$169,1+SwaptionShift):INDEX($FO$325:$IH$396,HS$169,SwaptionMonthsToGo+SwaptionShift))))))</f>
        <v/>
      </c>
      <c r="HT184" s="469" t="str">
        <f ca="1">IF(OR(HT$169&lt;SwaptionFirstMonthPosition+1,$FN184&lt;SwaptionFirstMonthPosition+1,HT$169&gt;SwaptionFirstMonthPosition+SwaptionNumOfMonths+1,$FN184&gt;SwaptionFirstMonthPosition+SwaptionNumOfMonths+1),"",IF($FN184=HT$169,1,IF($FN184&lt;HT$169,INDEX($FO$170:$IH$241,HT$169,$FN184),SUMPRODUCT(INDEX($FO$325:$IH$396,HT$169,1+SwaptionShift):INDEX($FO$325:$IH$396,HT$169,SwaptionMonthsToGo+SwaptionShift),INDEX($FO$245:$IH$316,$FN184-HT$169,73-HT$169+SwaptionShift):INDEX($FO$245:$IH$316,$FN184-HT$169,72-HT$169+SwaptionMonthsToGo+SwaptionShift))/SQRT(SUM(INDEX($FO339:$IH339,1+SwaptionShift):INDEX($FO339:$IH339,SwaptionMonthsToGo+SwaptionShift))*SUM(INDEX($FO$325:$IH$396,HT$169,1+SwaptionShift):INDEX($FO$325:$IH$396,HT$169,SwaptionMonthsToGo+SwaptionShift))))))</f>
        <v/>
      </c>
      <c r="HU184" s="469" t="str">
        <f ca="1">IF(OR(HU$169&lt;SwaptionFirstMonthPosition+1,$FN184&lt;SwaptionFirstMonthPosition+1,HU$169&gt;SwaptionFirstMonthPosition+SwaptionNumOfMonths+1,$FN184&gt;SwaptionFirstMonthPosition+SwaptionNumOfMonths+1),"",IF($FN184=HU$169,1,IF($FN184&lt;HU$169,INDEX($FO$170:$IH$241,HU$169,$FN184),SUMPRODUCT(INDEX($FO$325:$IH$396,HU$169,1+SwaptionShift):INDEX($FO$325:$IH$396,HU$169,SwaptionMonthsToGo+SwaptionShift),INDEX($FO$245:$IH$316,$FN184-HU$169,73-HU$169+SwaptionShift):INDEX($FO$245:$IH$316,$FN184-HU$169,72-HU$169+SwaptionMonthsToGo+SwaptionShift))/SQRT(SUM(INDEX($FO339:$IH339,1+SwaptionShift):INDEX($FO339:$IH339,SwaptionMonthsToGo+SwaptionShift))*SUM(INDEX($FO$325:$IH$396,HU$169,1+SwaptionShift):INDEX($FO$325:$IH$396,HU$169,SwaptionMonthsToGo+SwaptionShift))))))</f>
        <v/>
      </c>
      <c r="HV184" s="469" t="str">
        <f ca="1">IF(OR(HV$169&lt;SwaptionFirstMonthPosition+1,$FN184&lt;SwaptionFirstMonthPosition+1,HV$169&gt;SwaptionFirstMonthPosition+SwaptionNumOfMonths+1,$FN184&gt;SwaptionFirstMonthPosition+SwaptionNumOfMonths+1),"",IF($FN184=HV$169,1,IF($FN184&lt;HV$169,INDEX($FO$170:$IH$241,HV$169,$FN184),SUMPRODUCT(INDEX($FO$325:$IH$396,HV$169,1+SwaptionShift):INDEX($FO$325:$IH$396,HV$169,SwaptionMonthsToGo+SwaptionShift),INDEX($FO$245:$IH$316,$FN184-HV$169,73-HV$169+SwaptionShift):INDEX($FO$245:$IH$316,$FN184-HV$169,72-HV$169+SwaptionMonthsToGo+SwaptionShift))/SQRT(SUM(INDEX($FO339:$IH339,1+SwaptionShift):INDEX($FO339:$IH339,SwaptionMonthsToGo+SwaptionShift))*SUM(INDEX($FO$325:$IH$396,HV$169,1+SwaptionShift):INDEX($FO$325:$IH$396,HV$169,SwaptionMonthsToGo+SwaptionShift))))))</f>
        <v/>
      </c>
      <c r="HW184" s="469" t="str">
        <f ca="1">IF(OR(HW$169&lt;SwaptionFirstMonthPosition+1,$FN184&lt;SwaptionFirstMonthPosition+1,HW$169&gt;SwaptionFirstMonthPosition+SwaptionNumOfMonths+1,$FN184&gt;SwaptionFirstMonthPosition+SwaptionNumOfMonths+1),"",IF($FN184=HW$169,1,IF($FN184&lt;HW$169,INDEX($FO$170:$IH$241,HW$169,$FN184),SUMPRODUCT(INDEX($FO$325:$IH$396,HW$169,1+SwaptionShift):INDEX($FO$325:$IH$396,HW$169,SwaptionMonthsToGo+SwaptionShift),INDEX($FO$245:$IH$316,$FN184-HW$169,73-HW$169+SwaptionShift):INDEX($FO$245:$IH$316,$FN184-HW$169,72-HW$169+SwaptionMonthsToGo+SwaptionShift))/SQRT(SUM(INDEX($FO339:$IH339,1+SwaptionShift):INDEX($FO339:$IH339,SwaptionMonthsToGo+SwaptionShift))*SUM(INDEX($FO$325:$IH$396,HW$169,1+SwaptionShift):INDEX($FO$325:$IH$396,HW$169,SwaptionMonthsToGo+SwaptionShift))))))</f>
        <v/>
      </c>
      <c r="HX184" s="469" t="str">
        <f ca="1">IF(OR(HX$169&lt;SwaptionFirstMonthPosition+1,$FN184&lt;SwaptionFirstMonthPosition+1,HX$169&gt;SwaptionFirstMonthPosition+SwaptionNumOfMonths+1,$FN184&gt;SwaptionFirstMonthPosition+SwaptionNumOfMonths+1),"",IF($FN184=HX$169,1,IF($FN184&lt;HX$169,INDEX($FO$170:$IH$241,HX$169,$FN184),SUMPRODUCT(INDEX($FO$325:$IH$396,HX$169,1+SwaptionShift):INDEX($FO$325:$IH$396,HX$169,SwaptionMonthsToGo+SwaptionShift),INDEX($FO$245:$IH$316,$FN184-HX$169,73-HX$169+SwaptionShift):INDEX($FO$245:$IH$316,$FN184-HX$169,72-HX$169+SwaptionMonthsToGo+SwaptionShift))/SQRT(SUM(INDEX($FO339:$IH339,1+SwaptionShift):INDEX($FO339:$IH339,SwaptionMonthsToGo+SwaptionShift))*SUM(INDEX($FO$325:$IH$396,HX$169,1+SwaptionShift):INDEX($FO$325:$IH$396,HX$169,SwaptionMonthsToGo+SwaptionShift))))))</f>
        <v/>
      </c>
      <c r="HY184" s="469" t="str">
        <f ca="1">IF(OR(HY$169&lt;SwaptionFirstMonthPosition+1,$FN184&lt;SwaptionFirstMonthPosition+1,HY$169&gt;SwaptionFirstMonthPosition+SwaptionNumOfMonths+1,$FN184&gt;SwaptionFirstMonthPosition+SwaptionNumOfMonths+1),"",IF($FN184=HY$169,1,IF($FN184&lt;HY$169,INDEX($FO$170:$IH$241,HY$169,$FN184),SUMPRODUCT(INDEX($FO$325:$IH$396,HY$169,1+SwaptionShift):INDEX($FO$325:$IH$396,HY$169,SwaptionMonthsToGo+SwaptionShift),INDEX($FO$245:$IH$316,$FN184-HY$169,73-HY$169+SwaptionShift):INDEX($FO$245:$IH$316,$FN184-HY$169,72-HY$169+SwaptionMonthsToGo+SwaptionShift))/SQRT(SUM(INDEX($FO339:$IH339,1+SwaptionShift):INDEX($FO339:$IH339,SwaptionMonthsToGo+SwaptionShift))*SUM(INDEX($FO$325:$IH$396,HY$169,1+SwaptionShift):INDEX($FO$325:$IH$396,HY$169,SwaptionMonthsToGo+SwaptionShift))))))</f>
        <v/>
      </c>
      <c r="HZ184" s="469" t="str">
        <f ca="1">IF(OR(HZ$169&lt;SwaptionFirstMonthPosition+1,$FN184&lt;SwaptionFirstMonthPosition+1,HZ$169&gt;SwaptionFirstMonthPosition+SwaptionNumOfMonths+1,$FN184&gt;SwaptionFirstMonthPosition+SwaptionNumOfMonths+1),"",IF($FN184=HZ$169,1,IF($FN184&lt;HZ$169,INDEX($FO$170:$IH$241,HZ$169,$FN184),SUMPRODUCT(INDEX($FO$325:$IH$396,HZ$169,1+SwaptionShift):INDEX($FO$325:$IH$396,HZ$169,SwaptionMonthsToGo+SwaptionShift),INDEX($FO$245:$IH$316,$FN184-HZ$169,73-HZ$169+SwaptionShift):INDEX($FO$245:$IH$316,$FN184-HZ$169,72-HZ$169+SwaptionMonthsToGo+SwaptionShift))/SQRT(SUM(INDEX($FO339:$IH339,1+SwaptionShift):INDEX($FO339:$IH339,SwaptionMonthsToGo+SwaptionShift))*SUM(INDEX($FO$325:$IH$396,HZ$169,1+SwaptionShift):INDEX($FO$325:$IH$396,HZ$169,SwaptionMonthsToGo+SwaptionShift))))))</f>
        <v/>
      </c>
      <c r="IA184" s="469" t="str">
        <f ca="1">IF(OR(IA$169&lt;SwaptionFirstMonthPosition+1,$FN184&lt;SwaptionFirstMonthPosition+1,IA$169&gt;SwaptionFirstMonthPosition+SwaptionNumOfMonths+1,$FN184&gt;SwaptionFirstMonthPosition+SwaptionNumOfMonths+1),"",IF($FN184=IA$169,1,IF($FN184&lt;IA$169,INDEX($FO$170:$IH$241,IA$169,$FN184),SUMPRODUCT(INDEX($FO$325:$IH$396,IA$169,1+SwaptionShift):INDEX($FO$325:$IH$396,IA$169,SwaptionMonthsToGo+SwaptionShift),INDEX($FO$245:$IH$316,$FN184-IA$169,73-IA$169+SwaptionShift):INDEX($FO$245:$IH$316,$FN184-IA$169,72-IA$169+SwaptionMonthsToGo+SwaptionShift))/SQRT(SUM(INDEX($FO339:$IH339,1+SwaptionShift):INDEX($FO339:$IH339,SwaptionMonthsToGo+SwaptionShift))*SUM(INDEX($FO$325:$IH$396,IA$169,1+SwaptionShift):INDEX($FO$325:$IH$396,IA$169,SwaptionMonthsToGo+SwaptionShift))))))</f>
        <v/>
      </c>
      <c r="IB184" s="469" t="str">
        <f ca="1">IF(OR(IB$169&lt;SwaptionFirstMonthPosition+1,$FN184&lt;SwaptionFirstMonthPosition+1,IB$169&gt;SwaptionFirstMonthPosition+SwaptionNumOfMonths+1,$FN184&gt;SwaptionFirstMonthPosition+SwaptionNumOfMonths+1),"",IF($FN184=IB$169,1,IF($FN184&lt;IB$169,INDEX($FO$170:$IH$241,IB$169,$FN184),SUMPRODUCT(INDEX($FO$325:$IH$396,IB$169,1+SwaptionShift):INDEX($FO$325:$IH$396,IB$169,SwaptionMonthsToGo+SwaptionShift),INDEX($FO$245:$IH$316,$FN184-IB$169,73-IB$169+SwaptionShift):INDEX($FO$245:$IH$316,$FN184-IB$169,72-IB$169+SwaptionMonthsToGo+SwaptionShift))/SQRT(SUM(INDEX($FO339:$IH339,1+SwaptionShift):INDEX($FO339:$IH339,SwaptionMonthsToGo+SwaptionShift))*SUM(INDEX($FO$325:$IH$396,IB$169,1+SwaptionShift):INDEX($FO$325:$IH$396,IB$169,SwaptionMonthsToGo+SwaptionShift))))))</f>
        <v/>
      </c>
      <c r="IC184" s="469" t="str">
        <f ca="1">IF(OR(IC$169&lt;SwaptionFirstMonthPosition+1,$FN184&lt;SwaptionFirstMonthPosition+1,IC$169&gt;SwaptionFirstMonthPosition+SwaptionNumOfMonths+1,$FN184&gt;SwaptionFirstMonthPosition+SwaptionNumOfMonths+1),"",IF($FN184=IC$169,1,IF($FN184&lt;IC$169,INDEX($FO$170:$IH$241,IC$169,$FN184),SUMPRODUCT(INDEX($FO$325:$IH$396,IC$169,1+SwaptionShift):INDEX($FO$325:$IH$396,IC$169,SwaptionMonthsToGo+SwaptionShift),INDEX($FO$245:$IH$316,$FN184-IC$169,73-IC$169+SwaptionShift):INDEX($FO$245:$IH$316,$FN184-IC$169,72-IC$169+SwaptionMonthsToGo+SwaptionShift))/SQRT(SUM(INDEX($FO339:$IH339,1+SwaptionShift):INDEX($FO339:$IH339,SwaptionMonthsToGo+SwaptionShift))*SUM(INDEX($FO$325:$IH$396,IC$169,1+SwaptionShift):INDEX($FO$325:$IH$396,IC$169,SwaptionMonthsToGo+SwaptionShift))))))</f>
        <v/>
      </c>
      <c r="ID184" s="469" t="str">
        <f ca="1">IF(OR(ID$169&lt;SwaptionFirstMonthPosition+1,$FN184&lt;SwaptionFirstMonthPosition+1,ID$169&gt;SwaptionFirstMonthPosition+SwaptionNumOfMonths+1,$FN184&gt;SwaptionFirstMonthPosition+SwaptionNumOfMonths+1),"",IF($FN184=ID$169,1,IF($FN184&lt;ID$169,INDEX($FO$170:$IH$241,ID$169,$FN184),SUMPRODUCT(INDEX($FO$325:$IH$396,ID$169,1+SwaptionShift):INDEX($FO$325:$IH$396,ID$169,SwaptionMonthsToGo+SwaptionShift),INDEX($FO$245:$IH$316,$FN184-ID$169,73-ID$169+SwaptionShift):INDEX($FO$245:$IH$316,$FN184-ID$169,72-ID$169+SwaptionMonthsToGo+SwaptionShift))/SQRT(SUM(INDEX($FO339:$IH339,1+SwaptionShift):INDEX($FO339:$IH339,SwaptionMonthsToGo+SwaptionShift))*SUM(INDEX($FO$325:$IH$396,ID$169,1+SwaptionShift):INDEX($FO$325:$IH$396,ID$169,SwaptionMonthsToGo+SwaptionShift))))))</f>
        <v/>
      </c>
      <c r="IE184" s="469" t="str">
        <f ca="1">IF(OR(IE$169&lt;SwaptionFirstMonthPosition+1,$FN184&lt;SwaptionFirstMonthPosition+1,IE$169&gt;SwaptionFirstMonthPosition+SwaptionNumOfMonths+1,$FN184&gt;SwaptionFirstMonthPosition+SwaptionNumOfMonths+1),"",IF($FN184=IE$169,1,IF($FN184&lt;IE$169,INDEX($FO$170:$IH$241,IE$169,$FN184),SUMPRODUCT(INDEX($FO$325:$IH$396,IE$169,1+SwaptionShift):INDEX($FO$325:$IH$396,IE$169,SwaptionMonthsToGo+SwaptionShift),INDEX($FO$245:$IH$316,$FN184-IE$169,73-IE$169+SwaptionShift):INDEX($FO$245:$IH$316,$FN184-IE$169,72-IE$169+SwaptionMonthsToGo+SwaptionShift))/SQRT(SUM(INDEX($FO339:$IH339,1+SwaptionShift):INDEX($FO339:$IH339,SwaptionMonthsToGo+SwaptionShift))*SUM(INDEX($FO$325:$IH$396,IE$169,1+SwaptionShift):INDEX($FO$325:$IH$396,IE$169,SwaptionMonthsToGo+SwaptionShift))))))</f>
        <v/>
      </c>
      <c r="IF184" s="469" t="str">
        <f ca="1">IF(OR(IF$169&lt;SwaptionFirstMonthPosition+1,$FN184&lt;SwaptionFirstMonthPosition+1,IF$169&gt;SwaptionFirstMonthPosition+SwaptionNumOfMonths+1,$FN184&gt;SwaptionFirstMonthPosition+SwaptionNumOfMonths+1),"",IF($FN184=IF$169,1,IF($FN184&lt;IF$169,INDEX($FO$170:$IH$241,IF$169,$FN184),SUMPRODUCT(INDEX($FO$325:$IH$396,IF$169,1+SwaptionShift):INDEX($FO$325:$IH$396,IF$169,SwaptionMonthsToGo+SwaptionShift),INDEX($FO$245:$IH$316,$FN184-IF$169,73-IF$169+SwaptionShift):INDEX($FO$245:$IH$316,$FN184-IF$169,72-IF$169+SwaptionMonthsToGo+SwaptionShift))/SQRT(SUM(INDEX($FO339:$IH339,1+SwaptionShift):INDEX($FO339:$IH339,SwaptionMonthsToGo+SwaptionShift))*SUM(INDEX($FO$325:$IH$396,IF$169,1+SwaptionShift):INDEX($FO$325:$IH$396,IF$169,SwaptionMonthsToGo+SwaptionShift))))))</f>
        <v/>
      </c>
      <c r="IG184" s="469" t="str">
        <f ca="1">IF(OR(IG$169&lt;SwaptionFirstMonthPosition+1,$FN184&lt;SwaptionFirstMonthPosition+1,IG$169&gt;SwaptionFirstMonthPosition+SwaptionNumOfMonths+1,$FN184&gt;SwaptionFirstMonthPosition+SwaptionNumOfMonths+1),"",IF($FN184=IG$169,1,IF($FN184&lt;IG$169,INDEX($FO$170:$IH$241,IG$169,$FN184),SUMPRODUCT(INDEX($FO$325:$IH$396,IG$169,1+SwaptionShift):INDEX($FO$325:$IH$396,IG$169,SwaptionMonthsToGo+SwaptionShift),INDEX($FO$245:$IH$316,$FN184-IG$169,73-IG$169+SwaptionShift):INDEX($FO$245:$IH$316,$FN184-IG$169,72-IG$169+SwaptionMonthsToGo+SwaptionShift))/SQRT(SUM(INDEX($FO339:$IH339,1+SwaptionShift):INDEX($FO339:$IH339,SwaptionMonthsToGo+SwaptionShift))*SUM(INDEX($FO$325:$IH$396,IG$169,1+SwaptionShift):INDEX($FO$325:$IH$396,IG$169,SwaptionMonthsToGo+SwaptionShift))))))</f>
        <v/>
      </c>
      <c r="IH184" s="662" t="str">
        <f ca="1">IF(OR(IH$169&lt;SwaptionFirstMonthPosition+1,$FN184&lt;SwaptionFirstMonthPosition+1,IH$169&gt;SwaptionFirstMonthPosition+SwaptionNumOfMonths+1,$FN184&gt;SwaptionFirstMonthPosition+SwaptionNumOfMonths+1),"",IF($FN184=IH$169,1,IF($FN184&lt;IH$169,INDEX($FO$170:$IH$241,IH$169,$FN184),SUMPRODUCT(INDEX($FO$325:$IH$396,IH$169,1+SwaptionShift):INDEX($FO$325:$IH$396,IH$169,SwaptionMonthsToGo+SwaptionShift),INDEX($FO$245:$IH$316,$FN184-IH$169,73-IH$169+SwaptionShift):INDEX($FO$245:$IH$316,$FN184-IH$169,72-IH$169+SwaptionMonthsToGo+SwaptionShift))/SQRT(SUM(INDEX($FO339:$IH339,1+SwaptionShift):INDEX($FO339:$IH339,SwaptionMonthsToGo+SwaptionShift))*SUM(INDEX($FO$325:$IH$396,IH$169,1+SwaptionShift):INDEX($FO$325:$IH$396,IH$169,SwaptionMonthsToGo+SwaptionShift))))))</f>
        <v/>
      </c>
      <c r="II184" s="242"/>
    </row>
    <row r="185" spans="8:243">
      <c r="H185" s="49" t="e">
        <f t="shared" ca="1" si="529"/>
        <v>#N/A</v>
      </c>
      <c r="I185" s="369">
        <f t="shared" si="530"/>
        <v>42036</v>
      </c>
      <c r="J185" s="367">
        <v>23.509999999999902</v>
      </c>
      <c r="K185" s="101" t="s">
        <v>267</v>
      </c>
      <c r="L185" s="382">
        <f t="shared" si="531"/>
        <v>23.509999999999895</v>
      </c>
      <c r="M185" s="163">
        <v>0.14510000000000001</v>
      </c>
      <c r="N185" s="372">
        <v>0</v>
      </c>
      <c r="O185" s="163">
        <f t="shared" si="488"/>
        <v>0.14510000000000001</v>
      </c>
      <c r="P185" s="367">
        <v>22.268578286129497</v>
      </c>
      <c r="Q185" s="101" t="s">
        <v>267</v>
      </c>
      <c r="R185" s="367">
        <f t="shared" ca="1" si="549"/>
        <v>22.268578286129486</v>
      </c>
      <c r="S185" s="814">
        <f t="shared" si="474"/>
        <v>0.34961926564469858</v>
      </c>
      <c r="T185" s="813">
        <f t="shared" si="550"/>
        <v>0.99999999779986415</v>
      </c>
      <c r="U185" s="532">
        <f t="shared" si="551"/>
        <v>0.99999999999999978</v>
      </c>
      <c r="V185" s="379">
        <v>0</v>
      </c>
      <c r="W185" s="424">
        <f t="shared" si="576"/>
        <v>23.541249999999899</v>
      </c>
      <c r="X185" s="405">
        <f t="shared" si="577"/>
        <v>23.541249999999891</v>
      </c>
      <c r="Y185" s="313">
        <f t="shared" si="578"/>
        <v>22.325249999999897</v>
      </c>
      <c r="Z185" s="313">
        <f t="shared" ca="1" si="579"/>
        <v>22.32524999999989</v>
      </c>
      <c r="AA185" s="419">
        <f t="shared" si="493"/>
        <v>1.216</v>
      </c>
      <c r="AB185" s="423">
        <f t="shared" ca="1" si="494"/>
        <v>1.216</v>
      </c>
      <c r="AC185" s="221">
        <v>42024</v>
      </c>
      <c r="AD185" s="221">
        <v>42020</v>
      </c>
      <c r="AE185" s="221">
        <v>42019</v>
      </c>
      <c r="AF185" s="221">
        <v>42015</v>
      </c>
      <c r="AG185" s="241" t="s">
        <v>497</v>
      </c>
      <c r="AH185" s="239" t="s">
        <v>497</v>
      </c>
      <c r="AI185" s="141">
        <v>20</v>
      </c>
      <c r="AJ185" s="41">
        <v>15</v>
      </c>
      <c r="AK185" s="41">
        <v>5</v>
      </c>
      <c r="AL185" s="285">
        <v>20</v>
      </c>
      <c r="AM185" s="41">
        <v>10</v>
      </c>
      <c r="AN185" s="142">
        <v>10</v>
      </c>
      <c r="AO185" s="364">
        <v>6.13262358528033E-2</v>
      </c>
      <c r="AP185" s="145">
        <f t="shared" ca="1" si="532"/>
        <v>0.43215571399013392</v>
      </c>
      <c r="AQ185" s="364">
        <v>5.4792906061099898E-2</v>
      </c>
      <c r="AR185" s="145">
        <f t="shared" ca="1" si="552"/>
        <v>0.4750082497487958</v>
      </c>
      <c r="AS185" s="264">
        <f t="shared" si="580"/>
        <v>0.14460000000000001</v>
      </c>
      <c r="AT185" s="149">
        <f t="shared" si="533"/>
        <v>0.14510000000000001</v>
      </c>
      <c r="AU185" s="149">
        <f t="shared" si="496"/>
        <v>0.14450000000000002</v>
      </c>
      <c r="AV185" s="263">
        <f t="shared" ca="1" si="560"/>
        <v>0.14292155492622829</v>
      </c>
      <c r="AW185" s="150" t="str">
        <f t="shared" ca="1" si="581"/>
        <v/>
      </c>
      <c r="AX185" s="149">
        <f t="shared" ca="1" si="553"/>
        <v>6.3318411267096718E-3</v>
      </c>
      <c r="AY185" s="149">
        <f t="shared" ca="1" si="554"/>
        <v>2.2273432175587233E-3</v>
      </c>
      <c r="AZ185" s="149">
        <f t="shared" ca="1" si="555"/>
        <v>2.1745711616333219E-3</v>
      </c>
      <c r="BA185" s="149">
        <f t="shared" ca="1" si="556"/>
        <v>1.0000000000000807E-4</v>
      </c>
      <c r="BB185" s="149">
        <f t="shared" ca="1" si="557"/>
        <v>1.0000000000000807E-4</v>
      </c>
      <c r="BC185" s="149">
        <f t="shared" ca="1" si="558"/>
        <v>1.0000000000000807E-4</v>
      </c>
      <c r="BD185" s="143">
        <f t="shared" ca="1" si="582"/>
        <v>0</v>
      </c>
      <c r="BE185" s="144">
        <f t="shared" ca="1" si="583"/>
        <v>0</v>
      </c>
      <c r="BF185" s="40">
        <f t="shared" si="584"/>
        <v>2015</v>
      </c>
      <c r="BG185" s="139">
        <f t="shared" si="585"/>
        <v>2</v>
      </c>
      <c r="BH185" s="140">
        <f t="shared" ca="1" si="586"/>
        <v>5030</v>
      </c>
      <c r="BI185" s="304">
        <f t="shared" ca="1" si="570"/>
        <v>13.815195071868583</v>
      </c>
      <c r="BJ185" s="42">
        <f t="shared" ca="1" si="503"/>
        <v>13.870636550308008</v>
      </c>
      <c r="BK185" s="42">
        <f t="shared" ca="1" si="504"/>
        <v>13.873374401095141</v>
      </c>
      <c r="BL185" s="42">
        <f t="shared" ca="1" si="571"/>
        <v>13.88911704312115</v>
      </c>
      <c r="BM185" s="285">
        <f t="shared" si="572"/>
        <v>20</v>
      </c>
      <c r="BN185" s="41">
        <f t="shared" si="573"/>
        <v>15</v>
      </c>
      <c r="BO185" s="41">
        <f t="shared" si="574"/>
        <v>5</v>
      </c>
      <c r="BP185" s="297" t="str">
        <f t="shared" ca="1" si="505"/>
        <v/>
      </c>
      <c r="BQ185" s="297" t="str">
        <f t="shared" ca="1" si="506"/>
        <v/>
      </c>
      <c r="BR185" s="299" t="str">
        <f t="shared" ca="1" si="507"/>
        <v/>
      </c>
      <c r="BS185" s="153" t="str">
        <f t="shared" ca="1" si="508"/>
        <v/>
      </c>
      <c r="BT185" s="153" t="str">
        <f t="shared" ca="1" si="509"/>
        <v/>
      </c>
      <c r="BU185" s="300" t="str">
        <f t="shared" ca="1" si="510"/>
        <v/>
      </c>
      <c r="BV185" s="301" t="str">
        <f t="shared" ca="1" si="511"/>
        <v/>
      </c>
      <c r="BW185" s="300" t="str">
        <f t="shared" ca="1" si="512"/>
        <v/>
      </c>
      <c r="BX185" s="301" t="str">
        <f t="shared" ca="1" si="513"/>
        <v/>
      </c>
      <c r="BY185" s="146" t="str">
        <f t="shared" ca="1" si="514"/>
        <v/>
      </c>
      <c r="BZ185" s="146" t="str">
        <f t="shared" ca="1" si="515"/>
        <v/>
      </c>
      <c r="CA185" s="146" t="str">
        <f t="shared" ca="1" si="516"/>
        <v/>
      </c>
      <c r="CB185" s="146" t="str">
        <f t="shared" ca="1" si="517"/>
        <v/>
      </c>
      <c r="CC185" s="302">
        <v>1</v>
      </c>
      <c r="CD185" s="154">
        <f ca="1">IF(BD185,_xll.xCrudeAPO(BS185,BT185,BY185,BZ185,S186,S187,BI185,BL185,BN185,BO185,0,Strike1,AO185,CC185,0,BL185,IF(OptControl=4,0,1),0,1),0)</f>
        <v>0</v>
      </c>
      <c r="CE185" s="155">
        <f ca="1">IF(BD185,_xll.xCrudeAPO(BS185,BT185,BY185,BZ185,S186,S187,BI185,BL185,BN185,BO185,0,Strike1,AO185,CC185,0,BL185,IF(OptControl=4,0,1),1,1)+_xll.xCrudeAPO(BS185,BT185,BY185,BZ185,S186,S187,BI185,BL185,BN185,BO185,0,Strike1,AO185,CC185,0,BL185,IF(OptControl=4,0,1),1,2)+IF(OR(VolSkewFlag=2,ABS(BQ185)&lt;0.0001),0,IF(BQ185&gt;0,-1,1)*CF185*Strike1/BP185^2*BW185/10%),0)</f>
        <v>0</v>
      </c>
      <c r="CF185" s="155">
        <f ca="1">IF(BD185,(_xll.xCrudeAPO(BS185,BT185,BY185,BZ185,S186,S187,BI185,BL185,BN185,BO185,0,Strike1,AO185,CC185,0,BL185,IF(OptControl=4,0,1),3,1)+_xll.xCrudeAPO(BS185,BT185,BY185,BZ185,S186,S187,BI185,BL185,BN185,BO185,0,Strike1,AO185,CC185,0,BL185,IF(OptControl=4,0,1),3,2))/100,0)</f>
        <v>0</v>
      </c>
      <c r="CG185" s="155">
        <f ca="1">IF(BD185,_xll.xCrudeAPO(BS185,BT185,BY185,BZ185,S186,S187,BI185-DaysForThetaCalculation/365.25,BL185-DaysForThetaCalculation/365.25,BN185,BO185,0,Strike1,AO185,CC185,0,BL185,IF(OptControl=4,0,1),0,1)-_xll.xCrudeAPO(BS185,BT185,BY185,BZ185,S186,S187,BI185,BL185,BN185,BO185,0,Strike1,AO185,CC185,0,BL185,IF(OptControl=4,0,1),0,1),0)</f>
        <v>0</v>
      </c>
      <c r="CH185" s="303">
        <f ca="1">IF(BD185,_xll.xCrudeAPO(BS185,BT185,CA185,CB185,S186,S187,BI185,BL185,BN185,BO185,0,Strike2,AO185,CC185,0,BL185,IF(OptControl=3,1,0),0,1),0)</f>
        <v>0</v>
      </c>
      <c r="CI185" s="155">
        <f ca="1">IF(BD185,_xll.xCrudeAPO(BS185,BT185,CA185,CB185,S186,S187,BI185,BL185,BN185,BO185,0,Strike2,AO185,CC185,0,BL185,IF(OptControl=3,1,0),1,1)+_xll.xCrudeAPO(BS185,BT185,CA185,CB185,S186,S187,BI185,BL185,BN185,BO185,0,Strike2,AO185,CC185,0,BL185,IF(OptControl=3,1,0),1,2)+IF(OR(VolSkewFlag=2,ABS(BR185)&lt;0.0001),0,IF(BR185&gt;0,-1,1)*CJ185*Strike2/BP185^2*BX185/10%),0)</f>
        <v>0</v>
      </c>
      <c r="CJ185" s="155">
        <f ca="1">IF(BD185,(_xll.xCrudeAPO(BS185,BT185,CA185,CB185,S186,S187,BI185,BL185,BN185,BO185,0,Strike2,AO185,CC185,0,BL185,IF(OptControl=3,1,0),3,1)+_xll.xCrudeAPO(BS185,BT185,CA185,CB185,S186,S187,BI185,BL185,BN185,BO185,0,Strike2,AO185,CC185,0,BL185,IF(OptControl=3,1,0),3,2))/100,0)</f>
        <v>0</v>
      </c>
      <c r="CK185" s="156">
        <f ca="1">IF(BD185,_xll.xCrudeAPO(BS185,BT185,CA185,CB185,S186,S187,BI185-DaysForThetaCalculation/365.25,BL185-DaysForThetaCalculation/365.25,BN185,BO185,0,Strike2,AO185,CC185,0,BL185,IF(OptControl=3,1,0),0,1)-_xll.xCrudeAPO(BS185,BT185,CA185,CB185,S186,S187,BI185,BL185,BN185,BO185,0,Strike2,AO185,CC185,0,BL185,IF(OptControl=3,1,0),0,1),0)</f>
        <v>0</v>
      </c>
      <c r="CL185" s="51"/>
      <c r="CM185" s="779" t="str">
        <f t="shared" ca="1" si="534"/>
        <v/>
      </c>
      <c r="CN185" s="783" t="str">
        <f t="shared" ca="1" si="535"/>
        <v/>
      </c>
      <c r="CO185" s="780" t="str">
        <f t="shared" ca="1" si="536"/>
        <v/>
      </c>
      <c r="CP185" s="780" t="str">
        <f t="shared" ca="1" si="537"/>
        <v/>
      </c>
      <c r="CQ185" s="780" t="str">
        <f t="shared" ca="1" si="538"/>
        <v/>
      </c>
      <c r="CR185" s="780" t="str">
        <f t="shared" ca="1" si="539"/>
        <v/>
      </c>
      <c r="CS185" s="781" t="str">
        <f t="shared" ca="1" si="540"/>
        <v/>
      </c>
      <c r="CT185" s="782" t="str">
        <f t="shared" ca="1" si="541"/>
        <v/>
      </c>
      <c r="CU185" s="782" t="str">
        <f t="shared" ca="1" si="542"/>
        <v/>
      </c>
      <c r="CV185" s="155">
        <f ca="1">IF(BD185,_xll.EURO(CN185,Strike1,AO185,AO185,CT185,CM185,IF(OptControl=4,0,1),0),0)</f>
        <v>0</v>
      </c>
      <c r="CW185" s="155">
        <f ca="1">IF(BD185,_xll.EURO(CN185,Strike1,AO185,AO185,CT185,CM185,IF(OptControl=4,0,1),1)+IF(OR(VolSkewFlag=2,ABS(CO185)&lt;0.0001),0,IF(CO185&gt;0,-1,1)*CX185*100*Strike1/CN185^2*CQ185/10%),0)</f>
        <v>0</v>
      </c>
      <c r="CX185" s="155">
        <f ca="1">IF(BD185,_xll.EURO(CN185,Strike1,AO185,AO185,CT185,CM185,IF(OptControl=4,0,1),3)/100,0)</f>
        <v>0</v>
      </c>
      <c r="CY185" s="155">
        <f ca="1">IF(BD185,_xll.EURO(CN185,Strike1,AO185,AO185,CT185,CM185,IF(OptControl=4,0,1),0)-_xll.EURO(CN185,Strike1,AO185,AO185,CT185,CM185-1,IF(OptControl=4,0,1),0),0)</f>
        <v>0</v>
      </c>
      <c r="CZ185" s="155">
        <f ca="1">IF(BD185,_xll.EURO(CN185,Strike2,AO185,AO185,CU185,CM185,IF(OptControl=3,1,0),0),0)</f>
        <v>0</v>
      </c>
      <c r="DA185" s="155">
        <f ca="1">IF(BD185,_xll.EURO(CN185,Strike2,AO185,AO185,CU185,CM185,IF(OptControl=3,1,0),1)+IF(OR(VolSkewFlag=2,ABS(CP185)&lt;0.0001),0,IF(CP185&gt;0,-1,1)*DB185*100*Strike2/CN185^2*CR185/10%),0)</f>
        <v>0</v>
      </c>
      <c r="DB185" s="155">
        <f ca="1">IF(BD185,_xll.EURO(CN185,Strike2,AO185,AO185,CU185,CM185,IF(OptControl=3,1,0),3)/100,0)</f>
        <v>0</v>
      </c>
      <c r="DC185" s="156">
        <f ca="1">IF(BD185,_xll.EURO(CN185,Strike2,AO185,AO185,CU185,CM185,IF(OptControl=3,1,0),0)-_xll.EURO(CN185,Strike2,AO185,AO185,CU185,CM185-1,IF(OptControl=3,1,0),0),0)</f>
        <v>0</v>
      </c>
      <c r="DE185" s="651">
        <f t="shared" ca="1" si="543"/>
        <v>41944</v>
      </c>
      <c r="DF185" s="465">
        <v>1E-4</v>
      </c>
      <c r="DG185" s="649">
        <v>1E-4</v>
      </c>
      <c r="DH185" s="650">
        <f t="shared" ca="1" si="587"/>
        <v>41944</v>
      </c>
      <c r="DI185" s="465">
        <v>1E-4</v>
      </c>
      <c r="DJ185" s="649">
        <v>1E-4</v>
      </c>
      <c r="DK185" s="651">
        <f t="shared" ca="1" si="588"/>
        <v>41944</v>
      </c>
      <c r="DL185" s="652">
        <f t="shared" si="589"/>
        <v>5.0100000000000006E-2</v>
      </c>
      <c r="DM185" s="651">
        <f t="shared" ca="1" si="544"/>
        <v>41944</v>
      </c>
      <c r="DN185" s="563">
        <f t="shared" si="545"/>
        <v>-0.12990000000000002</v>
      </c>
      <c r="DO185" s="803">
        <v>-0.13</v>
      </c>
      <c r="DP185" s="650">
        <f t="shared" ca="1" si="590"/>
        <v>41944</v>
      </c>
      <c r="DQ185" s="653">
        <v>1E-4</v>
      </c>
      <c r="DR185" s="590">
        <v>1E-4</v>
      </c>
      <c r="DS185" s="650">
        <f t="shared" ca="1" si="591"/>
        <v>41944</v>
      </c>
      <c r="DT185" s="653">
        <v>1E-4</v>
      </c>
      <c r="DU185" s="590">
        <v>1E-4</v>
      </c>
      <c r="DV185" s="651">
        <f t="shared" ca="1" si="592"/>
        <v>41944</v>
      </c>
      <c r="DW185" s="590">
        <v>1E-4</v>
      </c>
      <c r="DX185" s="651">
        <f t="shared" ca="1" si="546"/>
        <v>41944</v>
      </c>
      <c r="DY185" s="590">
        <f t="shared" si="547"/>
        <v>1E-4</v>
      </c>
      <c r="DZ185" s="1"/>
      <c r="EA185" s="857"/>
      <c r="EB185" s="857"/>
      <c r="EC185" s="857"/>
      <c r="ED185" s="868" t="e">
        <f t="shared" ca="1" si="566"/>
        <v>#NAME?</v>
      </c>
      <c r="EE185" s="863" t="e">
        <f t="shared" ca="1" si="524"/>
        <v>#NAME?</v>
      </c>
      <c r="EF185" s="590" t="e">
        <f t="shared" ca="1" si="525"/>
        <v>#NAME?</v>
      </c>
      <c r="EG185" s="862" t="str">
        <f t="shared" ca="1" si="593"/>
        <v/>
      </c>
      <c r="EH185" s="114" t="str">
        <f t="shared" ca="1" si="527"/>
        <v/>
      </c>
      <c r="EI185" s="109" t="str">
        <f t="shared" ca="1" si="528"/>
        <v/>
      </c>
      <c r="EJ185" s="115">
        <f ca="1">IF(BD185,_xll.xASN(BP185,Strike1,AO185,EH185,0,BM185,0,BI185,BL185,IF(OptControl=4,0,1),0),0)</f>
        <v>0</v>
      </c>
      <c r="EK185" s="108">
        <f ca="1">IF(BD185,_xll.xASN(BP185,Strike2,AO185,EI185,0,BM185,0,BI185,BL185,IF(OptControl=3,1,0),0),0)</f>
        <v>0</v>
      </c>
      <c r="EP185" s="53"/>
      <c r="EQ185" s="1"/>
      <c r="ER185" s="103"/>
      <c r="ES185" s="103"/>
      <c r="ET185" s="1"/>
      <c r="EU185" s="667" t="s">
        <v>397</v>
      </c>
      <c r="EW185" s="445"/>
      <c r="EX185" s="36"/>
      <c r="EY185" s="104"/>
      <c r="EZ185" s="465"/>
      <c r="FA185" s="446"/>
      <c r="FB185" s="446"/>
      <c r="FC185" s="242"/>
      <c r="FD185" s="242"/>
      <c r="FE185" s="242"/>
      <c r="FF185" s="242"/>
      <c r="FG185" s="242"/>
      <c r="FH185" s="242"/>
      <c r="FI185" s="242"/>
      <c r="FJ185" s="242"/>
      <c r="FK185" s="242"/>
      <c r="FL185" s="242"/>
      <c r="FM185" s="242"/>
      <c r="FN185" s="657">
        <v>16</v>
      </c>
      <c r="FO185" s="469" t="str">
        <f ca="1">IF(OR(FO$169&lt;SwaptionFirstMonthPosition+1,$FN185&lt;SwaptionFirstMonthPosition+1,FO$169&gt;SwaptionFirstMonthPosition+SwaptionNumOfMonths+1,$FN185&gt;SwaptionFirstMonthPosition+SwaptionNumOfMonths+1),"",IF($FN185=FO$169,1,IF($FN185&lt;FO$169,INDEX($FO$170:$IH$241,FO$169,$FN185),SUMPRODUCT(INDEX($FO$325:$IH$396,FO$169,1+SwaptionShift):INDEX($FO$325:$IH$396,FO$169,SwaptionMonthsToGo+SwaptionShift),INDEX($FO$245:$IH$316,$FN185-FO$169,73-FO$169+SwaptionShift):INDEX($FO$245:$IH$316,$FN185-FO$169,72-FO$169+SwaptionMonthsToGo+SwaptionShift))/SQRT(SUM(INDEX($FO340:$IH340,1+SwaptionShift):INDEX($FO340:$IH340,SwaptionMonthsToGo+SwaptionShift))*SUM(INDEX($FO$325:$IH$396,FO$169,1+SwaptionShift):INDEX($FO$325:$IH$396,FO$169,SwaptionMonthsToGo+SwaptionShift))))))</f>
        <v/>
      </c>
      <c r="FP185" s="469" t="str">
        <f ca="1">IF(OR(FP$169&lt;SwaptionFirstMonthPosition+1,$FN185&lt;SwaptionFirstMonthPosition+1,FP$169&gt;SwaptionFirstMonthPosition+SwaptionNumOfMonths+1,$FN185&gt;SwaptionFirstMonthPosition+SwaptionNumOfMonths+1),"",IF($FN185=FP$169,1,IF($FN185&lt;FP$169,INDEX($FO$170:$IH$241,FP$169,$FN185),SUMPRODUCT(INDEX($FO$325:$IH$396,FP$169,1+SwaptionShift):INDEX($FO$325:$IH$396,FP$169,SwaptionMonthsToGo+SwaptionShift),INDEX($FO$245:$IH$316,$FN185-FP$169,73-FP$169+SwaptionShift):INDEX($FO$245:$IH$316,$FN185-FP$169,72-FP$169+SwaptionMonthsToGo+SwaptionShift))/SQRT(SUM(INDEX($FO340:$IH340,1+SwaptionShift):INDEX($FO340:$IH340,SwaptionMonthsToGo+SwaptionShift))*SUM(INDEX($FO$325:$IH$396,FP$169,1+SwaptionShift):INDEX($FO$325:$IH$396,FP$169,SwaptionMonthsToGo+SwaptionShift))))))</f>
        <v/>
      </c>
      <c r="FQ185" s="469" t="str">
        <f ca="1">IF(OR(FQ$169&lt;SwaptionFirstMonthPosition+1,$FN185&lt;SwaptionFirstMonthPosition+1,FQ$169&gt;SwaptionFirstMonthPosition+SwaptionNumOfMonths+1,$FN185&gt;SwaptionFirstMonthPosition+SwaptionNumOfMonths+1),"",IF($FN185=FQ$169,1,IF($FN185&lt;FQ$169,INDEX($FO$170:$IH$241,FQ$169,$FN185),SUMPRODUCT(INDEX($FO$325:$IH$396,FQ$169,1+SwaptionShift):INDEX($FO$325:$IH$396,FQ$169,SwaptionMonthsToGo+SwaptionShift),INDEX($FO$245:$IH$316,$FN185-FQ$169,73-FQ$169+SwaptionShift):INDEX($FO$245:$IH$316,$FN185-FQ$169,72-FQ$169+SwaptionMonthsToGo+SwaptionShift))/SQRT(SUM(INDEX($FO340:$IH340,1+SwaptionShift):INDEX($FO340:$IH340,SwaptionMonthsToGo+SwaptionShift))*SUM(INDEX($FO$325:$IH$396,FQ$169,1+SwaptionShift):INDEX($FO$325:$IH$396,FQ$169,SwaptionMonthsToGo+SwaptionShift))))))</f>
        <v/>
      </c>
      <c r="FR185" s="469" t="str">
        <f ca="1">IF(OR(FR$169&lt;SwaptionFirstMonthPosition+1,$FN185&lt;SwaptionFirstMonthPosition+1,FR$169&gt;SwaptionFirstMonthPosition+SwaptionNumOfMonths+1,$FN185&gt;SwaptionFirstMonthPosition+SwaptionNumOfMonths+1),"",IF($FN185=FR$169,1,IF($FN185&lt;FR$169,INDEX($FO$170:$IH$241,FR$169,$FN185),SUMPRODUCT(INDEX($FO$325:$IH$396,FR$169,1+SwaptionShift):INDEX($FO$325:$IH$396,FR$169,SwaptionMonthsToGo+SwaptionShift),INDEX($FO$245:$IH$316,$FN185-FR$169,73-FR$169+SwaptionShift):INDEX($FO$245:$IH$316,$FN185-FR$169,72-FR$169+SwaptionMonthsToGo+SwaptionShift))/SQRT(SUM(INDEX($FO340:$IH340,1+SwaptionShift):INDEX($FO340:$IH340,SwaptionMonthsToGo+SwaptionShift))*SUM(INDEX($FO$325:$IH$396,FR$169,1+SwaptionShift):INDEX($FO$325:$IH$396,FR$169,SwaptionMonthsToGo+SwaptionShift))))))</f>
        <v/>
      </c>
      <c r="FS185" s="469" t="str">
        <f ca="1">IF(OR(FS$169&lt;SwaptionFirstMonthPosition+1,$FN185&lt;SwaptionFirstMonthPosition+1,FS$169&gt;SwaptionFirstMonthPosition+SwaptionNumOfMonths+1,$FN185&gt;SwaptionFirstMonthPosition+SwaptionNumOfMonths+1),"",IF($FN185=FS$169,1,IF($FN185&lt;FS$169,INDEX($FO$170:$IH$241,FS$169,$FN185),SUMPRODUCT(INDEX($FO$325:$IH$396,FS$169,1+SwaptionShift):INDEX($FO$325:$IH$396,FS$169,SwaptionMonthsToGo+SwaptionShift),INDEX($FO$245:$IH$316,$FN185-FS$169,73-FS$169+SwaptionShift):INDEX($FO$245:$IH$316,$FN185-FS$169,72-FS$169+SwaptionMonthsToGo+SwaptionShift))/SQRT(SUM(INDEX($FO340:$IH340,1+SwaptionShift):INDEX($FO340:$IH340,SwaptionMonthsToGo+SwaptionShift))*SUM(INDEX($FO$325:$IH$396,FS$169,1+SwaptionShift):INDEX($FO$325:$IH$396,FS$169,SwaptionMonthsToGo+SwaptionShift))))))</f>
        <v/>
      </c>
      <c r="FT185" s="469" t="str">
        <f ca="1">IF(OR(FT$169&lt;SwaptionFirstMonthPosition+1,$FN185&lt;SwaptionFirstMonthPosition+1,FT$169&gt;SwaptionFirstMonthPosition+SwaptionNumOfMonths+1,$FN185&gt;SwaptionFirstMonthPosition+SwaptionNumOfMonths+1),"",IF($FN185=FT$169,1,IF($FN185&lt;FT$169,INDEX($FO$170:$IH$241,FT$169,$FN185),SUMPRODUCT(INDEX($FO$325:$IH$396,FT$169,1+SwaptionShift):INDEX($FO$325:$IH$396,FT$169,SwaptionMonthsToGo+SwaptionShift),INDEX($FO$245:$IH$316,$FN185-FT$169,73-FT$169+SwaptionShift):INDEX($FO$245:$IH$316,$FN185-FT$169,72-FT$169+SwaptionMonthsToGo+SwaptionShift))/SQRT(SUM(INDEX($FO340:$IH340,1+SwaptionShift):INDEX($FO340:$IH340,SwaptionMonthsToGo+SwaptionShift))*SUM(INDEX($FO$325:$IH$396,FT$169,1+SwaptionShift):INDEX($FO$325:$IH$396,FT$169,SwaptionMonthsToGo+SwaptionShift))))))</f>
        <v/>
      </c>
      <c r="FU185" s="469" t="str">
        <f ca="1">IF(OR(FU$169&lt;SwaptionFirstMonthPosition+1,$FN185&lt;SwaptionFirstMonthPosition+1,FU$169&gt;SwaptionFirstMonthPosition+SwaptionNumOfMonths+1,$FN185&gt;SwaptionFirstMonthPosition+SwaptionNumOfMonths+1),"",IF($FN185=FU$169,1,IF($FN185&lt;FU$169,INDEX($FO$170:$IH$241,FU$169,$FN185),SUMPRODUCT(INDEX($FO$325:$IH$396,FU$169,1+SwaptionShift):INDEX($FO$325:$IH$396,FU$169,SwaptionMonthsToGo+SwaptionShift),INDEX($FO$245:$IH$316,$FN185-FU$169,73-FU$169+SwaptionShift):INDEX($FO$245:$IH$316,$FN185-FU$169,72-FU$169+SwaptionMonthsToGo+SwaptionShift))/SQRT(SUM(INDEX($FO340:$IH340,1+SwaptionShift):INDEX($FO340:$IH340,SwaptionMonthsToGo+SwaptionShift))*SUM(INDEX($FO$325:$IH$396,FU$169,1+SwaptionShift):INDEX($FO$325:$IH$396,FU$169,SwaptionMonthsToGo+SwaptionShift))))))</f>
        <v/>
      </c>
      <c r="FV185" s="469" t="str">
        <f ca="1">IF(OR(FV$169&lt;SwaptionFirstMonthPosition+1,$FN185&lt;SwaptionFirstMonthPosition+1,FV$169&gt;SwaptionFirstMonthPosition+SwaptionNumOfMonths+1,$FN185&gt;SwaptionFirstMonthPosition+SwaptionNumOfMonths+1),"",IF($FN185=FV$169,1,IF($FN185&lt;FV$169,INDEX($FO$170:$IH$241,FV$169,$FN185),SUMPRODUCT(INDEX($FO$325:$IH$396,FV$169,1+SwaptionShift):INDEX($FO$325:$IH$396,FV$169,SwaptionMonthsToGo+SwaptionShift),INDEX($FO$245:$IH$316,$FN185-FV$169,73-FV$169+SwaptionShift):INDEX($FO$245:$IH$316,$FN185-FV$169,72-FV$169+SwaptionMonthsToGo+SwaptionShift))/SQRT(SUM(INDEX($FO340:$IH340,1+SwaptionShift):INDEX($FO340:$IH340,SwaptionMonthsToGo+SwaptionShift))*SUM(INDEX($FO$325:$IH$396,FV$169,1+SwaptionShift):INDEX($FO$325:$IH$396,FV$169,SwaptionMonthsToGo+SwaptionShift))))))</f>
        <v/>
      </c>
      <c r="FW185" s="469" t="str">
        <f ca="1">IF(OR(FW$169&lt;SwaptionFirstMonthPosition+1,$FN185&lt;SwaptionFirstMonthPosition+1,FW$169&gt;SwaptionFirstMonthPosition+SwaptionNumOfMonths+1,$FN185&gt;SwaptionFirstMonthPosition+SwaptionNumOfMonths+1),"",IF($FN185=FW$169,1,IF($FN185&lt;FW$169,INDEX($FO$170:$IH$241,FW$169,$FN185),SUMPRODUCT(INDEX($FO$325:$IH$396,FW$169,1+SwaptionShift):INDEX($FO$325:$IH$396,FW$169,SwaptionMonthsToGo+SwaptionShift),INDEX($FO$245:$IH$316,$FN185-FW$169,73-FW$169+SwaptionShift):INDEX($FO$245:$IH$316,$FN185-FW$169,72-FW$169+SwaptionMonthsToGo+SwaptionShift))/SQRT(SUM(INDEX($FO340:$IH340,1+SwaptionShift):INDEX($FO340:$IH340,SwaptionMonthsToGo+SwaptionShift))*SUM(INDEX($FO$325:$IH$396,FW$169,1+SwaptionShift):INDEX($FO$325:$IH$396,FW$169,SwaptionMonthsToGo+SwaptionShift))))))</f>
        <v/>
      </c>
      <c r="FX185" s="469" t="str">
        <f ca="1">IF(OR(FX$169&lt;SwaptionFirstMonthPosition+1,$FN185&lt;SwaptionFirstMonthPosition+1,FX$169&gt;SwaptionFirstMonthPosition+SwaptionNumOfMonths+1,$FN185&gt;SwaptionFirstMonthPosition+SwaptionNumOfMonths+1),"",IF($FN185=FX$169,1,IF($FN185&lt;FX$169,INDEX($FO$170:$IH$241,FX$169,$FN185),SUMPRODUCT(INDEX($FO$325:$IH$396,FX$169,1+SwaptionShift):INDEX($FO$325:$IH$396,FX$169,SwaptionMonthsToGo+SwaptionShift),INDEX($FO$245:$IH$316,$FN185-FX$169,73-FX$169+SwaptionShift):INDEX($FO$245:$IH$316,$FN185-FX$169,72-FX$169+SwaptionMonthsToGo+SwaptionShift))/SQRT(SUM(INDEX($FO340:$IH340,1+SwaptionShift):INDEX($FO340:$IH340,SwaptionMonthsToGo+SwaptionShift))*SUM(INDEX($FO$325:$IH$396,FX$169,1+SwaptionShift):INDEX($FO$325:$IH$396,FX$169,SwaptionMonthsToGo+SwaptionShift))))))</f>
        <v/>
      </c>
      <c r="FY185" s="469" t="str">
        <f ca="1">IF(OR(FY$169&lt;SwaptionFirstMonthPosition+1,$FN185&lt;SwaptionFirstMonthPosition+1,FY$169&gt;SwaptionFirstMonthPosition+SwaptionNumOfMonths+1,$FN185&gt;SwaptionFirstMonthPosition+SwaptionNumOfMonths+1),"",IF($FN185=FY$169,1,IF($FN185&lt;FY$169,INDEX($FO$170:$IH$241,FY$169,$FN185),SUMPRODUCT(INDEX($FO$325:$IH$396,FY$169,1+SwaptionShift):INDEX($FO$325:$IH$396,FY$169,SwaptionMonthsToGo+SwaptionShift),INDEX($FO$245:$IH$316,$FN185-FY$169,73-FY$169+SwaptionShift):INDEX($FO$245:$IH$316,$FN185-FY$169,72-FY$169+SwaptionMonthsToGo+SwaptionShift))/SQRT(SUM(INDEX($FO340:$IH340,1+SwaptionShift):INDEX($FO340:$IH340,SwaptionMonthsToGo+SwaptionShift))*SUM(INDEX($FO$325:$IH$396,FY$169,1+SwaptionShift):INDEX($FO$325:$IH$396,FY$169,SwaptionMonthsToGo+SwaptionShift))))))</f>
        <v/>
      </c>
      <c r="FZ185" s="469" t="str">
        <f ca="1">IF(OR(FZ$169&lt;SwaptionFirstMonthPosition+1,$FN185&lt;SwaptionFirstMonthPosition+1,FZ$169&gt;SwaptionFirstMonthPosition+SwaptionNumOfMonths+1,$FN185&gt;SwaptionFirstMonthPosition+SwaptionNumOfMonths+1),"",IF($FN185=FZ$169,1,IF($FN185&lt;FZ$169,INDEX($FO$170:$IH$241,FZ$169,$FN185),SUMPRODUCT(INDEX($FO$325:$IH$396,FZ$169,1+SwaptionShift):INDEX($FO$325:$IH$396,FZ$169,SwaptionMonthsToGo+SwaptionShift),INDEX($FO$245:$IH$316,$FN185-FZ$169,73-FZ$169+SwaptionShift):INDEX($FO$245:$IH$316,$FN185-FZ$169,72-FZ$169+SwaptionMonthsToGo+SwaptionShift))/SQRT(SUM(INDEX($FO340:$IH340,1+SwaptionShift):INDEX($FO340:$IH340,SwaptionMonthsToGo+SwaptionShift))*SUM(INDEX($FO$325:$IH$396,FZ$169,1+SwaptionShift):INDEX($FO$325:$IH$396,FZ$169,SwaptionMonthsToGo+SwaptionShift))))))</f>
        <v/>
      </c>
      <c r="GA185" s="469" t="str">
        <f ca="1">IF(OR(GA$169&lt;SwaptionFirstMonthPosition+1,$FN185&lt;SwaptionFirstMonthPosition+1,GA$169&gt;SwaptionFirstMonthPosition+SwaptionNumOfMonths+1,$FN185&gt;SwaptionFirstMonthPosition+SwaptionNumOfMonths+1),"",IF($FN185=GA$169,1,IF($FN185&lt;GA$169,INDEX($FO$170:$IH$241,GA$169,$FN185),SUMPRODUCT(INDEX($FO$325:$IH$396,GA$169,1+SwaptionShift):INDEX($FO$325:$IH$396,GA$169,SwaptionMonthsToGo+SwaptionShift),INDEX($FO$245:$IH$316,$FN185-GA$169,73-GA$169+SwaptionShift):INDEX($FO$245:$IH$316,$FN185-GA$169,72-GA$169+SwaptionMonthsToGo+SwaptionShift))/SQRT(SUM(INDEX($FO340:$IH340,1+SwaptionShift):INDEX($FO340:$IH340,SwaptionMonthsToGo+SwaptionShift))*SUM(INDEX($FO$325:$IH$396,GA$169,1+SwaptionShift):INDEX($FO$325:$IH$396,GA$169,SwaptionMonthsToGo+SwaptionShift))))))</f>
        <v/>
      </c>
      <c r="GB185" s="469" t="str">
        <f ca="1">IF(OR(GB$169&lt;SwaptionFirstMonthPosition+1,$FN185&lt;SwaptionFirstMonthPosition+1,GB$169&gt;SwaptionFirstMonthPosition+SwaptionNumOfMonths+1,$FN185&gt;SwaptionFirstMonthPosition+SwaptionNumOfMonths+1),"",IF($FN185=GB$169,1,IF($FN185&lt;GB$169,INDEX($FO$170:$IH$241,GB$169,$FN185),SUMPRODUCT(INDEX($FO$325:$IH$396,GB$169,1+SwaptionShift):INDEX($FO$325:$IH$396,GB$169,SwaptionMonthsToGo+SwaptionShift),INDEX($FO$245:$IH$316,$FN185-GB$169,73-GB$169+SwaptionShift):INDEX($FO$245:$IH$316,$FN185-GB$169,72-GB$169+SwaptionMonthsToGo+SwaptionShift))/SQRT(SUM(INDEX($FO340:$IH340,1+SwaptionShift):INDEX($FO340:$IH340,SwaptionMonthsToGo+SwaptionShift))*SUM(INDEX($FO$325:$IH$396,GB$169,1+SwaptionShift):INDEX($FO$325:$IH$396,GB$169,SwaptionMonthsToGo+SwaptionShift))))))</f>
        <v/>
      </c>
      <c r="GC185" s="469" t="str">
        <f ca="1">IF(OR(GC$169&lt;SwaptionFirstMonthPosition+1,$FN185&lt;SwaptionFirstMonthPosition+1,GC$169&gt;SwaptionFirstMonthPosition+SwaptionNumOfMonths+1,$FN185&gt;SwaptionFirstMonthPosition+SwaptionNumOfMonths+1),"",IF($FN185=GC$169,1,IF($FN185&lt;GC$169,INDEX($FO$170:$IH$241,GC$169,$FN185),SUMPRODUCT(INDEX($FO$325:$IH$396,GC$169,1+SwaptionShift):INDEX($FO$325:$IH$396,GC$169,SwaptionMonthsToGo+SwaptionShift),INDEX($FO$245:$IH$316,$FN185-GC$169,73-GC$169+SwaptionShift):INDEX($FO$245:$IH$316,$FN185-GC$169,72-GC$169+SwaptionMonthsToGo+SwaptionShift))/SQRT(SUM(INDEX($FO340:$IH340,1+SwaptionShift):INDEX($FO340:$IH340,SwaptionMonthsToGo+SwaptionShift))*SUM(INDEX($FO$325:$IH$396,GC$169,1+SwaptionShift):INDEX($FO$325:$IH$396,GC$169,SwaptionMonthsToGo+SwaptionShift))))))</f>
        <v/>
      </c>
      <c r="GD185" s="469" t="str">
        <f ca="1">IF(OR(GD$169&lt;SwaptionFirstMonthPosition+1,$FN185&lt;SwaptionFirstMonthPosition+1,GD$169&gt;SwaptionFirstMonthPosition+SwaptionNumOfMonths+1,$FN185&gt;SwaptionFirstMonthPosition+SwaptionNumOfMonths+1),"",IF($FN185=GD$169,1,IF($FN185&lt;GD$169,INDEX($FO$170:$IH$241,GD$169,$FN185),SUMPRODUCT(INDEX($FO$325:$IH$396,GD$169,1+SwaptionShift):INDEX($FO$325:$IH$396,GD$169,SwaptionMonthsToGo+SwaptionShift),INDEX($FO$245:$IH$316,$FN185-GD$169,73-GD$169+SwaptionShift):INDEX($FO$245:$IH$316,$FN185-GD$169,72-GD$169+SwaptionMonthsToGo+SwaptionShift))/SQRT(SUM(INDEX($FO340:$IH340,1+SwaptionShift):INDEX($FO340:$IH340,SwaptionMonthsToGo+SwaptionShift))*SUM(INDEX($FO$325:$IH$396,GD$169,1+SwaptionShift):INDEX($FO$325:$IH$396,GD$169,SwaptionMonthsToGo+SwaptionShift))))))</f>
        <v/>
      </c>
      <c r="GE185" s="469" t="str">
        <f ca="1">IF(OR(GE$169&lt;SwaptionFirstMonthPosition+1,$FN185&lt;SwaptionFirstMonthPosition+1,GE$169&gt;SwaptionFirstMonthPosition+SwaptionNumOfMonths+1,$FN185&gt;SwaptionFirstMonthPosition+SwaptionNumOfMonths+1),"",IF($FN185=GE$169,1,IF($FN185&lt;GE$169,INDEX($FO$170:$IH$241,GE$169,$FN185),SUMPRODUCT(INDEX($FO$325:$IH$396,GE$169,1+SwaptionShift):INDEX($FO$325:$IH$396,GE$169,SwaptionMonthsToGo+SwaptionShift),INDEX($FO$245:$IH$316,$FN185-GE$169,73-GE$169+SwaptionShift):INDEX($FO$245:$IH$316,$FN185-GE$169,72-GE$169+SwaptionMonthsToGo+SwaptionShift))/SQRT(SUM(INDEX($FO340:$IH340,1+SwaptionShift):INDEX($FO340:$IH340,SwaptionMonthsToGo+SwaptionShift))*SUM(INDEX($FO$325:$IH$396,GE$169,1+SwaptionShift):INDEX($FO$325:$IH$396,GE$169,SwaptionMonthsToGo+SwaptionShift))))))</f>
        <v/>
      </c>
      <c r="GF185" s="469" t="str">
        <f ca="1">IF(OR(GF$169&lt;SwaptionFirstMonthPosition+1,$FN185&lt;SwaptionFirstMonthPosition+1,GF$169&gt;SwaptionFirstMonthPosition+SwaptionNumOfMonths+1,$FN185&gt;SwaptionFirstMonthPosition+SwaptionNumOfMonths+1),"",IF($FN185=GF$169,1,IF($FN185&lt;GF$169,INDEX($FO$170:$IH$241,GF$169,$FN185),SUMPRODUCT(INDEX($FO$325:$IH$396,GF$169,1+SwaptionShift):INDEX($FO$325:$IH$396,GF$169,SwaptionMonthsToGo+SwaptionShift),INDEX($FO$245:$IH$316,$FN185-GF$169,73-GF$169+SwaptionShift):INDEX($FO$245:$IH$316,$FN185-GF$169,72-GF$169+SwaptionMonthsToGo+SwaptionShift))/SQRT(SUM(INDEX($FO340:$IH340,1+SwaptionShift):INDEX($FO340:$IH340,SwaptionMonthsToGo+SwaptionShift))*SUM(INDEX($FO$325:$IH$396,GF$169,1+SwaptionShift):INDEX($FO$325:$IH$396,GF$169,SwaptionMonthsToGo+SwaptionShift))))))</f>
        <v/>
      </c>
      <c r="GG185" s="469" t="str">
        <f ca="1">IF(OR(GG$169&lt;SwaptionFirstMonthPosition+1,$FN185&lt;SwaptionFirstMonthPosition+1,GG$169&gt;SwaptionFirstMonthPosition+SwaptionNumOfMonths+1,$FN185&gt;SwaptionFirstMonthPosition+SwaptionNumOfMonths+1),"",IF($FN185=GG$169,1,IF($FN185&lt;GG$169,INDEX($FO$170:$IH$241,GG$169,$FN185),SUMPRODUCT(INDEX($FO$325:$IH$396,GG$169,1+SwaptionShift):INDEX($FO$325:$IH$396,GG$169,SwaptionMonthsToGo+SwaptionShift),INDEX($FO$245:$IH$316,$FN185-GG$169,73-GG$169+SwaptionShift):INDEX($FO$245:$IH$316,$FN185-GG$169,72-GG$169+SwaptionMonthsToGo+SwaptionShift))/SQRT(SUM(INDEX($FO340:$IH340,1+SwaptionShift):INDEX($FO340:$IH340,SwaptionMonthsToGo+SwaptionShift))*SUM(INDEX($FO$325:$IH$396,GG$169,1+SwaptionShift):INDEX($FO$325:$IH$396,GG$169,SwaptionMonthsToGo+SwaptionShift))))))</f>
        <v/>
      </c>
      <c r="GH185" s="469" t="str">
        <f ca="1">IF(OR(GH$169&lt;SwaptionFirstMonthPosition+1,$FN185&lt;SwaptionFirstMonthPosition+1,GH$169&gt;SwaptionFirstMonthPosition+SwaptionNumOfMonths+1,$FN185&gt;SwaptionFirstMonthPosition+SwaptionNumOfMonths+1),"",IF($FN185=GH$169,1,IF($FN185&lt;GH$169,INDEX($FO$170:$IH$241,GH$169,$FN185),SUMPRODUCT(INDEX($FO$325:$IH$396,GH$169,1+SwaptionShift):INDEX($FO$325:$IH$396,GH$169,SwaptionMonthsToGo+SwaptionShift),INDEX($FO$245:$IH$316,$FN185-GH$169,73-GH$169+SwaptionShift):INDEX($FO$245:$IH$316,$FN185-GH$169,72-GH$169+SwaptionMonthsToGo+SwaptionShift))/SQRT(SUM(INDEX($FO340:$IH340,1+SwaptionShift):INDEX($FO340:$IH340,SwaptionMonthsToGo+SwaptionShift))*SUM(INDEX($FO$325:$IH$396,GH$169,1+SwaptionShift):INDEX($FO$325:$IH$396,GH$169,SwaptionMonthsToGo+SwaptionShift))))))</f>
        <v/>
      </c>
      <c r="GI185" s="469" t="str">
        <f ca="1">IF(OR(GI$169&lt;SwaptionFirstMonthPosition+1,$FN185&lt;SwaptionFirstMonthPosition+1,GI$169&gt;SwaptionFirstMonthPosition+SwaptionNumOfMonths+1,$FN185&gt;SwaptionFirstMonthPosition+SwaptionNumOfMonths+1),"",IF($FN185=GI$169,1,IF($FN185&lt;GI$169,INDEX($FO$170:$IH$241,GI$169,$FN185),SUMPRODUCT(INDEX($FO$325:$IH$396,GI$169,1+SwaptionShift):INDEX($FO$325:$IH$396,GI$169,SwaptionMonthsToGo+SwaptionShift),INDEX($FO$245:$IH$316,$FN185-GI$169,73-GI$169+SwaptionShift):INDEX($FO$245:$IH$316,$FN185-GI$169,72-GI$169+SwaptionMonthsToGo+SwaptionShift))/SQRT(SUM(INDEX($FO340:$IH340,1+SwaptionShift):INDEX($FO340:$IH340,SwaptionMonthsToGo+SwaptionShift))*SUM(INDEX($FO$325:$IH$396,GI$169,1+SwaptionShift):INDEX($FO$325:$IH$396,GI$169,SwaptionMonthsToGo+SwaptionShift))))))</f>
        <v/>
      </c>
      <c r="GJ185" s="469" t="str">
        <f ca="1">IF(OR(GJ$169&lt;SwaptionFirstMonthPosition+1,$FN185&lt;SwaptionFirstMonthPosition+1,GJ$169&gt;SwaptionFirstMonthPosition+SwaptionNumOfMonths+1,$FN185&gt;SwaptionFirstMonthPosition+SwaptionNumOfMonths+1),"",IF($FN185=GJ$169,1,IF($FN185&lt;GJ$169,INDEX($FO$170:$IH$241,GJ$169,$FN185),SUMPRODUCT(INDEX($FO$325:$IH$396,GJ$169,1+SwaptionShift):INDEX($FO$325:$IH$396,GJ$169,SwaptionMonthsToGo+SwaptionShift),INDEX($FO$245:$IH$316,$FN185-GJ$169,73-GJ$169+SwaptionShift):INDEX($FO$245:$IH$316,$FN185-GJ$169,72-GJ$169+SwaptionMonthsToGo+SwaptionShift))/SQRT(SUM(INDEX($FO340:$IH340,1+SwaptionShift):INDEX($FO340:$IH340,SwaptionMonthsToGo+SwaptionShift))*SUM(INDEX($FO$325:$IH$396,GJ$169,1+SwaptionShift):INDEX($FO$325:$IH$396,GJ$169,SwaptionMonthsToGo+SwaptionShift))))))</f>
        <v/>
      </c>
      <c r="GK185" s="469" t="str">
        <f ca="1">IF(OR(GK$169&lt;SwaptionFirstMonthPosition+1,$FN185&lt;SwaptionFirstMonthPosition+1,GK$169&gt;SwaptionFirstMonthPosition+SwaptionNumOfMonths+1,$FN185&gt;SwaptionFirstMonthPosition+SwaptionNumOfMonths+1),"",IF($FN185=GK$169,1,IF($FN185&lt;GK$169,INDEX($FO$170:$IH$241,GK$169,$FN185),SUMPRODUCT(INDEX($FO$325:$IH$396,GK$169,1+SwaptionShift):INDEX($FO$325:$IH$396,GK$169,SwaptionMonthsToGo+SwaptionShift),INDEX($FO$245:$IH$316,$FN185-GK$169,73-GK$169+SwaptionShift):INDEX($FO$245:$IH$316,$FN185-GK$169,72-GK$169+SwaptionMonthsToGo+SwaptionShift))/SQRT(SUM(INDEX($FO340:$IH340,1+SwaptionShift):INDEX($FO340:$IH340,SwaptionMonthsToGo+SwaptionShift))*SUM(INDEX($FO$325:$IH$396,GK$169,1+SwaptionShift):INDEX($FO$325:$IH$396,GK$169,SwaptionMonthsToGo+SwaptionShift))))))</f>
        <v/>
      </c>
      <c r="GL185" s="469" t="str">
        <f ca="1">IF(OR(GL$169&lt;SwaptionFirstMonthPosition+1,$FN185&lt;SwaptionFirstMonthPosition+1,GL$169&gt;SwaptionFirstMonthPosition+SwaptionNumOfMonths+1,$FN185&gt;SwaptionFirstMonthPosition+SwaptionNumOfMonths+1),"",IF($FN185=GL$169,1,IF($FN185&lt;GL$169,INDEX($FO$170:$IH$241,GL$169,$FN185),SUMPRODUCT(INDEX($FO$325:$IH$396,GL$169,1+SwaptionShift):INDEX($FO$325:$IH$396,GL$169,SwaptionMonthsToGo+SwaptionShift),INDEX($FO$245:$IH$316,$FN185-GL$169,73-GL$169+SwaptionShift):INDEX($FO$245:$IH$316,$FN185-GL$169,72-GL$169+SwaptionMonthsToGo+SwaptionShift))/SQRT(SUM(INDEX($FO340:$IH340,1+SwaptionShift):INDEX($FO340:$IH340,SwaptionMonthsToGo+SwaptionShift))*SUM(INDEX($FO$325:$IH$396,GL$169,1+SwaptionShift):INDEX($FO$325:$IH$396,GL$169,SwaptionMonthsToGo+SwaptionShift))))))</f>
        <v/>
      </c>
      <c r="GM185" s="469" t="str">
        <f ca="1">IF(OR(GM$169&lt;SwaptionFirstMonthPosition+1,$FN185&lt;SwaptionFirstMonthPosition+1,GM$169&gt;SwaptionFirstMonthPosition+SwaptionNumOfMonths+1,$FN185&gt;SwaptionFirstMonthPosition+SwaptionNumOfMonths+1),"",IF($FN185=GM$169,1,IF($FN185&lt;GM$169,INDEX($FO$170:$IH$241,GM$169,$FN185),SUMPRODUCT(INDEX($FO$325:$IH$396,GM$169,1+SwaptionShift):INDEX($FO$325:$IH$396,GM$169,SwaptionMonthsToGo+SwaptionShift),INDEX($FO$245:$IH$316,$FN185-GM$169,73-GM$169+SwaptionShift):INDEX($FO$245:$IH$316,$FN185-GM$169,72-GM$169+SwaptionMonthsToGo+SwaptionShift))/SQRT(SUM(INDEX($FO340:$IH340,1+SwaptionShift):INDEX($FO340:$IH340,SwaptionMonthsToGo+SwaptionShift))*SUM(INDEX($FO$325:$IH$396,GM$169,1+SwaptionShift):INDEX($FO$325:$IH$396,GM$169,SwaptionMonthsToGo+SwaptionShift))))))</f>
        <v/>
      </c>
      <c r="GN185" s="469" t="str">
        <f ca="1">IF(OR(GN$169&lt;SwaptionFirstMonthPosition+1,$FN185&lt;SwaptionFirstMonthPosition+1,GN$169&gt;SwaptionFirstMonthPosition+SwaptionNumOfMonths+1,$FN185&gt;SwaptionFirstMonthPosition+SwaptionNumOfMonths+1),"",IF($FN185=GN$169,1,IF($FN185&lt;GN$169,INDEX($FO$170:$IH$241,GN$169,$FN185),SUMPRODUCT(INDEX($FO$325:$IH$396,GN$169,1+SwaptionShift):INDEX($FO$325:$IH$396,GN$169,SwaptionMonthsToGo+SwaptionShift),INDEX($FO$245:$IH$316,$FN185-GN$169,73-GN$169+SwaptionShift):INDEX($FO$245:$IH$316,$FN185-GN$169,72-GN$169+SwaptionMonthsToGo+SwaptionShift))/SQRT(SUM(INDEX($FO340:$IH340,1+SwaptionShift):INDEX($FO340:$IH340,SwaptionMonthsToGo+SwaptionShift))*SUM(INDEX($FO$325:$IH$396,GN$169,1+SwaptionShift):INDEX($FO$325:$IH$396,GN$169,SwaptionMonthsToGo+SwaptionShift))))))</f>
        <v/>
      </c>
      <c r="GO185" s="469" t="str">
        <f ca="1">IF(OR(GO$169&lt;SwaptionFirstMonthPosition+1,$FN185&lt;SwaptionFirstMonthPosition+1,GO$169&gt;SwaptionFirstMonthPosition+SwaptionNumOfMonths+1,$FN185&gt;SwaptionFirstMonthPosition+SwaptionNumOfMonths+1),"",IF($FN185=GO$169,1,IF($FN185&lt;GO$169,INDEX($FO$170:$IH$241,GO$169,$FN185),SUMPRODUCT(INDEX($FO$325:$IH$396,GO$169,1+SwaptionShift):INDEX($FO$325:$IH$396,GO$169,SwaptionMonthsToGo+SwaptionShift),INDEX($FO$245:$IH$316,$FN185-GO$169,73-GO$169+SwaptionShift):INDEX($FO$245:$IH$316,$FN185-GO$169,72-GO$169+SwaptionMonthsToGo+SwaptionShift))/SQRT(SUM(INDEX($FO340:$IH340,1+SwaptionShift):INDEX($FO340:$IH340,SwaptionMonthsToGo+SwaptionShift))*SUM(INDEX($FO$325:$IH$396,GO$169,1+SwaptionShift):INDEX($FO$325:$IH$396,GO$169,SwaptionMonthsToGo+SwaptionShift))))))</f>
        <v/>
      </c>
      <c r="GP185" s="469" t="str">
        <f ca="1">IF(OR(GP$169&lt;SwaptionFirstMonthPosition+1,$FN185&lt;SwaptionFirstMonthPosition+1,GP$169&gt;SwaptionFirstMonthPosition+SwaptionNumOfMonths+1,$FN185&gt;SwaptionFirstMonthPosition+SwaptionNumOfMonths+1),"",IF($FN185=GP$169,1,IF($FN185&lt;GP$169,INDEX($FO$170:$IH$241,GP$169,$FN185),SUMPRODUCT(INDEX($FO$325:$IH$396,GP$169,1+SwaptionShift):INDEX($FO$325:$IH$396,GP$169,SwaptionMonthsToGo+SwaptionShift),INDEX($FO$245:$IH$316,$FN185-GP$169,73-GP$169+SwaptionShift):INDEX($FO$245:$IH$316,$FN185-GP$169,72-GP$169+SwaptionMonthsToGo+SwaptionShift))/SQRT(SUM(INDEX($FO340:$IH340,1+SwaptionShift):INDEX($FO340:$IH340,SwaptionMonthsToGo+SwaptionShift))*SUM(INDEX($FO$325:$IH$396,GP$169,1+SwaptionShift):INDEX($FO$325:$IH$396,GP$169,SwaptionMonthsToGo+SwaptionShift))))))</f>
        <v/>
      </c>
      <c r="GQ185" s="469" t="str">
        <f ca="1">IF(OR(GQ$169&lt;SwaptionFirstMonthPosition+1,$FN185&lt;SwaptionFirstMonthPosition+1,GQ$169&gt;SwaptionFirstMonthPosition+SwaptionNumOfMonths+1,$FN185&gt;SwaptionFirstMonthPosition+SwaptionNumOfMonths+1),"",IF($FN185=GQ$169,1,IF($FN185&lt;GQ$169,INDEX($FO$170:$IH$241,GQ$169,$FN185),SUMPRODUCT(INDEX($FO$325:$IH$396,GQ$169,1+SwaptionShift):INDEX($FO$325:$IH$396,GQ$169,SwaptionMonthsToGo+SwaptionShift),INDEX($FO$245:$IH$316,$FN185-GQ$169,73-GQ$169+SwaptionShift):INDEX($FO$245:$IH$316,$FN185-GQ$169,72-GQ$169+SwaptionMonthsToGo+SwaptionShift))/SQRT(SUM(INDEX($FO340:$IH340,1+SwaptionShift):INDEX($FO340:$IH340,SwaptionMonthsToGo+SwaptionShift))*SUM(INDEX($FO$325:$IH$396,GQ$169,1+SwaptionShift):INDEX($FO$325:$IH$396,GQ$169,SwaptionMonthsToGo+SwaptionShift))))))</f>
        <v/>
      </c>
      <c r="GR185" s="469" t="str">
        <f ca="1">IF(OR(GR$169&lt;SwaptionFirstMonthPosition+1,$FN185&lt;SwaptionFirstMonthPosition+1,GR$169&gt;SwaptionFirstMonthPosition+SwaptionNumOfMonths+1,$FN185&gt;SwaptionFirstMonthPosition+SwaptionNumOfMonths+1),"",IF($FN185=GR$169,1,IF($FN185&lt;GR$169,INDEX($FO$170:$IH$241,GR$169,$FN185),SUMPRODUCT(INDEX($FO$325:$IH$396,GR$169,1+SwaptionShift):INDEX($FO$325:$IH$396,GR$169,SwaptionMonthsToGo+SwaptionShift),INDEX($FO$245:$IH$316,$FN185-GR$169,73-GR$169+SwaptionShift):INDEX($FO$245:$IH$316,$FN185-GR$169,72-GR$169+SwaptionMonthsToGo+SwaptionShift))/SQRT(SUM(INDEX($FO340:$IH340,1+SwaptionShift):INDEX($FO340:$IH340,SwaptionMonthsToGo+SwaptionShift))*SUM(INDEX($FO$325:$IH$396,GR$169,1+SwaptionShift):INDEX($FO$325:$IH$396,GR$169,SwaptionMonthsToGo+SwaptionShift))))))</f>
        <v/>
      </c>
      <c r="GS185" s="469" t="str">
        <f ca="1">IF(OR(GS$169&lt;SwaptionFirstMonthPosition+1,$FN185&lt;SwaptionFirstMonthPosition+1,GS$169&gt;SwaptionFirstMonthPosition+SwaptionNumOfMonths+1,$FN185&gt;SwaptionFirstMonthPosition+SwaptionNumOfMonths+1),"",IF($FN185=GS$169,1,IF($FN185&lt;GS$169,INDEX($FO$170:$IH$241,GS$169,$FN185),SUMPRODUCT(INDEX($FO$325:$IH$396,GS$169,1+SwaptionShift):INDEX($FO$325:$IH$396,GS$169,SwaptionMonthsToGo+SwaptionShift),INDEX($FO$245:$IH$316,$FN185-GS$169,73-GS$169+SwaptionShift):INDEX($FO$245:$IH$316,$FN185-GS$169,72-GS$169+SwaptionMonthsToGo+SwaptionShift))/SQRT(SUM(INDEX($FO340:$IH340,1+SwaptionShift):INDEX($FO340:$IH340,SwaptionMonthsToGo+SwaptionShift))*SUM(INDEX($FO$325:$IH$396,GS$169,1+SwaptionShift):INDEX($FO$325:$IH$396,GS$169,SwaptionMonthsToGo+SwaptionShift))))))</f>
        <v/>
      </c>
      <c r="GT185" s="469" t="str">
        <f ca="1">IF(OR(GT$169&lt;SwaptionFirstMonthPosition+1,$FN185&lt;SwaptionFirstMonthPosition+1,GT$169&gt;SwaptionFirstMonthPosition+SwaptionNumOfMonths+1,$FN185&gt;SwaptionFirstMonthPosition+SwaptionNumOfMonths+1),"",IF($FN185=GT$169,1,IF($FN185&lt;GT$169,INDEX($FO$170:$IH$241,GT$169,$FN185),SUMPRODUCT(INDEX($FO$325:$IH$396,GT$169,1+SwaptionShift):INDEX($FO$325:$IH$396,GT$169,SwaptionMonthsToGo+SwaptionShift),INDEX($FO$245:$IH$316,$FN185-GT$169,73-GT$169+SwaptionShift):INDEX($FO$245:$IH$316,$FN185-GT$169,72-GT$169+SwaptionMonthsToGo+SwaptionShift))/SQRT(SUM(INDEX($FO340:$IH340,1+SwaptionShift):INDEX($FO340:$IH340,SwaptionMonthsToGo+SwaptionShift))*SUM(INDEX($FO$325:$IH$396,GT$169,1+SwaptionShift):INDEX($FO$325:$IH$396,GT$169,SwaptionMonthsToGo+SwaptionShift))))))</f>
        <v/>
      </c>
      <c r="GU185" s="469" t="str">
        <f ca="1">IF(OR(GU$169&lt;SwaptionFirstMonthPosition+1,$FN185&lt;SwaptionFirstMonthPosition+1,GU$169&gt;SwaptionFirstMonthPosition+SwaptionNumOfMonths+1,$FN185&gt;SwaptionFirstMonthPosition+SwaptionNumOfMonths+1),"",IF($FN185=GU$169,1,IF($FN185&lt;GU$169,INDEX($FO$170:$IH$241,GU$169,$FN185),SUMPRODUCT(INDEX($FO$325:$IH$396,GU$169,1+SwaptionShift):INDEX($FO$325:$IH$396,GU$169,SwaptionMonthsToGo+SwaptionShift),INDEX($FO$245:$IH$316,$FN185-GU$169,73-GU$169+SwaptionShift):INDEX($FO$245:$IH$316,$FN185-GU$169,72-GU$169+SwaptionMonthsToGo+SwaptionShift))/SQRT(SUM(INDEX($FO340:$IH340,1+SwaptionShift):INDEX($FO340:$IH340,SwaptionMonthsToGo+SwaptionShift))*SUM(INDEX($FO$325:$IH$396,GU$169,1+SwaptionShift):INDEX($FO$325:$IH$396,GU$169,SwaptionMonthsToGo+SwaptionShift))))))</f>
        <v/>
      </c>
      <c r="GV185" s="469" t="str">
        <f ca="1">IF(OR(GV$169&lt;SwaptionFirstMonthPosition+1,$FN185&lt;SwaptionFirstMonthPosition+1,GV$169&gt;SwaptionFirstMonthPosition+SwaptionNumOfMonths+1,$FN185&gt;SwaptionFirstMonthPosition+SwaptionNumOfMonths+1),"",IF($FN185=GV$169,1,IF($FN185&lt;GV$169,INDEX($FO$170:$IH$241,GV$169,$FN185),SUMPRODUCT(INDEX($FO$325:$IH$396,GV$169,1+SwaptionShift):INDEX($FO$325:$IH$396,GV$169,SwaptionMonthsToGo+SwaptionShift),INDEX($FO$245:$IH$316,$FN185-GV$169,73-GV$169+SwaptionShift):INDEX($FO$245:$IH$316,$FN185-GV$169,72-GV$169+SwaptionMonthsToGo+SwaptionShift))/SQRT(SUM(INDEX($FO340:$IH340,1+SwaptionShift):INDEX($FO340:$IH340,SwaptionMonthsToGo+SwaptionShift))*SUM(INDEX($FO$325:$IH$396,GV$169,1+SwaptionShift):INDEX($FO$325:$IH$396,GV$169,SwaptionMonthsToGo+SwaptionShift))))))</f>
        <v/>
      </c>
      <c r="GW185" s="469" t="str">
        <f ca="1">IF(OR(GW$169&lt;SwaptionFirstMonthPosition+1,$FN185&lt;SwaptionFirstMonthPosition+1,GW$169&gt;SwaptionFirstMonthPosition+SwaptionNumOfMonths+1,$FN185&gt;SwaptionFirstMonthPosition+SwaptionNumOfMonths+1),"",IF($FN185=GW$169,1,IF($FN185&lt;GW$169,INDEX($FO$170:$IH$241,GW$169,$FN185),SUMPRODUCT(INDEX($FO$325:$IH$396,GW$169,1+SwaptionShift):INDEX($FO$325:$IH$396,GW$169,SwaptionMonthsToGo+SwaptionShift),INDEX($FO$245:$IH$316,$FN185-GW$169,73-GW$169+SwaptionShift):INDEX($FO$245:$IH$316,$FN185-GW$169,72-GW$169+SwaptionMonthsToGo+SwaptionShift))/SQRT(SUM(INDEX($FO340:$IH340,1+SwaptionShift):INDEX($FO340:$IH340,SwaptionMonthsToGo+SwaptionShift))*SUM(INDEX($FO$325:$IH$396,GW$169,1+SwaptionShift):INDEX($FO$325:$IH$396,GW$169,SwaptionMonthsToGo+SwaptionShift))))))</f>
        <v/>
      </c>
      <c r="GX185" s="469" t="str">
        <f ca="1">IF(OR(GX$169&lt;SwaptionFirstMonthPosition+1,$FN185&lt;SwaptionFirstMonthPosition+1,GX$169&gt;SwaptionFirstMonthPosition+SwaptionNumOfMonths+1,$FN185&gt;SwaptionFirstMonthPosition+SwaptionNumOfMonths+1),"",IF($FN185=GX$169,1,IF($FN185&lt;GX$169,INDEX($FO$170:$IH$241,GX$169,$FN185),SUMPRODUCT(INDEX($FO$325:$IH$396,GX$169,1+SwaptionShift):INDEX($FO$325:$IH$396,GX$169,SwaptionMonthsToGo+SwaptionShift),INDEX($FO$245:$IH$316,$FN185-GX$169,73-GX$169+SwaptionShift):INDEX($FO$245:$IH$316,$FN185-GX$169,72-GX$169+SwaptionMonthsToGo+SwaptionShift))/SQRT(SUM(INDEX($FO340:$IH340,1+SwaptionShift):INDEX($FO340:$IH340,SwaptionMonthsToGo+SwaptionShift))*SUM(INDEX($FO$325:$IH$396,GX$169,1+SwaptionShift):INDEX($FO$325:$IH$396,GX$169,SwaptionMonthsToGo+SwaptionShift))))))</f>
        <v/>
      </c>
      <c r="GY185" s="469" t="str">
        <f ca="1">IF(OR(GY$169&lt;SwaptionFirstMonthPosition+1,$FN185&lt;SwaptionFirstMonthPosition+1,GY$169&gt;SwaptionFirstMonthPosition+SwaptionNumOfMonths+1,$FN185&gt;SwaptionFirstMonthPosition+SwaptionNumOfMonths+1),"",IF($FN185=GY$169,1,IF($FN185&lt;GY$169,INDEX($FO$170:$IH$241,GY$169,$FN185),SUMPRODUCT(INDEX($FO$325:$IH$396,GY$169,1+SwaptionShift):INDEX($FO$325:$IH$396,GY$169,SwaptionMonthsToGo+SwaptionShift),INDEX($FO$245:$IH$316,$FN185-GY$169,73-GY$169+SwaptionShift):INDEX($FO$245:$IH$316,$FN185-GY$169,72-GY$169+SwaptionMonthsToGo+SwaptionShift))/SQRT(SUM(INDEX($FO340:$IH340,1+SwaptionShift):INDEX($FO340:$IH340,SwaptionMonthsToGo+SwaptionShift))*SUM(INDEX($FO$325:$IH$396,GY$169,1+SwaptionShift):INDEX($FO$325:$IH$396,GY$169,SwaptionMonthsToGo+SwaptionShift))))))</f>
        <v/>
      </c>
      <c r="GZ185" s="469" t="str">
        <f ca="1">IF(OR(GZ$169&lt;SwaptionFirstMonthPosition+1,$FN185&lt;SwaptionFirstMonthPosition+1,GZ$169&gt;SwaptionFirstMonthPosition+SwaptionNumOfMonths+1,$FN185&gt;SwaptionFirstMonthPosition+SwaptionNumOfMonths+1),"",IF($FN185=GZ$169,1,IF($FN185&lt;GZ$169,INDEX($FO$170:$IH$241,GZ$169,$FN185),SUMPRODUCT(INDEX($FO$325:$IH$396,GZ$169,1+SwaptionShift):INDEX($FO$325:$IH$396,GZ$169,SwaptionMonthsToGo+SwaptionShift),INDEX($FO$245:$IH$316,$FN185-GZ$169,73-GZ$169+SwaptionShift):INDEX($FO$245:$IH$316,$FN185-GZ$169,72-GZ$169+SwaptionMonthsToGo+SwaptionShift))/SQRT(SUM(INDEX($FO340:$IH340,1+SwaptionShift):INDEX($FO340:$IH340,SwaptionMonthsToGo+SwaptionShift))*SUM(INDEX($FO$325:$IH$396,GZ$169,1+SwaptionShift):INDEX($FO$325:$IH$396,GZ$169,SwaptionMonthsToGo+SwaptionShift))))))</f>
        <v/>
      </c>
      <c r="HA185" s="469" t="str">
        <f ca="1">IF(OR(HA$169&lt;SwaptionFirstMonthPosition+1,$FN185&lt;SwaptionFirstMonthPosition+1,HA$169&gt;SwaptionFirstMonthPosition+SwaptionNumOfMonths+1,$FN185&gt;SwaptionFirstMonthPosition+SwaptionNumOfMonths+1),"",IF($FN185=HA$169,1,IF($FN185&lt;HA$169,INDEX($FO$170:$IH$241,HA$169,$FN185),SUMPRODUCT(INDEX($FO$325:$IH$396,HA$169,1+SwaptionShift):INDEX($FO$325:$IH$396,HA$169,SwaptionMonthsToGo+SwaptionShift),INDEX($FO$245:$IH$316,$FN185-HA$169,73-HA$169+SwaptionShift):INDEX($FO$245:$IH$316,$FN185-HA$169,72-HA$169+SwaptionMonthsToGo+SwaptionShift))/SQRT(SUM(INDEX($FO340:$IH340,1+SwaptionShift):INDEX($FO340:$IH340,SwaptionMonthsToGo+SwaptionShift))*SUM(INDEX($FO$325:$IH$396,HA$169,1+SwaptionShift):INDEX($FO$325:$IH$396,HA$169,SwaptionMonthsToGo+SwaptionShift))))))</f>
        <v/>
      </c>
      <c r="HB185" s="469" t="str">
        <f ca="1">IF(OR(HB$169&lt;SwaptionFirstMonthPosition+1,$FN185&lt;SwaptionFirstMonthPosition+1,HB$169&gt;SwaptionFirstMonthPosition+SwaptionNumOfMonths+1,$FN185&gt;SwaptionFirstMonthPosition+SwaptionNumOfMonths+1),"",IF($FN185=HB$169,1,IF($FN185&lt;HB$169,INDEX($FO$170:$IH$241,HB$169,$FN185),SUMPRODUCT(INDEX($FO$325:$IH$396,HB$169,1+SwaptionShift):INDEX($FO$325:$IH$396,HB$169,SwaptionMonthsToGo+SwaptionShift),INDEX($FO$245:$IH$316,$FN185-HB$169,73-HB$169+SwaptionShift):INDEX($FO$245:$IH$316,$FN185-HB$169,72-HB$169+SwaptionMonthsToGo+SwaptionShift))/SQRT(SUM(INDEX($FO340:$IH340,1+SwaptionShift):INDEX($FO340:$IH340,SwaptionMonthsToGo+SwaptionShift))*SUM(INDEX($FO$325:$IH$396,HB$169,1+SwaptionShift):INDEX($FO$325:$IH$396,HB$169,SwaptionMonthsToGo+SwaptionShift))))))</f>
        <v/>
      </c>
      <c r="HC185" s="469" t="str">
        <f ca="1">IF(OR(HC$169&lt;SwaptionFirstMonthPosition+1,$FN185&lt;SwaptionFirstMonthPosition+1,HC$169&gt;SwaptionFirstMonthPosition+SwaptionNumOfMonths+1,$FN185&gt;SwaptionFirstMonthPosition+SwaptionNumOfMonths+1),"",IF($FN185=HC$169,1,IF($FN185&lt;HC$169,INDEX($FO$170:$IH$241,HC$169,$FN185),SUMPRODUCT(INDEX($FO$325:$IH$396,HC$169,1+SwaptionShift):INDEX($FO$325:$IH$396,HC$169,SwaptionMonthsToGo+SwaptionShift),INDEX($FO$245:$IH$316,$FN185-HC$169,73-HC$169+SwaptionShift):INDEX($FO$245:$IH$316,$FN185-HC$169,72-HC$169+SwaptionMonthsToGo+SwaptionShift))/SQRT(SUM(INDEX($FO340:$IH340,1+SwaptionShift):INDEX($FO340:$IH340,SwaptionMonthsToGo+SwaptionShift))*SUM(INDEX($FO$325:$IH$396,HC$169,1+SwaptionShift):INDEX($FO$325:$IH$396,HC$169,SwaptionMonthsToGo+SwaptionShift))))))</f>
        <v/>
      </c>
      <c r="HD185" s="469" t="str">
        <f ca="1">IF(OR(HD$169&lt;SwaptionFirstMonthPosition+1,$FN185&lt;SwaptionFirstMonthPosition+1,HD$169&gt;SwaptionFirstMonthPosition+SwaptionNumOfMonths+1,$FN185&gt;SwaptionFirstMonthPosition+SwaptionNumOfMonths+1),"",IF($FN185=HD$169,1,IF($FN185&lt;HD$169,INDEX($FO$170:$IH$241,HD$169,$FN185),SUMPRODUCT(INDEX($FO$325:$IH$396,HD$169,1+SwaptionShift):INDEX($FO$325:$IH$396,HD$169,SwaptionMonthsToGo+SwaptionShift),INDEX($FO$245:$IH$316,$FN185-HD$169,73-HD$169+SwaptionShift):INDEX($FO$245:$IH$316,$FN185-HD$169,72-HD$169+SwaptionMonthsToGo+SwaptionShift))/SQRT(SUM(INDEX($FO340:$IH340,1+SwaptionShift):INDEX($FO340:$IH340,SwaptionMonthsToGo+SwaptionShift))*SUM(INDEX($FO$325:$IH$396,HD$169,1+SwaptionShift):INDEX($FO$325:$IH$396,HD$169,SwaptionMonthsToGo+SwaptionShift))))))</f>
        <v/>
      </c>
      <c r="HE185" s="469" t="str">
        <f ca="1">IF(OR(HE$169&lt;SwaptionFirstMonthPosition+1,$FN185&lt;SwaptionFirstMonthPosition+1,HE$169&gt;SwaptionFirstMonthPosition+SwaptionNumOfMonths+1,$FN185&gt;SwaptionFirstMonthPosition+SwaptionNumOfMonths+1),"",IF($FN185=HE$169,1,IF($FN185&lt;HE$169,INDEX($FO$170:$IH$241,HE$169,$FN185),SUMPRODUCT(INDEX($FO$325:$IH$396,HE$169,1+SwaptionShift):INDEX($FO$325:$IH$396,HE$169,SwaptionMonthsToGo+SwaptionShift),INDEX($FO$245:$IH$316,$FN185-HE$169,73-HE$169+SwaptionShift):INDEX($FO$245:$IH$316,$FN185-HE$169,72-HE$169+SwaptionMonthsToGo+SwaptionShift))/SQRT(SUM(INDEX($FO340:$IH340,1+SwaptionShift):INDEX($FO340:$IH340,SwaptionMonthsToGo+SwaptionShift))*SUM(INDEX($FO$325:$IH$396,HE$169,1+SwaptionShift):INDEX($FO$325:$IH$396,HE$169,SwaptionMonthsToGo+SwaptionShift))))))</f>
        <v/>
      </c>
      <c r="HF185" s="469" t="str">
        <f ca="1">IF(OR(HF$169&lt;SwaptionFirstMonthPosition+1,$FN185&lt;SwaptionFirstMonthPosition+1,HF$169&gt;SwaptionFirstMonthPosition+SwaptionNumOfMonths+1,$FN185&gt;SwaptionFirstMonthPosition+SwaptionNumOfMonths+1),"",IF($FN185=HF$169,1,IF($FN185&lt;HF$169,INDEX($FO$170:$IH$241,HF$169,$FN185),SUMPRODUCT(INDEX($FO$325:$IH$396,HF$169,1+SwaptionShift):INDEX($FO$325:$IH$396,HF$169,SwaptionMonthsToGo+SwaptionShift),INDEX($FO$245:$IH$316,$FN185-HF$169,73-HF$169+SwaptionShift):INDEX($FO$245:$IH$316,$FN185-HF$169,72-HF$169+SwaptionMonthsToGo+SwaptionShift))/SQRT(SUM(INDEX($FO340:$IH340,1+SwaptionShift):INDEX($FO340:$IH340,SwaptionMonthsToGo+SwaptionShift))*SUM(INDEX($FO$325:$IH$396,HF$169,1+SwaptionShift):INDEX($FO$325:$IH$396,HF$169,SwaptionMonthsToGo+SwaptionShift))))))</f>
        <v/>
      </c>
      <c r="HG185" s="469" t="str">
        <f ca="1">IF(OR(HG$169&lt;SwaptionFirstMonthPosition+1,$FN185&lt;SwaptionFirstMonthPosition+1,HG$169&gt;SwaptionFirstMonthPosition+SwaptionNumOfMonths+1,$FN185&gt;SwaptionFirstMonthPosition+SwaptionNumOfMonths+1),"",IF($FN185=HG$169,1,IF($FN185&lt;HG$169,INDEX($FO$170:$IH$241,HG$169,$FN185),SUMPRODUCT(INDEX($FO$325:$IH$396,HG$169,1+SwaptionShift):INDEX($FO$325:$IH$396,HG$169,SwaptionMonthsToGo+SwaptionShift),INDEX($FO$245:$IH$316,$FN185-HG$169,73-HG$169+SwaptionShift):INDEX($FO$245:$IH$316,$FN185-HG$169,72-HG$169+SwaptionMonthsToGo+SwaptionShift))/SQRT(SUM(INDEX($FO340:$IH340,1+SwaptionShift):INDEX($FO340:$IH340,SwaptionMonthsToGo+SwaptionShift))*SUM(INDEX($FO$325:$IH$396,HG$169,1+SwaptionShift):INDEX($FO$325:$IH$396,HG$169,SwaptionMonthsToGo+SwaptionShift))))))</f>
        <v/>
      </c>
      <c r="HH185" s="469" t="str">
        <f ca="1">IF(OR(HH$169&lt;SwaptionFirstMonthPosition+1,$FN185&lt;SwaptionFirstMonthPosition+1,HH$169&gt;SwaptionFirstMonthPosition+SwaptionNumOfMonths+1,$FN185&gt;SwaptionFirstMonthPosition+SwaptionNumOfMonths+1),"",IF($FN185=HH$169,1,IF($FN185&lt;HH$169,INDEX($FO$170:$IH$241,HH$169,$FN185),SUMPRODUCT(INDEX($FO$325:$IH$396,HH$169,1+SwaptionShift):INDEX($FO$325:$IH$396,HH$169,SwaptionMonthsToGo+SwaptionShift),INDEX($FO$245:$IH$316,$FN185-HH$169,73-HH$169+SwaptionShift):INDEX($FO$245:$IH$316,$FN185-HH$169,72-HH$169+SwaptionMonthsToGo+SwaptionShift))/SQRT(SUM(INDEX($FO340:$IH340,1+SwaptionShift):INDEX($FO340:$IH340,SwaptionMonthsToGo+SwaptionShift))*SUM(INDEX($FO$325:$IH$396,HH$169,1+SwaptionShift):INDEX($FO$325:$IH$396,HH$169,SwaptionMonthsToGo+SwaptionShift))))))</f>
        <v/>
      </c>
      <c r="HI185" s="469" t="str">
        <f ca="1">IF(OR(HI$169&lt;SwaptionFirstMonthPosition+1,$FN185&lt;SwaptionFirstMonthPosition+1,HI$169&gt;SwaptionFirstMonthPosition+SwaptionNumOfMonths+1,$FN185&gt;SwaptionFirstMonthPosition+SwaptionNumOfMonths+1),"",IF($FN185=HI$169,1,IF($FN185&lt;HI$169,INDEX($FO$170:$IH$241,HI$169,$FN185),SUMPRODUCT(INDEX($FO$325:$IH$396,HI$169,1+SwaptionShift):INDEX($FO$325:$IH$396,HI$169,SwaptionMonthsToGo+SwaptionShift),INDEX($FO$245:$IH$316,$FN185-HI$169,73-HI$169+SwaptionShift):INDEX($FO$245:$IH$316,$FN185-HI$169,72-HI$169+SwaptionMonthsToGo+SwaptionShift))/SQRT(SUM(INDEX($FO340:$IH340,1+SwaptionShift):INDEX($FO340:$IH340,SwaptionMonthsToGo+SwaptionShift))*SUM(INDEX($FO$325:$IH$396,HI$169,1+SwaptionShift):INDEX($FO$325:$IH$396,HI$169,SwaptionMonthsToGo+SwaptionShift))))))</f>
        <v/>
      </c>
      <c r="HJ185" s="469" t="str">
        <f ca="1">IF(OR(HJ$169&lt;SwaptionFirstMonthPosition+1,$FN185&lt;SwaptionFirstMonthPosition+1,HJ$169&gt;SwaptionFirstMonthPosition+SwaptionNumOfMonths+1,$FN185&gt;SwaptionFirstMonthPosition+SwaptionNumOfMonths+1),"",IF($FN185=HJ$169,1,IF($FN185&lt;HJ$169,INDEX($FO$170:$IH$241,HJ$169,$FN185),SUMPRODUCT(INDEX($FO$325:$IH$396,HJ$169,1+SwaptionShift):INDEX($FO$325:$IH$396,HJ$169,SwaptionMonthsToGo+SwaptionShift),INDEX($FO$245:$IH$316,$FN185-HJ$169,73-HJ$169+SwaptionShift):INDEX($FO$245:$IH$316,$FN185-HJ$169,72-HJ$169+SwaptionMonthsToGo+SwaptionShift))/SQRT(SUM(INDEX($FO340:$IH340,1+SwaptionShift):INDEX($FO340:$IH340,SwaptionMonthsToGo+SwaptionShift))*SUM(INDEX($FO$325:$IH$396,HJ$169,1+SwaptionShift):INDEX($FO$325:$IH$396,HJ$169,SwaptionMonthsToGo+SwaptionShift))))))</f>
        <v/>
      </c>
      <c r="HK185" s="469" t="str">
        <f ca="1">IF(OR(HK$169&lt;SwaptionFirstMonthPosition+1,$FN185&lt;SwaptionFirstMonthPosition+1,HK$169&gt;SwaptionFirstMonthPosition+SwaptionNumOfMonths+1,$FN185&gt;SwaptionFirstMonthPosition+SwaptionNumOfMonths+1),"",IF($FN185=HK$169,1,IF($FN185&lt;HK$169,INDEX($FO$170:$IH$241,HK$169,$FN185),SUMPRODUCT(INDEX($FO$325:$IH$396,HK$169,1+SwaptionShift):INDEX($FO$325:$IH$396,HK$169,SwaptionMonthsToGo+SwaptionShift),INDEX($FO$245:$IH$316,$FN185-HK$169,73-HK$169+SwaptionShift):INDEX($FO$245:$IH$316,$FN185-HK$169,72-HK$169+SwaptionMonthsToGo+SwaptionShift))/SQRT(SUM(INDEX($FO340:$IH340,1+SwaptionShift):INDEX($FO340:$IH340,SwaptionMonthsToGo+SwaptionShift))*SUM(INDEX($FO$325:$IH$396,HK$169,1+SwaptionShift):INDEX($FO$325:$IH$396,HK$169,SwaptionMonthsToGo+SwaptionShift))))))</f>
        <v/>
      </c>
      <c r="HL185" s="469" t="str">
        <f ca="1">IF(OR(HL$169&lt;SwaptionFirstMonthPosition+1,$FN185&lt;SwaptionFirstMonthPosition+1,HL$169&gt;SwaptionFirstMonthPosition+SwaptionNumOfMonths+1,$FN185&gt;SwaptionFirstMonthPosition+SwaptionNumOfMonths+1),"",IF($FN185=HL$169,1,IF($FN185&lt;HL$169,INDEX($FO$170:$IH$241,HL$169,$FN185),SUMPRODUCT(INDEX($FO$325:$IH$396,HL$169,1+SwaptionShift):INDEX($FO$325:$IH$396,HL$169,SwaptionMonthsToGo+SwaptionShift),INDEX($FO$245:$IH$316,$FN185-HL$169,73-HL$169+SwaptionShift):INDEX($FO$245:$IH$316,$FN185-HL$169,72-HL$169+SwaptionMonthsToGo+SwaptionShift))/SQRT(SUM(INDEX($FO340:$IH340,1+SwaptionShift):INDEX($FO340:$IH340,SwaptionMonthsToGo+SwaptionShift))*SUM(INDEX($FO$325:$IH$396,HL$169,1+SwaptionShift):INDEX($FO$325:$IH$396,HL$169,SwaptionMonthsToGo+SwaptionShift))))))</f>
        <v/>
      </c>
      <c r="HM185" s="469" t="str">
        <f ca="1">IF(OR(HM$169&lt;SwaptionFirstMonthPosition+1,$FN185&lt;SwaptionFirstMonthPosition+1,HM$169&gt;SwaptionFirstMonthPosition+SwaptionNumOfMonths+1,$FN185&gt;SwaptionFirstMonthPosition+SwaptionNumOfMonths+1),"",IF($FN185=HM$169,1,IF($FN185&lt;HM$169,INDEX($FO$170:$IH$241,HM$169,$FN185),SUMPRODUCT(INDEX($FO$325:$IH$396,HM$169,1+SwaptionShift):INDEX($FO$325:$IH$396,HM$169,SwaptionMonthsToGo+SwaptionShift),INDEX($FO$245:$IH$316,$FN185-HM$169,73-HM$169+SwaptionShift):INDEX($FO$245:$IH$316,$FN185-HM$169,72-HM$169+SwaptionMonthsToGo+SwaptionShift))/SQRT(SUM(INDEX($FO340:$IH340,1+SwaptionShift):INDEX($FO340:$IH340,SwaptionMonthsToGo+SwaptionShift))*SUM(INDEX($FO$325:$IH$396,HM$169,1+SwaptionShift):INDEX($FO$325:$IH$396,HM$169,SwaptionMonthsToGo+SwaptionShift))))))</f>
        <v/>
      </c>
      <c r="HN185" s="469" t="str">
        <f ca="1">IF(OR(HN$169&lt;SwaptionFirstMonthPosition+1,$FN185&lt;SwaptionFirstMonthPosition+1,HN$169&gt;SwaptionFirstMonthPosition+SwaptionNumOfMonths+1,$FN185&gt;SwaptionFirstMonthPosition+SwaptionNumOfMonths+1),"",IF($FN185=HN$169,1,IF($FN185&lt;HN$169,INDEX($FO$170:$IH$241,HN$169,$FN185),SUMPRODUCT(INDEX($FO$325:$IH$396,HN$169,1+SwaptionShift):INDEX($FO$325:$IH$396,HN$169,SwaptionMonthsToGo+SwaptionShift),INDEX($FO$245:$IH$316,$FN185-HN$169,73-HN$169+SwaptionShift):INDEX($FO$245:$IH$316,$FN185-HN$169,72-HN$169+SwaptionMonthsToGo+SwaptionShift))/SQRT(SUM(INDEX($FO340:$IH340,1+SwaptionShift):INDEX($FO340:$IH340,SwaptionMonthsToGo+SwaptionShift))*SUM(INDEX($FO$325:$IH$396,HN$169,1+SwaptionShift):INDEX($FO$325:$IH$396,HN$169,SwaptionMonthsToGo+SwaptionShift))))))</f>
        <v/>
      </c>
      <c r="HO185" s="469" t="str">
        <f ca="1">IF(OR(HO$169&lt;SwaptionFirstMonthPosition+1,$FN185&lt;SwaptionFirstMonthPosition+1,HO$169&gt;SwaptionFirstMonthPosition+SwaptionNumOfMonths+1,$FN185&gt;SwaptionFirstMonthPosition+SwaptionNumOfMonths+1),"",IF($FN185=HO$169,1,IF($FN185&lt;HO$169,INDEX($FO$170:$IH$241,HO$169,$FN185),SUMPRODUCT(INDEX($FO$325:$IH$396,HO$169,1+SwaptionShift):INDEX($FO$325:$IH$396,HO$169,SwaptionMonthsToGo+SwaptionShift),INDEX($FO$245:$IH$316,$FN185-HO$169,73-HO$169+SwaptionShift):INDEX($FO$245:$IH$316,$FN185-HO$169,72-HO$169+SwaptionMonthsToGo+SwaptionShift))/SQRT(SUM(INDEX($FO340:$IH340,1+SwaptionShift):INDEX($FO340:$IH340,SwaptionMonthsToGo+SwaptionShift))*SUM(INDEX($FO$325:$IH$396,HO$169,1+SwaptionShift):INDEX($FO$325:$IH$396,HO$169,SwaptionMonthsToGo+SwaptionShift))))))</f>
        <v/>
      </c>
      <c r="HP185" s="469" t="str">
        <f ca="1">IF(OR(HP$169&lt;SwaptionFirstMonthPosition+1,$FN185&lt;SwaptionFirstMonthPosition+1,HP$169&gt;SwaptionFirstMonthPosition+SwaptionNumOfMonths+1,$FN185&gt;SwaptionFirstMonthPosition+SwaptionNumOfMonths+1),"",IF($FN185=HP$169,1,IF($FN185&lt;HP$169,INDEX($FO$170:$IH$241,HP$169,$FN185),SUMPRODUCT(INDEX($FO$325:$IH$396,HP$169,1+SwaptionShift):INDEX($FO$325:$IH$396,HP$169,SwaptionMonthsToGo+SwaptionShift),INDEX($FO$245:$IH$316,$FN185-HP$169,73-HP$169+SwaptionShift):INDEX($FO$245:$IH$316,$FN185-HP$169,72-HP$169+SwaptionMonthsToGo+SwaptionShift))/SQRT(SUM(INDEX($FO340:$IH340,1+SwaptionShift):INDEX($FO340:$IH340,SwaptionMonthsToGo+SwaptionShift))*SUM(INDEX($FO$325:$IH$396,HP$169,1+SwaptionShift):INDEX($FO$325:$IH$396,HP$169,SwaptionMonthsToGo+SwaptionShift))))))</f>
        <v/>
      </c>
      <c r="HQ185" s="469" t="str">
        <f ca="1">IF(OR(HQ$169&lt;SwaptionFirstMonthPosition+1,$FN185&lt;SwaptionFirstMonthPosition+1,HQ$169&gt;SwaptionFirstMonthPosition+SwaptionNumOfMonths+1,$FN185&gt;SwaptionFirstMonthPosition+SwaptionNumOfMonths+1),"",IF($FN185=HQ$169,1,IF($FN185&lt;HQ$169,INDEX($FO$170:$IH$241,HQ$169,$FN185),SUMPRODUCT(INDEX($FO$325:$IH$396,HQ$169,1+SwaptionShift):INDEX($FO$325:$IH$396,HQ$169,SwaptionMonthsToGo+SwaptionShift),INDEX($FO$245:$IH$316,$FN185-HQ$169,73-HQ$169+SwaptionShift):INDEX($FO$245:$IH$316,$FN185-HQ$169,72-HQ$169+SwaptionMonthsToGo+SwaptionShift))/SQRT(SUM(INDEX($FO340:$IH340,1+SwaptionShift):INDEX($FO340:$IH340,SwaptionMonthsToGo+SwaptionShift))*SUM(INDEX($FO$325:$IH$396,HQ$169,1+SwaptionShift):INDEX($FO$325:$IH$396,HQ$169,SwaptionMonthsToGo+SwaptionShift))))))</f>
        <v/>
      </c>
      <c r="HR185" s="469" t="str">
        <f ca="1">IF(OR(HR$169&lt;SwaptionFirstMonthPosition+1,$FN185&lt;SwaptionFirstMonthPosition+1,HR$169&gt;SwaptionFirstMonthPosition+SwaptionNumOfMonths+1,$FN185&gt;SwaptionFirstMonthPosition+SwaptionNumOfMonths+1),"",IF($FN185=HR$169,1,IF($FN185&lt;HR$169,INDEX($FO$170:$IH$241,HR$169,$FN185),SUMPRODUCT(INDEX($FO$325:$IH$396,HR$169,1+SwaptionShift):INDEX($FO$325:$IH$396,HR$169,SwaptionMonthsToGo+SwaptionShift),INDEX($FO$245:$IH$316,$FN185-HR$169,73-HR$169+SwaptionShift):INDEX($FO$245:$IH$316,$FN185-HR$169,72-HR$169+SwaptionMonthsToGo+SwaptionShift))/SQRT(SUM(INDEX($FO340:$IH340,1+SwaptionShift):INDEX($FO340:$IH340,SwaptionMonthsToGo+SwaptionShift))*SUM(INDEX($FO$325:$IH$396,HR$169,1+SwaptionShift):INDEX($FO$325:$IH$396,HR$169,SwaptionMonthsToGo+SwaptionShift))))))</f>
        <v/>
      </c>
      <c r="HS185" s="469" t="str">
        <f ca="1">IF(OR(HS$169&lt;SwaptionFirstMonthPosition+1,$FN185&lt;SwaptionFirstMonthPosition+1,HS$169&gt;SwaptionFirstMonthPosition+SwaptionNumOfMonths+1,$FN185&gt;SwaptionFirstMonthPosition+SwaptionNumOfMonths+1),"",IF($FN185=HS$169,1,IF($FN185&lt;HS$169,INDEX($FO$170:$IH$241,HS$169,$FN185),SUMPRODUCT(INDEX($FO$325:$IH$396,HS$169,1+SwaptionShift):INDEX($FO$325:$IH$396,HS$169,SwaptionMonthsToGo+SwaptionShift),INDEX($FO$245:$IH$316,$FN185-HS$169,73-HS$169+SwaptionShift):INDEX($FO$245:$IH$316,$FN185-HS$169,72-HS$169+SwaptionMonthsToGo+SwaptionShift))/SQRT(SUM(INDEX($FO340:$IH340,1+SwaptionShift):INDEX($FO340:$IH340,SwaptionMonthsToGo+SwaptionShift))*SUM(INDEX($FO$325:$IH$396,HS$169,1+SwaptionShift):INDEX($FO$325:$IH$396,HS$169,SwaptionMonthsToGo+SwaptionShift))))))</f>
        <v/>
      </c>
      <c r="HT185" s="469" t="str">
        <f ca="1">IF(OR(HT$169&lt;SwaptionFirstMonthPosition+1,$FN185&lt;SwaptionFirstMonthPosition+1,HT$169&gt;SwaptionFirstMonthPosition+SwaptionNumOfMonths+1,$FN185&gt;SwaptionFirstMonthPosition+SwaptionNumOfMonths+1),"",IF($FN185=HT$169,1,IF($FN185&lt;HT$169,INDEX($FO$170:$IH$241,HT$169,$FN185),SUMPRODUCT(INDEX($FO$325:$IH$396,HT$169,1+SwaptionShift):INDEX($FO$325:$IH$396,HT$169,SwaptionMonthsToGo+SwaptionShift),INDEX($FO$245:$IH$316,$FN185-HT$169,73-HT$169+SwaptionShift):INDEX($FO$245:$IH$316,$FN185-HT$169,72-HT$169+SwaptionMonthsToGo+SwaptionShift))/SQRT(SUM(INDEX($FO340:$IH340,1+SwaptionShift):INDEX($FO340:$IH340,SwaptionMonthsToGo+SwaptionShift))*SUM(INDEX($FO$325:$IH$396,HT$169,1+SwaptionShift):INDEX($FO$325:$IH$396,HT$169,SwaptionMonthsToGo+SwaptionShift))))))</f>
        <v/>
      </c>
      <c r="HU185" s="469" t="str">
        <f ca="1">IF(OR(HU$169&lt;SwaptionFirstMonthPosition+1,$FN185&lt;SwaptionFirstMonthPosition+1,HU$169&gt;SwaptionFirstMonthPosition+SwaptionNumOfMonths+1,$FN185&gt;SwaptionFirstMonthPosition+SwaptionNumOfMonths+1),"",IF($FN185=HU$169,1,IF($FN185&lt;HU$169,INDEX($FO$170:$IH$241,HU$169,$FN185),SUMPRODUCT(INDEX($FO$325:$IH$396,HU$169,1+SwaptionShift):INDEX($FO$325:$IH$396,HU$169,SwaptionMonthsToGo+SwaptionShift),INDEX($FO$245:$IH$316,$FN185-HU$169,73-HU$169+SwaptionShift):INDEX($FO$245:$IH$316,$FN185-HU$169,72-HU$169+SwaptionMonthsToGo+SwaptionShift))/SQRT(SUM(INDEX($FO340:$IH340,1+SwaptionShift):INDEX($FO340:$IH340,SwaptionMonthsToGo+SwaptionShift))*SUM(INDEX($FO$325:$IH$396,HU$169,1+SwaptionShift):INDEX($FO$325:$IH$396,HU$169,SwaptionMonthsToGo+SwaptionShift))))))</f>
        <v/>
      </c>
      <c r="HV185" s="469" t="str">
        <f ca="1">IF(OR(HV$169&lt;SwaptionFirstMonthPosition+1,$FN185&lt;SwaptionFirstMonthPosition+1,HV$169&gt;SwaptionFirstMonthPosition+SwaptionNumOfMonths+1,$FN185&gt;SwaptionFirstMonthPosition+SwaptionNumOfMonths+1),"",IF($FN185=HV$169,1,IF($FN185&lt;HV$169,INDEX($FO$170:$IH$241,HV$169,$FN185),SUMPRODUCT(INDEX($FO$325:$IH$396,HV$169,1+SwaptionShift):INDEX($FO$325:$IH$396,HV$169,SwaptionMonthsToGo+SwaptionShift),INDEX($FO$245:$IH$316,$FN185-HV$169,73-HV$169+SwaptionShift):INDEX($FO$245:$IH$316,$FN185-HV$169,72-HV$169+SwaptionMonthsToGo+SwaptionShift))/SQRT(SUM(INDEX($FO340:$IH340,1+SwaptionShift):INDEX($FO340:$IH340,SwaptionMonthsToGo+SwaptionShift))*SUM(INDEX($FO$325:$IH$396,HV$169,1+SwaptionShift):INDEX($FO$325:$IH$396,HV$169,SwaptionMonthsToGo+SwaptionShift))))))</f>
        <v/>
      </c>
      <c r="HW185" s="469" t="str">
        <f ca="1">IF(OR(HW$169&lt;SwaptionFirstMonthPosition+1,$FN185&lt;SwaptionFirstMonthPosition+1,HW$169&gt;SwaptionFirstMonthPosition+SwaptionNumOfMonths+1,$FN185&gt;SwaptionFirstMonthPosition+SwaptionNumOfMonths+1),"",IF($FN185=HW$169,1,IF($FN185&lt;HW$169,INDEX($FO$170:$IH$241,HW$169,$FN185),SUMPRODUCT(INDEX($FO$325:$IH$396,HW$169,1+SwaptionShift):INDEX($FO$325:$IH$396,HW$169,SwaptionMonthsToGo+SwaptionShift),INDEX($FO$245:$IH$316,$FN185-HW$169,73-HW$169+SwaptionShift):INDEX($FO$245:$IH$316,$FN185-HW$169,72-HW$169+SwaptionMonthsToGo+SwaptionShift))/SQRT(SUM(INDEX($FO340:$IH340,1+SwaptionShift):INDEX($FO340:$IH340,SwaptionMonthsToGo+SwaptionShift))*SUM(INDEX($FO$325:$IH$396,HW$169,1+SwaptionShift):INDEX($FO$325:$IH$396,HW$169,SwaptionMonthsToGo+SwaptionShift))))))</f>
        <v/>
      </c>
      <c r="HX185" s="469" t="str">
        <f ca="1">IF(OR(HX$169&lt;SwaptionFirstMonthPosition+1,$FN185&lt;SwaptionFirstMonthPosition+1,HX$169&gt;SwaptionFirstMonthPosition+SwaptionNumOfMonths+1,$FN185&gt;SwaptionFirstMonthPosition+SwaptionNumOfMonths+1),"",IF($FN185=HX$169,1,IF($FN185&lt;HX$169,INDEX($FO$170:$IH$241,HX$169,$FN185),SUMPRODUCT(INDEX($FO$325:$IH$396,HX$169,1+SwaptionShift):INDEX($FO$325:$IH$396,HX$169,SwaptionMonthsToGo+SwaptionShift),INDEX($FO$245:$IH$316,$FN185-HX$169,73-HX$169+SwaptionShift):INDEX($FO$245:$IH$316,$FN185-HX$169,72-HX$169+SwaptionMonthsToGo+SwaptionShift))/SQRT(SUM(INDEX($FO340:$IH340,1+SwaptionShift):INDEX($FO340:$IH340,SwaptionMonthsToGo+SwaptionShift))*SUM(INDEX($FO$325:$IH$396,HX$169,1+SwaptionShift):INDEX($FO$325:$IH$396,HX$169,SwaptionMonthsToGo+SwaptionShift))))))</f>
        <v/>
      </c>
      <c r="HY185" s="469" t="str">
        <f ca="1">IF(OR(HY$169&lt;SwaptionFirstMonthPosition+1,$FN185&lt;SwaptionFirstMonthPosition+1,HY$169&gt;SwaptionFirstMonthPosition+SwaptionNumOfMonths+1,$FN185&gt;SwaptionFirstMonthPosition+SwaptionNumOfMonths+1),"",IF($FN185=HY$169,1,IF($FN185&lt;HY$169,INDEX($FO$170:$IH$241,HY$169,$FN185),SUMPRODUCT(INDEX($FO$325:$IH$396,HY$169,1+SwaptionShift):INDEX($FO$325:$IH$396,HY$169,SwaptionMonthsToGo+SwaptionShift),INDEX($FO$245:$IH$316,$FN185-HY$169,73-HY$169+SwaptionShift):INDEX($FO$245:$IH$316,$FN185-HY$169,72-HY$169+SwaptionMonthsToGo+SwaptionShift))/SQRT(SUM(INDEX($FO340:$IH340,1+SwaptionShift):INDEX($FO340:$IH340,SwaptionMonthsToGo+SwaptionShift))*SUM(INDEX($FO$325:$IH$396,HY$169,1+SwaptionShift):INDEX($FO$325:$IH$396,HY$169,SwaptionMonthsToGo+SwaptionShift))))))</f>
        <v/>
      </c>
      <c r="HZ185" s="469" t="str">
        <f ca="1">IF(OR(HZ$169&lt;SwaptionFirstMonthPosition+1,$FN185&lt;SwaptionFirstMonthPosition+1,HZ$169&gt;SwaptionFirstMonthPosition+SwaptionNumOfMonths+1,$FN185&gt;SwaptionFirstMonthPosition+SwaptionNumOfMonths+1),"",IF($FN185=HZ$169,1,IF($FN185&lt;HZ$169,INDEX($FO$170:$IH$241,HZ$169,$FN185),SUMPRODUCT(INDEX($FO$325:$IH$396,HZ$169,1+SwaptionShift):INDEX($FO$325:$IH$396,HZ$169,SwaptionMonthsToGo+SwaptionShift),INDEX($FO$245:$IH$316,$FN185-HZ$169,73-HZ$169+SwaptionShift):INDEX($FO$245:$IH$316,$FN185-HZ$169,72-HZ$169+SwaptionMonthsToGo+SwaptionShift))/SQRT(SUM(INDEX($FO340:$IH340,1+SwaptionShift):INDEX($FO340:$IH340,SwaptionMonthsToGo+SwaptionShift))*SUM(INDEX($FO$325:$IH$396,HZ$169,1+SwaptionShift):INDEX($FO$325:$IH$396,HZ$169,SwaptionMonthsToGo+SwaptionShift))))))</f>
        <v/>
      </c>
      <c r="IA185" s="469" t="str">
        <f ca="1">IF(OR(IA$169&lt;SwaptionFirstMonthPosition+1,$FN185&lt;SwaptionFirstMonthPosition+1,IA$169&gt;SwaptionFirstMonthPosition+SwaptionNumOfMonths+1,$FN185&gt;SwaptionFirstMonthPosition+SwaptionNumOfMonths+1),"",IF($FN185=IA$169,1,IF($FN185&lt;IA$169,INDEX($FO$170:$IH$241,IA$169,$FN185),SUMPRODUCT(INDEX($FO$325:$IH$396,IA$169,1+SwaptionShift):INDEX($FO$325:$IH$396,IA$169,SwaptionMonthsToGo+SwaptionShift),INDEX($FO$245:$IH$316,$FN185-IA$169,73-IA$169+SwaptionShift):INDEX($FO$245:$IH$316,$FN185-IA$169,72-IA$169+SwaptionMonthsToGo+SwaptionShift))/SQRT(SUM(INDEX($FO340:$IH340,1+SwaptionShift):INDEX($FO340:$IH340,SwaptionMonthsToGo+SwaptionShift))*SUM(INDEX($FO$325:$IH$396,IA$169,1+SwaptionShift):INDEX($FO$325:$IH$396,IA$169,SwaptionMonthsToGo+SwaptionShift))))))</f>
        <v/>
      </c>
      <c r="IB185" s="469" t="str">
        <f ca="1">IF(OR(IB$169&lt;SwaptionFirstMonthPosition+1,$FN185&lt;SwaptionFirstMonthPosition+1,IB$169&gt;SwaptionFirstMonthPosition+SwaptionNumOfMonths+1,$FN185&gt;SwaptionFirstMonthPosition+SwaptionNumOfMonths+1),"",IF($FN185=IB$169,1,IF($FN185&lt;IB$169,INDEX($FO$170:$IH$241,IB$169,$FN185),SUMPRODUCT(INDEX($FO$325:$IH$396,IB$169,1+SwaptionShift):INDEX($FO$325:$IH$396,IB$169,SwaptionMonthsToGo+SwaptionShift),INDEX($FO$245:$IH$316,$FN185-IB$169,73-IB$169+SwaptionShift):INDEX($FO$245:$IH$316,$FN185-IB$169,72-IB$169+SwaptionMonthsToGo+SwaptionShift))/SQRT(SUM(INDEX($FO340:$IH340,1+SwaptionShift):INDEX($FO340:$IH340,SwaptionMonthsToGo+SwaptionShift))*SUM(INDEX($FO$325:$IH$396,IB$169,1+SwaptionShift):INDEX($FO$325:$IH$396,IB$169,SwaptionMonthsToGo+SwaptionShift))))))</f>
        <v/>
      </c>
      <c r="IC185" s="469" t="str">
        <f ca="1">IF(OR(IC$169&lt;SwaptionFirstMonthPosition+1,$FN185&lt;SwaptionFirstMonthPosition+1,IC$169&gt;SwaptionFirstMonthPosition+SwaptionNumOfMonths+1,$FN185&gt;SwaptionFirstMonthPosition+SwaptionNumOfMonths+1),"",IF($FN185=IC$169,1,IF($FN185&lt;IC$169,INDEX($FO$170:$IH$241,IC$169,$FN185),SUMPRODUCT(INDEX($FO$325:$IH$396,IC$169,1+SwaptionShift):INDEX($FO$325:$IH$396,IC$169,SwaptionMonthsToGo+SwaptionShift),INDEX($FO$245:$IH$316,$FN185-IC$169,73-IC$169+SwaptionShift):INDEX($FO$245:$IH$316,$FN185-IC$169,72-IC$169+SwaptionMonthsToGo+SwaptionShift))/SQRT(SUM(INDEX($FO340:$IH340,1+SwaptionShift):INDEX($FO340:$IH340,SwaptionMonthsToGo+SwaptionShift))*SUM(INDEX($FO$325:$IH$396,IC$169,1+SwaptionShift):INDEX($FO$325:$IH$396,IC$169,SwaptionMonthsToGo+SwaptionShift))))))</f>
        <v/>
      </c>
      <c r="ID185" s="469" t="str">
        <f ca="1">IF(OR(ID$169&lt;SwaptionFirstMonthPosition+1,$FN185&lt;SwaptionFirstMonthPosition+1,ID$169&gt;SwaptionFirstMonthPosition+SwaptionNumOfMonths+1,$FN185&gt;SwaptionFirstMonthPosition+SwaptionNumOfMonths+1),"",IF($FN185=ID$169,1,IF($FN185&lt;ID$169,INDEX($FO$170:$IH$241,ID$169,$FN185),SUMPRODUCT(INDEX($FO$325:$IH$396,ID$169,1+SwaptionShift):INDEX($FO$325:$IH$396,ID$169,SwaptionMonthsToGo+SwaptionShift),INDEX($FO$245:$IH$316,$FN185-ID$169,73-ID$169+SwaptionShift):INDEX($FO$245:$IH$316,$FN185-ID$169,72-ID$169+SwaptionMonthsToGo+SwaptionShift))/SQRT(SUM(INDEX($FO340:$IH340,1+SwaptionShift):INDEX($FO340:$IH340,SwaptionMonthsToGo+SwaptionShift))*SUM(INDEX($FO$325:$IH$396,ID$169,1+SwaptionShift):INDEX($FO$325:$IH$396,ID$169,SwaptionMonthsToGo+SwaptionShift))))))</f>
        <v/>
      </c>
      <c r="IE185" s="469" t="str">
        <f ca="1">IF(OR(IE$169&lt;SwaptionFirstMonthPosition+1,$FN185&lt;SwaptionFirstMonthPosition+1,IE$169&gt;SwaptionFirstMonthPosition+SwaptionNumOfMonths+1,$FN185&gt;SwaptionFirstMonthPosition+SwaptionNumOfMonths+1),"",IF($FN185=IE$169,1,IF($FN185&lt;IE$169,INDEX($FO$170:$IH$241,IE$169,$FN185),SUMPRODUCT(INDEX($FO$325:$IH$396,IE$169,1+SwaptionShift):INDEX($FO$325:$IH$396,IE$169,SwaptionMonthsToGo+SwaptionShift),INDEX($FO$245:$IH$316,$FN185-IE$169,73-IE$169+SwaptionShift):INDEX($FO$245:$IH$316,$FN185-IE$169,72-IE$169+SwaptionMonthsToGo+SwaptionShift))/SQRT(SUM(INDEX($FO340:$IH340,1+SwaptionShift):INDEX($FO340:$IH340,SwaptionMonthsToGo+SwaptionShift))*SUM(INDEX($FO$325:$IH$396,IE$169,1+SwaptionShift):INDEX($FO$325:$IH$396,IE$169,SwaptionMonthsToGo+SwaptionShift))))))</f>
        <v/>
      </c>
      <c r="IF185" s="469" t="str">
        <f ca="1">IF(OR(IF$169&lt;SwaptionFirstMonthPosition+1,$FN185&lt;SwaptionFirstMonthPosition+1,IF$169&gt;SwaptionFirstMonthPosition+SwaptionNumOfMonths+1,$FN185&gt;SwaptionFirstMonthPosition+SwaptionNumOfMonths+1),"",IF($FN185=IF$169,1,IF($FN185&lt;IF$169,INDEX($FO$170:$IH$241,IF$169,$FN185),SUMPRODUCT(INDEX($FO$325:$IH$396,IF$169,1+SwaptionShift):INDEX($FO$325:$IH$396,IF$169,SwaptionMonthsToGo+SwaptionShift),INDEX($FO$245:$IH$316,$FN185-IF$169,73-IF$169+SwaptionShift):INDEX($FO$245:$IH$316,$FN185-IF$169,72-IF$169+SwaptionMonthsToGo+SwaptionShift))/SQRT(SUM(INDEX($FO340:$IH340,1+SwaptionShift):INDEX($FO340:$IH340,SwaptionMonthsToGo+SwaptionShift))*SUM(INDEX($FO$325:$IH$396,IF$169,1+SwaptionShift):INDEX($FO$325:$IH$396,IF$169,SwaptionMonthsToGo+SwaptionShift))))))</f>
        <v/>
      </c>
      <c r="IG185" s="469" t="str">
        <f ca="1">IF(OR(IG$169&lt;SwaptionFirstMonthPosition+1,$FN185&lt;SwaptionFirstMonthPosition+1,IG$169&gt;SwaptionFirstMonthPosition+SwaptionNumOfMonths+1,$FN185&gt;SwaptionFirstMonthPosition+SwaptionNumOfMonths+1),"",IF($FN185=IG$169,1,IF($FN185&lt;IG$169,INDEX($FO$170:$IH$241,IG$169,$FN185),SUMPRODUCT(INDEX($FO$325:$IH$396,IG$169,1+SwaptionShift):INDEX($FO$325:$IH$396,IG$169,SwaptionMonthsToGo+SwaptionShift),INDEX($FO$245:$IH$316,$FN185-IG$169,73-IG$169+SwaptionShift):INDEX($FO$245:$IH$316,$FN185-IG$169,72-IG$169+SwaptionMonthsToGo+SwaptionShift))/SQRT(SUM(INDEX($FO340:$IH340,1+SwaptionShift):INDEX($FO340:$IH340,SwaptionMonthsToGo+SwaptionShift))*SUM(INDEX($FO$325:$IH$396,IG$169,1+SwaptionShift):INDEX($FO$325:$IH$396,IG$169,SwaptionMonthsToGo+SwaptionShift))))))</f>
        <v/>
      </c>
      <c r="IH185" s="662" t="str">
        <f ca="1">IF(OR(IH$169&lt;SwaptionFirstMonthPosition+1,$FN185&lt;SwaptionFirstMonthPosition+1,IH$169&gt;SwaptionFirstMonthPosition+SwaptionNumOfMonths+1,$FN185&gt;SwaptionFirstMonthPosition+SwaptionNumOfMonths+1),"",IF($FN185=IH$169,1,IF($FN185&lt;IH$169,INDEX($FO$170:$IH$241,IH$169,$FN185),SUMPRODUCT(INDEX($FO$325:$IH$396,IH$169,1+SwaptionShift):INDEX($FO$325:$IH$396,IH$169,SwaptionMonthsToGo+SwaptionShift),INDEX($FO$245:$IH$316,$FN185-IH$169,73-IH$169+SwaptionShift):INDEX($FO$245:$IH$316,$FN185-IH$169,72-IH$169+SwaptionMonthsToGo+SwaptionShift))/SQRT(SUM(INDEX($FO340:$IH340,1+SwaptionShift):INDEX($FO340:$IH340,SwaptionMonthsToGo+SwaptionShift))*SUM(INDEX($FO$325:$IH$396,IH$169,1+SwaptionShift):INDEX($FO$325:$IH$396,IH$169,SwaptionMonthsToGo+SwaptionShift))))))</f>
        <v/>
      </c>
      <c r="II185" s="242"/>
    </row>
    <row r="186" spans="8:243">
      <c r="H186" s="49" t="e">
        <f t="shared" ca="1" si="529"/>
        <v>#N/A</v>
      </c>
      <c r="I186" s="369">
        <f t="shared" si="530"/>
        <v>42064</v>
      </c>
      <c r="J186" s="367">
        <v>23.534999999999901</v>
      </c>
      <c r="K186" s="101" t="s">
        <v>267</v>
      </c>
      <c r="L186" s="382">
        <f t="shared" si="531"/>
        <v>23.534999999999894</v>
      </c>
      <c r="M186" s="163">
        <v>0.1447</v>
      </c>
      <c r="N186" s="372">
        <v>0</v>
      </c>
      <c r="O186" s="163">
        <f t="shared" si="488"/>
        <v>0.1447</v>
      </c>
      <c r="P186" s="367">
        <v>22.329732952069399</v>
      </c>
      <c r="Q186" s="101" t="s">
        <v>267</v>
      </c>
      <c r="R186" s="367">
        <f t="shared" ca="1" si="549"/>
        <v>22.329732952069364</v>
      </c>
      <c r="S186" s="814">
        <f t="shared" si="474"/>
        <v>0.34952307298825158</v>
      </c>
      <c r="T186" s="813">
        <f t="shared" si="550"/>
        <v>0.99999999801987771</v>
      </c>
      <c r="U186" s="532">
        <f t="shared" si="551"/>
        <v>0.99999999999999978</v>
      </c>
      <c r="V186" s="379">
        <v>0</v>
      </c>
      <c r="W186" s="424">
        <f t="shared" si="576"/>
        <v>23.567954545454448</v>
      </c>
      <c r="X186" s="405">
        <f t="shared" si="577"/>
        <v>23.567954545454437</v>
      </c>
      <c r="Y186" s="313">
        <f t="shared" si="578"/>
        <v>22.351954545454447</v>
      </c>
      <c r="Z186" s="313">
        <f t="shared" ca="1" si="579"/>
        <v>22.351954545454436</v>
      </c>
      <c r="AA186" s="419">
        <f t="shared" si="493"/>
        <v>1.216</v>
      </c>
      <c r="AB186" s="423">
        <f t="shared" ca="1" si="494"/>
        <v>1.216</v>
      </c>
      <c r="AC186" s="221">
        <v>42055</v>
      </c>
      <c r="AD186" s="221">
        <v>42051</v>
      </c>
      <c r="AE186" s="221">
        <v>42050</v>
      </c>
      <c r="AF186" s="221">
        <v>42046</v>
      </c>
      <c r="AG186" s="241" t="s">
        <v>497</v>
      </c>
      <c r="AH186" s="239" t="s">
        <v>497</v>
      </c>
      <c r="AI186" s="141">
        <v>22</v>
      </c>
      <c r="AJ186" s="41">
        <v>15</v>
      </c>
      <c r="AK186" s="41">
        <v>7</v>
      </c>
      <c r="AL186" s="285">
        <v>22</v>
      </c>
      <c r="AM186" s="41">
        <v>10</v>
      </c>
      <c r="AN186" s="142">
        <v>12</v>
      </c>
      <c r="AO186" s="364">
        <v>6.1367172358626695E-2</v>
      </c>
      <c r="AP186" s="145">
        <f t="shared" ca="1" si="532"/>
        <v>0.42970726224598377</v>
      </c>
      <c r="AQ186" s="364">
        <v>5.48895780361702E-2</v>
      </c>
      <c r="AR186" s="145">
        <f t="shared" ca="1" si="552"/>
        <v>0.47221789148335797</v>
      </c>
      <c r="AS186" s="264">
        <f t="shared" si="580"/>
        <v>0.14417272727272729</v>
      </c>
      <c r="AT186" s="149">
        <f t="shared" si="533"/>
        <v>0.1447</v>
      </c>
      <c r="AU186" s="149">
        <f t="shared" si="496"/>
        <v>0.14408181818181817</v>
      </c>
      <c r="AV186" s="263">
        <f t="shared" ca="1" si="560"/>
        <v>0.14252795460512072</v>
      </c>
      <c r="AW186" s="150" t="str">
        <f t="shared" ca="1" si="581"/>
        <v/>
      </c>
      <c r="AX186" s="149">
        <f t="shared" ca="1" si="553"/>
        <v>6.2428900692475765E-3</v>
      </c>
      <c r="AY186" s="149">
        <f t="shared" ca="1" si="554"/>
        <v>2.1890198430771267E-3</v>
      </c>
      <c r="AZ186" s="149">
        <f t="shared" ca="1" si="555"/>
        <v>2.1486548189309056E-3</v>
      </c>
      <c r="BA186" s="149">
        <f t="shared" ca="1" si="556"/>
        <v>1.0000000000000815E-4</v>
      </c>
      <c r="BB186" s="149">
        <f t="shared" ca="1" si="557"/>
        <v>1.0000000000000815E-4</v>
      </c>
      <c r="BC186" s="149">
        <f t="shared" ca="1" si="558"/>
        <v>1.0000000000000815E-4</v>
      </c>
      <c r="BD186" s="143">
        <f t="shared" ca="1" si="582"/>
        <v>0</v>
      </c>
      <c r="BE186" s="144">
        <f t="shared" ca="1" si="583"/>
        <v>0</v>
      </c>
      <c r="BF186" s="40">
        <f t="shared" si="584"/>
        <v>2015</v>
      </c>
      <c r="BG186" s="139">
        <f t="shared" si="585"/>
        <v>3</v>
      </c>
      <c r="BH186" s="140">
        <f t="shared" ca="1" si="586"/>
        <v>5061</v>
      </c>
      <c r="BI186" s="304">
        <f t="shared" ca="1" si="570"/>
        <v>13.891854893908283</v>
      </c>
      <c r="BJ186" s="42">
        <f t="shared" ca="1" si="503"/>
        <v>13.947856387281439</v>
      </c>
      <c r="BK186" s="42">
        <f t="shared" ca="1" si="504"/>
        <v>13.950594238068572</v>
      </c>
      <c r="BL186" s="42">
        <f t="shared" ca="1" si="571"/>
        <v>13.973990417522245</v>
      </c>
      <c r="BM186" s="285">
        <f t="shared" si="572"/>
        <v>22</v>
      </c>
      <c r="BN186" s="41">
        <f t="shared" si="573"/>
        <v>15</v>
      </c>
      <c r="BO186" s="41">
        <f t="shared" si="574"/>
        <v>7</v>
      </c>
      <c r="BP186" s="297" t="str">
        <f t="shared" ca="1" si="505"/>
        <v/>
      </c>
      <c r="BQ186" s="297" t="str">
        <f t="shared" ca="1" si="506"/>
        <v/>
      </c>
      <c r="BR186" s="299" t="str">
        <f t="shared" ca="1" si="507"/>
        <v/>
      </c>
      <c r="BS186" s="153" t="str">
        <f t="shared" ca="1" si="508"/>
        <v/>
      </c>
      <c r="BT186" s="153" t="str">
        <f t="shared" ca="1" si="509"/>
        <v/>
      </c>
      <c r="BU186" s="300" t="str">
        <f t="shared" ca="1" si="510"/>
        <v/>
      </c>
      <c r="BV186" s="301" t="str">
        <f t="shared" ca="1" si="511"/>
        <v/>
      </c>
      <c r="BW186" s="300" t="str">
        <f t="shared" ca="1" si="512"/>
        <v/>
      </c>
      <c r="BX186" s="301" t="str">
        <f t="shared" ca="1" si="513"/>
        <v/>
      </c>
      <c r="BY186" s="146" t="str">
        <f t="shared" ca="1" si="514"/>
        <v/>
      </c>
      <c r="BZ186" s="146" t="str">
        <f t="shared" ca="1" si="515"/>
        <v/>
      </c>
      <c r="CA186" s="146" t="str">
        <f t="shared" ca="1" si="516"/>
        <v/>
      </c>
      <c r="CB186" s="146" t="str">
        <f t="shared" ca="1" si="517"/>
        <v/>
      </c>
      <c r="CC186" s="302">
        <v>1</v>
      </c>
      <c r="CD186" s="154">
        <f ca="1">IF(BD186,_xll.xCrudeAPO(BS186,BT186,BY186,BZ186,S187,S188,BI186,BL186,BN186,BO186,0,Strike1,AO186,CC186,0,BL186,IF(OptControl=4,0,1),0,1),0)</f>
        <v>0</v>
      </c>
      <c r="CE186" s="155">
        <f ca="1">IF(BD186,_xll.xCrudeAPO(BS186,BT186,BY186,BZ186,S187,S188,BI186,BL186,BN186,BO186,0,Strike1,AO186,CC186,0,BL186,IF(OptControl=4,0,1),1,1)+_xll.xCrudeAPO(BS186,BT186,BY186,BZ186,S187,S188,BI186,BL186,BN186,BO186,0,Strike1,AO186,CC186,0,BL186,IF(OptControl=4,0,1),1,2)+IF(OR(VolSkewFlag=2,ABS(BQ186)&lt;0.0001),0,IF(BQ186&gt;0,-1,1)*CF186*Strike1/BP186^2*BW186/10%),0)</f>
        <v>0</v>
      </c>
      <c r="CF186" s="155">
        <f ca="1">IF(BD186,(_xll.xCrudeAPO(BS186,BT186,BY186,BZ186,S187,S188,BI186,BL186,BN186,BO186,0,Strike1,AO186,CC186,0,BL186,IF(OptControl=4,0,1),3,1)+_xll.xCrudeAPO(BS186,BT186,BY186,BZ186,S187,S188,BI186,BL186,BN186,BO186,0,Strike1,AO186,CC186,0,BL186,IF(OptControl=4,0,1),3,2))/100,0)</f>
        <v>0</v>
      </c>
      <c r="CG186" s="155">
        <f ca="1">IF(BD186,_xll.xCrudeAPO(BS186,BT186,BY186,BZ186,S187,S188,BI186-DaysForThetaCalculation/365.25,BL186-DaysForThetaCalculation/365.25,BN186,BO186,0,Strike1,AO186,CC186,0,BL186,IF(OptControl=4,0,1),0,1)-_xll.xCrudeAPO(BS186,BT186,BY186,BZ186,S187,S188,BI186,BL186,BN186,BO186,0,Strike1,AO186,CC186,0,BL186,IF(OptControl=4,0,1),0,1),0)</f>
        <v>0</v>
      </c>
      <c r="CH186" s="303">
        <f ca="1">IF(BD186,_xll.xCrudeAPO(BS186,BT186,CA186,CB186,S187,S188,BI186,BL186,BN186,BO186,0,Strike2,AO186,CC186,0,BL186,IF(OptControl=3,1,0),0,1),0)</f>
        <v>0</v>
      </c>
      <c r="CI186" s="155">
        <f ca="1">IF(BD186,_xll.xCrudeAPO(BS186,BT186,CA186,CB186,S187,S188,BI186,BL186,BN186,BO186,0,Strike2,AO186,CC186,0,BL186,IF(OptControl=3,1,0),1,1)+_xll.xCrudeAPO(BS186,BT186,CA186,CB186,S187,S188,BI186,BL186,BN186,BO186,0,Strike2,AO186,CC186,0,BL186,IF(OptControl=3,1,0),1,2)+IF(OR(VolSkewFlag=2,ABS(BR186)&lt;0.0001),0,IF(BR186&gt;0,-1,1)*CJ186*Strike2/BP186^2*BX186/10%),0)</f>
        <v>0</v>
      </c>
      <c r="CJ186" s="155">
        <f ca="1">IF(BD186,(_xll.xCrudeAPO(BS186,BT186,CA186,CB186,S187,S188,BI186,BL186,BN186,BO186,0,Strike2,AO186,CC186,0,BL186,IF(OptControl=3,1,0),3,1)+_xll.xCrudeAPO(BS186,BT186,CA186,CB186,S187,S188,BI186,BL186,BN186,BO186,0,Strike2,AO186,CC186,0,BL186,IF(OptControl=3,1,0),3,2))/100,0)</f>
        <v>0</v>
      </c>
      <c r="CK186" s="156">
        <f ca="1">IF(BD186,_xll.xCrudeAPO(BS186,BT186,CA186,CB186,S187,S188,BI186-DaysForThetaCalculation/365.25,BL186-DaysForThetaCalculation/365.25,BN186,BO186,0,Strike2,AO186,CC186,0,BL186,IF(OptControl=3,1,0),0,1)-_xll.xCrudeAPO(BS186,BT186,CA186,CB186,S187,S188,BI186,BL186,BN186,BO186,0,Strike2,AO186,CC186,0,BL186,IF(OptControl=3,1,0),0,1),0)</f>
        <v>0</v>
      </c>
      <c r="CL186" s="51"/>
      <c r="CM186" s="779" t="str">
        <f t="shared" ca="1" si="534"/>
        <v/>
      </c>
      <c r="CN186" s="783" t="str">
        <f t="shared" ca="1" si="535"/>
        <v/>
      </c>
      <c r="CO186" s="780" t="str">
        <f t="shared" ca="1" si="536"/>
        <v/>
      </c>
      <c r="CP186" s="780" t="str">
        <f t="shared" ca="1" si="537"/>
        <v/>
      </c>
      <c r="CQ186" s="780" t="str">
        <f t="shared" ca="1" si="538"/>
        <v/>
      </c>
      <c r="CR186" s="780" t="str">
        <f t="shared" ca="1" si="539"/>
        <v/>
      </c>
      <c r="CS186" s="781" t="str">
        <f t="shared" ca="1" si="540"/>
        <v/>
      </c>
      <c r="CT186" s="782" t="str">
        <f t="shared" ca="1" si="541"/>
        <v/>
      </c>
      <c r="CU186" s="782" t="str">
        <f t="shared" ca="1" si="542"/>
        <v/>
      </c>
      <c r="CV186" s="155">
        <f ca="1">IF(BD186,_xll.EURO(CN186,Strike1,AO186,AO186,CT186,CM186,IF(OptControl=4,0,1),0),0)</f>
        <v>0</v>
      </c>
      <c r="CW186" s="155">
        <f ca="1">IF(BD186,_xll.EURO(CN186,Strike1,AO186,AO186,CT186,CM186,IF(OptControl=4,0,1),1)+IF(OR(VolSkewFlag=2,ABS(CO186)&lt;0.0001),0,IF(CO186&gt;0,-1,1)*CX186*100*Strike1/CN186^2*CQ186/10%),0)</f>
        <v>0</v>
      </c>
      <c r="CX186" s="155">
        <f ca="1">IF(BD186,_xll.EURO(CN186,Strike1,AO186,AO186,CT186,CM186,IF(OptControl=4,0,1),3)/100,0)</f>
        <v>0</v>
      </c>
      <c r="CY186" s="155">
        <f ca="1">IF(BD186,_xll.EURO(CN186,Strike1,AO186,AO186,CT186,CM186,IF(OptControl=4,0,1),0)-_xll.EURO(CN186,Strike1,AO186,AO186,CT186,CM186-1,IF(OptControl=4,0,1),0),0)</f>
        <v>0</v>
      </c>
      <c r="CZ186" s="155">
        <f ca="1">IF(BD186,_xll.EURO(CN186,Strike2,AO186,AO186,CU186,CM186,IF(OptControl=3,1,0),0),0)</f>
        <v>0</v>
      </c>
      <c r="DA186" s="155">
        <f ca="1">IF(BD186,_xll.EURO(CN186,Strike2,AO186,AO186,CU186,CM186,IF(OptControl=3,1,0),1)+IF(OR(VolSkewFlag=2,ABS(CP186)&lt;0.0001),0,IF(CP186&gt;0,-1,1)*DB186*100*Strike2/CN186^2*CR186/10%),0)</f>
        <v>0</v>
      </c>
      <c r="DB186" s="155">
        <f ca="1">IF(BD186,_xll.EURO(CN186,Strike2,AO186,AO186,CU186,CM186,IF(OptControl=3,1,0),3)/100,0)</f>
        <v>0</v>
      </c>
      <c r="DC186" s="156">
        <f ca="1">IF(BD186,_xll.EURO(CN186,Strike2,AO186,AO186,CU186,CM186,IF(OptControl=3,1,0),0)-_xll.EURO(CN186,Strike2,AO186,AO186,CU186,CM186-1,IF(OptControl=3,1,0),0),0)</f>
        <v>0</v>
      </c>
      <c r="DE186" s="651">
        <f t="shared" ca="1" si="543"/>
        <v>41974</v>
      </c>
      <c r="DF186" s="465">
        <v>1E-4</v>
      </c>
      <c r="DG186" s="649">
        <v>1E-4</v>
      </c>
      <c r="DH186" s="650">
        <f t="shared" ca="1" si="587"/>
        <v>41974</v>
      </c>
      <c r="DI186" s="465">
        <v>1E-4</v>
      </c>
      <c r="DJ186" s="649">
        <v>1E-4</v>
      </c>
      <c r="DK186" s="651">
        <f t="shared" ca="1" si="588"/>
        <v>41974</v>
      </c>
      <c r="DL186" s="652">
        <f t="shared" si="589"/>
        <v>5.0100000000000006E-2</v>
      </c>
      <c r="DM186" s="651">
        <f t="shared" ca="1" si="544"/>
        <v>41974</v>
      </c>
      <c r="DN186" s="563">
        <f t="shared" si="545"/>
        <v>-0.12990000000000002</v>
      </c>
      <c r="DO186" s="803">
        <v>-0.13</v>
      </c>
      <c r="DP186" s="650">
        <f t="shared" ca="1" si="590"/>
        <v>41974</v>
      </c>
      <c r="DQ186" s="653">
        <v>1E-4</v>
      </c>
      <c r="DR186" s="590">
        <v>1E-4</v>
      </c>
      <c r="DS186" s="650">
        <f t="shared" ca="1" si="591"/>
        <v>41974</v>
      </c>
      <c r="DT186" s="653">
        <v>1E-4</v>
      </c>
      <c r="DU186" s="590">
        <v>1E-4</v>
      </c>
      <c r="DV186" s="651">
        <f t="shared" ca="1" si="592"/>
        <v>41974</v>
      </c>
      <c r="DW186" s="590">
        <v>1E-4</v>
      </c>
      <c r="DX186" s="651">
        <f t="shared" ca="1" si="546"/>
        <v>41974</v>
      </c>
      <c r="DY186" s="590">
        <f t="shared" si="547"/>
        <v>1E-4</v>
      </c>
      <c r="DZ186" s="1"/>
      <c r="EA186" s="857"/>
      <c r="EB186" s="857"/>
      <c r="EC186" s="857"/>
      <c r="ED186" s="868" t="e">
        <f t="shared" ca="1" si="566"/>
        <v>#NAME?</v>
      </c>
      <c r="EE186" s="863" t="e">
        <f t="shared" ca="1" si="524"/>
        <v>#NAME?</v>
      </c>
      <c r="EF186" s="590" t="e">
        <f t="shared" ca="1" si="525"/>
        <v>#NAME?</v>
      </c>
      <c r="EG186" s="862" t="str">
        <f t="shared" ca="1" si="593"/>
        <v/>
      </c>
      <c r="EH186" s="114" t="str">
        <f t="shared" ca="1" si="527"/>
        <v/>
      </c>
      <c r="EI186" s="109" t="str">
        <f t="shared" ca="1" si="528"/>
        <v/>
      </c>
      <c r="EJ186" s="115">
        <f ca="1">IF(BD186,_xll.xASN(BP186,Strike1,AO186,EH186,0,BM186,0,BI186,BL186,IF(OptControl=4,0,1),0),0)</f>
        <v>0</v>
      </c>
      <c r="EK186" s="108">
        <f ca="1">IF(BD186,_xll.xASN(BP186,Strike2,AO186,EI186,0,BM186,0,BI186,BL186,IF(OptControl=3,1,0),0),0)</f>
        <v>0</v>
      </c>
      <c r="EP186" s="53"/>
      <c r="EQ186" s="1"/>
      <c r="ER186" s="103"/>
      <c r="ES186" s="103"/>
      <c r="ET186" s="1"/>
      <c r="EU186" s="667" t="s">
        <v>398</v>
      </c>
      <c r="EW186" s="445"/>
      <c r="EX186" s="36"/>
      <c r="EY186" s="104"/>
      <c r="EZ186" s="465"/>
      <c r="FA186" s="446"/>
      <c r="FB186" s="446"/>
      <c r="FC186" s="242"/>
      <c r="FD186" s="242"/>
      <c r="FE186" s="242"/>
      <c r="FF186" s="242"/>
      <c r="FG186" s="242"/>
      <c r="FH186" s="242"/>
      <c r="FI186" s="242"/>
      <c r="FJ186" s="242"/>
      <c r="FK186" s="242"/>
      <c r="FL186" s="242"/>
      <c r="FM186" s="242"/>
      <c r="FN186" s="657">
        <v>17</v>
      </c>
      <c r="FO186" s="469" t="str">
        <f ca="1">IF(OR(FO$169&lt;SwaptionFirstMonthPosition+1,$FN186&lt;SwaptionFirstMonthPosition+1,FO$169&gt;SwaptionFirstMonthPosition+SwaptionNumOfMonths+1,$FN186&gt;SwaptionFirstMonthPosition+SwaptionNumOfMonths+1),"",IF($FN186=FO$169,1,IF($FN186&lt;FO$169,INDEX($FO$170:$IH$241,FO$169,$FN186),SUMPRODUCT(INDEX($FO$325:$IH$396,FO$169,1+SwaptionShift):INDEX($FO$325:$IH$396,FO$169,SwaptionMonthsToGo+SwaptionShift),INDEX($FO$245:$IH$316,$FN186-FO$169,73-FO$169+SwaptionShift):INDEX($FO$245:$IH$316,$FN186-FO$169,72-FO$169+SwaptionMonthsToGo+SwaptionShift))/SQRT(SUM(INDEX($FO341:$IH341,1+SwaptionShift):INDEX($FO341:$IH341,SwaptionMonthsToGo+SwaptionShift))*SUM(INDEX($FO$325:$IH$396,FO$169,1+SwaptionShift):INDEX($FO$325:$IH$396,FO$169,SwaptionMonthsToGo+SwaptionShift))))))</f>
        <v/>
      </c>
      <c r="FP186" s="469" t="str">
        <f ca="1">IF(OR(FP$169&lt;SwaptionFirstMonthPosition+1,$FN186&lt;SwaptionFirstMonthPosition+1,FP$169&gt;SwaptionFirstMonthPosition+SwaptionNumOfMonths+1,$FN186&gt;SwaptionFirstMonthPosition+SwaptionNumOfMonths+1),"",IF($FN186=FP$169,1,IF($FN186&lt;FP$169,INDEX($FO$170:$IH$241,FP$169,$FN186),SUMPRODUCT(INDEX($FO$325:$IH$396,FP$169,1+SwaptionShift):INDEX($FO$325:$IH$396,FP$169,SwaptionMonthsToGo+SwaptionShift),INDEX($FO$245:$IH$316,$FN186-FP$169,73-FP$169+SwaptionShift):INDEX($FO$245:$IH$316,$FN186-FP$169,72-FP$169+SwaptionMonthsToGo+SwaptionShift))/SQRT(SUM(INDEX($FO341:$IH341,1+SwaptionShift):INDEX($FO341:$IH341,SwaptionMonthsToGo+SwaptionShift))*SUM(INDEX($FO$325:$IH$396,FP$169,1+SwaptionShift):INDEX($FO$325:$IH$396,FP$169,SwaptionMonthsToGo+SwaptionShift))))))</f>
        <v/>
      </c>
      <c r="FQ186" s="469" t="str">
        <f ca="1">IF(OR(FQ$169&lt;SwaptionFirstMonthPosition+1,$FN186&lt;SwaptionFirstMonthPosition+1,FQ$169&gt;SwaptionFirstMonthPosition+SwaptionNumOfMonths+1,$FN186&gt;SwaptionFirstMonthPosition+SwaptionNumOfMonths+1),"",IF($FN186=FQ$169,1,IF($FN186&lt;FQ$169,INDEX($FO$170:$IH$241,FQ$169,$FN186),SUMPRODUCT(INDEX($FO$325:$IH$396,FQ$169,1+SwaptionShift):INDEX($FO$325:$IH$396,FQ$169,SwaptionMonthsToGo+SwaptionShift),INDEX($FO$245:$IH$316,$FN186-FQ$169,73-FQ$169+SwaptionShift):INDEX($FO$245:$IH$316,$FN186-FQ$169,72-FQ$169+SwaptionMonthsToGo+SwaptionShift))/SQRT(SUM(INDEX($FO341:$IH341,1+SwaptionShift):INDEX($FO341:$IH341,SwaptionMonthsToGo+SwaptionShift))*SUM(INDEX($FO$325:$IH$396,FQ$169,1+SwaptionShift):INDEX($FO$325:$IH$396,FQ$169,SwaptionMonthsToGo+SwaptionShift))))))</f>
        <v/>
      </c>
      <c r="FR186" s="469" t="str">
        <f ca="1">IF(OR(FR$169&lt;SwaptionFirstMonthPosition+1,$FN186&lt;SwaptionFirstMonthPosition+1,FR$169&gt;SwaptionFirstMonthPosition+SwaptionNumOfMonths+1,$FN186&gt;SwaptionFirstMonthPosition+SwaptionNumOfMonths+1),"",IF($FN186=FR$169,1,IF($FN186&lt;FR$169,INDEX($FO$170:$IH$241,FR$169,$FN186),SUMPRODUCT(INDEX($FO$325:$IH$396,FR$169,1+SwaptionShift):INDEX($FO$325:$IH$396,FR$169,SwaptionMonthsToGo+SwaptionShift),INDEX($FO$245:$IH$316,$FN186-FR$169,73-FR$169+SwaptionShift):INDEX($FO$245:$IH$316,$FN186-FR$169,72-FR$169+SwaptionMonthsToGo+SwaptionShift))/SQRT(SUM(INDEX($FO341:$IH341,1+SwaptionShift):INDEX($FO341:$IH341,SwaptionMonthsToGo+SwaptionShift))*SUM(INDEX($FO$325:$IH$396,FR$169,1+SwaptionShift):INDEX($FO$325:$IH$396,FR$169,SwaptionMonthsToGo+SwaptionShift))))))</f>
        <v/>
      </c>
      <c r="FS186" s="469" t="str">
        <f ca="1">IF(OR(FS$169&lt;SwaptionFirstMonthPosition+1,$FN186&lt;SwaptionFirstMonthPosition+1,FS$169&gt;SwaptionFirstMonthPosition+SwaptionNumOfMonths+1,$FN186&gt;SwaptionFirstMonthPosition+SwaptionNumOfMonths+1),"",IF($FN186=FS$169,1,IF($FN186&lt;FS$169,INDEX($FO$170:$IH$241,FS$169,$FN186),SUMPRODUCT(INDEX($FO$325:$IH$396,FS$169,1+SwaptionShift):INDEX($FO$325:$IH$396,FS$169,SwaptionMonthsToGo+SwaptionShift),INDEX($FO$245:$IH$316,$FN186-FS$169,73-FS$169+SwaptionShift):INDEX($FO$245:$IH$316,$FN186-FS$169,72-FS$169+SwaptionMonthsToGo+SwaptionShift))/SQRT(SUM(INDEX($FO341:$IH341,1+SwaptionShift):INDEX($FO341:$IH341,SwaptionMonthsToGo+SwaptionShift))*SUM(INDEX($FO$325:$IH$396,FS$169,1+SwaptionShift):INDEX($FO$325:$IH$396,FS$169,SwaptionMonthsToGo+SwaptionShift))))))</f>
        <v/>
      </c>
      <c r="FT186" s="469" t="str">
        <f ca="1">IF(OR(FT$169&lt;SwaptionFirstMonthPosition+1,$FN186&lt;SwaptionFirstMonthPosition+1,FT$169&gt;SwaptionFirstMonthPosition+SwaptionNumOfMonths+1,$FN186&gt;SwaptionFirstMonthPosition+SwaptionNumOfMonths+1),"",IF($FN186=FT$169,1,IF($FN186&lt;FT$169,INDEX($FO$170:$IH$241,FT$169,$FN186),SUMPRODUCT(INDEX($FO$325:$IH$396,FT$169,1+SwaptionShift):INDEX($FO$325:$IH$396,FT$169,SwaptionMonthsToGo+SwaptionShift),INDEX($FO$245:$IH$316,$FN186-FT$169,73-FT$169+SwaptionShift):INDEX($FO$245:$IH$316,$FN186-FT$169,72-FT$169+SwaptionMonthsToGo+SwaptionShift))/SQRT(SUM(INDEX($FO341:$IH341,1+SwaptionShift):INDEX($FO341:$IH341,SwaptionMonthsToGo+SwaptionShift))*SUM(INDEX($FO$325:$IH$396,FT$169,1+SwaptionShift):INDEX($FO$325:$IH$396,FT$169,SwaptionMonthsToGo+SwaptionShift))))))</f>
        <v/>
      </c>
      <c r="FU186" s="469" t="str">
        <f ca="1">IF(OR(FU$169&lt;SwaptionFirstMonthPosition+1,$FN186&lt;SwaptionFirstMonthPosition+1,FU$169&gt;SwaptionFirstMonthPosition+SwaptionNumOfMonths+1,$FN186&gt;SwaptionFirstMonthPosition+SwaptionNumOfMonths+1),"",IF($FN186=FU$169,1,IF($FN186&lt;FU$169,INDEX($FO$170:$IH$241,FU$169,$FN186),SUMPRODUCT(INDEX($FO$325:$IH$396,FU$169,1+SwaptionShift):INDEX($FO$325:$IH$396,FU$169,SwaptionMonthsToGo+SwaptionShift),INDEX($FO$245:$IH$316,$FN186-FU$169,73-FU$169+SwaptionShift):INDEX($FO$245:$IH$316,$FN186-FU$169,72-FU$169+SwaptionMonthsToGo+SwaptionShift))/SQRT(SUM(INDEX($FO341:$IH341,1+SwaptionShift):INDEX($FO341:$IH341,SwaptionMonthsToGo+SwaptionShift))*SUM(INDEX($FO$325:$IH$396,FU$169,1+SwaptionShift):INDEX($FO$325:$IH$396,FU$169,SwaptionMonthsToGo+SwaptionShift))))))</f>
        <v/>
      </c>
      <c r="FV186" s="469" t="str">
        <f ca="1">IF(OR(FV$169&lt;SwaptionFirstMonthPosition+1,$FN186&lt;SwaptionFirstMonthPosition+1,FV$169&gt;SwaptionFirstMonthPosition+SwaptionNumOfMonths+1,$FN186&gt;SwaptionFirstMonthPosition+SwaptionNumOfMonths+1),"",IF($FN186=FV$169,1,IF($FN186&lt;FV$169,INDEX($FO$170:$IH$241,FV$169,$FN186),SUMPRODUCT(INDEX($FO$325:$IH$396,FV$169,1+SwaptionShift):INDEX($FO$325:$IH$396,FV$169,SwaptionMonthsToGo+SwaptionShift),INDEX($FO$245:$IH$316,$FN186-FV$169,73-FV$169+SwaptionShift):INDEX($FO$245:$IH$316,$FN186-FV$169,72-FV$169+SwaptionMonthsToGo+SwaptionShift))/SQRT(SUM(INDEX($FO341:$IH341,1+SwaptionShift):INDEX($FO341:$IH341,SwaptionMonthsToGo+SwaptionShift))*SUM(INDEX($FO$325:$IH$396,FV$169,1+SwaptionShift):INDEX($FO$325:$IH$396,FV$169,SwaptionMonthsToGo+SwaptionShift))))))</f>
        <v/>
      </c>
      <c r="FW186" s="469" t="str">
        <f ca="1">IF(OR(FW$169&lt;SwaptionFirstMonthPosition+1,$FN186&lt;SwaptionFirstMonthPosition+1,FW$169&gt;SwaptionFirstMonthPosition+SwaptionNumOfMonths+1,$FN186&gt;SwaptionFirstMonthPosition+SwaptionNumOfMonths+1),"",IF($FN186=FW$169,1,IF($FN186&lt;FW$169,INDEX($FO$170:$IH$241,FW$169,$FN186),SUMPRODUCT(INDEX($FO$325:$IH$396,FW$169,1+SwaptionShift):INDEX($FO$325:$IH$396,FW$169,SwaptionMonthsToGo+SwaptionShift),INDEX($FO$245:$IH$316,$FN186-FW$169,73-FW$169+SwaptionShift):INDEX($FO$245:$IH$316,$FN186-FW$169,72-FW$169+SwaptionMonthsToGo+SwaptionShift))/SQRT(SUM(INDEX($FO341:$IH341,1+SwaptionShift):INDEX($FO341:$IH341,SwaptionMonthsToGo+SwaptionShift))*SUM(INDEX($FO$325:$IH$396,FW$169,1+SwaptionShift):INDEX($FO$325:$IH$396,FW$169,SwaptionMonthsToGo+SwaptionShift))))))</f>
        <v/>
      </c>
      <c r="FX186" s="469" t="str">
        <f ca="1">IF(OR(FX$169&lt;SwaptionFirstMonthPosition+1,$FN186&lt;SwaptionFirstMonthPosition+1,FX$169&gt;SwaptionFirstMonthPosition+SwaptionNumOfMonths+1,$FN186&gt;SwaptionFirstMonthPosition+SwaptionNumOfMonths+1),"",IF($FN186=FX$169,1,IF($FN186&lt;FX$169,INDEX($FO$170:$IH$241,FX$169,$FN186),SUMPRODUCT(INDEX($FO$325:$IH$396,FX$169,1+SwaptionShift):INDEX($FO$325:$IH$396,FX$169,SwaptionMonthsToGo+SwaptionShift),INDEX($FO$245:$IH$316,$FN186-FX$169,73-FX$169+SwaptionShift):INDEX($FO$245:$IH$316,$FN186-FX$169,72-FX$169+SwaptionMonthsToGo+SwaptionShift))/SQRT(SUM(INDEX($FO341:$IH341,1+SwaptionShift):INDEX($FO341:$IH341,SwaptionMonthsToGo+SwaptionShift))*SUM(INDEX($FO$325:$IH$396,FX$169,1+SwaptionShift):INDEX($FO$325:$IH$396,FX$169,SwaptionMonthsToGo+SwaptionShift))))))</f>
        <v/>
      </c>
      <c r="FY186" s="469" t="str">
        <f ca="1">IF(OR(FY$169&lt;SwaptionFirstMonthPosition+1,$FN186&lt;SwaptionFirstMonthPosition+1,FY$169&gt;SwaptionFirstMonthPosition+SwaptionNumOfMonths+1,$FN186&gt;SwaptionFirstMonthPosition+SwaptionNumOfMonths+1),"",IF($FN186=FY$169,1,IF($FN186&lt;FY$169,INDEX($FO$170:$IH$241,FY$169,$FN186),SUMPRODUCT(INDEX($FO$325:$IH$396,FY$169,1+SwaptionShift):INDEX($FO$325:$IH$396,FY$169,SwaptionMonthsToGo+SwaptionShift),INDEX($FO$245:$IH$316,$FN186-FY$169,73-FY$169+SwaptionShift):INDEX($FO$245:$IH$316,$FN186-FY$169,72-FY$169+SwaptionMonthsToGo+SwaptionShift))/SQRT(SUM(INDEX($FO341:$IH341,1+SwaptionShift):INDEX($FO341:$IH341,SwaptionMonthsToGo+SwaptionShift))*SUM(INDEX($FO$325:$IH$396,FY$169,1+SwaptionShift):INDEX($FO$325:$IH$396,FY$169,SwaptionMonthsToGo+SwaptionShift))))))</f>
        <v/>
      </c>
      <c r="FZ186" s="469" t="str">
        <f ca="1">IF(OR(FZ$169&lt;SwaptionFirstMonthPosition+1,$FN186&lt;SwaptionFirstMonthPosition+1,FZ$169&gt;SwaptionFirstMonthPosition+SwaptionNumOfMonths+1,$FN186&gt;SwaptionFirstMonthPosition+SwaptionNumOfMonths+1),"",IF($FN186=FZ$169,1,IF($FN186&lt;FZ$169,INDEX($FO$170:$IH$241,FZ$169,$FN186),SUMPRODUCT(INDEX($FO$325:$IH$396,FZ$169,1+SwaptionShift):INDEX($FO$325:$IH$396,FZ$169,SwaptionMonthsToGo+SwaptionShift),INDEX($FO$245:$IH$316,$FN186-FZ$169,73-FZ$169+SwaptionShift):INDEX($FO$245:$IH$316,$FN186-FZ$169,72-FZ$169+SwaptionMonthsToGo+SwaptionShift))/SQRT(SUM(INDEX($FO341:$IH341,1+SwaptionShift):INDEX($FO341:$IH341,SwaptionMonthsToGo+SwaptionShift))*SUM(INDEX($FO$325:$IH$396,FZ$169,1+SwaptionShift):INDEX($FO$325:$IH$396,FZ$169,SwaptionMonthsToGo+SwaptionShift))))))</f>
        <v/>
      </c>
      <c r="GA186" s="469" t="str">
        <f ca="1">IF(OR(GA$169&lt;SwaptionFirstMonthPosition+1,$FN186&lt;SwaptionFirstMonthPosition+1,GA$169&gt;SwaptionFirstMonthPosition+SwaptionNumOfMonths+1,$FN186&gt;SwaptionFirstMonthPosition+SwaptionNumOfMonths+1),"",IF($FN186=GA$169,1,IF($FN186&lt;GA$169,INDEX($FO$170:$IH$241,GA$169,$FN186),SUMPRODUCT(INDEX($FO$325:$IH$396,GA$169,1+SwaptionShift):INDEX($FO$325:$IH$396,GA$169,SwaptionMonthsToGo+SwaptionShift),INDEX($FO$245:$IH$316,$FN186-GA$169,73-GA$169+SwaptionShift):INDEX($FO$245:$IH$316,$FN186-GA$169,72-GA$169+SwaptionMonthsToGo+SwaptionShift))/SQRT(SUM(INDEX($FO341:$IH341,1+SwaptionShift):INDEX($FO341:$IH341,SwaptionMonthsToGo+SwaptionShift))*SUM(INDEX($FO$325:$IH$396,GA$169,1+SwaptionShift):INDEX($FO$325:$IH$396,GA$169,SwaptionMonthsToGo+SwaptionShift))))))</f>
        <v/>
      </c>
      <c r="GB186" s="469" t="str">
        <f ca="1">IF(OR(GB$169&lt;SwaptionFirstMonthPosition+1,$FN186&lt;SwaptionFirstMonthPosition+1,GB$169&gt;SwaptionFirstMonthPosition+SwaptionNumOfMonths+1,$FN186&gt;SwaptionFirstMonthPosition+SwaptionNumOfMonths+1),"",IF($FN186=GB$169,1,IF($FN186&lt;GB$169,INDEX($FO$170:$IH$241,GB$169,$FN186),SUMPRODUCT(INDEX($FO$325:$IH$396,GB$169,1+SwaptionShift):INDEX($FO$325:$IH$396,GB$169,SwaptionMonthsToGo+SwaptionShift),INDEX($FO$245:$IH$316,$FN186-GB$169,73-GB$169+SwaptionShift):INDEX($FO$245:$IH$316,$FN186-GB$169,72-GB$169+SwaptionMonthsToGo+SwaptionShift))/SQRT(SUM(INDEX($FO341:$IH341,1+SwaptionShift):INDEX($FO341:$IH341,SwaptionMonthsToGo+SwaptionShift))*SUM(INDEX($FO$325:$IH$396,GB$169,1+SwaptionShift):INDEX($FO$325:$IH$396,GB$169,SwaptionMonthsToGo+SwaptionShift))))))</f>
        <v/>
      </c>
      <c r="GC186" s="469" t="str">
        <f ca="1">IF(OR(GC$169&lt;SwaptionFirstMonthPosition+1,$FN186&lt;SwaptionFirstMonthPosition+1,GC$169&gt;SwaptionFirstMonthPosition+SwaptionNumOfMonths+1,$FN186&gt;SwaptionFirstMonthPosition+SwaptionNumOfMonths+1),"",IF($FN186=GC$169,1,IF($FN186&lt;GC$169,INDEX($FO$170:$IH$241,GC$169,$FN186),SUMPRODUCT(INDEX($FO$325:$IH$396,GC$169,1+SwaptionShift):INDEX($FO$325:$IH$396,GC$169,SwaptionMonthsToGo+SwaptionShift),INDEX($FO$245:$IH$316,$FN186-GC$169,73-GC$169+SwaptionShift):INDEX($FO$245:$IH$316,$FN186-GC$169,72-GC$169+SwaptionMonthsToGo+SwaptionShift))/SQRT(SUM(INDEX($FO341:$IH341,1+SwaptionShift):INDEX($FO341:$IH341,SwaptionMonthsToGo+SwaptionShift))*SUM(INDEX($FO$325:$IH$396,GC$169,1+SwaptionShift):INDEX($FO$325:$IH$396,GC$169,SwaptionMonthsToGo+SwaptionShift))))))</f>
        <v/>
      </c>
      <c r="GD186" s="469" t="str">
        <f ca="1">IF(OR(GD$169&lt;SwaptionFirstMonthPosition+1,$FN186&lt;SwaptionFirstMonthPosition+1,GD$169&gt;SwaptionFirstMonthPosition+SwaptionNumOfMonths+1,$FN186&gt;SwaptionFirstMonthPosition+SwaptionNumOfMonths+1),"",IF($FN186=GD$169,1,IF($FN186&lt;GD$169,INDEX($FO$170:$IH$241,GD$169,$FN186),SUMPRODUCT(INDEX($FO$325:$IH$396,GD$169,1+SwaptionShift):INDEX($FO$325:$IH$396,GD$169,SwaptionMonthsToGo+SwaptionShift),INDEX($FO$245:$IH$316,$FN186-GD$169,73-GD$169+SwaptionShift):INDEX($FO$245:$IH$316,$FN186-GD$169,72-GD$169+SwaptionMonthsToGo+SwaptionShift))/SQRT(SUM(INDEX($FO341:$IH341,1+SwaptionShift):INDEX($FO341:$IH341,SwaptionMonthsToGo+SwaptionShift))*SUM(INDEX($FO$325:$IH$396,GD$169,1+SwaptionShift):INDEX($FO$325:$IH$396,GD$169,SwaptionMonthsToGo+SwaptionShift))))))</f>
        <v/>
      </c>
      <c r="GE186" s="469" t="str">
        <f ca="1">IF(OR(GE$169&lt;SwaptionFirstMonthPosition+1,$FN186&lt;SwaptionFirstMonthPosition+1,GE$169&gt;SwaptionFirstMonthPosition+SwaptionNumOfMonths+1,$FN186&gt;SwaptionFirstMonthPosition+SwaptionNumOfMonths+1),"",IF($FN186=GE$169,1,IF($FN186&lt;GE$169,INDEX($FO$170:$IH$241,GE$169,$FN186),SUMPRODUCT(INDEX($FO$325:$IH$396,GE$169,1+SwaptionShift):INDEX($FO$325:$IH$396,GE$169,SwaptionMonthsToGo+SwaptionShift),INDEX($FO$245:$IH$316,$FN186-GE$169,73-GE$169+SwaptionShift):INDEX($FO$245:$IH$316,$FN186-GE$169,72-GE$169+SwaptionMonthsToGo+SwaptionShift))/SQRT(SUM(INDEX($FO341:$IH341,1+SwaptionShift):INDEX($FO341:$IH341,SwaptionMonthsToGo+SwaptionShift))*SUM(INDEX($FO$325:$IH$396,GE$169,1+SwaptionShift):INDEX($FO$325:$IH$396,GE$169,SwaptionMonthsToGo+SwaptionShift))))))</f>
        <v/>
      </c>
      <c r="GF186" s="469" t="str">
        <f ca="1">IF(OR(GF$169&lt;SwaptionFirstMonthPosition+1,$FN186&lt;SwaptionFirstMonthPosition+1,GF$169&gt;SwaptionFirstMonthPosition+SwaptionNumOfMonths+1,$FN186&gt;SwaptionFirstMonthPosition+SwaptionNumOfMonths+1),"",IF($FN186=GF$169,1,IF($FN186&lt;GF$169,INDEX($FO$170:$IH$241,GF$169,$FN186),SUMPRODUCT(INDEX($FO$325:$IH$396,GF$169,1+SwaptionShift):INDEX($FO$325:$IH$396,GF$169,SwaptionMonthsToGo+SwaptionShift),INDEX($FO$245:$IH$316,$FN186-GF$169,73-GF$169+SwaptionShift):INDEX($FO$245:$IH$316,$FN186-GF$169,72-GF$169+SwaptionMonthsToGo+SwaptionShift))/SQRT(SUM(INDEX($FO341:$IH341,1+SwaptionShift):INDEX($FO341:$IH341,SwaptionMonthsToGo+SwaptionShift))*SUM(INDEX($FO$325:$IH$396,GF$169,1+SwaptionShift):INDEX($FO$325:$IH$396,GF$169,SwaptionMonthsToGo+SwaptionShift))))))</f>
        <v/>
      </c>
      <c r="GG186" s="469" t="str">
        <f ca="1">IF(OR(GG$169&lt;SwaptionFirstMonthPosition+1,$FN186&lt;SwaptionFirstMonthPosition+1,GG$169&gt;SwaptionFirstMonthPosition+SwaptionNumOfMonths+1,$FN186&gt;SwaptionFirstMonthPosition+SwaptionNumOfMonths+1),"",IF($FN186=GG$169,1,IF($FN186&lt;GG$169,INDEX($FO$170:$IH$241,GG$169,$FN186),SUMPRODUCT(INDEX($FO$325:$IH$396,GG$169,1+SwaptionShift):INDEX($FO$325:$IH$396,GG$169,SwaptionMonthsToGo+SwaptionShift),INDEX($FO$245:$IH$316,$FN186-GG$169,73-GG$169+SwaptionShift):INDEX($FO$245:$IH$316,$FN186-GG$169,72-GG$169+SwaptionMonthsToGo+SwaptionShift))/SQRT(SUM(INDEX($FO341:$IH341,1+SwaptionShift):INDEX($FO341:$IH341,SwaptionMonthsToGo+SwaptionShift))*SUM(INDEX($FO$325:$IH$396,GG$169,1+SwaptionShift):INDEX($FO$325:$IH$396,GG$169,SwaptionMonthsToGo+SwaptionShift))))))</f>
        <v/>
      </c>
      <c r="GH186" s="469" t="str">
        <f ca="1">IF(OR(GH$169&lt;SwaptionFirstMonthPosition+1,$FN186&lt;SwaptionFirstMonthPosition+1,GH$169&gt;SwaptionFirstMonthPosition+SwaptionNumOfMonths+1,$FN186&gt;SwaptionFirstMonthPosition+SwaptionNumOfMonths+1),"",IF($FN186=GH$169,1,IF($FN186&lt;GH$169,INDEX($FO$170:$IH$241,GH$169,$FN186),SUMPRODUCT(INDEX($FO$325:$IH$396,GH$169,1+SwaptionShift):INDEX($FO$325:$IH$396,GH$169,SwaptionMonthsToGo+SwaptionShift),INDEX($FO$245:$IH$316,$FN186-GH$169,73-GH$169+SwaptionShift):INDEX($FO$245:$IH$316,$FN186-GH$169,72-GH$169+SwaptionMonthsToGo+SwaptionShift))/SQRT(SUM(INDEX($FO341:$IH341,1+SwaptionShift):INDEX($FO341:$IH341,SwaptionMonthsToGo+SwaptionShift))*SUM(INDEX($FO$325:$IH$396,GH$169,1+SwaptionShift):INDEX($FO$325:$IH$396,GH$169,SwaptionMonthsToGo+SwaptionShift))))))</f>
        <v/>
      </c>
      <c r="GI186" s="469" t="str">
        <f ca="1">IF(OR(GI$169&lt;SwaptionFirstMonthPosition+1,$FN186&lt;SwaptionFirstMonthPosition+1,GI$169&gt;SwaptionFirstMonthPosition+SwaptionNumOfMonths+1,$FN186&gt;SwaptionFirstMonthPosition+SwaptionNumOfMonths+1),"",IF($FN186=GI$169,1,IF($FN186&lt;GI$169,INDEX($FO$170:$IH$241,GI$169,$FN186),SUMPRODUCT(INDEX($FO$325:$IH$396,GI$169,1+SwaptionShift):INDEX($FO$325:$IH$396,GI$169,SwaptionMonthsToGo+SwaptionShift),INDEX($FO$245:$IH$316,$FN186-GI$169,73-GI$169+SwaptionShift):INDEX($FO$245:$IH$316,$FN186-GI$169,72-GI$169+SwaptionMonthsToGo+SwaptionShift))/SQRT(SUM(INDEX($FO341:$IH341,1+SwaptionShift):INDEX($FO341:$IH341,SwaptionMonthsToGo+SwaptionShift))*SUM(INDEX($FO$325:$IH$396,GI$169,1+SwaptionShift):INDEX($FO$325:$IH$396,GI$169,SwaptionMonthsToGo+SwaptionShift))))))</f>
        <v/>
      </c>
      <c r="GJ186" s="469" t="str">
        <f ca="1">IF(OR(GJ$169&lt;SwaptionFirstMonthPosition+1,$FN186&lt;SwaptionFirstMonthPosition+1,GJ$169&gt;SwaptionFirstMonthPosition+SwaptionNumOfMonths+1,$FN186&gt;SwaptionFirstMonthPosition+SwaptionNumOfMonths+1),"",IF($FN186=GJ$169,1,IF($FN186&lt;GJ$169,INDEX($FO$170:$IH$241,GJ$169,$FN186),SUMPRODUCT(INDEX($FO$325:$IH$396,GJ$169,1+SwaptionShift):INDEX($FO$325:$IH$396,GJ$169,SwaptionMonthsToGo+SwaptionShift),INDEX($FO$245:$IH$316,$FN186-GJ$169,73-GJ$169+SwaptionShift):INDEX($FO$245:$IH$316,$FN186-GJ$169,72-GJ$169+SwaptionMonthsToGo+SwaptionShift))/SQRT(SUM(INDEX($FO341:$IH341,1+SwaptionShift):INDEX($FO341:$IH341,SwaptionMonthsToGo+SwaptionShift))*SUM(INDEX($FO$325:$IH$396,GJ$169,1+SwaptionShift):INDEX($FO$325:$IH$396,GJ$169,SwaptionMonthsToGo+SwaptionShift))))))</f>
        <v/>
      </c>
      <c r="GK186" s="469" t="str">
        <f ca="1">IF(OR(GK$169&lt;SwaptionFirstMonthPosition+1,$FN186&lt;SwaptionFirstMonthPosition+1,GK$169&gt;SwaptionFirstMonthPosition+SwaptionNumOfMonths+1,$FN186&gt;SwaptionFirstMonthPosition+SwaptionNumOfMonths+1),"",IF($FN186=GK$169,1,IF($FN186&lt;GK$169,INDEX($FO$170:$IH$241,GK$169,$FN186),SUMPRODUCT(INDEX($FO$325:$IH$396,GK$169,1+SwaptionShift):INDEX($FO$325:$IH$396,GK$169,SwaptionMonthsToGo+SwaptionShift),INDEX($FO$245:$IH$316,$FN186-GK$169,73-GK$169+SwaptionShift):INDEX($FO$245:$IH$316,$FN186-GK$169,72-GK$169+SwaptionMonthsToGo+SwaptionShift))/SQRT(SUM(INDEX($FO341:$IH341,1+SwaptionShift):INDEX($FO341:$IH341,SwaptionMonthsToGo+SwaptionShift))*SUM(INDEX($FO$325:$IH$396,GK$169,1+SwaptionShift):INDEX($FO$325:$IH$396,GK$169,SwaptionMonthsToGo+SwaptionShift))))))</f>
        <v/>
      </c>
      <c r="GL186" s="469" t="str">
        <f ca="1">IF(OR(GL$169&lt;SwaptionFirstMonthPosition+1,$FN186&lt;SwaptionFirstMonthPosition+1,GL$169&gt;SwaptionFirstMonthPosition+SwaptionNumOfMonths+1,$FN186&gt;SwaptionFirstMonthPosition+SwaptionNumOfMonths+1),"",IF($FN186=GL$169,1,IF($FN186&lt;GL$169,INDEX($FO$170:$IH$241,GL$169,$FN186),SUMPRODUCT(INDEX($FO$325:$IH$396,GL$169,1+SwaptionShift):INDEX($FO$325:$IH$396,GL$169,SwaptionMonthsToGo+SwaptionShift),INDEX($FO$245:$IH$316,$FN186-GL$169,73-GL$169+SwaptionShift):INDEX($FO$245:$IH$316,$FN186-GL$169,72-GL$169+SwaptionMonthsToGo+SwaptionShift))/SQRT(SUM(INDEX($FO341:$IH341,1+SwaptionShift):INDEX($FO341:$IH341,SwaptionMonthsToGo+SwaptionShift))*SUM(INDEX($FO$325:$IH$396,GL$169,1+SwaptionShift):INDEX($FO$325:$IH$396,GL$169,SwaptionMonthsToGo+SwaptionShift))))))</f>
        <v/>
      </c>
      <c r="GM186" s="469" t="str">
        <f ca="1">IF(OR(GM$169&lt;SwaptionFirstMonthPosition+1,$FN186&lt;SwaptionFirstMonthPosition+1,GM$169&gt;SwaptionFirstMonthPosition+SwaptionNumOfMonths+1,$FN186&gt;SwaptionFirstMonthPosition+SwaptionNumOfMonths+1),"",IF($FN186=GM$169,1,IF($FN186&lt;GM$169,INDEX($FO$170:$IH$241,GM$169,$FN186),SUMPRODUCT(INDEX($FO$325:$IH$396,GM$169,1+SwaptionShift):INDEX($FO$325:$IH$396,GM$169,SwaptionMonthsToGo+SwaptionShift),INDEX($FO$245:$IH$316,$FN186-GM$169,73-GM$169+SwaptionShift):INDEX($FO$245:$IH$316,$FN186-GM$169,72-GM$169+SwaptionMonthsToGo+SwaptionShift))/SQRT(SUM(INDEX($FO341:$IH341,1+SwaptionShift):INDEX($FO341:$IH341,SwaptionMonthsToGo+SwaptionShift))*SUM(INDEX($FO$325:$IH$396,GM$169,1+SwaptionShift):INDEX($FO$325:$IH$396,GM$169,SwaptionMonthsToGo+SwaptionShift))))))</f>
        <v/>
      </c>
      <c r="GN186" s="469" t="str">
        <f ca="1">IF(OR(GN$169&lt;SwaptionFirstMonthPosition+1,$FN186&lt;SwaptionFirstMonthPosition+1,GN$169&gt;SwaptionFirstMonthPosition+SwaptionNumOfMonths+1,$FN186&gt;SwaptionFirstMonthPosition+SwaptionNumOfMonths+1),"",IF($FN186=GN$169,1,IF($FN186&lt;GN$169,INDEX($FO$170:$IH$241,GN$169,$FN186),SUMPRODUCT(INDEX($FO$325:$IH$396,GN$169,1+SwaptionShift):INDEX($FO$325:$IH$396,GN$169,SwaptionMonthsToGo+SwaptionShift),INDEX($FO$245:$IH$316,$FN186-GN$169,73-GN$169+SwaptionShift):INDEX($FO$245:$IH$316,$FN186-GN$169,72-GN$169+SwaptionMonthsToGo+SwaptionShift))/SQRT(SUM(INDEX($FO341:$IH341,1+SwaptionShift):INDEX($FO341:$IH341,SwaptionMonthsToGo+SwaptionShift))*SUM(INDEX($FO$325:$IH$396,GN$169,1+SwaptionShift):INDEX($FO$325:$IH$396,GN$169,SwaptionMonthsToGo+SwaptionShift))))))</f>
        <v/>
      </c>
      <c r="GO186" s="469" t="str">
        <f ca="1">IF(OR(GO$169&lt;SwaptionFirstMonthPosition+1,$FN186&lt;SwaptionFirstMonthPosition+1,GO$169&gt;SwaptionFirstMonthPosition+SwaptionNumOfMonths+1,$FN186&gt;SwaptionFirstMonthPosition+SwaptionNumOfMonths+1),"",IF($FN186=GO$169,1,IF($FN186&lt;GO$169,INDEX($FO$170:$IH$241,GO$169,$FN186),SUMPRODUCT(INDEX($FO$325:$IH$396,GO$169,1+SwaptionShift):INDEX($FO$325:$IH$396,GO$169,SwaptionMonthsToGo+SwaptionShift),INDEX($FO$245:$IH$316,$FN186-GO$169,73-GO$169+SwaptionShift):INDEX($FO$245:$IH$316,$FN186-GO$169,72-GO$169+SwaptionMonthsToGo+SwaptionShift))/SQRT(SUM(INDEX($FO341:$IH341,1+SwaptionShift):INDEX($FO341:$IH341,SwaptionMonthsToGo+SwaptionShift))*SUM(INDEX($FO$325:$IH$396,GO$169,1+SwaptionShift):INDEX($FO$325:$IH$396,GO$169,SwaptionMonthsToGo+SwaptionShift))))))</f>
        <v/>
      </c>
      <c r="GP186" s="469" t="str">
        <f ca="1">IF(OR(GP$169&lt;SwaptionFirstMonthPosition+1,$FN186&lt;SwaptionFirstMonthPosition+1,GP$169&gt;SwaptionFirstMonthPosition+SwaptionNumOfMonths+1,$FN186&gt;SwaptionFirstMonthPosition+SwaptionNumOfMonths+1),"",IF($FN186=GP$169,1,IF($FN186&lt;GP$169,INDEX($FO$170:$IH$241,GP$169,$FN186),SUMPRODUCT(INDEX($FO$325:$IH$396,GP$169,1+SwaptionShift):INDEX($FO$325:$IH$396,GP$169,SwaptionMonthsToGo+SwaptionShift),INDEX($FO$245:$IH$316,$FN186-GP$169,73-GP$169+SwaptionShift):INDEX($FO$245:$IH$316,$FN186-GP$169,72-GP$169+SwaptionMonthsToGo+SwaptionShift))/SQRT(SUM(INDEX($FO341:$IH341,1+SwaptionShift):INDEX($FO341:$IH341,SwaptionMonthsToGo+SwaptionShift))*SUM(INDEX($FO$325:$IH$396,GP$169,1+SwaptionShift):INDEX($FO$325:$IH$396,GP$169,SwaptionMonthsToGo+SwaptionShift))))))</f>
        <v/>
      </c>
      <c r="GQ186" s="469" t="str">
        <f ca="1">IF(OR(GQ$169&lt;SwaptionFirstMonthPosition+1,$FN186&lt;SwaptionFirstMonthPosition+1,GQ$169&gt;SwaptionFirstMonthPosition+SwaptionNumOfMonths+1,$FN186&gt;SwaptionFirstMonthPosition+SwaptionNumOfMonths+1),"",IF($FN186=GQ$169,1,IF($FN186&lt;GQ$169,INDEX($FO$170:$IH$241,GQ$169,$FN186),SUMPRODUCT(INDEX($FO$325:$IH$396,GQ$169,1+SwaptionShift):INDEX($FO$325:$IH$396,GQ$169,SwaptionMonthsToGo+SwaptionShift),INDEX($FO$245:$IH$316,$FN186-GQ$169,73-GQ$169+SwaptionShift):INDEX($FO$245:$IH$316,$FN186-GQ$169,72-GQ$169+SwaptionMonthsToGo+SwaptionShift))/SQRT(SUM(INDEX($FO341:$IH341,1+SwaptionShift):INDEX($FO341:$IH341,SwaptionMonthsToGo+SwaptionShift))*SUM(INDEX($FO$325:$IH$396,GQ$169,1+SwaptionShift):INDEX($FO$325:$IH$396,GQ$169,SwaptionMonthsToGo+SwaptionShift))))))</f>
        <v/>
      </c>
      <c r="GR186" s="469" t="str">
        <f ca="1">IF(OR(GR$169&lt;SwaptionFirstMonthPosition+1,$FN186&lt;SwaptionFirstMonthPosition+1,GR$169&gt;SwaptionFirstMonthPosition+SwaptionNumOfMonths+1,$FN186&gt;SwaptionFirstMonthPosition+SwaptionNumOfMonths+1),"",IF($FN186=GR$169,1,IF($FN186&lt;GR$169,INDEX($FO$170:$IH$241,GR$169,$FN186),SUMPRODUCT(INDEX($FO$325:$IH$396,GR$169,1+SwaptionShift):INDEX($FO$325:$IH$396,GR$169,SwaptionMonthsToGo+SwaptionShift),INDEX($FO$245:$IH$316,$FN186-GR$169,73-GR$169+SwaptionShift):INDEX($FO$245:$IH$316,$FN186-GR$169,72-GR$169+SwaptionMonthsToGo+SwaptionShift))/SQRT(SUM(INDEX($FO341:$IH341,1+SwaptionShift):INDEX($FO341:$IH341,SwaptionMonthsToGo+SwaptionShift))*SUM(INDEX($FO$325:$IH$396,GR$169,1+SwaptionShift):INDEX($FO$325:$IH$396,GR$169,SwaptionMonthsToGo+SwaptionShift))))))</f>
        <v/>
      </c>
      <c r="GS186" s="469" t="str">
        <f ca="1">IF(OR(GS$169&lt;SwaptionFirstMonthPosition+1,$FN186&lt;SwaptionFirstMonthPosition+1,GS$169&gt;SwaptionFirstMonthPosition+SwaptionNumOfMonths+1,$FN186&gt;SwaptionFirstMonthPosition+SwaptionNumOfMonths+1),"",IF($FN186=GS$169,1,IF($FN186&lt;GS$169,INDEX($FO$170:$IH$241,GS$169,$FN186),SUMPRODUCT(INDEX($FO$325:$IH$396,GS$169,1+SwaptionShift):INDEX($FO$325:$IH$396,GS$169,SwaptionMonthsToGo+SwaptionShift),INDEX($FO$245:$IH$316,$FN186-GS$169,73-GS$169+SwaptionShift):INDEX($FO$245:$IH$316,$FN186-GS$169,72-GS$169+SwaptionMonthsToGo+SwaptionShift))/SQRT(SUM(INDEX($FO341:$IH341,1+SwaptionShift):INDEX($FO341:$IH341,SwaptionMonthsToGo+SwaptionShift))*SUM(INDEX($FO$325:$IH$396,GS$169,1+SwaptionShift):INDEX($FO$325:$IH$396,GS$169,SwaptionMonthsToGo+SwaptionShift))))))</f>
        <v/>
      </c>
      <c r="GT186" s="469" t="str">
        <f ca="1">IF(OR(GT$169&lt;SwaptionFirstMonthPosition+1,$FN186&lt;SwaptionFirstMonthPosition+1,GT$169&gt;SwaptionFirstMonthPosition+SwaptionNumOfMonths+1,$FN186&gt;SwaptionFirstMonthPosition+SwaptionNumOfMonths+1),"",IF($FN186=GT$169,1,IF($FN186&lt;GT$169,INDEX($FO$170:$IH$241,GT$169,$FN186),SUMPRODUCT(INDEX($FO$325:$IH$396,GT$169,1+SwaptionShift):INDEX($FO$325:$IH$396,GT$169,SwaptionMonthsToGo+SwaptionShift),INDEX($FO$245:$IH$316,$FN186-GT$169,73-GT$169+SwaptionShift):INDEX($FO$245:$IH$316,$FN186-GT$169,72-GT$169+SwaptionMonthsToGo+SwaptionShift))/SQRT(SUM(INDEX($FO341:$IH341,1+SwaptionShift):INDEX($FO341:$IH341,SwaptionMonthsToGo+SwaptionShift))*SUM(INDEX($FO$325:$IH$396,GT$169,1+SwaptionShift):INDEX($FO$325:$IH$396,GT$169,SwaptionMonthsToGo+SwaptionShift))))))</f>
        <v/>
      </c>
      <c r="GU186" s="469" t="str">
        <f ca="1">IF(OR(GU$169&lt;SwaptionFirstMonthPosition+1,$FN186&lt;SwaptionFirstMonthPosition+1,GU$169&gt;SwaptionFirstMonthPosition+SwaptionNumOfMonths+1,$FN186&gt;SwaptionFirstMonthPosition+SwaptionNumOfMonths+1),"",IF($FN186=GU$169,1,IF($FN186&lt;GU$169,INDEX($FO$170:$IH$241,GU$169,$FN186),SUMPRODUCT(INDEX($FO$325:$IH$396,GU$169,1+SwaptionShift):INDEX($FO$325:$IH$396,GU$169,SwaptionMonthsToGo+SwaptionShift),INDEX($FO$245:$IH$316,$FN186-GU$169,73-GU$169+SwaptionShift):INDEX($FO$245:$IH$316,$FN186-GU$169,72-GU$169+SwaptionMonthsToGo+SwaptionShift))/SQRT(SUM(INDEX($FO341:$IH341,1+SwaptionShift):INDEX($FO341:$IH341,SwaptionMonthsToGo+SwaptionShift))*SUM(INDEX($FO$325:$IH$396,GU$169,1+SwaptionShift):INDEX($FO$325:$IH$396,GU$169,SwaptionMonthsToGo+SwaptionShift))))))</f>
        <v/>
      </c>
      <c r="GV186" s="469" t="str">
        <f ca="1">IF(OR(GV$169&lt;SwaptionFirstMonthPosition+1,$FN186&lt;SwaptionFirstMonthPosition+1,GV$169&gt;SwaptionFirstMonthPosition+SwaptionNumOfMonths+1,$FN186&gt;SwaptionFirstMonthPosition+SwaptionNumOfMonths+1),"",IF($FN186=GV$169,1,IF($FN186&lt;GV$169,INDEX($FO$170:$IH$241,GV$169,$FN186),SUMPRODUCT(INDEX($FO$325:$IH$396,GV$169,1+SwaptionShift):INDEX($FO$325:$IH$396,GV$169,SwaptionMonthsToGo+SwaptionShift),INDEX($FO$245:$IH$316,$FN186-GV$169,73-GV$169+SwaptionShift):INDEX($FO$245:$IH$316,$FN186-GV$169,72-GV$169+SwaptionMonthsToGo+SwaptionShift))/SQRT(SUM(INDEX($FO341:$IH341,1+SwaptionShift):INDEX($FO341:$IH341,SwaptionMonthsToGo+SwaptionShift))*SUM(INDEX($FO$325:$IH$396,GV$169,1+SwaptionShift):INDEX($FO$325:$IH$396,GV$169,SwaptionMonthsToGo+SwaptionShift))))))</f>
        <v/>
      </c>
      <c r="GW186" s="469" t="str">
        <f ca="1">IF(OR(GW$169&lt;SwaptionFirstMonthPosition+1,$FN186&lt;SwaptionFirstMonthPosition+1,GW$169&gt;SwaptionFirstMonthPosition+SwaptionNumOfMonths+1,$FN186&gt;SwaptionFirstMonthPosition+SwaptionNumOfMonths+1),"",IF($FN186=GW$169,1,IF($FN186&lt;GW$169,INDEX($FO$170:$IH$241,GW$169,$FN186),SUMPRODUCT(INDEX($FO$325:$IH$396,GW$169,1+SwaptionShift):INDEX($FO$325:$IH$396,GW$169,SwaptionMonthsToGo+SwaptionShift),INDEX($FO$245:$IH$316,$FN186-GW$169,73-GW$169+SwaptionShift):INDEX($FO$245:$IH$316,$FN186-GW$169,72-GW$169+SwaptionMonthsToGo+SwaptionShift))/SQRT(SUM(INDEX($FO341:$IH341,1+SwaptionShift):INDEX($FO341:$IH341,SwaptionMonthsToGo+SwaptionShift))*SUM(INDEX($FO$325:$IH$396,GW$169,1+SwaptionShift):INDEX($FO$325:$IH$396,GW$169,SwaptionMonthsToGo+SwaptionShift))))))</f>
        <v/>
      </c>
      <c r="GX186" s="469" t="str">
        <f ca="1">IF(OR(GX$169&lt;SwaptionFirstMonthPosition+1,$FN186&lt;SwaptionFirstMonthPosition+1,GX$169&gt;SwaptionFirstMonthPosition+SwaptionNumOfMonths+1,$FN186&gt;SwaptionFirstMonthPosition+SwaptionNumOfMonths+1),"",IF($FN186=GX$169,1,IF($FN186&lt;GX$169,INDEX($FO$170:$IH$241,GX$169,$FN186),SUMPRODUCT(INDEX($FO$325:$IH$396,GX$169,1+SwaptionShift):INDEX($FO$325:$IH$396,GX$169,SwaptionMonthsToGo+SwaptionShift),INDEX($FO$245:$IH$316,$FN186-GX$169,73-GX$169+SwaptionShift):INDEX($FO$245:$IH$316,$FN186-GX$169,72-GX$169+SwaptionMonthsToGo+SwaptionShift))/SQRT(SUM(INDEX($FO341:$IH341,1+SwaptionShift):INDEX($FO341:$IH341,SwaptionMonthsToGo+SwaptionShift))*SUM(INDEX($FO$325:$IH$396,GX$169,1+SwaptionShift):INDEX($FO$325:$IH$396,GX$169,SwaptionMonthsToGo+SwaptionShift))))))</f>
        <v/>
      </c>
      <c r="GY186" s="469" t="str">
        <f ca="1">IF(OR(GY$169&lt;SwaptionFirstMonthPosition+1,$FN186&lt;SwaptionFirstMonthPosition+1,GY$169&gt;SwaptionFirstMonthPosition+SwaptionNumOfMonths+1,$FN186&gt;SwaptionFirstMonthPosition+SwaptionNumOfMonths+1),"",IF($FN186=GY$169,1,IF($FN186&lt;GY$169,INDEX($FO$170:$IH$241,GY$169,$FN186),SUMPRODUCT(INDEX($FO$325:$IH$396,GY$169,1+SwaptionShift):INDEX($FO$325:$IH$396,GY$169,SwaptionMonthsToGo+SwaptionShift),INDEX($FO$245:$IH$316,$FN186-GY$169,73-GY$169+SwaptionShift):INDEX($FO$245:$IH$316,$FN186-GY$169,72-GY$169+SwaptionMonthsToGo+SwaptionShift))/SQRT(SUM(INDEX($FO341:$IH341,1+SwaptionShift):INDEX($FO341:$IH341,SwaptionMonthsToGo+SwaptionShift))*SUM(INDEX($FO$325:$IH$396,GY$169,1+SwaptionShift):INDEX($FO$325:$IH$396,GY$169,SwaptionMonthsToGo+SwaptionShift))))))</f>
        <v/>
      </c>
      <c r="GZ186" s="469" t="str">
        <f ca="1">IF(OR(GZ$169&lt;SwaptionFirstMonthPosition+1,$FN186&lt;SwaptionFirstMonthPosition+1,GZ$169&gt;SwaptionFirstMonthPosition+SwaptionNumOfMonths+1,$FN186&gt;SwaptionFirstMonthPosition+SwaptionNumOfMonths+1),"",IF($FN186=GZ$169,1,IF($FN186&lt;GZ$169,INDEX($FO$170:$IH$241,GZ$169,$FN186),SUMPRODUCT(INDEX($FO$325:$IH$396,GZ$169,1+SwaptionShift):INDEX($FO$325:$IH$396,GZ$169,SwaptionMonthsToGo+SwaptionShift),INDEX($FO$245:$IH$316,$FN186-GZ$169,73-GZ$169+SwaptionShift):INDEX($FO$245:$IH$316,$FN186-GZ$169,72-GZ$169+SwaptionMonthsToGo+SwaptionShift))/SQRT(SUM(INDEX($FO341:$IH341,1+SwaptionShift):INDEX($FO341:$IH341,SwaptionMonthsToGo+SwaptionShift))*SUM(INDEX($FO$325:$IH$396,GZ$169,1+SwaptionShift):INDEX($FO$325:$IH$396,GZ$169,SwaptionMonthsToGo+SwaptionShift))))))</f>
        <v/>
      </c>
      <c r="HA186" s="469" t="str">
        <f ca="1">IF(OR(HA$169&lt;SwaptionFirstMonthPosition+1,$FN186&lt;SwaptionFirstMonthPosition+1,HA$169&gt;SwaptionFirstMonthPosition+SwaptionNumOfMonths+1,$FN186&gt;SwaptionFirstMonthPosition+SwaptionNumOfMonths+1),"",IF($FN186=HA$169,1,IF($FN186&lt;HA$169,INDEX($FO$170:$IH$241,HA$169,$FN186),SUMPRODUCT(INDEX($FO$325:$IH$396,HA$169,1+SwaptionShift):INDEX($FO$325:$IH$396,HA$169,SwaptionMonthsToGo+SwaptionShift),INDEX($FO$245:$IH$316,$FN186-HA$169,73-HA$169+SwaptionShift):INDEX($FO$245:$IH$316,$FN186-HA$169,72-HA$169+SwaptionMonthsToGo+SwaptionShift))/SQRT(SUM(INDEX($FO341:$IH341,1+SwaptionShift):INDEX($FO341:$IH341,SwaptionMonthsToGo+SwaptionShift))*SUM(INDEX($FO$325:$IH$396,HA$169,1+SwaptionShift):INDEX($FO$325:$IH$396,HA$169,SwaptionMonthsToGo+SwaptionShift))))))</f>
        <v/>
      </c>
      <c r="HB186" s="469" t="str">
        <f ca="1">IF(OR(HB$169&lt;SwaptionFirstMonthPosition+1,$FN186&lt;SwaptionFirstMonthPosition+1,HB$169&gt;SwaptionFirstMonthPosition+SwaptionNumOfMonths+1,$FN186&gt;SwaptionFirstMonthPosition+SwaptionNumOfMonths+1),"",IF($FN186=HB$169,1,IF($FN186&lt;HB$169,INDEX($FO$170:$IH$241,HB$169,$FN186),SUMPRODUCT(INDEX($FO$325:$IH$396,HB$169,1+SwaptionShift):INDEX($FO$325:$IH$396,HB$169,SwaptionMonthsToGo+SwaptionShift),INDEX($FO$245:$IH$316,$FN186-HB$169,73-HB$169+SwaptionShift):INDEX($FO$245:$IH$316,$FN186-HB$169,72-HB$169+SwaptionMonthsToGo+SwaptionShift))/SQRT(SUM(INDEX($FO341:$IH341,1+SwaptionShift):INDEX($FO341:$IH341,SwaptionMonthsToGo+SwaptionShift))*SUM(INDEX($FO$325:$IH$396,HB$169,1+SwaptionShift):INDEX($FO$325:$IH$396,HB$169,SwaptionMonthsToGo+SwaptionShift))))))</f>
        <v/>
      </c>
      <c r="HC186" s="469" t="str">
        <f ca="1">IF(OR(HC$169&lt;SwaptionFirstMonthPosition+1,$FN186&lt;SwaptionFirstMonthPosition+1,HC$169&gt;SwaptionFirstMonthPosition+SwaptionNumOfMonths+1,$FN186&gt;SwaptionFirstMonthPosition+SwaptionNumOfMonths+1),"",IF($FN186=HC$169,1,IF($FN186&lt;HC$169,INDEX($FO$170:$IH$241,HC$169,$FN186),SUMPRODUCT(INDEX($FO$325:$IH$396,HC$169,1+SwaptionShift):INDEX($FO$325:$IH$396,HC$169,SwaptionMonthsToGo+SwaptionShift),INDEX($FO$245:$IH$316,$FN186-HC$169,73-HC$169+SwaptionShift):INDEX($FO$245:$IH$316,$FN186-HC$169,72-HC$169+SwaptionMonthsToGo+SwaptionShift))/SQRT(SUM(INDEX($FO341:$IH341,1+SwaptionShift):INDEX($FO341:$IH341,SwaptionMonthsToGo+SwaptionShift))*SUM(INDEX($FO$325:$IH$396,HC$169,1+SwaptionShift):INDEX($FO$325:$IH$396,HC$169,SwaptionMonthsToGo+SwaptionShift))))))</f>
        <v/>
      </c>
      <c r="HD186" s="469" t="str">
        <f ca="1">IF(OR(HD$169&lt;SwaptionFirstMonthPosition+1,$FN186&lt;SwaptionFirstMonthPosition+1,HD$169&gt;SwaptionFirstMonthPosition+SwaptionNumOfMonths+1,$FN186&gt;SwaptionFirstMonthPosition+SwaptionNumOfMonths+1),"",IF($FN186=HD$169,1,IF($FN186&lt;HD$169,INDEX($FO$170:$IH$241,HD$169,$FN186),SUMPRODUCT(INDEX($FO$325:$IH$396,HD$169,1+SwaptionShift):INDEX($FO$325:$IH$396,HD$169,SwaptionMonthsToGo+SwaptionShift),INDEX($FO$245:$IH$316,$FN186-HD$169,73-HD$169+SwaptionShift):INDEX($FO$245:$IH$316,$FN186-HD$169,72-HD$169+SwaptionMonthsToGo+SwaptionShift))/SQRT(SUM(INDEX($FO341:$IH341,1+SwaptionShift):INDEX($FO341:$IH341,SwaptionMonthsToGo+SwaptionShift))*SUM(INDEX($FO$325:$IH$396,HD$169,1+SwaptionShift):INDEX($FO$325:$IH$396,HD$169,SwaptionMonthsToGo+SwaptionShift))))))</f>
        <v/>
      </c>
      <c r="HE186" s="469" t="str">
        <f ca="1">IF(OR(HE$169&lt;SwaptionFirstMonthPosition+1,$FN186&lt;SwaptionFirstMonthPosition+1,HE$169&gt;SwaptionFirstMonthPosition+SwaptionNumOfMonths+1,$FN186&gt;SwaptionFirstMonthPosition+SwaptionNumOfMonths+1),"",IF($FN186=HE$169,1,IF($FN186&lt;HE$169,INDEX($FO$170:$IH$241,HE$169,$FN186),SUMPRODUCT(INDEX($FO$325:$IH$396,HE$169,1+SwaptionShift):INDEX($FO$325:$IH$396,HE$169,SwaptionMonthsToGo+SwaptionShift),INDEX($FO$245:$IH$316,$FN186-HE$169,73-HE$169+SwaptionShift):INDEX($FO$245:$IH$316,$FN186-HE$169,72-HE$169+SwaptionMonthsToGo+SwaptionShift))/SQRT(SUM(INDEX($FO341:$IH341,1+SwaptionShift):INDEX($FO341:$IH341,SwaptionMonthsToGo+SwaptionShift))*SUM(INDEX($FO$325:$IH$396,HE$169,1+SwaptionShift):INDEX($FO$325:$IH$396,HE$169,SwaptionMonthsToGo+SwaptionShift))))))</f>
        <v/>
      </c>
      <c r="HF186" s="469" t="str">
        <f ca="1">IF(OR(HF$169&lt;SwaptionFirstMonthPosition+1,$FN186&lt;SwaptionFirstMonthPosition+1,HF$169&gt;SwaptionFirstMonthPosition+SwaptionNumOfMonths+1,$FN186&gt;SwaptionFirstMonthPosition+SwaptionNumOfMonths+1),"",IF($FN186=HF$169,1,IF($FN186&lt;HF$169,INDEX($FO$170:$IH$241,HF$169,$FN186),SUMPRODUCT(INDEX($FO$325:$IH$396,HF$169,1+SwaptionShift):INDEX($FO$325:$IH$396,HF$169,SwaptionMonthsToGo+SwaptionShift),INDEX($FO$245:$IH$316,$FN186-HF$169,73-HF$169+SwaptionShift):INDEX($FO$245:$IH$316,$FN186-HF$169,72-HF$169+SwaptionMonthsToGo+SwaptionShift))/SQRT(SUM(INDEX($FO341:$IH341,1+SwaptionShift):INDEX($FO341:$IH341,SwaptionMonthsToGo+SwaptionShift))*SUM(INDEX($FO$325:$IH$396,HF$169,1+SwaptionShift):INDEX($FO$325:$IH$396,HF$169,SwaptionMonthsToGo+SwaptionShift))))))</f>
        <v/>
      </c>
      <c r="HG186" s="469" t="str">
        <f ca="1">IF(OR(HG$169&lt;SwaptionFirstMonthPosition+1,$FN186&lt;SwaptionFirstMonthPosition+1,HG$169&gt;SwaptionFirstMonthPosition+SwaptionNumOfMonths+1,$FN186&gt;SwaptionFirstMonthPosition+SwaptionNumOfMonths+1),"",IF($FN186=HG$169,1,IF($FN186&lt;HG$169,INDEX($FO$170:$IH$241,HG$169,$FN186),SUMPRODUCT(INDEX($FO$325:$IH$396,HG$169,1+SwaptionShift):INDEX($FO$325:$IH$396,HG$169,SwaptionMonthsToGo+SwaptionShift),INDEX($FO$245:$IH$316,$FN186-HG$169,73-HG$169+SwaptionShift):INDEX($FO$245:$IH$316,$FN186-HG$169,72-HG$169+SwaptionMonthsToGo+SwaptionShift))/SQRT(SUM(INDEX($FO341:$IH341,1+SwaptionShift):INDEX($FO341:$IH341,SwaptionMonthsToGo+SwaptionShift))*SUM(INDEX($FO$325:$IH$396,HG$169,1+SwaptionShift):INDEX($FO$325:$IH$396,HG$169,SwaptionMonthsToGo+SwaptionShift))))))</f>
        <v/>
      </c>
      <c r="HH186" s="469" t="str">
        <f ca="1">IF(OR(HH$169&lt;SwaptionFirstMonthPosition+1,$FN186&lt;SwaptionFirstMonthPosition+1,HH$169&gt;SwaptionFirstMonthPosition+SwaptionNumOfMonths+1,$FN186&gt;SwaptionFirstMonthPosition+SwaptionNumOfMonths+1),"",IF($FN186=HH$169,1,IF($FN186&lt;HH$169,INDEX($FO$170:$IH$241,HH$169,$FN186),SUMPRODUCT(INDEX($FO$325:$IH$396,HH$169,1+SwaptionShift):INDEX($FO$325:$IH$396,HH$169,SwaptionMonthsToGo+SwaptionShift),INDEX($FO$245:$IH$316,$FN186-HH$169,73-HH$169+SwaptionShift):INDEX($FO$245:$IH$316,$FN186-HH$169,72-HH$169+SwaptionMonthsToGo+SwaptionShift))/SQRT(SUM(INDEX($FO341:$IH341,1+SwaptionShift):INDEX($FO341:$IH341,SwaptionMonthsToGo+SwaptionShift))*SUM(INDEX($FO$325:$IH$396,HH$169,1+SwaptionShift):INDEX($FO$325:$IH$396,HH$169,SwaptionMonthsToGo+SwaptionShift))))))</f>
        <v/>
      </c>
      <c r="HI186" s="469" t="str">
        <f ca="1">IF(OR(HI$169&lt;SwaptionFirstMonthPosition+1,$FN186&lt;SwaptionFirstMonthPosition+1,HI$169&gt;SwaptionFirstMonthPosition+SwaptionNumOfMonths+1,$FN186&gt;SwaptionFirstMonthPosition+SwaptionNumOfMonths+1),"",IF($FN186=HI$169,1,IF($FN186&lt;HI$169,INDEX($FO$170:$IH$241,HI$169,$FN186),SUMPRODUCT(INDEX($FO$325:$IH$396,HI$169,1+SwaptionShift):INDEX($FO$325:$IH$396,HI$169,SwaptionMonthsToGo+SwaptionShift),INDEX($FO$245:$IH$316,$FN186-HI$169,73-HI$169+SwaptionShift):INDEX($FO$245:$IH$316,$FN186-HI$169,72-HI$169+SwaptionMonthsToGo+SwaptionShift))/SQRT(SUM(INDEX($FO341:$IH341,1+SwaptionShift):INDEX($FO341:$IH341,SwaptionMonthsToGo+SwaptionShift))*SUM(INDEX($FO$325:$IH$396,HI$169,1+SwaptionShift):INDEX($FO$325:$IH$396,HI$169,SwaptionMonthsToGo+SwaptionShift))))))</f>
        <v/>
      </c>
      <c r="HJ186" s="469" t="str">
        <f ca="1">IF(OR(HJ$169&lt;SwaptionFirstMonthPosition+1,$FN186&lt;SwaptionFirstMonthPosition+1,HJ$169&gt;SwaptionFirstMonthPosition+SwaptionNumOfMonths+1,$FN186&gt;SwaptionFirstMonthPosition+SwaptionNumOfMonths+1),"",IF($FN186=HJ$169,1,IF($FN186&lt;HJ$169,INDEX($FO$170:$IH$241,HJ$169,$FN186),SUMPRODUCT(INDEX($FO$325:$IH$396,HJ$169,1+SwaptionShift):INDEX($FO$325:$IH$396,HJ$169,SwaptionMonthsToGo+SwaptionShift),INDEX($FO$245:$IH$316,$FN186-HJ$169,73-HJ$169+SwaptionShift):INDEX($FO$245:$IH$316,$FN186-HJ$169,72-HJ$169+SwaptionMonthsToGo+SwaptionShift))/SQRT(SUM(INDEX($FO341:$IH341,1+SwaptionShift):INDEX($FO341:$IH341,SwaptionMonthsToGo+SwaptionShift))*SUM(INDEX($FO$325:$IH$396,HJ$169,1+SwaptionShift):INDEX($FO$325:$IH$396,HJ$169,SwaptionMonthsToGo+SwaptionShift))))))</f>
        <v/>
      </c>
      <c r="HK186" s="469" t="str">
        <f ca="1">IF(OR(HK$169&lt;SwaptionFirstMonthPosition+1,$FN186&lt;SwaptionFirstMonthPosition+1,HK$169&gt;SwaptionFirstMonthPosition+SwaptionNumOfMonths+1,$FN186&gt;SwaptionFirstMonthPosition+SwaptionNumOfMonths+1),"",IF($FN186=HK$169,1,IF($FN186&lt;HK$169,INDEX($FO$170:$IH$241,HK$169,$FN186),SUMPRODUCT(INDEX($FO$325:$IH$396,HK$169,1+SwaptionShift):INDEX($FO$325:$IH$396,HK$169,SwaptionMonthsToGo+SwaptionShift),INDEX($FO$245:$IH$316,$FN186-HK$169,73-HK$169+SwaptionShift):INDEX($FO$245:$IH$316,$FN186-HK$169,72-HK$169+SwaptionMonthsToGo+SwaptionShift))/SQRT(SUM(INDEX($FO341:$IH341,1+SwaptionShift):INDEX($FO341:$IH341,SwaptionMonthsToGo+SwaptionShift))*SUM(INDEX($FO$325:$IH$396,HK$169,1+SwaptionShift):INDEX($FO$325:$IH$396,HK$169,SwaptionMonthsToGo+SwaptionShift))))))</f>
        <v/>
      </c>
      <c r="HL186" s="469" t="str">
        <f ca="1">IF(OR(HL$169&lt;SwaptionFirstMonthPosition+1,$FN186&lt;SwaptionFirstMonthPosition+1,HL$169&gt;SwaptionFirstMonthPosition+SwaptionNumOfMonths+1,$FN186&gt;SwaptionFirstMonthPosition+SwaptionNumOfMonths+1),"",IF($FN186=HL$169,1,IF($FN186&lt;HL$169,INDEX($FO$170:$IH$241,HL$169,$FN186),SUMPRODUCT(INDEX($FO$325:$IH$396,HL$169,1+SwaptionShift):INDEX($FO$325:$IH$396,HL$169,SwaptionMonthsToGo+SwaptionShift),INDEX($FO$245:$IH$316,$FN186-HL$169,73-HL$169+SwaptionShift):INDEX($FO$245:$IH$316,$FN186-HL$169,72-HL$169+SwaptionMonthsToGo+SwaptionShift))/SQRT(SUM(INDEX($FO341:$IH341,1+SwaptionShift):INDEX($FO341:$IH341,SwaptionMonthsToGo+SwaptionShift))*SUM(INDEX($FO$325:$IH$396,HL$169,1+SwaptionShift):INDEX($FO$325:$IH$396,HL$169,SwaptionMonthsToGo+SwaptionShift))))))</f>
        <v/>
      </c>
      <c r="HM186" s="469" t="str">
        <f ca="1">IF(OR(HM$169&lt;SwaptionFirstMonthPosition+1,$FN186&lt;SwaptionFirstMonthPosition+1,HM$169&gt;SwaptionFirstMonthPosition+SwaptionNumOfMonths+1,$FN186&gt;SwaptionFirstMonthPosition+SwaptionNumOfMonths+1),"",IF($FN186=HM$169,1,IF($FN186&lt;HM$169,INDEX($FO$170:$IH$241,HM$169,$FN186),SUMPRODUCT(INDEX($FO$325:$IH$396,HM$169,1+SwaptionShift):INDEX($FO$325:$IH$396,HM$169,SwaptionMonthsToGo+SwaptionShift),INDEX($FO$245:$IH$316,$FN186-HM$169,73-HM$169+SwaptionShift):INDEX($FO$245:$IH$316,$FN186-HM$169,72-HM$169+SwaptionMonthsToGo+SwaptionShift))/SQRT(SUM(INDEX($FO341:$IH341,1+SwaptionShift):INDEX($FO341:$IH341,SwaptionMonthsToGo+SwaptionShift))*SUM(INDEX($FO$325:$IH$396,HM$169,1+SwaptionShift):INDEX($FO$325:$IH$396,HM$169,SwaptionMonthsToGo+SwaptionShift))))))</f>
        <v/>
      </c>
      <c r="HN186" s="469" t="str">
        <f ca="1">IF(OR(HN$169&lt;SwaptionFirstMonthPosition+1,$FN186&lt;SwaptionFirstMonthPosition+1,HN$169&gt;SwaptionFirstMonthPosition+SwaptionNumOfMonths+1,$FN186&gt;SwaptionFirstMonthPosition+SwaptionNumOfMonths+1),"",IF($FN186=HN$169,1,IF($FN186&lt;HN$169,INDEX($FO$170:$IH$241,HN$169,$FN186),SUMPRODUCT(INDEX($FO$325:$IH$396,HN$169,1+SwaptionShift):INDEX($FO$325:$IH$396,HN$169,SwaptionMonthsToGo+SwaptionShift),INDEX($FO$245:$IH$316,$FN186-HN$169,73-HN$169+SwaptionShift):INDEX($FO$245:$IH$316,$FN186-HN$169,72-HN$169+SwaptionMonthsToGo+SwaptionShift))/SQRT(SUM(INDEX($FO341:$IH341,1+SwaptionShift):INDEX($FO341:$IH341,SwaptionMonthsToGo+SwaptionShift))*SUM(INDEX($FO$325:$IH$396,HN$169,1+SwaptionShift):INDEX($FO$325:$IH$396,HN$169,SwaptionMonthsToGo+SwaptionShift))))))</f>
        <v/>
      </c>
      <c r="HO186" s="469" t="str">
        <f ca="1">IF(OR(HO$169&lt;SwaptionFirstMonthPosition+1,$FN186&lt;SwaptionFirstMonthPosition+1,HO$169&gt;SwaptionFirstMonthPosition+SwaptionNumOfMonths+1,$FN186&gt;SwaptionFirstMonthPosition+SwaptionNumOfMonths+1),"",IF($FN186=HO$169,1,IF($FN186&lt;HO$169,INDEX($FO$170:$IH$241,HO$169,$FN186),SUMPRODUCT(INDEX($FO$325:$IH$396,HO$169,1+SwaptionShift):INDEX($FO$325:$IH$396,HO$169,SwaptionMonthsToGo+SwaptionShift),INDEX($FO$245:$IH$316,$FN186-HO$169,73-HO$169+SwaptionShift):INDEX($FO$245:$IH$316,$FN186-HO$169,72-HO$169+SwaptionMonthsToGo+SwaptionShift))/SQRT(SUM(INDEX($FO341:$IH341,1+SwaptionShift):INDEX($FO341:$IH341,SwaptionMonthsToGo+SwaptionShift))*SUM(INDEX($FO$325:$IH$396,HO$169,1+SwaptionShift):INDEX($FO$325:$IH$396,HO$169,SwaptionMonthsToGo+SwaptionShift))))))</f>
        <v/>
      </c>
      <c r="HP186" s="469" t="str">
        <f ca="1">IF(OR(HP$169&lt;SwaptionFirstMonthPosition+1,$FN186&lt;SwaptionFirstMonthPosition+1,HP$169&gt;SwaptionFirstMonthPosition+SwaptionNumOfMonths+1,$FN186&gt;SwaptionFirstMonthPosition+SwaptionNumOfMonths+1),"",IF($FN186=HP$169,1,IF($FN186&lt;HP$169,INDEX($FO$170:$IH$241,HP$169,$FN186),SUMPRODUCT(INDEX($FO$325:$IH$396,HP$169,1+SwaptionShift):INDEX($FO$325:$IH$396,HP$169,SwaptionMonthsToGo+SwaptionShift),INDEX($FO$245:$IH$316,$FN186-HP$169,73-HP$169+SwaptionShift):INDEX($FO$245:$IH$316,$FN186-HP$169,72-HP$169+SwaptionMonthsToGo+SwaptionShift))/SQRT(SUM(INDEX($FO341:$IH341,1+SwaptionShift):INDEX($FO341:$IH341,SwaptionMonthsToGo+SwaptionShift))*SUM(INDEX($FO$325:$IH$396,HP$169,1+SwaptionShift):INDEX($FO$325:$IH$396,HP$169,SwaptionMonthsToGo+SwaptionShift))))))</f>
        <v/>
      </c>
      <c r="HQ186" s="469" t="str">
        <f ca="1">IF(OR(HQ$169&lt;SwaptionFirstMonthPosition+1,$FN186&lt;SwaptionFirstMonthPosition+1,HQ$169&gt;SwaptionFirstMonthPosition+SwaptionNumOfMonths+1,$FN186&gt;SwaptionFirstMonthPosition+SwaptionNumOfMonths+1),"",IF($FN186=HQ$169,1,IF($FN186&lt;HQ$169,INDEX($FO$170:$IH$241,HQ$169,$FN186),SUMPRODUCT(INDEX($FO$325:$IH$396,HQ$169,1+SwaptionShift):INDEX($FO$325:$IH$396,HQ$169,SwaptionMonthsToGo+SwaptionShift),INDEX($FO$245:$IH$316,$FN186-HQ$169,73-HQ$169+SwaptionShift):INDEX($FO$245:$IH$316,$FN186-HQ$169,72-HQ$169+SwaptionMonthsToGo+SwaptionShift))/SQRT(SUM(INDEX($FO341:$IH341,1+SwaptionShift):INDEX($FO341:$IH341,SwaptionMonthsToGo+SwaptionShift))*SUM(INDEX($FO$325:$IH$396,HQ$169,1+SwaptionShift):INDEX($FO$325:$IH$396,HQ$169,SwaptionMonthsToGo+SwaptionShift))))))</f>
        <v/>
      </c>
      <c r="HR186" s="469" t="str">
        <f ca="1">IF(OR(HR$169&lt;SwaptionFirstMonthPosition+1,$FN186&lt;SwaptionFirstMonthPosition+1,HR$169&gt;SwaptionFirstMonthPosition+SwaptionNumOfMonths+1,$FN186&gt;SwaptionFirstMonthPosition+SwaptionNumOfMonths+1),"",IF($FN186=HR$169,1,IF($FN186&lt;HR$169,INDEX($FO$170:$IH$241,HR$169,$FN186),SUMPRODUCT(INDEX($FO$325:$IH$396,HR$169,1+SwaptionShift):INDEX($FO$325:$IH$396,HR$169,SwaptionMonthsToGo+SwaptionShift),INDEX($FO$245:$IH$316,$FN186-HR$169,73-HR$169+SwaptionShift):INDEX($FO$245:$IH$316,$FN186-HR$169,72-HR$169+SwaptionMonthsToGo+SwaptionShift))/SQRT(SUM(INDEX($FO341:$IH341,1+SwaptionShift):INDEX($FO341:$IH341,SwaptionMonthsToGo+SwaptionShift))*SUM(INDEX($FO$325:$IH$396,HR$169,1+SwaptionShift):INDEX($FO$325:$IH$396,HR$169,SwaptionMonthsToGo+SwaptionShift))))))</f>
        <v/>
      </c>
      <c r="HS186" s="469" t="str">
        <f ca="1">IF(OR(HS$169&lt;SwaptionFirstMonthPosition+1,$FN186&lt;SwaptionFirstMonthPosition+1,HS$169&gt;SwaptionFirstMonthPosition+SwaptionNumOfMonths+1,$FN186&gt;SwaptionFirstMonthPosition+SwaptionNumOfMonths+1),"",IF($FN186=HS$169,1,IF($FN186&lt;HS$169,INDEX($FO$170:$IH$241,HS$169,$FN186),SUMPRODUCT(INDEX($FO$325:$IH$396,HS$169,1+SwaptionShift):INDEX($FO$325:$IH$396,HS$169,SwaptionMonthsToGo+SwaptionShift),INDEX($FO$245:$IH$316,$FN186-HS$169,73-HS$169+SwaptionShift):INDEX($FO$245:$IH$316,$FN186-HS$169,72-HS$169+SwaptionMonthsToGo+SwaptionShift))/SQRT(SUM(INDEX($FO341:$IH341,1+SwaptionShift):INDEX($FO341:$IH341,SwaptionMonthsToGo+SwaptionShift))*SUM(INDEX($FO$325:$IH$396,HS$169,1+SwaptionShift):INDEX($FO$325:$IH$396,HS$169,SwaptionMonthsToGo+SwaptionShift))))))</f>
        <v/>
      </c>
      <c r="HT186" s="469" t="str">
        <f ca="1">IF(OR(HT$169&lt;SwaptionFirstMonthPosition+1,$FN186&lt;SwaptionFirstMonthPosition+1,HT$169&gt;SwaptionFirstMonthPosition+SwaptionNumOfMonths+1,$FN186&gt;SwaptionFirstMonthPosition+SwaptionNumOfMonths+1),"",IF($FN186=HT$169,1,IF($FN186&lt;HT$169,INDEX($FO$170:$IH$241,HT$169,$FN186),SUMPRODUCT(INDEX($FO$325:$IH$396,HT$169,1+SwaptionShift):INDEX($FO$325:$IH$396,HT$169,SwaptionMonthsToGo+SwaptionShift),INDEX($FO$245:$IH$316,$FN186-HT$169,73-HT$169+SwaptionShift):INDEX($FO$245:$IH$316,$FN186-HT$169,72-HT$169+SwaptionMonthsToGo+SwaptionShift))/SQRT(SUM(INDEX($FO341:$IH341,1+SwaptionShift):INDEX($FO341:$IH341,SwaptionMonthsToGo+SwaptionShift))*SUM(INDEX($FO$325:$IH$396,HT$169,1+SwaptionShift):INDEX($FO$325:$IH$396,HT$169,SwaptionMonthsToGo+SwaptionShift))))))</f>
        <v/>
      </c>
      <c r="HU186" s="469" t="str">
        <f ca="1">IF(OR(HU$169&lt;SwaptionFirstMonthPosition+1,$FN186&lt;SwaptionFirstMonthPosition+1,HU$169&gt;SwaptionFirstMonthPosition+SwaptionNumOfMonths+1,$FN186&gt;SwaptionFirstMonthPosition+SwaptionNumOfMonths+1),"",IF($FN186=HU$169,1,IF($FN186&lt;HU$169,INDEX($FO$170:$IH$241,HU$169,$FN186),SUMPRODUCT(INDEX($FO$325:$IH$396,HU$169,1+SwaptionShift):INDEX($FO$325:$IH$396,HU$169,SwaptionMonthsToGo+SwaptionShift),INDEX($FO$245:$IH$316,$FN186-HU$169,73-HU$169+SwaptionShift):INDEX($FO$245:$IH$316,$FN186-HU$169,72-HU$169+SwaptionMonthsToGo+SwaptionShift))/SQRT(SUM(INDEX($FO341:$IH341,1+SwaptionShift):INDEX($FO341:$IH341,SwaptionMonthsToGo+SwaptionShift))*SUM(INDEX($FO$325:$IH$396,HU$169,1+SwaptionShift):INDEX($FO$325:$IH$396,HU$169,SwaptionMonthsToGo+SwaptionShift))))))</f>
        <v/>
      </c>
      <c r="HV186" s="469" t="str">
        <f ca="1">IF(OR(HV$169&lt;SwaptionFirstMonthPosition+1,$FN186&lt;SwaptionFirstMonthPosition+1,HV$169&gt;SwaptionFirstMonthPosition+SwaptionNumOfMonths+1,$FN186&gt;SwaptionFirstMonthPosition+SwaptionNumOfMonths+1),"",IF($FN186=HV$169,1,IF($FN186&lt;HV$169,INDEX($FO$170:$IH$241,HV$169,$FN186),SUMPRODUCT(INDEX($FO$325:$IH$396,HV$169,1+SwaptionShift):INDEX($FO$325:$IH$396,HV$169,SwaptionMonthsToGo+SwaptionShift),INDEX($FO$245:$IH$316,$FN186-HV$169,73-HV$169+SwaptionShift):INDEX($FO$245:$IH$316,$FN186-HV$169,72-HV$169+SwaptionMonthsToGo+SwaptionShift))/SQRT(SUM(INDEX($FO341:$IH341,1+SwaptionShift):INDEX($FO341:$IH341,SwaptionMonthsToGo+SwaptionShift))*SUM(INDEX($FO$325:$IH$396,HV$169,1+SwaptionShift):INDEX($FO$325:$IH$396,HV$169,SwaptionMonthsToGo+SwaptionShift))))))</f>
        <v/>
      </c>
      <c r="HW186" s="469" t="str">
        <f ca="1">IF(OR(HW$169&lt;SwaptionFirstMonthPosition+1,$FN186&lt;SwaptionFirstMonthPosition+1,HW$169&gt;SwaptionFirstMonthPosition+SwaptionNumOfMonths+1,$FN186&gt;SwaptionFirstMonthPosition+SwaptionNumOfMonths+1),"",IF($FN186=HW$169,1,IF($FN186&lt;HW$169,INDEX($FO$170:$IH$241,HW$169,$FN186),SUMPRODUCT(INDEX($FO$325:$IH$396,HW$169,1+SwaptionShift):INDEX($FO$325:$IH$396,HW$169,SwaptionMonthsToGo+SwaptionShift),INDEX($FO$245:$IH$316,$FN186-HW$169,73-HW$169+SwaptionShift):INDEX($FO$245:$IH$316,$FN186-HW$169,72-HW$169+SwaptionMonthsToGo+SwaptionShift))/SQRT(SUM(INDEX($FO341:$IH341,1+SwaptionShift):INDEX($FO341:$IH341,SwaptionMonthsToGo+SwaptionShift))*SUM(INDEX($FO$325:$IH$396,HW$169,1+SwaptionShift):INDEX($FO$325:$IH$396,HW$169,SwaptionMonthsToGo+SwaptionShift))))))</f>
        <v/>
      </c>
      <c r="HX186" s="469" t="str">
        <f ca="1">IF(OR(HX$169&lt;SwaptionFirstMonthPosition+1,$FN186&lt;SwaptionFirstMonthPosition+1,HX$169&gt;SwaptionFirstMonthPosition+SwaptionNumOfMonths+1,$FN186&gt;SwaptionFirstMonthPosition+SwaptionNumOfMonths+1),"",IF($FN186=HX$169,1,IF($FN186&lt;HX$169,INDEX($FO$170:$IH$241,HX$169,$FN186),SUMPRODUCT(INDEX($FO$325:$IH$396,HX$169,1+SwaptionShift):INDEX($FO$325:$IH$396,HX$169,SwaptionMonthsToGo+SwaptionShift),INDEX($FO$245:$IH$316,$FN186-HX$169,73-HX$169+SwaptionShift):INDEX($FO$245:$IH$316,$FN186-HX$169,72-HX$169+SwaptionMonthsToGo+SwaptionShift))/SQRT(SUM(INDEX($FO341:$IH341,1+SwaptionShift):INDEX($FO341:$IH341,SwaptionMonthsToGo+SwaptionShift))*SUM(INDEX($FO$325:$IH$396,HX$169,1+SwaptionShift):INDEX($FO$325:$IH$396,HX$169,SwaptionMonthsToGo+SwaptionShift))))))</f>
        <v/>
      </c>
      <c r="HY186" s="469" t="str">
        <f ca="1">IF(OR(HY$169&lt;SwaptionFirstMonthPosition+1,$FN186&lt;SwaptionFirstMonthPosition+1,HY$169&gt;SwaptionFirstMonthPosition+SwaptionNumOfMonths+1,$FN186&gt;SwaptionFirstMonthPosition+SwaptionNumOfMonths+1),"",IF($FN186=HY$169,1,IF($FN186&lt;HY$169,INDEX($FO$170:$IH$241,HY$169,$FN186),SUMPRODUCT(INDEX($FO$325:$IH$396,HY$169,1+SwaptionShift):INDEX($FO$325:$IH$396,HY$169,SwaptionMonthsToGo+SwaptionShift),INDEX($FO$245:$IH$316,$FN186-HY$169,73-HY$169+SwaptionShift):INDEX($FO$245:$IH$316,$FN186-HY$169,72-HY$169+SwaptionMonthsToGo+SwaptionShift))/SQRT(SUM(INDEX($FO341:$IH341,1+SwaptionShift):INDEX($FO341:$IH341,SwaptionMonthsToGo+SwaptionShift))*SUM(INDEX($FO$325:$IH$396,HY$169,1+SwaptionShift):INDEX($FO$325:$IH$396,HY$169,SwaptionMonthsToGo+SwaptionShift))))))</f>
        <v/>
      </c>
      <c r="HZ186" s="469" t="str">
        <f ca="1">IF(OR(HZ$169&lt;SwaptionFirstMonthPosition+1,$FN186&lt;SwaptionFirstMonthPosition+1,HZ$169&gt;SwaptionFirstMonthPosition+SwaptionNumOfMonths+1,$FN186&gt;SwaptionFirstMonthPosition+SwaptionNumOfMonths+1),"",IF($FN186=HZ$169,1,IF($FN186&lt;HZ$169,INDEX($FO$170:$IH$241,HZ$169,$FN186),SUMPRODUCT(INDEX($FO$325:$IH$396,HZ$169,1+SwaptionShift):INDEX($FO$325:$IH$396,HZ$169,SwaptionMonthsToGo+SwaptionShift),INDEX($FO$245:$IH$316,$FN186-HZ$169,73-HZ$169+SwaptionShift):INDEX($FO$245:$IH$316,$FN186-HZ$169,72-HZ$169+SwaptionMonthsToGo+SwaptionShift))/SQRT(SUM(INDEX($FO341:$IH341,1+SwaptionShift):INDEX($FO341:$IH341,SwaptionMonthsToGo+SwaptionShift))*SUM(INDEX($FO$325:$IH$396,HZ$169,1+SwaptionShift):INDEX($FO$325:$IH$396,HZ$169,SwaptionMonthsToGo+SwaptionShift))))))</f>
        <v/>
      </c>
      <c r="IA186" s="469" t="str">
        <f ca="1">IF(OR(IA$169&lt;SwaptionFirstMonthPosition+1,$FN186&lt;SwaptionFirstMonthPosition+1,IA$169&gt;SwaptionFirstMonthPosition+SwaptionNumOfMonths+1,$FN186&gt;SwaptionFirstMonthPosition+SwaptionNumOfMonths+1),"",IF($FN186=IA$169,1,IF($FN186&lt;IA$169,INDEX($FO$170:$IH$241,IA$169,$FN186),SUMPRODUCT(INDEX($FO$325:$IH$396,IA$169,1+SwaptionShift):INDEX($FO$325:$IH$396,IA$169,SwaptionMonthsToGo+SwaptionShift),INDEX($FO$245:$IH$316,$FN186-IA$169,73-IA$169+SwaptionShift):INDEX($FO$245:$IH$316,$FN186-IA$169,72-IA$169+SwaptionMonthsToGo+SwaptionShift))/SQRT(SUM(INDEX($FO341:$IH341,1+SwaptionShift):INDEX($FO341:$IH341,SwaptionMonthsToGo+SwaptionShift))*SUM(INDEX($FO$325:$IH$396,IA$169,1+SwaptionShift):INDEX($FO$325:$IH$396,IA$169,SwaptionMonthsToGo+SwaptionShift))))))</f>
        <v/>
      </c>
      <c r="IB186" s="469" t="str">
        <f ca="1">IF(OR(IB$169&lt;SwaptionFirstMonthPosition+1,$FN186&lt;SwaptionFirstMonthPosition+1,IB$169&gt;SwaptionFirstMonthPosition+SwaptionNumOfMonths+1,$FN186&gt;SwaptionFirstMonthPosition+SwaptionNumOfMonths+1),"",IF($FN186=IB$169,1,IF($FN186&lt;IB$169,INDEX($FO$170:$IH$241,IB$169,$FN186),SUMPRODUCT(INDEX($FO$325:$IH$396,IB$169,1+SwaptionShift):INDEX($FO$325:$IH$396,IB$169,SwaptionMonthsToGo+SwaptionShift),INDEX($FO$245:$IH$316,$FN186-IB$169,73-IB$169+SwaptionShift):INDEX($FO$245:$IH$316,$FN186-IB$169,72-IB$169+SwaptionMonthsToGo+SwaptionShift))/SQRT(SUM(INDEX($FO341:$IH341,1+SwaptionShift):INDEX($FO341:$IH341,SwaptionMonthsToGo+SwaptionShift))*SUM(INDEX($FO$325:$IH$396,IB$169,1+SwaptionShift):INDEX($FO$325:$IH$396,IB$169,SwaptionMonthsToGo+SwaptionShift))))))</f>
        <v/>
      </c>
      <c r="IC186" s="469" t="str">
        <f ca="1">IF(OR(IC$169&lt;SwaptionFirstMonthPosition+1,$FN186&lt;SwaptionFirstMonthPosition+1,IC$169&gt;SwaptionFirstMonthPosition+SwaptionNumOfMonths+1,$FN186&gt;SwaptionFirstMonthPosition+SwaptionNumOfMonths+1),"",IF($FN186=IC$169,1,IF($FN186&lt;IC$169,INDEX($FO$170:$IH$241,IC$169,$FN186),SUMPRODUCT(INDEX($FO$325:$IH$396,IC$169,1+SwaptionShift):INDEX($FO$325:$IH$396,IC$169,SwaptionMonthsToGo+SwaptionShift),INDEX($FO$245:$IH$316,$FN186-IC$169,73-IC$169+SwaptionShift):INDEX($FO$245:$IH$316,$FN186-IC$169,72-IC$169+SwaptionMonthsToGo+SwaptionShift))/SQRT(SUM(INDEX($FO341:$IH341,1+SwaptionShift):INDEX($FO341:$IH341,SwaptionMonthsToGo+SwaptionShift))*SUM(INDEX($FO$325:$IH$396,IC$169,1+SwaptionShift):INDEX($FO$325:$IH$396,IC$169,SwaptionMonthsToGo+SwaptionShift))))))</f>
        <v/>
      </c>
      <c r="ID186" s="469" t="str">
        <f ca="1">IF(OR(ID$169&lt;SwaptionFirstMonthPosition+1,$FN186&lt;SwaptionFirstMonthPosition+1,ID$169&gt;SwaptionFirstMonthPosition+SwaptionNumOfMonths+1,$FN186&gt;SwaptionFirstMonthPosition+SwaptionNumOfMonths+1),"",IF($FN186=ID$169,1,IF($FN186&lt;ID$169,INDEX($FO$170:$IH$241,ID$169,$FN186),SUMPRODUCT(INDEX($FO$325:$IH$396,ID$169,1+SwaptionShift):INDEX($FO$325:$IH$396,ID$169,SwaptionMonthsToGo+SwaptionShift),INDEX($FO$245:$IH$316,$FN186-ID$169,73-ID$169+SwaptionShift):INDEX($FO$245:$IH$316,$FN186-ID$169,72-ID$169+SwaptionMonthsToGo+SwaptionShift))/SQRT(SUM(INDEX($FO341:$IH341,1+SwaptionShift):INDEX($FO341:$IH341,SwaptionMonthsToGo+SwaptionShift))*SUM(INDEX($FO$325:$IH$396,ID$169,1+SwaptionShift):INDEX($FO$325:$IH$396,ID$169,SwaptionMonthsToGo+SwaptionShift))))))</f>
        <v/>
      </c>
      <c r="IE186" s="469" t="str">
        <f ca="1">IF(OR(IE$169&lt;SwaptionFirstMonthPosition+1,$FN186&lt;SwaptionFirstMonthPosition+1,IE$169&gt;SwaptionFirstMonthPosition+SwaptionNumOfMonths+1,$FN186&gt;SwaptionFirstMonthPosition+SwaptionNumOfMonths+1),"",IF($FN186=IE$169,1,IF($FN186&lt;IE$169,INDEX($FO$170:$IH$241,IE$169,$FN186),SUMPRODUCT(INDEX($FO$325:$IH$396,IE$169,1+SwaptionShift):INDEX($FO$325:$IH$396,IE$169,SwaptionMonthsToGo+SwaptionShift),INDEX($FO$245:$IH$316,$FN186-IE$169,73-IE$169+SwaptionShift):INDEX($FO$245:$IH$316,$FN186-IE$169,72-IE$169+SwaptionMonthsToGo+SwaptionShift))/SQRT(SUM(INDEX($FO341:$IH341,1+SwaptionShift):INDEX($FO341:$IH341,SwaptionMonthsToGo+SwaptionShift))*SUM(INDEX($FO$325:$IH$396,IE$169,1+SwaptionShift):INDEX($FO$325:$IH$396,IE$169,SwaptionMonthsToGo+SwaptionShift))))))</f>
        <v/>
      </c>
      <c r="IF186" s="469" t="str">
        <f ca="1">IF(OR(IF$169&lt;SwaptionFirstMonthPosition+1,$FN186&lt;SwaptionFirstMonthPosition+1,IF$169&gt;SwaptionFirstMonthPosition+SwaptionNumOfMonths+1,$FN186&gt;SwaptionFirstMonthPosition+SwaptionNumOfMonths+1),"",IF($FN186=IF$169,1,IF($FN186&lt;IF$169,INDEX($FO$170:$IH$241,IF$169,$FN186),SUMPRODUCT(INDEX($FO$325:$IH$396,IF$169,1+SwaptionShift):INDEX($FO$325:$IH$396,IF$169,SwaptionMonthsToGo+SwaptionShift),INDEX($FO$245:$IH$316,$FN186-IF$169,73-IF$169+SwaptionShift):INDEX($FO$245:$IH$316,$FN186-IF$169,72-IF$169+SwaptionMonthsToGo+SwaptionShift))/SQRT(SUM(INDEX($FO341:$IH341,1+SwaptionShift):INDEX($FO341:$IH341,SwaptionMonthsToGo+SwaptionShift))*SUM(INDEX($FO$325:$IH$396,IF$169,1+SwaptionShift):INDEX($FO$325:$IH$396,IF$169,SwaptionMonthsToGo+SwaptionShift))))))</f>
        <v/>
      </c>
      <c r="IG186" s="469" t="str">
        <f ca="1">IF(OR(IG$169&lt;SwaptionFirstMonthPosition+1,$FN186&lt;SwaptionFirstMonthPosition+1,IG$169&gt;SwaptionFirstMonthPosition+SwaptionNumOfMonths+1,$FN186&gt;SwaptionFirstMonthPosition+SwaptionNumOfMonths+1),"",IF($FN186=IG$169,1,IF($FN186&lt;IG$169,INDEX($FO$170:$IH$241,IG$169,$FN186),SUMPRODUCT(INDEX($FO$325:$IH$396,IG$169,1+SwaptionShift):INDEX($FO$325:$IH$396,IG$169,SwaptionMonthsToGo+SwaptionShift),INDEX($FO$245:$IH$316,$FN186-IG$169,73-IG$169+SwaptionShift):INDEX($FO$245:$IH$316,$FN186-IG$169,72-IG$169+SwaptionMonthsToGo+SwaptionShift))/SQRT(SUM(INDEX($FO341:$IH341,1+SwaptionShift):INDEX($FO341:$IH341,SwaptionMonthsToGo+SwaptionShift))*SUM(INDEX($FO$325:$IH$396,IG$169,1+SwaptionShift):INDEX($FO$325:$IH$396,IG$169,SwaptionMonthsToGo+SwaptionShift))))))</f>
        <v/>
      </c>
      <c r="IH186" s="662" t="str">
        <f ca="1">IF(OR(IH$169&lt;SwaptionFirstMonthPosition+1,$FN186&lt;SwaptionFirstMonthPosition+1,IH$169&gt;SwaptionFirstMonthPosition+SwaptionNumOfMonths+1,$FN186&gt;SwaptionFirstMonthPosition+SwaptionNumOfMonths+1),"",IF($FN186=IH$169,1,IF($FN186&lt;IH$169,INDEX($FO$170:$IH$241,IH$169,$FN186),SUMPRODUCT(INDEX($FO$325:$IH$396,IH$169,1+SwaptionShift):INDEX($FO$325:$IH$396,IH$169,SwaptionMonthsToGo+SwaptionShift),INDEX($FO$245:$IH$316,$FN186-IH$169,73-IH$169+SwaptionShift):INDEX($FO$245:$IH$316,$FN186-IH$169,72-IH$169+SwaptionMonthsToGo+SwaptionShift))/SQRT(SUM(INDEX($FO341:$IH341,1+SwaptionShift):INDEX($FO341:$IH341,SwaptionMonthsToGo+SwaptionShift))*SUM(INDEX($FO$325:$IH$396,IH$169,1+SwaptionShift):INDEX($FO$325:$IH$396,IH$169,SwaptionMonthsToGo+SwaptionShift))))))</f>
        <v/>
      </c>
      <c r="II186" s="242"/>
    </row>
    <row r="187" spans="8:243">
      <c r="H187" s="49" t="e">
        <f t="shared" ca="1" si="529"/>
        <v>#N/A</v>
      </c>
      <c r="I187" s="369">
        <f t="shared" si="530"/>
        <v>42095</v>
      </c>
      <c r="J187" s="367">
        <v>23.559999999999899</v>
      </c>
      <c r="K187" s="101" t="s">
        <v>267</v>
      </c>
      <c r="L187" s="382">
        <f t="shared" si="531"/>
        <v>23.559999999999892</v>
      </c>
      <c r="M187" s="163">
        <v>0.14430000000000001</v>
      </c>
      <c r="N187" s="372">
        <v>0</v>
      </c>
      <c r="O187" s="163">
        <f t="shared" si="488"/>
        <v>0.14430000000000001</v>
      </c>
      <c r="P187" s="367">
        <v>22.320767047930399</v>
      </c>
      <c r="Q187" s="101" t="s">
        <v>267</v>
      </c>
      <c r="R187" s="367">
        <f t="shared" ca="1" si="549"/>
        <v>22.320767047930421</v>
      </c>
      <c r="S187" s="814">
        <f t="shared" si="474"/>
        <v>0.34942784225836909</v>
      </c>
      <c r="T187" s="813">
        <f t="shared" si="550"/>
        <v>0.99999999821788987</v>
      </c>
      <c r="U187" s="532">
        <f t="shared" si="551"/>
        <v>0.99999999999999978</v>
      </c>
      <c r="V187" s="379">
        <v>0</v>
      </c>
      <c r="W187" s="424">
        <f t="shared" si="576"/>
        <v>23.594090909090813</v>
      </c>
      <c r="X187" s="405">
        <f t="shared" si="577"/>
        <v>23.594090909090799</v>
      </c>
      <c r="Y187" s="313">
        <f t="shared" si="578"/>
        <v>22.250090909090812</v>
      </c>
      <c r="Z187" s="313">
        <f t="shared" ca="1" si="579"/>
        <v>22.250090909090797</v>
      </c>
      <c r="AA187" s="419">
        <f t="shared" si="493"/>
        <v>1.3440000000000001</v>
      </c>
      <c r="AB187" s="423">
        <f t="shared" ca="1" si="494"/>
        <v>1.3440000000000001</v>
      </c>
      <c r="AC187" s="221">
        <v>42083</v>
      </c>
      <c r="AD187" s="221">
        <v>42079</v>
      </c>
      <c r="AE187" s="221">
        <v>42078</v>
      </c>
      <c r="AF187" s="221">
        <v>42074</v>
      </c>
      <c r="AG187" s="241" t="s">
        <v>497</v>
      </c>
      <c r="AH187" s="239" t="s">
        <v>497</v>
      </c>
      <c r="AI187" s="141">
        <v>22</v>
      </c>
      <c r="AJ187" s="41">
        <v>14</v>
      </c>
      <c r="AK187" s="41">
        <v>8</v>
      </c>
      <c r="AL187" s="285">
        <v>22</v>
      </c>
      <c r="AM187" s="41">
        <v>10</v>
      </c>
      <c r="AN187" s="142">
        <v>12</v>
      </c>
      <c r="AO187" s="364">
        <v>6.1412494919293403E-2</v>
      </c>
      <c r="AP187" s="145">
        <f t="shared" ca="1" si="532"/>
        <v>0.42731500672922956</v>
      </c>
      <c r="AQ187" s="364">
        <v>5.4996607799106596E-2</v>
      </c>
      <c r="AR187" s="145">
        <f t="shared" ca="1" si="552"/>
        <v>0.46957969487809859</v>
      </c>
      <c r="AS187" s="264">
        <f t="shared" si="580"/>
        <v>0.14375454545454547</v>
      </c>
      <c r="AT187" s="149">
        <f t="shared" si="533"/>
        <v>0.14430000000000001</v>
      </c>
      <c r="AU187" s="149">
        <f t="shared" si="496"/>
        <v>0.14368181818181822</v>
      </c>
      <c r="AV187" s="263">
        <f t="shared" ca="1" si="560"/>
        <v>0.14234525927643915</v>
      </c>
      <c r="AW187" s="150" t="str">
        <f t="shared" ca="1" si="581"/>
        <v/>
      </c>
      <c r="AX187" s="149">
        <f t="shared" ca="1" si="553"/>
        <v>6.1551886152523541E-3</v>
      </c>
      <c r="AY187" s="149">
        <f t="shared" ca="1" si="554"/>
        <v>2.1513558555369223E-3</v>
      </c>
      <c r="AZ187" s="149">
        <f t="shared" ca="1" si="555"/>
        <v>2.123047344860116E-3</v>
      </c>
      <c r="BA187" s="149">
        <f t="shared" ca="1" si="556"/>
        <v>1.0000000000000823E-4</v>
      </c>
      <c r="BB187" s="149">
        <f t="shared" ca="1" si="557"/>
        <v>1.0000000000000823E-4</v>
      </c>
      <c r="BC187" s="149">
        <f t="shared" ca="1" si="558"/>
        <v>1.0000000000000823E-4</v>
      </c>
      <c r="BD187" s="143">
        <f t="shared" ca="1" si="582"/>
        <v>0</v>
      </c>
      <c r="BE187" s="144">
        <f t="shared" ca="1" si="583"/>
        <v>0</v>
      </c>
      <c r="BF187" s="40">
        <f t="shared" si="584"/>
        <v>2015</v>
      </c>
      <c r="BG187" s="139">
        <f t="shared" si="585"/>
        <v>4</v>
      </c>
      <c r="BH187" s="140">
        <f t="shared" ca="1" si="586"/>
        <v>5089</v>
      </c>
      <c r="BI187" s="304">
        <f t="shared" ca="1" si="570"/>
        <v>13.976728268309378</v>
      </c>
      <c r="BJ187" s="42">
        <f t="shared" ca="1" si="503"/>
        <v>14.02725406010827</v>
      </c>
      <c r="BK187" s="42">
        <f t="shared" ca="1" si="504"/>
        <v>14.029991910895403</v>
      </c>
      <c r="BL187" s="42">
        <f t="shared" ca="1" si="571"/>
        <v>14.056125941136209</v>
      </c>
      <c r="BM187" s="285">
        <f t="shared" si="572"/>
        <v>22</v>
      </c>
      <c r="BN187" s="41">
        <f t="shared" si="573"/>
        <v>14</v>
      </c>
      <c r="BO187" s="41">
        <f t="shared" si="574"/>
        <v>8</v>
      </c>
      <c r="BP187" s="297" t="str">
        <f t="shared" ca="1" si="505"/>
        <v/>
      </c>
      <c r="BQ187" s="297" t="str">
        <f t="shared" ca="1" si="506"/>
        <v/>
      </c>
      <c r="BR187" s="299" t="str">
        <f t="shared" ca="1" si="507"/>
        <v/>
      </c>
      <c r="BS187" s="153" t="str">
        <f t="shared" ca="1" si="508"/>
        <v/>
      </c>
      <c r="BT187" s="153" t="str">
        <f t="shared" ca="1" si="509"/>
        <v/>
      </c>
      <c r="BU187" s="300" t="str">
        <f t="shared" ca="1" si="510"/>
        <v/>
      </c>
      <c r="BV187" s="301" t="str">
        <f t="shared" ca="1" si="511"/>
        <v/>
      </c>
      <c r="BW187" s="300" t="str">
        <f t="shared" ca="1" si="512"/>
        <v/>
      </c>
      <c r="BX187" s="301" t="str">
        <f t="shared" ca="1" si="513"/>
        <v/>
      </c>
      <c r="BY187" s="146" t="str">
        <f t="shared" ca="1" si="514"/>
        <v/>
      </c>
      <c r="BZ187" s="146" t="str">
        <f t="shared" ca="1" si="515"/>
        <v/>
      </c>
      <c r="CA187" s="146" t="str">
        <f t="shared" ca="1" si="516"/>
        <v/>
      </c>
      <c r="CB187" s="146" t="str">
        <f t="shared" ca="1" si="517"/>
        <v/>
      </c>
      <c r="CC187" s="302">
        <v>1</v>
      </c>
      <c r="CD187" s="154">
        <f ca="1">IF(BD187,_xll.xCrudeAPO(BS187,BT187,BY187,BZ187,S188,S189,BI187,BL187,BN187,BO187,0,Strike1,AO187,CC187,0,BL187,IF(OptControl=4,0,1),0,1),0)</f>
        <v>0</v>
      </c>
      <c r="CE187" s="155">
        <f ca="1">IF(BD187,_xll.xCrudeAPO(BS187,BT187,BY187,BZ187,S188,S189,BI187,BL187,BN187,BO187,0,Strike1,AO187,CC187,0,BL187,IF(OptControl=4,0,1),1,1)+_xll.xCrudeAPO(BS187,BT187,BY187,BZ187,S188,S189,BI187,BL187,BN187,BO187,0,Strike1,AO187,CC187,0,BL187,IF(OptControl=4,0,1),1,2)+IF(OR(VolSkewFlag=2,ABS(BQ187)&lt;0.0001),0,IF(BQ187&gt;0,-1,1)*CF187*Strike1/BP187^2*BW187/10%),0)</f>
        <v>0</v>
      </c>
      <c r="CF187" s="155">
        <f ca="1">IF(BD187,(_xll.xCrudeAPO(BS187,BT187,BY187,BZ187,S188,S189,BI187,BL187,BN187,BO187,0,Strike1,AO187,CC187,0,BL187,IF(OptControl=4,0,1),3,1)+_xll.xCrudeAPO(BS187,BT187,BY187,BZ187,S188,S189,BI187,BL187,BN187,BO187,0,Strike1,AO187,CC187,0,BL187,IF(OptControl=4,0,1),3,2))/100,0)</f>
        <v>0</v>
      </c>
      <c r="CG187" s="155">
        <f ca="1">IF(BD187,_xll.xCrudeAPO(BS187,BT187,BY187,BZ187,S188,S189,BI187-DaysForThetaCalculation/365.25,BL187-DaysForThetaCalculation/365.25,BN187,BO187,0,Strike1,AO187,CC187,0,BL187,IF(OptControl=4,0,1),0,1)-_xll.xCrudeAPO(BS187,BT187,BY187,BZ187,S188,S189,BI187,BL187,BN187,BO187,0,Strike1,AO187,CC187,0,BL187,IF(OptControl=4,0,1),0,1),0)</f>
        <v>0</v>
      </c>
      <c r="CH187" s="303">
        <f ca="1">IF(BD187,_xll.xCrudeAPO(BS187,BT187,CA187,CB187,S188,S189,BI187,BL187,BN187,BO187,0,Strike2,AO187,CC187,0,BL187,IF(OptControl=3,1,0),0,1),0)</f>
        <v>0</v>
      </c>
      <c r="CI187" s="155">
        <f ca="1">IF(BD187,_xll.xCrudeAPO(BS187,BT187,CA187,CB187,S188,S189,BI187,BL187,BN187,BO187,0,Strike2,AO187,CC187,0,BL187,IF(OptControl=3,1,0),1,1)+_xll.xCrudeAPO(BS187,BT187,CA187,CB187,S188,S189,BI187,BL187,BN187,BO187,0,Strike2,AO187,CC187,0,BL187,IF(OptControl=3,1,0),1,2)+IF(OR(VolSkewFlag=2,ABS(BR187)&lt;0.0001),0,IF(BR187&gt;0,-1,1)*CJ187*Strike2/BP187^2*BX187/10%),0)</f>
        <v>0</v>
      </c>
      <c r="CJ187" s="155">
        <f ca="1">IF(BD187,(_xll.xCrudeAPO(BS187,BT187,CA187,CB187,S188,S189,BI187,BL187,BN187,BO187,0,Strike2,AO187,CC187,0,BL187,IF(OptControl=3,1,0),3,1)+_xll.xCrudeAPO(BS187,BT187,CA187,CB187,S188,S189,BI187,BL187,BN187,BO187,0,Strike2,AO187,CC187,0,BL187,IF(OptControl=3,1,0),3,2))/100,0)</f>
        <v>0</v>
      </c>
      <c r="CK187" s="156">
        <f ca="1">IF(BD187,_xll.xCrudeAPO(BS187,BT187,CA187,CB187,S188,S189,BI187-DaysForThetaCalculation/365.25,BL187-DaysForThetaCalculation/365.25,BN187,BO187,0,Strike2,AO187,CC187,0,BL187,IF(OptControl=3,1,0),0,1)-_xll.xCrudeAPO(BS187,BT187,CA187,CB187,S188,S189,BI187,BL187,BN187,BO187,0,Strike2,AO187,CC187,0,BL187,IF(OptControl=3,1,0),0,1),0)</f>
        <v>0</v>
      </c>
      <c r="CL187" s="51"/>
      <c r="CM187" s="779" t="str">
        <f t="shared" ca="1" si="534"/>
        <v/>
      </c>
      <c r="CN187" s="783" t="str">
        <f t="shared" ca="1" si="535"/>
        <v/>
      </c>
      <c r="CO187" s="780" t="str">
        <f t="shared" ca="1" si="536"/>
        <v/>
      </c>
      <c r="CP187" s="780" t="str">
        <f t="shared" ca="1" si="537"/>
        <v/>
      </c>
      <c r="CQ187" s="780" t="str">
        <f t="shared" ca="1" si="538"/>
        <v/>
      </c>
      <c r="CR187" s="780" t="str">
        <f t="shared" ca="1" si="539"/>
        <v/>
      </c>
      <c r="CS187" s="781" t="str">
        <f t="shared" ca="1" si="540"/>
        <v/>
      </c>
      <c r="CT187" s="782" t="str">
        <f t="shared" ca="1" si="541"/>
        <v/>
      </c>
      <c r="CU187" s="782" t="str">
        <f t="shared" ca="1" si="542"/>
        <v/>
      </c>
      <c r="CV187" s="155">
        <f ca="1">IF(BD187,_xll.EURO(CN187,Strike1,AO187,AO187,CT187,CM187,IF(OptControl=4,0,1),0),0)</f>
        <v>0</v>
      </c>
      <c r="CW187" s="155">
        <f ca="1">IF(BD187,_xll.EURO(CN187,Strike1,AO187,AO187,CT187,CM187,IF(OptControl=4,0,1),1)+IF(OR(VolSkewFlag=2,ABS(CO187)&lt;0.0001),0,IF(CO187&gt;0,-1,1)*CX187*100*Strike1/CN187^2*CQ187/10%),0)</f>
        <v>0</v>
      </c>
      <c r="CX187" s="155">
        <f ca="1">IF(BD187,_xll.EURO(CN187,Strike1,AO187,AO187,CT187,CM187,IF(OptControl=4,0,1),3)/100,0)</f>
        <v>0</v>
      </c>
      <c r="CY187" s="155">
        <f ca="1">IF(BD187,_xll.EURO(CN187,Strike1,AO187,AO187,CT187,CM187,IF(OptControl=4,0,1),0)-_xll.EURO(CN187,Strike1,AO187,AO187,CT187,CM187-1,IF(OptControl=4,0,1),0),0)</f>
        <v>0</v>
      </c>
      <c r="CZ187" s="155">
        <f ca="1">IF(BD187,_xll.EURO(CN187,Strike2,AO187,AO187,CU187,CM187,IF(OptControl=3,1,0),0),0)</f>
        <v>0</v>
      </c>
      <c r="DA187" s="155">
        <f ca="1">IF(BD187,_xll.EURO(CN187,Strike2,AO187,AO187,CU187,CM187,IF(OptControl=3,1,0),1)+IF(OR(VolSkewFlag=2,ABS(CP187)&lt;0.0001),0,IF(CP187&gt;0,-1,1)*DB187*100*Strike2/CN187^2*CR187/10%),0)</f>
        <v>0</v>
      </c>
      <c r="DB187" s="155">
        <f ca="1">IF(BD187,_xll.EURO(CN187,Strike2,AO187,AO187,CU187,CM187,IF(OptControl=3,1,0),3)/100,0)</f>
        <v>0</v>
      </c>
      <c r="DC187" s="156">
        <f ca="1">IF(BD187,_xll.EURO(CN187,Strike2,AO187,AO187,CU187,CM187,IF(OptControl=3,1,0),0)-_xll.EURO(CN187,Strike2,AO187,AO187,CU187,CM187-1,IF(OptControl=3,1,0),0),0)</f>
        <v>0</v>
      </c>
      <c r="DE187" s="651">
        <f t="shared" ca="1" si="543"/>
        <v>42005</v>
      </c>
      <c r="DF187" s="465">
        <v>1E-4</v>
      </c>
      <c r="DG187" s="649">
        <v>1E-4</v>
      </c>
      <c r="DH187" s="650">
        <f t="shared" ca="1" si="587"/>
        <v>42005</v>
      </c>
      <c r="DI187" s="465">
        <v>1E-4</v>
      </c>
      <c r="DJ187" s="649">
        <v>1E-4</v>
      </c>
      <c r="DK187" s="651">
        <f t="shared" ca="1" si="588"/>
        <v>42005</v>
      </c>
      <c r="DL187" s="652">
        <f t="shared" si="589"/>
        <v>5.0100000000000006E-2</v>
      </c>
      <c r="DM187" s="651">
        <f t="shared" ca="1" si="544"/>
        <v>42005</v>
      </c>
      <c r="DN187" s="563">
        <f t="shared" si="545"/>
        <v>-0.12990000000000002</v>
      </c>
      <c r="DO187" s="803">
        <v>-0.13</v>
      </c>
      <c r="DP187" s="650">
        <f t="shared" ca="1" si="590"/>
        <v>42005</v>
      </c>
      <c r="DQ187" s="653">
        <v>1E-4</v>
      </c>
      <c r="DR187" s="590">
        <v>1E-4</v>
      </c>
      <c r="DS187" s="650">
        <f t="shared" ca="1" si="591"/>
        <v>42005</v>
      </c>
      <c r="DT187" s="653">
        <v>1E-4</v>
      </c>
      <c r="DU187" s="590">
        <v>1E-4</v>
      </c>
      <c r="DV187" s="651">
        <f t="shared" ca="1" si="592"/>
        <v>42005</v>
      </c>
      <c r="DW187" s="590">
        <v>1E-4</v>
      </c>
      <c r="DX187" s="651">
        <f t="shared" ca="1" si="546"/>
        <v>42005</v>
      </c>
      <c r="DY187" s="590">
        <f t="shared" si="547"/>
        <v>1E-4</v>
      </c>
      <c r="DZ187" s="1"/>
      <c r="EA187" s="857"/>
      <c r="EB187" s="857"/>
      <c r="EC187" s="857"/>
      <c r="ED187" s="868" t="e">
        <f t="shared" ca="1" si="566"/>
        <v>#NAME?</v>
      </c>
      <c r="EE187" s="863" t="e">
        <f t="shared" ca="1" si="524"/>
        <v>#NAME?</v>
      </c>
      <c r="EF187" s="590" t="e">
        <f t="shared" ca="1" si="525"/>
        <v>#NAME?</v>
      </c>
      <c r="EG187" s="862" t="str">
        <f t="shared" ca="1" si="593"/>
        <v/>
      </c>
      <c r="EH187" s="114" t="str">
        <f t="shared" ca="1" si="527"/>
        <v/>
      </c>
      <c r="EI187" s="109" t="str">
        <f t="shared" ca="1" si="528"/>
        <v/>
      </c>
      <c r="EJ187" s="115">
        <f ca="1">IF(BD187,_xll.xASN(BP187,Strike1,AO187,EH187,0,BM187,0,BI187,BL187,IF(OptControl=4,0,1),0),0)</f>
        <v>0</v>
      </c>
      <c r="EK187" s="108">
        <f ca="1">IF(BD187,_xll.xASN(BP187,Strike2,AO187,EI187,0,BM187,0,BI187,BL187,IF(OptControl=3,1,0),0),0)</f>
        <v>0</v>
      </c>
      <c r="EP187" s="53"/>
      <c r="EQ187" s="1"/>
      <c r="ER187" s="103"/>
      <c r="ES187" s="103"/>
      <c r="ET187" s="1"/>
      <c r="EU187" s="667" t="s">
        <v>399</v>
      </c>
      <c r="EW187" s="445"/>
      <c r="EX187" s="36"/>
      <c r="EY187" s="104"/>
      <c r="EZ187" s="465"/>
      <c r="FA187" s="446"/>
      <c r="FB187" s="446"/>
      <c r="FC187" s="242"/>
      <c r="FD187" s="242"/>
      <c r="FE187" s="242"/>
      <c r="FF187" s="242"/>
      <c r="FG187" s="242"/>
      <c r="FH187" s="242"/>
      <c r="FI187" s="242"/>
      <c r="FJ187" s="242"/>
      <c r="FK187" s="242"/>
      <c r="FL187" s="242"/>
      <c r="FM187" s="242"/>
      <c r="FN187" s="657">
        <v>18</v>
      </c>
      <c r="FO187" s="469" t="str">
        <f ca="1">IF(OR(FO$169&lt;SwaptionFirstMonthPosition+1,$FN187&lt;SwaptionFirstMonthPosition+1,FO$169&gt;SwaptionFirstMonthPosition+SwaptionNumOfMonths+1,$FN187&gt;SwaptionFirstMonthPosition+SwaptionNumOfMonths+1),"",IF($FN187=FO$169,1,IF($FN187&lt;FO$169,INDEX($FO$170:$IH$241,FO$169,$FN187),SUMPRODUCT(INDEX($FO$325:$IH$396,FO$169,1+SwaptionShift):INDEX($FO$325:$IH$396,FO$169,SwaptionMonthsToGo+SwaptionShift),INDEX($FO$245:$IH$316,$FN187-FO$169,73-FO$169+SwaptionShift):INDEX($FO$245:$IH$316,$FN187-FO$169,72-FO$169+SwaptionMonthsToGo+SwaptionShift))/SQRT(SUM(INDEX($FO342:$IH342,1+SwaptionShift):INDEX($FO342:$IH342,SwaptionMonthsToGo+SwaptionShift))*SUM(INDEX($FO$325:$IH$396,FO$169,1+SwaptionShift):INDEX($FO$325:$IH$396,FO$169,SwaptionMonthsToGo+SwaptionShift))))))</f>
        <v/>
      </c>
      <c r="FP187" s="469" t="str">
        <f ca="1">IF(OR(FP$169&lt;SwaptionFirstMonthPosition+1,$FN187&lt;SwaptionFirstMonthPosition+1,FP$169&gt;SwaptionFirstMonthPosition+SwaptionNumOfMonths+1,$FN187&gt;SwaptionFirstMonthPosition+SwaptionNumOfMonths+1),"",IF($FN187=FP$169,1,IF($FN187&lt;FP$169,INDEX($FO$170:$IH$241,FP$169,$FN187),SUMPRODUCT(INDEX($FO$325:$IH$396,FP$169,1+SwaptionShift):INDEX($FO$325:$IH$396,FP$169,SwaptionMonthsToGo+SwaptionShift),INDEX($FO$245:$IH$316,$FN187-FP$169,73-FP$169+SwaptionShift):INDEX($FO$245:$IH$316,$FN187-FP$169,72-FP$169+SwaptionMonthsToGo+SwaptionShift))/SQRT(SUM(INDEX($FO342:$IH342,1+SwaptionShift):INDEX($FO342:$IH342,SwaptionMonthsToGo+SwaptionShift))*SUM(INDEX($FO$325:$IH$396,FP$169,1+SwaptionShift):INDEX($FO$325:$IH$396,FP$169,SwaptionMonthsToGo+SwaptionShift))))))</f>
        <v/>
      </c>
      <c r="FQ187" s="469" t="str">
        <f ca="1">IF(OR(FQ$169&lt;SwaptionFirstMonthPosition+1,$FN187&lt;SwaptionFirstMonthPosition+1,FQ$169&gt;SwaptionFirstMonthPosition+SwaptionNumOfMonths+1,$FN187&gt;SwaptionFirstMonthPosition+SwaptionNumOfMonths+1),"",IF($FN187=FQ$169,1,IF($FN187&lt;FQ$169,INDEX($FO$170:$IH$241,FQ$169,$FN187),SUMPRODUCT(INDEX($FO$325:$IH$396,FQ$169,1+SwaptionShift):INDEX($FO$325:$IH$396,FQ$169,SwaptionMonthsToGo+SwaptionShift),INDEX($FO$245:$IH$316,$FN187-FQ$169,73-FQ$169+SwaptionShift):INDEX($FO$245:$IH$316,$FN187-FQ$169,72-FQ$169+SwaptionMonthsToGo+SwaptionShift))/SQRT(SUM(INDEX($FO342:$IH342,1+SwaptionShift):INDEX($FO342:$IH342,SwaptionMonthsToGo+SwaptionShift))*SUM(INDEX($FO$325:$IH$396,FQ$169,1+SwaptionShift):INDEX($FO$325:$IH$396,FQ$169,SwaptionMonthsToGo+SwaptionShift))))))</f>
        <v/>
      </c>
      <c r="FR187" s="469" t="str">
        <f ca="1">IF(OR(FR$169&lt;SwaptionFirstMonthPosition+1,$FN187&lt;SwaptionFirstMonthPosition+1,FR$169&gt;SwaptionFirstMonthPosition+SwaptionNumOfMonths+1,$FN187&gt;SwaptionFirstMonthPosition+SwaptionNumOfMonths+1),"",IF($FN187=FR$169,1,IF($FN187&lt;FR$169,INDEX($FO$170:$IH$241,FR$169,$FN187),SUMPRODUCT(INDEX($FO$325:$IH$396,FR$169,1+SwaptionShift):INDEX($FO$325:$IH$396,FR$169,SwaptionMonthsToGo+SwaptionShift),INDEX($FO$245:$IH$316,$FN187-FR$169,73-FR$169+SwaptionShift):INDEX($FO$245:$IH$316,$FN187-FR$169,72-FR$169+SwaptionMonthsToGo+SwaptionShift))/SQRT(SUM(INDEX($FO342:$IH342,1+SwaptionShift):INDEX($FO342:$IH342,SwaptionMonthsToGo+SwaptionShift))*SUM(INDEX($FO$325:$IH$396,FR$169,1+SwaptionShift):INDEX($FO$325:$IH$396,FR$169,SwaptionMonthsToGo+SwaptionShift))))))</f>
        <v/>
      </c>
      <c r="FS187" s="469" t="str">
        <f ca="1">IF(OR(FS$169&lt;SwaptionFirstMonthPosition+1,$FN187&lt;SwaptionFirstMonthPosition+1,FS$169&gt;SwaptionFirstMonthPosition+SwaptionNumOfMonths+1,$FN187&gt;SwaptionFirstMonthPosition+SwaptionNumOfMonths+1),"",IF($FN187=FS$169,1,IF($FN187&lt;FS$169,INDEX($FO$170:$IH$241,FS$169,$FN187),SUMPRODUCT(INDEX($FO$325:$IH$396,FS$169,1+SwaptionShift):INDEX($FO$325:$IH$396,FS$169,SwaptionMonthsToGo+SwaptionShift),INDEX($FO$245:$IH$316,$FN187-FS$169,73-FS$169+SwaptionShift):INDEX($FO$245:$IH$316,$FN187-FS$169,72-FS$169+SwaptionMonthsToGo+SwaptionShift))/SQRT(SUM(INDEX($FO342:$IH342,1+SwaptionShift):INDEX($FO342:$IH342,SwaptionMonthsToGo+SwaptionShift))*SUM(INDEX($FO$325:$IH$396,FS$169,1+SwaptionShift):INDEX($FO$325:$IH$396,FS$169,SwaptionMonthsToGo+SwaptionShift))))))</f>
        <v/>
      </c>
      <c r="FT187" s="469" t="str">
        <f ca="1">IF(OR(FT$169&lt;SwaptionFirstMonthPosition+1,$FN187&lt;SwaptionFirstMonthPosition+1,FT$169&gt;SwaptionFirstMonthPosition+SwaptionNumOfMonths+1,$FN187&gt;SwaptionFirstMonthPosition+SwaptionNumOfMonths+1),"",IF($FN187=FT$169,1,IF($FN187&lt;FT$169,INDEX($FO$170:$IH$241,FT$169,$FN187),SUMPRODUCT(INDEX($FO$325:$IH$396,FT$169,1+SwaptionShift):INDEX($FO$325:$IH$396,FT$169,SwaptionMonthsToGo+SwaptionShift),INDEX($FO$245:$IH$316,$FN187-FT$169,73-FT$169+SwaptionShift):INDEX($FO$245:$IH$316,$FN187-FT$169,72-FT$169+SwaptionMonthsToGo+SwaptionShift))/SQRT(SUM(INDEX($FO342:$IH342,1+SwaptionShift):INDEX($FO342:$IH342,SwaptionMonthsToGo+SwaptionShift))*SUM(INDEX($FO$325:$IH$396,FT$169,1+SwaptionShift):INDEX($FO$325:$IH$396,FT$169,SwaptionMonthsToGo+SwaptionShift))))))</f>
        <v/>
      </c>
      <c r="FU187" s="469" t="str">
        <f ca="1">IF(OR(FU$169&lt;SwaptionFirstMonthPosition+1,$FN187&lt;SwaptionFirstMonthPosition+1,FU$169&gt;SwaptionFirstMonthPosition+SwaptionNumOfMonths+1,$FN187&gt;SwaptionFirstMonthPosition+SwaptionNumOfMonths+1),"",IF($FN187=FU$169,1,IF($FN187&lt;FU$169,INDEX($FO$170:$IH$241,FU$169,$FN187),SUMPRODUCT(INDEX($FO$325:$IH$396,FU$169,1+SwaptionShift):INDEX($FO$325:$IH$396,FU$169,SwaptionMonthsToGo+SwaptionShift),INDEX($FO$245:$IH$316,$FN187-FU$169,73-FU$169+SwaptionShift):INDEX($FO$245:$IH$316,$FN187-FU$169,72-FU$169+SwaptionMonthsToGo+SwaptionShift))/SQRT(SUM(INDEX($FO342:$IH342,1+SwaptionShift):INDEX($FO342:$IH342,SwaptionMonthsToGo+SwaptionShift))*SUM(INDEX($FO$325:$IH$396,FU$169,1+SwaptionShift):INDEX($FO$325:$IH$396,FU$169,SwaptionMonthsToGo+SwaptionShift))))))</f>
        <v/>
      </c>
      <c r="FV187" s="469" t="str">
        <f ca="1">IF(OR(FV$169&lt;SwaptionFirstMonthPosition+1,$FN187&lt;SwaptionFirstMonthPosition+1,FV$169&gt;SwaptionFirstMonthPosition+SwaptionNumOfMonths+1,$FN187&gt;SwaptionFirstMonthPosition+SwaptionNumOfMonths+1),"",IF($FN187=FV$169,1,IF($FN187&lt;FV$169,INDEX($FO$170:$IH$241,FV$169,$FN187),SUMPRODUCT(INDEX($FO$325:$IH$396,FV$169,1+SwaptionShift):INDEX($FO$325:$IH$396,FV$169,SwaptionMonthsToGo+SwaptionShift),INDEX($FO$245:$IH$316,$FN187-FV$169,73-FV$169+SwaptionShift):INDEX($FO$245:$IH$316,$FN187-FV$169,72-FV$169+SwaptionMonthsToGo+SwaptionShift))/SQRT(SUM(INDEX($FO342:$IH342,1+SwaptionShift):INDEX($FO342:$IH342,SwaptionMonthsToGo+SwaptionShift))*SUM(INDEX($FO$325:$IH$396,FV$169,1+SwaptionShift):INDEX($FO$325:$IH$396,FV$169,SwaptionMonthsToGo+SwaptionShift))))))</f>
        <v/>
      </c>
      <c r="FW187" s="469" t="str">
        <f ca="1">IF(OR(FW$169&lt;SwaptionFirstMonthPosition+1,$FN187&lt;SwaptionFirstMonthPosition+1,FW$169&gt;SwaptionFirstMonthPosition+SwaptionNumOfMonths+1,$FN187&gt;SwaptionFirstMonthPosition+SwaptionNumOfMonths+1),"",IF($FN187=FW$169,1,IF($FN187&lt;FW$169,INDEX($FO$170:$IH$241,FW$169,$FN187),SUMPRODUCT(INDEX($FO$325:$IH$396,FW$169,1+SwaptionShift):INDEX($FO$325:$IH$396,FW$169,SwaptionMonthsToGo+SwaptionShift),INDEX($FO$245:$IH$316,$FN187-FW$169,73-FW$169+SwaptionShift):INDEX($FO$245:$IH$316,$FN187-FW$169,72-FW$169+SwaptionMonthsToGo+SwaptionShift))/SQRT(SUM(INDEX($FO342:$IH342,1+SwaptionShift):INDEX($FO342:$IH342,SwaptionMonthsToGo+SwaptionShift))*SUM(INDEX($FO$325:$IH$396,FW$169,1+SwaptionShift):INDEX($FO$325:$IH$396,FW$169,SwaptionMonthsToGo+SwaptionShift))))))</f>
        <v/>
      </c>
      <c r="FX187" s="469" t="str">
        <f ca="1">IF(OR(FX$169&lt;SwaptionFirstMonthPosition+1,$FN187&lt;SwaptionFirstMonthPosition+1,FX$169&gt;SwaptionFirstMonthPosition+SwaptionNumOfMonths+1,$FN187&gt;SwaptionFirstMonthPosition+SwaptionNumOfMonths+1),"",IF($FN187=FX$169,1,IF($FN187&lt;FX$169,INDEX($FO$170:$IH$241,FX$169,$FN187),SUMPRODUCT(INDEX($FO$325:$IH$396,FX$169,1+SwaptionShift):INDEX($FO$325:$IH$396,FX$169,SwaptionMonthsToGo+SwaptionShift),INDEX($FO$245:$IH$316,$FN187-FX$169,73-FX$169+SwaptionShift):INDEX($FO$245:$IH$316,$FN187-FX$169,72-FX$169+SwaptionMonthsToGo+SwaptionShift))/SQRT(SUM(INDEX($FO342:$IH342,1+SwaptionShift):INDEX($FO342:$IH342,SwaptionMonthsToGo+SwaptionShift))*SUM(INDEX($FO$325:$IH$396,FX$169,1+SwaptionShift):INDEX($FO$325:$IH$396,FX$169,SwaptionMonthsToGo+SwaptionShift))))))</f>
        <v/>
      </c>
      <c r="FY187" s="469" t="str">
        <f ca="1">IF(OR(FY$169&lt;SwaptionFirstMonthPosition+1,$FN187&lt;SwaptionFirstMonthPosition+1,FY$169&gt;SwaptionFirstMonthPosition+SwaptionNumOfMonths+1,$FN187&gt;SwaptionFirstMonthPosition+SwaptionNumOfMonths+1),"",IF($FN187=FY$169,1,IF($FN187&lt;FY$169,INDEX($FO$170:$IH$241,FY$169,$FN187),SUMPRODUCT(INDEX($FO$325:$IH$396,FY$169,1+SwaptionShift):INDEX($FO$325:$IH$396,FY$169,SwaptionMonthsToGo+SwaptionShift),INDEX($FO$245:$IH$316,$FN187-FY$169,73-FY$169+SwaptionShift):INDEX($FO$245:$IH$316,$FN187-FY$169,72-FY$169+SwaptionMonthsToGo+SwaptionShift))/SQRT(SUM(INDEX($FO342:$IH342,1+SwaptionShift):INDEX($FO342:$IH342,SwaptionMonthsToGo+SwaptionShift))*SUM(INDEX($FO$325:$IH$396,FY$169,1+SwaptionShift):INDEX($FO$325:$IH$396,FY$169,SwaptionMonthsToGo+SwaptionShift))))))</f>
        <v/>
      </c>
      <c r="FZ187" s="469" t="str">
        <f ca="1">IF(OR(FZ$169&lt;SwaptionFirstMonthPosition+1,$FN187&lt;SwaptionFirstMonthPosition+1,FZ$169&gt;SwaptionFirstMonthPosition+SwaptionNumOfMonths+1,$FN187&gt;SwaptionFirstMonthPosition+SwaptionNumOfMonths+1),"",IF($FN187=FZ$169,1,IF($FN187&lt;FZ$169,INDEX($FO$170:$IH$241,FZ$169,$FN187),SUMPRODUCT(INDEX($FO$325:$IH$396,FZ$169,1+SwaptionShift):INDEX($FO$325:$IH$396,FZ$169,SwaptionMonthsToGo+SwaptionShift),INDEX($FO$245:$IH$316,$FN187-FZ$169,73-FZ$169+SwaptionShift):INDEX($FO$245:$IH$316,$FN187-FZ$169,72-FZ$169+SwaptionMonthsToGo+SwaptionShift))/SQRT(SUM(INDEX($FO342:$IH342,1+SwaptionShift):INDEX($FO342:$IH342,SwaptionMonthsToGo+SwaptionShift))*SUM(INDEX($FO$325:$IH$396,FZ$169,1+SwaptionShift):INDEX($FO$325:$IH$396,FZ$169,SwaptionMonthsToGo+SwaptionShift))))))</f>
        <v/>
      </c>
      <c r="GA187" s="469" t="str">
        <f ca="1">IF(OR(GA$169&lt;SwaptionFirstMonthPosition+1,$FN187&lt;SwaptionFirstMonthPosition+1,GA$169&gt;SwaptionFirstMonthPosition+SwaptionNumOfMonths+1,$FN187&gt;SwaptionFirstMonthPosition+SwaptionNumOfMonths+1),"",IF($FN187=GA$169,1,IF($FN187&lt;GA$169,INDEX($FO$170:$IH$241,GA$169,$FN187),SUMPRODUCT(INDEX($FO$325:$IH$396,GA$169,1+SwaptionShift):INDEX($FO$325:$IH$396,GA$169,SwaptionMonthsToGo+SwaptionShift),INDEX($FO$245:$IH$316,$FN187-GA$169,73-GA$169+SwaptionShift):INDEX($FO$245:$IH$316,$FN187-GA$169,72-GA$169+SwaptionMonthsToGo+SwaptionShift))/SQRT(SUM(INDEX($FO342:$IH342,1+SwaptionShift):INDEX($FO342:$IH342,SwaptionMonthsToGo+SwaptionShift))*SUM(INDEX($FO$325:$IH$396,GA$169,1+SwaptionShift):INDEX($FO$325:$IH$396,GA$169,SwaptionMonthsToGo+SwaptionShift))))))</f>
        <v/>
      </c>
      <c r="GB187" s="469" t="str">
        <f ca="1">IF(OR(GB$169&lt;SwaptionFirstMonthPosition+1,$FN187&lt;SwaptionFirstMonthPosition+1,GB$169&gt;SwaptionFirstMonthPosition+SwaptionNumOfMonths+1,$FN187&gt;SwaptionFirstMonthPosition+SwaptionNumOfMonths+1),"",IF($FN187=GB$169,1,IF($FN187&lt;GB$169,INDEX($FO$170:$IH$241,GB$169,$FN187),SUMPRODUCT(INDEX($FO$325:$IH$396,GB$169,1+SwaptionShift):INDEX($FO$325:$IH$396,GB$169,SwaptionMonthsToGo+SwaptionShift),INDEX($FO$245:$IH$316,$FN187-GB$169,73-GB$169+SwaptionShift):INDEX($FO$245:$IH$316,$FN187-GB$169,72-GB$169+SwaptionMonthsToGo+SwaptionShift))/SQRT(SUM(INDEX($FO342:$IH342,1+SwaptionShift):INDEX($FO342:$IH342,SwaptionMonthsToGo+SwaptionShift))*SUM(INDEX($FO$325:$IH$396,GB$169,1+SwaptionShift):INDEX($FO$325:$IH$396,GB$169,SwaptionMonthsToGo+SwaptionShift))))))</f>
        <v/>
      </c>
      <c r="GC187" s="469" t="str">
        <f ca="1">IF(OR(GC$169&lt;SwaptionFirstMonthPosition+1,$FN187&lt;SwaptionFirstMonthPosition+1,GC$169&gt;SwaptionFirstMonthPosition+SwaptionNumOfMonths+1,$FN187&gt;SwaptionFirstMonthPosition+SwaptionNumOfMonths+1),"",IF($FN187=GC$169,1,IF($FN187&lt;GC$169,INDEX($FO$170:$IH$241,GC$169,$FN187),SUMPRODUCT(INDEX($FO$325:$IH$396,GC$169,1+SwaptionShift):INDEX($FO$325:$IH$396,GC$169,SwaptionMonthsToGo+SwaptionShift),INDEX($FO$245:$IH$316,$FN187-GC$169,73-GC$169+SwaptionShift):INDEX($FO$245:$IH$316,$FN187-GC$169,72-GC$169+SwaptionMonthsToGo+SwaptionShift))/SQRT(SUM(INDEX($FO342:$IH342,1+SwaptionShift):INDEX($FO342:$IH342,SwaptionMonthsToGo+SwaptionShift))*SUM(INDEX($FO$325:$IH$396,GC$169,1+SwaptionShift):INDEX($FO$325:$IH$396,GC$169,SwaptionMonthsToGo+SwaptionShift))))))</f>
        <v/>
      </c>
      <c r="GD187" s="469" t="str">
        <f ca="1">IF(OR(GD$169&lt;SwaptionFirstMonthPosition+1,$FN187&lt;SwaptionFirstMonthPosition+1,GD$169&gt;SwaptionFirstMonthPosition+SwaptionNumOfMonths+1,$FN187&gt;SwaptionFirstMonthPosition+SwaptionNumOfMonths+1),"",IF($FN187=GD$169,1,IF($FN187&lt;GD$169,INDEX($FO$170:$IH$241,GD$169,$FN187),SUMPRODUCT(INDEX($FO$325:$IH$396,GD$169,1+SwaptionShift):INDEX($FO$325:$IH$396,GD$169,SwaptionMonthsToGo+SwaptionShift),INDEX($FO$245:$IH$316,$FN187-GD$169,73-GD$169+SwaptionShift):INDEX($FO$245:$IH$316,$FN187-GD$169,72-GD$169+SwaptionMonthsToGo+SwaptionShift))/SQRT(SUM(INDEX($FO342:$IH342,1+SwaptionShift):INDEX($FO342:$IH342,SwaptionMonthsToGo+SwaptionShift))*SUM(INDEX($FO$325:$IH$396,GD$169,1+SwaptionShift):INDEX($FO$325:$IH$396,GD$169,SwaptionMonthsToGo+SwaptionShift))))))</f>
        <v/>
      </c>
      <c r="GE187" s="469" t="str">
        <f ca="1">IF(OR(GE$169&lt;SwaptionFirstMonthPosition+1,$FN187&lt;SwaptionFirstMonthPosition+1,GE$169&gt;SwaptionFirstMonthPosition+SwaptionNumOfMonths+1,$FN187&gt;SwaptionFirstMonthPosition+SwaptionNumOfMonths+1),"",IF($FN187=GE$169,1,IF($FN187&lt;GE$169,INDEX($FO$170:$IH$241,GE$169,$FN187),SUMPRODUCT(INDEX($FO$325:$IH$396,GE$169,1+SwaptionShift):INDEX($FO$325:$IH$396,GE$169,SwaptionMonthsToGo+SwaptionShift),INDEX($FO$245:$IH$316,$FN187-GE$169,73-GE$169+SwaptionShift):INDEX($FO$245:$IH$316,$FN187-GE$169,72-GE$169+SwaptionMonthsToGo+SwaptionShift))/SQRT(SUM(INDEX($FO342:$IH342,1+SwaptionShift):INDEX($FO342:$IH342,SwaptionMonthsToGo+SwaptionShift))*SUM(INDEX($FO$325:$IH$396,GE$169,1+SwaptionShift):INDEX($FO$325:$IH$396,GE$169,SwaptionMonthsToGo+SwaptionShift))))))</f>
        <v/>
      </c>
      <c r="GF187" s="469" t="str">
        <f ca="1">IF(OR(GF$169&lt;SwaptionFirstMonthPosition+1,$FN187&lt;SwaptionFirstMonthPosition+1,GF$169&gt;SwaptionFirstMonthPosition+SwaptionNumOfMonths+1,$FN187&gt;SwaptionFirstMonthPosition+SwaptionNumOfMonths+1),"",IF($FN187=GF$169,1,IF($FN187&lt;GF$169,INDEX($FO$170:$IH$241,GF$169,$FN187),SUMPRODUCT(INDEX($FO$325:$IH$396,GF$169,1+SwaptionShift):INDEX($FO$325:$IH$396,GF$169,SwaptionMonthsToGo+SwaptionShift),INDEX($FO$245:$IH$316,$FN187-GF$169,73-GF$169+SwaptionShift):INDEX($FO$245:$IH$316,$FN187-GF$169,72-GF$169+SwaptionMonthsToGo+SwaptionShift))/SQRT(SUM(INDEX($FO342:$IH342,1+SwaptionShift):INDEX($FO342:$IH342,SwaptionMonthsToGo+SwaptionShift))*SUM(INDEX($FO$325:$IH$396,GF$169,1+SwaptionShift):INDEX($FO$325:$IH$396,GF$169,SwaptionMonthsToGo+SwaptionShift))))))</f>
        <v/>
      </c>
      <c r="GG187" s="469" t="str">
        <f ca="1">IF(OR(GG$169&lt;SwaptionFirstMonthPosition+1,$FN187&lt;SwaptionFirstMonthPosition+1,GG$169&gt;SwaptionFirstMonthPosition+SwaptionNumOfMonths+1,$FN187&gt;SwaptionFirstMonthPosition+SwaptionNumOfMonths+1),"",IF($FN187=GG$169,1,IF($FN187&lt;GG$169,INDEX($FO$170:$IH$241,GG$169,$FN187),SUMPRODUCT(INDEX($FO$325:$IH$396,GG$169,1+SwaptionShift):INDEX($FO$325:$IH$396,GG$169,SwaptionMonthsToGo+SwaptionShift),INDEX($FO$245:$IH$316,$FN187-GG$169,73-GG$169+SwaptionShift):INDEX($FO$245:$IH$316,$FN187-GG$169,72-GG$169+SwaptionMonthsToGo+SwaptionShift))/SQRT(SUM(INDEX($FO342:$IH342,1+SwaptionShift):INDEX($FO342:$IH342,SwaptionMonthsToGo+SwaptionShift))*SUM(INDEX($FO$325:$IH$396,GG$169,1+SwaptionShift):INDEX($FO$325:$IH$396,GG$169,SwaptionMonthsToGo+SwaptionShift))))))</f>
        <v/>
      </c>
      <c r="GH187" s="469" t="str">
        <f ca="1">IF(OR(GH$169&lt;SwaptionFirstMonthPosition+1,$FN187&lt;SwaptionFirstMonthPosition+1,GH$169&gt;SwaptionFirstMonthPosition+SwaptionNumOfMonths+1,$FN187&gt;SwaptionFirstMonthPosition+SwaptionNumOfMonths+1),"",IF($FN187=GH$169,1,IF($FN187&lt;GH$169,INDEX($FO$170:$IH$241,GH$169,$FN187),SUMPRODUCT(INDEX($FO$325:$IH$396,GH$169,1+SwaptionShift):INDEX($FO$325:$IH$396,GH$169,SwaptionMonthsToGo+SwaptionShift),INDEX($FO$245:$IH$316,$FN187-GH$169,73-GH$169+SwaptionShift):INDEX($FO$245:$IH$316,$FN187-GH$169,72-GH$169+SwaptionMonthsToGo+SwaptionShift))/SQRT(SUM(INDEX($FO342:$IH342,1+SwaptionShift):INDEX($FO342:$IH342,SwaptionMonthsToGo+SwaptionShift))*SUM(INDEX($FO$325:$IH$396,GH$169,1+SwaptionShift):INDEX($FO$325:$IH$396,GH$169,SwaptionMonthsToGo+SwaptionShift))))))</f>
        <v/>
      </c>
      <c r="GI187" s="469" t="str">
        <f ca="1">IF(OR(GI$169&lt;SwaptionFirstMonthPosition+1,$FN187&lt;SwaptionFirstMonthPosition+1,GI$169&gt;SwaptionFirstMonthPosition+SwaptionNumOfMonths+1,$FN187&gt;SwaptionFirstMonthPosition+SwaptionNumOfMonths+1),"",IF($FN187=GI$169,1,IF($FN187&lt;GI$169,INDEX($FO$170:$IH$241,GI$169,$FN187),SUMPRODUCT(INDEX($FO$325:$IH$396,GI$169,1+SwaptionShift):INDEX($FO$325:$IH$396,GI$169,SwaptionMonthsToGo+SwaptionShift),INDEX($FO$245:$IH$316,$FN187-GI$169,73-GI$169+SwaptionShift):INDEX($FO$245:$IH$316,$FN187-GI$169,72-GI$169+SwaptionMonthsToGo+SwaptionShift))/SQRT(SUM(INDEX($FO342:$IH342,1+SwaptionShift):INDEX($FO342:$IH342,SwaptionMonthsToGo+SwaptionShift))*SUM(INDEX($FO$325:$IH$396,GI$169,1+SwaptionShift):INDEX($FO$325:$IH$396,GI$169,SwaptionMonthsToGo+SwaptionShift))))))</f>
        <v/>
      </c>
      <c r="GJ187" s="469" t="str">
        <f ca="1">IF(OR(GJ$169&lt;SwaptionFirstMonthPosition+1,$FN187&lt;SwaptionFirstMonthPosition+1,GJ$169&gt;SwaptionFirstMonthPosition+SwaptionNumOfMonths+1,$FN187&gt;SwaptionFirstMonthPosition+SwaptionNumOfMonths+1),"",IF($FN187=GJ$169,1,IF($FN187&lt;GJ$169,INDEX($FO$170:$IH$241,GJ$169,$FN187),SUMPRODUCT(INDEX($FO$325:$IH$396,GJ$169,1+SwaptionShift):INDEX($FO$325:$IH$396,GJ$169,SwaptionMonthsToGo+SwaptionShift),INDEX($FO$245:$IH$316,$FN187-GJ$169,73-GJ$169+SwaptionShift):INDEX($FO$245:$IH$316,$FN187-GJ$169,72-GJ$169+SwaptionMonthsToGo+SwaptionShift))/SQRT(SUM(INDEX($FO342:$IH342,1+SwaptionShift):INDEX($FO342:$IH342,SwaptionMonthsToGo+SwaptionShift))*SUM(INDEX($FO$325:$IH$396,GJ$169,1+SwaptionShift):INDEX($FO$325:$IH$396,GJ$169,SwaptionMonthsToGo+SwaptionShift))))))</f>
        <v/>
      </c>
      <c r="GK187" s="469" t="str">
        <f ca="1">IF(OR(GK$169&lt;SwaptionFirstMonthPosition+1,$FN187&lt;SwaptionFirstMonthPosition+1,GK$169&gt;SwaptionFirstMonthPosition+SwaptionNumOfMonths+1,$FN187&gt;SwaptionFirstMonthPosition+SwaptionNumOfMonths+1),"",IF($FN187=GK$169,1,IF($FN187&lt;GK$169,INDEX($FO$170:$IH$241,GK$169,$FN187),SUMPRODUCT(INDEX($FO$325:$IH$396,GK$169,1+SwaptionShift):INDEX($FO$325:$IH$396,GK$169,SwaptionMonthsToGo+SwaptionShift),INDEX($FO$245:$IH$316,$FN187-GK$169,73-GK$169+SwaptionShift):INDEX($FO$245:$IH$316,$FN187-GK$169,72-GK$169+SwaptionMonthsToGo+SwaptionShift))/SQRT(SUM(INDEX($FO342:$IH342,1+SwaptionShift):INDEX($FO342:$IH342,SwaptionMonthsToGo+SwaptionShift))*SUM(INDEX($FO$325:$IH$396,GK$169,1+SwaptionShift):INDEX($FO$325:$IH$396,GK$169,SwaptionMonthsToGo+SwaptionShift))))))</f>
        <v/>
      </c>
      <c r="GL187" s="469" t="str">
        <f ca="1">IF(OR(GL$169&lt;SwaptionFirstMonthPosition+1,$FN187&lt;SwaptionFirstMonthPosition+1,GL$169&gt;SwaptionFirstMonthPosition+SwaptionNumOfMonths+1,$FN187&gt;SwaptionFirstMonthPosition+SwaptionNumOfMonths+1),"",IF($FN187=GL$169,1,IF($FN187&lt;GL$169,INDEX($FO$170:$IH$241,GL$169,$FN187),SUMPRODUCT(INDEX($FO$325:$IH$396,GL$169,1+SwaptionShift):INDEX($FO$325:$IH$396,GL$169,SwaptionMonthsToGo+SwaptionShift),INDEX($FO$245:$IH$316,$FN187-GL$169,73-GL$169+SwaptionShift):INDEX($FO$245:$IH$316,$FN187-GL$169,72-GL$169+SwaptionMonthsToGo+SwaptionShift))/SQRT(SUM(INDEX($FO342:$IH342,1+SwaptionShift):INDEX($FO342:$IH342,SwaptionMonthsToGo+SwaptionShift))*SUM(INDEX($FO$325:$IH$396,GL$169,1+SwaptionShift):INDEX($FO$325:$IH$396,GL$169,SwaptionMonthsToGo+SwaptionShift))))))</f>
        <v/>
      </c>
      <c r="GM187" s="469" t="str">
        <f ca="1">IF(OR(GM$169&lt;SwaptionFirstMonthPosition+1,$FN187&lt;SwaptionFirstMonthPosition+1,GM$169&gt;SwaptionFirstMonthPosition+SwaptionNumOfMonths+1,$FN187&gt;SwaptionFirstMonthPosition+SwaptionNumOfMonths+1),"",IF($FN187=GM$169,1,IF($FN187&lt;GM$169,INDEX($FO$170:$IH$241,GM$169,$FN187),SUMPRODUCT(INDEX($FO$325:$IH$396,GM$169,1+SwaptionShift):INDEX($FO$325:$IH$396,GM$169,SwaptionMonthsToGo+SwaptionShift),INDEX($FO$245:$IH$316,$FN187-GM$169,73-GM$169+SwaptionShift):INDEX($FO$245:$IH$316,$FN187-GM$169,72-GM$169+SwaptionMonthsToGo+SwaptionShift))/SQRT(SUM(INDEX($FO342:$IH342,1+SwaptionShift):INDEX($FO342:$IH342,SwaptionMonthsToGo+SwaptionShift))*SUM(INDEX($FO$325:$IH$396,GM$169,1+SwaptionShift):INDEX($FO$325:$IH$396,GM$169,SwaptionMonthsToGo+SwaptionShift))))))</f>
        <v/>
      </c>
      <c r="GN187" s="469" t="str">
        <f ca="1">IF(OR(GN$169&lt;SwaptionFirstMonthPosition+1,$FN187&lt;SwaptionFirstMonthPosition+1,GN$169&gt;SwaptionFirstMonthPosition+SwaptionNumOfMonths+1,$FN187&gt;SwaptionFirstMonthPosition+SwaptionNumOfMonths+1),"",IF($FN187=GN$169,1,IF($FN187&lt;GN$169,INDEX($FO$170:$IH$241,GN$169,$FN187),SUMPRODUCT(INDEX($FO$325:$IH$396,GN$169,1+SwaptionShift):INDEX($FO$325:$IH$396,GN$169,SwaptionMonthsToGo+SwaptionShift),INDEX($FO$245:$IH$316,$FN187-GN$169,73-GN$169+SwaptionShift):INDEX($FO$245:$IH$316,$FN187-GN$169,72-GN$169+SwaptionMonthsToGo+SwaptionShift))/SQRT(SUM(INDEX($FO342:$IH342,1+SwaptionShift):INDEX($FO342:$IH342,SwaptionMonthsToGo+SwaptionShift))*SUM(INDEX($FO$325:$IH$396,GN$169,1+SwaptionShift):INDEX($FO$325:$IH$396,GN$169,SwaptionMonthsToGo+SwaptionShift))))))</f>
        <v/>
      </c>
      <c r="GO187" s="469" t="str">
        <f ca="1">IF(OR(GO$169&lt;SwaptionFirstMonthPosition+1,$FN187&lt;SwaptionFirstMonthPosition+1,GO$169&gt;SwaptionFirstMonthPosition+SwaptionNumOfMonths+1,$FN187&gt;SwaptionFirstMonthPosition+SwaptionNumOfMonths+1),"",IF($FN187=GO$169,1,IF($FN187&lt;GO$169,INDEX($FO$170:$IH$241,GO$169,$FN187),SUMPRODUCT(INDEX($FO$325:$IH$396,GO$169,1+SwaptionShift):INDEX($FO$325:$IH$396,GO$169,SwaptionMonthsToGo+SwaptionShift),INDEX($FO$245:$IH$316,$FN187-GO$169,73-GO$169+SwaptionShift):INDEX($FO$245:$IH$316,$FN187-GO$169,72-GO$169+SwaptionMonthsToGo+SwaptionShift))/SQRT(SUM(INDEX($FO342:$IH342,1+SwaptionShift):INDEX($FO342:$IH342,SwaptionMonthsToGo+SwaptionShift))*SUM(INDEX($FO$325:$IH$396,GO$169,1+SwaptionShift):INDEX($FO$325:$IH$396,GO$169,SwaptionMonthsToGo+SwaptionShift))))))</f>
        <v/>
      </c>
      <c r="GP187" s="469" t="str">
        <f ca="1">IF(OR(GP$169&lt;SwaptionFirstMonthPosition+1,$FN187&lt;SwaptionFirstMonthPosition+1,GP$169&gt;SwaptionFirstMonthPosition+SwaptionNumOfMonths+1,$FN187&gt;SwaptionFirstMonthPosition+SwaptionNumOfMonths+1),"",IF($FN187=GP$169,1,IF($FN187&lt;GP$169,INDEX($FO$170:$IH$241,GP$169,$FN187),SUMPRODUCT(INDEX($FO$325:$IH$396,GP$169,1+SwaptionShift):INDEX($FO$325:$IH$396,GP$169,SwaptionMonthsToGo+SwaptionShift),INDEX($FO$245:$IH$316,$FN187-GP$169,73-GP$169+SwaptionShift):INDEX($FO$245:$IH$316,$FN187-GP$169,72-GP$169+SwaptionMonthsToGo+SwaptionShift))/SQRT(SUM(INDEX($FO342:$IH342,1+SwaptionShift):INDEX($FO342:$IH342,SwaptionMonthsToGo+SwaptionShift))*SUM(INDEX($FO$325:$IH$396,GP$169,1+SwaptionShift):INDEX($FO$325:$IH$396,GP$169,SwaptionMonthsToGo+SwaptionShift))))))</f>
        <v/>
      </c>
      <c r="GQ187" s="469" t="str">
        <f ca="1">IF(OR(GQ$169&lt;SwaptionFirstMonthPosition+1,$FN187&lt;SwaptionFirstMonthPosition+1,GQ$169&gt;SwaptionFirstMonthPosition+SwaptionNumOfMonths+1,$FN187&gt;SwaptionFirstMonthPosition+SwaptionNumOfMonths+1),"",IF($FN187=GQ$169,1,IF($FN187&lt;GQ$169,INDEX($FO$170:$IH$241,GQ$169,$FN187),SUMPRODUCT(INDEX($FO$325:$IH$396,GQ$169,1+SwaptionShift):INDEX($FO$325:$IH$396,GQ$169,SwaptionMonthsToGo+SwaptionShift),INDEX($FO$245:$IH$316,$FN187-GQ$169,73-GQ$169+SwaptionShift):INDEX($FO$245:$IH$316,$FN187-GQ$169,72-GQ$169+SwaptionMonthsToGo+SwaptionShift))/SQRT(SUM(INDEX($FO342:$IH342,1+SwaptionShift):INDEX($FO342:$IH342,SwaptionMonthsToGo+SwaptionShift))*SUM(INDEX($FO$325:$IH$396,GQ$169,1+SwaptionShift):INDEX($FO$325:$IH$396,GQ$169,SwaptionMonthsToGo+SwaptionShift))))))</f>
        <v/>
      </c>
      <c r="GR187" s="469" t="str">
        <f ca="1">IF(OR(GR$169&lt;SwaptionFirstMonthPosition+1,$FN187&lt;SwaptionFirstMonthPosition+1,GR$169&gt;SwaptionFirstMonthPosition+SwaptionNumOfMonths+1,$FN187&gt;SwaptionFirstMonthPosition+SwaptionNumOfMonths+1),"",IF($FN187=GR$169,1,IF($FN187&lt;GR$169,INDEX($FO$170:$IH$241,GR$169,$FN187),SUMPRODUCT(INDEX($FO$325:$IH$396,GR$169,1+SwaptionShift):INDEX($FO$325:$IH$396,GR$169,SwaptionMonthsToGo+SwaptionShift),INDEX($FO$245:$IH$316,$FN187-GR$169,73-GR$169+SwaptionShift):INDEX($FO$245:$IH$316,$FN187-GR$169,72-GR$169+SwaptionMonthsToGo+SwaptionShift))/SQRT(SUM(INDEX($FO342:$IH342,1+SwaptionShift):INDEX($FO342:$IH342,SwaptionMonthsToGo+SwaptionShift))*SUM(INDEX($FO$325:$IH$396,GR$169,1+SwaptionShift):INDEX($FO$325:$IH$396,GR$169,SwaptionMonthsToGo+SwaptionShift))))))</f>
        <v/>
      </c>
      <c r="GS187" s="469" t="str">
        <f ca="1">IF(OR(GS$169&lt;SwaptionFirstMonthPosition+1,$FN187&lt;SwaptionFirstMonthPosition+1,GS$169&gt;SwaptionFirstMonthPosition+SwaptionNumOfMonths+1,$FN187&gt;SwaptionFirstMonthPosition+SwaptionNumOfMonths+1),"",IF($FN187=GS$169,1,IF($FN187&lt;GS$169,INDEX($FO$170:$IH$241,GS$169,$FN187),SUMPRODUCT(INDEX($FO$325:$IH$396,GS$169,1+SwaptionShift):INDEX($FO$325:$IH$396,GS$169,SwaptionMonthsToGo+SwaptionShift),INDEX($FO$245:$IH$316,$FN187-GS$169,73-GS$169+SwaptionShift):INDEX($FO$245:$IH$316,$FN187-GS$169,72-GS$169+SwaptionMonthsToGo+SwaptionShift))/SQRT(SUM(INDEX($FO342:$IH342,1+SwaptionShift):INDEX($FO342:$IH342,SwaptionMonthsToGo+SwaptionShift))*SUM(INDEX($FO$325:$IH$396,GS$169,1+SwaptionShift):INDEX($FO$325:$IH$396,GS$169,SwaptionMonthsToGo+SwaptionShift))))))</f>
        <v/>
      </c>
      <c r="GT187" s="469" t="str">
        <f ca="1">IF(OR(GT$169&lt;SwaptionFirstMonthPosition+1,$FN187&lt;SwaptionFirstMonthPosition+1,GT$169&gt;SwaptionFirstMonthPosition+SwaptionNumOfMonths+1,$FN187&gt;SwaptionFirstMonthPosition+SwaptionNumOfMonths+1),"",IF($FN187=GT$169,1,IF($FN187&lt;GT$169,INDEX($FO$170:$IH$241,GT$169,$FN187),SUMPRODUCT(INDEX($FO$325:$IH$396,GT$169,1+SwaptionShift):INDEX($FO$325:$IH$396,GT$169,SwaptionMonthsToGo+SwaptionShift),INDEX($FO$245:$IH$316,$FN187-GT$169,73-GT$169+SwaptionShift):INDEX($FO$245:$IH$316,$FN187-GT$169,72-GT$169+SwaptionMonthsToGo+SwaptionShift))/SQRT(SUM(INDEX($FO342:$IH342,1+SwaptionShift):INDEX($FO342:$IH342,SwaptionMonthsToGo+SwaptionShift))*SUM(INDEX($FO$325:$IH$396,GT$169,1+SwaptionShift):INDEX($FO$325:$IH$396,GT$169,SwaptionMonthsToGo+SwaptionShift))))))</f>
        <v/>
      </c>
      <c r="GU187" s="469" t="str">
        <f ca="1">IF(OR(GU$169&lt;SwaptionFirstMonthPosition+1,$FN187&lt;SwaptionFirstMonthPosition+1,GU$169&gt;SwaptionFirstMonthPosition+SwaptionNumOfMonths+1,$FN187&gt;SwaptionFirstMonthPosition+SwaptionNumOfMonths+1),"",IF($FN187=GU$169,1,IF($FN187&lt;GU$169,INDEX($FO$170:$IH$241,GU$169,$FN187),SUMPRODUCT(INDEX($FO$325:$IH$396,GU$169,1+SwaptionShift):INDEX($FO$325:$IH$396,GU$169,SwaptionMonthsToGo+SwaptionShift),INDEX($FO$245:$IH$316,$FN187-GU$169,73-GU$169+SwaptionShift):INDEX($FO$245:$IH$316,$FN187-GU$169,72-GU$169+SwaptionMonthsToGo+SwaptionShift))/SQRT(SUM(INDEX($FO342:$IH342,1+SwaptionShift):INDEX($FO342:$IH342,SwaptionMonthsToGo+SwaptionShift))*SUM(INDEX($FO$325:$IH$396,GU$169,1+SwaptionShift):INDEX($FO$325:$IH$396,GU$169,SwaptionMonthsToGo+SwaptionShift))))))</f>
        <v/>
      </c>
      <c r="GV187" s="469" t="str">
        <f ca="1">IF(OR(GV$169&lt;SwaptionFirstMonthPosition+1,$FN187&lt;SwaptionFirstMonthPosition+1,GV$169&gt;SwaptionFirstMonthPosition+SwaptionNumOfMonths+1,$FN187&gt;SwaptionFirstMonthPosition+SwaptionNumOfMonths+1),"",IF($FN187=GV$169,1,IF($FN187&lt;GV$169,INDEX($FO$170:$IH$241,GV$169,$FN187),SUMPRODUCT(INDEX($FO$325:$IH$396,GV$169,1+SwaptionShift):INDEX($FO$325:$IH$396,GV$169,SwaptionMonthsToGo+SwaptionShift),INDEX($FO$245:$IH$316,$FN187-GV$169,73-GV$169+SwaptionShift):INDEX($FO$245:$IH$316,$FN187-GV$169,72-GV$169+SwaptionMonthsToGo+SwaptionShift))/SQRT(SUM(INDEX($FO342:$IH342,1+SwaptionShift):INDEX($FO342:$IH342,SwaptionMonthsToGo+SwaptionShift))*SUM(INDEX($FO$325:$IH$396,GV$169,1+SwaptionShift):INDEX($FO$325:$IH$396,GV$169,SwaptionMonthsToGo+SwaptionShift))))))</f>
        <v/>
      </c>
      <c r="GW187" s="469" t="str">
        <f ca="1">IF(OR(GW$169&lt;SwaptionFirstMonthPosition+1,$FN187&lt;SwaptionFirstMonthPosition+1,GW$169&gt;SwaptionFirstMonthPosition+SwaptionNumOfMonths+1,$FN187&gt;SwaptionFirstMonthPosition+SwaptionNumOfMonths+1),"",IF($FN187=GW$169,1,IF($FN187&lt;GW$169,INDEX($FO$170:$IH$241,GW$169,$FN187),SUMPRODUCT(INDEX($FO$325:$IH$396,GW$169,1+SwaptionShift):INDEX($FO$325:$IH$396,GW$169,SwaptionMonthsToGo+SwaptionShift),INDEX($FO$245:$IH$316,$FN187-GW$169,73-GW$169+SwaptionShift):INDEX($FO$245:$IH$316,$FN187-GW$169,72-GW$169+SwaptionMonthsToGo+SwaptionShift))/SQRT(SUM(INDEX($FO342:$IH342,1+SwaptionShift):INDEX($FO342:$IH342,SwaptionMonthsToGo+SwaptionShift))*SUM(INDEX($FO$325:$IH$396,GW$169,1+SwaptionShift):INDEX($FO$325:$IH$396,GW$169,SwaptionMonthsToGo+SwaptionShift))))))</f>
        <v/>
      </c>
      <c r="GX187" s="469" t="str">
        <f ca="1">IF(OR(GX$169&lt;SwaptionFirstMonthPosition+1,$FN187&lt;SwaptionFirstMonthPosition+1,GX$169&gt;SwaptionFirstMonthPosition+SwaptionNumOfMonths+1,$FN187&gt;SwaptionFirstMonthPosition+SwaptionNumOfMonths+1),"",IF($FN187=GX$169,1,IF($FN187&lt;GX$169,INDEX($FO$170:$IH$241,GX$169,$FN187),SUMPRODUCT(INDEX($FO$325:$IH$396,GX$169,1+SwaptionShift):INDEX($FO$325:$IH$396,GX$169,SwaptionMonthsToGo+SwaptionShift),INDEX($FO$245:$IH$316,$FN187-GX$169,73-GX$169+SwaptionShift):INDEX($FO$245:$IH$316,$FN187-GX$169,72-GX$169+SwaptionMonthsToGo+SwaptionShift))/SQRT(SUM(INDEX($FO342:$IH342,1+SwaptionShift):INDEX($FO342:$IH342,SwaptionMonthsToGo+SwaptionShift))*SUM(INDEX($FO$325:$IH$396,GX$169,1+SwaptionShift):INDEX($FO$325:$IH$396,GX$169,SwaptionMonthsToGo+SwaptionShift))))))</f>
        <v/>
      </c>
      <c r="GY187" s="469" t="str">
        <f ca="1">IF(OR(GY$169&lt;SwaptionFirstMonthPosition+1,$FN187&lt;SwaptionFirstMonthPosition+1,GY$169&gt;SwaptionFirstMonthPosition+SwaptionNumOfMonths+1,$FN187&gt;SwaptionFirstMonthPosition+SwaptionNumOfMonths+1),"",IF($FN187=GY$169,1,IF($FN187&lt;GY$169,INDEX($FO$170:$IH$241,GY$169,$FN187),SUMPRODUCT(INDEX($FO$325:$IH$396,GY$169,1+SwaptionShift):INDEX($FO$325:$IH$396,GY$169,SwaptionMonthsToGo+SwaptionShift),INDEX($FO$245:$IH$316,$FN187-GY$169,73-GY$169+SwaptionShift):INDEX($FO$245:$IH$316,$FN187-GY$169,72-GY$169+SwaptionMonthsToGo+SwaptionShift))/SQRT(SUM(INDEX($FO342:$IH342,1+SwaptionShift):INDEX($FO342:$IH342,SwaptionMonthsToGo+SwaptionShift))*SUM(INDEX($FO$325:$IH$396,GY$169,1+SwaptionShift):INDEX($FO$325:$IH$396,GY$169,SwaptionMonthsToGo+SwaptionShift))))))</f>
        <v/>
      </c>
      <c r="GZ187" s="469" t="str">
        <f ca="1">IF(OR(GZ$169&lt;SwaptionFirstMonthPosition+1,$FN187&lt;SwaptionFirstMonthPosition+1,GZ$169&gt;SwaptionFirstMonthPosition+SwaptionNumOfMonths+1,$FN187&gt;SwaptionFirstMonthPosition+SwaptionNumOfMonths+1),"",IF($FN187=GZ$169,1,IF($FN187&lt;GZ$169,INDEX($FO$170:$IH$241,GZ$169,$FN187),SUMPRODUCT(INDEX($FO$325:$IH$396,GZ$169,1+SwaptionShift):INDEX($FO$325:$IH$396,GZ$169,SwaptionMonthsToGo+SwaptionShift),INDEX($FO$245:$IH$316,$FN187-GZ$169,73-GZ$169+SwaptionShift):INDEX($FO$245:$IH$316,$FN187-GZ$169,72-GZ$169+SwaptionMonthsToGo+SwaptionShift))/SQRT(SUM(INDEX($FO342:$IH342,1+SwaptionShift):INDEX($FO342:$IH342,SwaptionMonthsToGo+SwaptionShift))*SUM(INDEX($FO$325:$IH$396,GZ$169,1+SwaptionShift):INDEX($FO$325:$IH$396,GZ$169,SwaptionMonthsToGo+SwaptionShift))))))</f>
        <v/>
      </c>
      <c r="HA187" s="469" t="str">
        <f ca="1">IF(OR(HA$169&lt;SwaptionFirstMonthPosition+1,$FN187&lt;SwaptionFirstMonthPosition+1,HA$169&gt;SwaptionFirstMonthPosition+SwaptionNumOfMonths+1,$FN187&gt;SwaptionFirstMonthPosition+SwaptionNumOfMonths+1),"",IF($FN187=HA$169,1,IF($FN187&lt;HA$169,INDEX($FO$170:$IH$241,HA$169,$FN187),SUMPRODUCT(INDEX($FO$325:$IH$396,HA$169,1+SwaptionShift):INDEX($FO$325:$IH$396,HA$169,SwaptionMonthsToGo+SwaptionShift),INDEX($FO$245:$IH$316,$FN187-HA$169,73-HA$169+SwaptionShift):INDEX($FO$245:$IH$316,$FN187-HA$169,72-HA$169+SwaptionMonthsToGo+SwaptionShift))/SQRT(SUM(INDEX($FO342:$IH342,1+SwaptionShift):INDEX($FO342:$IH342,SwaptionMonthsToGo+SwaptionShift))*SUM(INDEX($FO$325:$IH$396,HA$169,1+SwaptionShift):INDEX($FO$325:$IH$396,HA$169,SwaptionMonthsToGo+SwaptionShift))))))</f>
        <v/>
      </c>
      <c r="HB187" s="469" t="str">
        <f ca="1">IF(OR(HB$169&lt;SwaptionFirstMonthPosition+1,$FN187&lt;SwaptionFirstMonthPosition+1,HB$169&gt;SwaptionFirstMonthPosition+SwaptionNumOfMonths+1,$FN187&gt;SwaptionFirstMonthPosition+SwaptionNumOfMonths+1),"",IF($FN187=HB$169,1,IF($FN187&lt;HB$169,INDEX($FO$170:$IH$241,HB$169,$FN187),SUMPRODUCT(INDEX($FO$325:$IH$396,HB$169,1+SwaptionShift):INDEX($FO$325:$IH$396,HB$169,SwaptionMonthsToGo+SwaptionShift),INDEX($FO$245:$IH$316,$FN187-HB$169,73-HB$169+SwaptionShift):INDEX($FO$245:$IH$316,$FN187-HB$169,72-HB$169+SwaptionMonthsToGo+SwaptionShift))/SQRT(SUM(INDEX($FO342:$IH342,1+SwaptionShift):INDEX($FO342:$IH342,SwaptionMonthsToGo+SwaptionShift))*SUM(INDEX($FO$325:$IH$396,HB$169,1+SwaptionShift):INDEX($FO$325:$IH$396,HB$169,SwaptionMonthsToGo+SwaptionShift))))))</f>
        <v/>
      </c>
      <c r="HC187" s="469" t="str">
        <f ca="1">IF(OR(HC$169&lt;SwaptionFirstMonthPosition+1,$FN187&lt;SwaptionFirstMonthPosition+1,HC$169&gt;SwaptionFirstMonthPosition+SwaptionNumOfMonths+1,$FN187&gt;SwaptionFirstMonthPosition+SwaptionNumOfMonths+1),"",IF($FN187=HC$169,1,IF($FN187&lt;HC$169,INDEX($FO$170:$IH$241,HC$169,$FN187),SUMPRODUCT(INDEX($FO$325:$IH$396,HC$169,1+SwaptionShift):INDEX($FO$325:$IH$396,HC$169,SwaptionMonthsToGo+SwaptionShift),INDEX($FO$245:$IH$316,$FN187-HC$169,73-HC$169+SwaptionShift):INDEX($FO$245:$IH$316,$FN187-HC$169,72-HC$169+SwaptionMonthsToGo+SwaptionShift))/SQRT(SUM(INDEX($FO342:$IH342,1+SwaptionShift):INDEX($FO342:$IH342,SwaptionMonthsToGo+SwaptionShift))*SUM(INDEX($FO$325:$IH$396,HC$169,1+SwaptionShift):INDEX($FO$325:$IH$396,HC$169,SwaptionMonthsToGo+SwaptionShift))))))</f>
        <v/>
      </c>
      <c r="HD187" s="469" t="str">
        <f ca="1">IF(OR(HD$169&lt;SwaptionFirstMonthPosition+1,$FN187&lt;SwaptionFirstMonthPosition+1,HD$169&gt;SwaptionFirstMonthPosition+SwaptionNumOfMonths+1,$FN187&gt;SwaptionFirstMonthPosition+SwaptionNumOfMonths+1),"",IF($FN187=HD$169,1,IF($FN187&lt;HD$169,INDEX($FO$170:$IH$241,HD$169,$FN187),SUMPRODUCT(INDEX($FO$325:$IH$396,HD$169,1+SwaptionShift):INDEX($FO$325:$IH$396,HD$169,SwaptionMonthsToGo+SwaptionShift),INDEX($FO$245:$IH$316,$FN187-HD$169,73-HD$169+SwaptionShift):INDEX($FO$245:$IH$316,$FN187-HD$169,72-HD$169+SwaptionMonthsToGo+SwaptionShift))/SQRT(SUM(INDEX($FO342:$IH342,1+SwaptionShift):INDEX($FO342:$IH342,SwaptionMonthsToGo+SwaptionShift))*SUM(INDEX($FO$325:$IH$396,HD$169,1+SwaptionShift):INDEX($FO$325:$IH$396,HD$169,SwaptionMonthsToGo+SwaptionShift))))))</f>
        <v/>
      </c>
      <c r="HE187" s="469" t="str">
        <f ca="1">IF(OR(HE$169&lt;SwaptionFirstMonthPosition+1,$FN187&lt;SwaptionFirstMonthPosition+1,HE$169&gt;SwaptionFirstMonthPosition+SwaptionNumOfMonths+1,$FN187&gt;SwaptionFirstMonthPosition+SwaptionNumOfMonths+1),"",IF($FN187=HE$169,1,IF($FN187&lt;HE$169,INDEX($FO$170:$IH$241,HE$169,$FN187),SUMPRODUCT(INDEX($FO$325:$IH$396,HE$169,1+SwaptionShift):INDEX($FO$325:$IH$396,HE$169,SwaptionMonthsToGo+SwaptionShift),INDEX($FO$245:$IH$316,$FN187-HE$169,73-HE$169+SwaptionShift):INDEX($FO$245:$IH$316,$FN187-HE$169,72-HE$169+SwaptionMonthsToGo+SwaptionShift))/SQRT(SUM(INDEX($FO342:$IH342,1+SwaptionShift):INDEX($FO342:$IH342,SwaptionMonthsToGo+SwaptionShift))*SUM(INDEX($FO$325:$IH$396,HE$169,1+SwaptionShift):INDEX($FO$325:$IH$396,HE$169,SwaptionMonthsToGo+SwaptionShift))))))</f>
        <v/>
      </c>
      <c r="HF187" s="469" t="str">
        <f ca="1">IF(OR(HF$169&lt;SwaptionFirstMonthPosition+1,$FN187&lt;SwaptionFirstMonthPosition+1,HF$169&gt;SwaptionFirstMonthPosition+SwaptionNumOfMonths+1,$FN187&gt;SwaptionFirstMonthPosition+SwaptionNumOfMonths+1),"",IF($FN187=HF$169,1,IF($FN187&lt;HF$169,INDEX($FO$170:$IH$241,HF$169,$FN187),SUMPRODUCT(INDEX($FO$325:$IH$396,HF$169,1+SwaptionShift):INDEX($FO$325:$IH$396,HF$169,SwaptionMonthsToGo+SwaptionShift),INDEX($FO$245:$IH$316,$FN187-HF$169,73-HF$169+SwaptionShift):INDEX($FO$245:$IH$316,$FN187-HF$169,72-HF$169+SwaptionMonthsToGo+SwaptionShift))/SQRT(SUM(INDEX($FO342:$IH342,1+SwaptionShift):INDEX($FO342:$IH342,SwaptionMonthsToGo+SwaptionShift))*SUM(INDEX($FO$325:$IH$396,HF$169,1+SwaptionShift):INDEX($FO$325:$IH$396,HF$169,SwaptionMonthsToGo+SwaptionShift))))))</f>
        <v/>
      </c>
      <c r="HG187" s="469" t="str">
        <f ca="1">IF(OR(HG$169&lt;SwaptionFirstMonthPosition+1,$FN187&lt;SwaptionFirstMonthPosition+1,HG$169&gt;SwaptionFirstMonthPosition+SwaptionNumOfMonths+1,$FN187&gt;SwaptionFirstMonthPosition+SwaptionNumOfMonths+1),"",IF($FN187=HG$169,1,IF($FN187&lt;HG$169,INDEX($FO$170:$IH$241,HG$169,$FN187),SUMPRODUCT(INDEX($FO$325:$IH$396,HG$169,1+SwaptionShift):INDEX($FO$325:$IH$396,HG$169,SwaptionMonthsToGo+SwaptionShift),INDEX($FO$245:$IH$316,$FN187-HG$169,73-HG$169+SwaptionShift):INDEX($FO$245:$IH$316,$FN187-HG$169,72-HG$169+SwaptionMonthsToGo+SwaptionShift))/SQRT(SUM(INDEX($FO342:$IH342,1+SwaptionShift):INDEX($FO342:$IH342,SwaptionMonthsToGo+SwaptionShift))*SUM(INDEX($FO$325:$IH$396,HG$169,1+SwaptionShift):INDEX($FO$325:$IH$396,HG$169,SwaptionMonthsToGo+SwaptionShift))))))</f>
        <v/>
      </c>
      <c r="HH187" s="469" t="str">
        <f ca="1">IF(OR(HH$169&lt;SwaptionFirstMonthPosition+1,$FN187&lt;SwaptionFirstMonthPosition+1,HH$169&gt;SwaptionFirstMonthPosition+SwaptionNumOfMonths+1,$FN187&gt;SwaptionFirstMonthPosition+SwaptionNumOfMonths+1),"",IF($FN187=HH$169,1,IF($FN187&lt;HH$169,INDEX($FO$170:$IH$241,HH$169,$FN187),SUMPRODUCT(INDEX($FO$325:$IH$396,HH$169,1+SwaptionShift):INDEX($FO$325:$IH$396,HH$169,SwaptionMonthsToGo+SwaptionShift),INDEX($FO$245:$IH$316,$FN187-HH$169,73-HH$169+SwaptionShift):INDEX($FO$245:$IH$316,$FN187-HH$169,72-HH$169+SwaptionMonthsToGo+SwaptionShift))/SQRT(SUM(INDEX($FO342:$IH342,1+SwaptionShift):INDEX($FO342:$IH342,SwaptionMonthsToGo+SwaptionShift))*SUM(INDEX($FO$325:$IH$396,HH$169,1+SwaptionShift):INDEX($FO$325:$IH$396,HH$169,SwaptionMonthsToGo+SwaptionShift))))))</f>
        <v/>
      </c>
      <c r="HI187" s="469" t="str">
        <f ca="1">IF(OR(HI$169&lt;SwaptionFirstMonthPosition+1,$FN187&lt;SwaptionFirstMonthPosition+1,HI$169&gt;SwaptionFirstMonthPosition+SwaptionNumOfMonths+1,$FN187&gt;SwaptionFirstMonthPosition+SwaptionNumOfMonths+1),"",IF($FN187=HI$169,1,IF($FN187&lt;HI$169,INDEX($FO$170:$IH$241,HI$169,$FN187),SUMPRODUCT(INDEX($FO$325:$IH$396,HI$169,1+SwaptionShift):INDEX($FO$325:$IH$396,HI$169,SwaptionMonthsToGo+SwaptionShift),INDEX($FO$245:$IH$316,$FN187-HI$169,73-HI$169+SwaptionShift):INDEX($FO$245:$IH$316,$FN187-HI$169,72-HI$169+SwaptionMonthsToGo+SwaptionShift))/SQRT(SUM(INDEX($FO342:$IH342,1+SwaptionShift):INDEX($FO342:$IH342,SwaptionMonthsToGo+SwaptionShift))*SUM(INDEX($FO$325:$IH$396,HI$169,1+SwaptionShift):INDEX($FO$325:$IH$396,HI$169,SwaptionMonthsToGo+SwaptionShift))))))</f>
        <v/>
      </c>
      <c r="HJ187" s="469" t="str">
        <f ca="1">IF(OR(HJ$169&lt;SwaptionFirstMonthPosition+1,$FN187&lt;SwaptionFirstMonthPosition+1,HJ$169&gt;SwaptionFirstMonthPosition+SwaptionNumOfMonths+1,$FN187&gt;SwaptionFirstMonthPosition+SwaptionNumOfMonths+1),"",IF($FN187=HJ$169,1,IF($FN187&lt;HJ$169,INDEX($FO$170:$IH$241,HJ$169,$FN187),SUMPRODUCT(INDEX($FO$325:$IH$396,HJ$169,1+SwaptionShift):INDEX($FO$325:$IH$396,HJ$169,SwaptionMonthsToGo+SwaptionShift),INDEX($FO$245:$IH$316,$FN187-HJ$169,73-HJ$169+SwaptionShift):INDEX($FO$245:$IH$316,$FN187-HJ$169,72-HJ$169+SwaptionMonthsToGo+SwaptionShift))/SQRT(SUM(INDEX($FO342:$IH342,1+SwaptionShift):INDEX($FO342:$IH342,SwaptionMonthsToGo+SwaptionShift))*SUM(INDEX($FO$325:$IH$396,HJ$169,1+SwaptionShift):INDEX($FO$325:$IH$396,HJ$169,SwaptionMonthsToGo+SwaptionShift))))))</f>
        <v/>
      </c>
      <c r="HK187" s="469" t="str">
        <f ca="1">IF(OR(HK$169&lt;SwaptionFirstMonthPosition+1,$FN187&lt;SwaptionFirstMonthPosition+1,HK$169&gt;SwaptionFirstMonthPosition+SwaptionNumOfMonths+1,$FN187&gt;SwaptionFirstMonthPosition+SwaptionNumOfMonths+1),"",IF($FN187=HK$169,1,IF($FN187&lt;HK$169,INDEX($FO$170:$IH$241,HK$169,$FN187),SUMPRODUCT(INDEX($FO$325:$IH$396,HK$169,1+SwaptionShift):INDEX($FO$325:$IH$396,HK$169,SwaptionMonthsToGo+SwaptionShift),INDEX($FO$245:$IH$316,$FN187-HK$169,73-HK$169+SwaptionShift):INDEX($FO$245:$IH$316,$FN187-HK$169,72-HK$169+SwaptionMonthsToGo+SwaptionShift))/SQRT(SUM(INDEX($FO342:$IH342,1+SwaptionShift):INDEX($FO342:$IH342,SwaptionMonthsToGo+SwaptionShift))*SUM(INDEX($FO$325:$IH$396,HK$169,1+SwaptionShift):INDEX($FO$325:$IH$396,HK$169,SwaptionMonthsToGo+SwaptionShift))))))</f>
        <v/>
      </c>
      <c r="HL187" s="469" t="str">
        <f ca="1">IF(OR(HL$169&lt;SwaptionFirstMonthPosition+1,$FN187&lt;SwaptionFirstMonthPosition+1,HL$169&gt;SwaptionFirstMonthPosition+SwaptionNumOfMonths+1,$FN187&gt;SwaptionFirstMonthPosition+SwaptionNumOfMonths+1),"",IF($FN187=HL$169,1,IF($FN187&lt;HL$169,INDEX($FO$170:$IH$241,HL$169,$FN187),SUMPRODUCT(INDEX($FO$325:$IH$396,HL$169,1+SwaptionShift):INDEX($FO$325:$IH$396,HL$169,SwaptionMonthsToGo+SwaptionShift),INDEX($FO$245:$IH$316,$FN187-HL$169,73-HL$169+SwaptionShift):INDEX($FO$245:$IH$316,$FN187-HL$169,72-HL$169+SwaptionMonthsToGo+SwaptionShift))/SQRT(SUM(INDEX($FO342:$IH342,1+SwaptionShift):INDEX($FO342:$IH342,SwaptionMonthsToGo+SwaptionShift))*SUM(INDEX($FO$325:$IH$396,HL$169,1+SwaptionShift):INDEX($FO$325:$IH$396,HL$169,SwaptionMonthsToGo+SwaptionShift))))))</f>
        <v/>
      </c>
      <c r="HM187" s="469" t="str">
        <f ca="1">IF(OR(HM$169&lt;SwaptionFirstMonthPosition+1,$FN187&lt;SwaptionFirstMonthPosition+1,HM$169&gt;SwaptionFirstMonthPosition+SwaptionNumOfMonths+1,$FN187&gt;SwaptionFirstMonthPosition+SwaptionNumOfMonths+1),"",IF($FN187=HM$169,1,IF($FN187&lt;HM$169,INDEX($FO$170:$IH$241,HM$169,$FN187),SUMPRODUCT(INDEX($FO$325:$IH$396,HM$169,1+SwaptionShift):INDEX($FO$325:$IH$396,HM$169,SwaptionMonthsToGo+SwaptionShift),INDEX($FO$245:$IH$316,$FN187-HM$169,73-HM$169+SwaptionShift):INDEX($FO$245:$IH$316,$FN187-HM$169,72-HM$169+SwaptionMonthsToGo+SwaptionShift))/SQRT(SUM(INDEX($FO342:$IH342,1+SwaptionShift):INDEX($FO342:$IH342,SwaptionMonthsToGo+SwaptionShift))*SUM(INDEX($FO$325:$IH$396,HM$169,1+SwaptionShift):INDEX($FO$325:$IH$396,HM$169,SwaptionMonthsToGo+SwaptionShift))))))</f>
        <v/>
      </c>
      <c r="HN187" s="469" t="str">
        <f ca="1">IF(OR(HN$169&lt;SwaptionFirstMonthPosition+1,$FN187&lt;SwaptionFirstMonthPosition+1,HN$169&gt;SwaptionFirstMonthPosition+SwaptionNumOfMonths+1,$FN187&gt;SwaptionFirstMonthPosition+SwaptionNumOfMonths+1),"",IF($FN187=HN$169,1,IF($FN187&lt;HN$169,INDEX($FO$170:$IH$241,HN$169,$FN187),SUMPRODUCT(INDEX($FO$325:$IH$396,HN$169,1+SwaptionShift):INDEX($FO$325:$IH$396,HN$169,SwaptionMonthsToGo+SwaptionShift),INDEX($FO$245:$IH$316,$FN187-HN$169,73-HN$169+SwaptionShift):INDEX($FO$245:$IH$316,$FN187-HN$169,72-HN$169+SwaptionMonthsToGo+SwaptionShift))/SQRT(SUM(INDEX($FO342:$IH342,1+SwaptionShift):INDEX($FO342:$IH342,SwaptionMonthsToGo+SwaptionShift))*SUM(INDEX($FO$325:$IH$396,HN$169,1+SwaptionShift):INDEX($FO$325:$IH$396,HN$169,SwaptionMonthsToGo+SwaptionShift))))))</f>
        <v/>
      </c>
      <c r="HO187" s="469" t="str">
        <f ca="1">IF(OR(HO$169&lt;SwaptionFirstMonthPosition+1,$FN187&lt;SwaptionFirstMonthPosition+1,HO$169&gt;SwaptionFirstMonthPosition+SwaptionNumOfMonths+1,$FN187&gt;SwaptionFirstMonthPosition+SwaptionNumOfMonths+1),"",IF($FN187=HO$169,1,IF($FN187&lt;HO$169,INDEX($FO$170:$IH$241,HO$169,$FN187),SUMPRODUCT(INDEX($FO$325:$IH$396,HO$169,1+SwaptionShift):INDEX($FO$325:$IH$396,HO$169,SwaptionMonthsToGo+SwaptionShift),INDEX($FO$245:$IH$316,$FN187-HO$169,73-HO$169+SwaptionShift):INDEX($FO$245:$IH$316,$FN187-HO$169,72-HO$169+SwaptionMonthsToGo+SwaptionShift))/SQRT(SUM(INDEX($FO342:$IH342,1+SwaptionShift):INDEX($FO342:$IH342,SwaptionMonthsToGo+SwaptionShift))*SUM(INDEX($FO$325:$IH$396,HO$169,1+SwaptionShift):INDEX($FO$325:$IH$396,HO$169,SwaptionMonthsToGo+SwaptionShift))))))</f>
        <v/>
      </c>
      <c r="HP187" s="469" t="str">
        <f ca="1">IF(OR(HP$169&lt;SwaptionFirstMonthPosition+1,$FN187&lt;SwaptionFirstMonthPosition+1,HP$169&gt;SwaptionFirstMonthPosition+SwaptionNumOfMonths+1,$FN187&gt;SwaptionFirstMonthPosition+SwaptionNumOfMonths+1),"",IF($FN187=HP$169,1,IF($FN187&lt;HP$169,INDEX($FO$170:$IH$241,HP$169,$FN187),SUMPRODUCT(INDEX($FO$325:$IH$396,HP$169,1+SwaptionShift):INDEX($FO$325:$IH$396,HP$169,SwaptionMonthsToGo+SwaptionShift),INDEX($FO$245:$IH$316,$FN187-HP$169,73-HP$169+SwaptionShift):INDEX($FO$245:$IH$316,$FN187-HP$169,72-HP$169+SwaptionMonthsToGo+SwaptionShift))/SQRT(SUM(INDEX($FO342:$IH342,1+SwaptionShift):INDEX($FO342:$IH342,SwaptionMonthsToGo+SwaptionShift))*SUM(INDEX($FO$325:$IH$396,HP$169,1+SwaptionShift):INDEX($FO$325:$IH$396,HP$169,SwaptionMonthsToGo+SwaptionShift))))))</f>
        <v/>
      </c>
      <c r="HQ187" s="469" t="str">
        <f ca="1">IF(OR(HQ$169&lt;SwaptionFirstMonthPosition+1,$FN187&lt;SwaptionFirstMonthPosition+1,HQ$169&gt;SwaptionFirstMonthPosition+SwaptionNumOfMonths+1,$FN187&gt;SwaptionFirstMonthPosition+SwaptionNumOfMonths+1),"",IF($FN187=HQ$169,1,IF($FN187&lt;HQ$169,INDEX($FO$170:$IH$241,HQ$169,$FN187),SUMPRODUCT(INDEX($FO$325:$IH$396,HQ$169,1+SwaptionShift):INDEX($FO$325:$IH$396,HQ$169,SwaptionMonthsToGo+SwaptionShift),INDEX($FO$245:$IH$316,$FN187-HQ$169,73-HQ$169+SwaptionShift):INDEX($FO$245:$IH$316,$FN187-HQ$169,72-HQ$169+SwaptionMonthsToGo+SwaptionShift))/SQRT(SUM(INDEX($FO342:$IH342,1+SwaptionShift):INDEX($FO342:$IH342,SwaptionMonthsToGo+SwaptionShift))*SUM(INDEX($FO$325:$IH$396,HQ$169,1+SwaptionShift):INDEX($FO$325:$IH$396,HQ$169,SwaptionMonthsToGo+SwaptionShift))))))</f>
        <v/>
      </c>
      <c r="HR187" s="469" t="str">
        <f ca="1">IF(OR(HR$169&lt;SwaptionFirstMonthPosition+1,$FN187&lt;SwaptionFirstMonthPosition+1,HR$169&gt;SwaptionFirstMonthPosition+SwaptionNumOfMonths+1,$FN187&gt;SwaptionFirstMonthPosition+SwaptionNumOfMonths+1),"",IF($FN187=HR$169,1,IF($FN187&lt;HR$169,INDEX($FO$170:$IH$241,HR$169,$FN187),SUMPRODUCT(INDEX($FO$325:$IH$396,HR$169,1+SwaptionShift):INDEX($FO$325:$IH$396,HR$169,SwaptionMonthsToGo+SwaptionShift),INDEX($FO$245:$IH$316,$FN187-HR$169,73-HR$169+SwaptionShift):INDEX($FO$245:$IH$316,$FN187-HR$169,72-HR$169+SwaptionMonthsToGo+SwaptionShift))/SQRT(SUM(INDEX($FO342:$IH342,1+SwaptionShift):INDEX($FO342:$IH342,SwaptionMonthsToGo+SwaptionShift))*SUM(INDEX($FO$325:$IH$396,HR$169,1+SwaptionShift):INDEX($FO$325:$IH$396,HR$169,SwaptionMonthsToGo+SwaptionShift))))))</f>
        <v/>
      </c>
      <c r="HS187" s="469" t="str">
        <f ca="1">IF(OR(HS$169&lt;SwaptionFirstMonthPosition+1,$FN187&lt;SwaptionFirstMonthPosition+1,HS$169&gt;SwaptionFirstMonthPosition+SwaptionNumOfMonths+1,$FN187&gt;SwaptionFirstMonthPosition+SwaptionNumOfMonths+1),"",IF($FN187=HS$169,1,IF($FN187&lt;HS$169,INDEX($FO$170:$IH$241,HS$169,$FN187),SUMPRODUCT(INDEX($FO$325:$IH$396,HS$169,1+SwaptionShift):INDEX($FO$325:$IH$396,HS$169,SwaptionMonthsToGo+SwaptionShift),INDEX($FO$245:$IH$316,$FN187-HS$169,73-HS$169+SwaptionShift):INDEX($FO$245:$IH$316,$FN187-HS$169,72-HS$169+SwaptionMonthsToGo+SwaptionShift))/SQRT(SUM(INDEX($FO342:$IH342,1+SwaptionShift):INDEX($FO342:$IH342,SwaptionMonthsToGo+SwaptionShift))*SUM(INDEX($FO$325:$IH$396,HS$169,1+SwaptionShift):INDEX($FO$325:$IH$396,HS$169,SwaptionMonthsToGo+SwaptionShift))))))</f>
        <v/>
      </c>
      <c r="HT187" s="469" t="str">
        <f ca="1">IF(OR(HT$169&lt;SwaptionFirstMonthPosition+1,$FN187&lt;SwaptionFirstMonthPosition+1,HT$169&gt;SwaptionFirstMonthPosition+SwaptionNumOfMonths+1,$FN187&gt;SwaptionFirstMonthPosition+SwaptionNumOfMonths+1),"",IF($FN187=HT$169,1,IF($FN187&lt;HT$169,INDEX($FO$170:$IH$241,HT$169,$FN187),SUMPRODUCT(INDEX($FO$325:$IH$396,HT$169,1+SwaptionShift):INDEX($FO$325:$IH$396,HT$169,SwaptionMonthsToGo+SwaptionShift),INDEX($FO$245:$IH$316,$FN187-HT$169,73-HT$169+SwaptionShift):INDEX($FO$245:$IH$316,$FN187-HT$169,72-HT$169+SwaptionMonthsToGo+SwaptionShift))/SQRT(SUM(INDEX($FO342:$IH342,1+SwaptionShift):INDEX($FO342:$IH342,SwaptionMonthsToGo+SwaptionShift))*SUM(INDEX($FO$325:$IH$396,HT$169,1+SwaptionShift):INDEX($FO$325:$IH$396,HT$169,SwaptionMonthsToGo+SwaptionShift))))))</f>
        <v/>
      </c>
      <c r="HU187" s="469" t="str">
        <f ca="1">IF(OR(HU$169&lt;SwaptionFirstMonthPosition+1,$FN187&lt;SwaptionFirstMonthPosition+1,HU$169&gt;SwaptionFirstMonthPosition+SwaptionNumOfMonths+1,$FN187&gt;SwaptionFirstMonthPosition+SwaptionNumOfMonths+1),"",IF($FN187=HU$169,1,IF($FN187&lt;HU$169,INDEX($FO$170:$IH$241,HU$169,$FN187),SUMPRODUCT(INDEX($FO$325:$IH$396,HU$169,1+SwaptionShift):INDEX($FO$325:$IH$396,HU$169,SwaptionMonthsToGo+SwaptionShift),INDEX($FO$245:$IH$316,$FN187-HU$169,73-HU$169+SwaptionShift):INDEX($FO$245:$IH$316,$FN187-HU$169,72-HU$169+SwaptionMonthsToGo+SwaptionShift))/SQRT(SUM(INDEX($FO342:$IH342,1+SwaptionShift):INDEX($FO342:$IH342,SwaptionMonthsToGo+SwaptionShift))*SUM(INDEX($FO$325:$IH$396,HU$169,1+SwaptionShift):INDEX($FO$325:$IH$396,HU$169,SwaptionMonthsToGo+SwaptionShift))))))</f>
        <v/>
      </c>
      <c r="HV187" s="469" t="str">
        <f ca="1">IF(OR(HV$169&lt;SwaptionFirstMonthPosition+1,$FN187&lt;SwaptionFirstMonthPosition+1,HV$169&gt;SwaptionFirstMonthPosition+SwaptionNumOfMonths+1,$FN187&gt;SwaptionFirstMonthPosition+SwaptionNumOfMonths+1),"",IF($FN187=HV$169,1,IF($FN187&lt;HV$169,INDEX($FO$170:$IH$241,HV$169,$FN187),SUMPRODUCT(INDEX($FO$325:$IH$396,HV$169,1+SwaptionShift):INDEX($FO$325:$IH$396,HV$169,SwaptionMonthsToGo+SwaptionShift),INDEX($FO$245:$IH$316,$FN187-HV$169,73-HV$169+SwaptionShift):INDEX($FO$245:$IH$316,$FN187-HV$169,72-HV$169+SwaptionMonthsToGo+SwaptionShift))/SQRT(SUM(INDEX($FO342:$IH342,1+SwaptionShift):INDEX($FO342:$IH342,SwaptionMonthsToGo+SwaptionShift))*SUM(INDEX($FO$325:$IH$396,HV$169,1+SwaptionShift):INDEX($FO$325:$IH$396,HV$169,SwaptionMonthsToGo+SwaptionShift))))))</f>
        <v/>
      </c>
      <c r="HW187" s="469" t="str">
        <f ca="1">IF(OR(HW$169&lt;SwaptionFirstMonthPosition+1,$FN187&lt;SwaptionFirstMonthPosition+1,HW$169&gt;SwaptionFirstMonthPosition+SwaptionNumOfMonths+1,$FN187&gt;SwaptionFirstMonthPosition+SwaptionNumOfMonths+1),"",IF($FN187=HW$169,1,IF($FN187&lt;HW$169,INDEX($FO$170:$IH$241,HW$169,$FN187),SUMPRODUCT(INDEX($FO$325:$IH$396,HW$169,1+SwaptionShift):INDEX($FO$325:$IH$396,HW$169,SwaptionMonthsToGo+SwaptionShift),INDEX($FO$245:$IH$316,$FN187-HW$169,73-HW$169+SwaptionShift):INDEX($FO$245:$IH$316,$FN187-HW$169,72-HW$169+SwaptionMonthsToGo+SwaptionShift))/SQRT(SUM(INDEX($FO342:$IH342,1+SwaptionShift):INDEX($FO342:$IH342,SwaptionMonthsToGo+SwaptionShift))*SUM(INDEX($FO$325:$IH$396,HW$169,1+SwaptionShift):INDEX($FO$325:$IH$396,HW$169,SwaptionMonthsToGo+SwaptionShift))))))</f>
        <v/>
      </c>
      <c r="HX187" s="469" t="str">
        <f ca="1">IF(OR(HX$169&lt;SwaptionFirstMonthPosition+1,$FN187&lt;SwaptionFirstMonthPosition+1,HX$169&gt;SwaptionFirstMonthPosition+SwaptionNumOfMonths+1,$FN187&gt;SwaptionFirstMonthPosition+SwaptionNumOfMonths+1),"",IF($FN187=HX$169,1,IF($FN187&lt;HX$169,INDEX($FO$170:$IH$241,HX$169,$FN187),SUMPRODUCT(INDEX($FO$325:$IH$396,HX$169,1+SwaptionShift):INDEX($FO$325:$IH$396,HX$169,SwaptionMonthsToGo+SwaptionShift),INDEX($FO$245:$IH$316,$FN187-HX$169,73-HX$169+SwaptionShift):INDEX($FO$245:$IH$316,$FN187-HX$169,72-HX$169+SwaptionMonthsToGo+SwaptionShift))/SQRT(SUM(INDEX($FO342:$IH342,1+SwaptionShift):INDEX($FO342:$IH342,SwaptionMonthsToGo+SwaptionShift))*SUM(INDEX($FO$325:$IH$396,HX$169,1+SwaptionShift):INDEX($FO$325:$IH$396,HX$169,SwaptionMonthsToGo+SwaptionShift))))))</f>
        <v/>
      </c>
      <c r="HY187" s="469" t="str">
        <f ca="1">IF(OR(HY$169&lt;SwaptionFirstMonthPosition+1,$FN187&lt;SwaptionFirstMonthPosition+1,HY$169&gt;SwaptionFirstMonthPosition+SwaptionNumOfMonths+1,$FN187&gt;SwaptionFirstMonthPosition+SwaptionNumOfMonths+1),"",IF($FN187=HY$169,1,IF($FN187&lt;HY$169,INDEX($FO$170:$IH$241,HY$169,$FN187),SUMPRODUCT(INDEX($FO$325:$IH$396,HY$169,1+SwaptionShift):INDEX($FO$325:$IH$396,HY$169,SwaptionMonthsToGo+SwaptionShift),INDEX($FO$245:$IH$316,$FN187-HY$169,73-HY$169+SwaptionShift):INDEX($FO$245:$IH$316,$FN187-HY$169,72-HY$169+SwaptionMonthsToGo+SwaptionShift))/SQRT(SUM(INDEX($FO342:$IH342,1+SwaptionShift):INDEX($FO342:$IH342,SwaptionMonthsToGo+SwaptionShift))*SUM(INDEX($FO$325:$IH$396,HY$169,1+SwaptionShift):INDEX($FO$325:$IH$396,HY$169,SwaptionMonthsToGo+SwaptionShift))))))</f>
        <v/>
      </c>
      <c r="HZ187" s="469" t="str">
        <f ca="1">IF(OR(HZ$169&lt;SwaptionFirstMonthPosition+1,$FN187&lt;SwaptionFirstMonthPosition+1,HZ$169&gt;SwaptionFirstMonthPosition+SwaptionNumOfMonths+1,$FN187&gt;SwaptionFirstMonthPosition+SwaptionNumOfMonths+1),"",IF($FN187=HZ$169,1,IF($FN187&lt;HZ$169,INDEX($FO$170:$IH$241,HZ$169,$FN187),SUMPRODUCT(INDEX($FO$325:$IH$396,HZ$169,1+SwaptionShift):INDEX($FO$325:$IH$396,HZ$169,SwaptionMonthsToGo+SwaptionShift),INDEX($FO$245:$IH$316,$FN187-HZ$169,73-HZ$169+SwaptionShift):INDEX($FO$245:$IH$316,$FN187-HZ$169,72-HZ$169+SwaptionMonthsToGo+SwaptionShift))/SQRT(SUM(INDEX($FO342:$IH342,1+SwaptionShift):INDEX($FO342:$IH342,SwaptionMonthsToGo+SwaptionShift))*SUM(INDEX($FO$325:$IH$396,HZ$169,1+SwaptionShift):INDEX($FO$325:$IH$396,HZ$169,SwaptionMonthsToGo+SwaptionShift))))))</f>
        <v/>
      </c>
      <c r="IA187" s="469" t="str">
        <f ca="1">IF(OR(IA$169&lt;SwaptionFirstMonthPosition+1,$FN187&lt;SwaptionFirstMonthPosition+1,IA$169&gt;SwaptionFirstMonthPosition+SwaptionNumOfMonths+1,$FN187&gt;SwaptionFirstMonthPosition+SwaptionNumOfMonths+1),"",IF($FN187=IA$169,1,IF($FN187&lt;IA$169,INDEX($FO$170:$IH$241,IA$169,$FN187),SUMPRODUCT(INDEX($FO$325:$IH$396,IA$169,1+SwaptionShift):INDEX($FO$325:$IH$396,IA$169,SwaptionMonthsToGo+SwaptionShift),INDEX($FO$245:$IH$316,$FN187-IA$169,73-IA$169+SwaptionShift):INDEX($FO$245:$IH$316,$FN187-IA$169,72-IA$169+SwaptionMonthsToGo+SwaptionShift))/SQRT(SUM(INDEX($FO342:$IH342,1+SwaptionShift):INDEX($FO342:$IH342,SwaptionMonthsToGo+SwaptionShift))*SUM(INDEX($FO$325:$IH$396,IA$169,1+SwaptionShift):INDEX($FO$325:$IH$396,IA$169,SwaptionMonthsToGo+SwaptionShift))))))</f>
        <v/>
      </c>
      <c r="IB187" s="469" t="str">
        <f ca="1">IF(OR(IB$169&lt;SwaptionFirstMonthPosition+1,$FN187&lt;SwaptionFirstMonthPosition+1,IB$169&gt;SwaptionFirstMonthPosition+SwaptionNumOfMonths+1,$FN187&gt;SwaptionFirstMonthPosition+SwaptionNumOfMonths+1),"",IF($FN187=IB$169,1,IF($FN187&lt;IB$169,INDEX($FO$170:$IH$241,IB$169,$FN187),SUMPRODUCT(INDEX($FO$325:$IH$396,IB$169,1+SwaptionShift):INDEX($FO$325:$IH$396,IB$169,SwaptionMonthsToGo+SwaptionShift),INDEX($FO$245:$IH$316,$FN187-IB$169,73-IB$169+SwaptionShift):INDEX($FO$245:$IH$316,$FN187-IB$169,72-IB$169+SwaptionMonthsToGo+SwaptionShift))/SQRT(SUM(INDEX($FO342:$IH342,1+SwaptionShift):INDEX($FO342:$IH342,SwaptionMonthsToGo+SwaptionShift))*SUM(INDEX($FO$325:$IH$396,IB$169,1+SwaptionShift):INDEX($FO$325:$IH$396,IB$169,SwaptionMonthsToGo+SwaptionShift))))))</f>
        <v/>
      </c>
      <c r="IC187" s="469" t="str">
        <f ca="1">IF(OR(IC$169&lt;SwaptionFirstMonthPosition+1,$FN187&lt;SwaptionFirstMonthPosition+1,IC$169&gt;SwaptionFirstMonthPosition+SwaptionNumOfMonths+1,$FN187&gt;SwaptionFirstMonthPosition+SwaptionNumOfMonths+1),"",IF($FN187=IC$169,1,IF($FN187&lt;IC$169,INDEX($FO$170:$IH$241,IC$169,$FN187),SUMPRODUCT(INDEX($FO$325:$IH$396,IC$169,1+SwaptionShift):INDEX($FO$325:$IH$396,IC$169,SwaptionMonthsToGo+SwaptionShift),INDEX($FO$245:$IH$316,$FN187-IC$169,73-IC$169+SwaptionShift):INDEX($FO$245:$IH$316,$FN187-IC$169,72-IC$169+SwaptionMonthsToGo+SwaptionShift))/SQRT(SUM(INDEX($FO342:$IH342,1+SwaptionShift):INDEX($FO342:$IH342,SwaptionMonthsToGo+SwaptionShift))*SUM(INDEX($FO$325:$IH$396,IC$169,1+SwaptionShift):INDEX($FO$325:$IH$396,IC$169,SwaptionMonthsToGo+SwaptionShift))))))</f>
        <v/>
      </c>
      <c r="ID187" s="469" t="str">
        <f ca="1">IF(OR(ID$169&lt;SwaptionFirstMonthPosition+1,$FN187&lt;SwaptionFirstMonthPosition+1,ID$169&gt;SwaptionFirstMonthPosition+SwaptionNumOfMonths+1,$FN187&gt;SwaptionFirstMonthPosition+SwaptionNumOfMonths+1),"",IF($FN187=ID$169,1,IF($FN187&lt;ID$169,INDEX($FO$170:$IH$241,ID$169,$FN187),SUMPRODUCT(INDEX($FO$325:$IH$396,ID$169,1+SwaptionShift):INDEX($FO$325:$IH$396,ID$169,SwaptionMonthsToGo+SwaptionShift),INDEX($FO$245:$IH$316,$FN187-ID$169,73-ID$169+SwaptionShift):INDEX($FO$245:$IH$316,$FN187-ID$169,72-ID$169+SwaptionMonthsToGo+SwaptionShift))/SQRT(SUM(INDEX($FO342:$IH342,1+SwaptionShift):INDEX($FO342:$IH342,SwaptionMonthsToGo+SwaptionShift))*SUM(INDEX($FO$325:$IH$396,ID$169,1+SwaptionShift):INDEX($FO$325:$IH$396,ID$169,SwaptionMonthsToGo+SwaptionShift))))))</f>
        <v/>
      </c>
      <c r="IE187" s="469" t="str">
        <f ca="1">IF(OR(IE$169&lt;SwaptionFirstMonthPosition+1,$FN187&lt;SwaptionFirstMonthPosition+1,IE$169&gt;SwaptionFirstMonthPosition+SwaptionNumOfMonths+1,$FN187&gt;SwaptionFirstMonthPosition+SwaptionNumOfMonths+1),"",IF($FN187=IE$169,1,IF($FN187&lt;IE$169,INDEX($FO$170:$IH$241,IE$169,$FN187),SUMPRODUCT(INDEX($FO$325:$IH$396,IE$169,1+SwaptionShift):INDEX($FO$325:$IH$396,IE$169,SwaptionMonthsToGo+SwaptionShift),INDEX($FO$245:$IH$316,$FN187-IE$169,73-IE$169+SwaptionShift):INDEX($FO$245:$IH$316,$FN187-IE$169,72-IE$169+SwaptionMonthsToGo+SwaptionShift))/SQRT(SUM(INDEX($FO342:$IH342,1+SwaptionShift):INDEX($FO342:$IH342,SwaptionMonthsToGo+SwaptionShift))*SUM(INDEX($FO$325:$IH$396,IE$169,1+SwaptionShift):INDEX($FO$325:$IH$396,IE$169,SwaptionMonthsToGo+SwaptionShift))))))</f>
        <v/>
      </c>
      <c r="IF187" s="469" t="str">
        <f ca="1">IF(OR(IF$169&lt;SwaptionFirstMonthPosition+1,$FN187&lt;SwaptionFirstMonthPosition+1,IF$169&gt;SwaptionFirstMonthPosition+SwaptionNumOfMonths+1,$FN187&gt;SwaptionFirstMonthPosition+SwaptionNumOfMonths+1),"",IF($FN187=IF$169,1,IF($FN187&lt;IF$169,INDEX($FO$170:$IH$241,IF$169,$FN187),SUMPRODUCT(INDEX($FO$325:$IH$396,IF$169,1+SwaptionShift):INDEX($FO$325:$IH$396,IF$169,SwaptionMonthsToGo+SwaptionShift),INDEX($FO$245:$IH$316,$FN187-IF$169,73-IF$169+SwaptionShift):INDEX($FO$245:$IH$316,$FN187-IF$169,72-IF$169+SwaptionMonthsToGo+SwaptionShift))/SQRT(SUM(INDEX($FO342:$IH342,1+SwaptionShift):INDEX($FO342:$IH342,SwaptionMonthsToGo+SwaptionShift))*SUM(INDEX($FO$325:$IH$396,IF$169,1+SwaptionShift):INDEX($FO$325:$IH$396,IF$169,SwaptionMonthsToGo+SwaptionShift))))))</f>
        <v/>
      </c>
      <c r="IG187" s="469" t="str">
        <f ca="1">IF(OR(IG$169&lt;SwaptionFirstMonthPosition+1,$FN187&lt;SwaptionFirstMonthPosition+1,IG$169&gt;SwaptionFirstMonthPosition+SwaptionNumOfMonths+1,$FN187&gt;SwaptionFirstMonthPosition+SwaptionNumOfMonths+1),"",IF($FN187=IG$169,1,IF($FN187&lt;IG$169,INDEX($FO$170:$IH$241,IG$169,$FN187),SUMPRODUCT(INDEX($FO$325:$IH$396,IG$169,1+SwaptionShift):INDEX($FO$325:$IH$396,IG$169,SwaptionMonthsToGo+SwaptionShift),INDEX($FO$245:$IH$316,$FN187-IG$169,73-IG$169+SwaptionShift):INDEX($FO$245:$IH$316,$FN187-IG$169,72-IG$169+SwaptionMonthsToGo+SwaptionShift))/SQRT(SUM(INDEX($FO342:$IH342,1+SwaptionShift):INDEX($FO342:$IH342,SwaptionMonthsToGo+SwaptionShift))*SUM(INDEX($FO$325:$IH$396,IG$169,1+SwaptionShift):INDEX($FO$325:$IH$396,IG$169,SwaptionMonthsToGo+SwaptionShift))))))</f>
        <v/>
      </c>
      <c r="IH187" s="662" t="str">
        <f ca="1">IF(OR(IH$169&lt;SwaptionFirstMonthPosition+1,$FN187&lt;SwaptionFirstMonthPosition+1,IH$169&gt;SwaptionFirstMonthPosition+SwaptionNumOfMonths+1,$FN187&gt;SwaptionFirstMonthPosition+SwaptionNumOfMonths+1),"",IF($FN187=IH$169,1,IF($FN187&lt;IH$169,INDEX($FO$170:$IH$241,IH$169,$FN187),SUMPRODUCT(INDEX($FO$325:$IH$396,IH$169,1+SwaptionShift):INDEX($FO$325:$IH$396,IH$169,SwaptionMonthsToGo+SwaptionShift),INDEX($FO$245:$IH$316,$FN187-IH$169,73-IH$169+SwaptionShift):INDEX($FO$245:$IH$316,$FN187-IH$169,72-IH$169+SwaptionMonthsToGo+SwaptionShift))/SQRT(SUM(INDEX($FO342:$IH342,1+SwaptionShift):INDEX($FO342:$IH342,SwaptionMonthsToGo+SwaptionShift))*SUM(INDEX($FO$325:$IH$396,IH$169,1+SwaptionShift):INDEX($FO$325:$IH$396,IH$169,SwaptionMonthsToGo+SwaptionShift))))))</f>
        <v/>
      </c>
      <c r="II187" s="242"/>
    </row>
    <row r="188" spans="8:243">
      <c r="H188" s="49" t="e">
        <f t="shared" ca="1" si="529"/>
        <v>#N/A</v>
      </c>
      <c r="I188" s="369">
        <f t="shared" si="530"/>
        <v>42125</v>
      </c>
      <c r="J188" s="367">
        <v>23.584999999999901</v>
      </c>
      <c r="K188" s="101" t="s">
        <v>267</v>
      </c>
      <c r="L188" s="382">
        <f t="shared" si="531"/>
        <v>23.584999999999891</v>
      </c>
      <c r="M188" s="163">
        <v>0.1439</v>
      </c>
      <c r="N188" s="372">
        <v>0</v>
      </c>
      <c r="O188" s="163">
        <f t="shared" si="488"/>
        <v>0.1439</v>
      </c>
      <c r="P188" s="367">
        <v>22.377944126724401</v>
      </c>
      <c r="Q188" s="101" t="s">
        <v>267</v>
      </c>
      <c r="R188" s="367">
        <f t="shared" ca="1" si="549"/>
        <v>22.377944126724447</v>
      </c>
      <c r="S188" s="814">
        <f t="shared" si="474"/>
        <v>0.3493335638357854</v>
      </c>
      <c r="T188" s="813">
        <f t="shared" si="550"/>
        <v>0.99999999839610088</v>
      </c>
      <c r="U188" s="532">
        <f t="shared" si="551"/>
        <v>0.99999999999999978</v>
      </c>
      <c r="V188" s="379">
        <v>0</v>
      </c>
      <c r="W188" s="424">
        <f t="shared" si="576"/>
        <v>23.618333333333233</v>
      </c>
      <c r="X188" s="405">
        <f t="shared" si="577"/>
        <v>23.618333333333219</v>
      </c>
      <c r="Y188" s="313">
        <f t="shared" si="578"/>
        <v>22.274333333333232</v>
      </c>
      <c r="Z188" s="313">
        <f t="shared" ca="1" si="579"/>
        <v>22.274333333333217</v>
      </c>
      <c r="AA188" s="419">
        <f t="shared" si="493"/>
        <v>1.3440000000000001</v>
      </c>
      <c r="AB188" s="423">
        <f t="shared" ca="1" si="494"/>
        <v>1.3440000000000001</v>
      </c>
      <c r="AC188" s="221">
        <v>42114</v>
      </c>
      <c r="AD188" s="221">
        <v>42110</v>
      </c>
      <c r="AE188" s="221">
        <v>42109</v>
      </c>
      <c r="AF188" s="221">
        <v>42105</v>
      </c>
      <c r="AG188" s="241" t="s">
        <v>497</v>
      </c>
      <c r="AH188" s="239" t="s">
        <v>497</v>
      </c>
      <c r="AI188" s="141">
        <v>21</v>
      </c>
      <c r="AJ188" s="41">
        <v>14</v>
      </c>
      <c r="AK188" s="41">
        <v>7</v>
      </c>
      <c r="AL188" s="285">
        <v>21</v>
      </c>
      <c r="AM188" s="41">
        <v>10</v>
      </c>
      <c r="AN188" s="142">
        <v>11</v>
      </c>
      <c r="AO188" s="364">
        <v>6.14563554625236E-2</v>
      </c>
      <c r="AP188" s="145">
        <f t="shared" ca="1" si="532"/>
        <v>0.42487110980021003</v>
      </c>
      <c r="AQ188" s="364">
        <v>5.5100185065334997E-2</v>
      </c>
      <c r="AR188" s="145">
        <f t="shared" ca="1" si="552"/>
        <v>0.46676236468727395</v>
      </c>
      <c r="AS188" s="264">
        <f t="shared" si="580"/>
        <v>0.1433666666666667</v>
      </c>
      <c r="AT188" s="149">
        <f t="shared" si="533"/>
        <v>0.1439</v>
      </c>
      <c r="AU188" s="149">
        <f t="shared" si="496"/>
        <v>0.14329047619047619</v>
      </c>
      <c r="AV188" s="263">
        <f t="shared" ca="1" si="560"/>
        <v>0.14173909528825324</v>
      </c>
      <c r="AW188" s="150" t="str">
        <f t="shared" ca="1" si="581"/>
        <v/>
      </c>
      <c r="AX188" s="149">
        <f t="shared" ca="1" si="553"/>
        <v>6.0687192100274219E-3</v>
      </c>
      <c r="AY188" s="149">
        <f t="shared" ca="1" si="554"/>
        <v>2.1143399096131129E-3</v>
      </c>
      <c r="AZ188" s="149">
        <f t="shared" ca="1" si="555"/>
        <v>2.097745058352498E-3</v>
      </c>
      <c r="BA188" s="149">
        <f t="shared" ca="1" si="556"/>
        <v>1.0000000000000831E-4</v>
      </c>
      <c r="BB188" s="149">
        <f t="shared" ca="1" si="557"/>
        <v>1.0000000000000831E-4</v>
      </c>
      <c r="BC188" s="149">
        <f t="shared" ca="1" si="558"/>
        <v>1.0000000000000831E-4</v>
      </c>
      <c r="BD188" s="143">
        <f t="shared" ca="1" si="582"/>
        <v>0</v>
      </c>
      <c r="BE188" s="144">
        <f t="shared" ca="1" si="583"/>
        <v>0</v>
      </c>
      <c r="BF188" s="40">
        <f t="shared" si="584"/>
        <v>2015</v>
      </c>
      <c r="BG188" s="139">
        <f t="shared" si="585"/>
        <v>5</v>
      </c>
      <c r="BH188" s="140">
        <f t="shared" ca="1" si="586"/>
        <v>5120</v>
      </c>
      <c r="BI188" s="304">
        <f t="shared" ca="1" si="570"/>
        <v>14.05886379192334</v>
      </c>
      <c r="BJ188" s="42">
        <f t="shared" ca="1" si="503"/>
        <v>14.113620807665983</v>
      </c>
      <c r="BK188" s="42">
        <f t="shared" ca="1" si="504"/>
        <v>14.116358658453116</v>
      </c>
      <c r="BL188" s="42">
        <f t="shared" ca="1" si="571"/>
        <v>14.140999315537304</v>
      </c>
      <c r="BM188" s="285">
        <f t="shared" si="572"/>
        <v>21</v>
      </c>
      <c r="BN188" s="41">
        <f t="shared" si="573"/>
        <v>14</v>
      </c>
      <c r="BO188" s="41">
        <f t="shared" si="574"/>
        <v>7</v>
      </c>
      <c r="BP188" s="297" t="str">
        <f t="shared" ca="1" si="505"/>
        <v/>
      </c>
      <c r="BQ188" s="297" t="str">
        <f t="shared" ca="1" si="506"/>
        <v/>
      </c>
      <c r="BR188" s="299" t="str">
        <f t="shared" ca="1" si="507"/>
        <v/>
      </c>
      <c r="BS188" s="153" t="str">
        <f t="shared" ca="1" si="508"/>
        <v/>
      </c>
      <c r="BT188" s="153" t="str">
        <f t="shared" ca="1" si="509"/>
        <v/>
      </c>
      <c r="BU188" s="300" t="str">
        <f t="shared" ca="1" si="510"/>
        <v/>
      </c>
      <c r="BV188" s="301" t="str">
        <f t="shared" ca="1" si="511"/>
        <v/>
      </c>
      <c r="BW188" s="300" t="str">
        <f t="shared" ca="1" si="512"/>
        <v/>
      </c>
      <c r="BX188" s="301" t="str">
        <f t="shared" ca="1" si="513"/>
        <v/>
      </c>
      <c r="BY188" s="146" t="str">
        <f t="shared" ca="1" si="514"/>
        <v/>
      </c>
      <c r="BZ188" s="146" t="str">
        <f t="shared" ca="1" si="515"/>
        <v/>
      </c>
      <c r="CA188" s="146" t="str">
        <f t="shared" ca="1" si="516"/>
        <v/>
      </c>
      <c r="CB188" s="146" t="str">
        <f t="shared" ca="1" si="517"/>
        <v/>
      </c>
      <c r="CC188" s="302">
        <v>1</v>
      </c>
      <c r="CD188" s="154">
        <f ca="1">IF(BD188,_xll.xCrudeAPO(BS188,BT188,BY188,BZ188,S189,S190,BI188,BL188,BN188,BO188,0,Strike1,AO188,CC188,0,BL188,IF(OptControl=4,0,1),0,1),0)</f>
        <v>0</v>
      </c>
      <c r="CE188" s="155">
        <f ca="1">IF(BD188,_xll.xCrudeAPO(BS188,BT188,BY188,BZ188,S189,S190,BI188,BL188,BN188,BO188,0,Strike1,AO188,CC188,0,BL188,IF(OptControl=4,0,1),1,1)+_xll.xCrudeAPO(BS188,BT188,BY188,BZ188,S189,S190,BI188,BL188,BN188,BO188,0,Strike1,AO188,CC188,0,BL188,IF(OptControl=4,0,1),1,2)+IF(OR(VolSkewFlag=2,ABS(BQ188)&lt;0.0001),0,IF(BQ188&gt;0,-1,1)*CF188*Strike1/BP188^2*BW188/10%),0)</f>
        <v>0</v>
      </c>
      <c r="CF188" s="155">
        <f ca="1">IF(BD188,(_xll.xCrudeAPO(BS188,BT188,BY188,BZ188,S189,S190,BI188,BL188,BN188,BO188,0,Strike1,AO188,CC188,0,BL188,IF(OptControl=4,0,1),3,1)+_xll.xCrudeAPO(BS188,BT188,BY188,BZ188,S189,S190,BI188,BL188,BN188,BO188,0,Strike1,AO188,CC188,0,BL188,IF(OptControl=4,0,1),3,2))/100,0)</f>
        <v>0</v>
      </c>
      <c r="CG188" s="155">
        <f ca="1">IF(BD188,_xll.xCrudeAPO(BS188,BT188,BY188,BZ188,S189,S190,BI188-DaysForThetaCalculation/365.25,BL188-DaysForThetaCalculation/365.25,BN188,BO188,0,Strike1,AO188,CC188,0,BL188,IF(OptControl=4,0,1),0,1)-_xll.xCrudeAPO(BS188,BT188,BY188,BZ188,S189,S190,BI188,BL188,BN188,BO188,0,Strike1,AO188,CC188,0,BL188,IF(OptControl=4,0,1),0,1),0)</f>
        <v>0</v>
      </c>
      <c r="CH188" s="303">
        <f ca="1">IF(BD188,_xll.xCrudeAPO(BS188,BT188,CA188,CB188,S189,S190,BI188,BL188,BN188,BO188,0,Strike2,AO188,CC188,0,BL188,IF(OptControl=3,1,0),0,1),0)</f>
        <v>0</v>
      </c>
      <c r="CI188" s="155">
        <f ca="1">IF(BD188,_xll.xCrudeAPO(BS188,BT188,CA188,CB188,S189,S190,BI188,BL188,BN188,BO188,0,Strike2,AO188,CC188,0,BL188,IF(OptControl=3,1,0),1,1)+_xll.xCrudeAPO(BS188,BT188,CA188,CB188,S189,S190,BI188,BL188,BN188,BO188,0,Strike2,AO188,CC188,0,BL188,IF(OptControl=3,1,0),1,2)+IF(OR(VolSkewFlag=2,ABS(BR188)&lt;0.0001),0,IF(BR188&gt;0,-1,1)*CJ188*Strike2/BP188^2*BX188/10%),0)</f>
        <v>0</v>
      </c>
      <c r="CJ188" s="155">
        <f ca="1">IF(BD188,(_xll.xCrudeAPO(BS188,BT188,CA188,CB188,S189,S190,BI188,BL188,BN188,BO188,0,Strike2,AO188,CC188,0,BL188,IF(OptControl=3,1,0),3,1)+_xll.xCrudeAPO(BS188,BT188,CA188,CB188,S189,S190,BI188,BL188,BN188,BO188,0,Strike2,AO188,CC188,0,BL188,IF(OptControl=3,1,0),3,2))/100,0)</f>
        <v>0</v>
      </c>
      <c r="CK188" s="156">
        <f ca="1">IF(BD188,_xll.xCrudeAPO(BS188,BT188,CA188,CB188,S189,S190,BI188-DaysForThetaCalculation/365.25,BL188-DaysForThetaCalculation/365.25,BN188,BO188,0,Strike2,AO188,CC188,0,BL188,IF(OptControl=3,1,0),0,1)-_xll.xCrudeAPO(BS188,BT188,CA188,CB188,S189,S190,BI188,BL188,BN188,BO188,0,Strike2,AO188,CC188,0,BL188,IF(OptControl=3,1,0),0,1),0)</f>
        <v>0</v>
      </c>
      <c r="CL188" s="51"/>
      <c r="CM188" s="779" t="str">
        <f t="shared" ca="1" si="534"/>
        <v/>
      </c>
      <c r="CN188" s="783" t="str">
        <f t="shared" ca="1" si="535"/>
        <v/>
      </c>
      <c r="CO188" s="780" t="str">
        <f t="shared" ca="1" si="536"/>
        <v/>
      </c>
      <c r="CP188" s="780" t="str">
        <f t="shared" ca="1" si="537"/>
        <v/>
      </c>
      <c r="CQ188" s="780" t="str">
        <f t="shared" ca="1" si="538"/>
        <v/>
      </c>
      <c r="CR188" s="780" t="str">
        <f t="shared" ca="1" si="539"/>
        <v/>
      </c>
      <c r="CS188" s="781" t="str">
        <f t="shared" ca="1" si="540"/>
        <v/>
      </c>
      <c r="CT188" s="782" t="str">
        <f t="shared" ca="1" si="541"/>
        <v/>
      </c>
      <c r="CU188" s="782" t="str">
        <f t="shared" ca="1" si="542"/>
        <v/>
      </c>
      <c r="CV188" s="155">
        <f ca="1">IF(BD188,_xll.EURO(CN188,Strike1,AO188,AO188,CT188,CM188,IF(OptControl=4,0,1),0),0)</f>
        <v>0</v>
      </c>
      <c r="CW188" s="155">
        <f ca="1">IF(BD188,_xll.EURO(CN188,Strike1,AO188,AO188,CT188,CM188,IF(OptControl=4,0,1),1)+IF(OR(VolSkewFlag=2,ABS(CO188)&lt;0.0001),0,IF(CO188&gt;0,-1,1)*CX188*100*Strike1/CN188^2*CQ188/10%),0)</f>
        <v>0</v>
      </c>
      <c r="CX188" s="155">
        <f ca="1">IF(BD188,_xll.EURO(CN188,Strike1,AO188,AO188,CT188,CM188,IF(OptControl=4,0,1),3)/100,0)</f>
        <v>0</v>
      </c>
      <c r="CY188" s="155">
        <f ca="1">IF(BD188,_xll.EURO(CN188,Strike1,AO188,AO188,CT188,CM188,IF(OptControl=4,0,1),0)-_xll.EURO(CN188,Strike1,AO188,AO188,CT188,CM188-1,IF(OptControl=4,0,1),0),0)</f>
        <v>0</v>
      </c>
      <c r="CZ188" s="155">
        <f ca="1">IF(BD188,_xll.EURO(CN188,Strike2,AO188,AO188,CU188,CM188,IF(OptControl=3,1,0),0),0)</f>
        <v>0</v>
      </c>
      <c r="DA188" s="155">
        <f ca="1">IF(BD188,_xll.EURO(CN188,Strike2,AO188,AO188,CU188,CM188,IF(OptControl=3,1,0),1)+IF(OR(VolSkewFlag=2,ABS(CP188)&lt;0.0001),0,IF(CP188&gt;0,-1,1)*DB188*100*Strike2/CN188^2*CR188/10%),0)</f>
        <v>0</v>
      </c>
      <c r="DB188" s="155">
        <f ca="1">IF(BD188,_xll.EURO(CN188,Strike2,AO188,AO188,CU188,CM188,IF(OptControl=3,1,0),3)/100,0)</f>
        <v>0</v>
      </c>
      <c r="DC188" s="156">
        <f ca="1">IF(BD188,_xll.EURO(CN188,Strike2,AO188,AO188,CU188,CM188,IF(OptControl=3,1,0),0)-_xll.EURO(CN188,Strike2,AO188,AO188,CU188,CM188-1,IF(OptControl=3,1,0),0),0)</f>
        <v>0</v>
      </c>
      <c r="DE188" s="651">
        <f t="shared" ca="1" si="543"/>
        <v>42036</v>
      </c>
      <c r="DF188" s="465">
        <v>1E-4</v>
      </c>
      <c r="DG188" s="649">
        <v>1E-4</v>
      </c>
      <c r="DH188" s="650">
        <f t="shared" ca="1" si="587"/>
        <v>42036</v>
      </c>
      <c r="DI188" s="465">
        <v>1E-4</v>
      </c>
      <c r="DJ188" s="649">
        <v>1E-4</v>
      </c>
      <c r="DK188" s="651">
        <f t="shared" ca="1" si="588"/>
        <v>42036</v>
      </c>
      <c r="DL188" s="652">
        <f t="shared" si="589"/>
        <v>5.0100000000000006E-2</v>
      </c>
      <c r="DM188" s="651">
        <f t="shared" ca="1" si="544"/>
        <v>42036</v>
      </c>
      <c r="DN188" s="563">
        <f t="shared" si="545"/>
        <v>-0.12990000000000002</v>
      </c>
      <c r="DO188" s="803">
        <v>-0.13</v>
      </c>
      <c r="DP188" s="650">
        <f t="shared" ca="1" si="590"/>
        <v>42036</v>
      </c>
      <c r="DQ188" s="653">
        <v>1E-4</v>
      </c>
      <c r="DR188" s="590">
        <v>1E-4</v>
      </c>
      <c r="DS188" s="650">
        <f t="shared" ca="1" si="591"/>
        <v>42036</v>
      </c>
      <c r="DT188" s="653">
        <v>1E-4</v>
      </c>
      <c r="DU188" s="590">
        <v>1E-4</v>
      </c>
      <c r="DV188" s="651">
        <f t="shared" ca="1" si="592"/>
        <v>42036</v>
      </c>
      <c r="DW188" s="590">
        <v>1E-4</v>
      </c>
      <c r="DX188" s="651">
        <f t="shared" ca="1" si="546"/>
        <v>42036</v>
      </c>
      <c r="DY188" s="590">
        <f t="shared" si="547"/>
        <v>1E-4</v>
      </c>
      <c r="DZ188" s="1"/>
      <c r="EA188" s="857"/>
      <c r="EB188" s="857"/>
      <c r="EC188" s="857"/>
      <c r="ED188" s="868" t="e">
        <f t="shared" ca="1" si="566"/>
        <v>#NAME?</v>
      </c>
      <c r="EE188" s="863" t="e">
        <f t="shared" ca="1" si="524"/>
        <v>#NAME?</v>
      </c>
      <c r="EF188" s="590" t="e">
        <f t="shared" ca="1" si="525"/>
        <v>#NAME?</v>
      </c>
      <c r="EG188" s="862" t="str">
        <f t="shared" ca="1" si="593"/>
        <v/>
      </c>
      <c r="EH188" s="114" t="str">
        <f t="shared" ca="1" si="527"/>
        <v/>
      </c>
      <c r="EI188" s="109" t="str">
        <f t="shared" ca="1" si="528"/>
        <v/>
      </c>
      <c r="EJ188" s="115">
        <f ca="1">IF(BD188,_xll.xASN(BP188,Strike1,AO188,EH188,0,BM188,0,BI188,BL188,IF(OptControl=4,0,1),0),0)</f>
        <v>0</v>
      </c>
      <c r="EK188" s="108">
        <f ca="1">IF(BD188,_xll.xASN(BP188,Strike2,AO188,EI188,0,BM188,0,BI188,BL188,IF(OptControl=3,1,0),0),0)</f>
        <v>0</v>
      </c>
      <c r="EP188" s="53"/>
      <c r="EQ188" s="1"/>
      <c r="ER188" s="103"/>
      <c r="ES188" s="103"/>
      <c r="ET188" s="1"/>
      <c r="EU188" s="667" t="s">
        <v>400</v>
      </c>
      <c r="EW188" s="445"/>
      <c r="EX188" s="36"/>
      <c r="EY188" s="104"/>
      <c r="EZ188" s="465"/>
      <c r="FA188" s="446"/>
      <c r="FB188" s="446"/>
      <c r="FC188" s="242"/>
      <c r="FD188" s="242"/>
      <c r="FE188" s="242"/>
      <c r="FF188" s="242"/>
      <c r="FG188" s="242"/>
      <c r="FH188" s="242"/>
      <c r="FI188" s="242"/>
      <c r="FJ188" s="242"/>
      <c r="FK188" s="242"/>
      <c r="FL188" s="242"/>
      <c r="FM188" s="242"/>
      <c r="FN188" s="657">
        <v>19</v>
      </c>
      <c r="FO188" s="469" t="str">
        <f ca="1">IF(OR(FO$169&lt;SwaptionFirstMonthPosition+1,$FN188&lt;SwaptionFirstMonthPosition+1,FO$169&gt;SwaptionFirstMonthPosition+SwaptionNumOfMonths+1,$FN188&gt;SwaptionFirstMonthPosition+SwaptionNumOfMonths+1),"",IF($FN188=FO$169,1,IF($FN188&lt;FO$169,INDEX($FO$170:$IH$241,FO$169,$FN188),SUMPRODUCT(INDEX($FO$325:$IH$396,FO$169,1+SwaptionShift):INDEX($FO$325:$IH$396,FO$169,SwaptionMonthsToGo+SwaptionShift),INDEX($FO$245:$IH$316,$FN188-FO$169,73-FO$169+SwaptionShift):INDEX($FO$245:$IH$316,$FN188-FO$169,72-FO$169+SwaptionMonthsToGo+SwaptionShift))/SQRT(SUM(INDEX($FO343:$IH343,1+SwaptionShift):INDEX($FO343:$IH343,SwaptionMonthsToGo+SwaptionShift))*SUM(INDEX($FO$325:$IH$396,FO$169,1+SwaptionShift):INDEX($FO$325:$IH$396,FO$169,SwaptionMonthsToGo+SwaptionShift))))))</f>
        <v/>
      </c>
      <c r="FP188" s="469" t="str">
        <f ca="1">IF(OR(FP$169&lt;SwaptionFirstMonthPosition+1,$FN188&lt;SwaptionFirstMonthPosition+1,FP$169&gt;SwaptionFirstMonthPosition+SwaptionNumOfMonths+1,$FN188&gt;SwaptionFirstMonthPosition+SwaptionNumOfMonths+1),"",IF($FN188=FP$169,1,IF($FN188&lt;FP$169,INDEX($FO$170:$IH$241,FP$169,$FN188),SUMPRODUCT(INDEX($FO$325:$IH$396,FP$169,1+SwaptionShift):INDEX($FO$325:$IH$396,FP$169,SwaptionMonthsToGo+SwaptionShift),INDEX($FO$245:$IH$316,$FN188-FP$169,73-FP$169+SwaptionShift):INDEX($FO$245:$IH$316,$FN188-FP$169,72-FP$169+SwaptionMonthsToGo+SwaptionShift))/SQRT(SUM(INDEX($FO343:$IH343,1+SwaptionShift):INDEX($FO343:$IH343,SwaptionMonthsToGo+SwaptionShift))*SUM(INDEX($FO$325:$IH$396,FP$169,1+SwaptionShift):INDEX($FO$325:$IH$396,FP$169,SwaptionMonthsToGo+SwaptionShift))))))</f>
        <v/>
      </c>
      <c r="FQ188" s="469" t="str">
        <f ca="1">IF(OR(FQ$169&lt;SwaptionFirstMonthPosition+1,$FN188&lt;SwaptionFirstMonthPosition+1,FQ$169&gt;SwaptionFirstMonthPosition+SwaptionNumOfMonths+1,$FN188&gt;SwaptionFirstMonthPosition+SwaptionNumOfMonths+1),"",IF($FN188=FQ$169,1,IF($FN188&lt;FQ$169,INDEX($FO$170:$IH$241,FQ$169,$FN188),SUMPRODUCT(INDEX($FO$325:$IH$396,FQ$169,1+SwaptionShift):INDEX($FO$325:$IH$396,FQ$169,SwaptionMonthsToGo+SwaptionShift),INDEX($FO$245:$IH$316,$FN188-FQ$169,73-FQ$169+SwaptionShift):INDEX($FO$245:$IH$316,$FN188-FQ$169,72-FQ$169+SwaptionMonthsToGo+SwaptionShift))/SQRT(SUM(INDEX($FO343:$IH343,1+SwaptionShift):INDEX($FO343:$IH343,SwaptionMonthsToGo+SwaptionShift))*SUM(INDEX($FO$325:$IH$396,FQ$169,1+SwaptionShift):INDEX($FO$325:$IH$396,FQ$169,SwaptionMonthsToGo+SwaptionShift))))))</f>
        <v/>
      </c>
      <c r="FR188" s="469" t="str">
        <f ca="1">IF(OR(FR$169&lt;SwaptionFirstMonthPosition+1,$FN188&lt;SwaptionFirstMonthPosition+1,FR$169&gt;SwaptionFirstMonthPosition+SwaptionNumOfMonths+1,$FN188&gt;SwaptionFirstMonthPosition+SwaptionNumOfMonths+1),"",IF($FN188=FR$169,1,IF($FN188&lt;FR$169,INDEX($FO$170:$IH$241,FR$169,$FN188),SUMPRODUCT(INDEX($FO$325:$IH$396,FR$169,1+SwaptionShift):INDEX($FO$325:$IH$396,FR$169,SwaptionMonthsToGo+SwaptionShift),INDEX($FO$245:$IH$316,$FN188-FR$169,73-FR$169+SwaptionShift):INDEX($FO$245:$IH$316,$FN188-FR$169,72-FR$169+SwaptionMonthsToGo+SwaptionShift))/SQRT(SUM(INDEX($FO343:$IH343,1+SwaptionShift):INDEX($FO343:$IH343,SwaptionMonthsToGo+SwaptionShift))*SUM(INDEX($FO$325:$IH$396,FR$169,1+SwaptionShift):INDEX($FO$325:$IH$396,FR$169,SwaptionMonthsToGo+SwaptionShift))))))</f>
        <v/>
      </c>
      <c r="FS188" s="469" t="str">
        <f ca="1">IF(OR(FS$169&lt;SwaptionFirstMonthPosition+1,$FN188&lt;SwaptionFirstMonthPosition+1,FS$169&gt;SwaptionFirstMonthPosition+SwaptionNumOfMonths+1,$FN188&gt;SwaptionFirstMonthPosition+SwaptionNumOfMonths+1),"",IF($FN188=FS$169,1,IF($FN188&lt;FS$169,INDEX($FO$170:$IH$241,FS$169,$FN188),SUMPRODUCT(INDEX($FO$325:$IH$396,FS$169,1+SwaptionShift):INDEX($FO$325:$IH$396,FS$169,SwaptionMonthsToGo+SwaptionShift),INDEX($FO$245:$IH$316,$FN188-FS$169,73-FS$169+SwaptionShift):INDEX($FO$245:$IH$316,$FN188-FS$169,72-FS$169+SwaptionMonthsToGo+SwaptionShift))/SQRT(SUM(INDEX($FO343:$IH343,1+SwaptionShift):INDEX($FO343:$IH343,SwaptionMonthsToGo+SwaptionShift))*SUM(INDEX($FO$325:$IH$396,FS$169,1+SwaptionShift):INDEX($FO$325:$IH$396,FS$169,SwaptionMonthsToGo+SwaptionShift))))))</f>
        <v/>
      </c>
      <c r="FT188" s="469" t="str">
        <f ca="1">IF(OR(FT$169&lt;SwaptionFirstMonthPosition+1,$FN188&lt;SwaptionFirstMonthPosition+1,FT$169&gt;SwaptionFirstMonthPosition+SwaptionNumOfMonths+1,$FN188&gt;SwaptionFirstMonthPosition+SwaptionNumOfMonths+1),"",IF($FN188=FT$169,1,IF($FN188&lt;FT$169,INDEX($FO$170:$IH$241,FT$169,$FN188),SUMPRODUCT(INDEX($FO$325:$IH$396,FT$169,1+SwaptionShift):INDEX($FO$325:$IH$396,FT$169,SwaptionMonthsToGo+SwaptionShift),INDEX($FO$245:$IH$316,$FN188-FT$169,73-FT$169+SwaptionShift):INDEX($FO$245:$IH$316,$FN188-FT$169,72-FT$169+SwaptionMonthsToGo+SwaptionShift))/SQRT(SUM(INDEX($FO343:$IH343,1+SwaptionShift):INDEX($FO343:$IH343,SwaptionMonthsToGo+SwaptionShift))*SUM(INDEX($FO$325:$IH$396,FT$169,1+SwaptionShift):INDEX($FO$325:$IH$396,FT$169,SwaptionMonthsToGo+SwaptionShift))))))</f>
        <v/>
      </c>
      <c r="FU188" s="469" t="str">
        <f ca="1">IF(OR(FU$169&lt;SwaptionFirstMonthPosition+1,$FN188&lt;SwaptionFirstMonthPosition+1,FU$169&gt;SwaptionFirstMonthPosition+SwaptionNumOfMonths+1,$FN188&gt;SwaptionFirstMonthPosition+SwaptionNumOfMonths+1),"",IF($FN188=FU$169,1,IF($FN188&lt;FU$169,INDEX($FO$170:$IH$241,FU$169,$FN188),SUMPRODUCT(INDEX($FO$325:$IH$396,FU$169,1+SwaptionShift):INDEX($FO$325:$IH$396,FU$169,SwaptionMonthsToGo+SwaptionShift),INDEX($FO$245:$IH$316,$FN188-FU$169,73-FU$169+SwaptionShift):INDEX($FO$245:$IH$316,$FN188-FU$169,72-FU$169+SwaptionMonthsToGo+SwaptionShift))/SQRT(SUM(INDEX($FO343:$IH343,1+SwaptionShift):INDEX($FO343:$IH343,SwaptionMonthsToGo+SwaptionShift))*SUM(INDEX($FO$325:$IH$396,FU$169,1+SwaptionShift):INDEX($FO$325:$IH$396,FU$169,SwaptionMonthsToGo+SwaptionShift))))))</f>
        <v/>
      </c>
      <c r="FV188" s="469" t="str">
        <f ca="1">IF(OR(FV$169&lt;SwaptionFirstMonthPosition+1,$FN188&lt;SwaptionFirstMonthPosition+1,FV$169&gt;SwaptionFirstMonthPosition+SwaptionNumOfMonths+1,$FN188&gt;SwaptionFirstMonthPosition+SwaptionNumOfMonths+1),"",IF($FN188=FV$169,1,IF($FN188&lt;FV$169,INDEX($FO$170:$IH$241,FV$169,$FN188),SUMPRODUCT(INDEX($FO$325:$IH$396,FV$169,1+SwaptionShift):INDEX($FO$325:$IH$396,FV$169,SwaptionMonthsToGo+SwaptionShift),INDEX($FO$245:$IH$316,$FN188-FV$169,73-FV$169+SwaptionShift):INDEX($FO$245:$IH$316,$FN188-FV$169,72-FV$169+SwaptionMonthsToGo+SwaptionShift))/SQRT(SUM(INDEX($FO343:$IH343,1+SwaptionShift):INDEX($FO343:$IH343,SwaptionMonthsToGo+SwaptionShift))*SUM(INDEX($FO$325:$IH$396,FV$169,1+SwaptionShift):INDEX($FO$325:$IH$396,FV$169,SwaptionMonthsToGo+SwaptionShift))))))</f>
        <v/>
      </c>
      <c r="FW188" s="469" t="str">
        <f ca="1">IF(OR(FW$169&lt;SwaptionFirstMonthPosition+1,$FN188&lt;SwaptionFirstMonthPosition+1,FW$169&gt;SwaptionFirstMonthPosition+SwaptionNumOfMonths+1,$FN188&gt;SwaptionFirstMonthPosition+SwaptionNumOfMonths+1),"",IF($FN188=FW$169,1,IF($FN188&lt;FW$169,INDEX($FO$170:$IH$241,FW$169,$FN188),SUMPRODUCT(INDEX($FO$325:$IH$396,FW$169,1+SwaptionShift):INDEX($FO$325:$IH$396,FW$169,SwaptionMonthsToGo+SwaptionShift),INDEX($FO$245:$IH$316,$FN188-FW$169,73-FW$169+SwaptionShift):INDEX($FO$245:$IH$316,$FN188-FW$169,72-FW$169+SwaptionMonthsToGo+SwaptionShift))/SQRT(SUM(INDEX($FO343:$IH343,1+SwaptionShift):INDEX($FO343:$IH343,SwaptionMonthsToGo+SwaptionShift))*SUM(INDEX($FO$325:$IH$396,FW$169,1+SwaptionShift):INDEX($FO$325:$IH$396,FW$169,SwaptionMonthsToGo+SwaptionShift))))))</f>
        <v/>
      </c>
      <c r="FX188" s="469" t="str">
        <f ca="1">IF(OR(FX$169&lt;SwaptionFirstMonthPosition+1,$FN188&lt;SwaptionFirstMonthPosition+1,FX$169&gt;SwaptionFirstMonthPosition+SwaptionNumOfMonths+1,$FN188&gt;SwaptionFirstMonthPosition+SwaptionNumOfMonths+1),"",IF($FN188=FX$169,1,IF($FN188&lt;FX$169,INDEX($FO$170:$IH$241,FX$169,$FN188),SUMPRODUCT(INDEX($FO$325:$IH$396,FX$169,1+SwaptionShift):INDEX($FO$325:$IH$396,FX$169,SwaptionMonthsToGo+SwaptionShift),INDEX($FO$245:$IH$316,$FN188-FX$169,73-FX$169+SwaptionShift):INDEX($FO$245:$IH$316,$FN188-FX$169,72-FX$169+SwaptionMonthsToGo+SwaptionShift))/SQRT(SUM(INDEX($FO343:$IH343,1+SwaptionShift):INDEX($FO343:$IH343,SwaptionMonthsToGo+SwaptionShift))*SUM(INDEX($FO$325:$IH$396,FX$169,1+SwaptionShift):INDEX($FO$325:$IH$396,FX$169,SwaptionMonthsToGo+SwaptionShift))))))</f>
        <v/>
      </c>
      <c r="FY188" s="469" t="str">
        <f ca="1">IF(OR(FY$169&lt;SwaptionFirstMonthPosition+1,$FN188&lt;SwaptionFirstMonthPosition+1,FY$169&gt;SwaptionFirstMonthPosition+SwaptionNumOfMonths+1,$FN188&gt;SwaptionFirstMonthPosition+SwaptionNumOfMonths+1),"",IF($FN188=FY$169,1,IF($FN188&lt;FY$169,INDEX($FO$170:$IH$241,FY$169,$FN188),SUMPRODUCT(INDEX($FO$325:$IH$396,FY$169,1+SwaptionShift):INDEX($FO$325:$IH$396,FY$169,SwaptionMonthsToGo+SwaptionShift),INDEX($FO$245:$IH$316,$FN188-FY$169,73-FY$169+SwaptionShift):INDEX($FO$245:$IH$316,$FN188-FY$169,72-FY$169+SwaptionMonthsToGo+SwaptionShift))/SQRT(SUM(INDEX($FO343:$IH343,1+SwaptionShift):INDEX($FO343:$IH343,SwaptionMonthsToGo+SwaptionShift))*SUM(INDEX($FO$325:$IH$396,FY$169,1+SwaptionShift):INDEX($FO$325:$IH$396,FY$169,SwaptionMonthsToGo+SwaptionShift))))))</f>
        <v/>
      </c>
      <c r="FZ188" s="469" t="str">
        <f ca="1">IF(OR(FZ$169&lt;SwaptionFirstMonthPosition+1,$FN188&lt;SwaptionFirstMonthPosition+1,FZ$169&gt;SwaptionFirstMonthPosition+SwaptionNumOfMonths+1,$FN188&gt;SwaptionFirstMonthPosition+SwaptionNumOfMonths+1),"",IF($FN188=FZ$169,1,IF($FN188&lt;FZ$169,INDEX($FO$170:$IH$241,FZ$169,$FN188),SUMPRODUCT(INDEX($FO$325:$IH$396,FZ$169,1+SwaptionShift):INDEX($FO$325:$IH$396,FZ$169,SwaptionMonthsToGo+SwaptionShift),INDEX($FO$245:$IH$316,$FN188-FZ$169,73-FZ$169+SwaptionShift):INDEX($FO$245:$IH$316,$FN188-FZ$169,72-FZ$169+SwaptionMonthsToGo+SwaptionShift))/SQRT(SUM(INDEX($FO343:$IH343,1+SwaptionShift):INDEX($FO343:$IH343,SwaptionMonthsToGo+SwaptionShift))*SUM(INDEX($FO$325:$IH$396,FZ$169,1+SwaptionShift):INDEX($FO$325:$IH$396,FZ$169,SwaptionMonthsToGo+SwaptionShift))))))</f>
        <v/>
      </c>
      <c r="GA188" s="469" t="str">
        <f ca="1">IF(OR(GA$169&lt;SwaptionFirstMonthPosition+1,$FN188&lt;SwaptionFirstMonthPosition+1,GA$169&gt;SwaptionFirstMonthPosition+SwaptionNumOfMonths+1,$FN188&gt;SwaptionFirstMonthPosition+SwaptionNumOfMonths+1),"",IF($FN188=GA$169,1,IF($FN188&lt;GA$169,INDEX($FO$170:$IH$241,GA$169,$FN188),SUMPRODUCT(INDEX($FO$325:$IH$396,GA$169,1+SwaptionShift):INDEX($FO$325:$IH$396,GA$169,SwaptionMonthsToGo+SwaptionShift),INDEX($FO$245:$IH$316,$FN188-GA$169,73-GA$169+SwaptionShift):INDEX($FO$245:$IH$316,$FN188-GA$169,72-GA$169+SwaptionMonthsToGo+SwaptionShift))/SQRT(SUM(INDEX($FO343:$IH343,1+SwaptionShift):INDEX($FO343:$IH343,SwaptionMonthsToGo+SwaptionShift))*SUM(INDEX($FO$325:$IH$396,GA$169,1+SwaptionShift):INDEX($FO$325:$IH$396,GA$169,SwaptionMonthsToGo+SwaptionShift))))))</f>
        <v/>
      </c>
      <c r="GB188" s="469" t="str">
        <f ca="1">IF(OR(GB$169&lt;SwaptionFirstMonthPosition+1,$FN188&lt;SwaptionFirstMonthPosition+1,GB$169&gt;SwaptionFirstMonthPosition+SwaptionNumOfMonths+1,$FN188&gt;SwaptionFirstMonthPosition+SwaptionNumOfMonths+1),"",IF($FN188=GB$169,1,IF($FN188&lt;GB$169,INDEX($FO$170:$IH$241,GB$169,$FN188),SUMPRODUCT(INDEX($FO$325:$IH$396,GB$169,1+SwaptionShift):INDEX($FO$325:$IH$396,GB$169,SwaptionMonthsToGo+SwaptionShift),INDEX($FO$245:$IH$316,$FN188-GB$169,73-GB$169+SwaptionShift):INDEX($FO$245:$IH$316,$FN188-GB$169,72-GB$169+SwaptionMonthsToGo+SwaptionShift))/SQRT(SUM(INDEX($FO343:$IH343,1+SwaptionShift):INDEX($FO343:$IH343,SwaptionMonthsToGo+SwaptionShift))*SUM(INDEX($FO$325:$IH$396,GB$169,1+SwaptionShift):INDEX($FO$325:$IH$396,GB$169,SwaptionMonthsToGo+SwaptionShift))))))</f>
        <v/>
      </c>
      <c r="GC188" s="469" t="str">
        <f ca="1">IF(OR(GC$169&lt;SwaptionFirstMonthPosition+1,$FN188&lt;SwaptionFirstMonthPosition+1,GC$169&gt;SwaptionFirstMonthPosition+SwaptionNumOfMonths+1,$FN188&gt;SwaptionFirstMonthPosition+SwaptionNumOfMonths+1),"",IF($FN188=GC$169,1,IF($FN188&lt;GC$169,INDEX($FO$170:$IH$241,GC$169,$FN188),SUMPRODUCT(INDEX($FO$325:$IH$396,GC$169,1+SwaptionShift):INDEX($FO$325:$IH$396,GC$169,SwaptionMonthsToGo+SwaptionShift),INDEX($FO$245:$IH$316,$FN188-GC$169,73-GC$169+SwaptionShift):INDEX($FO$245:$IH$316,$FN188-GC$169,72-GC$169+SwaptionMonthsToGo+SwaptionShift))/SQRT(SUM(INDEX($FO343:$IH343,1+SwaptionShift):INDEX($FO343:$IH343,SwaptionMonthsToGo+SwaptionShift))*SUM(INDEX($FO$325:$IH$396,GC$169,1+SwaptionShift):INDEX($FO$325:$IH$396,GC$169,SwaptionMonthsToGo+SwaptionShift))))))</f>
        <v/>
      </c>
      <c r="GD188" s="469" t="str">
        <f ca="1">IF(OR(GD$169&lt;SwaptionFirstMonthPosition+1,$FN188&lt;SwaptionFirstMonthPosition+1,GD$169&gt;SwaptionFirstMonthPosition+SwaptionNumOfMonths+1,$FN188&gt;SwaptionFirstMonthPosition+SwaptionNumOfMonths+1),"",IF($FN188=GD$169,1,IF($FN188&lt;GD$169,INDEX($FO$170:$IH$241,GD$169,$FN188),SUMPRODUCT(INDEX($FO$325:$IH$396,GD$169,1+SwaptionShift):INDEX($FO$325:$IH$396,GD$169,SwaptionMonthsToGo+SwaptionShift),INDEX($FO$245:$IH$316,$FN188-GD$169,73-GD$169+SwaptionShift):INDEX($FO$245:$IH$316,$FN188-GD$169,72-GD$169+SwaptionMonthsToGo+SwaptionShift))/SQRT(SUM(INDEX($FO343:$IH343,1+SwaptionShift):INDEX($FO343:$IH343,SwaptionMonthsToGo+SwaptionShift))*SUM(INDEX($FO$325:$IH$396,GD$169,1+SwaptionShift):INDEX($FO$325:$IH$396,GD$169,SwaptionMonthsToGo+SwaptionShift))))))</f>
        <v/>
      </c>
      <c r="GE188" s="469" t="str">
        <f ca="1">IF(OR(GE$169&lt;SwaptionFirstMonthPosition+1,$FN188&lt;SwaptionFirstMonthPosition+1,GE$169&gt;SwaptionFirstMonthPosition+SwaptionNumOfMonths+1,$FN188&gt;SwaptionFirstMonthPosition+SwaptionNumOfMonths+1),"",IF($FN188=GE$169,1,IF($FN188&lt;GE$169,INDEX($FO$170:$IH$241,GE$169,$FN188),SUMPRODUCT(INDEX($FO$325:$IH$396,GE$169,1+SwaptionShift):INDEX($FO$325:$IH$396,GE$169,SwaptionMonthsToGo+SwaptionShift),INDEX($FO$245:$IH$316,$FN188-GE$169,73-GE$169+SwaptionShift):INDEX($FO$245:$IH$316,$FN188-GE$169,72-GE$169+SwaptionMonthsToGo+SwaptionShift))/SQRT(SUM(INDEX($FO343:$IH343,1+SwaptionShift):INDEX($FO343:$IH343,SwaptionMonthsToGo+SwaptionShift))*SUM(INDEX($FO$325:$IH$396,GE$169,1+SwaptionShift):INDEX($FO$325:$IH$396,GE$169,SwaptionMonthsToGo+SwaptionShift))))))</f>
        <v/>
      </c>
      <c r="GF188" s="469" t="str">
        <f ca="1">IF(OR(GF$169&lt;SwaptionFirstMonthPosition+1,$FN188&lt;SwaptionFirstMonthPosition+1,GF$169&gt;SwaptionFirstMonthPosition+SwaptionNumOfMonths+1,$FN188&gt;SwaptionFirstMonthPosition+SwaptionNumOfMonths+1),"",IF($FN188=GF$169,1,IF($FN188&lt;GF$169,INDEX($FO$170:$IH$241,GF$169,$FN188),SUMPRODUCT(INDEX($FO$325:$IH$396,GF$169,1+SwaptionShift):INDEX($FO$325:$IH$396,GF$169,SwaptionMonthsToGo+SwaptionShift),INDEX($FO$245:$IH$316,$FN188-GF$169,73-GF$169+SwaptionShift):INDEX($FO$245:$IH$316,$FN188-GF$169,72-GF$169+SwaptionMonthsToGo+SwaptionShift))/SQRT(SUM(INDEX($FO343:$IH343,1+SwaptionShift):INDEX($FO343:$IH343,SwaptionMonthsToGo+SwaptionShift))*SUM(INDEX($FO$325:$IH$396,GF$169,1+SwaptionShift):INDEX($FO$325:$IH$396,GF$169,SwaptionMonthsToGo+SwaptionShift))))))</f>
        <v/>
      </c>
      <c r="GG188" s="469" t="str">
        <f ca="1">IF(OR(GG$169&lt;SwaptionFirstMonthPosition+1,$FN188&lt;SwaptionFirstMonthPosition+1,GG$169&gt;SwaptionFirstMonthPosition+SwaptionNumOfMonths+1,$FN188&gt;SwaptionFirstMonthPosition+SwaptionNumOfMonths+1),"",IF($FN188=GG$169,1,IF($FN188&lt;GG$169,INDEX($FO$170:$IH$241,GG$169,$FN188),SUMPRODUCT(INDEX($FO$325:$IH$396,GG$169,1+SwaptionShift):INDEX($FO$325:$IH$396,GG$169,SwaptionMonthsToGo+SwaptionShift),INDEX($FO$245:$IH$316,$FN188-GG$169,73-GG$169+SwaptionShift):INDEX($FO$245:$IH$316,$FN188-GG$169,72-GG$169+SwaptionMonthsToGo+SwaptionShift))/SQRT(SUM(INDEX($FO343:$IH343,1+SwaptionShift):INDEX($FO343:$IH343,SwaptionMonthsToGo+SwaptionShift))*SUM(INDEX($FO$325:$IH$396,GG$169,1+SwaptionShift):INDEX($FO$325:$IH$396,GG$169,SwaptionMonthsToGo+SwaptionShift))))))</f>
        <v/>
      </c>
      <c r="GH188" s="469" t="str">
        <f ca="1">IF(OR(GH$169&lt;SwaptionFirstMonthPosition+1,$FN188&lt;SwaptionFirstMonthPosition+1,GH$169&gt;SwaptionFirstMonthPosition+SwaptionNumOfMonths+1,$FN188&gt;SwaptionFirstMonthPosition+SwaptionNumOfMonths+1),"",IF($FN188=GH$169,1,IF($FN188&lt;GH$169,INDEX($FO$170:$IH$241,GH$169,$FN188),SUMPRODUCT(INDEX($FO$325:$IH$396,GH$169,1+SwaptionShift):INDEX($FO$325:$IH$396,GH$169,SwaptionMonthsToGo+SwaptionShift),INDEX($FO$245:$IH$316,$FN188-GH$169,73-GH$169+SwaptionShift):INDEX($FO$245:$IH$316,$FN188-GH$169,72-GH$169+SwaptionMonthsToGo+SwaptionShift))/SQRT(SUM(INDEX($FO343:$IH343,1+SwaptionShift):INDEX($FO343:$IH343,SwaptionMonthsToGo+SwaptionShift))*SUM(INDEX($FO$325:$IH$396,GH$169,1+SwaptionShift):INDEX($FO$325:$IH$396,GH$169,SwaptionMonthsToGo+SwaptionShift))))))</f>
        <v/>
      </c>
      <c r="GI188" s="469" t="str">
        <f ca="1">IF(OR(GI$169&lt;SwaptionFirstMonthPosition+1,$FN188&lt;SwaptionFirstMonthPosition+1,GI$169&gt;SwaptionFirstMonthPosition+SwaptionNumOfMonths+1,$FN188&gt;SwaptionFirstMonthPosition+SwaptionNumOfMonths+1),"",IF($FN188=GI$169,1,IF($FN188&lt;GI$169,INDEX($FO$170:$IH$241,GI$169,$FN188),SUMPRODUCT(INDEX($FO$325:$IH$396,GI$169,1+SwaptionShift):INDEX($FO$325:$IH$396,GI$169,SwaptionMonthsToGo+SwaptionShift),INDEX($FO$245:$IH$316,$FN188-GI$169,73-GI$169+SwaptionShift):INDEX($FO$245:$IH$316,$FN188-GI$169,72-GI$169+SwaptionMonthsToGo+SwaptionShift))/SQRT(SUM(INDEX($FO343:$IH343,1+SwaptionShift):INDEX($FO343:$IH343,SwaptionMonthsToGo+SwaptionShift))*SUM(INDEX($FO$325:$IH$396,GI$169,1+SwaptionShift):INDEX($FO$325:$IH$396,GI$169,SwaptionMonthsToGo+SwaptionShift))))))</f>
        <v/>
      </c>
      <c r="GJ188" s="469" t="str">
        <f ca="1">IF(OR(GJ$169&lt;SwaptionFirstMonthPosition+1,$FN188&lt;SwaptionFirstMonthPosition+1,GJ$169&gt;SwaptionFirstMonthPosition+SwaptionNumOfMonths+1,$FN188&gt;SwaptionFirstMonthPosition+SwaptionNumOfMonths+1),"",IF($FN188=GJ$169,1,IF($FN188&lt;GJ$169,INDEX($FO$170:$IH$241,GJ$169,$FN188),SUMPRODUCT(INDEX($FO$325:$IH$396,GJ$169,1+SwaptionShift):INDEX($FO$325:$IH$396,GJ$169,SwaptionMonthsToGo+SwaptionShift),INDEX($FO$245:$IH$316,$FN188-GJ$169,73-GJ$169+SwaptionShift):INDEX($FO$245:$IH$316,$FN188-GJ$169,72-GJ$169+SwaptionMonthsToGo+SwaptionShift))/SQRT(SUM(INDEX($FO343:$IH343,1+SwaptionShift):INDEX($FO343:$IH343,SwaptionMonthsToGo+SwaptionShift))*SUM(INDEX($FO$325:$IH$396,GJ$169,1+SwaptionShift):INDEX($FO$325:$IH$396,GJ$169,SwaptionMonthsToGo+SwaptionShift))))))</f>
        <v/>
      </c>
      <c r="GK188" s="469" t="str">
        <f ca="1">IF(OR(GK$169&lt;SwaptionFirstMonthPosition+1,$FN188&lt;SwaptionFirstMonthPosition+1,GK$169&gt;SwaptionFirstMonthPosition+SwaptionNumOfMonths+1,$FN188&gt;SwaptionFirstMonthPosition+SwaptionNumOfMonths+1),"",IF($FN188=GK$169,1,IF($FN188&lt;GK$169,INDEX($FO$170:$IH$241,GK$169,$FN188),SUMPRODUCT(INDEX($FO$325:$IH$396,GK$169,1+SwaptionShift):INDEX($FO$325:$IH$396,GK$169,SwaptionMonthsToGo+SwaptionShift),INDEX($FO$245:$IH$316,$FN188-GK$169,73-GK$169+SwaptionShift):INDEX($FO$245:$IH$316,$FN188-GK$169,72-GK$169+SwaptionMonthsToGo+SwaptionShift))/SQRT(SUM(INDEX($FO343:$IH343,1+SwaptionShift):INDEX($FO343:$IH343,SwaptionMonthsToGo+SwaptionShift))*SUM(INDEX($FO$325:$IH$396,GK$169,1+SwaptionShift):INDEX($FO$325:$IH$396,GK$169,SwaptionMonthsToGo+SwaptionShift))))))</f>
        <v/>
      </c>
      <c r="GL188" s="469" t="str">
        <f ca="1">IF(OR(GL$169&lt;SwaptionFirstMonthPosition+1,$FN188&lt;SwaptionFirstMonthPosition+1,GL$169&gt;SwaptionFirstMonthPosition+SwaptionNumOfMonths+1,$FN188&gt;SwaptionFirstMonthPosition+SwaptionNumOfMonths+1),"",IF($FN188=GL$169,1,IF($FN188&lt;GL$169,INDEX($FO$170:$IH$241,GL$169,$FN188),SUMPRODUCT(INDEX($FO$325:$IH$396,GL$169,1+SwaptionShift):INDEX($FO$325:$IH$396,GL$169,SwaptionMonthsToGo+SwaptionShift),INDEX($FO$245:$IH$316,$FN188-GL$169,73-GL$169+SwaptionShift):INDEX($FO$245:$IH$316,$FN188-GL$169,72-GL$169+SwaptionMonthsToGo+SwaptionShift))/SQRT(SUM(INDEX($FO343:$IH343,1+SwaptionShift):INDEX($FO343:$IH343,SwaptionMonthsToGo+SwaptionShift))*SUM(INDEX($FO$325:$IH$396,GL$169,1+SwaptionShift):INDEX($FO$325:$IH$396,GL$169,SwaptionMonthsToGo+SwaptionShift))))))</f>
        <v/>
      </c>
      <c r="GM188" s="469" t="str">
        <f ca="1">IF(OR(GM$169&lt;SwaptionFirstMonthPosition+1,$FN188&lt;SwaptionFirstMonthPosition+1,GM$169&gt;SwaptionFirstMonthPosition+SwaptionNumOfMonths+1,$FN188&gt;SwaptionFirstMonthPosition+SwaptionNumOfMonths+1),"",IF($FN188=GM$169,1,IF($FN188&lt;GM$169,INDEX($FO$170:$IH$241,GM$169,$FN188),SUMPRODUCT(INDEX($FO$325:$IH$396,GM$169,1+SwaptionShift):INDEX($FO$325:$IH$396,GM$169,SwaptionMonthsToGo+SwaptionShift),INDEX($FO$245:$IH$316,$FN188-GM$169,73-GM$169+SwaptionShift):INDEX($FO$245:$IH$316,$FN188-GM$169,72-GM$169+SwaptionMonthsToGo+SwaptionShift))/SQRT(SUM(INDEX($FO343:$IH343,1+SwaptionShift):INDEX($FO343:$IH343,SwaptionMonthsToGo+SwaptionShift))*SUM(INDEX($FO$325:$IH$396,GM$169,1+SwaptionShift):INDEX($FO$325:$IH$396,GM$169,SwaptionMonthsToGo+SwaptionShift))))))</f>
        <v/>
      </c>
      <c r="GN188" s="469" t="str">
        <f ca="1">IF(OR(GN$169&lt;SwaptionFirstMonthPosition+1,$FN188&lt;SwaptionFirstMonthPosition+1,GN$169&gt;SwaptionFirstMonthPosition+SwaptionNumOfMonths+1,$FN188&gt;SwaptionFirstMonthPosition+SwaptionNumOfMonths+1),"",IF($FN188=GN$169,1,IF($FN188&lt;GN$169,INDEX($FO$170:$IH$241,GN$169,$FN188),SUMPRODUCT(INDEX($FO$325:$IH$396,GN$169,1+SwaptionShift):INDEX($FO$325:$IH$396,GN$169,SwaptionMonthsToGo+SwaptionShift),INDEX($FO$245:$IH$316,$FN188-GN$169,73-GN$169+SwaptionShift):INDEX($FO$245:$IH$316,$FN188-GN$169,72-GN$169+SwaptionMonthsToGo+SwaptionShift))/SQRT(SUM(INDEX($FO343:$IH343,1+SwaptionShift):INDEX($FO343:$IH343,SwaptionMonthsToGo+SwaptionShift))*SUM(INDEX($FO$325:$IH$396,GN$169,1+SwaptionShift):INDEX($FO$325:$IH$396,GN$169,SwaptionMonthsToGo+SwaptionShift))))))</f>
        <v/>
      </c>
      <c r="GO188" s="469" t="str">
        <f ca="1">IF(OR(GO$169&lt;SwaptionFirstMonthPosition+1,$FN188&lt;SwaptionFirstMonthPosition+1,GO$169&gt;SwaptionFirstMonthPosition+SwaptionNumOfMonths+1,$FN188&gt;SwaptionFirstMonthPosition+SwaptionNumOfMonths+1),"",IF($FN188=GO$169,1,IF($FN188&lt;GO$169,INDEX($FO$170:$IH$241,GO$169,$FN188),SUMPRODUCT(INDEX($FO$325:$IH$396,GO$169,1+SwaptionShift):INDEX($FO$325:$IH$396,GO$169,SwaptionMonthsToGo+SwaptionShift),INDEX($FO$245:$IH$316,$FN188-GO$169,73-GO$169+SwaptionShift):INDEX($FO$245:$IH$316,$FN188-GO$169,72-GO$169+SwaptionMonthsToGo+SwaptionShift))/SQRT(SUM(INDEX($FO343:$IH343,1+SwaptionShift):INDEX($FO343:$IH343,SwaptionMonthsToGo+SwaptionShift))*SUM(INDEX($FO$325:$IH$396,GO$169,1+SwaptionShift):INDEX($FO$325:$IH$396,GO$169,SwaptionMonthsToGo+SwaptionShift))))))</f>
        <v/>
      </c>
      <c r="GP188" s="469" t="str">
        <f ca="1">IF(OR(GP$169&lt;SwaptionFirstMonthPosition+1,$FN188&lt;SwaptionFirstMonthPosition+1,GP$169&gt;SwaptionFirstMonthPosition+SwaptionNumOfMonths+1,$FN188&gt;SwaptionFirstMonthPosition+SwaptionNumOfMonths+1),"",IF($FN188=GP$169,1,IF($FN188&lt;GP$169,INDEX($FO$170:$IH$241,GP$169,$FN188),SUMPRODUCT(INDEX($FO$325:$IH$396,GP$169,1+SwaptionShift):INDEX($FO$325:$IH$396,GP$169,SwaptionMonthsToGo+SwaptionShift),INDEX($FO$245:$IH$316,$FN188-GP$169,73-GP$169+SwaptionShift):INDEX($FO$245:$IH$316,$FN188-GP$169,72-GP$169+SwaptionMonthsToGo+SwaptionShift))/SQRT(SUM(INDEX($FO343:$IH343,1+SwaptionShift):INDEX($FO343:$IH343,SwaptionMonthsToGo+SwaptionShift))*SUM(INDEX($FO$325:$IH$396,GP$169,1+SwaptionShift):INDEX($FO$325:$IH$396,GP$169,SwaptionMonthsToGo+SwaptionShift))))))</f>
        <v/>
      </c>
      <c r="GQ188" s="469" t="str">
        <f ca="1">IF(OR(GQ$169&lt;SwaptionFirstMonthPosition+1,$FN188&lt;SwaptionFirstMonthPosition+1,GQ$169&gt;SwaptionFirstMonthPosition+SwaptionNumOfMonths+1,$FN188&gt;SwaptionFirstMonthPosition+SwaptionNumOfMonths+1),"",IF($FN188=GQ$169,1,IF($FN188&lt;GQ$169,INDEX($FO$170:$IH$241,GQ$169,$FN188),SUMPRODUCT(INDEX($FO$325:$IH$396,GQ$169,1+SwaptionShift):INDEX($FO$325:$IH$396,GQ$169,SwaptionMonthsToGo+SwaptionShift),INDEX($FO$245:$IH$316,$FN188-GQ$169,73-GQ$169+SwaptionShift):INDEX($FO$245:$IH$316,$FN188-GQ$169,72-GQ$169+SwaptionMonthsToGo+SwaptionShift))/SQRT(SUM(INDEX($FO343:$IH343,1+SwaptionShift):INDEX($FO343:$IH343,SwaptionMonthsToGo+SwaptionShift))*SUM(INDEX($FO$325:$IH$396,GQ$169,1+SwaptionShift):INDEX($FO$325:$IH$396,GQ$169,SwaptionMonthsToGo+SwaptionShift))))))</f>
        <v/>
      </c>
      <c r="GR188" s="469" t="str">
        <f ca="1">IF(OR(GR$169&lt;SwaptionFirstMonthPosition+1,$FN188&lt;SwaptionFirstMonthPosition+1,GR$169&gt;SwaptionFirstMonthPosition+SwaptionNumOfMonths+1,$FN188&gt;SwaptionFirstMonthPosition+SwaptionNumOfMonths+1),"",IF($FN188=GR$169,1,IF($FN188&lt;GR$169,INDEX($FO$170:$IH$241,GR$169,$FN188),SUMPRODUCT(INDEX($FO$325:$IH$396,GR$169,1+SwaptionShift):INDEX($FO$325:$IH$396,GR$169,SwaptionMonthsToGo+SwaptionShift),INDEX($FO$245:$IH$316,$FN188-GR$169,73-GR$169+SwaptionShift):INDEX($FO$245:$IH$316,$FN188-GR$169,72-GR$169+SwaptionMonthsToGo+SwaptionShift))/SQRT(SUM(INDEX($FO343:$IH343,1+SwaptionShift):INDEX($FO343:$IH343,SwaptionMonthsToGo+SwaptionShift))*SUM(INDEX($FO$325:$IH$396,GR$169,1+SwaptionShift):INDEX($FO$325:$IH$396,GR$169,SwaptionMonthsToGo+SwaptionShift))))))</f>
        <v/>
      </c>
      <c r="GS188" s="469" t="str">
        <f ca="1">IF(OR(GS$169&lt;SwaptionFirstMonthPosition+1,$FN188&lt;SwaptionFirstMonthPosition+1,GS$169&gt;SwaptionFirstMonthPosition+SwaptionNumOfMonths+1,$FN188&gt;SwaptionFirstMonthPosition+SwaptionNumOfMonths+1),"",IF($FN188=GS$169,1,IF($FN188&lt;GS$169,INDEX($FO$170:$IH$241,GS$169,$FN188),SUMPRODUCT(INDEX($FO$325:$IH$396,GS$169,1+SwaptionShift):INDEX($FO$325:$IH$396,GS$169,SwaptionMonthsToGo+SwaptionShift),INDEX($FO$245:$IH$316,$FN188-GS$169,73-GS$169+SwaptionShift):INDEX($FO$245:$IH$316,$FN188-GS$169,72-GS$169+SwaptionMonthsToGo+SwaptionShift))/SQRT(SUM(INDEX($FO343:$IH343,1+SwaptionShift):INDEX($FO343:$IH343,SwaptionMonthsToGo+SwaptionShift))*SUM(INDEX($FO$325:$IH$396,GS$169,1+SwaptionShift):INDEX($FO$325:$IH$396,GS$169,SwaptionMonthsToGo+SwaptionShift))))))</f>
        <v/>
      </c>
      <c r="GT188" s="469" t="str">
        <f ca="1">IF(OR(GT$169&lt;SwaptionFirstMonthPosition+1,$FN188&lt;SwaptionFirstMonthPosition+1,GT$169&gt;SwaptionFirstMonthPosition+SwaptionNumOfMonths+1,$FN188&gt;SwaptionFirstMonthPosition+SwaptionNumOfMonths+1),"",IF($FN188=GT$169,1,IF($FN188&lt;GT$169,INDEX($FO$170:$IH$241,GT$169,$FN188),SUMPRODUCT(INDEX($FO$325:$IH$396,GT$169,1+SwaptionShift):INDEX($FO$325:$IH$396,GT$169,SwaptionMonthsToGo+SwaptionShift),INDEX($FO$245:$IH$316,$FN188-GT$169,73-GT$169+SwaptionShift):INDEX($FO$245:$IH$316,$FN188-GT$169,72-GT$169+SwaptionMonthsToGo+SwaptionShift))/SQRT(SUM(INDEX($FO343:$IH343,1+SwaptionShift):INDEX($FO343:$IH343,SwaptionMonthsToGo+SwaptionShift))*SUM(INDEX($FO$325:$IH$396,GT$169,1+SwaptionShift):INDEX($FO$325:$IH$396,GT$169,SwaptionMonthsToGo+SwaptionShift))))))</f>
        <v/>
      </c>
      <c r="GU188" s="469" t="str">
        <f ca="1">IF(OR(GU$169&lt;SwaptionFirstMonthPosition+1,$FN188&lt;SwaptionFirstMonthPosition+1,GU$169&gt;SwaptionFirstMonthPosition+SwaptionNumOfMonths+1,$FN188&gt;SwaptionFirstMonthPosition+SwaptionNumOfMonths+1),"",IF($FN188=GU$169,1,IF($FN188&lt;GU$169,INDEX($FO$170:$IH$241,GU$169,$FN188),SUMPRODUCT(INDEX($FO$325:$IH$396,GU$169,1+SwaptionShift):INDEX($FO$325:$IH$396,GU$169,SwaptionMonthsToGo+SwaptionShift),INDEX($FO$245:$IH$316,$FN188-GU$169,73-GU$169+SwaptionShift):INDEX($FO$245:$IH$316,$FN188-GU$169,72-GU$169+SwaptionMonthsToGo+SwaptionShift))/SQRT(SUM(INDEX($FO343:$IH343,1+SwaptionShift):INDEX($FO343:$IH343,SwaptionMonthsToGo+SwaptionShift))*SUM(INDEX($FO$325:$IH$396,GU$169,1+SwaptionShift):INDEX($FO$325:$IH$396,GU$169,SwaptionMonthsToGo+SwaptionShift))))))</f>
        <v/>
      </c>
      <c r="GV188" s="469" t="str">
        <f ca="1">IF(OR(GV$169&lt;SwaptionFirstMonthPosition+1,$FN188&lt;SwaptionFirstMonthPosition+1,GV$169&gt;SwaptionFirstMonthPosition+SwaptionNumOfMonths+1,$FN188&gt;SwaptionFirstMonthPosition+SwaptionNumOfMonths+1),"",IF($FN188=GV$169,1,IF($FN188&lt;GV$169,INDEX($FO$170:$IH$241,GV$169,$FN188),SUMPRODUCT(INDEX($FO$325:$IH$396,GV$169,1+SwaptionShift):INDEX($FO$325:$IH$396,GV$169,SwaptionMonthsToGo+SwaptionShift),INDEX($FO$245:$IH$316,$FN188-GV$169,73-GV$169+SwaptionShift):INDEX($FO$245:$IH$316,$FN188-GV$169,72-GV$169+SwaptionMonthsToGo+SwaptionShift))/SQRT(SUM(INDEX($FO343:$IH343,1+SwaptionShift):INDEX($FO343:$IH343,SwaptionMonthsToGo+SwaptionShift))*SUM(INDEX($FO$325:$IH$396,GV$169,1+SwaptionShift):INDEX($FO$325:$IH$396,GV$169,SwaptionMonthsToGo+SwaptionShift))))))</f>
        <v/>
      </c>
      <c r="GW188" s="469" t="str">
        <f ca="1">IF(OR(GW$169&lt;SwaptionFirstMonthPosition+1,$FN188&lt;SwaptionFirstMonthPosition+1,GW$169&gt;SwaptionFirstMonthPosition+SwaptionNumOfMonths+1,$FN188&gt;SwaptionFirstMonthPosition+SwaptionNumOfMonths+1),"",IF($FN188=GW$169,1,IF($FN188&lt;GW$169,INDEX($FO$170:$IH$241,GW$169,$FN188),SUMPRODUCT(INDEX($FO$325:$IH$396,GW$169,1+SwaptionShift):INDEX($FO$325:$IH$396,GW$169,SwaptionMonthsToGo+SwaptionShift),INDEX($FO$245:$IH$316,$FN188-GW$169,73-GW$169+SwaptionShift):INDEX($FO$245:$IH$316,$FN188-GW$169,72-GW$169+SwaptionMonthsToGo+SwaptionShift))/SQRT(SUM(INDEX($FO343:$IH343,1+SwaptionShift):INDEX($FO343:$IH343,SwaptionMonthsToGo+SwaptionShift))*SUM(INDEX($FO$325:$IH$396,GW$169,1+SwaptionShift):INDEX($FO$325:$IH$396,GW$169,SwaptionMonthsToGo+SwaptionShift))))))</f>
        <v/>
      </c>
      <c r="GX188" s="469" t="str">
        <f ca="1">IF(OR(GX$169&lt;SwaptionFirstMonthPosition+1,$FN188&lt;SwaptionFirstMonthPosition+1,GX$169&gt;SwaptionFirstMonthPosition+SwaptionNumOfMonths+1,$FN188&gt;SwaptionFirstMonthPosition+SwaptionNumOfMonths+1),"",IF($FN188=GX$169,1,IF($FN188&lt;GX$169,INDEX($FO$170:$IH$241,GX$169,$FN188),SUMPRODUCT(INDEX($FO$325:$IH$396,GX$169,1+SwaptionShift):INDEX($FO$325:$IH$396,GX$169,SwaptionMonthsToGo+SwaptionShift),INDEX($FO$245:$IH$316,$FN188-GX$169,73-GX$169+SwaptionShift):INDEX($FO$245:$IH$316,$FN188-GX$169,72-GX$169+SwaptionMonthsToGo+SwaptionShift))/SQRT(SUM(INDEX($FO343:$IH343,1+SwaptionShift):INDEX($FO343:$IH343,SwaptionMonthsToGo+SwaptionShift))*SUM(INDEX($FO$325:$IH$396,GX$169,1+SwaptionShift):INDEX($FO$325:$IH$396,GX$169,SwaptionMonthsToGo+SwaptionShift))))))</f>
        <v/>
      </c>
      <c r="GY188" s="469" t="str">
        <f ca="1">IF(OR(GY$169&lt;SwaptionFirstMonthPosition+1,$FN188&lt;SwaptionFirstMonthPosition+1,GY$169&gt;SwaptionFirstMonthPosition+SwaptionNumOfMonths+1,$FN188&gt;SwaptionFirstMonthPosition+SwaptionNumOfMonths+1),"",IF($FN188=GY$169,1,IF($FN188&lt;GY$169,INDEX($FO$170:$IH$241,GY$169,$FN188),SUMPRODUCT(INDEX($FO$325:$IH$396,GY$169,1+SwaptionShift):INDEX($FO$325:$IH$396,GY$169,SwaptionMonthsToGo+SwaptionShift),INDEX($FO$245:$IH$316,$FN188-GY$169,73-GY$169+SwaptionShift):INDEX($FO$245:$IH$316,$FN188-GY$169,72-GY$169+SwaptionMonthsToGo+SwaptionShift))/SQRT(SUM(INDEX($FO343:$IH343,1+SwaptionShift):INDEX($FO343:$IH343,SwaptionMonthsToGo+SwaptionShift))*SUM(INDEX($FO$325:$IH$396,GY$169,1+SwaptionShift):INDEX($FO$325:$IH$396,GY$169,SwaptionMonthsToGo+SwaptionShift))))))</f>
        <v/>
      </c>
      <c r="GZ188" s="469" t="str">
        <f ca="1">IF(OR(GZ$169&lt;SwaptionFirstMonthPosition+1,$FN188&lt;SwaptionFirstMonthPosition+1,GZ$169&gt;SwaptionFirstMonthPosition+SwaptionNumOfMonths+1,$FN188&gt;SwaptionFirstMonthPosition+SwaptionNumOfMonths+1),"",IF($FN188=GZ$169,1,IF($FN188&lt;GZ$169,INDEX($FO$170:$IH$241,GZ$169,$FN188),SUMPRODUCT(INDEX($FO$325:$IH$396,GZ$169,1+SwaptionShift):INDEX($FO$325:$IH$396,GZ$169,SwaptionMonthsToGo+SwaptionShift),INDEX($FO$245:$IH$316,$FN188-GZ$169,73-GZ$169+SwaptionShift):INDEX($FO$245:$IH$316,$FN188-GZ$169,72-GZ$169+SwaptionMonthsToGo+SwaptionShift))/SQRT(SUM(INDEX($FO343:$IH343,1+SwaptionShift):INDEX($FO343:$IH343,SwaptionMonthsToGo+SwaptionShift))*SUM(INDEX($FO$325:$IH$396,GZ$169,1+SwaptionShift):INDEX($FO$325:$IH$396,GZ$169,SwaptionMonthsToGo+SwaptionShift))))))</f>
        <v/>
      </c>
      <c r="HA188" s="469" t="str">
        <f ca="1">IF(OR(HA$169&lt;SwaptionFirstMonthPosition+1,$FN188&lt;SwaptionFirstMonthPosition+1,HA$169&gt;SwaptionFirstMonthPosition+SwaptionNumOfMonths+1,$FN188&gt;SwaptionFirstMonthPosition+SwaptionNumOfMonths+1),"",IF($FN188=HA$169,1,IF($FN188&lt;HA$169,INDEX($FO$170:$IH$241,HA$169,$FN188),SUMPRODUCT(INDEX($FO$325:$IH$396,HA$169,1+SwaptionShift):INDEX($FO$325:$IH$396,HA$169,SwaptionMonthsToGo+SwaptionShift),INDEX($FO$245:$IH$316,$FN188-HA$169,73-HA$169+SwaptionShift):INDEX($FO$245:$IH$316,$FN188-HA$169,72-HA$169+SwaptionMonthsToGo+SwaptionShift))/SQRT(SUM(INDEX($FO343:$IH343,1+SwaptionShift):INDEX($FO343:$IH343,SwaptionMonthsToGo+SwaptionShift))*SUM(INDEX($FO$325:$IH$396,HA$169,1+SwaptionShift):INDEX($FO$325:$IH$396,HA$169,SwaptionMonthsToGo+SwaptionShift))))))</f>
        <v/>
      </c>
      <c r="HB188" s="469" t="str">
        <f ca="1">IF(OR(HB$169&lt;SwaptionFirstMonthPosition+1,$FN188&lt;SwaptionFirstMonthPosition+1,HB$169&gt;SwaptionFirstMonthPosition+SwaptionNumOfMonths+1,$FN188&gt;SwaptionFirstMonthPosition+SwaptionNumOfMonths+1),"",IF($FN188=HB$169,1,IF($FN188&lt;HB$169,INDEX($FO$170:$IH$241,HB$169,$FN188),SUMPRODUCT(INDEX($FO$325:$IH$396,HB$169,1+SwaptionShift):INDEX($FO$325:$IH$396,HB$169,SwaptionMonthsToGo+SwaptionShift),INDEX($FO$245:$IH$316,$FN188-HB$169,73-HB$169+SwaptionShift):INDEX($FO$245:$IH$316,$FN188-HB$169,72-HB$169+SwaptionMonthsToGo+SwaptionShift))/SQRT(SUM(INDEX($FO343:$IH343,1+SwaptionShift):INDEX($FO343:$IH343,SwaptionMonthsToGo+SwaptionShift))*SUM(INDEX($FO$325:$IH$396,HB$169,1+SwaptionShift):INDEX($FO$325:$IH$396,HB$169,SwaptionMonthsToGo+SwaptionShift))))))</f>
        <v/>
      </c>
      <c r="HC188" s="469" t="str">
        <f ca="1">IF(OR(HC$169&lt;SwaptionFirstMonthPosition+1,$FN188&lt;SwaptionFirstMonthPosition+1,HC$169&gt;SwaptionFirstMonthPosition+SwaptionNumOfMonths+1,$FN188&gt;SwaptionFirstMonthPosition+SwaptionNumOfMonths+1),"",IF($FN188=HC$169,1,IF($FN188&lt;HC$169,INDEX($FO$170:$IH$241,HC$169,$FN188),SUMPRODUCT(INDEX($FO$325:$IH$396,HC$169,1+SwaptionShift):INDEX($FO$325:$IH$396,HC$169,SwaptionMonthsToGo+SwaptionShift),INDEX($FO$245:$IH$316,$FN188-HC$169,73-HC$169+SwaptionShift):INDEX($FO$245:$IH$316,$FN188-HC$169,72-HC$169+SwaptionMonthsToGo+SwaptionShift))/SQRT(SUM(INDEX($FO343:$IH343,1+SwaptionShift):INDEX($FO343:$IH343,SwaptionMonthsToGo+SwaptionShift))*SUM(INDEX($FO$325:$IH$396,HC$169,1+SwaptionShift):INDEX($FO$325:$IH$396,HC$169,SwaptionMonthsToGo+SwaptionShift))))))</f>
        <v/>
      </c>
      <c r="HD188" s="469" t="str">
        <f ca="1">IF(OR(HD$169&lt;SwaptionFirstMonthPosition+1,$FN188&lt;SwaptionFirstMonthPosition+1,HD$169&gt;SwaptionFirstMonthPosition+SwaptionNumOfMonths+1,$FN188&gt;SwaptionFirstMonthPosition+SwaptionNumOfMonths+1),"",IF($FN188=HD$169,1,IF($FN188&lt;HD$169,INDEX($FO$170:$IH$241,HD$169,$FN188),SUMPRODUCT(INDEX($FO$325:$IH$396,HD$169,1+SwaptionShift):INDEX($FO$325:$IH$396,HD$169,SwaptionMonthsToGo+SwaptionShift),INDEX($FO$245:$IH$316,$FN188-HD$169,73-HD$169+SwaptionShift):INDEX($FO$245:$IH$316,$FN188-HD$169,72-HD$169+SwaptionMonthsToGo+SwaptionShift))/SQRT(SUM(INDEX($FO343:$IH343,1+SwaptionShift):INDEX($FO343:$IH343,SwaptionMonthsToGo+SwaptionShift))*SUM(INDEX($FO$325:$IH$396,HD$169,1+SwaptionShift):INDEX($FO$325:$IH$396,HD$169,SwaptionMonthsToGo+SwaptionShift))))))</f>
        <v/>
      </c>
      <c r="HE188" s="469" t="str">
        <f ca="1">IF(OR(HE$169&lt;SwaptionFirstMonthPosition+1,$FN188&lt;SwaptionFirstMonthPosition+1,HE$169&gt;SwaptionFirstMonthPosition+SwaptionNumOfMonths+1,$FN188&gt;SwaptionFirstMonthPosition+SwaptionNumOfMonths+1),"",IF($FN188=HE$169,1,IF($FN188&lt;HE$169,INDEX($FO$170:$IH$241,HE$169,$FN188),SUMPRODUCT(INDEX($FO$325:$IH$396,HE$169,1+SwaptionShift):INDEX($FO$325:$IH$396,HE$169,SwaptionMonthsToGo+SwaptionShift),INDEX($FO$245:$IH$316,$FN188-HE$169,73-HE$169+SwaptionShift):INDEX($FO$245:$IH$316,$FN188-HE$169,72-HE$169+SwaptionMonthsToGo+SwaptionShift))/SQRT(SUM(INDEX($FO343:$IH343,1+SwaptionShift):INDEX($FO343:$IH343,SwaptionMonthsToGo+SwaptionShift))*SUM(INDEX($FO$325:$IH$396,HE$169,1+SwaptionShift):INDEX($FO$325:$IH$396,HE$169,SwaptionMonthsToGo+SwaptionShift))))))</f>
        <v/>
      </c>
      <c r="HF188" s="469" t="str">
        <f ca="1">IF(OR(HF$169&lt;SwaptionFirstMonthPosition+1,$FN188&lt;SwaptionFirstMonthPosition+1,HF$169&gt;SwaptionFirstMonthPosition+SwaptionNumOfMonths+1,$FN188&gt;SwaptionFirstMonthPosition+SwaptionNumOfMonths+1),"",IF($FN188=HF$169,1,IF($FN188&lt;HF$169,INDEX($FO$170:$IH$241,HF$169,$FN188),SUMPRODUCT(INDEX($FO$325:$IH$396,HF$169,1+SwaptionShift):INDEX($FO$325:$IH$396,HF$169,SwaptionMonthsToGo+SwaptionShift),INDEX($FO$245:$IH$316,$FN188-HF$169,73-HF$169+SwaptionShift):INDEX($FO$245:$IH$316,$FN188-HF$169,72-HF$169+SwaptionMonthsToGo+SwaptionShift))/SQRT(SUM(INDEX($FO343:$IH343,1+SwaptionShift):INDEX($FO343:$IH343,SwaptionMonthsToGo+SwaptionShift))*SUM(INDEX($FO$325:$IH$396,HF$169,1+SwaptionShift):INDEX($FO$325:$IH$396,HF$169,SwaptionMonthsToGo+SwaptionShift))))))</f>
        <v/>
      </c>
      <c r="HG188" s="469" t="str">
        <f ca="1">IF(OR(HG$169&lt;SwaptionFirstMonthPosition+1,$FN188&lt;SwaptionFirstMonthPosition+1,HG$169&gt;SwaptionFirstMonthPosition+SwaptionNumOfMonths+1,$FN188&gt;SwaptionFirstMonthPosition+SwaptionNumOfMonths+1),"",IF($FN188=HG$169,1,IF($FN188&lt;HG$169,INDEX($FO$170:$IH$241,HG$169,$FN188),SUMPRODUCT(INDEX($FO$325:$IH$396,HG$169,1+SwaptionShift):INDEX($FO$325:$IH$396,HG$169,SwaptionMonthsToGo+SwaptionShift),INDEX($FO$245:$IH$316,$FN188-HG$169,73-HG$169+SwaptionShift):INDEX($FO$245:$IH$316,$FN188-HG$169,72-HG$169+SwaptionMonthsToGo+SwaptionShift))/SQRT(SUM(INDEX($FO343:$IH343,1+SwaptionShift):INDEX($FO343:$IH343,SwaptionMonthsToGo+SwaptionShift))*SUM(INDEX($FO$325:$IH$396,HG$169,1+SwaptionShift):INDEX($FO$325:$IH$396,HG$169,SwaptionMonthsToGo+SwaptionShift))))))</f>
        <v/>
      </c>
      <c r="HH188" s="469" t="str">
        <f ca="1">IF(OR(HH$169&lt;SwaptionFirstMonthPosition+1,$FN188&lt;SwaptionFirstMonthPosition+1,HH$169&gt;SwaptionFirstMonthPosition+SwaptionNumOfMonths+1,$FN188&gt;SwaptionFirstMonthPosition+SwaptionNumOfMonths+1),"",IF($FN188=HH$169,1,IF($FN188&lt;HH$169,INDEX($FO$170:$IH$241,HH$169,$FN188),SUMPRODUCT(INDEX($FO$325:$IH$396,HH$169,1+SwaptionShift):INDEX($FO$325:$IH$396,HH$169,SwaptionMonthsToGo+SwaptionShift),INDEX($FO$245:$IH$316,$FN188-HH$169,73-HH$169+SwaptionShift):INDEX($FO$245:$IH$316,$FN188-HH$169,72-HH$169+SwaptionMonthsToGo+SwaptionShift))/SQRT(SUM(INDEX($FO343:$IH343,1+SwaptionShift):INDEX($FO343:$IH343,SwaptionMonthsToGo+SwaptionShift))*SUM(INDEX($FO$325:$IH$396,HH$169,1+SwaptionShift):INDEX($FO$325:$IH$396,HH$169,SwaptionMonthsToGo+SwaptionShift))))))</f>
        <v/>
      </c>
      <c r="HI188" s="469" t="str">
        <f ca="1">IF(OR(HI$169&lt;SwaptionFirstMonthPosition+1,$FN188&lt;SwaptionFirstMonthPosition+1,HI$169&gt;SwaptionFirstMonthPosition+SwaptionNumOfMonths+1,$FN188&gt;SwaptionFirstMonthPosition+SwaptionNumOfMonths+1),"",IF($FN188=HI$169,1,IF($FN188&lt;HI$169,INDEX($FO$170:$IH$241,HI$169,$FN188),SUMPRODUCT(INDEX($FO$325:$IH$396,HI$169,1+SwaptionShift):INDEX($FO$325:$IH$396,HI$169,SwaptionMonthsToGo+SwaptionShift),INDEX($FO$245:$IH$316,$FN188-HI$169,73-HI$169+SwaptionShift):INDEX($FO$245:$IH$316,$FN188-HI$169,72-HI$169+SwaptionMonthsToGo+SwaptionShift))/SQRT(SUM(INDEX($FO343:$IH343,1+SwaptionShift):INDEX($FO343:$IH343,SwaptionMonthsToGo+SwaptionShift))*SUM(INDEX($FO$325:$IH$396,HI$169,1+SwaptionShift):INDEX($FO$325:$IH$396,HI$169,SwaptionMonthsToGo+SwaptionShift))))))</f>
        <v/>
      </c>
      <c r="HJ188" s="469" t="str">
        <f ca="1">IF(OR(HJ$169&lt;SwaptionFirstMonthPosition+1,$FN188&lt;SwaptionFirstMonthPosition+1,HJ$169&gt;SwaptionFirstMonthPosition+SwaptionNumOfMonths+1,$FN188&gt;SwaptionFirstMonthPosition+SwaptionNumOfMonths+1),"",IF($FN188=HJ$169,1,IF($FN188&lt;HJ$169,INDEX($FO$170:$IH$241,HJ$169,$FN188),SUMPRODUCT(INDEX($FO$325:$IH$396,HJ$169,1+SwaptionShift):INDEX($FO$325:$IH$396,HJ$169,SwaptionMonthsToGo+SwaptionShift),INDEX($FO$245:$IH$316,$FN188-HJ$169,73-HJ$169+SwaptionShift):INDEX($FO$245:$IH$316,$FN188-HJ$169,72-HJ$169+SwaptionMonthsToGo+SwaptionShift))/SQRT(SUM(INDEX($FO343:$IH343,1+SwaptionShift):INDEX($FO343:$IH343,SwaptionMonthsToGo+SwaptionShift))*SUM(INDEX($FO$325:$IH$396,HJ$169,1+SwaptionShift):INDEX($FO$325:$IH$396,HJ$169,SwaptionMonthsToGo+SwaptionShift))))))</f>
        <v/>
      </c>
      <c r="HK188" s="469" t="str">
        <f ca="1">IF(OR(HK$169&lt;SwaptionFirstMonthPosition+1,$FN188&lt;SwaptionFirstMonthPosition+1,HK$169&gt;SwaptionFirstMonthPosition+SwaptionNumOfMonths+1,$FN188&gt;SwaptionFirstMonthPosition+SwaptionNumOfMonths+1),"",IF($FN188=HK$169,1,IF($FN188&lt;HK$169,INDEX($FO$170:$IH$241,HK$169,$FN188),SUMPRODUCT(INDEX($FO$325:$IH$396,HK$169,1+SwaptionShift):INDEX($FO$325:$IH$396,HK$169,SwaptionMonthsToGo+SwaptionShift),INDEX($FO$245:$IH$316,$FN188-HK$169,73-HK$169+SwaptionShift):INDEX($FO$245:$IH$316,$FN188-HK$169,72-HK$169+SwaptionMonthsToGo+SwaptionShift))/SQRT(SUM(INDEX($FO343:$IH343,1+SwaptionShift):INDEX($FO343:$IH343,SwaptionMonthsToGo+SwaptionShift))*SUM(INDEX($FO$325:$IH$396,HK$169,1+SwaptionShift):INDEX($FO$325:$IH$396,HK$169,SwaptionMonthsToGo+SwaptionShift))))))</f>
        <v/>
      </c>
      <c r="HL188" s="469" t="str">
        <f ca="1">IF(OR(HL$169&lt;SwaptionFirstMonthPosition+1,$FN188&lt;SwaptionFirstMonthPosition+1,HL$169&gt;SwaptionFirstMonthPosition+SwaptionNumOfMonths+1,$FN188&gt;SwaptionFirstMonthPosition+SwaptionNumOfMonths+1),"",IF($FN188=HL$169,1,IF($FN188&lt;HL$169,INDEX($FO$170:$IH$241,HL$169,$FN188),SUMPRODUCT(INDEX($FO$325:$IH$396,HL$169,1+SwaptionShift):INDEX($FO$325:$IH$396,HL$169,SwaptionMonthsToGo+SwaptionShift),INDEX($FO$245:$IH$316,$FN188-HL$169,73-HL$169+SwaptionShift):INDEX($FO$245:$IH$316,$FN188-HL$169,72-HL$169+SwaptionMonthsToGo+SwaptionShift))/SQRT(SUM(INDEX($FO343:$IH343,1+SwaptionShift):INDEX($FO343:$IH343,SwaptionMonthsToGo+SwaptionShift))*SUM(INDEX($FO$325:$IH$396,HL$169,1+SwaptionShift):INDEX($FO$325:$IH$396,HL$169,SwaptionMonthsToGo+SwaptionShift))))))</f>
        <v/>
      </c>
      <c r="HM188" s="469" t="str">
        <f ca="1">IF(OR(HM$169&lt;SwaptionFirstMonthPosition+1,$FN188&lt;SwaptionFirstMonthPosition+1,HM$169&gt;SwaptionFirstMonthPosition+SwaptionNumOfMonths+1,$FN188&gt;SwaptionFirstMonthPosition+SwaptionNumOfMonths+1),"",IF($FN188=HM$169,1,IF($FN188&lt;HM$169,INDEX($FO$170:$IH$241,HM$169,$FN188),SUMPRODUCT(INDEX($FO$325:$IH$396,HM$169,1+SwaptionShift):INDEX($FO$325:$IH$396,HM$169,SwaptionMonthsToGo+SwaptionShift),INDEX($FO$245:$IH$316,$FN188-HM$169,73-HM$169+SwaptionShift):INDEX($FO$245:$IH$316,$FN188-HM$169,72-HM$169+SwaptionMonthsToGo+SwaptionShift))/SQRT(SUM(INDEX($FO343:$IH343,1+SwaptionShift):INDEX($FO343:$IH343,SwaptionMonthsToGo+SwaptionShift))*SUM(INDEX($FO$325:$IH$396,HM$169,1+SwaptionShift):INDEX($FO$325:$IH$396,HM$169,SwaptionMonthsToGo+SwaptionShift))))))</f>
        <v/>
      </c>
      <c r="HN188" s="469" t="str">
        <f ca="1">IF(OR(HN$169&lt;SwaptionFirstMonthPosition+1,$FN188&lt;SwaptionFirstMonthPosition+1,HN$169&gt;SwaptionFirstMonthPosition+SwaptionNumOfMonths+1,$FN188&gt;SwaptionFirstMonthPosition+SwaptionNumOfMonths+1),"",IF($FN188=HN$169,1,IF($FN188&lt;HN$169,INDEX($FO$170:$IH$241,HN$169,$FN188),SUMPRODUCT(INDEX($FO$325:$IH$396,HN$169,1+SwaptionShift):INDEX($FO$325:$IH$396,HN$169,SwaptionMonthsToGo+SwaptionShift),INDEX($FO$245:$IH$316,$FN188-HN$169,73-HN$169+SwaptionShift):INDEX($FO$245:$IH$316,$FN188-HN$169,72-HN$169+SwaptionMonthsToGo+SwaptionShift))/SQRT(SUM(INDEX($FO343:$IH343,1+SwaptionShift):INDEX($FO343:$IH343,SwaptionMonthsToGo+SwaptionShift))*SUM(INDEX($FO$325:$IH$396,HN$169,1+SwaptionShift):INDEX($FO$325:$IH$396,HN$169,SwaptionMonthsToGo+SwaptionShift))))))</f>
        <v/>
      </c>
      <c r="HO188" s="469" t="str">
        <f ca="1">IF(OR(HO$169&lt;SwaptionFirstMonthPosition+1,$FN188&lt;SwaptionFirstMonthPosition+1,HO$169&gt;SwaptionFirstMonthPosition+SwaptionNumOfMonths+1,$FN188&gt;SwaptionFirstMonthPosition+SwaptionNumOfMonths+1),"",IF($FN188=HO$169,1,IF($FN188&lt;HO$169,INDEX($FO$170:$IH$241,HO$169,$FN188),SUMPRODUCT(INDEX($FO$325:$IH$396,HO$169,1+SwaptionShift):INDEX($FO$325:$IH$396,HO$169,SwaptionMonthsToGo+SwaptionShift),INDEX($FO$245:$IH$316,$FN188-HO$169,73-HO$169+SwaptionShift):INDEX($FO$245:$IH$316,$FN188-HO$169,72-HO$169+SwaptionMonthsToGo+SwaptionShift))/SQRT(SUM(INDEX($FO343:$IH343,1+SwaptionShift):INDEX($FO343:$IH343,SwaptionMonthsToGo+SwaptionShift))*SUM(INDEX($FO$325:$IH$396,HO$169,1+SwaptionShift):INDEX($FO$325:$IH$396,HO$169,SwaptionMonthsToGo+SwaptionShift))))))</f>
        <v/>
      </c>
      <c r="HP188" s="469" t="str">
        <f ca="1">IF(OR(HP$169&lt;SwaptionFirstMonthPosition+1,$FN188&lt;SwaptionFirstMonthPosition+1,HP$169&gt;SwaptionFirstMonthPosition+SwaptionNumOfMonths+1,$FN188&gt;SwaptionFirstMonthPosition+SwaptionNumOfMonths+1),"",IF($FN188=HP$169,1,IF($FN188&lt;HP$169,INDEX($FO$170:$IH$241,HP$169,$FN188),SUMPRODUCT(INDEX($FO$325:$IH$396,HP$169,1+SwaptionShift):INDEX($FO$325:$IH$396,HP$169,SwaptionMonthsToGo+SwaptionShift),INDEX($FO$245:$IH$316,$FN188-HP$169,73-HP$169+SwaptionShift):INDEX($FO$245:$IH$316,$FN188-HP$169,72-HP$169+SwaptionMonthsToGo+SwaptionShift))/SQRT(SUM(INDEX($FO343:$IH343,1+SwaptionShift):INDEX($FO343:$IH343,SwaptionMonthsToGo+SwaptionShift))*SUM(INDEX($FO$325:$IH$396,HP$169,1+SwaptionShift):INDEX($FO$325:$IH$396,HP$169,SwaptionMonthsToGo+SwaptionShift))))))</f>
        <v/>
      </c>
      <c r="HQ188" s="469" t="str">
        <f ca="1">IF(OR(HQ$169&lt;SwaptionFirstMonthPosition+1,$FN188&lt;SwaptionFirstMonthPosition+1,HQ$169&gt;SwaptionFirstMonthPosition+SwaptionNumOfMonths+1,$FN188&gt;SwaptionFirstMonthPosition+SwaptionNumOfMonths+1),"",IF($FN188=HQ$169,1,IF($FN188&lt;HQ$169,INDEX($FO$170:$IH$241,HQ$169,$FN188),SUMPRODUCT(INDEX($FO$325:$IH$396,HQ$169,1+SwaptionShift):INDEX($FO$325:$IH$396,HQ$169,SwaptionMonthsToGo+SwaptionShift),INDEX($FO$245:$IH$316,$FN188-HQ$169,73-HQ$169+SwaptionShift):INDEX($FO$245:$IH$316,$FN188-HQ$169,72-HQ$169+SwaptionMonthsToGo+SwaptionShift))/SQRT(SUM(INDEX($FO343:$IH343,1+SwaptionShift):INDEX($FO343:$IH343,SwaptionMonthsToGo+SwaptionShift))*SUM(INDEX($FO$325:$IH$396,HQ$169,1+SwaptionShift):INDEX($FO$325:$IH$396,HQ$169,SwaptionMonthsToGo+SwaptionShift))))))</f>
        <v/>
      </c>
      <c r="HR188" s="469" t="str">
        <f ca="1">IF(OR(HR$169&lt;SwaptionFirstMonthPosition+1,$FN188&lt;SwaptionFirstMonthPosition+1,HR$169&gt;SwaptionFirstMonthPosition+SwaptionNumOfMonths+1,$FN188&gt;SwaptionFirstMonthPosition+SwaptionNumOfMonths+1),"",IF($FN188=HR$169,1,IF($FN188&lt;HR$169,INDEX($FO$170:$IH$241,HR$169,$FN188),SUMPRODUCT(INDEX($FO$325:$IH$396,HR$169,1+SwaptionShift):INDEX($FO$325:$IH$396,HR$169,SwaptionMonthsToGo+SwaptionShift),INDEX($FO$245:$IH$316,$FN188-HR$169,73-HR$169+SwaptionShift):INDEX($FO$245:$IH$316,$FN188-HR$169,72-HR$169+SwaptionMonthsToGo+SwaptionShift))/SQRT(SUM(INDEX($FO343:$IH343,1+SwaptionShift):INDEX($FO343:$IH343,SwaptionMonthsToGo+SwaptionShift))*SUM(INDEX($FO$325:$IH$396,HR$169,1+SwaptionShift):INDEX($FO$325:$IH$396,HR$169,SwaptionMonthsToGo+SwaptionShift))))))</f>
        <v/>
      </c>
      <c r="HS188" s="469" t="str">
        <f ca="1">IF(OR(HS$169&lt;SwaptionFirstMonthPosition+1,$FN188&lt;SwaptionFirstMonthPosition+1,HS$169&gt;SwaptionFirstMonthPosition+SwaptionNumOfMonths+1,$FN188&gt;SwaptionFirstMonthPosition+SwaptionNumOfMonths+1),"",IF($FN188=HS$169,1,IF($FN188&lt;HS$169,INDEX($FO$170:$IH$241,HS$169,$FN188),SUMPRODUCT(INDEX($FO$325:$IH$396,HS$169,1+SwaptionShift):INDEX($FO$325:$IH$396,HS$169,SwaptionMonthsToGo+SwaptionShift),INDEX($FO$245:$IH$316,$FN188-HS$169,73-HS$169+SwaptionShift):INDEX($FO$245:$IH$316,$FN188-HS$169,72-HS$169+SwaptionMonthsToGo+SwaptionShift))/SQRT(SUM(INDEX($FO343:$IH343,1+SwaptionShift):INDEX($FO343:$IH343,SwaptionMonthsToGo+SwaptionShift))*SUM(INDEX($FO$325:$IH$396,HS$169,1+SwaptionShift):INDEX($FO$325:$IH$396,HS$169,SwaptionMonthsToGo+SwaptionShift))))))</f>
        <v/>
      </c>
      <c r="HT188" s="469" t="str">
        <f ca="1">IF(OR(HT$169&lt;SwaptionFirstMonthPosition+1,$FN188&lt;SwaptionFirstMonthPosition+1,HT$169&gt;SwaptionFirstMonthPosition+SwaptionNumOfMonths+1,$FN188&gt;SwaptionFirstMonthPosition+SwaptionNumOfMonths+1),"",IF($FN188=HT$169,1,IF($FN188&lt;HT$169,INDEX($FO$170:$IH$241,HT$169,$FN188),SUMPRODUCT(INDEX($FO$325:$IH$396,HT$169,1+SwaptionShift):INDEX($FO$325:$IH$396,HT$169,SwaptionMonthsToGo+SwaptionShift),INDEX($FO$245:$IH$316,$FN188-HT$169,73-HT$169+SwaptionShift):INDEX($FO$245:$IH$316,$FN188-HT$169,72-HT$169+SwaptionMonthsToGo+SwaptionShift))/SQRT(SUM(INDEX($FO343:$IH343,1+SwaptionShift):INDEX($FO343:$IH343,SwaptionMonthsToGo+SwaptionShift))*SUM(INDEX($FO$325:$IH$396,HT$169,1+SwaptionShift):INDEX($FO$325:$IH$396,HT$169,SwaptionMonthsToGo+SwaptionShift))))))</f>
        <v/>
      </c>
      <c r="HU188" s="469" t="str">
        <f ca="1">IF(OR(HU$169&lt;SwaptionFirstMonthPosition+1,$FN188&lt;SwaptionFirstMonthPosition+1,HU$169&gt;SwaptionFirstMonthPosition+SwaptionNumOfMonths+1,$FN188&gt;SwaptionFirstMonthPosition+SwaptionNumOfMonths+1),"",IF($FN188=HU$169,1,IF($FN188&lt;HU$169,INDEX($FO$170:$IH$241,HU$169,$FN188),SUMPRODUCT(INDEX($FO$325:$IH$396,HU$169,1+SwaptionShift):INDEX($FO$325:$IH$396,HU$169,SwaptionMonthsToGo+SwaptionShift),INDEX($FO$245:$IH$316,$FN188-HU$169,73-HU$169+SwaptionShift):INDEX($FO$245:$IH$316,$FN188-HU$169,72-HU$169+SwaptionMonthsToGo+SwaptionShift))/SQRT(SUM(INDEX($FO343:$IH343,1+SwaptionShift):INDEX($FO343:$IH343,SwaptionMonthsToGo+SwaptionShift))*SUM(INDEX($FO$325:$IH$396,HU$169,1+SwaptionShift):INDEX($FO$325:$IH$396,HU$169,SwaptionMonthsToGo+SwaptionShift))))))</f>
        <v/>
      </c>
      <c r="HV188" s="469" t="str">
        <f ca="1">IF(OR(HV$169&lt;SwaptionFirstMonthPosition+1,$FN188&lt;SwaptionFirstMonthPosition+1,HV$169&gt;SwaptionFirstMonthPosition+SwaptionNumOfMonths+1,$FN188&gt;SwaptionFirstMonthPosition+SwaptionNumOfMonths+1),"",IF($FN188=HV$169,1,IF($FN188&lt;HV$169,INDEX($FO$170:$IH$241,HV$169,$FN188),SUMPRODUCT(INDEX($FO$325:$IH$396,HV$169,1+SwaptionShift):INDEX($FO$325:$IH$396,HV$169,SwaptionMonthsToGo+SwaptionShift),INDEX($FO$245:$IH$316,$FN188-HV$169,73-HV$169+SwaptionShift):INDEX($FO$245:$IH$316,$FN188-HV$169,72-HV$169+SwaptionMonthsToGo+SwaptionShift))/SQRT(SUM(INDEX($FO343:$IH343,1+SwaptionShift):INDEX($FO343:$IH343,SwaptionMonthsToGo+SwaptionShift))*SUM(INDEX($FO$325:$IH$396,HV$169,1+SwaptionShift):INDEX($FO$325:$IH$396,HV$169,SwaptionMonthsToGo+SwaptionShift))))))</f>
        <v/>
      </c>
      <c r="HW188" s="469" t="str">
        <f ca="1">IF(OR(HW$169&lt;SwaptionFirstMonthPosition+1,$FN188&lt;SwaptionFirstMonthPosition+1,HW$169&gt;SwaptionFirstMonthPosition+SwaptionNumOfMonths+1,$FN188&gt;SwaptionFirstMonthPosition+SwaptionNumOfMonths+1),"",IF($FN188=HW$169,1,IF($FN188&lt;HW$169,INDEX($FO$170:$IH$241,HW$169,$FN188),SUMPRODUCT(INDEX($FO$325:$IH$396,HW$169,1+SwaptionShift):INDEX($FO$325:$IH$396,HW$169,SwaptionMonthsToGo+SwaptionShift),INDEX($FO$245:$IH$316,$FN188-HW$169,73-HW$169+SwaptionShift):INDEX($FO$245:$IH$316,$FN188-HW$169,72-HW$169+SwaptionMonthsToGo+SwaptionShift))/SQRT(SUM(INDEX($FO343:$IH343,1+SwaptionShift):INDEX($FO343:$IH343,SwaptionMonthsToGo+SwaptionShift))*SUM(INDEX($FO$325:$IH$396,HW$169,1+SwaptionShift):INDEX($FO$325:$IH$396,HW$169,SwaptionMonthsToGo+SwaptionShift))))))</f>
        <v/>
      </c>
      <c r="HX188" s="469" t="str">
        <f ca="1">IF(OR(HX$169&lt;SwaptionFirstMonthPosition+1,$FN188&lt;SwaptionFirstMonthPosition+1,HX$169&gt;SwaptionFirstMonthPosition+SwaptionNumOfMonths+1,$FN188&gt;SwaptionFirstMonthPosition+SwaptionNumOfMonths+1),"",IF($FN188=HX$169,1,IF($FN188&lt;HX$169,INDEX($FO$170:$IH$241,HX$169,$FN188),SUMPRODUCT(INDEX($FO$325:$IH$396,HX$169,1+SwaptionShift):INDEX($FO$325:$IH$396,HX$169,SwaptionMonthsToGo+SwaptionShift),INDEX($FO$245:$IH$316,$FN188-HX$169,73-HX$169+SwaptionShift):INDEX($FO$245:$IH$316,$FN188-HX$169,72-HX$169+SwaptionMonthsToGo+SwaptionShift))/SQRT(SUM(INDEX($FO343:$IH343,1+SwaptionShift):INDEX($FO343:$IH343,SwaptionMonthsToGo+SwaptionShift))*SUM(INDEX($FO$325:$IH$396,HX$169,1+SwaptionShift):INDEX($FO$325:$IH$396,HX$169,SwaptionMonthsToGo+SwaptionShift))))))</f>
        <v/>
      </c>
      <c r="HY188" s="469" t="str">
        <f ca="1">IF(OR(HY$169&lt;SwaptionFirstMonthPosition+1,$FN188&lt;SwaptionFirstMonthPosition+1,HY$169&gt;SwaptionFirstMonthPosition+SwaptionNumOfMonths+1,$FN188&gt;SwaptionFirstMonthPosition+SwaptionNumOfMonths+1),"",IF($FN188=HY$169,1,IF($FN188&lt;HY$169,INDEX($FO$170:$IH$241,HY$169,$FN188),SUMPRODUCT(INDEX($FO$325:$IH$396,HY$169,1+SwaptionShift):INDEX($FO$325:$IH$396,HY$169,SwaptionMonthsToGo+SwaptionShift),INDEX($FO$245:$IH$316,$FN188-HY$169,73-HY$169+SwaptionShift):INDEX($FO$245:$IH$316,$FN188-HY$169,72-HY$169+SwaptionMonthsToGo+SwaptionShift))/SQRT(SUM(INDEX($FO343:$IH343,1+SwaptionShift):INDEX($FO343:$IH343,SwaptionMonthsToGo+SwaptionShift))*SUM(INDEX($FO$325:$IH$396,HY$169,1+SwaptionShift):INDEX($FO$325:$IH$396,HY$169,SwaptionMonthsToGo+SwaptionShift))))))</f>
        <v/>
      </c>
      <c r="HZ188" s="469" t="str">
        <f ca="1">IF(OR(HZ$169&lt;SwaptionFirstMonthPosition+1,$FN188&lt;SwaptionFirstMonthPosition+1,HZ$169&gt;SwaptionFirstMonthPosition+SwaptionNumOfMonths+1,$FN188&gt;SwaptionFirstMonthPosition+SwaptionNumOfMonths+1),"",IF($FN188=HZ$169,1,IF($FN188&lt;HZ$169,INDEX($FO$170:$IH$241,HZ$169,$FN188),SUMPRODUCT(INDEX($FO$325:$IH$396,HZ$169,1+SwaptionShift):INDEX($FO$325:$IH$396,HZ$169,SwaptionMonthsToGo+SwaptionShift),INDEX($FO$245:$IH$316,$FN188-HZ$169,73-HZ$169+SwaptionShift):INDEX($FO$245:$IH$316,$FN188-HZ$169,72-HZ$169+SwaptionMonthsToGo+SwaptionShift))/SQRT(SUM(INDEX($FO343:$IH343,1+SwaptionShift):INDEX($FO343:$IH343,SwaptionMonthsToGo+SwaptionShift))*SUM(INDEX($FO$325:$IH$396,HZ$169,1+SwaptionShift):INDEX($FO$325:$IH$396,HZ$169,SwaptionMonthsToGo+SwaptionShift))))))</f>
        <v/>
      </c>
      <c r="IA188" s="469" t="str">
        <f ca="1">IF(OR(IA$169&lt;SwaptionFirstMonthPosition+1,$FN188&lt;SwaptionFirstMonthPosition+1,IA$169&gt;SwaptionFirstMonthPosition+SwaptionNumOfMonths+1,$FN188&gt;SwaptionFirstMonthPosition+SwaptionNumOfMonths+1),"",IF($FN188=IA$169,1,IF($FN188&lt;IA$169,INDEX($FO$170:$IH$241,IA$169,$FN188),SUMPRODUCT(INDEX($FO$325:$IH$396,IA$169,1+SwaptionShift):INDEX($FO$325:$IH$396,IA$169,SwaptionMonthsToGo+SwaptionShift),INDEX($FO$245:$IH$316,$FN188-IA$169,73-IA$169+SwaptionShift):INDEX($FO$245:$IH$316,$FN188-IA$169,72-IA$169+SwaptionMonthsToGo+SwaptionShift))/SQRT(SUM(INDEX($FO343:$IH343,1+SwaptionShift):INDEX($FO343:$IH343,SwaptionMonthsToGo+SwaptionShift))*SUM(INDEX($FO$325:$IH$396,IA$169,1+SwaptionShift):INDEX($FO$325:$IH$396,IA$169,SwaptionMonthsToGo+SwaptionShift))))))</f>
        <v/>
      </c>
      <c r="IB188" s="469" t="str">
        <f ca="1">IF(OR(IB$169&lt;SwaptionFirstMonthPosition+1,$FN188&lt;SwaptionFirstMonthPosition+1,IB$169&gt;SwaptionFirstMonthPosition+SwaptionNumOfMonths+1,$FN188&gt;SwaptionFirstMonthPosition+SwaptionNumOfMonths+1),"",IF($FN188=IB$169,1,IF($FN188&lt;IB$169,INDEX($FO$170:$IH$241,IB$169,$FN188),SUMPRODUCT(INDEX($FO$325:$IH$396,IB$169,1+SwaptionShift):INDEX($FO$325:$IH$396,IB$169,SwaptionMonthsToGo+SwaptionShift),INDEX($FO$245:$IH$316,$FN188-IB$169,73-IB$169+SwaptionShift):INDEX($FO$245:$IH$316,$FN188-IB$169,72-IB$169+SwaptionMonthsToGo+SwaptionShift))/SQRT(SUM(INDEX($FO343:$IH343,1+SwaptionShift):INDEX($FO343:$IH343,SwaptionMonthsToGo+SwaptionShift))*SUM(INDEX($FO$325:$IH$396,IB$169,1+SwaptionShift):INDEX($FO$325:$IH$396,IB$169,SwaptionMonthsToGo+SwaptionShift))))))</f>
        <v/>
      </c>
      <c r="IC188" s="469" t="str">
        <f ca="1">IF(OR(IC$169&lt;SwaptionFirstMonthPosition+1,$FN188&lt;SwaptionFirstMonthPosition+1,IC$169&gt;SwaptionFirstMonthPosition+SwaptionNumOfMonths+1,$FN188&gt;SwaptionFirstMonthPosition+SwaptionNumOfMonths+1),"",IF($FN188=IC$169,1,IF($FN188&lt;IC$169,INDEX($FO$170:$IH$241,IC$169,$FN188),SUMPRODUCT(INDEX($FO$325:$IH$396,IC$169,1+SwaptionShift):INDEX($FO$325:$IH$396,IC$169,SwaptionMonthsToGo+SwaptionShift),INDEX($FO$245:$IH$316,$FN188-IC$169,73-IC$169+SwaptionShift):INDEX($FO$245:$IH$316,$FN188-IC$169,72-IC$169+SwaptionMonthsToGo+SwaptionShift))/SQRT(SUM(INDEX($FO343:$IH343,1+SwaptionShift):INDEX($FO343:$IH343,SwaptionMonthsToGo+SwaptionShift))*SUM(INDEX($FO$325:$IH$396,IC$169,1+SwaptionShift):INDEX($FO$325:$IH$396,IC$169,SwaptionMonthsToGo+SwaptionShift))))))</f>
        <v/>
      </c>
      <c r="ID188" s="469" t="str">
        <f ca="1">IF(OR(ID$169&lt;SwaptionFirstMonthPosition+1,$FN188&lt;SwaptionFirstMonthPosition+1,ID$169&gt;SwaptionFirstMonthPosition+SwaptionNumOfMonths+1,$FN188&gt;SwaptionFirstMonthPosition+SwaptionNumOfMonths+1),"",IF($FN188=ID$169,1,IF($FN188&lt;ID$169,INDEX($FO$170:$IH$241,ID$169,$FN188),SUMPRODUCT(INDEX($FO$325:$IH$396,ID$169,1+SwaptionShift):INDEX($FO$325:$IH$396,ID$169,SwaptionMonthsToGo+SwaptionShift),INDEX($FO$245:$IH$316,$FN188-ID$169,73-ID$169+SwaptionShift):INDEX($FO$245:$IH$316,$FN188-ID$169,72-ID$169+SwaptionMonthsToGo+SwaptionShift))/SQRT(SUM(INDEX($FO343:$IH343,1+SwaptionShift):INDEX($FO343:$IH343,SwaptionMonthsToGo+SwaptionShift))*SUM(INDEX($FO$325:$IH$396,ID$169,1+SwaptionShift):INDEX($FO$325:$IH$396,ID$169,SwaptionMonthsToGo+SwaptionShift))))))</f>
        <v/>
      </c>
      <c r="IE188" s="469" t="str">
        <f ca="1">IF(OR(IE$169&lt;SwaptionFirstMonthPosition+1,$FN188&lt;SwaptionFirstMonthPosition+1,IE$169&gt;SwaptionFirstMonthPosition+SwaptionNumOfMonths+1,$FN188&gt;SwaptionFirstMonthPosition+SwaptionNumOfMonths+1),"",IF($FN188=IE$169,1,IF($FN188&lt;IE$169,INDEX($FO$170:$IH$241,IE$169,$FN188),SUMPRODUCT(INDEX($FO$325:$IH$396,IE$169,1+SwaptionShift):INDEX($FO$325:$IH$396,IE$169,SwaptionMonthsToGo+SwaptionShift),INDEX($FO$245:$IH$316,$FN188-IE$169,73-IE$169+SwaptionShift):INDEX($FO$245:$IH$316,$FN188-IE$169,72-IE$169+SwaptionMonthsToGo+SwaptionShift))/SQRT(SUM(INDEX($FO343:$IH343,1+SwaptionShift):INDEX($FO343:$IH343,SwaptionMonthsToGo+SwaptionShift))*SUM(INDEX($FO$325:$IH$396,IE$169,1+SwaptionShift):INDEX($FO$325:$IH$396,IE$169,SwaptionMonthsToGo+SwaptionShift))))))</f>
        <v/>
      </c>
      <c r="IF188" s="469" t="str">
        <f ca="1">IF(OR(IF$169&lt;SwaptionFirstMonthPosition+1,$FN188&lt;SwaptionFirstMonthPosition+1,IF$169&gt;SwaptionFirstMonthPosition+SwaptionNumOfMonths+1,$FN188&gt;SwaptionFirstMonthPosition+SwaptionNumOfMonths+1),"",IF($FN188=IF$169,1,IF($FN188&lt;IF$169,INDEX($FO$170:$IH$241,IF$169,$FN188),SUMPRODUCT(INDEX($FO$325:$IH$396,IF$169,1+SwaptionShift):INDEX($FO$325:$IH$396,IF$169,SwaptionMonthsToGo+SwaptionShift),INDEX($FO$245:$IH$316,$FN188-IF$169,73-IF$169+SwaptionShift):INDEX($FO$245:$IH$316,$FN188-IF$169,72-IF$169+SwaptionMonthsToGo+SwaptionShift))/SQRT(SUM(INDEX($FO343:$IH343,1+SwaptionShift):INDEX($FO343:$IH343,SwaptionMonthsToGo+SwaptionShift))*SUM(INDEX($FO$325:$IH$396,IF$169,1+SwaptionShift):INDEX($FO$325:$IH$396,IF$169,SwaptionMonthsToGo+SwaptionShift))))))</f>
        <v/>
      </c>
      <c r="IG188" s="469" t="str">
        <f ca="1">IF(OR(IG$169&lt;SwaptionFirstMonthPosition+1,$FN188&lt;SwaptionFirstMonthPosition+1,IG$169&gt;SwaptionFirstMonthPosition+SwaptionNumOfMonths+1,$FN188&gt;SwaptionFirstMonthPosition+SwaptionNumOfMonths+1),"",IF($FN188=IG$169,1,IF($FN188&lt;IG$169,INDEX($FO$170:$IH$241,IG$169,$FN188),SUMPRODUCT(INDEX($FO$325:$IH$396,IG$169,1+SwaptionShift):INDEX($FO$325:$IH$396,IG$169,SwaptionMonthsToGo+SwaptionShift),INDEX($FO$245:$IH$316,$FN188-IG$169,73-IG$169+SwaptionShift):INDEX($FO$245:$IH$316,$FN188-IG$169,72-IG$169+SwaptionMonthsToGo+SwaptionShift))/SQRT(SUM(INDEX($FO343:$IH343,1+SwaptionShift):INDEX($FO343:$IH343,SwaptionMonthsToGo+SwaptionShift))*SUM(INDEX($FO$325:$IH$396,IG$169,1+SwaptionShift):INDEX($FO$325:$IH$396,IG$169,SwaptionMonthsToGo+SwaptionShift))))))</f>
        <v/>
      </c>
      <c r="IH188" s="662" t="str">
        <f ca="1">IF(OR(IH$169&lt;SwaptionFirstMonthPosition+1,$FN188&lt;SwaptionFirstMonthPosition+1,IH$169&gt;SwaptionFirstMonthPosition+SwaptionNumOfMonths+1,$FN188&gt;SwaptionFirstMonthPosition+SwaptionNumOfMonths+1),"",IF($FN188=IH$169,1,IF($FN188&lt;IH$169,INDEX($FO$170:$IH$241,IH$169,$FN188),SUMPRODUCT(INDEX($FO$325:$IH$396,IH$169,1+SwaptionShift):INDEX($FO$325:$IH$396,IH$169,SwaptionMonthsToGo+SwaptionShift),INDEX($FO$245:$IH$316,$FN188-IH$169,73-IH$169+SwaptionShift):INDEX($FO$245:$IH$316,$FN188-IH$169,72-IH$169+SwaptionMonthsToGo+SwaptionShift))/SQRT(SUM(INDEX($FO343:$IH343,1+SwaptionShift):INDEX($FO343:$IH343,SwaptionMonthsToGo+SwaptionShift))*SUM(INDEX($FO$325:$IH$396,IH$169,1+SwaptionShift):INDEX($FO$325:$IH$396,IH$169,SwaptionMonthsToGo+SwaptionShift))))))</f>
        <v/>
      </c>
      <c r="II188" s="242"/>
    </row>
    <row r="189" spans="8:243">
      <c r="H189" s="49" t="e">
        <f t="shared" ca="1" si="529"/>
        <v>#N/A</v>
      </c>
      <c r="I189" s="369">
        <f t="shared" si="530"/>
        <v>42156</v>
      </c>
      <c r="J189" s="367">
        <v>23.6099999999999</v>
      </c>
      <c r="K189" s="101" t="s">
        <v>267</v>
      </c>
      <c r="L189" s="382">
        <f t="shared" si="531"/>
        <v>23.609999999999889</v>
      </c>
      <c r="M189" s="163">
        <v>0.14350000000000002</v>
      </c>
      <c r="N189" s="372">
        <v>0</v>
      </c>
      <c r="O189" s="163">
        <f t="shared" si="488"/>
        <v>0.14350000000000002</v>
      </c>
      <c r="P189" s="367">
        <v>22.143546561062802</v>
      </c>
      <c r="Q189" s="101" t="s">
        <v>267</v>
      </c>
      <c r="R189" s="367">
        <f t="shared" ca="1" si="549"/>
        <v>22.14354656106276</v>
      </c>
      <c r="S189" s="814">
        <f t="shared" si="474"/>
        <v>0.34924022819742756</v>
      </c>
      <c r="T189" s="813">
        <f t="shared" si="550"/>
        <v>0.9999999985564908</v>
      </c>
      <c r="U189" s="532">
        <f t="shared" si="551"/>
        <v>0.99999999999999978</v>
      </c>
      <c r="V189" s="379">
        <v>0</v>
      </c>
      <c r="W189" s="424">
        <f t="shared" si="576"/>
        <v>23.642954545454447</v>
      </c>
      <c r="X189" s="405">
        <f t="shared" si="577"/>
        <v>23.64295454545443</v>
      </c>
      <c r="Y189" s="313">
        <f t="shared" si="578"/>
        <v>22.298954545454446</v>
      </c>
      <c r="Z189" s="313">
        <f t="shared" ca="1" si="579"/>
        <v>22.298954545454428</v>
      </c>
      <c r="AA189" s="419">
        <f t="shared" si="493"/>
        <v>1.3440000000000001</v>
      </c>
      <c r="AB189" s="423">
        <f t="shared" ca="1" si="494"/>
        <v>1.3440000000000001</v>
      </c>
      <c r="AC189" s="221">
        <v>42144</v>
      </c>
      <c r="AD189" s="221">
        <v>42140</v>
      </c>
      <c r="AE189" s="221">
        <v>42139</v>
      </c>
      <c r="AF189" s="221">
        <v>42135</v>
      </c>
      <c r="AG189" s="241" t="s">
        <v>497</v>
      </c>
      <c r="AH189" s="239" t="s">
        <v>497</v>
      </c>
      <c r="AI189" s="141">
        <v>22</v>
      </c>
      <c r="AJ189" s="41">
        <v>15</v>
      </c>
      <c r="AK189" s="41">
        <v>7</v>
      </c>
      <c r="AL189" s="285">
        <v>22</v>
      </c>
      <c r="AM189" s="41">
        <v>10</v>
      </c>
      <c r="AN189" s="142">
        <v>12</v>
      </c>
      <c r="AO189" s="364">
        <v>6.1501678024532304E-2</v>
      </c>
      <c r="AP189" s="145">
        <f t="shared" ca="1" si="532"/>
        <v>0.42249968394137788</v>
      </c>
      <c r="AQ189" s="364">
        <v>5.5207214985932403E-2</v>
      </c>
      <c r="AR189" s="145">
        <f t="shared" ca="1" si="552"/>
        <v>0.4640012264288802</v>
      </c>
      <c r="AS189" s="264">
        <f t="shared" si="580"/>
        <v>0.14297272727272728</v>
      </c>
      <c r="AT189" s="149">
        <f t="shared" si="533"/>
        <v>0.14350000000000002</v>
      </c>
      <c r="AU189" s="149">
        <f t="shared" si="496"/>
        <v>0.14288181818181817</v>
      </c>
      <c r="AV189" s="263">
        <f t="shared" ca="1" si="560"/>
        <v>0.1414151588286589</v>
      </c>
      <c r="AW189" s="150" t="str">
        <f t="shared" ca="1" si="581"/>
        <v/>
      </c>
      <c r="AX189" s="149">
        <f t="shared" ca="1" si="553"/>
        <v>5.9834645454883272E-3</v>
      </c>
      <c r="AY189" s="149">
        <f t="shared" ca="1" si="554"/>
        <v>2.0779608551868716E-3</v>
      </c>
      <c r="AZ189" s="149">
        <f t="shared" ca="1" si="555"/>
        <v>2.0727443222102373E-3</v>
      </c>
      <c r="BA189" s="149">
        <f t="shared" ca="1" si="556"/>
        <v>1.0000000000000839E-4</v>
      </c>
      <c r="BB189" s="149">
        <f t="shared" ca="1" si="557"/>
        <v>1.0000000000000839E-4</v>
      </c>
      <c r="BC189" s="149">
        <f t="shared" ca="1" si="558"/>
        <v>1.0000000000000839E-4</v>
      </c>
      <c r="BD189" s="143">
        <f t="shared" ca="1" si="582"/>
        <v>0</v>
      </c>
      <c r="BE189" s="144">
        <f t="shared" ca="1" si="583"/>
        <v>0</v>
      </c>
      <c r="BF189" s="40">
        <f t="shared" si="584"/>
        <v>2015</v>
      </c>
      <c r="BG189" s="139">
        <f t="shared" si="585"/>
        <v>6</v>
      </c>
      <c r="BH189" s="140">
        <f t="shared" ca="1" si="586"/>
        <v>5150</v>
      </c>
      <c r="BI189" s="304">
        <f t="shared" ca="1" si="570"/>
        <v>14.143737166324435</v>
      </c>
      <c r="BJ189" s="42">
        <f t="shared" ca="1" si="503"/>
        <v>14.197871943251819</v>
      </c>
      <c r="BK189" s="42">
        <f t="shared" ca="1" si="504"/>
        <v>14.200609794038952</v>
      </c>
      <c r="BL189" s="42">
        <f t="shared" ca="1" si="571"/>
        <v>14.223134839151266</v>
      </c>
      <c r="BM189" s="285">
        <f t="shared" si="572"/>
        <v>22</v>
      </c>
      <c r="BN189" s="41">
        <f t="shared" si="573"/>
        <v>15</v>
      </c>
      <c r="BO189" s="41">
        <f t="shared" si="574"/>
        <v>7</v>
      </c>
      <c r="BP189" s="297" t="str">
        <f t="shared" ca="1" si="505"/>
        <v/>
      </c>
      <c r="BQ189" s="297" t="str">
        <f t="shared" ca="1" si="506"/>
        <v/>
      </c>
      <c r="BR189" s="299" t="str">
        <f t="shared" ca="1" si="507"/>
        <v/>
      </c>
      <c r="BS189" s="153" t="str">
        <f t="shared" ca="1" si="508"/>
        <v/>
      </c>
      <c r="BT189" s="153" t="str">
        <f t="shared" ca="1" si="509"/>
        <v/>
      </c>
      <c r="BU189" s="300" t="str">
        <f t="shared" ca="1" si="510"/>
        <v/>
      </c>
      <c r="BV189" s="301" t="str">
        <f t="shared" ca="1" si="511"/>
        <v/>
      </c>
      <c r="BW189" s="300" t="str">
        <f t="shared" ca="1" si="512"/>
        <v/>
      </c>
      <c r="BX189" s="301" t="str">
        <f t="shared" ca="1" si="513"/>
        <v/>
      </c>
      <c r="BY189" s="146" t="str">
        <f t="shared" ca="1" si="514"/>
        <v/>
      </c>
      <c r="BZ189" s="146" t="str">
        <f t="shared" ca="1" si="515"/>
        <v/>
      </c>
      <c r="CA189" s="146" t="str">
        <f t="shared" ca="1" si="516"/>
        <v/>
      </c>
      <c r="CB189" s="146" t="str">
        <f t="shared" ca="1" si="517"/>
        <v/>
      </c>
      <c r="CC189" s="302">
        <v>1</v>
      </c>
      <c r="CD189" s="154">
        <f ca="1">IF(BD189,_xll.xCrudeAPO(BS189,BT189,BY189,BZ189,S190,S191,BI189,BL189,BN189,BO189,0,Strike1,AO189,CC189,0,BL189,IF(OptControl=4,0,1),0,1),0)</f>
        <v>0</v>
      </c>
      <c r="CE189" s="155">
        <f ca="1">IF(BD189,_xll.xCrudeAPO(BS189,BT189,BY189,BZ189,S190,S191,BI189,BL189,BN189,BO189,0,Strike1,AO189,CC189,0,BL189,IF(OptControl=4,0,1),1,1)+_xll.xCrudeAPO(BS189,BT189,BY189,BZ189,S190,S191,BI189,BL189,BN189,BO189,0,Strike1,AO189,CC189,0,BL189,IF(OptControl=4,0,1),1,2)+IF(OR(VolSkewFlag=2,ABS(BQ189)&lt;0.0001),0,IF(BQ189&gt;0,-1,1)*CF189*Strike1/BP189^2*BW189/10%),0)</f>
        <v>0</v>
      </c>
      <c r="CF189" s="155">
        <f ca="1">IF(BD189,(_xll.xCrudeAPO(BS189,BT189,BY189,BZ189,S190,S191,BI189,BL189,BN189,BO189,0,Strike1,AO189,CC189,0,BL189,IF(OptControl=4,0,1),3,1)+_xll.xCrudeAPO(BS189,BT189,BY189,BZ189,S190,S191,BI189,BL189,BN189,BO189,0,Strike1,AO189,CC189,0,BL189,IF(OptControl=4,0,1),3,2))/100,0)</f>
        <v>0</v>
      </c>
      <c r="CG189" s="155">
        <f ca="1">IF(BD189,_xll.xCrudeAPO(BS189,BT189,BY189,BZ189,S190,S191,BI189-DaysForThetaCalculation/365.25,BL189-DaysForThetaCalculation/365.25,BN189,BO189,0,Strike1,AO189,CC189,0,BL189,IF(OptControl=4,0,1),0,1)-_xll.xCrudeAPO(BS189,BT189,BY189,BZ189,S190,S191,BI189,BL189,BN189,BO189,0,Strike1,AO189,CC189,0,BL189,IF(OptControl=4,0,1),0,1),0)</f>
        <v>0</v>
      </c>
      <c r="CH189" s="303">
        <f ca="1">IF(BD189,_xll.xCrudeAPO(BS189,BT189,CA189,CB189,S190,S191,BI189,BL189,BN189,BO189,0,Strike2,AO189,CC189,0,BL189,IF(OptControl=3,1,0),0,1),0)</f>
        <v>0</v>
      </c>
      <c r="CI189" s="155">
        <f ca="1">IF(BD189,_xll.xCrudeAPO(BS189,BT189,CA189,CB189,S190,S191,BI189,BL189,BN189,BO189,0,Strike2,AO189,CC189,0,BL189,IF(OptControl=3,1,0),1,1)+_xll.xCrudeAPO(BS189,BT189,CA189,CB189,S190,S191,BI189,BL189,BN189,BO189,0,Strike2,AO189,CC189,0,BL189,IF(OptControl=3,1,0),1,2)+IF(OR(VolSkewFlag=2,ABS(BR189)&lt;0.0001),0,IF(BR189&gt;0,-1,1)*CJ189*Strike2/BP189^2*BX189/10%),0)</f>
        <v>0</v>
      </c>
      <c r="CJ189" s="155">
        <f ca="1">IF(BD189,(_xll.xCrudeAPO(BS189,BT189,CA189,CB189,S190,S191,BI189,BL189,BN189,BO189,0,Strike2,AO189,CC189,0,BL189,IF(OptControl=3,1,0),3,1)+_xll.xCrudeAPO(BS189,BT189,CA189,CB189,S190,S191,BI189,BL189,BN189,BO189,0,Strike2,AO189,CC189,0,BL189,IF(OptControl=3,1,0),3,2))/100,0)</f>
        <v>0</v>
      </c>
      <c r="CK189" s="156">
        <f ca="1">IF(BD189,_xll.xCrudeAPO(BS189,BT189,CA189,CB189,S190,S191,BI189-DaysForThetaCalculation/365.25,BL189-DaysForThetaCalculation/365.25,BN189,BO189,0,Strike2,AO189,CC189,0,BL189,IF(OptControl=3,1,0),0,1)-_xll.xCrudeAPO(BS189,BT189,CA189,CB189,S190,S191,BI189,BL189,BN189,BO189,0,Strike2,AO189,CC189,0,BL189,IF(OptControl=3,1,0),0,1),0)</f>
        <v>0</v>
      </c>
      <c r="CL189" s="51"/>
      <c r="CM189" s="779" t="str">
        <f t="shared" ca="1" si="534"/>
        <v/>
      </c>
      <c r="CN189" s="783" t="str">
        <f t="shared" ca="1" si="535"/>
        <v/>
      </c>
      <c r="CO189" s="780" t="str">
        <f t="shared" ca="1" si="536"/>
        <v/>
      </c>
      <c r="CP189" s="780" t="str">
        <f t="shared" ca="1" si="537"/>
        <v/>
      </c>
      <c r="CQ189" s="780" t="str">
        <f t="shared" ca="1" si="538"/>
        <v/>
      </c>
      <c r="CR189" s="780" t="str">
        <f t="shared" ca="1" si="539"/>
        <v/>
      </c>
      <c r="CS189" s="781" t="str">
        <f t="shared" ca="1" si="540"/>
        <v/>
      </c>
      <c r="CT189" s="782" t="str">
        <f t="shared" ca="1" si="541"/>
        <v/>
      </c>
      <c r="CU189" s="782" t="str">
        <f t="shared" ca="1" si="542"/>
        <v/>
      </c>
      <c r="CV189" s="155">
        <f ca="1">IF(BD189,_xll.EURO(CN189,Strike1,AO189,AO189,CT189,CM189,IF(OptControl=4,0,1),0),0)</f>
        <v>0</v>
      </c>
      <c r="CW189" s="155">
        <f ca="1">IF(BD189,_xll.EURO(CN189,Strike1,AO189,AO189,CT189,CM189,IF(OptControl=4,0,1),1)+IF(OR(VolSkewFlag=2,ABS(CO189)&lt;0.0001),0,IF(CO189&gt;0,-1,1)*CX189*100*Strike1/CN189^2*CQ189/10%),0)</f>
        <v>0</v>
      </c>
      <c r="CX189" s="155">
        <f ca="1">IF(BD189,_xll.EURO(CN189,Strike1,AO189,AO189,CT189,CM189,IF(OptControl=4,0,1),3)/100,0)</f>
        <v>0</v>
      </c>
      <c r="CY189" s="155">
        <f ca="1">IF(BD189,_xll.EURO(CN189,Strike1,AO189,AO189,CT189,CM189,IF(OptControl=4,0,1),0)-_xll.EURO(CN189,Strike1,AO189,AO189,CT189,CM189-1,IF(OptControl=4,0,1),0),0)</f>
        <v>0</v>
      </c>
      <c r="CZ189" s="155">
        <f ca="1">IF(BD189,_xll.EURO(CN189,Strike2,AO189,AO189,CU189,CM189,IF(OptControl=3,1,0),0),0)</f>
        <v>0</v>
      </c>
      <c r="DA189" s="155">
        <f ca="1">IF(BD189,_xll.EURO(CN189,Strike2,AO189,AO189,CU189,CM189,IF(OptControl=3,1,0),1)+IF(OR(VolSkewFlag=2,ABS(CP189)&lt;0.0001),0,IF(CP189&gt;0,-1,1)*DB189*100*Strike2/CN189^2*CR189/10%),0)</f>
        <v>0</v>
      </c>
      <c r="DB189" s="155">
        <f ca="1">IF(BD189,_xll.EURO(CN189,Strike2,AO189,AO189,CU189,CM189,IF(OptControl=3,1,0),3)/100,0)</f>
        <v>0</v>
      </c>
      <c r="DC189" s="156">
        <f ca="1">IF(BD189,_xll.EURO(CN189,Strike2,AO189,AO189,CU189,CM189,IF(OptControl=3,1,0),0)-_xll.EURO(CN189,Strike2,AO189,AO189,CU189,CM189-1,IF(OptControl=3,1,0),0),0)</f>
        <v>0</v>
      </c>
      <c r="DE189" s="651">
        <f t="shared" ca="1" si="543"/>
        <v>42064</v>
      </c>
      <c r="DF189" s="465">
        <v>1E-4</v>
      </c>
      <c r="DG189" s="649">
        <v>1E-4</v>
      </c>
      <c r="DH189" s="650">
        <f t="shared" ca="1" si="587"/>
        <v>42064</v>
      </c>
      <c r="DI189" s="465">
        <v>1E-4</v>
      </c>
      <c r="DJ189" s="649">
        <v>1E-4</v>
      </c>
      <c r="DK189" s="651">
        <f t="shared" ca="1" si="588"/>
        <v>42064</v>
      </c>
      <c r="DL189" s="652">
        <f t="shared" si="589"/>
        <v>5.0100000000000006E-2</v>
      </c>
      <c r="DM189" s="651">
        <f t="shared" ca="1" si="544"/>
        <v>42064</v>
      </c>
      <c r="DN189" s="563">
        <f t="shared" si="545"/>
        <v>-0.12990000000000002</v>
      </c>
      <c r="DO189" s="803">
        <v>-0.13</v>
      </c>
      <c r="DP189" s="650">
        <f t="shared" ca="1" si="590"/>
        <v>42064</v>
      </c>
      <c r="DQ189" s="653">
        <v>1E-4</v>
      </c>
      <c r="DR189" s="590">
        <v>1E-4</v>
      </c>
      <c r="DS189" s="650">
        <f t="shared" ca="1" si="591"/>
        <v>42064</v>
      </c>
      <c r="DT189" s="653">
        <v>1E-4</v>
      </c>
      <c r="DU189" s="590">
        <v>1E-4</v>
      </c>
      <c r="DV189" s="651">
        <f t="shared" ca="1" si="592"/>
        <v>42064</v>
      </c>
      <c r="DW189" s="590">
        <v>1E-4</v>
      </c>
      <c r="DX189" s="651">
        <f t="shared" ca="1" si="546"/>
        <v>42064</v>
      </c>
      <c r="DY189" s="590">
        <f t="shared" si="547"/>
        <v>1E-4</v>
      </c>
      <c r="DZ189" s="1"/>
      <c r="EA189" s="857"/>
      <c r="EB189" s="857"/>
      <c r="EC189" s="857"/>
      <c r="ED189" s="868" t="e">
        <f t="shared" ca="1" si="566"/>
        <v>#NAME?</v>
      </c>
      <c r="EE189" s="863" t="e">
        <f t="shared" ca="1" si="524"/>
        <v>#NAME?</v>
      </c>
      <c r="EF189" s="590" t="e">
        <f t="shared" ca="1" si="525"/>
        <v>#NAME?</v>
      </c>
      <c r="EG189" s="862" t="str">
        <f t="shared" ca="1" si="593"/>
        <v/>
      </c>
      <c r="EH189" s="114" t="str">
        <f t="shared" ca="1" si="527"/>
        <v/>
      </c>
      <c r="EI189" s="109" t="str">
        <f t="shared" ca="1" si="528"/>
        <v/>
      </c>
      <c r="EJ189" s="115">
        <f ca="1">IF(BD189,_xll.xASN(BP189,Strike1,AO189,EH189,0,BM189,0,BI189,BL189,IF(OptControl=4,0,1),0),0)</f>
        <v>0</v>
      </c>
      <c r="EK189" s="108">
        <f ca="1">IF(BD189,_xll.xASN(BP189,Strike2,AO189,EI189,0,BM189,0,BI189,BL189,IF(OptControl=3,1,0),0),0)</f>
        <v>0</v>
      </c>
      <c r="EP189" s="53"/>
      <c r="EQ189" s="1"/>
      <c r="ER189" s="103"/>
      <c r="ES189" s="103"/>
      <c r="ET189" s="1"/>
      <c r="EU189" s="667" t="s">
        <v>401</v>
      </c>
      <c r="EW189" s="445"/>
      <c r="EX189" s="36"/>
      <c r="EY189" s="104"/>
      <c r="EZ189" s="465"/>
      <c r="FA189" s="446"/>
      <c r="FB189" s="446"/>
      <c r="FC189" s="242"/>
      <c r="FD189" s="242"/>
      <c r="FE189" s="242"/>
      <c r="FF189" s="242"/>
      <c r="FG189" s="242"/>
      <c r="FH189" s="242"/>
      <c r="FI189" s="242"/>
      <c r="FJ189" s="242"/>
      <c r="FK189" s="242"/>
      <c r="FL189" s="242"/>
      <c r="FM189" s="242"/>
      <c r="FN189" s="657">
        <v>20</v>
      </c>
      <c r="FO189" s="469" t="str">
        <f ca="1">IF(OR(FO$169&lt;SwaptionFirstMonthPosition+1,$FN189&lt;SwaptionFirstMonthPosition+1,FO$169&gt;SwaptionFirstMonthPosition+SwaptionNumOfMonths+1,$FN189&gt;SwaptionFirstMonthPosition+SwaptionNumOfMonths+1),"",IF($FN189=FO$169,1,IF($FN189&lt;FO$169,INDEX($FO$170:$IH$241,FO$169,$FN189),SUMPRODUCT(INDEX($FO$325:$IH$396,FO$169,1+SwaptionShift):INDEX($FO$325:$IH$396,FO$169,SwaptionMonthsToGo+SwaptionShift),INDEX($FO$245:$IH$316,$FN189-FO$169,73-FO$169+SwaptionShift):INDEX($FO$245:$IH$316,$FN189-FO$169,72-FO$169+SwaptionMonthsToGo+SwaptionShift))/SQRT(SUM(INDEX($FO344:$IH344,1+SwaptionShift):INDEX($FO344:$IH344,SwaptionMonthsToGo+SwaptionShift))*SUM(INDEX($FO$325:$IH$396,FO$169,1+SwaptionShift):INDEX($FO$325:$IH$396,FO$169,SwaptionMonthsToGo+SwaptionShift))))))</f>
        <v/>
      </c>
      <c r="FP189" s="469" t="str">
        <f ca="1">IF(OR(FP$169&lt;SwaptionFirstMonthPosition+1,$FN189&lt;SwaptionFirstMonthPosition+1,FP$169&gt;SwaptionFirstMonthPosition+SwaptionNumOfMonths+1,$FN189&gt;SwaptionFirstMonthPosition+SwaptionNumOfMonths+1),"",IF($FN189=FP$169,1,IF($FN189&lt;FP$169,INDEX($FO$170:$IH$241,FP$169,$FN189),SUMPRODUCT(INDEX($FO$325:$IH$396,FP$169,1+SwaptionShift):INDEX($FO$325:$IH$396,FP$169,SwaptionMonthsToGo+SwaptionShift),INDEX($FO$245:$IH$316,$FN189-FP$169,73-FP$169+SwaptionShift):INDEX($FO$245:$IH$316,$FN189-FP$169,72-FP$169+SwaptionMonthsToGo+SwaptionShift))/SQRT(SUM(INDEX($FO344:$IH344,1+SwaptionShift):INDEX($FO344:$IH344,SwaptionMonthsToGo+SwaptionShift))*SUM(INDEX($FO$325:$IH$396,FP$169,1+SwaptionShift):INDEX($FO$325:$IH$396,FP$169,SwaptionMonthsToGo+SwaptionShift))))))</f>
        <v/>
      </c>
      <c r="FQ189" s="469" t="str">
        <f ca="1">IF(OR(FQ$169&lt;SwaptionFirstMonthPosition+1,$FN189&lt;SwaptionFirstMonthPosition+1,FQ$169&gt;SwaptionFirstMonthPosition+SwaptionNumOfMonths+1,$FN189&gt;SwaptionFirstMonthPosition+SwaptionNumOfMonths+1),"",IF($FN189=FQ$169,1,IF($FN189&lt;FQ$169,INDEX($FO$170:$IH$241,FQ$169,$FN189),SUMPRODUCT(INDEX($FO$325:$IH$396,FQ$169,1+SwaptionShift):INDEX($FO$325:$IH$396,FQ$169,SwaptionMonthsToGo+SwaptionShift),INDEX($FO$245:$IH$316,$FN189-FQ$169,73-FQ$169+SwaptionShift):INDEX($FO$245:$IH$316,$FN189-FQ$169,72-FQ$169+SwaptionMonthsToGo+SwaptionShift))/SQRT(SUM(INDEX($FO344:$IH344,1+SwaptionShift):INDEX($FO344:$IH344,SwaptionMonthsToGo+SwaptionShift))*SUM(INDEX($FO$325:$IH$396,FQ$169,1+SwaptionShift):INDEX($FO$325:$IH$396,FQ$169,SwaptionMonthsToGo+SwaptionShift))))))</f>
        <v/>
      </c>
      <c r="FR189" s="469" t="str">
        <f ca="1">IF(OR(FR$169&lt;SwaptionFirstMonthPosition+1,$FN189&lt;SwaptionFirstMonthPosition+1,FR$169&gt;SwaptionFirstMonthPosition+SwaptionNumOfMonths+1,$FN189&gt;SwaptionFirstMonthPosition+SwaptionNumOfMonths+1),"",IF($FN189=FR$169,1,IF($FN189&lt;FR$169,INDEX($FO$170:$IH$241,FR$169,$FN189),SUMPRODUCT(INDEX($FO$325:$IH$396,FR$169,1+SwaptionShift):INDEX($FO$325:$IH$396,FR$169,SwaptionMonthsToGo+SwaptionShift),INDEX($FO$245:$IH$316,$FN189-FR$169,73-FR$169+SwaptionShift):INDEX($FO$245:$IH$316,$FN189-FR$169,72-FR$169+SwaptionMonthsToGo+SwaptionShift))/SQRT(SUM(INDEX($FO344:$IH344,1+SwaptionShift):INDEX($FO344:$IH344,SwaptionMonthsToGo+SwaptionShift))*SUM(INDEX($FO$325:$IH$396,FR$169,1+SwaptionShift):INDEX($FO$325:$IH$396,FR$169,SwaptionMonthsToGo+SwaptionShift))))))</f>
        <v/>
      </c>
      <c r="FS189" s="469" t="str">
        <f ca="1">IF(OR(FS$169&lt;SwaptionFirstMonthPosition+1,$FN189&lt;SwaptionFirstMonthPosition+1,FS$169&gt;SwaptionFirstMonthPosition+SwaptionNumOfMonths+1,$FN189&gt;SwaptionFirstMonthPosition+SwaptionNumOfMonths+1),"",IF($FN189=FS$169,1,IF($FN189&lt;FS$169,INDEX($FO$170:$IH$241,FS$169,$FN189),SUMPRODUCT(INDEX($FO$325:$IH$396,FS$169,1+SwaptionShift):INDEX($FO$325:$IH$396,FS$169,SwaptionMonthsToGo+SwaptionShift),INDEX($FO$245:$IH$316,$FN189-FS$169,73-FS$169+SwaptionShift):INDEX($FO$245:$IH$316,$FN189-FS$169,72-FS$169+SwaptionMonthsToGo+SwaptionShift))/SQRT(SUM(INDEX($FO344:$IH344,1+SwaptionShift):INDEX($FO344:$IH344,SwaptionMonthsToGo+SwaptionShift))*SUM(INDEX($FO$325:$IH$396,FS$169,1+SwaptionShift):INDEX($FO$325:$IH$396,FS$169,SwaptionMonthsToGo+SwaptionShift))))))</f>
        <v/>
      </c>
      <c r="FT189" s="469" t="str">
        <f ca="1">IF(OR(FT$169&lt;SwaptionFirstMonthPosition+1,$FN189&lt;SwaptionFirstMonthPosition+1,FT$169&gt;SwaptionFirstMonthPosition+SwaptionNumOfMonths+1,$FN189&gt;SwaptionFirstMonthPosition+SwaptionNumOfMonths+1),"",IF($FN189=FT$169,1,IF($FN189&lt;FT$169,INDEX($FO$170:$IH$241,FT$169,$FN189),SUMPRODUCT(INDEX($FO$325:$IH$396,FT$169,1+SwaptionShift):INDEX($FO$325:$IH$396,FT$169,SwaptionMonthsToGo+SwaptionShift),INDEX($FO$245:$IH$316,$FN189-FT$169,73-FT$169+SwaptionShift):INDEX($FO$245:$IH$316,$FN189-FT$169,72-FT$169+SwaptionMonthsToGo+SwaptionShift))/SQRT(SUM(INDEX($FO344:$IH344,1+SwaptionShift):INDEX($FO344:$IH344,SwaptionMonthsToGo+SwaptionShift))*SUM(INDEX($FO$325:$IH$396,FT$169,1+SwaptionShift):INDEX($FO$325:$IH$396,FT$169,SwaptionMonthsToGo+SwaptionShift))))))</f>
        <v/>
      </c>
      <c r="FU189" s="469" t="str">
        <f ca="1">IF(OR(FU$169&lt;SwaptionFirstMonthPosition+1,$FN189&lt;SwaptionFirstMonthPosition+1,FU$169&gt;SwaptionFirstMonthPosition+SwaptionNumOfMonths+1,$FN189&gt;SwaptionFirstMonthPosition+SwaptionNumOfMonths+1),"",IF($FN189=FU$169,1,IF($FN189&lt;FU$169,INDEX($FO$170:$IH$241,FU$169,$FN189),SUMPRODUCT(INDEX($FO$325:$IH$396,FU$169,1+SwaptionShift):INDEX($FO$325:$IH$396,FU$169,SwaptionMonthsToGo+SwaptionShift),INDEX($FO$245:$IH$316,$FN189-FU$169,73-FU$169+SwaptionShift):INDEX($FO$245:$IH$316,$FN189-FU$169,72-FU$169+SwaptionMonthsToGo+SwaptionShift))/SQRT(SUM(INDEX($FO344:$IH344,1+SwaptionShift):INDEX($FO344:$IH344,SwaptionMonthsToGo+SwaptionShift))*SUM(INDEX($FO$325:$IH$396,FU$169,1+SwaptionShift):INDEX($FO$325:$IH$396,FU$169,SwaptionMonthsToGo+SwaptionShift))))))</f>
        <v/>
      </c>
      <c r="FV189" s="469" t="str">
        <f ca="1">IF(OR(FV$169&lt;SwaptionFirstMonthPosition+1,$FN189&lt;SwaptionFirstMonthPosition+1,FV$169&gt;SwaptionFirstMonthPosition+SwaptionNumOfMonths+1,$FN189&gt;SwaptionFirstMonthPosition+SwaptionNumOfMonths+1),"",IF($FN189=FV$169,1,IF($FN189&lt;FV$169,INDEX($FO$170:$IH$241,FV$169,$FN189),SUMPRODUCT(INDEX($FO$325:$IH$396,FV$169,1+SwaptionShift):INDEX($FO$325:$IH$396,FV$169,SwaptionMonthsToGo+SwaptionShift),INDEX($FO$245:$IH$316,$FN189-FV$169,73-FV$169+SwaptionShift):INDEX($FO$245:$IH$316,$FN189-FV$169,72-FV$169+SwaptionMonthsToGo+SwaptionShift))/SQRT(SUM(INDEX($FO344:$IH344,1+SwaptionShift):INDEX($FO344:$IH344,SwaptionMonthsToGo+SwaptionShift))*SUM(INDEX($FO$325:$IH$396,FV$169,1+SwaptionShift):INDEX($FO$325:$IH$396,FV$169,SwaptionMonthsToGo+SwaptionShift))))))</f>
        <v/>
      </c>
      <c r="FW189" s="469" t="str">
        <f ca="1">IF(OR(FW$169&lt;SwaptionFirstMonthPosition+1,$FN189&lt;SwaptionFirstMonthPosition+1,FW$169&gt;SwaptionFirstMonthPosition+SwaptionNumOfMonths+1,$FN189&gt;SwaptionFirstMonthPosition+SwaptionNumOfMonths+1),"",IF($FN189=FW$169,1,IF($FN189&lt;FW$169,INDEX($FO$170:$IH$241,FW$169,$FN189),SUMPRODUCT(INDEX($FO$325:$IH$396,FW$169,1+SwaptionShift):INDEX($FO$325:$IH$396,FW$169,SwaptionMonthsToGo+SwaptionShift),INDEX($FO$245:$IH$316,$FN189-FW$169,73-FW$169+SwaptionShift):INDEX($FO$245:$IH$316,$FN189-FW$169,72-FW$169+SwaptionMonthsToGo+SwaptionShift))/SQRT(SUM(INDEX($FO344:$IH344,1+SwaptionShift):INDEX($FO344:$IH344,SwaptionMonthsToGo+SwaptionShift))*SUM(INDEX($FO$325:$IH$396,FW$169,1+SwaptionShift):INDEX($FO$325:$IH$396,FW$169,SwaptionMonthsToGo+SwaptionShift))))))</f>
        <v/>
      </c>
      <c r="FX189" s="469" t="str">
        <f ca="1">IF(OR(FX$169&lt;SwaptionFirstMonthPosition+1,$FN189&lt;SwaptionFirstMonthPosition+1,FX$169&gt;SwaptionFirstMonthPosition+SwaptionNumOfMonths+1,$FN189&gt;SwaptionFirstMonthPosition+SwaptionNumOfMonths+1),"",IF($FN189=FX$169,1,IF($FN189&lt;FX$169,INDEX($FO$170:$IH$241,FX$169,$FN189),SUMPRODUCT(INDEX($FO$325:$IH$396,FX$169,1+SwaptionShift):INDEX($FO$325:$IH$396,FX$169,SwaptionMonthsToGo+SwaptionShift),INDEX($FO$245:$IH$316,$FN189-FX$169,73-FX$169+SwaptionShift):INDEX($FO$245:$IH$316,$FN189-FX$169,72-FX$169+SwaptionMonthsToGo+SwaptionShift))/SQRT(SUM(INDEX($FO344:$IH344,1+SwaptionShift):INDEX($FO344:$IH344,SwaptionMonthsToGo+SwaptionShift))*SUM(INDEX($FO$325:$IH$396,FX$169,1+SwaptionShift):INDEX($FO$325:$IH$396,FX$169,SwaptionMonthsToGo+SwaptionShift))))))</f>
        <v/>
      </c>
      <c r="FY189" s="469" t="str">
        <f ca="1">IF(OR(FY$169&lt;SwaptionFirstMonthPosition+1,$FN189&lt;SwaptionFirstMonthPosition+1,FY$169&gt;SwaptionFirstMonthPosition+SwaptionNumOfMonths+1,$FN189&gt;SwaptionFirstMonthPosition+SwaptionNumOfMonths+1),"",IF($FN189=FY$169,1,IF($FN189&lt;FY$169,INDEX($FO$170:$IH$241,FY$169,$FN189),SUMPRODUCT(INDEX($FO$325:$IH$396,FY$169,1+SwaptionShift):INDEX($FO$325:$IH$396,FY$169,SwaptionMonthsToGo+SwaptionShift),INDEX($FO$245:$IH$316,$FN189-FY$169,73-FY$169+SwaptionShift):INDEX($FO$245:$IH$316,$FN189-FY$169,72-FY$169+SwaptionMonthsToGo+SwaptionShift))/SQRT(SUM(INDEX($FO344:$IH344,1+SwaptionShift):INDEX($FO344:$IH344,SwaptionMonthsToGo+SwaptionShift))*SUM(INDEX($FO$325:$IH$396,FY$169,1+SwaptionShift):INDEX($FO$325:$IH$396,FY$169,SwaptionMonthsToGo+SwaptionShift))))))</f>
        <v/>
      </c>
      <c r="FZ189" s="469" t="str">
        <f ca="1">IF(OR(FZ$169&lt;SwaptionFirstMonthPosition+1,$FN189&lt;SwaptionFirstMonthPosition+1,FZ$169&gt;SwaptionFirstMonthPosition+SwaptionNumOfMonths+1,$FN189&gt;SwaptionFirstMonthPosition+SwaptionNumOfMonths+1),"",IF($FN189=FZ$169,1,IF($FN189&lt;FZ$169,INDEX($FO$170:$IH$241,FZ$169,$FN189),SUMPRODUCT(INDEX($FO$325:$IH$396,FZ$169,1+SwaptionShift):INDEX($FO$325:$IH$396,FZ$169,SwaptionMonthsToGo+SwaptionShift),INDEX($FO$245:$IH$316,$FN189-FZ$169,73-FZ$169+SwaptionShift):INDEX($FO$245:$IH$316,$FN189-FZ$169,72-FZ$169+SwaptionMonthsToGo+SwaptionShift))/SQRT(SUM(INDEX($FO344:$IH344,1+SwaptionShift):INDEX($FO344:$IH344,SwaptionMonthsToGo+SwaptionShift))*SUM(INDEX($FO$325:$IH$396,FZ$169,1+SwaptionShift):INDEX($FO$325:$IH$396,FZ$169,SwaptionMonthsToGo+SwaptionShift))))))</f>
        <v/>
      </c>
      <c r="GA189" s="469" t="str">
        <f ca="1">IF(OR(GA$169&lt;SwaptionFirstMonthPosition+1,$FN189&lt;SwaptionFirstMonthPosition+1,GA$169&gt;SwaptionFirstMonthPosition+SwaptionNumOfMonths+1,$FN189&gt;SwaptionFirstMonthPosition+SwaptionNumOfMonths+1),"",IF($FN189=GA$169,1,IF($FN189&lt;GA$169,INDEX($FO$170:$IH$241,GA$169,$FN189),SUMPRODUCT(INDEX($FO$325:$IH$396,GA$169,1+SwaptionShift):INDEX($FO$325:$IH$396,GA$169,SwaptionMonthsToGo+SwaptionShift),INDEX($FO$245:$IH$316,$FN189-GA$169,73-GA$169+SwaptionShift):INDEX($FO$245:$IH$316,$FN189-GA$169,72-GA$169+SwaptionMonthsToGo+SwaptionShift))/SQRT(SUM(INDEX($FO344:$IH344,1+SwaptionShift):INDEX($FO344:$IH344,SwaptionMonthsToGo+SwaptionShift))*SUM(INDEX($FO$325:$IH$396,GA$169,1+SwaptionShift):INDEX($FO$325:$IH$396,GA$169,SwaptionMonthsToGo+SwaptionShift))))))</f>
        <v/>
      </c>
      <c r="GB189" s="469" t="str">
        <f ca="1">IF(OR(GB$169&lt;SwaptionFirstMonthPosition+1,$FN189&lt;SwaptionFirstMonthPosition+1,GB$169&gt;SwaptionFirstMonthPosition+SwaptionNumOfMonths+1,$FN189&gt;SwaptionFirstMonthPosition+SwaptionNumOfMonths+1),"",IF($FN189=GB$169,1,IF($FN189&lt;GB$169,INDEX($FO$170:$IH$241,GB$169,$FN189),SUMPRODUCT(INDEX($FO$325:$IH$396,GB$169,1+SwaptionShift):INDEX($FO$325:$IH$396,GB$169,SwaptionMonthsToGo+SwaptionShift),INDEX($FO$245:$IH$316,$FN189-GB$169,73-GB$169+SwaptionShift):INDEX($FO$245:$IH$316,$FN189-GB$169,72-GB$169+SwaptionMonthsToGo+SwaptionShift))/SQRT(SUM(INDEX($FO344:$IH344,1+SwaptionShift):INDEX($FO344:$IH344,SwaptionMonthsToGo+SwaptionShift))*SUM(INDEX($FO$325:$IH$396,GB$169,1+SwaptionShift):INDEX($FO$325:$IH$396,GB$169,SwaptionMonthsToGo+SwaptionShift))))))</f>
        <v/>
      </c>
      <c r="GC189" s="469" t="str">
        <f ca="1">IF(OR(GC$169&lt;SwaptionFirstMonthPosition+1,$FN189&lt;SwaptionFirstMonthPosition+1,GC$169&gt;SwaptionFirstMonthPosition+SwaptionNumOfMonths+1,$FN189&gt;SwaptionFirstMonthPosition+SwaptionNumOfMonths+1),"",IF($FN189=GC$169,1,IF($FN189&lt;GC$169,INDEX($FO$170:$IH$241,GC$169,$FN189),SUMPRODUCT(INDEX($FO$325:$IH$396,GC$169,1+SwaptionShift):INDEX($FO$325:$IH$396,GC$169,SwaptionMonthsToGo+SwaptionShift),INDEX($FO$245:$IH$316,$FN189-GC$169,73-GC$169+SwaptionShift):INDEX($FO$245:$IH$316,$FN189-GC$169,72-GC$169+SwaptionMonthsToGo+SwaptionShift))/SQRT(SUM(INDEX($FO344:$IH344,1+SwaptionShift):INDEX($FO344:$IH344,SwaptionMonthsToGo+SwaptionShift))*SUM(INDEX($FO$325:$IH$396,GC$169,1+SwaptionShift):INDEX($FO$325:$IH$396,GC$169,SwaptionMonthsToGo+SwaptionShift))))))</f>
        <v/>
      </c>
      <c r="GD189" s="469" t="str">
        <f ca="1">IF(OR(GD$169&lt;SwaptionFirstMonthPosition+1,$FN189&lt;SwaptionFirstMonthPosition+1,GD$169&gt;SwaptionFirstMonthPosition+SwaptionNumOfMonths+1,$FN189&gt;SwaptionFirstMonthPosition+SwaptionNumOfMonths+1),"",IF($FN189=GD$169,1,IF($FN189&lt;GD$169,INDEX($FO$170:$IH$241,GD$169,$FN189),SUMPRODUCT(INDEX($FO$325:$IH$396,GD$169,1+SwaptionShift):INDEX($FO$325:$IH$396,GD$169,SwaptionMonthsToGo+SwaptionShift),INDEX($FO$245:$IH$316,$FN189-GD$169,73-GD$169+SwaptionShift):INDEX($FO$245:$IH$316,$FN189-GD$169,72-GD$169+SwaptionMonthsToGo+SwaptionShift))/SQRT(SUM(INDEX($FO344:$IH344,1+SwaptionShift):INDEX($FO344:$IH344,SwaptionMonthsToGo+SwaptionShift))*SUM(INDEX($FO$325:$IH$396,GD$169,1+SwaptionShift):INDEX($FO$325:$IH$396,GD$169,SwaptionMonthsToGo+SwaptionShift))))))</f>
        <v/>
      </c>
      <c r="GE189" s="469" t="str">
        <f ca="1">IF(OR(GE$169&lt;SwaptionFirstMonthPosition+1,$FN189&lt;SwaptionFirstMonthPosition+1,GE$169&gt;SwaptionFirstMonthPosition+SwaptionNumOfMonths+1,$FN189&gt;SwaptionFirstMonthPosition+SwaptionNumOfMonths+1),"",IF($FN189=GE$169,1,IF($FN189&lt;GE$169,INDEX($FO$170:$IH$241,GE$169,$FN189),SUMPRODUCT(INDEX($FO$325:$IH$396,GE$169,1+SwaptionShift):INDEX($FO$325:$IH$396,GE$169,SwaptionMonthsToGo+SwaptionShift),INDEX($FO$245:$IH$316,$FN189-GE$169,73-GE$169+SwaptionShift):INDEX($FO$245:$IH$316,$FN189-GE$169,72-GE$169+SwaptionMonthsToGo+SwaptionShift))/SQRT(SUM(INDEX($FO344:$IH344,1+SwaptionShift):INDEX($FO344:$IH344,SwaptionMonthsToGo+SwaptionShift))*SUM(INDEX($FO$325:$IH$396,GE$169,1+SwaptionShift):INDEX($FO$325:$IH$396,GE$169,SwaptionMonthsToGo+SwaptionShift))))))</f>
        <v/>
      </c>
      <c r="GF189" s="469" t="str">
        <f ca="1">IF(OR(GF$169&lt;SwaptionFirstMonthPosition+1,$FN189&lt;SwaptionFirstMonthPosition+1,GF$169&gt;SwaptionFirstMonthPosition+SwaptionNumOfMonths+1,$FN189&gt;SwaptionFirstMonthPosition+SwaptionNumOfMonths+1),"",IF($FN189=GF$169,1,IF($FN189&lt;GF$169,INDEX($FO$170:$IH$241,GF$169,$FN189),SUMPRODUCT(INDEX($FO$325:$IH$396,GF$169,1+SwaptionShift):INDEX($FO$325:$IH$396,GF$169,SwaptionMonthsToGo+SwaptionShift),INDEX($FO$245:$IH$316,$FN189-GF$169,73-GF$169+SwaptionShift):INDEX($FO$245:$IH$316,$FN189-GF$169,72-GF$169+SwaptionMonthsToGo+SwaptionShift))/SQRT(SUM(INDEX($FO344:$IH344,1+SwaptionShift):INDEX($FO344:$IH344,SwaptionMonthsToGo+SwaptionShift))*SUM(INDEX($FO$325:$IH$396,GF$169,1+SwaptionShift):INDEX($FO$325:$IH$396,GF$169,SwaptionMonthsToGo+SwaptionShift))))))</f>
        <v/>
      </c>
      <c r="GG189" s="469" t="str">
        <f ca="1">IF(OR(GG$169&lt;SwaptionFirstMonthPosition+1,$FN189&lt;SwaptionFirstMonthPosition+1,GG$169&gt;SwaptionFirstMonthPosition+SwaptionNumOfMonths+1,$FN189&gt;SwaptionFirstMonthPosition+SwaptionNumOfMonths+1),"",IF($FN189=GG$169,1,IF($FN189&lt;GG$169,INDEX($FO$170:$IH$241,GG$169,$FN189),SUMPRODUCT(INDEX($FO$325:$IH$396,GG$169,1+SwaptionShift):INDEX($FO$325:$IH$396,GG$169,SwaptionMonthsToGo+SwaptionShift),INDEX($FO$245:$IH$316,$FN189-GG$169,73-GG$169+SwaptionShift):INDEX($FO$245:$IH$316,$FN189-GG$169,72-GG$169+SwaptionMonthsToGo+SwaptionShift))/SQRT(SUM(INDEX($FO344:$IH344,1+SwaptionShift):INDEX($FO344:$IH344,SwaptionMonthsToGo+SwaptionShift))*SUM(INDEX($FO$325:$IH$396,GG$169,1+SwaptionShift):INDEX($FO$325:$IH$396,GG$169,SwaptionMonthsToGo+SwaptionShift))))))</f>
        <v/>
      </c>
      <c r="GH189" s="469" t="str">
        <f ca="1">IF(OR(GH$169&lt;SwaptionFirstMonthPosition+1,$FN189&lt;SwaptionFirstMonthPosition+1,GH$169&gt;SwaptionFirstMonthPosition+SwaptionNumOfMonths+1,$FN189&gt;SwaptionFirstMonthPosition+SwaptionNumOfMonths+1),"",IF($FN189=GH$169,1,IF($FN189&lt;GH$169,INDEX($FO$170:$IH$241,GH$169,$FN189),SUMPRODUCT(INDEX($FO$325:$IH$396,GH$169,1+SwaptionShift):INDEX($FO$325:$IH$396,GH$169,SwaptionMonthsToGo+SwaptionShift),INDEX($FO$245:$IH$316,$FN189-GH$169,73-GH$169+SwaptionShift):INDEX($FO$245:$IH$316,$FN189-GH$169,72-GH$169+SwaptionMonthsToGo+SwaptionShift))/SQRT(SUM(INDEX($FO344:$IH344,1+SwaptionShift):INDEX($FO344:$IH344,SwaptionMonthsToGo+SwaptionShift))*SUM(INDEX($FO$325:$IH$396,GH$169,1+SwaptionShift):INDEX($FO$325:$IH$396,GH$169,SwaptionMonthsToGo+SwaptionShift))))))</f>
        <v/>
      </c>
      <c r="GI189" s="469" t="str">
        <f ca="1">IF(OR(GI$169&lt;SwaptionFirstMonthPosition+1,$FN189&lt;SwaptionFirstMonthPosition+1,GI$169&gt;SwaptionFirstMonthPosition+SwaptionNumOfMonths+1,$FN189&gt;SwaptionFirstMonthPosition+SwaptionNumOfMonths+1),"",IF($FN189=GI$169,1,IF($FN189&lt;GI$169,INDEX($FO$170:$IH$241,GI$169,$FN189),SUMPRODUCT(INDEX($FO$325:$IH$396,GI$169,1+SwaptionShift):INDEX($FO$325:$IH$396,GI$169,SwaptionMonthsToGo+SwaptionShift),INDEX($FO$245:$IH$316,$FN189-GI$169,73-GI$169+SwaptionShift):INDEX($FO$245:$IH$316,$FN189-GI$169,72-GI$169+SwaptionMonthsToGo+SwaptionShift))/SQRT(SUM(INDEX($FO344:$IH344,1+SwaptionShift):INDEX($FO344:$IH344,SwaptionMonthsToGo+SwaptionShift))*SUM(INDEX($FO$325:$IH$396,GI$169,1+SwaptionShift):INDEX($FO$325:$IH$396,GI$169,SwaptionMonthsToGo+SwaptionShift))))))</f>
        <v/>
      </c>
      <c r="GJ189" s="469" t="str">
        <f ca="1">IF(OR(GJ$169&lt;SwaptionFirstMonthPosition+1,$FN189&lt;SwaptionFirstMonthPosition+1,GJ$169&gt;SwaptionFirstMonthPosition+SwaptionNumOfMonths+1,$FN189&gt;SwaptionFirstMonthPosition+SwaptionNumOfMonths+1),"",IF($FN189=GJ$169,1,IF($FN189&lt;GJ$169,INDEX($FO$170:$IH$241,GJ$169,$FN189),SUMPRODUCT(INDEX($FO$325:$IH$396,GJ$169,1+SwaptionShift):INDEX($FO$325:$IH$396,GJ$169,SwaptionMonthsToGo+SwaptionShift),INDEX($FO$245:$IH$316,$FN189-GJ$169,73-GJ$169+SwaptionShift):INDEX($FO$245:$IH$316,$FN189-GJ$169,72-GJ$169+SwaptionMonthsToGo+SwaptionShift))/SQRT(SUM(INDEX($FO344:$IH344,1+SwaptionShift):INDEX($FO344:$IH344,SwaptionMonthsToGo+SwaptionShift))*SUM(INDEX($FO$325:$IH$396,GJ$169,1+SwaptionShift):INDEX($FO$325:$IH$396,GJ$169,SwaptionMonthsToGo+SwaptionShift))))))</f>
        <v/>
      </c>
      <c r="GK189" s="469" t="str">
        <f ca="1">IF(OR(GK$169&lt;SwaptionFirstMonthPosition+1,$FN189&lt;SwaptionFirstMonthPosition+1,GK$169&gt;SwaptionFirstMonthPosition+SwaptionNumOfMonths+1,$FN189&gt;SwaptionFirstMonthPosition+SwaptionNumOfMonths+1),"",IF($FN189=GK$169,1,IF($FN189&lt;GK$169,INDEX($FO$170:$IH$241,GK$169,$FN189),SUMPRODUCT(INDEX($FO$325:$IH$396,GK$169,1+SwaptionShift):INDEX($FO$325:$IH$396,GK$169,SwaptionMonthsToGo+SwaptionShift),INDEX($FO$245:$IH$316,$FN189-GK$169,73-GK$169+SwaptionShift):INDEX($FO$245:$IH$316,$FN189-GK$169,72-GK$169+SwaptionMonthsToGo+SwaptionShift))/SQRT(SUM(INDEX($FO344:$IH344,1+SwaptionShift):INDEX($FO344:$IH344,SwaptionMonthsToGo+SwaptionShift))*SUM(INDEX($FO$325:$IH$396,GK$169,1+SwaptionShift):INDEX($FO$325:$IH$396,GK$169,SwaptionMonthsToGo+SwaptionShift))))))</f>
        <v/>
      </c>
      <c r="GL189" s="469" t="str">
        <f ca="1">IF(OR(GL$169&lt;SwaptionFirstMonthPosition+1,$FN189&lt;SwaptionFirstMonthPosition+1,GL$169&gt;SwaptionFirstMonthPosition+SwaptionNumOfMonths+1,$FN189&gt;SwaptionFirstMonthPosition+SwaptionNumOfMonths+1),"",IF($FN189=GL$169,1,IF($FN189&lt;GL$169,INDEX($FO$170:$IH$241,GL$169,$FN189),SUMPRODUCT(INDEX($FO$325:$IH$396,GL$169,1+SwaptionShift):INDEX($FO$325:$IH$396,GL$169,SwaptionMonthsToGo+SwaptionShift),INDEX($FO$245:$IH$316,$FN189-GL$169,73-GL$169+SwaptionShift):INDEX($FO$245:$IH$316,$FN189-GL$169,72-GL$169+SwaptionMonthsToGo+SwaptionShift))/SQRT(SUM(INDEX($FO344:$IH344,1+SwaptionShift):INDEX($FO344:$IH344,SwaptionMonthsToGo+SwaptionShift))*SUM(INDEX($FO$325:$IH$396,GL$169,1+SwaptionShift):INDEX($FO$325:$IH$396,GL$169,SwaptionMonthsToGo+SwaptionShift))))))</f>
        <v/>
      </c>
      <c r="GM189" s="469" t="str">
        <f ca="1">IF(OR(GM$169&lt;SwaptionFirstMonthPosition+1,$FN189&lt;SwaptionFirstMonthPosition+1,GM$169&gt;SwaptionFirstMonthPosition+SwaptionNumOfMonths+1,$FN189&gt;SwaptionFirstMonthPosition+SwaptionNumOfMonths+1),"",IF($FN189=GM$169,1,IF($FN189&lt;GM$169,INDEX($FO$170:$IH$241,GM$169,$FN189),SUMPRODUCT(INDEX($FO$325:$IH$396,GM$169,1+SwaptionShift):INDEX($FO$325:$IH$396,GM$169,SwaptionMonthsToGo+SwaptionShift),INDEX($FO$245:$IH$316,$FN189-GM$169,73-GM$169+SwaptionShift):INDEX($FO$245:$IH$316,$FN189-GM$169,72-GM$169+SwaptionMonthsToGo+SwaptionShift))/SQRT(SUM(INDEX($FO344:$IH344,1+SwaptionShift):INDEX($FO344:$IH344,SwaptionMonthsToGo+SwaptionShift))*SUM(INDEX($FO$325:$IH$396,GM$169,1+SwaptionShift):INDEX($FO$325:$IH$396,GM$169,SwaptionMonthsToGo+SwaptionShift))))))</f>
        <v/>
      </c>
      <c r="GN189" s="469" t="str">
        <f ca="1">IF(OR(GN$169&lt;SwaptionFirstMonthPosition+1,$FN189&lt;SwaptionFirstMonthPosition+1,GN$169&gt;SwaptionFirstMonthPosition+SwaptionNumOfMonths+1,$FN189&gt;SwaptionFirstMonthPosition+SwaptionNumOfMonths+1),"",IF($FN189=GN$169,1,IF($FN189&lt;GN$169,INDEX($FO$170:$IH$241,GN$169,$FN189),SUMPRODUCT(INDEX($FO$325:$IH$396,GN$169,1+SwaptionShift):INDEX($FO$325:$IH$396,GN$169,SwaptionMonthsToGo+SwaptionShift),INDEX($FO$245:$IH$316,$FN189-GN$169,73-GN$169+SwaptionShift):INDEX($FO$245:$IH$316,$FN189-GN$169,72-GN$169+SwaptionMonthsToGo+SwaptionShift))/SQRT(SUM(INDEX($FO344:$IH344,1+SwaptionShift):INDEX($FO344:$IH344,SwaptionMonthsToGo+SwaptionShift))*SUM(INDEX($FO$325:$IH$396,GN$169,1+SwaptionShift):INDEX($FO$325:$IH$396,GN$169,SwaptionMonthsToGo+SwaptionShift))))))</f>
        <v/>
      </c>
      <c r="GO189" s="469" t="str">
        <f ca="1">IF(OR(GO$169&lt;SwaptionFirstMonthPosition+1,$FN189&lt;SwaptionFirstMonthPosition+1,GO$169&gt;SwaptionFirstMonthPosition+SwaptionNumOfMonths+1,$FN189&gt;SwaptionFirstMonthPosition+SwaptionNumOfMonths+1),"",IF($FN189=GO$169,1,IF($FN189&lt;GO$169,INDEX($FO$170:$IH$241,GO$169,$FN189),SUMPRODUCT(INDEX($FO$325:$IH$396,GO$169,1+SwaptionShift):INDEX($FO$325:$IH$396,GO$169,SwaptionMonthsToGo+SwaptionShift),INDEX($FO$245:$IH$316,$FN189-GO$169,73-GO$169+SwaptionShift):INDEX($FO$245:$IH$316,$FN189-GO$169,72-GO$169+SwaptionMonthsToGo+SwaptionShift))/SQRT(SUM(INDEX($FO344:$IH344,1+SwaptionShift):INDEX($FO344:$IH344,SwaptionMonthsToGo+SwaptionShift))*SUM(INDEX($FO$325:$IH$396,GO$169,1+SwaptionShift):INDEX($FO$325:$IH$396,GO$169,SwaptionMonthsToGo+SwaptionShift))))))</f>
        <v/>
      </c>
      <c r="GP189" s="469" t="str">
        <f ca="1">IF(OR(GP$169&lt;SwaptionFirstMonthPosition+1,$FN189&lt;SwaptionFirstMonthPosition+1,GP$169&gt;SwaptionFirstMonthPosition+SwaptionNumOfMonths+1,$FN189&gt;SwaptionFirstMonthPosition+SwaptionNumOfMonths+1),"",IF($FN189=GP$169,1,IF($FN189&lt;GP$169,INDEX($FO$170:$IH$241,GP$169,$FN189),SUMPRODUCT(INDEX($FO$325:$IH$396,GP$169,1+SwaptionShift):INDEX($FO$325:$IH$396,GP$169,SwaptionMonthsToGo+SwaptionShift),INDEX($FO$245:$IH$316,$FN189-GP$169,73-GP$169+SwaptionShift):INDEX($FO$245:$IH$316,$FN189-GP$169,72-GP$169+SwaptionMonthsToGo+SwaptionShift))/SQRT(SUM(INDEX($FO344:$IH344,1+SwaptionShift):INDEX($FO344:$IH344,SwaptionMonthsToGo+SwaptionShift))*SUM(INDEX($FO$325:$IH$396,GP$169,1+SwaptionShift):INDEX($FO$325:$IH$396,GP$169,SwaptionMonthsToGo+SwaptionShift))))))</f>
        <v/>
      </c>
      <c r="GQ189" s="469" t="str">
        <f ca="1">IF(OR(GQ$169&lt;SwaptionFirstMonthPosition+1,$FN189&lt;SwaptionFirstMonthPosition+1,GQ$169&gt;SwaptionFirstMonthPosition+SwaptionNumOfMonths+1,$FN189&gt;SwaptionFirstMonthPosition+SwaptionNumOfMonths+1),"",IF($FN189=GQ$169,1,IF($FN189&lt;GQ$169,INDEX($FO$170:$IH$241,GQ$169,$FN189),SUMPRODUCT(INDEX($FO$325:$IH$396,GQ$169,1+SwaptionShift):INDEX($FO$325:$IH$396,GQ$169,SwaptionMonthsToGo+SwaptionShift),INDEX($FO$245:$IH$316,$FN189-GQ$169,73-GQ$169+SwaptionShift):INDEX($FO$245:$IH$316,$FN189-GQ$169,72-GQ$169+SwaptionMonthsToGo+SwaptionShift))/SQRT(SUM(INDEX($FO344:$IH344,1+SwaptionShift):INDEX($FO344:$IH344,SwaptionMonthsToGo+SwaptionShift))*SUM(INDEX($FO$325:$IH$396,GQ$169,1+SwaptionShift):INDEX($FO$325:$IH$396,GQ$169,SwaptionMonthsToGo+SwaptionShift))))))</f>
        <v/>
      </c>
      <c r="GR189" s="469" t="str">
        <f ca="1">IF(OR(GR$169&lt;SwaptionFirstMonthPosition+1,$FN189&lt;SwaptionFirstMonthPosition+1,GR$169&gt;SwaptionFirstMonthPosition+SwaptionNumOfMonths+1,$FN189&gt;SwaptionFirstMonthPosition+SwaptionNumOfMonths+1),"",IF($FN189=GR$169,1,IF($FN189&lt;GR$169,INDEX($FO$170:$IH$241,GR$169,$FN189),SUMPRODUCT(INDEX($FO$325:$IH$396,GR$169,1+SwaptionShift):INDEX($FO$325:$IH$396,GR$169,SwaptionMonthsToGo+SwaptionShift),INDEX($FO$245:$IH$316,$FN189-GR$169,73-GR$169+SwaptionShift):INDEX($FO$245:$IH$316,$FN189-GR$169,72-GR$169+SwaptionMonthsToGo+SwaptionShift))/SQRT(SUM(INDEX($FO344:$IH344,1+SwaptionShift):INDEX($FO344:$IH344,SwaptionMonthsToGo+SwaptionShift))*SUM(INDEX($FO$325:$IH$396,GR$169,1+SwaptionShift):INDEX($FO$325:$IH$396,GR$169,SwaptionMonthsToGo+SwaptionShift))))))</f>
        <v/>
      </c>
      <c r="GS189" s="469" t="str">
        <f ca="1">IF(OR(GS$169&lt;SwaptionFirstMonthPosition+1,$FN189&lt;SwaptionFirstMonthPosition+1,GS$169&gt;SwaptionFirstMonthPosition+SwaptionNumOfMonths+1,$FN189&gt;SwaptionFirstMonthPosition+SwaptionNumOfMonths+1),"",IF($FN189=GS$169,1,IF($FN189&lt;GS$169,INDEX($FO$170:$IH$241,GS$169,$FN189),SUMPRODUCT(INDEX($FO$325:$IH$396,GS$169,1+SwaptionShift):INDEX($FO$325:$IH$396,GS$169,SwaptionMonthsToGo+SwaptionShift),INDEX($FO$245:$IH$316,$FN189-GS$169,73-GS$169+SwaptionShift):INDEX($FO$245:$IH$316,$FN189-GS$169,72-GS$169+SwaptionMonthsToGo+SwaptionShift))/SQRT(SUM(INDEX($FO344:$IH344,1+SwaptionShift):INDEX($FO344:$IH344,SwaptionMonthsToGo+SwaptionShift))*SUM(INDEX($FO$325:$IH$396,GS$169,1+SwaptionShift):INDEX($FO$325:$IH$396,GS$169,SwaptionMonthsToGo+SwaptionShift))))))</f>
        <v/>
      </c>
      <c r="GT189" s="469" t="str">
        <f ca="1">IF(OR(GT$169&lt;SwaptionFirstMonthPosition+1,$FN189&lt;SwaptionFirstMonthPosition+1,GT$169&gt;SwaptionFirstMonthPosition+SwaptionNumOfMonths+1,$FN189&gt;SwaptionFirstMonthPosition+SwaptionNumOfMonths+1),"",IF($FN189=GT$169,1,IF($FN189&lt;GT$169,INDEX($FO$170:$IH$241,GT$169,$FN189),SUMPRODUCT(INDEX($FO$325:$IH$396,GT$169,1+SwaptionShift):INDEX($FO$325:$IH$396,GT$169,SwaptionMonthsToGo+SwaptionShift),INDEX($FO$245:$IH$316,$FN189-GT$169,73-GT$169+SwaptionShift):INDEX($FO$245:$IH$316,$FN189-GT$169,72-GT$169+SwaptionMonthsToGo+SwaptionShift))/SQRT(SUM(INDEX($FO344:$IH344,1+SwaptionShift):INDEX($FO344:$IH344,SwaptionMonthsToGo+SwaptionShift))*SUM(INDEX($FO$325:$IH$396,GT$169,1+SwaptionShift):INDEX($FO$325:$IH$396,GT$169,SwaptionMonthsToGo+SwaptionShift))))))</f>
        <v/>
      </c>
      <c r="GU189" s="469" t="str">
        <f ca="1">IF(OR(GU$169&lt;SwaptionFirstMonthPosition+1,$FN189&lt;SwaptionFirstMonthPosition+1,GU$169&gt;SwaptionFirstMonthPosition+SwaptionNumOfMonths+1,$FN189&gt;SwaptionFirstMonthPosition+SwaptionNumOfMonths+1),"",IF($FN189=GU$169,1,IF($FN189&lt;GU$169,INDEX($FO$170:$IH$241,GU$169,$FN189),SUMPRODUCT(INDEX($FO$325:$IH$396,GU$169,1+SwaptionShift):INDEX($FO$325:$IH$396,GU$169,SwaptionMonthsToGo+SwaptionShift),INDEX($FO$245:$IH$316,$FN189-GU$169,73-GU$169+SwaptionShift):INDEX($FO$245:$IH$316,$FN189-GU$169,72-GU$169+SwaptionMonthsToGo+SwaptionShift))/SQRT(SUM(INDEX($FO344:$IH344,1+SwaptionShift):INDEX($FO344:$IH344,SwaptionMonthsToGo+SwaptionShift))*SUM(INDEX($FO$325:$IH$396,GU$169,1+SwaptionShift):INDEX($FO$325:$IH$396,GU$169,SwaptionMonthsToGo+SwaptionShift))))))</f>
        <v/>
      </c>
      <c r="GV189" s="469" t="str">
        <f ca="1">IF(OR(GV$169&lt;SwaptionFirstMonthPosition+1,$FN189&lt;SwaptionFirstMonthPosition+1,GV$169&gt;SwaptionFirstMonthPosition+SwaptionNumOfMonths+1,$FN189&gt;SwaptionFirstMonthPosition+SwaptionNumOfMonths+1),"",IF($FN189=GV$169,1,IF($FN189&lt;GV$169,INDEX($FO$170:$IH$241,GV$169,$FN189),SUMPRODUCT(INDEX($FO$325:$IH$396,GV$169,1+SwaptionShift):INDEX($FO$325:$IH$396,GV$169,SwaptionMonthsToGo+SwaptionShift),INDEX($FO$245:$IH$316,$FN189-GV$169,73-GV$169+SwaptionShift):INDEX($FO$245:$IH$316,$FN189-GV$169,72-GV$169+SwaptionMonthsToGo+SwaptionShift))/SQRT(SUM(INDEX($FO344:$IH344,1+SwaptionShift):INDEX($FO344:$IH344,SwaptionMonthsToGo+SwaptionShift))*SUM(INDEX($FO$325:$IH$396,GV$169,1+SwaptionShift):INDEX($FO$325:$IH$396,GV$169,SwaptionMonthsToGo+SwaptionShift))))))</f>
        <v/>
      </c>
      <c r="GW189" s="469" t="str">
        <f ca="1">IF(OR(GW$169&lt;SwaptionFirstMonthPosition+1,$FN189&lt;SwaptionFirstMonthPosition+1,GW$169&gt;SwaptionFirstMonthPosition+SwaptionNumOfMonths+1,$FN189&gt;SwaptionFirstMonthPosition+SwaptionNumOfMonths+1),"",IF($FN189=GW$169,1,IF($FN189&lt;GW$169,INDEX($FO$170:$IH$241,GW$169,$FN189),SUMPRODUCT(INDEX($FO$325:$IH$396,GW$169,1+SwaptionShift):INDEX($FO$325:$IH$396,GW$169,SwaptionMonthsToGo+SwaptionShift),INDEX($FO$245:$IH$316,$FN189-GW$169,73-GW$169+SwaptionShift):INDEX($FO$245:$IH$316,$FN189-GW$169,72-GW$169+SwaptionMonthsToGo+SwaptionShift))/SQRT(SUM(INDEX($FO344:$IH344,1+SwaptionShift):INDEX($FO344:$IH344,SwaptionMonthsToGo+SwaptionShift))*SUM(INDEX($FO$325:$IH$396,GW$169,1+SwaptionShift):INDEX($FO$325:$IH$396,GW$169,SwaptionMonthsToGo+SwaptionShift))))))</f>
        <v/>
      </c>
      <c r="GX189" s="469" t="str">
        <f ca="1">IF(OR(GX$169&lt;SwaptionFirstMonthPosition+1,$FN189&lt;SwaptionFirstMonthPosition+1,GX$169&gt;SwaptionFirstMonthPosition+SwaptionNumOfMonths+1,$FN189&gt;SwaptionFirstMonthPosition+SwaptionNumOfMonths+1),"",IF($FN189=GX$169,1,IF($FN189&lt;GX$169,INDEX($FO$170:$IH$241,GX$169,$FN189),SUMPRODUCT(INDEX($FO$325:$IH$396,GX$169,1+SwaptionShift):INDEX($FO$325:$IH$396,GX$169,SwaptionMonthsToGo+SwaptionShift),INDEX($FO$245:$IH$316,$FN189-GX$169,73-GX$169+SwaptionShift):INDEX($FO$245:$IH$316,$FN189-GX$169,72-GX$169+SwaptionMonthsToGo+SwaptionShift))/SQRT(SUM(INDEX($FO344:$IH344,1+SwaptionShift):INDEX($FO344:$IH344,SwaptionMonthsToGo+SwaptionShift))*SUM(INDEX($FO$325:$IH$396,GX$169,1+SwaptionShift):INDEX($FO$325:$IH$396,GX$169,SwaptionMonthsToGo+SwaptionShift))))))</f>
        <v/>
      </c>
      <c r="GY189" s="469" t="str">
        <f ca="1">IF(OR(GY$169&lt;SwaptionFirstMonthPosition+1,$FN189&lt;SwaptionFirstMonthPosition+1,GY$169&gt;SwaptionFirstMonthPosition+SwaptionNumOfMonths+1,$FN189&gt;SwaptionFirstMonthPosition+SwaptionNumOfMonths+1),"",IF($FN189=GY$169,1,IF($FN189&lt;GY$169,INDEX($FO$170:$IH$241,GY$169,$FN189),SUMPRODUCT(INDEX($FO$325:$IH$396,GY$169,1+SwaptionShift):INDEX($FO$325:$IH$396,GY$169,SwaptionMonthsToGo+SwaptionShift),INDEX($FO$245:$IH$316,$FN189-GY$169,73-GY$169+SwaptionShift):INDEX($FO$245:$IH$316,$FN189-GY$169,72-GY$169+SwaptionMonthsToGo+SwaptionShift))/SQRT(SUM(INDEX($FO344:$IH344,1+SwaptionShift):INDEX($FO344:$IH344,SwaptionMonthsToGo+SwaptionShift))*SUM(INDEX($FO$325:$IH$396,GY$169,1+SwaptionShift):INDEX($FO$325:$IH$396,GY$169,SwaptionMonthsToGo+SwaptionShift))))))</f>
        <v/>
      </c>
      <c r="GZ189" s="469" t="str">
        <f ca="1">IF(OR(GZ$169&lt;SwaptionFirstMonthPosition+1,$FN189&lt;SwaptionFirstMonthPosition+1,GZ$169&gt;SwaptionFirstMonthPosition+SwaptionNumOfMonths+1,$FN189&gt;SwaptionFirstMonthPosition+SwaptionNumOfMonths+1),"",IF($FN189=GZ$169,1,IF($FN189&lt;GZ$169,INDEX($FO$170:$IH$241,GZ$169,$FN189),SUMPRODUCT(INDEX($FO$325:$IH$396,GZ$169,1+SwaptionShift):INDEX($FO$325:$IH$396,GZ$169,SwaptionMonthsToGo+SwaptionShift),INDEX($FO$245:$IH$316,$FN189-GZ$169,73-GZ$169+SwaptionShift):INDEX($FO$245:$IH$316,$FN189-GZ$169,72-GZ$169+SwaptionMonthsToGo+SwaptionShift))/SQRT(SUM(INDEX($FO344:$IH344,1+SwaptionShift):INDEX($FO344:$IH344,SwaptionMonthsToGo+SwaptionShift))*SUM(INDEX($FO$325:$IH$396,GZ$169,1+SwaptionShift):INDEX($FO$325:$IH$396,GZ$169,SwaptionMonthsToGo+SwaptionShift))))))</f>
        <v/>
      </c>
      <c r="HA189" s="469" t="str">
        <f ca="1">IF(OR(HA$169&lt;SwaptionFirstMonthPosition+1,$FN189&lt;SwaptionFirstMonthPosition+1,HA$169&gt;SwaptionFirstMonthPosition+SwaptionNumOfMonths+1,$FN189&gt;SwaptionFirstMonthPosition+SwaptionNumOfMonths+1),"",IF($FN189=HA$169,1,IF($FN189&lt;HA$169,INDEX($FO$170:$IH$241,HA$169,$FN189),SUMPRODUCT(INDEX($FO$325:$IH$396,HA$169,1+SwaptionShift):INDEX($FO$325:$IH$396,HA$169,SwaptionMonthsToGo+SwaptionShift),INDEX($FO$245:$IH$316,$FN189-HA$169,73-HA$169+SwaptionShift):INDEX($FO$245:$IH$316,$FN189-HA$169,72-HA$169+SwaptionMonthsToGo+SwaptionShift))/SQRT(SUM(INDEX($FO344:$IH344,1+SwaptionShift):INDEX($FO344:$IH344,SwaptionMonthsToGo+SwaptionShift))*SUM(INDEX($FO$325:$IH$396,HA$169,1+SwaptionShift):INDEX($FO$325:$IH$396,HA$169,SwaptionMonthsToGo+SwaptionShift))))))</f>
        <v/>
      </c>
      <c r="HB189" s="469" t="str">
        <f ca="1">IF(OR(HB$169&lt;SwaptionFirstMonthPosition+1,$FN189&lt;SwaptionFirstMonthPosition+1,HB$169&gt;SwaptionFirstMonthPosition+SwaptionNumOfMonths+1,$FN189&gt;SwaptionFirstMonthPosition+SwaptionNumOfMonths+1),"",IF($FN189=HB$169,1,IF($FN189&lt;HB$169,INDEX($FO$170:$IH$241,HB$169,$FN189),SUMPRODUCT(INDEX($FO$325:$IH$396,HB$169,1+SwaptionShift):INDEX($FO$325:$IH$396,HB$169,SwaptionMonthsToGo+SwaptionShift),INDEX($FO$245:$IH$316,$FN189-HB$169,73-HB$169+SwaptionShift):INDEX($FO$245:$IH$316,$FN189-HB$169,72-HB$169+SwaptionMonthsToGo+SwaptionShift))/SQRT(SUM(INDEX($FO344:$IH344,1+SwaptionShift):INDEX($FO344:$IH344,SwaptionMonthsToGo+SwaptionShift))*SUM(INDEX($FO$325:$IH$396,HB$169,1+SwaptionShift):INDEX($FO$325:$IH$396,HB$169,SwaptionMonthsToGo+SwaptionShift))))))</f>
        <v/>
      </c>
      <c r="HC189" s="469" t="str">
        <f ca="1">IF(OR(HC$169&lt;SwaptionFirstMonthPosition+1,$FN189&lt;SwaptionFirstMonthPosition+1,HC$169&gt;SwaptionFirstMonthPosition+SwaptionNumOfMonths+1,$FN189&gt;SwaptionFirstMonthPosition+SwaptionNumOfMonths+1),"",IF($FN189=HC$169,1,IF($FN189&lt;HC$169,INDEX($FO$170:$IH$241,HC$169,$FN189),SUMPRODUCT(INDEX($FO$325:$IH$396,HC$169,1+SwaptionShift):INDEX($FO$325:$IH$396,HC$169,SwaptionMonthsToGo+SwaptionShift),INDEX($FO$245:$IH$316,$FN189-HC$169,73-HC$169+SwaptionShift):INDEX($FO$245:$IH$316,$FN189-HC$169,72-HC$169+SwaptionMonthsToGo+SwaptionShift))/SQRT(SUM(INDEX($FO344:$IH344,1+SwaptionShift):INDEX($FO344:$IH344,SwaptionMonthsToGo+SwaptionShift))*SUM(INDEX($FO$325:$IH$396,HC$169,1+SwaptionShift):INDEX($FO$325:$IH$396,HC$169,SwaptionMonthsToGo+SwaptionShift))))))</f>
        <v/>
      </c>
      <c r="HD189" s="469" t="str">
        <f ca="1">IF(OR(HD$169&lt;SwaptionFirstMonthPosition+1,$FN189&lt;SwaptionFirstMonthPosition+1,HD$169&gt;SwaptionFirstMonthPosition+SwaptionNumOfMonths+1,$FN189&gt;SwaptionFirstMonthPosition+SwaptionNumOfMonths+1),"",IF($FN189=HD$169,1,IF($FN189&lt;HD$169,INDEX($FO$170:$IH$241,HD$169,$FN189),SUMPRODUCT(INDEX($FO$325:$IH$396,HD$169,1+SwaptionShift):INDEX($FO$325:$IH$396,HD$169,SwaptionMonthsToGo+SwaptionShift),INDEX($FO$245:$IH$316,$FN189-HD$169,73-HD$169+SwaptionShift):INDEX($FO$245:$IH$316,$FN189-HD$169,72-HD$169+SwaptionMonthsToGo+SwaptionShift))/SQRT(SUM(INDEX($FO344:$IH344,1+SwaptionShift):INDEX($FO344:$IH344,SwaptionMonthsToGo+SwaptionShift))*SUM(INDEX($FO$325:$IH$396,HD$169,1+SwaptionShift):INDEX($FO$325:$IH$396,HD$169,SwaptionMonthsToGo+SwaptionShift))))))</f>
        <v/>
      </c>
      <c r="HE189" s="469" t="str">
        <f ca="1">IF(OR(HE$169&lt;SwaptionFirstMonthPosition+1,$FN189&lt;SwaptionFirstMonthPosition+1,HE$169&gt;SwaptionFirstMonthPosition+SwaptionNumOfMonths+1,$FN189&gt;SwaptionFirstMonthPosition+SwaptionNumOfMonths+1),"",IF($FN189=HE$169,1,IF($FN189&lt;HE$169,INDEX($FO$170:$IH$241,HE$169,$FN189),SUMPRODUCT(INDEX($FO$325:$IH$396,HE$169,1+SwaptionShift):INDEX($FO$325:$IH$396,HE$169,SwaptionMonthsToGo+SwaptionShift),INDEX($FO$245:$IH$316,$FN189-HE$169,73-HE$169+SwaptionShift):INDEX($FO$245:$IH$316,$FN189-HE$169,72-HE$169+SwaptionMonthsToGo+SwaptionShift))/SQRT(SUM(INDEX($FO344:$IH344,1+SwaptionShift):INDEX($FO344:$IH344,SwaptionMonthsToGo+SwaptionShift))*SUM(INDEX($FO$325:$IH$396,HE$169,1+SwaptionShift):INDEX($FO$325:$IH$396,HE$169,SwaptionMonthsToGo+SwaptionShift))))))</f>
        <v/>
      </c>
      <c r="HF189" s="469" t="str">
        <f ca="1">IF(OR(HF$169&lt;SwaptionFirstMonthPosition+1,$FN189&lt;SwaptionFirstMonthPosition+1,HF$169&gt;SwaptionFirstMonthPosition+SwaptionNumOfMonths+1,$FN189&gt;SwaptionFirstMonthPosition+SwaptionNumOfMonths+1),"",IF($FN189=HF$169,1,IF($FN189&lt;HF$169,INDEX($FO$170:$IH$241,HF$169,$FN189),SUMPRODUCT(INDEX($FO$325:$IH$396,HF$169,1+SwaptionShift):INDEX($FO$325:$IH$396,HF$169,SwaptionMonthsToGo+SwaptionShift),INDEX($FO$245:$IH$316,$FN189-HF$169,73-HF$169+SwaptionShift):INDEX($FO$245:$IH$316,$FN189-HF$169,72-HF$169+SwaptionMonthsToGo+SwaptionShift))/SQRT(SUM(INDEX($FO344:$IH344,1+SwaptionShift):INDEX($FO344:$IH344,SwaptionMonthsToGo+SwaptionShift))*SUM(INDEX($FO$325:$IH$396,HF$169,1+SwaptionShift):INDEX($FO$325:$IH$396,HF$169,SwaptionMonthsToGo+SwaptionShift))))))</f>
        <v/>
      </c>
      <c r="HG189" s="469" t="str">
        <f ca="1">IF(OR(HG$169&lt;SwaptionFirstMonthPosition+1,$FN189&lt;SwaptionFirstMonthPosition+1,HG$169&gt;SwaptionFirstMonthPosition+SwaptionNumOfMonths+1,$FN189&gt;SwaptionFirstMonthPosition+SwaptionNumOfMonths+1),"",IF($FN189=HG$169,1,IF($FN189&lt;HG$169,INDEX($FO$170:$IH$241,HG$169,$FN189),SUMPRODUCT(INDEX($FO$325:$IH$396,HG$169,1+SwaptionShift):INDEX($FO$325:$IH$396,HG$169,SwaptionMonthsToGo+SwaptionShift),INDEX($FO$245:$IH$316,$FN189-HG$169,73-HG$169+SwaptionShift):INDEX($FO$245:$IH$316,$FN189-HG$169,72-HG$169+SwaptionMonthsToGo+SwaptionShift))/SQRT(SUM(INDEX($FO344:$IH344,1+SwaptionShift):INDEX($FO344:$IH344,SwaptionMonthsToGo+SwaptionShift))*SUM(INDEX($FO$325:$IH$396,HG$169,1+SwaptionShift):INDEX($FO$325:$IH$396,HG$169,SwaptionMonthsToGo+SwaptionShift))))))</f>
        <v/>
      </c>
      <c r="HH189" s="469" t="str">
        <f ca="1">IF(OR(HH$169&lt;SwaptionFirstMonthPosition+1,$FN189&lt;SwaptionFirstMonthPosition+1,HH$169&gt;SwaptionFirstMonthPosition+SwaptionNumOfMonths+1,$FN189&gt;SwaptionFirstMonthPosition+SwaptionNumOfMonths+1),"",IF($FN189=HH$169,1,IF($FN189&lt;HH$169,INDEX($FO$170:$IH$241,HH$169,$FN189),SUMPRODUCT(INDEX($FO$325:$IH$396,HH$169,1+SwaptionShift):INDEX($FO$325:$IH$396,HH$169,SwaptionMonthsToGo+SwaptionShift),INDEX($FO$245:$IH$316,$FN189-HH$169,73-HH$169+SwaptionShift):INDEX($FO$245:$IH$316,$FN189-HH$169,72-HH$169+SwaptionMonthsToGo+SwaptionShift))/SQRT(SUM(INDEX($FO344:$IH344,1+SwaptionShift):INDEX($FO344:$IH344,SwaptionMonthsToGo+SwaptionShift))*SUM(INDEX($FO$325:$IH$396,HH$169,1+SwaptionShift):INDEX($FO$325:$IH$396,HH$169,SwaptionMonthsToGo+SwaptionShift))))))</f>
        <v/>
      </c>
      <c r="HI189" s="469" t="str">
        <f ca="1">IF(OR(HI$169&lt;SwaptionFirstMonthPosition+1,$FN189&lt;SwaptionFirstMonthPosition+1,HI$169&gt;SwaptionFirstMonthPosition+SwaptionNumOfMonths+1,$FN189&gt;SwaptionFirstMonthPosition+SwaptionNumOfMonths+1),"",IF($FN189=HI$169,1,IF($FN189&lt;HI$169,INDEX($FO$170:$IH$241,HI$169,$FN189),SUMPRODUCT(INDEX($FO$325:$IH$396,HI$169,1+SwaptionShift):INDEX($FO$325:$IH$396,HI$169,SwaptionMonthsToGo+SwaptionShift),INDEX($FO$245:$IH$316,$FN189-HI$169,73-HI$169+SwaptionShift):INDEX($FO$245:$IH$316,$FN189-HI$169,72-HI$169+SwaptionMonthsToGo+SwaptionShift))/SQRT(SUM(INDEX($FO344:$IH344,1+SwaptionShift):INDEX($FO344:$IH344,SwaptionMonthsToGo+SwaptionShift))*SUM(INDEX($FO$325:$IH$396,HI$169,1+SwaptionShift):INDEX($FO$325:$IH$396,HI$169,SwaptionMonthsToGo+SwaptionShift))))))</f>
        <v/>
      </c>
      <c r="HJ189" s="469" t="str">
        <f ca="1">IF(OR(HJ$169&lt;SwaptionFirstMonthPosition+1,$FN189&lt;SwaptionFirstMonthPosition+1,HJ$169&gt;SwaptionFirstMonthPosition+SwaptionNumOfMonths+1,$FN189&gt;SwaptionFirstMonthPosition+SwaptionNumOfMonths+1),"",IF($FN189=HJ$169,1,IF($FN189&lt;HJ$169,INDEX($FO$170:$IH$241,HJ$169,$FN189),SUMPRODUCT(INDEX($FO$325:$IH$396,HJ$169,1+SwaptionShift):INDEX($FO$325:$IH$396,HJ$169,SwaptionMonthsToGo+SwaptionShift),INDEX($FO$245:$IH$316,$FN189-HJ$169,73-HJ$169+SwaptionShift):INDEX($FO$245:$IH$316,$FN189-HJ$169,72-HJ$169+SwaptionMonthsToGo+SwaptionShift))/SQRT(SUM(INDEX($FO344:$IH344,1+SwaptionShift):INDEX($FO344:$IH344,SwaptionMonthsToGo+SwaptionShift))*SUM(INDEX($FO$325:$IH$396,HJ$169,1+SwaptionShift):INDEX($FO$325:$IH$396,HJ$169,SwaptionMonthsToGo+SwaptionShift))))))</f>
        <v/>
      </c>
      <c r="HK189" s="469" t="str">
        <f ca="1">IF(OR(HK$169&lt;SwaptionFirstMonthPosition+1,$FN189&lt;SwaptionFirstMonthPosition+1,HK$169&gt;SwaptionFirstMonthPosition+SwaptionNumOfMonths+1,$FN189&gt;SwaptionFirstMonthPosition+SwaptionNumOfMonths+1),"",IF($FN189=HK$169,1,IF($FN189&lt;HK$169,INDEX($FO$170:$IH$241,HK$169,$FN189),SUMPRODUCT(INDEX($FO$325:$IH$396,HK$169,1+SwaptionShift):INDEX($FO$325:$IH$396,HK$169,SwaptionMonthsToGo+SwaptionShift),INDEX($FO$245:$IH$316,$FN189-HK$169,73-HK$169+SwaptionShift):INDEX($FO$245:$IH$316,$FN189-HK$169,72-HK$169+SwaptionMonthsToGo+SwaptionShift))/SQRT(SUM(INDEX($FO344:$IH344,1+SwaptionShift):INDEX($FO344:$IH344,SwaptionMonthsToGo+SwaptionShift))*SUM(INDEX($FO$325:$IH$396,HK$169,1+SwaptionShift):INDEX($FO$325:$IH$396,HK$169,SwaptionMonthsToGo+SwaptionShift))))))</f>
        <v/>
      </c>
      <c r="HL189" s="469" t="str">
        <f ca="1">IF(OR(HL$169&lt;SwaptionFirstMonthPosition+1,$FN189&lt;SwaptionFirstMonthPosition+1,HL$169&gt;SwaptionFirstMonthPosition+SwaptionNumOfMonths+1,$FN189&gt;SwaptionFirstMonthPosition+SwaptionNumOfMonths+1),"",IF($FN189=HL$169,1,IF($FN189&lt;HL$169,INDEX($FO$170:$IH$241,HL$169,$FN189),SUMPRODUCT(INDEX($FO$325:$IH$396,HL$169,1+SwaptionShift):INDEX($FO$325:$IH$396,HL$169,SwaptionMonthsToGo+SwaptionShift),INDEX($FO$245:$IH$316,$FN189-HL$169,73-HL$169+SwaptionShift):INDEX($FO$245:$IH$316,$FN189-HL$169,72-HL$169+SwaptionMonthsToGo+SwaptionShift))/SQRT(SUM(INDEX($FO344:$IH344,1+SwaptionShift):INDEX($FO344:$IH344,SwaptionMonthsToGo+SwaptionShift))*SUM(INDEX($FO$325:$IH$396,HL$169,1+SwaptionShift):INDEX($FO$325:$IH$396,HL$169,SwaptionMonthsToGo+SwaptionShift))))))</f>
        <v/>
      </c>
      <c r="HM189" s="469" t="str">
        <f ca="1">IF(OR(HM$169&lt;SwaptionFirstMonthPosition+1,$FN189&lt;SwaptionFirstMonthPosition+1,HM$169&gt;SwaptionFirstMonthPosition+SwaptionNumOfMonths+1,$FN189&gt;SwaptionFirstMonthPosition+SwaptionNumOfMonths+1),"",IF($FN189=HM$169,1,IF($FN189&lt;HM$169,INDEX($FO$170:$IH$241,HM$169,$FN189),SUMPRODUCT(INDEX($FO$325:$IH$396,HM$169,1+SwaptionShift):INDEX($FO$325:$IH$396,HM$169,SwaptionMonthsToGo+SwaptionShift),INDEX($FO$245:$IH$316,$FN189-HM$169,73-HM$169+SwaptionShift):INDEX($FO$245:$IH$316,$FN189-HM$169,72-HM$169+SwaptionMonthsToGo+SwaptionShift))/SQRT(SUM(INDEX($FO344:$IH344,1+SwaptionShift):INDEX($FO344:$IH344,SwaptionMonthsToGo+SwaptionShift))*SUM(INDEX($FO$325:$IH$396,HM$169,1+SwaptionShift):INDEX($FO$325:$IH$396,HM$169,SwaptionMonthsToGo+SwaptionShift))))))</f>
        <v/>
      </c>
      <c r="HN189" s="469" t="str">
        <f ca="1">IF(OR(HN$169&lt;SwaptionFirstMonthPosition+1,$FN189&lt;SwaptionFirstMonthPosition+1,HN$169&gt;SwaptionFirstMonthPosition+SwaptionNumOfMonths+1,$FN189&gt;SwaptionFirstMonthPosition+SwaptionNumOfMonths+1),"",IF($FN189=HN$169,1,IF($FN189&lt;HN$169,INDEX($FO$170:$IH$241,HN$169,$FN189),SUMPRODUCT(INDEX($FO$325:$IH$396,HN$169,1+SwaptionShift):INDEX($FO$325:$IH$396,HN$169,SwaptionMonthsToGo+SwaptionShift),INDEX($FO$245:$IH$316,$FN189-HN$169,73-HN$169+SwaptionShift):INDEX($FO$245:$IH$316,$FN189-HN$169,72-HN$169+SwaptionMonthsToGo+SwaptionShift))/SQRT(SUM(INDEX($FO344:$IH344,1+SwaptionShift):INDEX($FO344:$IH344,SwaptionMonthsToGo+SwaptionShift))*SUM(INDEX($FO$325:$IH$396,HN$169,1+SwaptionShift):INDEX($FO$325:$IH$396,HN$169,SwaptionMonthsToGo+SwaptionShift))))))</f>
        <v/>
      </c>
      <c r="HO189" s="469" t="str">
        <f ca="1">IF(OR(HO$169&lt;SwaptionFirstMonthPosition+1,$FN189&lt;SwaptionFirstMonthPosition+1,HO$169&gt;SwaptionFirstMonthPosition+SwaptionNumOfMonths+1,$FN189&gt;SwaptionFirstMonthPosition+SwaptionNumOfMonths+1),"",IF($FN189=HO$169,1,IF($FN189&lt;HO$169,INDEX($FO$170:$IH$241,HO$169,$FN189),SUMPRODUCT(INDEX($FO$325:$IH$396,HO$169,1+SwaptionShift):INDEX($FO$325:$IH$396,HO$169,SwaptionMonthsToGo+SwaptionShift),INDEX($FO$245:$IH$316,$FN189-HO$169,73-HO$169+SwaptionShift):INDEX($FO$245:$IH$316,$FN189-HO$169,72-HO$169+SwaptionMonthsToGo+SwaptionShift))/SQRT(SUM(INDEX($FO344:$IH344,1+SwaptionShift):INDEX($FO344:$IH344,SwaptionMonthsToGo+SwaptionShift))*SUM(INDEX($FO$325:$IH$396,HO$169,1+SwaptionShift):INDEX($FO$325:$IH$396,HO$169,SwaptionMonthsToGo+SwaptionShift))))))</f>
        <v/>
      </c>
      <c r="HP189" s="469" t="str">
        <f ca="1">IF(OR(HP$169&lt;SwaptionFirstMonthPosition+1,$FN189&lt;SwaptionFirstMonthPosition+1,HP$169&gt;SwaptionFirstMonthPosition+SwaptionNumOfMonths+1,$FN189&gt;SwaptionFirstMonthPosition+SwaptionNumOfMonths+1),"",IF($FN189=HP$169,1,IF($FN189&lt;HP$169,INDEX($FO$170:$IH$241,HP$169,$FN189),SUMPRODUCT(INDEX($FO$325:$IH$396,HP$169,1+SwaptionShift):INDEX($FO$325:$IH$396,HP$169,SwaptionMonthsToGo+SwaptionShift),INDEX($FO$245:$IH$316,$FN189-HP$169,73-HP$169+SwaptionShift):INDEX($FO$245:$IH$316,$FN189-HP$169,72-HP$169+SwaptionMonthsToGo+SwaptionShift))/SQRT(SUM(INDEX($FO344:$IH344,1+SwaptionShift):INDEX($FO344:$IH344,SwaptionMonthsToGo+SwaptionShift))*SUM(INDEX($FO$325:$IH$396,HP$169,1+SwaptionShift):INDEX($FO$325:$IH$396,HP$169,SwaptionMonthsToGo+SwaptionShift))))))</f>
        <v/>
      </c>
      <c r="HQ189" s="469" t="str">
        <f ca="1">IF(OR(HQ$169&lt;SwaptionFirstMonthPosition+1,$FN189&lt;SwaptionFirstMonthPosition+1,HQ$169&gt;SwaptionFirstMonthPosition+SwaptionNumOfMonths+1,$FN189&gt;SwaptionFirstMonthPosition+SwaptionNumOfMonths+1),"",IF($FN189=HQ$169,1,IF($FN189&lt;HQ$169,INDEX($FO$170:$IH$241,HQ$169,$FN189),SUMPRODUCT(INDEX($FO$325:$IH$396,HQ$169,1+SwaptionShift):INDEX($FO$325:$IH$396,HQ$169,SwaptionMonthsToGo+SwaptionShift),INDEX($FO$245:$IH$316,$FN189-HQ$169,73-HQ$169+SwaptionShift):INDEX($FO$245:$IH$316,$FN189-HQ$169,72-HQ$169+SwaptionMonthsToGo+SwaptionShift))/SQRT(SUM(INDEX($FO344:$IH344,1+SwaptionShift):INDEX($FO344:$IH344,SwaptionMonthsToGo+SwaptionShift))*SUM(INDEX($FO$325:$IH$396,HQ$169,1+SwaptionShift):INDEX($FO$325:$IH$396,HQ$169,SwaptionMonthsToGo+SwaptionShift))))))</f>
        <v/>
      </c>
      <c r="HR189" s="469" t="str">
        <f ca="1">IF(OR(HR$169&lt;SwaptionFirstMonthPosition+1,$FN189&lt;SwaptionFirstMonthPosition+1,HR$169&gt;SwaptionFirstMonthPosition+SwaptionNumOfMonths+1,$FN189&gt;SwaptionFirstMonthPosition+SwaptionNumOfMonths+1),"",IF($FN189=HR$169,1,IF($FN189&lt;HR$169,INDEX($FO$170:$IH$241,HR$169,$FN189),SUMPRODUCT(INDEX($FO$325:$IH$396,HR$169,1+SwaptionShift):INDEX($FO$325:$IH$396,HR$169,SwaptionMonthsToGo+SwaptionShift),INDEX($FO$245:$IH$316,$FN189-HR$169,73-HR$169+SwaptionShift):INDEX($FO$245:$IH$316,$FN189-HR$169,72-HR$169+SwaptionMonthsToGo+SwaptionShift))/SQRT(SUM(INDEX($FO344:$IH344,1+SwaptionShift):INDEX($FO344:$IH344,SwaptionMonthsToGo+SwaptionShift))*SUM(INDEX($FO$325:$IH$396,HR$169,1+SwaptionShift):INDEX($FO$325:$IH$396,HR$169,SwaptionMonthsToGo+SwaptionShift))))))</f>
        <v/>
      </c>
      <c r="HS189" s="469" t="str">
        <f ca="1">IF(OR(HS$169&lt;SwaptionFirstMonthPosition+1,$FN189&lt;SwaptionFirstMonthPosition+1,HS$169&gt;SwaptionFirstMonthPosition+SwaptionNumOfMonths+1,$FN189&gt;SwaptionFirstMonthPosition+SwaptionNumOfMonths+1),"",IF($FN189=HS$169,1,IF($FN189&lt;HS$169,INDEX($FO$170:$IH$241,HS$169,$FN189),SUMPRODUCT(INDEX($FO$325:$IH$396,HS$169,1+SwaptionShift):INDEX($FO$325:$IH$396,HS$169,SwaptionMonthsToGo+SwaptionShift),INDEX($FO$245:$IH$316,$FN189-HS$169,73-HS$169+SwaptionShift):INDEX($FO$245:$IH$316,$FN189-HS$169,72-HS$169+SwaptionMonthsToGo+SwaptionShift))/SQRT(SUM(INDEX($FO344:$IH344,1+SwaptionShift):INDEX($FO344:$IH344,SwaptionMonthsToGo+SwaptionShift))*SUM(INDEX($FO$325:$IH$396,HS$169,1+SwaptionShift):INDEX($FO$325:$IH$396,HS$169,SwaptionMonthsToGo+SwaptionShift))))))</f>
        <v/>
      </c>
      <c r="HT189" s="469" t="str">
        <f ca="1">IF(OR(HT$169&lt;SwaptionFirstMonthPosition+1,$FN189&lt;SwaptionFirstMonthPosition+1,HT$169&gt;SwaptionFirstMonthPosition+SwaptionNumOfMonths+1,$FN189&gt;SwaptionFirstMonthPosition+SwaptionNumOfMonths+1),"",IF($FN189=HT$169,1,IF($FN189&lt;HT$169,INDEX($FO$170:$IH$241,HT$169,$FN189),SUMPRODUCT(INDEX($FO$325:$IH$396,HT$169,1+SwaptionShift):INDEX($FO$325:$IH$396,HT$169,SwaptionMonthsToGo+SwaptionShift),INDEX($FO$245:$IH$316,$FN189-HT$169,73-HT$169+SwaptionShift):INDEX($FO$245:$IH$316,$FN189-HT$169,72-HT$169+SwaptionMonthsToGo+SwaptionShift))/SQRT(SUM(INDEX($FO344:$IH344,1+SwaptionShift):INDEX($FO344:$IH344,SwaptionMonthsToGo+SwaptionShift))*SUM(INDEX($FO$325:$IH$396,HT$169,1+SwaptionShift):INDEX($FO$325:$IH$396,HT$169,SwaptionMonthsToGo+SwaptionShift))))))</f>
        <v/>
      </c>
      <c r="HU189" s="469" t="str">
        <f ca="1">IF(OR(HU$169&lt;SwaptionFirstMonthPosition+1,$FN189&lt;SwaptionFirstMonthPosition+1,HU$169&gt;SwaptionFirstMonthPosition+SwaptionNumOfMonths+1,$FN189&gt;SwaptionFirstMonthPosition+SwaptionNumOfMonths+1),"",IF($FN189=HU$169,1,IF($FN189&lt;HU$169,INDEX($FO$170:$IH$241,HU$169,$FN189),SUMPRODUCT(INDEX($FO$325:$IH$396,HU$169,1+SwaptionShift):INDEX($FO$325:$IH$396,HU$169,SwaptionMonthsToGo+SwaptionShift),INDEX($FO$245:$IH$316,$FN189-HU$169,73-HU$169+SwaptionShift):INDEX($FO$245:$IH$316,$FN189-HU$169,72-HU$169+SwaptionMonthsToGo+SwaptionShift))/SQRT(SUM(INDEX($FO344:$IH344,1+SwaptionShift):INDEX($FO344:$IH344,SwaptionMonthsToGo+SwaptionShift))*SUM(INDEX($FO$325:$IH$396,HU$169,1+SwaptionShift):INDEX($FO$325:$IH$396,HU$169,SwaptionMonthsToGo+SwaptionShift))))))</f>
        <v/>
      </c>
      <c r="HV189" s="469" t="str">
        <f ca="1">IF(OR(HV$169&lt;SwaptionFirstMonthPosition+1,$FN189&lt;SwaptionFirstMonthPosition+1,HV$169&gt;SwaptionFirstMonthPosition+SwaptionNumOfMonths+1,$FN189&gt;SwaptionFirstMonthPosition+SwaptionNumOfMonths+1),"",IF($FN189=HV$169,1,IF($FN189&lt;HV$169,INDEX($FO$170:$IH$241,HV$169,$FN189),SUMPRODUCT(INDEX($FO$325:$IH$396,HV$169,1+SwaptionShift):INDEX($FO$325:$IH$396,HV$169,SwaptionMonthsToGo+SwaptionShift),INDEX($FO$245:$IH$316,$FN189-HV$169,73-HV$169+SwaptionShift):INDEX($FO$245:$IH$316,$FN189-HV$169,72-HV$169+SwaptionMonthsToGo+SwaptionShift))/SQRT(SUM(INDEX($FO344:$IH344,1+SwaptionShift):INDEX($FO344:$IH344,SwaptionMonthsToGo+SwaptionShift))*SUM(INDEX($FO$325:$IH$396,HV$169,1+SwaptionShift):INDEX($FO$325:$IH$396,HV$169,SwaptionMonthsToGo+SwaptionShift))))))</f>
        <v/>
      </c>
      <c r="HW189" s="469" t="str">
        <f ca="1">IF(OR(HW$169&lt;SwaptionFirstMonthPosition+1,$FN189&lt;SwaptionFirstMonthPosition+1,HW$169&gt;SwaptionFirstMonthPosition+SwaptionNumOfMonths+1,$FN189&gt;SwaptionFirstMonthPosition+SwaptionNumOfMonths+1),"",IF($FN189=HW$169,1,IF($FN189&lt;HW$169,INDEX($FO$170:$IH$241,HW$169,$FN189),SUMPRODUCT(INDEX($FO$325:$IH$396,HW$169,1+SwaptionShift):INDEX($FO$325:$IH$396,HW$169,SwaptionMonthsToGo+SwaptionShift),INDEX($FO$245:$IH$316,$FN189-HW$169,73-HW$169+SwaptionShift):INDEX($FO$245:$IH$316,$FN189-HW$169,72-HW$169+SwaptionMonthsToGo+SwaptionShift))/SQRT(SUM(INDEX($FO344:$IH344,1+SwaptionShift):INDEX($FO344:$IH344,SwaptionMonthsToGo+SwaptionShift))*SUM(INDEX($FO$325:$IH$396,HW$169,1+SwaptionShift):INDEX($FO$325:$IH$396,HW$169,SwaptionMonthsToGo+SwaptionShift))))))</f>
        <v/>
      </c>
      <c r="HX189" s="469" t="str">
        <f ca="1">IF(OR(HX$169&lt;SwaptionFirstMonthPosition+1,$FN189&lt;SwaptionFirstMonthPosition+1,HX$169&gt;SwaptionFirstMonthPosition+SwaptionNumOfMonths+1,$FN189&gt;SwaptionFirstMonthPosition+SwaptionNumOfMonths+1),"",IF($FN189=HX$169,1,IF($FN189&lt;HX$169,INDEX($FO$170:$IH$241,HX$169,$FN189),SUMPRODUCT(INDEX($FO$325:$IH$396,HX$169,1+SwaptionShift):INDEX($FO$325:$IH$396,HX$169,SwaptionMonthsToGo+SwaptionShift),INDEX($FO$245:$IH$316,$FN189-HX$169,73-HX$169+SwaptionShift):INDEX($FO$245:$IH$316,$FN189-HX$169,72-HX$169+SwaptionMonthsToGo+SwaptionShift))/SQRT(SUM(INDEX($FO344:$IH344,1+SwaptionShift):INDEX($FO344:$IH344,SwaptionMonthsToGo+SwaptionShift))*SUM(INDEX($FO$325:$IH$396,HX$169,1+SwaptionShift):INDEX($FO$325:$IH$396,HX$169,SwaptionMonthsToGo+SwaptionShift))))))</f>
        <v/>
      </c>
      <c r="HY189" s="469" t="str">
        <f ca="1">IF(OR(HY$169&lt;SwaptionFirstMonthPosition+1,$FN189&lt;SwaptionFirstMonthPosition+1,HY$169&gt;SwaptionFirstMonthPosition+SwaptionNumOfMonths+1,$FN189&gt;SwaptionFirstMonthPosition+SwaptionNumOfMonths+1),"",IF($FN189=HY$169,1,IF($FN189&lt;HY$169,INDEX($FO$170:$IH$241,HY$169,$FN189),SUMPRODUCT(INDEX($FO$325:$IH$396,HY$169,1+SwaptionShift):INDEX($FO$325:$IH$396,HY$169,SwaptionMonthsToGo+SwaptionShift),INDEX($FO$245:$IH$316,$FN189-HY$169,73-HY$169+SwaptionShift):INDEX($FO$245:$IH$316,$FN189-HY$169,72-HY$169+SwaptionMonthsToGo+SwaptionShift))/SQRT(SUM(INDEX($FO344:$IH344,1+SwaptionShift):INDEX($FO344:$IH344,SwaptionMonthsToGo+SwaptionShift))*SUM(INDEX($FO$325:$IH$396,HY$169,1+SwaptionShift):INDEX($FO$325:$IH$396,HY$169,SwaptionMonthsToGo+SwaptionShift))))))</f>
        <v/>
      </c>
      <c r="HZ189" s="469" t="str">
        <f ca="1">IF(OR(HZ$169&lt;SwaptionFirstMonthPosition+1,$FN189&lt;SwaptionFirstMonthPosition+1,HZ$169&gt;SwaptionFirstMonthPosition+SwaptionNumOfMonths+1,$FN189&gt;SwaptionFirstMonthPosition+SwaptionNumOfMonths+1),"",IF($FN189=HZ$169,1,IF($FN189&lt;HZ$169,INDEX($FO$170:$IH$241,HZ$169,$FN189),SUMPRODUCT(INDEX($FO$325:$IH$396,HZ$169,1+SwaptionShift):INDEX($FO$325:$IH$396,HZ$169,SwaptionMonthsToGo+SwaptionShift),INDEX($FO$245:$IH$316,$FN189-HZ$169,73-HZ$169+SwaptionShift):INDEX($FO$245:$IH$316,$FN189-HZ$169,72-HZ$169+SwaptionMonthsToGo+SwaptionShift))/SQRT(SUM(INDEX($FO344:$IH344,1+SwaptionShift):INDEX($FO344:$IH344,SwaptionMonthsToGo+SwaptionShift))*SUM(INDEX($FO$325:$IH$396,HZ$169,1+SwaptionShift):INDEX($FO$325:$IH$396,HZ$169,SwaptionMonthsToGo+SwaptionShift))))))</f>
        <v/>
      </c>
      <c r="IA189" s="469" t="str">
        <f ca="1">IF(OR(IA$169&lt;SwaptionFirstMonthPosition+1,$FN189&lt;SwaptionFirstMonthPosition+1,IA$169&gt;SwaptionFirstMonthPosition+SwaptionNumOfMonths+1,$FN189&gt;SwaptionFirstMonthPosition+SwaptionNumOfMonths+1),"",IF($FN189=IA$169,1,IF($FN189&lt;IA$169,INDEX($FO$170:$IH$241,IA$169,$FN189),SUMPRODUCT(INDEX($FO$325:$IH$396,IA$169,1+SwaptionShift):INDEX($FO$325:$IH$396,IA$169,SwaptionMonthsToGo+SwaptionShift),INDEX($FO$245:$IH$316,$FN189-IA$169,73-IA$169+SwaptionShift):INDEX($FO$245:$IH$316,$FN189-IA$169,72-IA$169+SwaptionMonthsToGo+SwaptionShift))/SQRT(SUM(INDEX($FO344:$IH344,1+SwaptionShift):INDEX($FO344:$IH344,SwaptionMonthsToGo+SwaptionShift))*SUM(INDEX($FO$325:$IH$396,IA$169,1+SwaptionShift):INDEX($FO$325:$IH$396,IA$169,SwaptionMonthsToGo+SwaptionShift))))))</f>
        <v/>
      </c>
      <c r="IB189" s="469" t="str">
        <f ca="1">IF(OR(IB$169&lt;SwaptionFirstMonthPosition+1,$FN189&lt;SwaptionFirstMonthPosition+1,IB$169&gt;SwaptionFirstMonthPosition+SwaptionNumOfMonths+1,$FN189&gt;SwaptionFirstMonthPosition+SwaptionNumOfMonths+1),"",IF($FN189=IB$169,1,IF($FN189&lt;IB$169,INDEX($FO$170:$IH$241,IB$169,$FN189),SUMPRODUCT(INDEX($FO$325:$IH$396,IB$169,1+SwaptionShift):INDEX($FO$325:$IH$396,IB$169,SwaptionMonthsToGo+SwaptionShift),INDEX($FO$245:$IH$316,$FN189-IB$169,73-IB$169+SwaptionShift):INDEX($FO$245:$IH$316,$FN189-IB$169,72-IB$169+SwaptionMonthsToGo+SwaptionShift))/SQRT(SUM(INDEX($FO344:$IH344,1+SwaptionShift):INDEX($FO344:$IH344,SwaptionMonthsToGo+SwaptionShift))*SUM(INDEX($FO$325:$IH$396,IB$169,1+SwaptionShift):INDEX($FO$325:$IH$396,IB$169,SwaptionMonthsToGo+SwaptionShift))))))</f>
        <v/>
      </c>
      <c r="IC189" s="469" t="str">
        <f ca="1">IF(OR(IC$169&lt;SwaptionFirstMonthPosition+1,$FN189&lt;SwaptionFirstMonthPosition+1,IC$169&gt;SwaptionFirstMonthPosition+SwaptionNumOfMonths+1,$FN189&gt;SwaptionFirstMonthPosition+SwaptionNumOfMonths+1),"",IF($FN189=IC$169,1,IF($FN189&lt;IC$169,INDEX($FO$170:$IH$241,IC$169,$FN189),SUMPRODUCT(INDEX($FO$325:$IH$396,IC$169,1+SwaptionShift):INDEX($FO$325:$IH$396,IC$169,SwaptionMonthsToGo+SwaptionShift),INDEX($FO$245:$IH$316,$FN189-IC$169,73-IC$169+SwaptionShift):INDEX($FO$245:$IH$316,$FN189-IC$169,72-IC$169+SwaptionMonthsToGo+SwaptionShift))/SQRT(SUM(INDEX($FO344:$IH344,1+SwaptionShift):INDEX($FO344:$IH344,SwaptionMonthsToGo+SwaptionShift))*SUM(INDEX($FO$325:$IH$396,IC$169,1+SwaptionShift):INDEX($FO$325:$IH$396,IC$169,SwaptionMonthsToGo+SwaptionShift))))))</f>
        <v/>
      </c>
      <c r="ID189" s="469" t="str">
        <f ca="1">IF(OR(ID$169&lt;SwaptionFirstMonthPosition+1,$FN189&lt;SwaptionFirstMonthPosition+1,ID$169&gt;SwaptionFirstMonthPosition+SwaptionNumOfMonths+1,$FN189&gt;SwaptionFirstMonthPosition+SwaptionNumOfMonths+1),"",IF($FN189=ID$169,1,IF($FN189&lt;ID$169,INDEX($FO$170:$IH$241,ID$169,$FN189),SUMPRODUCT(INDEX($FO$325:$IH$396,ID$169,1+SwaptionShift):INDEX($FO$325:$IH$396,ID$169,SwaptionMonthsToGo+SwaptionShift),INDEX($FO$245:$IH$316,$FN189-ID$169,73-ID$169+SwaptionShift):INDEX($FO$245:$IH$316,$FN189-ID$169,72-ID$169+SwaptionMonthsToGo+SwaptionShift))/SQRT(SUM(INDEX($FO344:$IH344,1+SwaptionShift):INDEX($FO344:$IH344,SwaptionMonthsToGo+SwaptionShift))*SUM(INDEX($FO$325:$IH$396,ID$169,1+SwaptionShift):INDEX($FO$325:$IH$396,ID$169,SwaptionMonthsToGo+SwaptionShift))))))</f>
        <v/>
      </c>
      <c r="IE189" s="469" t="str">
        <f ca="1">IF(OR(IE$169&lt;SwaptionFirstMonthPosition+1,$FN189&lt;SwaptionFirstMonthPosition+1,IE$169&gt;SwaptionFirstMonthPosition+SwaptionNumOfMonths+1,$FN189&gt;SwaptionFirstMonthPosition+SwaptionNumOfMonths+1),"",IF($FN189=IE$169,1,IF($FN189&lt;IE$169,INDEX($FO$170:$IH$241,IE$169,$FN189),SUMPRODUCT(INDEX($FO$325:$IH$396,IE$169,1+SwaptionShift):INDEX($FO$325:$IH$396,IE$169,SwaptionMonthsToGo+SwaptionShift),INDEX($FO$245:$IH$316,$FN189-IE$169,73-IE$169+SwaptionShift):INDEX($FO$245:$IH$316,$FN189-IE$169,72-IE$169+SwaptionMonthsToGo+SwaptionShift))/SQRT(SUM(INDEX($FO344:$IH344,1+SwaptionShift):INDEX($FO344:$IH344,SwaptionMonthsToGo+SwaptionShift))*SUM(INDEX($FO$325:$IH$396,IE$169,1+SwaptionShift):INDEX($FO$325:$IH$396,IE$169,SwaptionMonthsToGo+SwaptionShift))))))</f>
        <v/>
      </c>
      <c r="IF189" s="469" t="str">
        <f ca="1">IF(OR(IF$169&lt;SwaptionFirstMonthPosition+1,$FN189&lt;SwaptionFirstMonthPosition+1,IF$169&gt;SwaptionFirstMonthPosition+SwaptionNumOfMonths+1,$FN189&gt;SwaptionFirstMonthPosition+SwaptionNumOfMonths+1),"",IF($FN189=IF$169,1,IF($FN189&lt;IF$169,INDEX($FO$170:$IH$241,IF$169,$FN189),SUMPRODUCT(INDEX($FO$325:$IH$396,IF$169,1+SwaptionShift):INDEX($FO$325:$IH$396,IF$169,SwaptionMonthsToGo+SwaptionShift),INDEX($FO$245:$IH$316,$FN189-IF$169,73-IF$169+SwaptionShift):INDEX($FO$245:$IH$316,$FN189-IF$169,72-IF$169+SwaptionMonthsToGo+SwaptionShift))/SQRT(SUM(INDEX($FO344:$IH344,1+SwaptionShift):INDEX($FO344:$IH344,SwaptionMonthsToGo+SwaptionShift))*SUM(INDEX($FO$325:$IH$396,IF$169,1+SwaptionShift):INDEX($FO$325:$IH$396,IF$169,SwaptionMonthsToGo+SwaptionShift))))))</f>
        <v/>
      </c>
      <c r="IG189" s="469" t="str">
        <f ca="1">IF(OR(IG$169&lt;SwaptionFirstMonthPosition+1,$FN189&lt;SwaptionFirstMonthPosition+1,IG$169&gt;SwaptionFirstMonthPosition+SwaptionNumOfMonths+1,$FN189&gt;SwaptionFirstMonthPosition+SwaptionNumOfMonths+1),"",IF($FN189=IG$169,1,IF($FN189&lt;IG$169,INDEX($FO$170:$IH$241,IG$169,$FN189),SUMPRODUCT(INDEX($FO$325:$IH$396,IG$169,1+SwaptionShift):INDEX($FO$325:$IH$396,IG$169,SwaptionMonthsToGo+SwaptionShift),INDEX($FO$245:$IH$316,$FN189-IG$169,73-IG$169+SwaptionShift):INDEX($FO$245:$IH$316,$FN189-IG$169,72-IG$169+SwaptionMonthsToGo+SwaptionShift))/SQRT(SUM(INDEX($FO344:$IH344,1+SwaptionShift):INDEX($FO344:$IH344,SwaptionMonthsToGo+SwaptionShift))*SUM(INDEX($FO$325:$IH$396,IG$169,1+SwaptionShift):INDEX($FO$325:$IH$396,IG$169,SwaptionMonthsToGo+SwaptionShift))))))</f>
        <v/>
      </c>
      <c r="IH189" s="662" t="str">
        <f ca="1">IF(OR(IH$169&lt;SwaptionFirstMonthPosition+1,$FN189&lt;SwaptionFirstMonthPosition+1,IH$169&gt;SwaptionFirstMonthPosition+SwaptionNumOfMonths+1,$FN189&gt;SwaptionFirstMonthPosition+SwaptionNumOfMonths+1),"",IF($FN189=IH$169,1,IF($FN189&lt;IH$169,INDEX($FO$170:$IH$241,IH$169,$FN189),SUMPRODUCT(INDEX($FO$325:$IH$396,IH$169,1+SwaptionShift):INDEX($FO$325:$IH$396,IH$169,SwaptionMonthsToGo+SwaptionShift),INDEX($FO$245:$IH$316,$FN189-IH$169,73-IH$169+SwaptionShift):INDEX($FO$245:$IH$316,$FN189-IH$169,72-IH$169+SwaptionMonthsToGo+SwaptionShift))/SQRT(SUM(INDEX($FO344:$IH344,1+SwaptionShift):INDEX($FO344:$IH344,SwaptionMonthsToGo+SwaptionShift))*SUM(INDEX($FO$325:$IH$396,IH$169,1+SwaptionShift):INDEX($FO$325:$IH$396,IH$169,SwaptionMonthsToGo+SwaptionShift))))))</f>
        <v/>
      </c>
      <c r="II189" s="242"/>
    </row>
    <row r="190" spans="8:243">
      <c r="H190" s="49" t="e">
        <f t="shared" ca="1" si="529"/>
        <v>#N/A</v>
      </c>
      <c r="I190" s="369">
        <f t="shared" si="530"/>
        <v>42186</v>
      </c>
      <c r="J190" s="367">
        <v>23.634999999999902</v>
      </c>
      <c r="K190" s="101" t="s">
        <v>267</v>
      </c>
      <c r="L190" s="382">
        <f t="shared" si="531"/>
        <v>23.634999999999888</v>
      </c>
      <c r="M190" s="163">
        <v>0.1431</v>
      </c>
      <c r="N190" s="372">
        <v>0</v>
      </c>
      <c r="O190" s="163">
        <f t="shared" si="488"/>
        <v>0.1431</v>
      </c>
      <c r="P190" s="367">
        <v>22.393230399033598</v>
      </c>
      <c r="Q190" s="101" t="s">
        <v>267</v>
      </c>
      <c r="R190" s="367">
        <f t="shared" ca="1" si="549"/>
        <v>22.393230399033634</v>
      </c>
      <c r="S190" s="814">
        <f t="shared" si="474"/>
        <v>0.34914782591545329</v>
      </c>
      <c r="T190" s="813">
        <f t="shared" si="550"/>
        <v>0.99999999870084166</v>
      </c>
      <c r="U190" s="532">
        <f t="shared" si="551"/>
        <v>0.99999999999999978</v>
      </c>
      <c r="V190" s="379">
        <v>0</v>
      </c>
      <c r="W190" s="424">
        <f t="shared" si="576"/>
        <v>23.669782608695552</v>
      </c>
      <c r="X190" s="405">
        <f t="shared" si="577"/>
        <v>23.669782608695538</v>
      </c>
      <c r="Y190" s="313">
        <f t="shared" si="578"/>
        <v>22.351382608695552</v>
      </c>
      <c r="Z190" s="313">
        <f t="shared" ca="1" si="579"/>
        <v>22.351382608695538</v>
      </c>
      <c r="AA190" s="419">
        <f t="shared" si="493"/>
        <v>1.3184</v>
      </c>
      <c r="AB190" s="423">
        <f t="shared" ca="1" si="494"/>
        <v>1.3184</v>
      </c>
      <c r="AC190" s="221">
        <v>42175</v>
      </c>
      <c r="AD190" s="221">
        <v>42171</v>
      </c>
      <c r="AE190" s="221">
        <v>42170</v>
      </c>
      <c r="AF190" s="221">
        <v>42166</v>
      </c>
      <c r="AG190" s="241" t="s">
        <v>497</v>
      </c>
      <c r="AH190" s="239" t="s">
        <v>497</v>
      </c>
      <c r="AI190" s="141">
        <v>23</v>
      </c>
      <c r="AJ190" s="41">
        <v>14</v>
      </c>
      <c r="AK190" s="41">
        <v>9</v>
      </c>
      <c r="AL190" s="285">
        <v>23</v>
      </c>
      <c r="AM190" s="41">
        <v>10</v>
      </c>
      <c r="AN190" s="142">
        <v>13</v>
      </c>
      <c r="AO190" s="364">
        <v>6.1545538569061503E-2</v>
      </c>
      <c r="AP190" s="145">
        <f t="shared" ca="1" si="532"/>
        <v>0.42007726749556812</v>
      </c>
      <c r="AQ190" s="364">
        <v>5.5310792404727999E-2</v>
      </c>
      <c r="AR190" s="145">
        <f t="shared" ca="1" si="552"/>
        <v>0.4612016444041796</v>
      </c>
      <c r="AS190" s="264">
        <f t="shared" si="580"/>
        <v>0.14254347826086958</v>
      </c>
      <c r="AT190" s="149">
        <f t="shared" si="533"/>
        <v>0.1431</v>
      </c>
      <c r="AU190" s="149">
        <f t="shared" si="496"/>
        <v>0.14247391304347828</v>
      </c>
      <c r="AV190" s="263">
        <f t="shared" ca="1" si="560"/>
        <v>0.14095063315046605</v>
      </c>
      <c r="AW190" s="150" t="str">
        <f t="shared" ca="1" si="581"/>
        <v/>
      </c>
      <c r="AX190" s="149">
        <f t="shared" ca="1" si="553"/>
        <v>5.8994075566982879E-3</v>
      </c>
      <c r="AY190" s="149">
        <f t="shared" ca="1" si="554"/>
        <v>2.042207733986849E-3</v>
      </c>
      <c r="AZ190" s="149">
        <f t="shared" ca="1" si="555"/>
        <v>2.0480415425833151E-3</v>
      </c>
      <c r="BA190" s="149">
        <f t="shared" ca="1" si="556"/>
        <v>1.0000000000000848E-4</v>
      </c>
      <c r="BB190" s="149">
        <f t="shared" ca="1" si="557"/>
        <v>1.0000000000000848E-4</v>
      </c>
      <c r="BC190" s="149">
        <f t="shared" ca="1" si="558"/>
        <v>1.0000000000000848E-4</v>
      </c>
      <c r="BD190" s="143">
        <f t="shared" ca="1" si="582"/>
        <v>0</v>
      </c>
      <c r="BE190" s="144">
        <f t="shared" ca="1" si="583"/>
        <v>0</v>
      </c>
      <c r="BF190" s="40">
        <f t="shared" si="584"/>
        <v>2015</v>
      </c>
      <c r="BG190" s="139">
        <f t="shared" si="585"/>
        <v>7</v>
      </c>
      <c r="BH190" s="140">
        <f t="shared" ca="1" si="586"/>
        <v>5181</v>
      </c>
      <c r="BI190" s="304">
        <f t="shared" ca="1" si="570"/>
        <v>14.225872689938399</v>
      </c>
      <c r="BJ190" s="42">
        <f t="shared" ca="1" si="503"/>
        <v>14.275868226051244</v>
      </c>
      <c r="BK190" s="42">
        <f t="shared" ca="1" si="504"/>
        <v>14.278606076838377</v>
      </c>
      <c r="BL190" s="42">
        <f t="shared" ca="1" si="571"/>
        <v>14.308008213552361</v>
      </c>
      <c r="BM190" s="285">
        <f t="shared" si="572"/>
        <v>23</v>
      </c>
      <c r="BN190" s="41">
        <f t="shared" si="573"/>
        <v>14</v>
      </c>
      <c r="BO190" s="41">
        <f t="shared" si="574"/>
        <v>9</v>
      </c>
      <c r="BP190" s="297" t="str">
        <f t="shared" ca="1" si="505"/>
        <v/>
      </c>
      <c r="BQ190" s="297" t="str">
        <f t="shared" ca="1" si="506"/>
        <v/>
      </c>
      <c r="BR190" s="299" t="str">
        <f t="shared" ca="1" si="507"/>
        <v/>
      </c>
      <c r="BS190" s="153" t="str">
        <f t="shared" ca="1" si="508"/>
        <v/>
      </c>
      <c r="BT190" s="153" t="str">
        <f t="shared" ca="1" si="509"/>
        <v/>
      </c>
      <c r="BU190" s="300" t="str">
        <f t="shared" ca="1" si="510"/>
        <v/>
      </c>
      <c r="BV190" s="301" t="str">
        <f t="shared" ca="1" si="511"/>
        <v/>
      </c>
      <c r="BW190" s="300" t="str">
        <f t="shared" ca="1" si="512"/>
        <v/>
      </c>
      <c r="BX190" s="301" t="str">
        <f t="shared" ca="1" si="513"/>
        <v/>
      </c>
      <c r="BY190" s="146" t="str">
        <f t="shared" ca="1" si="514"/>
        <v/>
      </c>
      <c r="BZ190" s="146" t="str">
        <f t="shared" ca="1" si="515"/>
        <v/>
      </c>
      <c r="CA190" s="146" t="str">
        <f t="shared" ca="1" si="516"/>
        <v/>
      </c>
      <c r="CB190" s="146" t="str">
        <f t="shared" ca="1" si="517"/>
        <v/>
      </c>
      <c r="CC190" s="302">
        <v>1</v>
      </c>
      <c r="CD190" s="154">
        <f ca="1">IF(BD190,_xll.xCrudeAPO(BS190,BT190,BY190,BZ190,S191,S192,BI190,BL190,BN190,BO190,0,Strike1,AO190,CC190,0,BL190,IF(OptControl=4,0,1),0,1),0)</f>
        <v>0</v>
      </c>
      <c r="CE190" s="155">
        <f ca="1">IF(BD190,_xll.xCrudeAPO(BS190,BT190,BY190,BZ190,S191,S192,BI190,BL190,BN190,BO190,0,Strike1,AO190,CC190,0,BL190,IF(OptControl=4,0,1),1,1)+_xll.xCrudeAPO(BS190,BT190,BY190,BZ190,S191,S192,BI190,BL190,BN190,BO190,0,Strike1,AO190,CC190,0,BL190,IF(OptControl=4,0,1),1,2)+IF(OR(VolSkewFlag=2,ABS(BQ190)&lt;0.0001),0,IF(BQ190&gt;0,-1,1)*CF190*Strike1/BP190^2*BW190/10%),0)</f>
        <v>0</v>
      </c>
      <c r="CF190" s="155">
        <f ca="1">IF(BD190,(_xll.xCrudeAPO(BS190,BT190,BY190,BZ190,S191,S192,BI190,BL190,BN190,BO190,0,Strike1,AO190,CC190,0,BL190,IF(OptControl=4,0,1),3,1)+_xll.xCrudeAPO(BS190,BT190,BY190,BZ190,S191,S192,BI190,BL190,BN190,BO190,0,Strike1,AO190,CC190,0,BL190,IF(OptControl=4,0,1),3,2))/100,0)</f>
        <v>0</v>
      </c>
      <c r="CG190" s="155">
        <f ca="1">IF(BD190,_xll.xCrudeAPO(BS190,BT190,BY190,BZ190,S191,S192,BI190-DaysForThetaCalculation/365.25,BL190-DaysForThetaCalculation/365.25,BN190,BO190,0,Strike1,AO190,CC190,0,BL190,IF(OptControl=4,0,1),0,1)-_xll.xCrudeAPO(BS190,BT190,BY190,BZ190,S191,S192,BI190,BL190,BN190,BO190,0,Strike1,AO190,CC190,0,BL190,IF(OptControl=4,0,1),0,1),0)</f>
        <v>0</v>
      </c>
      <c r="CH190" s="303">
        <f ca="1">IF(BD190,_xll.xCrudeAPO(BS190,BT190,CA190,CB190,S191,S192,BI190,BL190,BN190,BO190,0,Strike2,AO190,CC190,0,BL190,IF(OptControl=3,1,0),0,1),0)</f>
        <v>0</v>
      </c>
      <c r="CI190" s="155">
        <f ca="1">IF(BD190,_xll.xCrudeAPO(BS190,BT190,CA190,CB190,S191,S192,BI190,BL190,BN190,BO190,0,Strike2,AO190,CC190,0,BL190,IF(OptControl=3,1,0),1,1)+_xll.xCrudeAPO(BS190,BT190,CA190,CB190,S191,S192,BI190,BL190,BN190,BO190,0,Strike2,AO190,CC190,0,BL190,IF(OptControl=3,1,0),1,2)+IF(OR(VolSkewFlag=2,ABS(BR190)&lt;0.0001),0,IF(BR190&gt;0,-1,1)*CJ190*Strike2/BP190^2*BX190/10%),0)</f>
        <v>0</v>
      </c>
      <c r="CJ190" s="155">
        <f ca="1">IF(BD190,(_xll.xCrudeAPO(BS190,BT190,CA190,CB190,S191,S192,BI190,BL190,BN190,BO190,0,Strike2,AO190,CC190,0,BL190,IF(OptControl=3,1,0),3,1)+_xll.xCrudeAPO(BS190,BT190,CA190,CB190,S191,S192,BI190,BL190,BN190,BO190,0,Strike2,AO190,CC190,0,BL190,IF(OptControl=3,1,0),3,2))/100,0)</f>
        <v>0</v>
      </c>
      <c r="CK190" s="156">
        <f ca="1">IF(BD190,_xll.xCrudeAPO(BS190,BT190,CA190,CB190,S191,S192,BI190-DaysForThetaCalculation/365.25,BL190-DaysForThetaCalculation/365.25,BN190,BO190,0,Strike2,AO190,CC190,0,BL190,IF(OptControl=3,1,0),0,1)-_xll.xCrudeAPO(BS190,BT190,CA190,CB190,S191,S192,BI190,BL190,BN190,BO190,0,Strike2,AO190,CC190,0,BL190,IF(OptControl=3,1,0),0,1),0)</f>
        <v>0</v>
      </c>
      <c r="CL190" s="51"/>
      <c r="CM190" s="779" t="str">
        <f t="shared" ca="1" si="534"/>
        <v/>
      </c>
      <c r="CN190" s="783" t="str">
        <f t="shared" ca="1" si="535"/>
        <v/>
      </c>
      <c r="CO190" s="780" t="str">
        <f t="shared" ca="1" si="536"/>
        <v/>
      </c>
      <c r="CP190" s="780" t="str">
        <f t="shared" ca="1" si="537"/>
        <v/>
      </c>
      <c r="CQ190" s="780" t="str">
        <f t="shared" ca="1" si="538"/>
        <v/>
      </c>
      <c r="CR190" s="780" t="str">
        <f t="shared" ca="1" si="539"/>
        <v/>
      </c>
      <c r="CS190" s="781" t="str">
        <f t="shared" ca="1" si="540"/>
        <v/>
      </c>
      <c r="CT190" s="782" t="str">
        <f t="shared" ca="1" si="541"/>
        <v/>
      </c>
      <c r="CU190" s="782" t="str">
        <f t="shared" ca="1" si="542"/>
        <v/>
      </c>
      <c r="CV190" s="155">
        <f ca="1">IF(BD190,_xll.EURO(CN190,Strike1,AO190,AO190,CT190,CM190,IF(OptControl=4,0,1),0),0)</f>
        <v>0</v>
      </c>
      <c r="CW190" s="155">
        <f ca="1">IF(BD190,_xll.EURO(CN190,Strike1,AO190,AO190,CT190,CM190,IF(OptControl=4,0,1),1)+IF(OR(VolSkewFlag=2,ABS(CO190)&lt;0.0001),0,IF(CO190&gt;0,-1,1)*CX190*100*Strike1/CN190^2*CQ190/10%),0)</f>
        <v>0</v>
      </c>
      <c r="CX190" s="155">
        <f ca="1">IF(BD190,_xll.EURO(CN190,Strike1,AO190,AO190,CT190,CM190,IF(OptControl=4,0,1),3)/100,0)</f>
        <v>0</v>
      </c>
      <c r="CY190" s="155">
        <f ca="1">IF(BD190,_xll.EURO(CN190,Strike1,AO190,AO190,CT190,CM190,IF(OptControl=4,0,1),0)-_xll.EURO(CN190,Strike1,AO190,AO190,CT190,CM190-1,IF(OptControl=4,0,1),0),0)</f>
        <v>0</v>
      </c>
      <c r="CZ190" s="155">
        <f ca="1">IF(BD190,_xll.EURO(CN190,Strike2,AO190,AO190,CU190,CM190,IF(OptControl=3,1,0),0),0)</f>
        <v>0</v>
      </c>
      <c r="DA190" s="155">
        <f ca="1">IF(BD190,_xll.EURO(CN190,Strike2,AO190,AO190,CU190,CM190,IF(OptControl=3,1,0),1)+IF(OR(VolSkewFlag=2,ABS(CP190)&lt;0.0001),0,IF(CP190&gt;0,-1,1)*DB190*100*Strike2/CN190^2*CR190/10%),0)</f>
        <v>0</v>
      </c>
      <c r="DB190" s="155">
        <f ca="1">IF(BD190,_xll.EURO(CN190,Strike2,AO190,AO190,CU190,CM190,IF(OptControl=3,1,0),3)/100,0)</f>
        <v>0</v>
      </c>
      <c r="DC190" s="156">
        <f ca="1">IF(BD190,_xll.EURO(CN190,Strike2,AO190,AO190,CU190,CM190,IF(OptControl=3,1,0),0)-_xll.EURO(CN190,Strike2,AO190,AO190,CU190,CM190-1,IF(OptControl=3,1,0),0),0)</f>
        <v>0</v>
      </c>
      <c r="DE190" s="651">
        <f t="shared" ca="1" si="543"/>
        <v>42095</v>
      </c>
      <c r="DF190" s="465">
        <v>1E-4</v>
      </c>
      <c r="DG190" s="649">
        <v>1E-4</v>
      </c>
      <c r="DH190" s="650">
        <f t="shared" ca="1" si="587"/>
        <v>42095</v>
      </c>
      <c r="DI190" s="465">
        <v>1E-4</v>
      </c>
      <c r="DJ190" s="649">
        <v>1E-4</v>
      </c>
      <c r="DK190" s="651">
        <f t="shared" ca="1" si="588"/>
        <v>42095</v>
      </c>
      <c r="DL190" s="652">
        <f t="shared" si="589"/>
        <v>5.0100000000000006E-2</v>
      </c>
      <c r="DM190" s="651">
        <f t="shared" ca="1" si="544"/>
        <v>42095</v>
      </c>
      <c r="DN190" s="563">
        <f t="shared" si="545"/>
        <v>-0.12990000000000002</v>
      </c>
      <c r="DO190" s="803">
        <v>-0.13</v>
      </c>
      <c r="DP190" s="650">
        <f t="shared" ca="1" si="590"/>
        <v>42095</v>
      </c>
      <c r="DQ190" s="653">
        <v>1E-4</v>
      </c>
      <c r="DR190" s="590">
        <v>1E-4</v>
      </c>
      <c r="DS190" s="650">
        <f t="shared" ca="1" si="591"/>
        <v>42095</v>
      </c>
      <c r="DT190" s="653">
        <v>1E-4</v>
      </c>
      <c r="DU190" s="590">
        <v>1E-4</v>
      </c>
      <c r="DV190" s="651">
        <f t="shared" ca="1" si="592"/>
        <v>42095</v>
      </c>
      <c r="DW190" s="590">
        <v>1E-4</v>
      </c>
      <c r="DX190" s="651">
        <f t="shared" ca="1" si="546"/>
        <v>42095</v>
      </c>
      <c r="DY190" s="590">
        <f t="shared" si="547"/>
        <v>1E-4</v>
      </c>
      <c r="DZ190" s="1"/>
      <c r="EA190" s="857"/>
      <c r="EB190" s="857"/>
      <c r="EC190" s="857"/>
      <c r="ED190" s="868" t="e">
        <f t="shared" ca="1" si="566"/>
        <v>#NAME?</v>
      </c>
      <c r="EE190" s="863" t="e">
        <f t="shared" ca="1" si="524"/>
        <v>#NAME?</v>
      </c>
      <c r="EF190" s="590" t="e">
        <f t="shared" ca="1" si="525"/>
        <v>#NAME?</v>
      </c>
      <c r="EG190" s="862" t="str">
        <f t="shared" ca="1" si="593"/>
        <v/>
      </c>
      <c r="EH190" s="114" t="str">
        <f t="shared" ca="1" si="527"/>
        <v/>
      </c>
      <c r="EI190" s="109" t="str">
        <f t="shared" ca="1" si="528"/>
        <v/>
      </c>
      <c r="EJ190" s="115">
        <f ca="1">IF(BD190,_xll.xASN(BP190,Strike1,AO190,EH190,0,BM190,0,BI190,BL190,IF(OptControl=4,0,1),0),0)</f>
        <v>0</v>
      </c>
      <c r="EK190" s="108">
        <f ca="1">IF(BD190,_xll.xASN(BP190,Strike2,AO190,EI190,0,BM190,0,BI190,BL190,IF(OptControl=3,1,0),0),0)</f>
        <v>0</v>
      </c>
      <c r="EP190" s="53"/>
      <c r="EQ190" s="1"/>
      <c r="ER190" s="103"/>
      <c r="ES190" s="103"/>
      <c r="ET190" s="1"/>
      <c r="EU190" s="667" t="s">
        <v>402</v>
      </c>
      <c r="EW190" s="445"/>
      <c r="EX190" s="36"/>
      <c r="EY190" s="104"/>
      <c r="EZ190" s="465"/>
      <c r="FA190" s="446"/>
      <c r="FB190" s="446"/>
      <c r="FC190" s="242"/>
      <c r="FD190" s="242"/>
      <c r="FE190" s="242"/>
      <c r="FF190" s="242"/>
      <c r="FG190" s="242"/>
      <c r="FH190" s="242"/>
      <c r="FI190" s="242"/>
      <c r="FJ190" s="242"/>
      <c r="FK190" s="242"/>
      <c r="FL190" s="242"/>
      <c r="FM190" s="242"/>
      <c r="FN190" s="657">
        <v>21</v>
      </c>
      <c r="FO190" s="469" t="str">
        <f ca="1">IF(OR(FO$169&lt;SwaptionFirstMonthPosition+1,$FN190&lt;SwaptionFirstMonthPosition+1,FO$169&gt;SwaptionFirstMonthPosition+SwaptionNumOfMonths+1,$FN190&gt;SwaptionFirstMonthPosition+SwaptionNumOfMonths+1),"",IF($FN190=FO$169,1,IF($FN190&lt;FO$169,INDEX($FO$170:$IH$241,FO$169,$FN190),SUMPRODUCT(INDEX($FO$325:$IH$396,FO$169,1+SwaptionShift):INDEX($FO$325:$IH$396,FO$169,SwaptionMonthsToGo+SwaptionShift),INDEX($FO$245:$IH$316,$FN190-FO$169,73-FO$169+SwaptionShift):INDEX($FO$245:$IH$316,$FN190-FO$169,72-FO$169+SwaptionMonthsToGo+SwaptionShift))/SQRT(SUM(INDEX($FO345:$IH345,1+SwaptionShift):INDEX($FO345:$IH345,SwaptionMonthsToGo+SwaptionShift))*SUM(INDEX($FO$325:$IH$396,FO$169,1+SwaptionShift):INDEX($FO$325:$IH$396,FO$169,SwaptionMonthsToGo+SwaptionShift))))))</f>
        <v/>
      </c>
      <c r="FP190" s="469" t="str">
        <f ca="1">IF(OR(FP$169&lt;SwaptionFirstMonthPosition+1,$FN190&lt;SwaptionFirstMonthPosition+1,FP$169&gt;SwaptionFirstMonthPosition+SwaptionNumOfMonths+1,$FN190&gt;SwaptionFirstMonthPosition+SwaptionNumOfMonths+1),"",IF($FN190=FP$169,1,IF($FN190&lt;FP$169,INDEX($FO$170:$IH$241,FP$169,$FN190),SUMPRODUCT(INDEX($FO$325:$IH$396,FP$169,1+SwaptionShift):INDEX($FO$325:$IH$396,FP$169,SwaptionMonthsToGo+SwaptionShift),INDEX($FO$245:$IH$316,$FN190-FP$169,73-FP$169+SwaptionShift):INDEX($FO$245:$IH$316,$FN190-FP$169,72-FP$169+SwaptionMonthsToGo+SwaptionShift))/SQRT(SUM(INDEX($FO345:$IH345,1+SwaptionShift):INDEX($FO345:$IH345,SwaptionMonthsToGo+SwaptionShift))*SUM(INDEX($FO$325:$IH$396,FP$169,1+SwaptionShift):INDEX($FO$325:$IH$396,FP$169,SwaptionMonthsToGo+SwaptionShift))))))</f>
        <v/>
      </c>
      <c r="FQ190" s="469" t="str">
        <f ca="1">IF(OR(FQ$169&lt;SwaptionFirstMonthPosition+1,$FN190&lt;SwaptionFirstMonthPosition+1,FQ$169&gt;SwaptionFirstMonthPosition+SwaptionNumOfMonths+1,$FN190&gt;SwaptionFirstMonthPosition+SwaptionNumOfMonths+1),"",IF($FN190=FQ$169,1,IF($FN190&lt;FQ$169,INDEX($FO$170:$IH$241,FQ$169,$FN190),SUMPRODUCT(INDEX($FO$325:$IH$396,FQ$169,1+SwaptionShift):INDEX($FO$325:$IH$396,FQ$169,SwaptionMonthsToGo+SwaptionShift),INDEX($FO$245:$IH$316,$FN190-FQ$169,73-FQ$169+SwaptionShift):INDEX($FO$245:$IH$316,$FN190-FQ$169,72-FQ$169+SwaptionMonthsToGo+SwaptionShift))/SQRT(SUM(INDEX($FO345:$IH345,1+SwaptionShift):INDEX($FO345:$IH345,SwaptionMonthsToGo+SwaptionShift))*SUM(INDEX($FO$325:$IH$396,FQ$169,1+SwaptionShift):INDEX($FO$325:$IH$396,FQ$169,SwaptionMonthsToGo+SwaptionShift))))))</f>
        <v/>
      </c>
      <c r="FR190" s="469" t="str">
        <f ca="1">IF(OR(FR$169&lt;SwaptionFirstMonthPosition+1,$FN190&lt;SwaptionFirstMonthPosition+1,FR$169&gt;SwaptionFirstMonthPosition+SwaptionNumOfMonths+1,$FN190&gt;SwaptionFirstMonthPosition+SwaptionNumOfMonths+1),"",IF($FN190=FR$169,1,IF($FN190&lt;FR$169,INDEX($FO$170:$IH$241,FR$169,$FN190),SUMPRODUCT(INDEX($FO$325:$IH$396,FR$169,1+SwaptionShift):INDEX($FO$325:$IH$396,FR$169,SwaptionMonthsToGo+SwaptionShift),INDEX($FO$245:$IH$316,$FN190-FR$169,73-FR$169+SwaptionShift):INDEX($FO$245:$IH$316,$FN190-FR$169,72-FR$169+SwaptionMonthsToGo+SwaptionShift))/SQRT(SUM(INDEX($FO345:$IH345,1+SwaptionShift):INDEX($FO345:$IH345,SwaptionMonthsToGo+SwaptionShift))*SUM(INDEX($FO$325:$IH$396,FR$169,1+SwaptionShift):INDEX($FO$325:$IH$396,FR$169,SwaptionMonthsToGo+SwaptionShift))))))</f>
        <v/>
      </c>
      <c r="FS190" s="469" t="str">
        <f ca="1">IF(OR(FS$169&lt;SwaptionFirstMonthPosition+1,$FN190&lt;SwaptionFirstMonthPosition+1,FS$169&gt;SwaptionFirstMonthPosition+SwaptionNumOfMonths+1,$FN190&gt;SwaptionFirstMonthPosition+SwaptionNumOfMonths+1),"",IF($FN190=FS$169,1,IF($FN190&lt;FS$169,INDEX($FO$170:$IH$241,FS$169,$FN190),SUMPRODUCT(INDEX($FO$325:$IH$396,FS$169,1+SwaptionShift):INDEX($FO$325:$IH$396,FS$169,SwaptionMonthsToGo+SwaptionShift),INDEX($FO$245:$IH$316,$FN190-FS$169,73-FS$169+SwaptionShift):INDEX($FO$245:$IH$316,$FN190-FS$169,72-FS$169+SwaptionMonthsToGo+SwaptionShift))/SQRT(SUM(INDEX($FO345:$IH345,1+SwaptionShift):INDEX($FO345:$IH345,SwaptionMonthsToGo+SwaptionShift))*SUM(INDEX($FO$325:$IH$396,FS$169,1+SwaptionShift):INDEX($FO$325:$IH$396,FS$169,SwaptionMonthsToGo+SwaptionShift))))))</f>
        <v/>
      </c>
      <c r="FT190" s="469" t="str">
        <f ca="1">IF(OR(FT$169&lt;SwaptionFirstMonthPosition+1,$FN190&lt;SwaptionFirstMonthPosition+1,FT$169&gt;SwaptionFirstMonthPosition+SwaptionNumOfMonths+1,$FN190&gt;SwaptionFirstMonthPosition+SwaptionNumOfMonths+1),"",IF($FN190=FT$169,1,IF($FN190&lt;FT$169,INDEX($FO$170:$IH$241,FT$169,$FN190),SUMPRODUCT(INDEX($FO$325:$IH$396,FT$169,1+SwaptionShift):INDEX($FO$325:$IH$396,FT$169,SwaptionMonthsToGo+SwaptionShift),INDEX($FO$245:$IH$316,$FN190-FT$169,73-FT$169+SwaptionShift):INDEX($FO$245:$IH$316,$FN190-FT$169,72-FT$169+SwaptionMonthsToGo+SwaptionShift))/SQRT(SUM(INDEX($FO345:$IH345,1+SwaptionShift):INDEX($FO345:$IH345,SwaptionMonthsToGo+SwaptionShift))*SUM(INDEX($FO$325:$IH$396,FT$169,1+SwaptionShift):INDEX($FO$325:$IH$396,FT$169,SwaptionMonthsToGo+SwaptionShift))))))</f>
        <v/>
      </c>
      <c r="FU190" s="469" t="str">
        <f ca="1">IF(OR(FU$169&lt;SwaptionFirstMonthPosition+1,$FN190&lt;SwaptionFirstMonthPosition+1,FU$169&gt;SwaptionFirstMonthPosition+SwaptionNumOfMonths+1,$FN190&gt;SwaptionFirstMonthPosition+SwaptionNumOfMonths+1),"",IF($FN190=FU$169,1,IF($FN190&lt;FU$169,INDEX($FO$170:$IH$241,FU$169,$FN190),SUMPRODUCT(INDEX($FO$325:$IH$396,FU$169,1+SwaptionShift):INDEX($FO$325:$IH$396,FU$169,SwaptionMonthsToGo+SwaptionShift),INDEX($FO$245:$IH$316,$FN190-FU$169,73-FU$169+SwaptionShift):INDEX($FO$245:$IH$316,$FN190-FU$169,72-FU$169+SwaptionMonthsToGo+SwaptionShift))/SQRT(SUM(INDEX($FO345:$IH345,1+SwaptionShift):INDEX($FO345:$IH345,SwaptionMonthsToGo+SwaptionShift))*SUM(INDEX($FO$325:$IH$396,FU$169,1+SwaptionShift):INDEX($FO$325:$IH$396,FU$169,SwaptionMonthsToGo+SwaptionShift))))))</f>
        <v/>
      </c>
      <c r="FV190" s="469" t="str">
        <f ca="1">IF(OR(FV$169&lt;SwaptionFirstMonthPosition+1,$FN190&lt;SwaptionFirstMonthPosition+1,FV$169&gt;SwaptionFirstMonthPosition+SwaptionNumOfMonths+1,$FN190&gt;SwaptionFirstMonthPosition+SwaptionNumOfMonths+1),"",IF($FN190=FV$169,1,IF($FN190&lt;FV$169,INDEX($FO$170:$IH$241,FV$169,$FN190),SUMPRODUCT(INDEX($FO$325:$IH$396,FV$169,1+SwaptionShift):INDEX($FO$325:$IH$396,FV$169,SwaptionMonthsToGo+SwaptionShift),INDEX($FO$245:$IH$316,$FN190-FV$169,73-FV$169+SwaptionShift):INDEX($FO$245:$IH$316,$FN190-FV$169,72-FV$169+SwaptionMonthsToGo+SwaptionShift))/SQRT(SUM(INDEX($FO345:$IH345,1+SwaptionShift):INDEX($FO345:$IH345,SwaptionMonthsToGo+SwaptionShift))*SUM(INDEX($FO$325:$IH$396,FV$169,1+SwaptionShift):INDEX($FO$325:$IH$396,FV$169,SwaptionMonthsToGo+SwaptionShift))))))</f>
        <v/>
      </c>
      <c r="FW190" s="469" t="str">
        <f ca="1">IF(OR(FW$169&lt;SwaptionFirstMonthPosition+1,$FN190&lt;SwaptionFirstMonthPosition+1,FW$169&gt;SwaptionFirstMonthPosition+SwaptionNumOfMonths+1,$FN190&gt;SwaptionFirstMonthPosition+SwaptionNumOfMonths+1),"",IF($FN190=FW$169,1,IF($FN190&lt;FW$169,INDEX($FO$170:$IH$241,FW$169,$FN190),SUMPRODUCT(INDEX($FO$325:$IH$396,FW$169,1+SwaptionShift):INDEX($FO$325:$IH$396,FW$169,SwaptionMonthsToGo+SwaptionShift),INDEX($FO$245:$IH$316,$FN190-FW$169,73-FW$169+SwaptionShift):INDEX($FO$245:$IH$316,$FN190-FW$169,72-FW$169+SwaptionMonthsToGo+SwaptionShift))/SQRT(SUM(INDEX($FO345:$IH345,1+SwaptionShift):INDEX($FO345:$IH345,SwaptionMonthsToGo+SwaptionShift))*SUM(INDEX($FO$325:$IH$396,FW$169,1+SwaptionShift):INDEX($FO$325:$IH$396,FW$169,SwaptionMonthsToGo+SwaptionShift))))))</f>
        <v/>
      </c>
      <c r="FX190" s="469" t="str">
        <f ca="1">IF(OR(FX$169&lt;SwaptionFirstMonthPosition+1,$FN190&lt;SwaptionFirstMonthPosition+1,FX$169&gt;SwaptionFirstMonthPosition+SwaptionNumOfMonths+1,$FN190&gt;SwaptionFirstMonthPosition+SwaptionNumOfMonths+1),"",IF($FN190=FX$169,1,IF($FN190&lt;FX$169,INDEX($FO$170:$IH$241,FX$169,$FN190),SUMPRODUCT(INDEX($FO$325:$IH$396,FX$169,1+SwaptionShift):INDEX($FO$325:$IH$396,FX$169,SwaptionMonthsToGo+SwaptionShift),INDEX($FO$245:$IH$316,$FN190-FX$169,73-FX$169+SwaptionShift):INDEX($FO$245:$IH$316,$FN190-FX$169,72-FX$169+SwaptionMonthsToGo+SwaptionShift))/SQRT(SUM(INDEX($FO345:$IH345,1+SwaptionShift):INDEX($FO345:$IH345,SwaptionMonthsToGo+SwaptionShift))*SUM(INDEX($FO$325:$IH$396,FX$169,1+SwaptionShift):INDEX($FO$325:$IH$396,FX$169,SwaptionMonthsToGo+SwaptionShift))))))</f>
        <v/>
      </c>
      <c r="FY190" s="469" t="str">
        <f ca="1">IF(OR(FY$169&lt;SwaptionFirstMonthPosition+1,$FN190&lt;SwaptionFirstMonthPosition+1,FY$169&gt;SwaptionFirstMonthPosition+SwaptionNumOfMonths+1,$FN190&gt;SwaptionFirstMonthPosition+SwaptionNumOfMonths+1),"",IF($FN190=FY$169,1,IF($FN190&lt;FY$169,INDEX($FO$170:$IH$241,FY$169,$FN190),SUMPRODUCT(INDEX($FO$325:$IH$396,FY$169,1+SwaptionShift):INDEX($FO$325:$IH$396,FY$169,SwaptionMonthsToGo+SwaptionShift),INDEX($FO$245:$IH$316,$FN190-FY$169,73-FY$169+SwaptionShift):INDEX($FO$245:$IH$316,$FN190-FY$169,72-FY$169+SwaptionMonthsToGo+SwaptionShift))/SQRT(SUM(INDEX($FO345:$IH345,1+SwaptionShift):INDEX($FO345:$IH345,SwaptionMonthsToGo+SwaptionShift))*SUM(INDEX($FO$325:$IH$396,FY$169,1+SwaptionShift):INDEX($FO$325:$IH$396,FY$169,SwaptionMonthsToGo+SwaptionShift))))))</f>
        <v/>
      </c>
      <c r="FZ190" s="469" t="str">
        <f ca="1">IF(OR(FZ$169&lt;SwaptionFirstMonthPosition+1,$FN190&lt;SwaptionFirstMonthPosition+1,FZ$169&gt;SwaptionFirstMonthPosition+SwaptionNumOfMonths+1,$FN190&gt;SwaptionFirstMonthPosition+SwaptionNumOfMonths+1),"",IF($FN190=FZ$169,1,IF($FN190&lt;FZ$169,INDEX($FO$170:$IH$241,FZ$169,$FN190),SUMPRODUCT(INDEX($FO$325:$IH$396,FZ$169,1+SwaptionShift):INDEX($FO$325:$IH$396,FZ$169,SwaptionMonthsToGo+SwaptionShift),INDEX($FO$245:$IH$316,$FN190-FZ$169,73-FZ$169+SwaptionShift):INDEX($FO$245:$IH$316,$FN190-FZ$169,72-FZ$169+SwaptionMonthsToGo+SwaptionShift))/SQRT(SUM(INDEX($FO345:$IH345,1+SwaptionShift):INDEX($FO345:$IH345,SwaptionMonthsToGo+SwaptionShift))*SUM(INDEX($FO$325:$IH$396,FZ$169,1+SwaptionShift):INDEX($FO$325:$IH$396,FZ$169,SwaptionMonthsToGo+SwaptionShift))))))</f>
        <v/>
      </c>
      <c r="GA190" s="469" t="str">
        <f ca="1">IF(OR(GA$169&lt;SwaptionFirstMonthPosition+1,$FN190&lt;SwaptionFirstMonthPosition+1,GA$169&gt;SwaptionFirstMonthPosition+SwaptionNumOfMonths+1,$FN190&gt;SwaptionFirstMonthPosition+SwaptionNumOfMonths+1),"",IF($FN190=GA$169,1,IF($FN190&lt;GA$169,INDEX($FO$170:$IH$241,GA$169,$FN190),SUMPRODUCT(INDEX($FO$325:$IH$396,GA$169,1+SwaptionShift):INDEX($FO$325:$IH$396,GA$169,SwaptionMonthsToGo+SwaptionShift),INDEX($FO$245:$IH$316,$FN190-GA$169,73-GA$169+SwaptionShift):INDEX($FO$245:$IH$316,$FN190-GA$169,72-GA$169+SwaptionMonthsToGo+SwaptionShift))/SQRT(SUM(INDEX($FO345:$IH345,1+SwaptionShift):INDEX($FO345:$IH345,SwaptionMonthsToGo+SwaptionShift))*SUM(INDEX($FO$325:$IH$396,GA$169,1+SwaptionShift):INDEX($FO$325:$IH$396,GA$169,SwaptionMonthsToGo+SwaptionShift))))))</f>
        <v/>
      </c>
      <c r="GB190" s="469" t="str">
        <f ca="1">IF(OR(GB$169&lt;SwaptionFirstMonthPosition+1,$FN190&lt;SwaptionFirstMonthPosition+1,GB$169&gt;SwaptionFirstMonthPosition+SwaptionNumOfMonths+1,$FN190&gt;SwaptionFirstMonthPosition+SwaptionNumOfMonths+1),"",IF($FN190=GB$169,1,IF($FN190&lt;GB$169,INDEX($FO$170:$IH$241,GB$169,$FN190),SUMPRODUCT(INDEX($FO$325:$IH$396,GB$169,1+SwaptionShift):INDEX($FO$325:$IH$396,GB$169,SwaptionMonthsToGo+SwaptionShift),INDEX($FO$245:$IH$316,$FN190-GB$169,73-GB$169+SwaptionShift):INDEX($FO$245:$IH$316,$FN190-GB$169,72-GB$169+SwaptionMonthsToGo+SwaptionShift))/SQRT(SUM(INDEX($FO345:$IH345,1+SwaptionShift):INDEX($FO345:$IH345,SwaptionMonthsToGo+SwaptionShift))*SUM(INDEX($FO$325:$IH$396,GB$169,1+SwaptionShift):INDEX($FO$325:$IH$396,GB$169,SwaptionMonthsToGo+SwaptionShift))))))</f>
        <v/>
      </c>
      <c r="GC190" s="469" t="str">
        <f ca="1">IF(OR(GC$169&lt;SwaptionFirstMonthPosition+1,$FN190&lt;SwaptionFirstMonthPosition+1,GC$169&gt;SwaptionFirstMonthPosition+SwaptionNumOfMonths+1,$FN190&gt;SwaptionFirstMonthPosition+SwaptionNumOfMonths+1),"",IF($FN190=GC$169,1,IF($FN190&lt;GC$169,INDEX($FO$170:$IH$241,GC$169,$FN190),SUMPRODUCT(INDEX($FO$325:$IH$396,GC$169,1+SwaptionShift):INDEX($FO$325:$IH$396,GC$169,SwaptionMonthsToGo+SwaptionShift),INDEX($FO$245:$IH$316,$FN190-GC$169,73-GC$169+SwaptionShift):INDEX($FO$245:$IH$316,$FN190-GC$169,72-GC$169+SwaptionMonthsToGo+SwaptionShift))/SQRT(SUM(INDEX($FO345:$IH345,1+SwaptionShift):INDEX($FO345:$IH345,SwaptionMonthsToGo+SwaptionShift))*SUM(INDEX($FO$325:$IH$396,GC$169,1+SwaptionShift):INDEX($FO$325:$IH$396,GC$169,SwaptionMonthsToGo+SwaptionShift))))))</f>
        <v/>
      </c>
      <c r="GD190" s="469" t="str">
        <f ca="1">IF(OR(GD$169&lt;SwaptionFirstMonthPosition+1,$FN190&lt;SwaptionFirstMonthPosition+1,GD$169&gt;SwaptionFirstMonthPosition+SwaptionNumOfMonths+1,$FN190&gt;SwaptionFirstMonthPosition+SwaptionNumOfMonths+1),"",IF($FN190=GD$169,1,IF($FN190&lt;GD$169,INDEX($FO$170:$IH$241,GD$169,$FN190),SUMPRODUCT(INDEX($FO$325:$IH$396,GD$169,1+SwaptionShift):INDEX($FO$325:$IH$396,GD$169,SwaptionMonthsToGo+SwaptionShift),INDEX($FO$245:$IH$316,$FN190-GD$169,73-GD$169+SwaptionShift):INDEX($FO$245:$IH$316,$FN190-GD$169,72-GD$169+SwaptionMonthsToGo+SwaptionShift))/SQRT(SUM(INDEX($FO345:$IH345,1+SwaptionShift):INDEX($FO345:$IH345,SwaptionMonthsToGo+SwaptionShift))*SUM(INDEX($FO$325:$IH$396,GD$169,1+SwaptionShift):INDEX($FO$325:$IH$396,GD$169,SwaptionMonthsToGo+SwaptionShift))))))</f>
        <v/>
      </c>
      <c r="GE190" s="469" t="str">
        <f ca="1">IF(OR(GE$169&lt;SwaptionFirstMonthPosition+1,$FN190&lt;SwaptionFirstMonthPosition+1,GE$169&gt;SwaptionFirstMonthPosition+SwaptionNumOfMonths+1,$FN190&gt;SwaptionFirstMonthPosition+SwaptionNumOfMonths+1),"",IF($FN190=GE$169,1,IF($FN190&lt;GE$169,INDEX($FO$170:$IH$241,GE$169,$FN190),SUMPRODUCT(INDEX($FO$325:$IH$396,GE$169,1+SwaptionShift):INDEX($FO$325:$IH$396,GE$169,SwaptionMonthsToGo+SwaptionShift),INDEX($FO$245:$IH$316,$FN190-GE$169,73-GE$169+SwaptionShift):INDEX($FO$245:$IH$316,$FN190-GE$169,72-GE$169+SwaptionMonthsToGo+SwaptionShift))/SQRT(SUM(INDEX($FO345:$IH345,1+SwaptionShift):INDEX($FO345:$IH345,SwaptionMonthsToGo+SwaptionShift))*SUM(INDEX($FO$325:$IH$396,GE$169,1+SwaptionShift):INDEX($FO$325:$IH$396,GE$169,SwaptionMonthsToGo+SwaptionShift))))))</f>
        <v/>
      </c>
      <c r="GF190" s="469" t="str">
        <f ca="1">IF(OR(GF$169&lt;SwaptionFirstMonthPosition+1,$FN190&lt;SwaptionFirstMonthPosition+1,GF$169&gt;SwaptionFirstMonthPosition+SwaptionNumOfMonths+1,$FN190&gt;SwaptionFirstMonthPosition+SwaptionNumOfMonths+1),"",IF($FN190=GF$169,1,IF($FN190&lt;GF$169,INDEX($FO$170:$IH$241,GF$169,$FN190),SUMPRODUCT(INDEX($FO$325:$IH$396,GF$169,1+SwaptionShift):INDEX($FO$325:$IH$396,GF$169,SwaptionMonthsToGo+SwaptionShift),INDEX($FO$245:$IH$316,$FN190-GF$169,73-GF$169+SwaptionShift):INDEX($FO$245:$IH$316,$FN190-GF$169,72-GF$169+SwaptionMonthsToGo+SwaptionShift))/SQRT(SUM(INDEX($FO345:$IH345,1+SwaptionShift):INDEX($FO345:$IH345,SwaptionMonthsToGo+SwaptionShift))*SUM(INDEX($FO$325:$IH$396,GF$169,1+SwaptionShift):INDEX($FO$325:$IH$396,GF$169,SwaptionMonthsToGo+SwaptionShift))))))</f>
        <v/>
      </c>
      <c r="GG190" s="469" t="str">
        <f ca="1">IF(OR(GG$169&lt;SwaptionFirstMonthPosition+1,$FN190&lt;SwaptionFirstMonthPosition+1,GG$169&gt;SwaptionFirstMonthPosition+SwaptionNumOfMonths+1,$FN190&gt;SwaptionFirstMonthPosition+SwaptionNumOfMonths+1),"",IF($FN190=GG$169,1,IF($FN190&lt;GG$169,INDEX($FO$170:$IH$241,GG$169,$FN190),SUMPRODUCT(INDEX($FO$325:$IH$396,GG$169,1+SwaptionShift):INDEX($FO$325:$IH$396,GG$169,SwaptionMonthsToGo+SwaptionShift),INDEX($FO$245:$IH$316,$FN190-GG$169,73-GG$169+SwaptionShift):INDEX($FO$245:$IH$316,$FN190-GG$169,72-GG$169+SwaptionMonthsToGo+SwaptionShift))/SQRT(SUM(INDEX($FO345:$IH345,1+SwaptionShift):INDEX($FO345:$IH345,SwaptionMonthsToGo+SwaptionShift))*SUM(INDEX($FO$325:$IH$396,GG$169,1+SwaptionShift):INDEX($FO$325:$IH$396,GG$169,SwaptionMonthsToGo+SwaptionShift))))))</f>
        <v/>
      </c>
      <c r="GH190" s="469" t="str">
        <f ca="1">IF(OR(GH$169&lt;SwaptionFirstMonthPosition+1,$FN190&lt;SwaptionFirstMonthPosition+1,GH$169&gt;SwaptionFirstMonthPosition+SwaptionNumOfMonths+1,$FN190&gt;SwaptionFirstMonthPosition+SwaptionNumOfMonths+1),"",IF($FN190=GH$169,1,IF($FN190&lt;GH$169,INDEX($FO$170:$IH$241,GH$169,$FN190),SUMPRODUCT(INDEX($FO$325:$IH$396,GH$169,1+SwaptionShift):INDEX($FO$325:$IH$396,GH$169,SwaptionMonthsToGo+SwaptionShift),INDEX($FO$245:$IH$316,$FN190-GH$169,73-GH$169+SwaptionShift):INDEX($FO$245:$IH$316,$FN190-GH$169,72-GH$169+SwaptionMonthsToGo+SwaptionShift))/SQRT(SUM(INDEX($FO345:$IH345,1+SwaptionShift):INDEX($FO345:$IH345,SwaptionMonthsToGo+SwaptionShift))*SUM(INDEX($FO$325:$IH$396,GH$169,1+SwaptionShift):INDEX($FO$325:$IH$396,GH$169,SwaptionMonthsToGo+SwaptionShift))))))</f>
        <v/>
      </c>
      <c r="GI190" s="469" t="str">
        <f ca="1">IF(OR(GI$169&lt;SwaptionFirstMonthPosition+1,$FN190&lt;SwaptionFirstMonthPosition+1,GI$169&gt;SwaptionFirstMonthPosition+SwaptionNumOfMonths+1,$FN190&gt;SwaptionFirstMonthPosition+SwaptionNumOfMonths+1),"",IF($FN190=GI$169,1,IF($FN190&lt;GI$169,INDEX($FO$170:$IH$241,GI$169,$FN190),SUMPRODUCT(INDEX($FO$325:$IH$396,GI$169,1+SwaptionShift):INDEX($FO$325:$IH$396,GI$169,SwaptionMonthsToGo+SwaptionShift),INDEX($FO$245:$IH$316,$FN190-GI$169,73-GI$169+SwaptionShift):INDEX($FO$245:$IH$316,$FN190-GI$169,72-GI$169+SwaptionMonthsToGo+SwaptionShift))/SQRT(SUM(INDEX($FO345:$IH345,1+SwaptionShift):INDEX($FO345:$IH345,SwaptionMonthsToGo+SwaptionShift))*SUM(INDEX($FO$325:$IH$396,GI$169,1+SwaptionShift):INDEX($FO$325:$IH$396,GI$169,SwaptionMonthsToGo+SwaptionShift))))))</f>
        <v/>
      </c>
      <c r="GJ190" s="469" t="str">
        <f ca="1">IF(OR(GJ$169&lt;SwaptionFirstMonthPosition+1,$FN190&lt;SwaptionFirstMonthPosition+1,GJ$169&gt;SwaptionFirstMonthPosition+SwaptionNumOfMonths+1,$FN190&gt;SwaptionFirstMonthPosition+SwaptionNumOfMonths+1),"",IF($FN190=GJ$169,1,IF($FN190&lt;GJ$169,INDEX($FO$170:$IH$241,GJ$169,$FN190),SUMPRODUCT(INDEX($FO$325:$IH$396,GJ$169,1+SwaptionShift):INDEX($FO$325:$IH$396,GJ$169,SwaptionMonthsToGo+SwaptionShift),INDEX($FO$245:$IH$316,$FN190-GJ$169,73-GJ$169+SwaptionShift):INDEX($FO$245:$IH$316,$FN190-GJ$169,72-GJ$169+SwaptionMonthsToGo+SwaptionShift))/SQRT(SUM(INDEX($FO345:$IH345,1+SwaptionShift):INDEX($FO345:$IH345,SwaptionMonthsToGo+SwaptionShift))*SUM(INDEX($FO$325:$IH$396,GJ$169,1+SwaptionShift):INDEX($FO$325:$IH$396,GJ$169,SwaptionMonthsToGo+SwaptionShift))))))</f>
        <v/>
      </c>
      <c r="GK190" s="469" t="str">
        <f ca="1">IF(OR(GK$169&lt;SwaptionFirstMonthPosition+1,$FN190&lt;SwaptionFirstMonthPosition+1,GK$169&gt;SwaptionFirstMonthPosition+SwaptionNumOfMonths+1,$FN190&gt;SwaptionFirstMonthPosition+SwaptionNumOfMonths+1),"",IF($FN190=GK$169,1,IF($FN190&lt;GK$169,INDEX($FO$170:$IH$241,GK$169,$FN190),SUMPRODUCT(INDEX($FO$325:$IH$396,GK$169,1+SwaptionShift):INDEX($FO$325:$IH$396,GK$169,SwaptionMonthsToGo+SwaptionShift),INDEX($FO$245:$IH$316,$FN190-GK$169,73-GK$169+SwaptionShift):INDEX($FO$245:$IH$316,$FN190-GK$169,72-GK$169+SwaptionMonthsToGo+SwaptionShift))/SQRT(SUM(INDEX($FO345:$IH345,1+SwaptionShift):INDEX($FO345:$IH345,SwaptionMonthsToGo+SwaptionShift))*SUM(INDEX($FO$325:$IH$396,GK$169,1+SwaptionShift):INDEX($FO$325:$IH$396,GK$169,SwaptionMonthsToGo+SwaptionShift))))))</f>
        <v/>
      </c>
      <c r="GL190" s="469" t="str">
        <f ca="1">IF(OR(GL$169&lt;SwaptionFirstMonthPosition+1,$FN190&lt;SwaptionFirstMonthPosition+1,GL$169&gt;SwaptionFirstMonthPosition+SwaptionNumOfMonths+1,$FN190&gt;SwaptionFirstMonthPosition+SwaptionNumOfMonths+1),"",IF($FN190=GL$169,1,IF($FN190&lt;GL$169,INDEX($FO$170:$IH$241,GL$169,$FN190),SUMPRODUCT(INDEX($FO$325:$IH$396,GL$169,1+SwaptionShift):INDEX($FO$325:$IH$396,GL$169,SwaptionMonthsToGo+SwaptionShift),INDEX($FO$245:$IH$316,$FN190-GL$169,73-GL$169+SwaptionShift):INDEX($FO$245:$IH$316,$FN190-GL$169,72-GL$169+SwaptionMonthsToGo+SwaptionShift))/SQRT(SUM(INDEX($FO345:$IH345,1+SwaptionShift):INDEX($FO345:$IH345,SwaptionMonthsToGo+SwaptionShift))*SUM(INDEX($FO$325:$IH$396,GL$169,1+SwaptionShift):INDEX($FO$325:$IH$396,GL$169,SwaptionMonthsToGo+SwaptionShift))))))</f>
        <v/>
      </c>
      <c r="GM190" s="469" t="str">
        <f ca="1">IF(OR(GM$169&lt;SwaptionFirstMonthPosition+1,$FN190&lt;SwaptionFirstMonthPosition+1,GM$169&gt;SwaptionFirstMonthPosition+SwaptionNumOfMonths+1,$FN190&gt;SwaptionFirstMonthPosition+SwaptionNumOfMonths+1),"",IF($FN190=GM$169,1,IF($FN190&lt;GM$169,INDEX($FO$170:$IH$241,GM$169,$FN190),SUMPRODUCT(INDEX($FO$325:$IH$396,GM$169,1+SwaptionShift):INDEX($FO$325:$IH$396,GM$169,SwaptionMonthsToGo+SwaptionShift),INDEX($FO$245:$IH$316,$FN190-GM$169,73-GM$169+SwaptionShift):INDEX($FO$245:$IH$316,$FN190-GM$169,72-GM$169+SwaptionMonthsToGo+SwaptionShift))/SQRT(SUM(INDEX($FO345:$IH345,1+SwaptionShift):INDEX($FO345:$IH345,SwaptionMonthsToGo+SwaptionShift))*SUM(INDEX($FO$325:$IH$396,GM$169,1+SwaptionShift):INDEX($FO$325:$IH$396,GM$169,SwaptionMonthsToGo+SwaptionShift))))))</f>
        <v/>
      </c>
      <c r="GN190" s="469" t="str">
        <f ca="1">IF(OR(GN$169&lt;SwaptionFirstMonthPosition+1,$FN190&lt;SwaptionFirstMonthPosition+1,GN$169&gt;SwaptionFirstMonthPosition+SwaptionNumOfMonths+1,$FN190&gt;SwaptionFirstMonthPosition+SwaptionNumOfMonths+1),"",IF($FN190=GN$169,1,IF($FN190&lt;GN$169,INDEX($FO$170:$IH$241,GN$169,$FN190),SUMPRODUCT(INDEX($FO$325:$IH$396,GN$169,1+SwaptionShift):INDEX($FO$325:$IH$396,GN$169,SwaptionMonthsToGo+SwaptionShift),INDEX($FO$245:$IH$316,$FN190-GN$169,73-GN$169+SwaptionShift):INDEX($FO$245:$IH$316,$FN190-GN$169,72-GN$169+SwaptionMonthsToGo+SwaptionShift))/SQRT(SUM(INDEX($FO345:$IH345,1+SwaptionShift):INDEX($FO345:$IH345,SwaptionMonthsToGo+SwaptionShift))*SUM(INDEX($FO$325:$IH$396,GN$169,1+SwaptionShift):INDEX($FO$325:$IH$396,GN$169,SwaptionMonthsToGo+SwaptionShift))))))</f>
        <v/>
      </c>
      <c r="GO190" s="469" t="str">
        <f ca="1">IF(OR(GO$169&lt;SwaptionFirstMonthPosition+1,$FN190&lt;SwaptionFirstMonthPosition+1,GO$169&gt;SwaptionFirstMonthPosition+SwaptionNumOfMonths+1,$FN190&gt;SwaptionFirstMonthPosition+SwaptionNumOfMonths+1),"",IF($FN190=GO$169,1,IF($FN190&lt;GO$169,INDEX($FO$170:$IH$241,GO$169,$FN190),SUMPRODUCT(INDEX($FO$325:$IH$396,GO$169,1+SwaptionShift):INDEX($FO$325:$IH$396,GO$169,SwaptionMonthsToGo+SwaptionShift),INDEX($FO$245:$IH$316,$FN190-GO$169,73-GO$169+SwaptionShift):INDEX($FO$245:$IH$316,$FN190-GO$169,72-GO$169+SwaptionMonthsToGo+SwaptionShift))/SQRT(SUM(INDEX($FO345:$IH345,1+SwaptionShift):INDEX($FO345:$IH345,SwaptionMonthsToGo+SwaptionShift))*SUM(INDEX($FO$325:$IH$396,GO$169,1+SwaptionShift):INDEX($FO$325:$IH$396,GO$169,SwaptionMonthsToGo+SwaptionShift))))))</f>
        <v/>
      </c>
      <c r="GP190" s="469" t="str">
        <f ca="1">IF(OR(GP$169&lt;SwaptionFirstMonthPosition+1,$FN190&lt;SwaptionFirstMonthPosition+1,GP$169&gt;SwaptionFirstMonthPosition+SwaptionNumOfMonths+1,$FN190&gt;SwaptionFirstMonthPosition+SwaptionNumOfMonths+1),"",IF($FN190=GP$169,1,IF($FN190&lt;GP$169,INDEX($FO$170:$IH$241,GP$169,$FN190),SUMPRODUCT(INDEX($FO$325:$IH$396,GP$169,1+SwaptionShift):INDEX($FO$325:$IH$396,GP$169,SwaptionMonthsToGo+SwaptionShift),INDEX($FO$245:$IH$316,$FN190-GP$169,73-GP$169+SwaptionShift):INDEX($FO$245:$IH$316,$FN190-GP$169,72-GP$169+SwaptionMonthsToGo+SwaptionShift))/SQRT(SUM(INDEX($FO345:$IH345,1+SwaptionShift):INDEX($FO345:$IH345,SwaptionMonthsToGo+SwaptionShift))*SUM(INDEX($FO$325:$IH$396,GP$169,1+SwaptionShift):INDEX($FO$325:$IH$396,GP$169,SwaptionMonthsToGo+SwaptionShift))))))</f>
        <v/>
      </c>
      <c r="GQ190" s="469" t="str">
        <f ca="1">IF(OR(GQ$169&lt;SwaptionFirstMonthPosition+1,$FN190&lt;SwaptionFirstMonthPosition+1,GQ$169&gt;SwaptionFirstMonthPosition+SwaptionNumOfMonths+1,$FN190&gt;SwaptionFirstMonthPosition+SwaptionNumOfMonths+1),"",IF($FN190=GQ$169,1,IF($FN190&lt;GQ$169,INDEX($FO$170:$IH$241,GQ$169,$FN190),SUMPRODUCT(INDEX($FO$325:$IH$396,GQ$169,1+SwaptionShift):INDEX($FO$325:$IH$396,GQ$169,SwaptionMonthsToGo+SwaptionShift),INDEX($FO$245:$IH$316,$FN190-GQ$169,73-GQ$169+SwaptionShift):INDEX($FO$245:$IH$316,$FN190-GQ$169,72-GQ$169+SwaptionMonthsToGo+SwaptionShift))/SQRT(SUM(INDEX($FO345:$IH345,1+SwaptionShift):INDEX($FO345:$IH345,SwaptionMonthsToGo+SwaptionShift))*SUM(INDEX($FO$325:$IH$396,GQ$169,1+SwaptionShift):INDEX($FO$325:$IH$396,GQ$169,SwaptionMonthsToGo+SwaptionShift))))))</f>
        <v/>
      </c>
      <c r="GR190" s="469" t="str">
        <f ca="1">IF(OR(GR$169&lt;SwaptionFirstMonthPosition+1,$FN190&lt;SwaptionFirstMonthPosition+1,GR$169&gt;SwaptionFirstMonthPosition+SwaptionNumOfMonths+1,$FN190&gt;SwaptionFirstMonthPosition+SwaptionNumOfMonths+1),"",IF($FN190=GR$169,1,IF($FN190&lt;GR$169,INDEX($FO$170:$IH$241,GR$169,$FN190),SUMPRODUCT(INDEX($FO$325:$IH$396,GR$169,1+SwaptionShift):INDEX($FO$325:$IH$396,GR$169,SwaptionMonthsToGo+SwaptionShift),INDEX($FO$245:$IH$316,$FN190-GR$169,73-GR$169+SwaptionShift):INDEX($FO$245:$IH$316,$FN190-GR$169,72-GR$169+SwaptionMonthsToGo+SwaptionShift))/SQRT(SUM(INDEX($FO345:$IH345,1+SwaptionShift):INDEX($FO345:$IH345,SwaptionMonthsToGo+SwaptionShift))*SUM(INDEX($FO$325:$IH$396,GR$169,1+SwaptionShift):INDEX($FO$325:$IH$396,GR$169,SwaptionMonthsToGo+SwaptionShift))))))</f>
        <v/>
      </c>
      <c r="GS190" s="469" t="str">
        <f ca="1">IF(OR(GS$169&lt;SwaptionFirstMonthPosition+1,$FN190&lt;SwaptionFirstMonthPosition+1,GS$169&gt;SwaptionFirstMonthPosition+SwaptionNumOfMonths+1,$FN190&gt;SwaptionFirstMonthPosition+SwaptionNumOfMonths+1),"",IF($FN190=GS$169,1,IF($FN190&lt;GS$169,INDEX($FO$170:$IH$241,GS$169,$FN190),SUMPRODUCT(INDEX($FO$325:$IH$396,GS$169,1+SwaptionShift):INDEX($FO$325:$IH$396,GS$169,SwaptionMonthsToGo+SwaptionShift),INDEX($FO$245:$IH$316,$FN190-GS$169,73-GS$169+SwaptionShift):INDEX($FO$245:$IH$316,$FN190-GS$169,72-GS$169+SwaptionMonthsToGo+SwaptionShift))/SQRT(SUM(INDEX($FO345:$IH345,1+SwaptionShift):INDEX($FO345:$IH345,SwaptionMonthsToGo+SwaptionShift))*SUM(INDEX($FO$325:$IH$396,GS$169,1+SwaptionShift):INDEX($FO$325:$IH$396,GS$169,SwaptionMonthsToGo+SwaptionShift))))))</f>
        <v/>
      </c>
      <c r="GT190" s="469" t="str">
        <f ca="1">IF(OR(GT$169&lt;SwaptionFirstMonthPosition+1,$FN190&lt;SwaptionFirstMonthPosition+1,GT$169&gt;SwaptionFirstMonthPosition+SwaptionNumOfMonths+1,$FN190&gt;SwaptionFirstMonthPosition+SwaptionNumOfMonths+1),"",IF($FN190=GT$169,1,IF($FN190&lt;GT$169,INDEX($FO$170:$IH$241,GT$169,$FN190),SUMPRODUCT(INDEX($FO$325:$IH$396,GT$169,1+SwaptionShift):INDEX($FO$325:$IH$396,GT$169,SwaptionMonthsToGo+SwaptionShift),INDEX($FO$245:$IH$316,$FN190-GT$169,73-GT$169+SwaptionShift):INDEX($FO$245:$IH$316,$FN190-GT$169,72-GT$169+SwaptionMonthsToGo+SwaptionShift))/SQRT(SUM(INDEX($FO345:$IH345,1+SwaptionShift):INDEX($FO345:$IH345,SwaptionMonthsToGo+SwaptionShift))*SUM(INDEX($FO$325:$IH$396,GT$169,1+SwaptionShift):INDEX($FO$325:$IH$396,GT$169,SwaptionMonthsToGo+SwaptionShift))))))</f>
        <v/>
      </c>
      <c r="GU190" s="469" t="str">
        <f ca="1">IF(OR(GU$169&lt;SwaptionFirstMonthPosition+1,$FN190&lt;SwaptionFirstMonthPosition+1,GU$169&gt;SwaptionFirstMonthPosition+SwaptionNumOfMonths+1,$FN190&gt;SwaptionFirstMonthPosition+SwaptionNumOfMonths+1),"",IF($FN190=GU$169,1,IF($FN190&lt;GU$169,INDEX($FO$170:$IH$241,GU$169,$FN190),SUMPRODUCT(INDEX($FO$325:$IH$396,GU$169,1+SwaptionShift):INDEX($FO$325:$IH$396,GU$169,SwaptionMonthsToGo+SwaptionShift),INDEX($FO$245:$IH$316,$FN190-GU$169,73-GU$169+SwaptionShift):INDEX($FO$245:$IH$316,$FN190-GU$169,72-GU$169+SwaptionMonthsToGo+SwaptionShift))/SQRT(SUM(INDEX($FO345:$IH345,1+SwaptionShift):INDEX($FO345:$IH345,SwaptionMonthsToGo+SwaptionShift))*SUM(INDEX($FO$325:$IH$396,GU$169,1+SwaptionShift):INDEX($FO$325:$IH$396,GU$169,SwaptionMonthsToGo+SwaptionShift))))))</f>
        <v/>
      </c>
      <c r="GV190" s="469" t="str">
        <f ca="1">IF(OR(GV$169&lt;SwaptionFirstMonthPosition+1,$FN190&lt;SwaptionFirstMonthPosition+1,GV$169&gt;SwaptionFirstMonthPosition+SwaptionNumOfMonths+1,$FN190&gt;SwaptionFirstMonthPosition+SwaptionNumOfMonths+1),"",IF($FN190=GV$169,1,IF($FN190&lt;GV$169,INDEX($FO$170:$IH$241,GV$169,$FN190),SUMPRODUCT(INDEX($FO$325:$IH$396,GV$169,1+SwaptionShift):INDEX($FO$325:$IH$396,GV$169,SwaptionMonthsToGo+SwaptionShift),INDEX($FO$245:$IH$316,$FN190-GV$169,73-GV$169+SwaptionShift):INDEX($FO$245:$IH$316,$FN190-GV$169,72-GV$169+SwaptionMonthsToGo+SwaptionShift))/SQRT(SUM(INDEX($FO345:$IH345,1+SwaptionShift):INDEX($FO345:$IH345,SwaptionMonthsToGo+SwaptionShift))*SUM(INDEX($FO$325:$IH$396,GV$169,1+SwaptionShift):INDEX($FO$325:$IH$396,GV$169,SwaptionMonthsToGo+SwaptionShift))))))</f>
        <v/>
      </c>
      <c r="GW190" s="469" t="str">
        <f ca="1">IF(OR(GW$169&lt;SwaptionFirstMonthPosition+1,$FN190&lt;SwaptionFirstMonthPosition+1,GW$169&gt;SwaptionFirstMonthPosition+SwaptionNumOfMonths+1,$FN190&gt;SwaptionFirstMonthPosition+SwaptionNumOfMonths+1),"",IF($FN190=GW$169,1,IF($FN190&lt;GW$169,INDEX($FO$170:$IH$241,GW$169,$FN190),SUMPRODUCT(INDEX($FO$325:$IH$396,GW$169,1+SwaptionShift):INDEX($FO$325:$IH$396,GW$169,SwaptionMonthsToGo+SwaptionShift),INDEX($FO$245:$IH$316,$FN190-GW$169,73-GW$169+SwaptionShift):INDEX($FO$245:$IH$316,$FN190-GW$169,72-GW$169+SwaptionMonthsToGo+SwaptionShift))/SQRT(SUM(INDEX($FO345:$IH345,1+SwaptionShift):INDEX($FO345:$IH345,SwaptionMonthsToGo+SwaptionShift))*SUM(INDEX($FO$325:$IH$396,GW$169,1+SwaptionShift):INDEX($FO$325:$IH$396,GW$169,SwaptionMonthsToGo+SwaptionShift))))))</f>
        <v/>
      </c>
      <c r="GX190" s="469" t="str">
        <f ca="1">IF(OR(GX$169&lt;SwaptionFirstMonthPosition+1,$FN190&lt;SwaptionFirstMonthPosition+1,GX$169&gt;SwaptionFirstMonthPosition+SwaptionNumOfMonths+1,$FN190&gt;SwaptionFirstMonthPosition+SwaptionNumOfMonths+1),"",IF($FN190=GX$169,1,IF($FN190&lt;GX$169,INDEX($FO$170:$IH$241,GX$169,$FN190),SUMPRODUCT(INDEX($FO$325:$IH$396,GX$169,1+SwaptionShift):INDEX($FO$325:$IH$396,GX$169,SwaptionMonthsToGo+SwaptionShift),INDEX($FO$245:$IH$316,$FN190-GX$169,73-GX$169+SwaptionShift):INDEX($FO$245:$IH$316,$FN190-GX$169,72-GX$169+SwaptionMonthsToGo+SwaptionShift))/SQRT(SUM(INDEX($FO345:$IH345,1+SwaptionShift):INDEX($FO345:$IH345,SwaptionMonthsToGo+SwaptionShift))*SUM(INDEX($FO$325:$IH$396,GX$169,1+SwaptionShift):INDEX($FO$325:$IH$396,GX$169,SwaptionMonthsToGo+SwaptionShift))))))</f>
        <v/>
      </c>
      <c r="GY190" s="469" t="str">
        <f ca="1">IF(OR(GY$169&lt;SwaptionFirstMonthPosition+1,$FN190&lt;SwaptionFirstMonthPosition+1,GY$169&gt;SwaptionFirstMonthPosition+SwaptionNumOfMonths+1,$FN190&gt;SwaptionFirstMonthPosition+SwaptionNumOfMonths+1),"",IF($FN190=GY$169,1,IF($FN190&lt;GY$169,INDEX($FO$170:$IH$241,GY$169,$FN190),SUMPRODUCT(INDEX($FO$325:$IH$396,GY$169,1+SwaptionShift):INDEX($FO$325:$IH$396,GY$169,SwaptionMonthsToGo+SwaptionShift),INDEX($FO$245:$IH$316,$FN190-GY$169,73-GY$169+SwaptionShift):INDEX($FO$245:$IH$316,$FN190-GY$169,72-GY$169+SwaptionMonthsToGo+SwaptionShift))/SQRT(SUM(INDEX($FO345:$IH345,1+SwaptionShift):INDEX($FO345:$IH345,SwaptionMonthsToGo+SwaptionShift))*SUM(INDEX($FO$325:$IH$396,GY$169,1+SwaptionShift):INDEX($FO$325:$IH$396,GY$169,SwaptionMonthsToGo+SwaptionShift))))))</f>
        <v/>
      </c>
      <c r="GZ190" s="469" t="str">
        <f ca="1">IF(OR(GZ$169&lt;SwaptionFirstMonthPosition+1,$FN190&lt;SwaptionFirstMonthPosition+1,GZ$169&gt;SwaptionFirstMonthPosition+SwaptionNumOfMonths+1,$FN190&gt;SwaptionFirstMonthPosition+SwaptionNumOfMonths+1),"",IF($FN190=GZ$169,1,IF($FN190&lt;GZ$169,INDEX($FO$170:$IH$241,GZ$169,$FN190),SUMPRODUCT(INDEX($FO$325:$IH$396,GZ$169,1+SwaptionShift):INDEX($FO$325:$IH$396,GZ$169,SwaptionMonthsToGo+SwaptionShift),INDEX($FO$245:$IH$316,$FN190-GZ$169,73-GZ$169+SwaptionShift):INDEX($FO$245:$IH$316,$FN190-GZ$169,72-GZ$169+SwaptionMonthsToGo+SwaptionShift))/SQRT(SUM(INDEX($FO345:$IH345,1+SwaptionShift):INDEX($FO345:$IH345,SwaptionMonthsToGo+SwaptionShift))*SUM(INDEX($FO$325:$IH$396,GZ$169,1+SwaptionShift):INDEX($FO$325:$IH$396,GZ$169,SwaptionMonthsToGo+SwaptionShift))))))</f>
        <v/>
      </c>
      <c r="HA190" s="469" t="str">
        <f ca="1">IF(OR(HA$169&lt;SwaptionFirstMonthPosition+1,$FN190&lt;SwaptionFirstMonthPosition+1,HA$169&gt;SwaptionFirstMonthPosition+SwaptionNumOfMonths+1,$FN190&gt;SwaptionFirstMonthPosition+SwaptionNumOfMonths+1),"",IF($FN190=HA$169,1,IF($FN190&lt;HA$169,INDEX($FO$170:$IH$241,HA$169,$FN190),SUMPRODUCT(INDEX($FO$325:$IH$396,HA$169,1+SwaptionShift):INDEX($FO$325:$IH$396,HA$169,SwaptionMonthsToGo+SwaptionShift),INDEX($FO$245:$IH$316,$FN190-HA$169,73-HA$169+SwaptionShift):INDEX($FO$245:$IH$316,$FN190-HA$169,72-HA$169+SwaptionMonthsToGo+SwaptionShift))/SQRT(SUM(INDEX($FO345:$IH345,1+SwaptionShift):INDEX($FO345:$IH345,SwaptionMonthsToGo+SwaptionShift))*SUM(INDEX($FO$325:$IH$396,HA$169,1+SwaptionShift):INDEX($FO$325:$IH$396,HA$169,SwaptionMonthsToGo+SwaptionShift))))))</f>
        <v/>
      </c>
      <c r="HB190" s="469" t="str">
        <f ca="1">IF(OR(HB$169&lt;SwaptionFirstMonthPosition+1,$FN190&lt;SwaptionFirstMonthPosition+1,HB$169&gt;SwaptionFirstMonthPosition+SwaptionNumOfMonths+1,$FN190&gt;SwaptionFirstMonthPosition+SwaptionNumOfMonths+1),"",IF($FN190=HB$169,1,IF($FN190&lt;HB$169,INDEX($FO$170:$IH$241,HB$169,$FN190),SUMPRODUCT(INDEX($FO$325:$IH$396,HB$169,1+SwaptionShift):INDEX($FO$325:$IH$396,HB$169,SwaptionMonthsToGo+SwaptionShift),INDEX($FO$245:$IH$316,$FN190-HB$169,73-HB$169+SwaptionShift):INDEX($FO$245:$IH$316,$FN190-HB$169,72-HB$169+SwaptionMonthsToGo+SwaptionShift))/SQRT(SUM(INDEX($FO345:$IH345,1+SwaptionShift):INDEX($FO345:$IH345,SwaptionMonthsToGo+SwaptionShift))*SUM(INDEX($FO$325:$IH$396,HB$169,1+SwaptionShift):INDEX($FO$325:$IH$396,HB$169,SwaptionMonthsToGo+SwaptionShift))))))</f>
        <v/>
      </c>
      <c r="HC190" s="469" t="str">
        <f ca="1">IF(OR(HC$169&lt;SwaptionFirstMonthPosition+1,$FN190&lt;SwaptionFirstMonthPosition+1,HC$169&gt;SwaptionFirstMonthPosition+SwaptionNumOfMonths+1,$FN190&gt;SwaptionFirstMonthPosition+SwaptionNumOfMonths+1),"",IF($FN190=HC$169,1,IF($FN190&lt;HC$169,INDEX($FO$170:$IH$241,HC$169,$FN190),SUMPRODUCT(INDEX($FO$325:$IH$396,HC$169,1+SwaptionShift):INDEX($FO$325:$IH$396,HC$169,SwaptionMonthsToGo+SwaptionShift),INDEX($FO$245:$IH$316,$FN190-HC$169,73-HC$169+SwaptionShift):INDEX($FO$245:$IH$316,$FN190-HC$169,72-HC$169+SwaptionMonthsToGo+SwaptionShift))/SQRT(SUM(INDEX($FO345:$IH345,1+SwaptionShift):INDEX($FO345:$IH345,SwaptionMonthsToGo+SwaptionShift))*SUM(INDEX($FO$325:$IH$396,HC$169,1+SwaptionShift):INDEX($FO$325:$IH$396,HC$169,SwaptionMonthsToGo+SwaptionShift))))))</f>
        <v/>
      </c>
      <c r="HD190" s="469" t="str">
        <f ca="1">IF(OR(HD$169&lt;SwaptionFirstMonthPosition+1,$FN190&lt;SwaptionFirstMonthPosition+1,HD$169&gt;SwaptionFirstMonthPosition+SwaptionNumOfMonths+1,$FN190&gt;SwaptionFirstMonthPosition+SwaptionNumOfMonths+1),"",IF($FN190=HD$169,1,IF($FN190&lt;HD$169,INDEX($FO$170:$IH$241,HD$169,$FN190),SUMPRODUCT(INDEX($FO$325:$IH$396,HD$169,1+SwaptionShift):INDEX($FO$325:$IH$396,HD$169,SwaptionMonthsToGo+SwaptionShift),INDEX($FO$245:$IH$316,$FN190-HD$169,73-HD$169+SwaptionShift):INDEX($FO$245:$IH$316,$FN190-HD$169,72-HD$169+SwaptionMonthsToGo+SwaptionShift))/SQRT(SUM(INDEX($FO345:$IH345,1+SwaptionShift):INDEX($FO345:$IH345,SwaptionMonthsToGo+SwaptionShift))*SUM(INDEX($FO$325:$IH$396,HD$169,1+SwaptionShift):INDEX($FO$325:$IH$396,HD$169,SwaptionMonthsToGo+SwaptionShift))))))</f>
        <v/>
      </c>
      <c r="HE190" s="469" t="str">
        <f ca="1">IF(OR(HE$169&lt;SwaptionFirstMonthPosition+1,$FN190&lt;SwaptionFirstMonthPosition+1,HE$169&gt;SwaptionFirstMonthPosition+SwaptionNumOfMonths+1,$FN190&gt;SwaptionFirstMonthPosition+SwaptionNumOfMonths+1),"",IF($FN190=HE$169,1,IF($FN190&lt;HE$169,INDEX($FO$170:$IH$241,HE$169,$FN190),SUMPRODUCT(INDEX($FO$325:$IH$396,HE$169,1+SwaptionShift):INDEX($FO$325:$IH$396,HE$169,SwaptionMonthsToGo+SwaptionShift),INDEX($FO$245:$IH$316,$FN190-HE$169,73-HE$169+SwaptionShift):INDEX($FO$245:$IH$316,$FN190-HE$169,72-HE$169+SwaptionMonthsToGo+SwaptionShift))/SQRT(SUM(INDEX($FO345:$IH345,1+SwaptionShift):INDEX($FO345:$IH345,SwaptionMonthsToGo+SwaptionShift))*SUM(INDEX($FO$325:$IH$396,HE$169,1+SwaptionShift):INDEX($FO$325:$IH$396,HE$169,SwaptionMonthsToGo+SwaptionShift))))))</f>
        <v/>
      </c>
      <c r="HF190" s="469" t="str">
        <f ca="1">IF(OR(HF$169&lt;SwaptionFirstMonthPosition+1,$FN190&lt;SwaptionFirstMonthPosition+1,HF$169&gt;SwaptionFirstMonthPosition+SwaptionNumOfMonths+1,$FN190&gt;SwaptionFirstMonthPosition+SwaptionNumOfMonths+1),"",IF($FN190=HF$169,1,IF($FN190&lt;HF$169,INDEX($FO$170:$IH$241,HF$169,$FN190),SUMPRODUCT(INDEX($FO$325:$IH$396,HF$169,1+SwaptionShift):INDEX($FO$325:$IH$396,HF$169,SwaptionMonthsToGo+SwaptionShift),INDEX($FO$245:$IH$316,$FN190-HF$169,73-HF$169+SwaptionShift):INDEX($FO$245:$IH$316,$FN190-HF$169,72-HF$169+SwaptionMonthsToGo+SwaptionShift))/SQRT(SUM(INDEX($FO345:$IH345,1+SwaptionShift):INDEX($FO345:$IH345,SwaptionMonthsToGo+SwaptionShift))*SUM(INDEX($FO$325:$IH$396,HF$169,1+SwaptionShift):INDEX($FO$325:$IH$396,HF$169,SwaptionMonthsToGo+SwaptionShift))))))</f>
        <v/>
      </c>
      <c r="HG190" s="469" t="str">
        <f ca="1">IF(OR(HG$169&lt;SwaptionFirstMonthPosition+1,$FN190&lt;SwaptionFirstMonthPosition+1,HG$169&gt;SwaptionFirstMonthPosition+SwaptionNumOfMonths+1,$FN190&gt;SwaptionFirstMonthPosition+SwaptionNumOfMonths+1),"",IF($FN190=HG$169,1,IF($FN190&lt;HG$169,INDEX($FO$170:$IH$241,HG$169,$FN190),SUMPRODUCT(INDEX($FO$325:$IH$396,HG$169,1+SwaptionShift):INDEX($FO$325:$IH$396,HG$169,SwaptionMonthsToGo+SwaptionShift),INDEX($FO$245:$IH$316,$FN190-HG$169,73-HG$169+SwaptionShift):INDEX($FO$245:$IH$316,$FN190-HG$169,72-HG$169+SwaptionMonthsToGo+SwaptionShift))/SQRT(SUM(INDEX($FO345:$IH345,1+SwaptionShift):INDEX($FO345:$IH345,SwaptionMonthsToGo+SwaptionShift))*SUM(INDEX($FO$325:$IH$396,HG$169,1+SwaptionShift):INDEX($FO$325:$IH$396,HG$169,SwaptionMonthsToGo+SwaptionShift))))))</f>
        <v/>
      </c>
      <c r="HH190" s="469" t="str">
        <f ca="1">IF(OR(HH$169&lt;SwaptionFirstMonthPosition+1,$FN190&lt;SwaptionFirstMonthPosition+1,HH$169&gt;SwaptionFirstMonthPosition+SwaptionNumOfMonths+1,$FN190&gt;SwaptionFirstMonthPosition+SwaptionNumOfMonths+1),"",IF($FN190=HH$169,1,IF($FN190&lt;HH$169,INDEX($FO$170:$IH$241,HH$169,$FN190),SUMPRODUCT(INDEX($FO$325:$IH$396,HH$169,1+SwaptionShift):INDEX($FO$325:$IH$396,HH$169,SwaptionMonthsToGo+SwaptionShift),INDEX($FO$245:$IH$316,$FN190-HH$169,73-HH$169+SwaptionShift):INDEX($FO$245:$IH$316,$FN190-HH$169,72-HH$169+SwaptionMonthsToGo+SwaptionShift))/SQRT(SUM(INDEX($FO345:$IH345,1+SwaptionShift):INDEX($FO345:$IH345,SwaptionMonthsToGo+SwaptionShift))*SUM(INDEX($FO$325:$IH$396,HH$169,1+SwaptionShift):INDEX($FO$325:$IH$396,HH$169,SwaptionMonthsToGo+SwaptionShift))))))</f>
        <v/>
      </c>
      <c r="HI190" s="469" t="str">
        <f ca="1">IF(OR(HI$169&lt;SwaptionFirstMonthPosition+1,$FN190&lt;SwaptionFirstMonthPosition+1,HI$169&gt;SwaptionFirstMonthPosition+SwaptionNumOfMonths+1,$FN190&gt;SwaptionFirstMonthPosition+SwaptionNumOfMonths+1),"",IF($FN190=HI$169,1,IF($FN190&lt;HI$169,INDEX($FO$170:$IH$241,HI$169,$FN190),SUMPRODUCT(INDEX($FO$325:$IH$396,HI$169,1+SwaptionShift):INDEX($FO$325:$IH$396,HI$169,SwaptionMonthsToGo+SwaptionShift),INDEX($FO$245:$IH$316,$FN190-HI$169,73-HI$169+SwaptionShift):INDEX($FO$245:$IH$316,$FN190-HI$169,72-HI$169+SwaptionMonthsToGo+SwaptionShift))/SQRT(SUM(INDEX($FO345:$IH345,1+SwaptionShift):INDEX($FO345:$IH345,SwaptionMonthsToGo+SwaptionShift))*SUM(INDEX($FO$325:$IH$396,HI$169,1+SwaptionShift):INDEX($FO$325:$IH$396,HI$169,SwaptionMonthsToGo+SwaptionShift))))))</f>
        <v/>
      </c>
      <c r="HJ190" s="469" t="str">
        <f ca="1">IF(OR(HJ$169&lt;SwaptionFirstMonthPosition+1,$FN190&lt;SwaptionFirstMonthPosition+1,HJ$169&gt;SwaptionFirstMonthPosition+SwaptionNumOfMonths+1,$FN190&gt;SwaptionFirstMonthPosition+SwaptionNumOfMonths+1),"",IF($FN190=HJ$169,1,IF($FN190&lt;HJ$169,INDEX($FO$170:$IH$241,HJ$169,$FN190),SUMPRODUCT(INDEX($FO$325:$IH$396,HJ$169,1+SwaptionShift):INDEX($FO$325:$IH$396,HJ$169,SwaptionMonthsToGo+SwaptionShift),INDEX($FO$245:$IH$316,$FN190-HJ$169,73-HJ$169+SwaptionShift):INDEX($FO$245:$IH$316,$FN190-HJ$169,72-HJ$169+SwaptionMonthsToGo+SwaptionShift))/SQRT(SUM(INDEX($FO345:$IH345,1+SwaptionShift):INDEX($FO345:$IH345,SwaptionMonthsToGo+SwaptionShift))*SUM(INDEX($FO$325:$IH$396,HJ$169,1+SwaptionShift):INDEX($FO$325:$IH$396,HJ$169,SwaptionMonthsToGo+SwaptionShift))))))</f>
        <v/>
      </c>
      <c r="HK190" s="469" t="str">
        <f ca="1">IF(OR(HK$169&lt;SwaptionFirstMonthPosition+1,$FN190&lt;SwaptionFirstMonthPosition+1,HK$169&gt;SwaptionFirstMonthPosition+SwaptionNumOfMonths+1,$FN190&gt;SwaptionFirstMonthPosition+SwaptionNumOfMonths+1),"",IF($FN190=HK$169,1,IF($FN190&lt;HK$169,INDEX($FO$170:$IH$241,HK$169,$FN190),SUMPRODUCT(INDEX($FO$325:$IH$396,HK$169,1+SwaptionShift):INDEX($FO$325:$IH$396,HK$169,SwaptionMonthsToGo+SwaptionShift),INDEX($FO$245:$IH$316,$FN190-HK$169,73-HK$169+SwaptionShift):INDEX($FO$245:$IH$316,$FN190-HK$169,72-HK$169+SwaptionMonthsToGo+SwaptionShift))/SQRT(SUM(INDEX($FO345:$IH345,1+SwaptionShift):INDEX($FO345:$IH345,SwaptionMonthsToGo+SwaptionShift))*SUM(INDEX($FO$325:$IH$396,HK$169,1+SwaptionShift):INDEX($FO$325:$IH$396,HK$169,SwaptionMonthsToGo+SwaptionShift))))))</f>
        <v/>
      </c>
      <c r="HL190" s="469" t="str">
        <f ca="1">IF(OR(HL$169&lt;SwaptionFirstMonthPosition+1,$FN190&lt;SwaptionFirstMonthPosition+1,HL$169&gt;SwaptionFirstMonthPosition+SwaptionNumOfMonths+1,$FN190&gt;SwaptionFirstMonthPosition+SwaptionNumOfMonths+1),"",IF($FN190=HL$169,1,IF($FN190&lt;HL$169,INDEX($FO$170:$IH$241,HL$169,$FN190),SUMPRODUCT(INDEX($FO$325:$IH$396,HL$169,1+SwaptionShift):INDEX($FO$325:$IH$396,HL$169,SwaptionMonthsToGo+SwaptionShift),INDEX($FO$245:$IH$316,$FN190-HL$169,73-HL$169+SwaptionShift):INDEX($FO$245:$IH$316,$FN190-HL$169,72-HL$169+SwaptionMonthsToGo+SwaptionShift))/SQRT(SUM(INDEX($FO345:$IH345,1+SwaptionShift):INDEX($FO345:$IH345,SwaptionMonthsToGo+SwaptionShift))*SUM(INDEX($FO$325:$IH$396,HL$169,1+SwaptionShift):INDEX($FO$325:$IH$396,HL$169,SwaptionMonthsToGo+SwaptionShift))))))</f>
        <v/>
      </c>
      <c r="HM190" s="469" t="str">
        <f ca="1">IF(OR(HM$169&lt;SwaptionFirstMonthPosition+1,$FN190&lt;SwaptionFirstMonthPosition+1,HM$169&gt;SwaptionFirstMonthPosition+SwaptionNumOfMonths+1,$FN190&gt;SwaptionFirstMonthPosition+SwaptionNumOfMonths+1),"",IF($FN190=HM$169,1,IF($FN190&lt;HM$169,INDEX($FO$170:$IH$241,HM$169,$FN190),SUMPRODUCT(INDEX($FO$325:$IH$396,HM$169,1+SwaptionShift):INDEX($FO$325:$IH$396,HM$169,SwaptionMonthsToGo+SwaptionShift),INDEX($FO$245:$IH$316,$FN190-HM$169,73-HM$169+SwaptionShift):INDEX($FO$245:$IH$316,$FN190-HM$169,72-HM$169+SwaptionMonthsToGo+SwaptionShift))/SQRT(SUM(INDEX($FO345:$IH345,1+SwaptionShift):INDEX($FO345:$IH345,SwaptionMonthsToGo+SwaptionShift))*SUM(INDEX($FO$325:$IH$396,HM$169,1+SwaptionShift):INDEX($FO$325:$IH$396,HM$169,SwaptionMonthsToGo+SwaptionShift))))))</f>
        <v/>
      </c>
      <c r="HN190" s="469" t="str">
        <f ca="1">IF(OR(HN$169&lt;SwaptionFirstMonthPosition+1,$FN190&lt;SwaptionFirstMonthPosition+1,HN$169&gt;SwaptionFirstMonthPosition+SwaptionNumOfMonths+1,$FN190&gt;SwaptionFirstMonthPosition+SwaptionNumOfMonths+1),"",IF($FN190=HN$169,1,IF($FN190&lt;HN$169,INDEX($FO$170:$IH$241,HN$169,$FN190),SUMPRODUCT(INDEX($FO$325:$IH$396,HN$169,1+SwaptionShift):INDEX($FO$325:$IH$396,HN$169,SwaptionMonthsToGo+SwaptionShift),INDEX($FO$245:$IH$316,$FN190-HN$169,73-HN$169+SwaptionShift):INDEX($FO$245:$IH$316,$FN190-HN$169,72-HN$169+SwaptionMonthsToGo+SwaptionShift))/SQRT(SUM(INDEX($FO345:$IH345,1+SwaptionShift):INDEX($FO345:$IH345,SwaptionMonthsToGo+SwaptionShift))*SUM(INDEX($FO$325:$IH$396,HN$169,1+SwaptionShift):INDEX($FO$325:$IH$396,HN$169,SwaptionMonthsToGo+SwaptionShift))))))</f>
        <v/>
      </c>
      <c r="HO190" s="469" t="str">
        <f ca="1">IF(OR(HO$169&lt;SwaptionFirstMonthPosition+1,$FN190&lt;SwaptionFirstMonthPosition+1,HO$169&gt;SwaptionFirstMonthPosition+SwaptionNumOfMonths+1,$FN190&gt;SwaptionFirstMonthPosition+SwaptionNumOfMonths+1),"",IF($FN190=HO$169,1,IF($FN190&lt;HO$169,INDEX($FO$170:$IH$241,HO$169,$FN190),SUMPRODUCT(INDEX($FO$325:$IH$396,HO$169,1+SwaptionShift):INDEX($FO$325:$IH$396,HO$169,SwaptionMonthsToGo+SwaptionShift),INDEX($FO$245:$IH$316,$FN190-HO$169,73-HO$169+SwaptionShift):INDEX($FO$245:$IH$316,$FN190-HO$169,72-HO$169+SwaptionMonthsToGo+SwaptionShift))/SQRT(SUM(INDEX($FO345:$IH345,1+SwaptionShift):INDEX($FO345:$IH345,SwaptionMonthsToGo+SwaptionShift))*SUM(INDEX($FO$325:$IH$396,HO$169,1+SwaptionShift):INDEX($FO$325:$IH$396,HO$169,SwaptionMonthsToGo+SwaptionShift))))))</f>
        <v/>
      </c>
      <c r="HP190" s="469" t="str">
        <f ca="1">IF(OR(HP$169&lt;SwaptionFirstMonthPosition+1,$FN190&lt;SwaptionFirstMonthPosition+1,HP$169&gt;SwaptionFirstMonthPosition+SwaptionNumOfMonths+1,$FN190&gt;SwaptionFirstMonthPosition+SwaptionNumOfMonths+1),"",IF($FN190=HP$169,1,IF($FN190&lt;HP$169,INDEX($FO$170:$IH$241,HP$169,$FN190),SUMPRODUCT(INDEX($FO$325:$IH$396,HP$169,1+SwaptionShift):INDEX($FO$325:$IH$396,HP$169,SwaptionMonthsToGo+SwaptionShift),INDEX($FO$245:$IH$316,$FN190-HP$169,73-HP$169+SwaptionShift):INDEX($FO$245:$IH$316,$FN190-HP$169,72-HP$169+SwaptionMonthsToGo+SwaptionShift))/SQRT(SUM(INDEX($FO345:$IH345,1+SwaptionShift):INDEX($FO345:$IH345,SwaptionMonthsToGo+SwaptionShift))*SUM(INDEX($FO$325:$IH$396,HP$169,1+SwaptionShift):INDEX($FO$325:$IH$396,HP$169,SwaptionMonthsToGo+SwaptionShift))))))</f>
        <v/>
      </c>
      <c r="HQ190" s="469" t="str">
        <f ca="1">IF(OR(HQ$169&lt;SwaptionFirstMonthPosition+1,$FN190&lt;SwaptionFirstMonthPosition+1,HQ$169&gt;SwaptionFirstMonthPosition+SwaptionNumOfMonths+1,$FN190&gt;SwaptionFirstMonthPosition+SwaptionNumOfMonths+1),"",IF($FN190=HQ$169,1,IF($FN190&lt;HQ$169,INDEX($FO$170:$IH$241,HQ$169,$FN190),SUMPRODUCT(INDEX($FO$325:$IH$396,HQ$169,1+SwaptionShift):INDEX($FO$325:$IH$396,HQ$169,SwaptionMonthsToGo+SwaptionShift),INDEX($FO$245:$IH$316,$FN190-HQ$169,73-HQ$169+SwaptionShift):INDEX($FO$245:$IH$316,$FN190-HQ$169,72-HQ$169+SwaptionMonthsToGo+SwaptionShift))/SQRT(SUM(INDEX($FO345:$IH345,1+SwaptionShift):INDEX($FO345:$IH345,SwaptionMonthsToGo+SwaptionShift))*SUM(INDEX($FO$325:$IH$396,HQ$169,1+SwaptionShift):INDEX($FO$325:$IH$396,HQ$169,SwaptionMonthsToGo+SwaptionShift))))))</f>
        <v/>
      </c>
      <c r="HR190" s="469" t="str">
        <f ca="1">IF(OR(HR$169&lt;SwaptionFirstMonthPosition+1,$FN190&lt;SwaptionFirstMonthPosition+1,HR$169&gt;SwaptionFirstMonthPosition+SwaptionNumOfMonths+1,$FN190&gt;SwaptionFirstMonthPosition+SwaptionNumOfMonths+1),"",IF($FN190=HR$169,1,IF($FN190&lt;HR$169,INDEX($FO$170:$IH$241,HR$169,$FN190),SUMPRODUCT(INDEX($FO$325:$IH$396,HR$169,1+SwaptionShift):INDEX($FO$325:$IH$396,HR$169,SwaptionMonthsToGo+SwaptionShift),INDEX($FO$245:$IH$316,$FN190-HR$169,73-HR$169+SwaptionShift):INDEX($FO$245:$IH$316,$FN190-HR$169,72-HR$169+SwaptionMonthsToGo+SwaptionShift))/SQRT(SUM(INDEX($FO345:$IH345,1+SwaptionShift):INDEX($FO345:$IH345,SwaptionMonthsToGo+SwaptionShift))*SUM(INDEX($FO$325:$IH$396,HR$169,1+SwaptionShift):INDEX($FO$325:$IH$396,HR$169,SwaptionMonthsToGo+SwaptionShift))))))</f>
        <v/>
      </c>
      <c r="HS190" s="469" t="str">
        <f ca="1">IF(OR(HS$169&lt;SwaptionFirstMonthPosition+1,$FN190&lt;SwaptionFirstMonthPosition+1,HS$169&gt;SwaptionFirstMonthPosition+SwaptionNumOfMonths+1,$FN190&gt;SwaptionFirstMonthPosition+SwaptionNumOfMonths+1),"",IF($FN190=HS$169,1,IF($FN190&lt;HS$169,INDEX($FO$170:$IH$241,HS$169,$FN190),SUMPRODUCT(INDEX($FO$325:$IH$396,HS$169,1+SwaptionShift):INDEX($FO$325:$IH$396,HS$169,SwaptionMonthsToGo+SwaptionShift),INDEX($FO$245:$IH$316,$FN190-HS$169,73-HS$169+SwaptionShift):INDEX($FO$245:$IH$316,$FN190-HS$169,72-HS$169+SwaptionMonthsToGo+SwaptionShift))/SQRT(SUM(INDEX($FO345:$IH345,1+SwaptionShift):INDEX($FO345:$IH345,SwaptionMonthsToGo+SwaptionShift))*SUM(INDEX($FO$325:$IH$396,HS$169,1+SwaptionShift):INDEX($FO$325:$IH$396,HS$169,SwaptionMonthsToGo+SwaptionShift))))))</f>
        <v/>
      </c>
      <c r="HT190" s="469" t="str">
        <f ca="1">IF(OR(HT$169&lt;SwaptionFirstMonthPosition+1,$FN190&lt;SwaptionFirstMonthPosition+1,HT$169&gt;SwaptionFirstMonthPosition+SwaptionNumOfMonths+1,$FN190&gt;SwaptionFirstMonthPosition+SwaptionNumOfMonths+1),"",IF($FN190=HT$169,1,IF($FN190&lt;HT$169,INDEX($FO$170:$IH$241,HT$169,$FN190),SUMPRODUCT(INDEX($FO$325:$IH$396,HT$169,1+SwaptionShift):INDEX($FO$325:$IH$396,HT$169,SwaptionMonthsToGo+SwaptionShift),INDEX($FO$245:$IH$316,$FN190-HT$169,73-HT$169+SwaptionShift):INDEX($FO$245:$IH$316,$FN190-HT$169,72-HT$169+SwaptionMonthsToGo+SwaptionShift))/SQRT(SUM(INDEX($FO345:$IH345,1+SwaptionShift):INDEX($FO345:$IH345,SwaptionMonthsToGo+SwaptionShift))*SUM(INDEX($FO$325:$IH$396,HT$169,1+SwaptionShift):INDEX($FO$325:$IH$396,HT$169,SwaptionMonthsToGo+SwaptionShift))))))</f>
        <v/>
      </c>
      <c r="HU190" s="469" t="str">
        <f ca="1">IF(OR(HU$169&lt;SwaptionFirstMonthPosition+1,$FN190&lt;SwaptionFirstMonthPosition+1,HU$169&gt;SwaptionFirstMonthPosition+SwaptionNumOfMonths+1,$FN190&gt;SwaptionFirstMonthPosition+SwaptionNumOfMonths+1),"",IF($FN190=HU$169,1,IF($FN190&lt;HU$169,INDEX($FO$170:$IH$241,HU$169,$FN190),SUMPRODUCT(INDEX($FO$325:$IH$396,HU$169,1+SwaptionShift):INDEX($FO$325:$IH$396,HU$169,SwaptionMonthsToGo+SwaptionShift),INDEX($FO$245:$IH$316,$FN190-HU$169,73-HU$169+SwaptionShift):INDEX($FO$245:$IH$316,$FN190-HU$169,72-HU$169+SwaptionMonthsToGo+SwaptionShift))/SQRT(SUM(INDEX($FO345:$IH345,1+SwaptionShift):INDEX($FO345:$IH345,SwaptionMonthsToGo+SwaptionShift))*SUM(INDEX($FO$325:$IH$396,HU$169,1+SwaptionShift):INDEX($FO$325:$IH$396,HU$169,SwaptionMonthsToGo+SwaptionShift))))))</f>
        <v/>
      </c>
      <c r="HV190" s="469" t="str">
        <f ca="1">IF(OR(HV$169&lt;SwaptionFirstMonthPosition+1,$FN190&lt;SwaptionFirstMonthPosition+1,HV$169&gt;SwaptionFirstMonthPosition+SwaptionNumOfMonths+1,$FN190&gt;SwaptionFirstMonthPosition+SwaptionNumOfMonths+1),"",IF($FN190=HV$169,1,IF($FN190&lt;HV$169,INDEX($FO$170:$IH$241,HV$169,$FN190),SUMPRODUCT(INDEX($FO$325:$IH$396,HV$169,1+SwaptionShift):INDEX($FO$325:$IH$396,HV$169,SwaptionMonthsToGo+SwaptionShift),INDEX($FO$245:$IH$316,$FN190-HV$169,73-HV$169+SwaptionShift):INDEX($FO$245:$IH$316,$FN190-HV$169,72-HV$169+SwaptionMonthsToGo+SwaptionShift))/SQRT(SUM(INDEX($FO345:$IH345,1+SwaptionShift):INDEX($FO345:$IH345,SwaptionMonthsToGo+SwaptionShift))*SUM(INDEX($FO$325:$IH$396,HV$169,1+SwaptionShift):INDEX($FO$325:$IH$396,HV$169,SwaptionMonthsToGo+SwaptionShift))))))</f>
        <v/>
      </c>
      <c r="HW190" s="469" t="str">
        <f ca="1">IF(OR(HW$169&lt;SwaptionFirstMonthPosition+1,$FN190&lt;SwaptionFirstMonthPosition+1,HW$169&gt;SwaptionFirstMonthPosition+SwaptionNumOfMonths+1,$FN190&gt;SwaptionFirstMonthPosition+SwaptionNumOfMonths+1),"",IF($FN190=HW$169,1,IF($FN190&lt;HW$169,INDEX($FO$170:$IH$241,HW$169,$FN190),SUMPRODUCT(INDEX($FO$325:$IH$396,HW$169,1+SwaptionShift):INDEX($FO$325:$IH$396,HW$169,SwaptionMonthsToGo+SwaptionShift),INDEX($FO$245:$IH$316,$FN190-HW$169,73-HW$169+SwaptionShift):INDEX($FO$245:$IH$316,$FN190-HW$169,72-HW$169+SwaptionMonthsToGo+SwaptionShift))/SQRT(SUM(INDEX($FO345:$IH345,1+SwaptionShift):INDEX($FO345:$IH345,SwaptionMonthsToGo+SwaptionShift))*SUM(INDEX($FO$325:$IH$396,HW$169,1+SwaptionShift):INDEX($FO$325:$IH$396,HW$169,SwaptionMonthsToGo+SwaptionShift))))))</f>
        <v/>
      </c>
      <c r="HX190" s="469" t="str">
        <f ca="1">IF(OR(HX$169&lt;SwaptionFirstMonthPosition+1,$FN190&lt;SwaptionFirstMonthPosition+1,HX$169&gt;SwaptionFirstMonthPosition+SwaptionNumOfMonths+1,$FN190&gt;SwaptionFirstMonthPosition+SwaptionNumOfMonths+1),"",IF($FN190=HX$169,1,IF($FN190&lt;HX$169,INDEX($FO$170:$IH$241,HX$169,$FN190),SUMPRODUCT(INDEX($FO$325:$IH$396,HX$169,1+SwaptionShift):INDEX($FO$325:$IH$396,HX$169,SwaptionMonthsToGo+SwaptionShift),INDEX($FO$245:$IH$316,$FN190-HX$169,73-HX$169+SwaptionShift):INDEX($FO$245:$IH$316,$FN190-HX$169,72-HX$169+SwaptionMonthsToGo+SwaptionShift))/SQRT(SUM(INDEX($FO345:$IH345,1+SwaptionShift):INDEX($FO345:$IH345,SwaptionMonthsToGo+SwaptionShift))*SUM(INDEX($FO$325:$IH$396,HX$169,1+SwaptionShift):INDEX($FO$325:$IH$396,HX$169,SwaptionMonthsToGo+SwaptionShift))))))</f>
        <v/>
      </c>
      <c r="HY190" s="469" t="str">
        <f ca="1">IF(OR(HY$169&lt;SwaptionFirstMonthPosition+1,$FN190&lt;SwaptionFirstMonthPosition+1,HY$169&gt;SwaptionFirstMonthPosition+SwaptionNumOfMonths+1,$FN190&gt;SwaptionFirstMonthPosition+SwaptionNumOfMonths+1),"",IF($FN190=HY$169,1,IF($FN190&lt;HY$169,INDEX($FO$170:$IH$241,HY$169,$FN190),SUMPRODUCT(INDEX($FO$325:$IH$396,HY$169,1+SwaptionShift):INDEX($FO$325:$IH$396,HY$169,SwaptionMonthsToGo+SwaptionShift),INDEX($FO$245:$IH$316,$FN190-HY$169,73-HY$169+SwaptionShift):INDEX($FO$245:$IH$316,$FN190-HY$169,72-HY$169+SwaptionMonthsToGo+SwaptionShift))/SQRT(SUM(INDEX($FO345:$IH345,1+SwaptionShift):INDEX($FO345:$IH345,SwaptionMonthsToGo+SwaptionShift))*SUM(INDEX($FO$325:$IH$396,HY$169,1+SwaptionShift):INDEX($FO$325:$IH$396,HY$169,SwaptionMonthsToGo+SwaptionShift))))))</f>
        <v/>
      </c>
      <c r="HZ190" s="469" t="str">
        <f ca="1">IF(OR(HZ$169&lt;SwaptionFirstMonthPosition+1,$FN190&lt;SwaptionFirstMonthPosition+1,HZ$169&gt;SwaptionFirstMonthPosition+SwaptionNumOfMonths+1,$FN190&gt;SwaptionFirstMonthPosition+SwaptionNumOfMonths+1),"",IF($FN190=HZ$169,1,IF($FN190&lt;HZ$169,INDEX($FO$170:$IH$241,HZ$169,$FN190),SUMPRODUCT(INDEX($FO$325:$IH$396,HZ$169,1+SwaptionShift):INDEX($FO$325:$IH$396,HZ$169,SwaptionMonthsToGo+SwaptionShift),INDEX($FO$245:$IH$316,$FN190-HZ$169,73-HZ$169+SwaptionShift):INDEX($FO$245:$IH$316,$FN190-HZ$169,72-HZ$169+SwaptionMonthsToGo+SwaptionShift))/SQRT(SUM(INDEX($FO345:$IH345,1+SwaptionShift):INDEX($FO345:$IH345,SwaptionMonthsToGo+SwaptionShift))*SUM(INDEX($FO$325:$IH$396,HZ$169,1+SwaptionShift):INDEX($FO$325:$IH$396,HZ$169,SwaptionMonthsToGo+SwaptionShift))))))</f>
        <v/>
      </c>
      <c r="IA190" s="469" t="str">
        <f ca="1">IF(OR(IA$169&lt;SwaptionFirstMonthPosition+1,$FN190&lt;SwaptionFirstMonthPosition+1,IA$169&gt;SwaptionFirstMonthPosition+SwaptionNumOfMonths+1,$FN190&gt;SwaptionFirstMonthPosition+SwaptionNumOfMonths+1),"",IF($FN190=IA$169,1,IF($FN190&lt;IA$169,INDEX($FO$170:$IH$241,IA$169,$FN190),SUMPRODUCT(INDEX($FO$325:$IH$396,IA$169,1+SwaptionShift):INDEX($FO$325:$IH$396,IA$169,SwaptionMonthsToGo+SwaptionShift),INDEX($FO$245:$IH$316,$FN190-IA$169,73-IA$169+SwaptionShift):INDEX($FO$245:$IH$316,$FN190-IA$169,72-IA$169+SwaptionMonthsToGo+SwaptionShift))/SQRT(SUM(INDEX($FO345:$IH345,1+SwaptionShift):INDEX($FO345:$IH345,SwaptionMonthsToGo+SwaptionShift))*SUM(INDEX($FO$325:$IH$396,IA$169,1+SwaptionShift):INDEX($FO$325:$IH$396,IA$169,SwaptionMonthsToGo+SwaptionShift))))))</f>
        <v/>
      </c>
      <c r="IB190" s="469" t="str">
        <f ca="1">IF(OR(IB$169&lt;SwaptionFirstMonthPosition+1,$FN190&lt;SwaptionFirstMonthPosition+1,IB$169&gt;SwaptionFirstMonthPosition+SwaptionNumOfMonths+1,$FN190&gt;SwaptionFirstMonthPosition+SwaptionNumOfMonths+1),"",IF($FN190=IB$169,1,IF($FN190&lt;IB$169,INDEX($FO$170:$IH$241,IB$169,$FN190),SUMPRODUCT(INDEX($FO$325:$IH$396,IB$169,1+SwaptionShift):INDEX($FO$325:$IH$396,IB$169,SwaptionMonthsToGo+SwaptionShift),INDEX($FO$245:$IH$316,$FN190-IB$169,73-IB$169+SwaptionShift):INDEX($FO$245:$IH$316,$FN190-IB$169,72-IB$169+SwaptionMonthsToGo+SwaptionShift))/SQRT(SUM(INDEX($FO345:$IH345,1+SwaptionShift):INDEX($FO345:$IH345,SwaptionMonthsToGo+SwaptionShift))*SUM(INDEX($FO$325:$IH$396,IB$169,1+SwaptionShift):INDEX($FO$325:$IH$396,IB$169,SwaptionMonthsToGo+SwaptionShift))))))</f>
        <v/>
      </c>
      <c r="IC190" s="469" t="str">
        <f ca="1">IF(OR(IC$169&lt;SwaptionFirstMonthPosition+1,$FN190&lt;SwaptionFirstMonthPosition+1,IC$169&gt;SwaptionFirstMonthPosition+SwaptionNumOfMonths+1,$FN190&gt;SwaptionFirstMonthPosition+SwaptionNumOfMonths+1),"",IF($FN190=IC$169,1,IF($FN190&lt;IC$169,INDEX($FO$170:$IH$241,IC$169,$FN190),SUMPRODUCT(INDEX($FO$325:$IH$396,IC$169,1+SwaptionShift):INDEX($FO$325:$IH$396,IC$169,SwaptionMonthsToGo+SwaptionShift),INDEX($FO$245:$IH$316,$FN190-IC$169,73-IC$169+SwaptionShift):INDEX($FO$245:$IH$316,$FN190-IC$169,72-IC$169+SwaptionMonthsToGo+SwaptionShift))/SQRT(SUM(INDEX($FO345:$IH345,1+SwaptionShift):INDEX($FO345:$IH345,SwaptionMonthsToGo+SwaptionShift))*SUM(INDEX($FO$325:$IH$396,IC$169,1+SwaptionShift):INDEX($FO$325:$IH$396,IC$169,SwaptionMonthsToGo+SwaptionShift))))))</f>
        <v/>
      </c>
      <c r="ID190" s="469" t="str">
        <f ca="1">IF(OR(ID$169&lt;SwaptionFirstMonthPosition+1,$FN190&lt;SwaptionFirstMonthPosition+1,ID$169&gt;SwaptionFirstMonthPosition+SwaptionNumOfMonths+1,$FN190&gt;SwaptionFirstMonthPosition+SwaptionNumOfMonths+1),"",IF($FN190=ID$169,1,IF($FN190&lt;ID$169,INDEX($FO$170:$IH$241,ID$169,$FN190),SUMPRODUCT(INDEX($FO$325:$IH$396,ID$169,1+SwaptionShift):INDEX($FO$325:$IH$396,ID$169,SwaptionMonthsToGo+SwaptionShift),INDEX($FO$245:$IH$316,$FN190-ID$169,73-ID$169+SwaptionShift):INDEX($FO$245:$IH$316,$FN190-ID$169,72-ID$169+SwaptionMonthsToGo+SwaptionShift))/SQRT(SUM(INDEX($FO345:$IH345,1+SwaptionShift):INDEX($FO345:$IH345,SwaptionMonthsToGo+SwaptionShift))*SUM(INDEX($FO$325:$IH$396,ID$169,1+SwaptionShift):INDEX($FO$325:$IH$396,ID$169,SwaptionMonthsToGo+SwaptionShift))))))</f>
        <v/>
      </c>
      <c r="IE190" s="469" t="str">
        <f ca="1">IF(OR(IE$169&lt;SwaptionFirstMonthPosition+1,$FN190&lt;SwaptionFirstMonthPosition+1,IE$169&gt;SwaptionFirstMonthPosition+SwaptionNumOfMonths+1,$FN190&gt;SwaptionFirstMonthPosition+SwaptionNumOfMonths+1),"",IF($FN190=IE$169,1,IF($FN190&lt;IE$169,INDEX($FO$170:$IH$241,IE$169,$FN190),SUMPRODUCT(INDEX($FO$325:$IH$396,IE$169,1+SwaptionShift):INDEX($FO$325:$IH$396,IE$169,SwaptionMonthsToGo+SwaptionShift),INDEX($FO$245:$IH$316,$FN190-IE$169,73-IE$169+SwaptionShift):INDEX($FO$245:$IH$316,$FN190-IE$169,72-IE$169+SwaptionMonthsToGo+SwaptionShift))/SQRT(SUM(INDEX($FO345:$IH345,1+SwaptionShift):INDEX($FO345:$IH345,SwaptionMonthsToGo+SwaptionShift))*SUM(INDEX($FO$325:$IH$396,IE$169,1+SwaptionShift):INDEX($FO$325:$IH$396,IE$169,SwaptionMonthsToGo+SwaptionShift))))))</f>
        <v/>
      </c>
      <c r="IF190" s="469" t="str">
        <f ca="1">IF(OR(IF$169&lt;SwaptionFirstMonthPosition+1,$FN190&lt;SwaptionFirstMonthPosition+1,IF$169&gt;SwaptionFirstMonthPosition+SwaptionNumOfMonths+1,$FN190&gt;SwaptionFirstMonthPosition+SwaptionNumOfMonths+1),"",IF($FN190=IF$169,1,IF($FN190&lt;IF$169,INDEX($FO$170:$IH$241,IF$169,$FN190),SUMPRODUCT(INDEX($FO$325:$IH$396,IF$169,1+SwaptionShift):INDEX($FO$325:$IH$396,IF$169,SwaptionMonthsToGo+SwaptionShift),INDEX($FO$245:$IH$316,$FN190-IF$169,73-IF$169+SwaptionShift):INDEX($FO$245:$IH$316,$FN190-IF$169,72-IF$169+SwaptionMonthsToGo+SwaptionShift))/SQRT(SUM(INDEX($FO345:$IH345,1+SwaptionShift):INDEX($FO345:$IH345,SwaptionMonthsToGo+SwaptionShift))*SUM(INDEX($FO$325:$IH$396,IF$169,1+SwaptionShift):INDEX($FO$325:$IH$396,IF$169,SwaptionMonthsToGo+SwaptionShift))))))</f>
        <v/>
      </c>
      <c r="IG190" s="469" t="str">
        <f ca="1">IF(OR(IG$169&lt;SwaptionFirstMonthPosition+1,$FN190&lt;SwaptionFirstMonthPosition+1,IG$169&gt;SwaptionFirstMonthPosition+SwaptionNumOfMonths+1,$FN190&gt;SwaptionFirstMonthPosition+SwaptionNumOfMonths+1),"",IF($FN190=IG$169,1,IF($FN190&lt;IG$169,INDEX($FO$170:$IH$241,IG$169,$FN190),SUMPRODUCT(INDEX($FO$325:$IH$396,IG$169,1+SwaptionShift):INDEX($FO$325:$IH$396,IG$169,SwaptionMonthsToGo+SwaptionShift),INDEX($FO$245:$IH$316,$FN190-IG$169,73-IG$169+SwaptionShift):INDEX($FO$245:$IH$316,$FN190-IG$169,72-IG$169+SwaptionMonthsToGo+SwaptionShift))/SQRT(SUM(INDEX($FO345:$IH345,1+SwaptionShift):INDEX($FO345:$IH345,SwaptionMonthsToGo+SwaptionShift))*SUM(INDEX($FO$325:$IH$396,IG$169,1+SwaptionShift):INDEX($FO$325:$IH$396,IG$169,SwaptionMonthsToGo+SwaptionShift))))))</f>
        <v/>
      </c>
      <c r="IH190" s="662" t="str">
        <f ca="1">IF(OR(IH$169&lt;SwaptionFirstMonthPosition+1,$FN190&lt;SwaptionFirstMonthPosition+1,IH$169&gt;SwaptionFirstMonthPosition+SwaptionNumOfMonths+1,$FN190&gt;SwaptionFirstMonthPosition+SwaptionNumOfMonths+1),"",IF($FN190=IH$169,1,IF($FN190&lt;IH$169,INDEX($FO$170:$IH$241,IH$169,$FN190),SUMPRODUCT(INDEX($FO$325:$IH$396,IH$169,1+SwaptionShift):INDEX($FO$325:$IH$396,IH$169,SwaptionMonthsToGo+SwaptionShift),INDEX($FO$245:$IH$316,$FN190-IH$169,73-IH$169+SwaptionShift):INDEX($FO$245:$IH$316,$FN190-IH$169,72-IH$169+SwaptionMonthsToGo+SwaptionShift))/SQRT(SUM(INDEX($FO345:$IH345,1+SwaptionShift):INDEX($FO345:$IH345,SwaptionMonthsToGo+SwaptionShift))*SUM(INDEX($FO$325:$IH$396,IH$169,1+SwaptionShift):INDEX($FO$325:$IH$396,IH$169,SwaptionMonthsToGo+SwaptionShift))))))</f>
        <v/>
      </c>
      <c r="II190" s="242"/>
    </row>
    <row r="191" spans="8:243">
      <c r="H191" s="49" t="e">
        <f t="shared" ca="1" si="529"/>
        <v>#N/A</v>
      </c>
      <c r="I191" s="369">
        <f t="shared" si="530"/>
        <v>42217</v>
      </c>
      <c r="J191" s="367">
        <v>23.659999999999901</v>
      </c>
      <c r="K191" s="101" t="s">
        <v>267</v>
      </c>
      <c r="L191" s="382">
        <f t="shared" si="531"/>
        <v>23.659999999999886</v>
      </c>
      <c r="M191" s="163">
        <v>0.14269999999999999</v>
      </c>
      <c r="N191" s="372">
        <v>0</v>
      </c>
      <c r="O191" s="163">
        <f t="shared" si="488"/>
        <v>0.14269999999999999</v>
      </c>
      <c r="P191" s="367">
        <v>22.220391334138398</v>
      </c>
      <c r="Q191" s="101" t="s">
        <v>267</v>
      </c>
      <c r="R191" s="367">
        <f t="shared" ca="1" si="549"/>
        <v>22.220391334138426</v>
      </c>
      <c r="S191" s="814">
        <f t="shared" si="474"/>
        <v>0.34905634765629878</v>
      </c>
      <c r="T191" s="813">
        <f t="shared" si="550"/>
        <v>0.99999999883075741</v>
      </c>
      <c r="U191" s="532">
        <f t="shared" si="551"/>
        <v>0.99999999999999978</v>
      </c>
      <c r="V191" s="379">
        <v>0</v>
      </c>
      <c r="W191" s="424">
        <f t="shared" si="576"/>
        <v>23.693333333333232</v>
      </c>
      <c r="X191" s="405">
        <f t="shared" si="577"/>
        <v>23.693333333333218</v>
      </c>
      <c r="Y191" s="313">
        <f t="shared" si="578"/>
        <v>22.374933333333232</v>
      </c>
      <c r="Z191" s="313">
        <f t="shared" ca="1" si="579"/>
        <v>22.374933333333217</v>
      </c>
      <c r="AA191" s="419">
        <f t="shared" si="493"/>
        <v>1.3184</v>
      </c>
      <c r="AB191" s="423">
        <f t="shared" ca="1" si="494"/>
        <v>1.3184</v>
      </c>
      <c r="AC191" s="221">
        <v>42205</v>
      </c>
      <c r="AD191" s="221">
        <v>42201</v>
      </c>
      <c r="AE191" s="221">
        <v>42200</v>
      </c>
      <c r="AF191" s="221">
        <v>42196</v>
      </c>
      <c r="AG191" s="241" t="s">
        <v>497</v>
      </c>
      <c r="AH191" s="239" t="s">
        <v>497</v>
      </c>
      <c r="AI191" s="141">
        <v>21</v>
      </c>
      <c r="AJ191" s="41">
        <v>14</v>
      </c>
      <c r="AK191" s="41">
        <v>7</v>
      </c>
      <c r="AL191" s="285">
        <v>21</v>
      </c>
      <c r="AM191" s="41">
        <v>10</v>
      </c>
      <c r="AN191" s="142">
        <v>11</v>
      </c>
      <c r="AO191" s="364">
        <v>6.1590861132412703E-2</v>
      </c>
      <c r="AP191" s="145">
        <f t="shared" ca="1" si="532"/>
        <v>0.417657202545898</v>
      </c>
      <c r="AQ191" s="364">
        <v>5.54178224829718E-2</v>
      </c>
      <c r="AR191" s="145">
        <f t="shared" ca="1" si="552"/>
        <v>0.45845777667086574</v>
      </c>
      <c r="AS191" s="264">
        <f t="shared" si="580"/>
        <v>0.14216666666666666</v>
      </c>
      <c r="AT191" s="149">
        <f t="shared" si="533"/>
        <v>0.14269999999999999</v>
      </c>
      <c r="AU191" s="149">
        <f t="shared" si="496"/>
        <v>0.14209047619047621</v>
      </c>
      <c r="AV191" s="263">
        <f t="shared" ca="1" si="560"/>
        <v>0.14062609483145005</v>
      </c>
      <c r="AW191" s="150" t="str">
        <f t="shared" ca="1" si="581"/>
        <v/>
      </c>
      <c r="AX191" s="149">
        <f t="shared" ca="1" si="553"/>
        <v>5.8165314184523993E-3</v>
      </c>
      <c r="AY191" s="149">
        <f t="shared" ca="1" si="554"/>
        <v>2.0070697762882722E-3</v>
      </c>
      <c r="AZ191" s="149">
        <f t="shared" ca="1" si="555"/>
        <v>2.0236331684528922E-3</v>
      </c>
      <c r="BA191" s="149">
        <f t="shared" ca="1" si="556"/>
        <v>1.0000000000000854E-4</v>
      </c>
      <c r="BB191" s="149">
        <f t="shared" ca="1" si="557"/>
        <v>1.0000000000000854E-4</v>
      </c>
      <c r="BC191" s="149">
        <f t="shared" ca="1" si="558"/>
        <v>1.0000000000000854E-4</v>
      </c>
      <c r="BD191" s="143">
        <f t="shared" ca="1" si="582"/>
        <v>0</v>
      </c>
      <c r="BE191" s="144">
        <f t="shared" ca="1" si="583"/>
        <v>0</v>
      </c>
      <c r="BF191" s="40">
        <f t="shared" si="584"/>
        <v>2015</v>
      </c>
      <c r="BG191" s="139">
        <f t="shared" si="585"/>
        <v>8</v>
      </c>
      <c r="BH191" s="140">
        <f t="shared" ca="1" si="586"/>
        <v>5211</v>
      </c>
      <c r="BI191" s="304">
        <f t="shared" ca="1" si="570"/>
        <v>14.310746064339494</v>
      </c>
      <c r="BJ191" s="42">
        <f t="shared" ca="1" si="503"/>
        <v>14.365503080082135</v>
      </c>
      <c r="BK191" s="42">
        <f t="shared" ca="1" si="504"/>
        <v>14.368240930869268</v>
      </c>
      <c r="BL191" s="42">
        <f t="shared" ca="1" si="571"/>
        <v>14.392881587953456</v>
      </c>
      <c r="BM191" s="285">
        <f t="shared" si="572"/>
        <v>21</v>
      </c>
      <c r="BN191" s="41">
        <f t="shared" si="573"/>
        <v>14</v>
      </c>
      <c r="BO191" s="41">
        <f t="shared" si="574"/>
        <v>7</v>
      </c>
      <c r="BP191" s="297" t="str">
        <f t="shared" ca="1" si="505"/>
        <v/>
      </c>
      <c r="BQ191" s="297" t="str">
        <f t="shared" ca="1" si="506"/>
        <v/>
      </c>
      <c r="BR191" s="299" t="str">
        <f t="shared" ca="1" si="507"/>
        <v/>
      </c>
      <c r="BS191" s="153" t="str">
        <f t="shared" ca="1" si="508"/>
        <v/>
      </c>
      <c r="BT191" s="153" t="str">
        <f t="shared" ca="1" si="509"/>
        <v/>
      </c>
      <c r="BU191" s="300" t="str">
        <f t="shared" ca="1" si="510"/>
        <v/>
      </c>
      <c r="BV191" s="301" t="str">
        <f t="shared" ca="1" si="511"/>
        <v/>
      </c>
      <c r="BW191" s="300" t="str">
        <f t="shared" ca="1" si="512"/>
        <v/>
      </c>
      <c r="BX191" s="301" t="str">
        <f t="shared" ca="1" si="513"/>
        <v/>
      </c>
      <c r="BY191" s="146" t="str">
        <f t="shared" ca="1" si="514"/>
        <v/>
      </c>
      <c r="BZ191" s="146" t="str">
        <f t="shared" ca="1" si="515"/>
        <v/>
      </c>
      <c r="CA191" s="146" t="str">
        <f t="shared" ca="1" si="516"/>
        <v/>
      </c>
      <c r="CB191" s="146" t="str">
        <f t="shared" ca="1" si="517"/>
        <v/>
      </c>
      <c r="CC191" s="302">
        <v>1</v>
      </c>
      <c r="CD191" s="154">
        <f ca="1">IF(BD191,_xll.xCrudeAPO(BS191,BT191,BY191,BZ191,S192,S193,BI191,BL191,BN191,BO191,0,Strike1,AO191,CC191,0,BL191,IF(OptControl=4,0,1),0,1),0)</f>
        <v>0</v>
      </c>
      <c r="CE191" s="155">
        <f ca="1">IF(BD191,_xll.xCrudeAPO(BS191,BT191,BY191,BZ191,S192,S193,BI191,BL191,BN191,BO191,0,Strike1,AO191,CC191,0,BL191,IF(OptControl=4,0,1),1,1)+_xll.xCrudeAPO(BS191,BT191,BY191,BZ191,S192,S193,BI191,BL191,BN191,BO191,0,Strike1,AO191,CC191,0,BL191,IF(OptControl=4,0,1),1,2)+IF(OR(VolSkewFlag=2,ABS(BQ191)&lt;0.0001),0,IF(BQ191&gt;0,-1,1)*CF191*Strike1/BP191^2*BW191/10%),0)</f>
        <v>0</v>
      </c>
      <c r="CF191" s="155">
        <f ca="1">IF(BD191,(_xll.xCrudeAPO(BS191,BT191,BY191,BZ191,S192,S193,BI191,BL191,BN191,BO191,0,Strike1,AO191,CC191,0,BL191,IF(OptControl=4,0,1),3,1)+_xll.xCrudeAPO(BS191,BT191,BY191,BZ191,S192,S193,BI191,BL191,BN191,BO191,0,Strike1,AO191,CC191,0,BL191,IF(OptControl=4,0,1),3,2))/100,0)</f>
        <v>0</v>
      </c>
      <c r="CG191" s="155">
        <f ca="1">IF(BD191,_xll.xCrudeAPO(BS191,BT191,BY191,BZ191,S192,S193,BI191-DaysForThetaCalculation/365.25,BL191-DaysForThetaCalculation/365.25,BN191,BO191,0,Strike1,AO191,CC191,0,BL191,IF(OptControl=4,0,1),0,1)-_xll.xCrudeAPO(BS191,BT191,BY191,BZ191,S192,S193,BI191,BL191,BN191,BO191,0,Strike1,AO191,CC191,0,BL191,IF(OptControl=4,0,1),0,1),0)</f>
        <v>0</v>
      </c>
      <c r="CH191" s="303">
        <f ca="1">IF(BD191,_xll.xCrudeAPO(BS191,BT191,CA191,CB191,S192,S193,BI191,BL191,BN191,BO191,0,Strike2,AO191,CC191,0,BL191,IF(OptControl=3,1,0),0,1),0)</f>
        <v>0</v>
      </c>
      <c r="CI191" s="155">
        <f ca="1">IF(BD191,_xll.xCrudeAPO(BS191,BT191,CA191,CB191,S192,S193,BI191,BL191,BN191,BO191,0,Strike2,AO191,CC191,0,BL191,IF(OptControl=3,1,0),1,1)+_xll.xCrudeAPO(BS191,BT191,CA191,CB191,S192,S193,BI191,BL191,BN191,BO191,0,Strike2,AO191,CC191,0,BL191,IF(OptControl=3,1,0),1,2)+IF(OR(VolSkewFlag=2,ABS(BR191)&lt;0.0001),0,IF(BR191&gt;0,-1,1)*CJ191*Strike2/BP191^2*BX191/10%),0)</f>
        <v>0</v>
      </c>
      <c r="CJ191" s="155">
        <f ca="1">IF(BD191,(_xll.xCrudeAPO(BS191,BT191,CA191,CB191,S192,S193,BI191,BL191,BN191,BO191,0,Strike2,AO191,CC191,0,BL191,IF(OptControl=3,1,0),3,1)+_xll.xCrudeAPO(BS191,BT191,CA191,CB191,S192,S193,BI191,BL191,BN191,BO191,0,Strike2,AO191,CC191,0,BL191,IF(OptControl=3,1,0),3,2))/100,0)</f>
        <v>0</v>
      </c>
      <c r="CK191" s="156">
        <f ca="1">IF(BD191,_xll.xCrudeAPO(BS191,BT191,CA191,CB191,S192,S193,BI191-DaysForThetaCalculation/365.25,BL191-DaysForThetaCalculation/365.25,BN191,BO191,0,Strike2,AO191,CC191,0,BL191,IF(OptControl=3,1,0),0,1)-_xll.xCrudeAPO(BS191,BT191,CA191,CB191,S192,S193,BI191,BL191,BN191,BO191,0,Strike2,AO191,CC191,0,BL191,IF(OptControl=3,1,0),0,1),0)</f>
        <v>0</v>
      </c>
      <c r="CL191" s="51"/>
      <c r="CM191" s="779" t="str">
        <f t="shared" ca="1" si="534"/>
        <v/>
      </c>
      <c r="CN191" s="783" t="str">
        <f t="shared" ca="1" si="535"/>
        <v/>
      </c>
      <c r="CO191" s="780" t="str">
        <f t="shared" ca="1" si="536"/>
        <v/>
      </c>
      <c r="CP191" s="780" t="str">
        <f t="shared" ca="1" si="537"/>
        <v/>
      </c>
      <c r="CQ191" s="780" t="str">
        <f t="shared" ca="1" si="538"/>
        <v/>
      </c>
      <c r="CR191" s="780" t="str">
        <f t="shared" ca="1" si="539"/>
        <v/>
      </c>
      <c r="CS191" s="781" t="str">
        <f t="shared" ca="1" si="540"/>
        <v/>
      </c>
      <c r="CT191" s="782" t="str">
        <f t="shared" ca="1" si="541"/>
        <v/>
      </c>
      <c r="CU191" s="782" t="str">
        <f t="shared" ca="1" si="542"/>
        <v/>
      </c>
      <c r="CV191" s="155">
        <f ca="1">IF(BD191,_xll.EURO(CN191,Strike1,AO191,AO191,CT191,CM191,IF(OptControl=4,0,1),0),0)</f>
        <v>0</v>
      </c>
      <c r="CW191" s="155">
        <f ca="1">IF(BD191,_xll.EURO(CN191,Strike1,AO191,AO191,CT191,CM191,IF(OptControl=4,0,1),1)+IF(OR(VolSkewFlag=2,ABS(CO191)&lt;0.0001),0,IF(CO191&gt;0,-1,1)*CX191*100*Strike1/CN191^2*CQ191/10%),0)</f>
        <v>0</v>
      </c>
      <c r="CX191" s="155">
        <f ca="1">IF(BD191,_xll.EURO(CN191,Strike1,AO191,AO191,CT191,CM191,IF(OptControl=4,0,1),3)/100,0)</f>
        <v>0</v>
      </c>
      <c r="CY191" s="155">
        <f ca="1">IF(BD191,_xll.EURO(CN191,Strike1,AO191,AO191,CT191,CM191,IF(OptControl=4,0,1),0)-_xll.EURO(CN191,Strike1,AO191,AO191,CT191,CM191-1,IF(OptControl=4,0,1),0),0)</f>
        <v>0</v>
      </c>
      <c r="CZ191" s="155">
        <f ca="1">IF(BD191,_xll.EURO(CN191,Strike2,AO191,AO191,CU191,CM191,IF(OptControl=3,1,0),0),0)</f>
        <v>0</v>
      </c>
      <c r="DA191" s="155">
        <f ca="1">IF(BD191,_xll.EURO(CN191,Strike2,AO191,AO191,CU191,CM191,IF(OptControl=3,1,0),1)+IF(OR(VolSkewFlag=2,ABS(CP191)&lt;0.0001),0,IF(CP191&gt;0,-1,1)*DB191*100*Strike2/CN191^2*CR191/10%),0)</f>
        <v>0</v>
      </c>
      <c r="DB191" s="155">
        <f ca="1">IF(BD191,_xll.EURO(CN191,Strike2,AO191,AO191,CU191,CM191,IF(OptControl=3,1,0),3)/100,0)</f>
        <v>0</v>
      </c>
      <c r="DC191" s="156">
        <f ca="1">IF(BD191,_xll.EURO(CN191,Strike2,AO191,AO191,CU191,CM191,IF(OptControl=3,1,0),0)-_xll.EURO(CN191,Strike2,AO191,AO191,CU191,CM191-1,IF(OptControl=3,1,0),0),0)</f>
        <v>0</v>
      </c>
      <c r="DE191" s="651">
        <f t="shared" ca="1" si="543"/>
        <v>42125</v>
      </c>
      <c r="DF191" s="465">
        <v>1E-4</v>
      </c>
      <c r="DG191" s="649">
        <v>1E-4</v>
      </c>
      <c r="DH191" s="650">
        <f t="shared" ca="1" si="587"/>
        <v>42125</v>
      </c>
      <c r="DI191" s="465">
        <v>1E-4</v>
      </c>
      <c r="DJ191" s="649">
        <v>1E-4</v>
      </c>
      <c r="DK191" s="651">
        <f t="shared" ca="1" si="588"/>
        <v>42125</v>
      </c>
      <c r="DL191" s="652">
        <f t="shared" si="589"/>
        <v>5.0100000000000006E-2</v>
      </c>
      <c r="DM191" s="651">
        <f t="shared" ca="1" si="544"/>
        <v>42125</v>
      </c>
      <c r="DN191" s="563">
        <f t="shared" si="545"/>
        <v>-0.12990000000000002</v>
      </c>
      <c r="DO191" s="803">
        <v>-0.13</v>
      </c>
      <c r="DP191" s="650">
        <f t="shared" ca="1" si="590"/>
        <v>42125</v>
      </c>
      <c r="DQ191" s="653">
        <v>1E-4</v>
      </c>
      <c r="DR191" s="590">
        <v>1E-4</v>
      </c>
      <c r="DS191" s="650">
        <f t="shared" ca="1" si="591"/>
        <v>42125</v>
      </c>
      <c r="DT191" s="653">
        <v>1E-4</v>
      </c>
      <c r="DU191" s="590">
        <v>1E-4</v>
      </c>
      <c r="DV191" s="651">
        <f t="shared" ca="1" si="592"/>
        <v>42125</v>
      </c>
      <c r="DW191" s="590">
        <v>1E-4</v>
      </c>
      <c r="DX191" s="651">
        <f t="shared" ca="1" si="546"/>
        <v>42125</v>
      </c>
      <c r="DY191" s="590">
        <f t="shared" si="547"/>
        <v>1E-4</v>
      </c>
      <c r="DZ191" s="1"/>
      <c r="EA191" s="857"/>
      <c r="EB191" s="857"/>
      <c r="EC191" s="857"/>
      <c r="ED191" s="868" t="e">
        <f t="shared" ca="1" si="566"/>
        <v>#NAME?</v>
      </c>
      <c r="EE191" s="863" t="e">
        <f t="shared" ca="1" si="524"/>
        <v>#NAME?</v>
      </c>
      <c r="EF191" s="590" t="e">
        <f t="shared" ca="1" si="525"/>
        <v>#NAME?</v>
      </c>
      <c r="EG191" s="862" t="str">
        <f t="shared" ca="1" si="593"/>
        <v/>
      </c>
      <c r="EH191" s="114" t="str">
        <f t="shared" ca="1" si="527"/>
        <v/>
      </c>
      <c r="EI191" s="109" t="str">
        <f t="shared" ca="1" si="528"/>
        <v/>
      </c>
      <c r="EJ191" s="115">
        <f ca="1">IF(BD191,_xll.xASN(BP191,Strike1,AO191,EH191,0,BM191,0,BI191,BL191,IF(OptControl=4,0,1),0),0)</f>
        <v>0</v>
      </c>
      <c r="EK191" s="108">
        <f ca="1">IF(BD191,_xll.xASN(BP191,Strike2,AO191,EI191,0,BM191,0,BI191,BL191,IF(OptControl=3,1,0),0),0)</f>
        <v>0</v>
      </c>
      <c r="EP191" s="53"/>
      <c r="EQ191" s="1"/>
      <c r="ER191" s="103"/>
      <c r="ES191" s="103"/>
      <c r="ET191" s="1"/>
      <c r="EU191" s="667" t="s">
        <v>403</v>
      </c>
      <c r="EW191" s="445"/>
      <c r="EX191" s="36"/>
      <c r="EY191" s="104"/>
      <c r="EZ191" s="465"/>
      <c r="FA191" s="446"/>
      <c r="FB191" s="446"/>
      <c r="FC191" s="242"/>
      <c r="FD191" s="242"/>
      <c r="FE191" s="242"/>
      <c r="FF191" s="242"/>
      <c r="FG191" s="242"/>
      <c r="FH191" s="242"/>
      <c r="FI191" s="242"/>
      <c r="FJ191" s="242"/>
      <c r="FK191" s="242"/>
      <c r="FL191" s="242"/>
      <c r="FM191" s="242"/>
      <c r="FN191" s="657">
        <v>22</v>
      </c>
      <c r="FO191" s="469" t="str">
        <f ca="1">IF(OR(FO$169&lt;SwaptionFirstMonthPosition+1,$FN191&lt;SwaptionFirstMonthPosition+1,FO$169&gt;SwaptionFirstMonthPosition+SwaptionNumOfMonths+1,$FN191&gt;SwaptionFirstMonthPosition+SwaptionNumOfMonths+1),"",IF($FN191=FO$169,1,IF($FN191&lt;FO$169,INDEX($FO$170:$IH$241,FO$169,$FN191),SUMPRODUCT(INDEX($FO$325:$IH$396,FO$169,1+SwaptionShift):INDEX($FO$325:$IH$396,FO$169,SwaptionMonthsToGo+SwaptionShift),INDEX($FO$245:$IH$316,$FN191-FO$169,73-FO$169+SwaptionShift):INDEX($FO$245:$IH$316,$FN191-FO$169,72-FO$169+SwaptionMonthsToGo+SwaptionShift))/SQRT(SUM(INDEX($FO346:$IH346,1+SwaptionShift):INDEX($FO346:$IH346,SwaptionMonthsToGo+SwaptionShift))*SUM(INDEX($FO$325:$IH$396,FO$169,1+SwaptionShift):INDEX($FO$325:$IH$396,FO$169,SwaptionMonthsToGo+SwaptionShift))))))</f>
        <v/>
      </c>
      <c r="FP191" s="469" t="str">
        <f ca="1">IF(OR(FP$169&lt;SwaptionFirstMonthPosition+1,$FN191&lt;SwaptionFirstMonthPosition+1,FP$169&gt;SwaptionFirstMonthPosition+SwaptionNumOfMonths+1,$FN191&gt;SwaptionFirstMonthPosition+SwaptionNumOfMonths+1),"",IF($FN191=FP$169,1,IF($FN191&lt;FP$169,INDEX($FO$170:$IH$241,FP$169,$FN191),SUMPRODUCT(INDEX($FO$325:$IH$396,FP$169,1+SwaptionShift):INDEX($FO$325:$IH$396,FP$169,SwaptionMonthsToGo+SwaptionShift),INDEX($FO$245:$IH$316,$FN191-FP$169,73-FP$169+SwaptionShift):INDEX($FO$245:$IH$316,$FN191-FP$169,72-FP$169+SwaptionMonthsToGo+SwaptionShift))/SQRT(SUM(INDEX($FO346:$IH346,1+SwaptionShift):INDEX($FO346:$IH346,SwaptionMonthsToGo+SwaptionShift))*SUM(INDEX($FO$325:$IH$396,FP$169,1+SwaptionShift):INDEX($FO$325:$IH$396,FP$169,SwaptionMonthsToGo+SwaptionShift))))))</f>
        <v/>
      </c>
      <c r="FQ191" s="469" t="str">
        <f ca="1">IF(OR(FQ$169&lt;SwaptionFirstMonthPosition+1,$FN191&lt;SwaptionFirstMonthPosition+1,FQ$169&gt;SwaptionFirstMonthPosition+SwaptionNumOfMonths+1,$FN191&gt;SwaptionFirstMonthPosition+SwaptionNumOfMonths+1),"",IF($FN191=FQ$169,1,IF($FN191&lt;FQ$169,INDEX($FO$170:$IH$241,FQ$169,$FN191),SUMPRODUCT(INDEX($FO$325:$IH$396,FQ$169,1+SwaptionShift):INDEX($FO$325:$IH$396,FQ$169,SwaptionMonthsToGo+SwaptionShift),INDEX($FO$245:$IH$316,$FN191-FQ$169,73-FQ$169+SwaptionShift):INDEX($FO$245:$IH$316,$FN191-FQ$169,72-FQ$169+SwaptionMonthsToGo+SwaptionShift))/SQRT(SUM(INDEX($FO346:$IH346,1+SwaptionShift):INDEX($FO346:$IH346,SwaptionMonthsToGo+SwaptionShift))*SUM(INDEX($FO$325:$IH$396,FQ$169,1+SwaptionShift):INDEX($FO$325:$IH$396,FQ$169,SwaptionMonthsToGo+SwaptionShift))))))</f>
        <v/>
      </c>
      <c r="FR191" s="469" t="str">
        <f ca="1">IF(OR(FR$169&lt;SwaptionFirstMonthPosition+1,$FN191&lt;SwaptionFirstMonthPosition+1,FR$169&gt;SwaptionFirstMonthPosition+SwaptionNumOfMonths+1,$FN191&gt;SwaptionFirstMonthPosition+SwaptionNumOfMonths+1),"",IF($FN191=FR$169,1,IF($FN191&lt;FR$169,INDEX($FO$170:$IH$241,FR$169,$FN191),SUMPRODUCT(INDEX($FO$325:$IH$396,FR$169,1+SwaptionShift):INDEX($FO$325:$IH$396,FR$169,SwaptionMonthsToGo+SwaptionShift),INDEX($FO$245:$IH$316,$FN191-FR$169,73-FR$169+SwaptionShift):INDEX($FO$245:$IH$316,$FN191-FR$169,72-FR$169+SwaptionMonthsToGo+SwaptionShift))/SQRT(SUM(INDEX($FO346:$IH346,1+SwaptionShift):INDEX($FO346:$IH346,SwaptionMonthsToGo+SwaptionShift))*SUM(INDEX($FO$325:$IH$396,FR$169,1+SwaptionShift):INDEX($FO$325:$IH$396,FR$169,SwaptionMonthsToGo+SwaptionShift))))))</f>
        <v/>
      </c>
      <c r="FS191" s="469" t="str">
        <f ca="1">IF(OR(FS$169&lt;SwaptionFirstMonthPosition+1,$FN191&lt;SwaptionFirstMonthPosition+1,FS$169&gt;SwaptionFirstMonthPosition+SwaptionNumOfMonths+1,$FN191&gt;SwaptionFirstMonthPosition+SwaptionNumOfMonths+1),"",IF($FN191=FS$169,1,IF($FN191&lt;FS$169,INDEX($FO$170:$IH$241,FS$169,$FN191),SUMPRODUCT(INDEX($FO$325:$IH$396,FS$169,1+SwaptionShift):INDEX($FO$325:$IH$396,FS$169,SwaptionMonthsToGo+SwaptionShift),INDEX($FO$245:$IH$316,$FN191-FS$169,73-FS$169+SwaptionShift):INDEX($FO$245:$IH$316,$FN191-FS$169,72-FS$169+SwaptionMonthsToGo+SwaptionShift))/SQRT(SUM(INDEX($FO346:$IH346,1+SwaptionShift):INDEX($FO346:$IH346,SwaptionMonthsToGo+SwaptionShift))*SUM(INDEX($FO$325:$IH$396,FS$169,1+SwaptionShift):INDEX($FO$325:$IH$396,FS$169,SwaptionMonthsToGo+SwaptionShift))))))</f>
        <v/>
      </c>
      <c r="FT191" s="469" t="str">
        <f ca="1">IF(OR(FT$169&lt;SwaptionFirstMonthPosition+1,$FN191&lt;SwaptionFirstMonthPosition+1,FT$169&gt;SwaptionFirstMonthPosition+SwaptionNumOfMonths+1,$FN191&gt;SwaptionFirstMonthPosition+SwaptionNumOfMonths+1),"",IF($FN191=FT$169,1,IF($FN191&lt;FT$169,INDEX($FO$170:$IH$241,FT$169,$FN191),SUMPRODUCT(INDEX($FO$325:$IH$396,FT$169,1+SwaptionShift):INDEX($FO$325:$IH$396,FT$169,SwaptionMonthsToGo+SwaptionShift),INDEX($FO$245:$IH$316,$FN191-FT$169,73-FT$169+SwaptionShift):INDEX($FO$245:$IH$316,$FN191-FT$169,72-FT$169+SwaptionMonthsToGo+SwaptionShift))/SQRT(SUM(INDEX($FO346:$IH346,1+SwaptionShift):INDEX($FO346:$IH346,SwaptionMonthsToGo+SwaptionShift))*SUM(INDEX($FO$325:$IH$396,FT$169,1+SwaptionShift):INDEX($FO$325:$IH$396,FT$169,SwaptionMonthsToGo+SwaptionShift))))))</f>
        <v/>
      </c>
      <c r="FU191" s="469" t="str">
        <f ca="1">IF(OR(FU$169&lt;SwaptionFirstMonthPosition+1,$FN191&lt;SwaptionFirstMonthPosition+1,FU$169&gt;SwaptionFirstMonthPosition+SwaptionNumOfMonths+1,$FN191&gt;SwaptionFirstMonthPosition+SwaptionNumOfMonths+1),"",IF($FN191=FU$169,1,IF($FN191&lt;FU$169,INDEX($FO$170:$IH$241,FU$169,$FN191),SUMPRODUCT(INDEX($FO$325:$IH$396,FU$169,1+SwaptionShift):INDEX($FO$325:$IH$396,FU$169,SwaptionMonthsToGo+SwaptionShift),INDEX($FO$245:$IH$316,$FN191-FU$169,73-FU$169+SwaptionShift):INDEX($FO$245:$IH$316,$FN191-FU$169,72-FU$169+SwaptionMonthsToGo+SwaptionShift))/SQRT(SUM(INDEX($FO346:$IH346,1+SwaptionShift):INDEX($FO346:$IH346,SwaptionMonthsToGo+SwaptionShift))*SUM(INDEX($FO$325:$IH$396,FU$169,1+SwaptionShift):INDEX($FO$325:$IH$396,FU$169,SwaptionMonthsToGo+SwaptionShift))))))</f>
        <v/>
      </c>
      <c r="FV191" s="469" t="str">
        <f ca="1">IF(OR(FV$169&lt;SwaptionFirstMonthPosition+1,$FN191&lt;SwaptionFirstMonthPosition+1,FV$169&gt;SwaptionFirstMonthPosition+SwaptionNumOfMonths+1,$FN191&gt;SwaptionFirstMonthPosition+SwaptionNumOfMonths+1),"",IF($FN191=FV$169,1,IF($FN191&lt;FV$169,INDEX($FO$170:$IH$241,FV$169,$FN191),SUMPRODUCT(INDEX($FO$325:$IH$396,FV$169,1+SwaptionShift):INDEX($FO$325:$IH$396,FV$169,SwaptionMonthsToGo+SwaptionShift),INDEX($FO$245:$IH$316,$FN191-FV$169,73-FV$169+SwaptionShift):INDEX($FO$245:$IH$316,$FN191-FV$169,72-FV$169+SwaptionMonthsToGo+SwaptionShift))/SQRT(SUM(INDEX($FO346:$IH346,1+SwaptionShift):INDEX($FO346:$IH346,SwaptionMonthsToGo+SwaptionShift))*SUM(INDEX($FO$325:$IH$396,FV$169,1+SwaptionShift):INDEX($FO$325:$IH$396,FV$169,SwaptionMonthsToGo+SwaptionShift))))))</f>
        <v/>
      </c>
      <c r="FW191" s="469" t="str">
        <f ca="1">IF(OR(FW$169&lt;SwaptionFirstMonthPosition+1,$FN191&lt;SwaptionFirstMonthPosition+1,FW$169&gt;SwaptionFirstMonthPosition+SwaptionNumOfMonths+1,$FN191&gt;SwaptionFirstMonthPosition+SwaptionNumOfMonths+1),"",IF($FN191=FW$169,1,IF($FN191&lt;FW$169,INDEX($FO$170:$IH$241,FW$169,$FN191),SUMPRODUCT(INDEX($FO$325:$IH$396,FW$169,1+SwaptionShift):INDEX($FO$325:$IH$396,FW$169,SwaptionMonthsToGo+SwaptionShift),INDEX($FO$245:$IH$316,$FN191-FW$169,73-FW$169+SwaptionShift):INDEX($FO$245:$IH$316,$FN191-FW$169,72-FW$169+SwaptionMonthsToGo+SwaptionShift))/SQRT(SUM(INDEX($FO346:$IH346,1+SwaptionShift):INDEX($FO346:$IH346,SwaptionMonthsToGo+SwaptionShift))*SUM(INDEX($FO$325:$IH$396,FW$169,1+SwaptionShift):INDEX($FO$325:$IH$396,FW$169,SwaptionMonthsToGo+SwaptionShift))))))</f>
        <v/>
      </c>
      <c r="FX191" s="469" t="str">
        <f ca="1">IF(OR(FX$169&lt;SwaptionFirstMonthPosition+1,$FN191&lt;SwaptionFirstMonthPosition+1,FX$169&gt;SwaptionFirstMonthPosition+SwaptionNumOfMonths+1,$FN191&gt;SwaptionFirstMonthPosition+SwaptionNumOfMonths+1),"",IF($FN191=FX$169,1,IF($FN191&lt;FX$169,INDEX($FO$170:$IH$241,FX$169,$FN191),SUMPRODUCT(INDEX($FO$325:$IH$396,FX$169,1+SwaptionShift):INDEX($FO$325:$IH$396,FX$169,SwaptionMonthsToGo+SwaptionShift),INDEX($FO$245:$IH$316,$FN191-FX$169,73-FX$169+SwaptionShift):INDEX($FO$245:$IH$316,$FN191-FX$169,72-FX$169+SwaptionMonthsToGo+SwaptionShift))/SQRT(SUM(INDEX($FO346:$IH346,1+SwaptionShift):INDEX($FO346:$IH346,SwaptionMonthsToGo+SwaptionShift))*SUM(INDEX($FO$325:$IH$396,FX$169,1+SwaptionShift):INDEX($FO$325:$IH$396,FX$169,SwaptionMonthsToGo+SwaptionShift))))))</f>
        <v/>
      </c>
      <c r="FY191" s="469" t="str">
        <f ca="1">IF(OR(FY$169&lt;SwaptionFirstMonthPosition+1,$FN191&lt;SwaptionFirstMonthPosition+1,FY$169&gt;SwaptionFirstMonthPosition+SwaptionNumOfMonths+1,$FN191&gt;SwaptionFirstMonthPosition+SwaptionNumOfMonths+1),"",IF($FN191=FY$169,1,IF($FN191&lt;FY$169,INDEX($FO$170:$IH$241,FY$169,$FN191),SUMPRODUCT(INDEX($FO$325:$IH$396,FY$169,1+SwaptionShift):INDEX($FO$325:$IH$396,FY$169,SwaptionMonthsToGo+SwaptionShift),INDEX($FO$245:$IH$316,$FN191-FY$169,73-FY$169+SwaptionShift):INDEX($FO$245:$IH$316,$FN191-FY$169,72-FY$169+SwaptionMonthsToGo+SwaptionShift))/SQRT(SUM(INDEX($FO346:$IH346,1+SwaptionShift):INDEX($FO346:$IH346,SwaptionMonthsToGo+SwaptionShift))*SUM(INDEX($FO$325:$IH$396,FY$169,1+SwaptionShift):INDEX($FO$325:$IH$396,FY$169,SwaptionMonthsToGo+SwaptionShift))))))</f>
        <v/>
      </c>
      <c r="FZ191" s="469" t="str">
        <f ca="1">IF(OR(FZ$169&lt;SwaptionFirstMonthPosition+1,$FN191&lt;SwaptionFirstMonthPosition+1,FZ$169&gt;SwaptionFirstMonthPosition+SwaptionNumOfMonths+1,$FN191&gt;SwaptionFirstMonthPosition+SwaptionNumOfMonths+1),"",IF($FN191=FZ$169,1,IF($FN191&lt;FZ$169,INDEX($FO$170:$IH$241,FZ$169,$FN191),SUMPRODUCT(INDEX($FO$325:$IH$396,FZ$169,1+SwaptionShift):INDEX($FO$325:$IH$396,FZ$169,SwaptionMonthsToGo+SwaptionShift),INDEX($FO$245:$IH$316,$FN191-FZ$169,73-FZ$169+SwaptionShift):INDEX($FO$245:$IH$316,$FN191-FZ$169,72-FZ$169+SwaptionMonthsToGo+SwaptionShift))/SQRT(SUM(INDEX($FO346:$IH346,1+SwaptionShift):INDEX($FO346:$IH346,SwaptionMonthsToGo+SwaptionShift))*SUM(INDEX($FO$325:$IH$396,FZ$169,1+SwaptionShift):INDEX($FO$325:$IH$396,FZ$169,SwaptionMonthsToGo+SwaptionShift))))))</f>
        <v/>
      </c>
      <c r="GA191" s="469" t="str">
        <f ca="1">IF(OR(GA$169&lt;SwaptionFirstMonthPosition+1,$FN191&lt;SwaptionFirstMonthPosition+1,GA$169&gt;SwaptionFirstMonthPosition+SwaptionNumOfMonths+1,$FN191&gt;SwaptionFirstMonthPosition+SwaptionNumOfMonths+1),"",IF($FN191=GA$169,1,IF($FN191&lt;GA$169,INDEX($FO$170:$IH$241,GA$169,$FN191),SUMPRODUCT(INDEX($FO$325:$IH$396,GA$169,1+SwaptionShift):INDEX($FO$325:$IH$396,GA$169,SwaptionMonthsToGo+SwaptionShift),INDEX($FO$245:$IH$316,$FN191-GA$169,73-GA$169+SwaptionShift):INDEX($FO$245:$IH$316,$FN191-GA$169,72-GA$169+SwaptionMonthsToGo+SwaptionShift))/SQRT(SUM(INDEX($FO346:$IH346,1+SwaptionShift):INDEX($FO346:$IH346,SwaptionMonthsToGo+SwaptionShift))*SUM(INDEX($FO$325:$IH$396,GA$169,1+SwaptionShift):INDEX($FO$325:$IH$396,GA$169,SwaptionMonthsToGo+SwaptionShift))))))</f>
        <v/>
      </c>
      <c r="GB191" s="469" t="str">
        <f ca="1">IF(OR(GB$169&lt;SwaptionFirstMonthPosition+1,$FN191&lt;SwaptionFirstMonthPosition+1,GB$169&gt;SwaptionFirstMonthPosition+SwaptionNumOfMonths+1,$FN191&gt;SwaptionFirstMonthPosition+SwaptionNumOfMonths+1),"",IF($FN191=GB$169,1,IF($FN191&lt;GB$169,INDEX($FO$170:$IH$241,GB$169,$FN191),SUMPRODUCT(INDEX($FO$325:$IH$396,GB$169,1+SwaptionShift):INDEX($FO$325:$IH$396,GB$169,SwaptionMonthsToGo+SwaptionShift),INDEX($FO$245:$IH$316,$FN191-GB$169,73-GB$169+SwaptionShift):INDEX($FO$245:$IH$316,$FN191-GB$169,72-GB$169+SwaptionMonthsToGo+SwaptionShift))/SQRT(SUM(INDEX($FO346:$IH346,1+SwaptionShift):INDEX($FO346:$IH346,SwaptionMonthsToGo+SwaptionShift))*SUM(INDEX($FO$325:$IH$396,GB$169,1+SwaptionShift):INDEX($FO$325:$IH$396,GB$169,SwaptionMonthsToGo+SwaptionShift))))))</f>
        <v/>
      </c>
      <c r="GC191" s="469" t="str">
        <f ca="1">IF(OR(GC$169&lt;SwaptionFirstMonthPosition+1,$FN191&lt;SwaptionFirstMonthPosition+1,GC$169&gt;SwaptionFirstMonthPosition+SwaptionNumOfMonths+1,$FN191&gt;SwaptionFirstMonthPosition+SwaptionNumOfMonths+1),"",IF($FN191=GC$169,1,IF($FN191&lt;GC$169,INDEX($FO$170:$IH$241,GC$169,$FN191),SUMPRODUCT(INDEX($FO$325:$IH$396,GC$169,1+SwaptionShift):INDEX($FO$325:$IH$396,GC$169,SwaptionMonthsToGo+SwaptionShift),INDEX($FO$245:$IH$316,$FN191-GC$169,73-GC$169+SwaptionShift):INDEX($FO$245:$IH$316,$FN191-GC$169,72-GC$169+SwaptionMonthsToGo+SwaptionShift))/SQRT(SUM(INDEX($FO346:$IH346,1+SwaptionShift):INDEX($FO346:$IH346,SwaptionMonthsToGo+SwaptionShift))*SUM(INDEX($FO$325:$IH$396,GC$169,1+SwaptionShift):INDEX($FO$325:$IH$396,GC$169,SwaptionMonthsToGo+SwaptionShift))))))</f>
        <v/>
      </c>
      <c r="GD191" s="469" t="str">
        <f ca="1">IF(OR(GD$169&lt;SwaptionFirstMonthPosition+1,$FN191&lt;SwaptionFirstMonthPosition+1,GD$169&gt;SwaptionFirstMonthPosition+SwaptionNumOfMonths+1,$FN191&gt;SwaptionFirstMonthPosition+SwaptionNumOfMonths+1),"",IF($FN191=GD$169,1,IF($FN191&lt;GD$169,INDEX($FO$170:$IH$241,GD$169,$FN191),SUMPRODUCT(INDEX($FO$325:$IH$396,GD$169,1+SwaptionShift):INDEX($FO$325:$IH$396,GD$169,SwaptionMonthsToGo+SwaptionShift),INDEX($FO$245:$IH$316,$FN191-GD$169,73-GD$169+SwaptionShift):INDEX($FO$245:$IH$316,$FN191-GD$169,72-GD$169+SwaptionMonthsToGo+SwaptionShift))/SQRT(SUM(INDEX($FO346:$IH346,1+SwaptionShift):INDEX($FO346:$IH346,SwaptionMonthsToGo+SwaptionShift))*SUM(INDEX($FO$325:$IH$396,GD$169,1+SwaptionShift):INDEX($FO$325:$IH$396,GD$169,SwaptionMonthsToGo+SwaptionShift))))))</f>
        <v/>
      </c>
      <c r="GE191" s="469" t="str">
        <f ca="1">IF(OR(GE$169&lt;SwaptionFirstMonthPosition+1,$FN191&lt;SwaptionFirstMonthPosition+1,GE$169&gt;SwaptionFirstMonthPosition+SwaptionNumOfMonths+1,$FN191&gt;SwaptionFirstMonthPosition+SwaptionNumOfMonths+1),"",IF($FN191=GE$169,1,IF($FN191&lt;GE$169,INDEX($FO$170:$IH$241,GE$169,$FN191),SUMPRODUCT(INDEX($FO$325:$IH$396,GE$169,1+SwaptionShift):INDEX($FO$325:$IH$396,GE$169,SwaptionMonthsToGo+SwaptionShift),INDEX($FO$245:$IH$316,$FN191-GE$169,73-GE$169+SwaptionShift):INDEX($FO$245:$IH$316,$FN191-GE$169,72-GE$169+SwaptionMonthsToGo+SwaptionShift))/SQRT(SUM(INDEX($FO346:$IH346,1+SwaptionShift):INDEX($FO346:$IH346,SwaptionMonthsToGo+SwaptionShift))*SUM(INDEX($FO$325:$IH$396,GE$169,1+SwaptionShift):INDEX($FO$325:$IH$396,GE$169,SwaptionMonthsToGo+SwaptionShift))))))</f>
        <v/>
      </c>
      <c r="GF191" s="469" t="str">
        <f ca="1">IF(OR(GF$169&lt;SwaptionFirstMonthPosition+1,$FN191&lt;SwaptionFirstMonthPosition+1,GF$169&gt;SwaptionFirstMonthPosition+SwaptionNumOfMonths+1,$FN191&gt;SwaptionFirstMonthPosition+SwaptionNumOfMonths+1),"",IF($FN191=GF$169,1,IF($FN191&lt;GF$169,INDEX($FO$170:$IH$241,GF$169,$FN191),SUMPRODUCT(INDEX($FO$325:$IH$396,GF$169,1+SwaptionShift):INDEX($FO$325:$IH$396,GF$169,SwaptionMonthsToGo+SwaptionShift),INDEX($FO$245:$IH$316,$FN191-GF$169,73-GF$169+SwaptionShift):INDEX($FO$245:$IH$316,$FN191-GF$169,72-GF$169+SwaptionMonthsToGo+SwaptionShift))/SQRT(SUM(INDEX($FO346:$IH346,1+SwaptionShift):INDEX($FO346:$IH346,SwaptionMonthsToGo+SwaptionShift))*SUM(INDEX($FO$325:$IH$396,GF$169,1+SwaptionShift):INDEX($FO$325:$IH$396,GF$169,SwaptionMonthsToGo+SwaptionShift))))))</f>
        <v/>
      </c>
      <c r="GG191" s="469" t="str">
        <f ca="1">IF(OR(GG$169&lt;SwaptionFirstMonthPosition+1,$FN191&lt;SwaptionFirstMonthPosition+1,GG$169&gt;SwaptionFirstMonthPosition+SwaptionNumOfMonths+1,$FN191&gt;SwaptionFirstMonthPosition+SwaptionNumOfMonths+1),"",IF($FN191=GG$169,1,IF($FN191&lt;GG$169,INDEX($FO$170:$IH$241,GG$169,$FN191),SUMPRODUCT(INDEX($FO$325:$IH$396,GG$169,1+SwaptionShift):INDEX($FO$325:$IH$396,GG$169,SwaptionMonthsToGo+SwaptionShift),INDEX($FO$245:$IH$316,$FN191-GG$169,73-GG$169+SwaptionShift):INDEX($FO$245:$IH$316,$FN191-GG$169,72-GG$169+SwaptionMonthsToGo+SwaptionShift))/SQRT(SUM(INDEX($FO346:$IH346,1+SwaptionShift):INDEX($FO346:$IH346,SwaptionMonthsToGo+SwaptionShift))*SUM(INDEX($FO$325:$IH$396,GG$169,1+SwaptionShift):INDEX($FO$325:$IH$396,GG$169,SwaptionMonthsToGo+SwaptionShift))))))</f>
        <v/>
      </c>
      <c r="GH191" s="469" t="str">
        <f ca="1">IF(OR(GH$169&lt;SwaptionFirstMonthPosition+1,$FN191&lt;SwaptionFirstMonthPosition+1,GH$169&gt;SwaptionFirstMonthPosition+SwaptionNumOfMonths+1,$FN191&gt;SwaptionFirstMonthPosition+SwaptionNumOfMonths+1),"",IF($FN191=GH$169,1,IF($FN191&lt;GH$169,INDEX($FO$170:$IH$241,GH$169,$FN191),SUMPRODUCT(INDEX($FO$325:$IH$396,GH$169,1+SwaptionShift):INDEX($FO$325:$IH$396,GH$169,SwaptionMonthsToGo+SwaptionShift),INDEX($FO$245:$IH$316,$FN191-GH$169,73-GH$169+SwaptionShift):INDEX($FO$245:$IH$316,$FN191-GH$169,72-GH$169+SwaptionMonthsToGo+SwaptionShift))/SQRT(SUM(INDEX($FO346:$IH346,1+SwaptionShift):INDEX($FO346:$IH346,SwaptionMonthsToGo+SwaptionShift))*SUM(INDEX($FO$325:$IH$396,GH$169,1+SwaptionShift):INDEX($FO$325:$IH$396,GH$169,SwaptionMonthsToGo+SwaptionShift))))))</f>
        <v/>
      </c>
      <c r="GI191" s="469" t="str">
        <f ca="1">IF(OR(GI$169&lt;SwaptionFirstMonthPosition+1,$FN191&lt;SwaptionFirstMonthPosition+1,GI$169&gt;SwaptionFirstMonthPosition+SwaptionNumOfMonths+1,$FN191&gt;SwaptionFirstMonthPosition+SwaptionNumOfMonths+1),"",IF($FN191=GI$169,1,IF($FN191&lt;GI$169,INDEX($FO$170:$IH$241,GI$169,$FN191),SUMPRODUCT(INDEX($FO$325:$IH$396,GI$169,1+SwaptionShift):INDEX($FO$325:$IH$396,GI$169,SwaptionMonthsToGo+SwaptionShift),INDEX($FO$245:$IH$316,$FN191-GI$169,73-GI$169+SwaptionShift):INDEX($FO$245:$IH$316,$FN191-GI$169,72-GI$169+SwaptionMonthsToGo+SwaptionShift))/SQRT(SUM(INDEX($FO346:$IH346,1+SwaptionShift):INDEX($FO346:$IH346,SwaptionMonthsToGo+SwaptionShift))*SUM(INDEX($FO$325:$IH$396,GI$169,1+SwaptionShift):INDEX($FO$325:$IH$396,GI$169,SwaptionMonthsToGo+SwaptionShift))))))</f>
        <v/>
      </c>
      <c r="GJ191" s="469" t="str">
        <f ca="1">IF(OR(GJ$169&lt;SwaptionFirstMonthPosition+1,$FN191&lt;SwaptionFirstMonthPosition+1,GJ$169&gt;SwaptionFirstMonthPosition+SwaptionNumOfMonths+1,$FN191&gt;SwaptionFirstMonthPosition+SwaptionNumOfMonths+1),"",IF($FN191=GJ$169,1,IF($FN191&lt;GJ$169,INDEX($FO$170:$IH$241,GJ$169,$FN191),SUMPRODUCT(INDEX($FO$325:$IH$396,GJ$169,1+SwaptionShift):INDEX($FO$325:$IH$396,GJ$169,SwaptionMonthsToGo+SwaptionShift),INDEX($FO$245:$IH$316,$FN191-GJ$169,73-GJ$169+SwaptionShift):INDEX($FO$245:$IH$316,$FN191-GJ$169,72-GJ$169+SwaptionMonthsToGo+SwaptionShift))/SQRT(SUM(INDEX($FO346:$IH346,1+SwaptionShift):INDEX($FO346:$IH346,SwaptionMonthsToGo+SwaptionShift))*SUM(INDEX($FO$325:$IH$396,GJ$169,1+SwaptionShift):INDEX($FO$325:$IH$396,GJ$169,SwaptionMonthsToGo+SwaptionShift))))))</f>
        <v/>
      </c>
      <c r="GK191" s="469" t="str">
        <f ca="1">IF(OR(GK$169&lt;SwaptionFirstMonthPosition+1,$FN191&lt;SwaptionFirstMonthPosition+1,GK$169&gt;SwaptionFirstMonthPosition+SwaptionNumOfMonths+1,$FN191&gt;SwaptionFirstMonthPosition+SwaptionNumOfMonths+1),"",IF($FN191=GK$169,1,IF($FN191&lt;GK$169,INDEX($FO$170:$IH$241,GK$169,$FN191),SUMPRODUCT(INDEX($FO$325:$IH$396,GK$169,1+SwaptionShift):INDEX($FO$325:$IH$396,GK$169,SwaptionMonthsToGo+SwaptionShift),INDEX($FO$245:$IH$316,$FN191-GK$169,73-GK$169+SwaptionShift):INDEX($FO$245:$IH$316,$FN191-GK$169,72-GK$169+SwaptionMonthsToGo+SwaptionShift))/SQRT(SUM(INDEX($FO346:$IH346,1+SwaptionShift):INDEX($FO346:$IH346,SwaptionMonthsToGo+SwaptionShift))*SUM(INDEX($FO$325:$IH$396,GK$169,1+SwaptionShift):INDEX($FO$325:$IH$396,GK$169,SwaptionMonthsToGo+SwaptionShift))))))</f>
        <v/>
      </c>
      <c r="GL191" s="469" t="str">
        <f ca="1">IF(OR(GL$169&lt;SwaptionFirstMonthPosition+1,$FN191&lt;SwaptionFirstMonthPosition+1,GL$169&gt;SwaptionFirstMonthPosition+SwaptionNumOfMonths+1,$FN191&gt;SwaptionFirstMonthPosition+SwaptionNumOfMonths+1),"",IF($FN191=GL$169,1,IF($FN191&lt;GL$169,INDEX($FO$170:$IH$241,GL$169,$FN191),SUMPRODUCT(INDEX($FO$325:$IH$396,GL$169,1+SwaptionShift):INDEX($FO$325:$IH$396,GL$169,SwaptionMonthsToGo+SwaptionShift),INDEX($FO$245:$IH$316,$FN191-GL$169,73-GL$169+SwaptionShift):INDEX($FO$245:$IH$316,$FN191-GL$169,72-GL$169+SwaptionMonthsToGo+SwaptionShift))/SQRT(SUM(INDEX($FO346:$IH346,1+SwaptionShift):INDEX($FO346:$IH346,SwaptionMonthsToGo+SwaptionShift))*SUM(INDEX($FO$325:$IH$396,GL$169,1+SwaptionShift):INDEX($FO$325:$IH$396,GL$169,SwaptionMonthsToGo+SwaptionShift))))))</f>
        <v/>
      </c>
      <c r="GM191" s="469" t="str">
        <f ca="1">IF(OR(GM$169&lt;SwaptionFirstMonthPosition+1,$FN191&lt;SwaptionFirstMonthPosition+1,GM$169&gt;SwaptionFirstMonthPosition+SwaptionNumOfMonths+1,$FN191&gt;SwaptionFirstMonthPosition+SwaptionNumOfMonths+1),"",IF($FN191=GM$169,1,IF($FN191&lt;GM$169,INDEX($FO$170:$IH$241,GM$169,$FN191),SUMPRODUCT(INDEX($FO$325:$IH$396,GM$169,1+SwaptionShift):INDEX($FO$325:$IH$396,GM$169,SwaptionMonthsToGo+SwaptionShift),INDEX($FO$245:$IH$316,$FN191-GM$169,73-GM$169+SwaptionShift):INDEX($FO$245:$IH$316,$FN191-GM$169,72-GM$169+SwaptionMonthsToGo+SwaptionShift))/SQRT(SUM(INDEX($FO346:$IH346,1+SwaptionShift):INDEX($FO346:$IH346,SwaptionMonthsToGo+SwaptionShift))*SUM(INDEX($FO$325:$IH$396,GM$169,1+SwaptionShift):INDEX($FO$325:$IH$396,GM$169,SwaptionMonthsToGo+SwaptionShift))))))</f>
        <v/>
      </c>
      <c r="GN191" s="469" t="str">
        <f ca="1">IF(OR(GN$169&lt;SwaptionFirstMonthPosition+1,$FN191&lt;SwaptionFirstMonthPosition+1,GN$169&gt;SwaptionFirstMonthPosition+SwaptionNumOfMonths+1,$FN191&gt;SwaptionFirstMonthPosition+SwaptionNumOfMonths+1),"",IF($FN191=GN$169,1,IF($FN191&lt;GN$169,INDEX($FO$170:$IH$241,GN$169,$FN191),SUMPRODUCT(INDEX($FO$325:$IH$396,GN$169,1+SwaptionShift):INDEX($FO$325:$IH$396,GN$169,SwaptionMonthsToGo+SwaptionShift),INDEX($FO$245:$IH$316,$FN191-GN$169,73-GN$169+SwaptionShift):INDEX($FO$245:$IH$316,$FN191-GN$169,72-GN$169+SwaptionMonthsToGo+SwaptionShift))/SQRT(SUM(INDEX($FO346:$IH346,1+SwaptionShift):INDEX($FO346:$IH346,SwaptionMonthsToGo+SwaptionShift))*SUM(INDEX($FO$325:$IH$396,GN$169,1+SwaptionShift):INDEX($FO$325:$IH$396,GN$169,SwaptionMonthsToGo+SwaptionShift))))))</f>
        <v/>
      </c>
      <c r="GO191" s="469" t="str">
        <f ca="1">IF(OR(GO$169&lt;SwaptionFirstMonthPosition+1,$FN191&lt;SwaptionFirstMonthPosition+1,GO$169&gt;SwaptionFirstMonthPosition+SwaptionNumOfMonths+1,$FN191&gt;SwaptionFirstMonthPosition+SwaptionNumOfMonths+1),"",IF($FN191=GO$169,1,IF($FN191&lt;GO$169,INDEX($FO$170:$IH$241,GO$169,$FN191),SUMPRODUCT(INDEX($FO$325:$IH$396,GO$169,1+SwaptionShift):INDEX($FO$325:$IH$396,GO$169,SwaptionMonthsToGo+SwaptionShift),INDEX($FO$245:$IH$316,$FN191-GO$169,73-GO$169+SwaptionShift):INDEX($FO$245:$IH$316,$FN191-GO$169,72-GO$169+SwaptionMonthsToGo+SwaptionShift))/SQRT(SUM(INDEX($FO346:$IH346,1+SwaptionShift):INDEX($FO346:$IH346,SwaptionMonthsToGo+SwaptionShift))*SUM(INDEX($FO$325:$IH$396,GO$169,1+SwaptionShift):INDEX($FO$325:$IH$396,GO$169,SwaptionMonthsToGo+SwaptionShift))))))</f>
        <v/>
      </c>
      <c r="GP191" s="469" t="str">
        <f ca="1">IF(OR(GP$169&lt;SwaptionFirstMonthPosition+1,$FN191&lt;SwaptionFirstMonthPosition+1,GP$169&gt;SwaptionFirstMonthPosition+SwaptionNumOfMonths+1,$FN191&gt;SwaptionFirstMonthPosition+SwaptionNumOfMonths+1),"",IF($FN191=GP$169,1,IF($FN191&lt;GP$169,INDEX($FO$170:$IH$241,GP$169,$FN191),SUMPRODUCT(INDEX($FO$325:$IH$396,GP$169,1+SwaptionShift):INDEX($FO$325:$IH$396,GP$169,SwaptionMonthsToGo+SwaptionShift),INDEX($FO$245:$IH$316,$FN191-GP$169,73-GP$169+SwaptionShift):INDEX($FO$245:$IH$316,$FN191-GP$169,72-GP$169+SwaptionMonthsToGo+SwaptionShift))/SQRT(SUM(INDEX($FO346:$IH346,1+SwaptionShift):INDEX($FO346:$IH346,SwaptionMonthsToGo+SwaptionShift))*SUM(INDEX($FO$325:$IH$396,GP$169,1+SwaptionShift):INDEX($FO$325:$IH$396,GP$169,SwaptionMonthsToGo+SwaptionShift))))))</f>
        <v/>
      </c>
      <c r="GQ191" s="469" t="str">
        <f ca="1">IF(OR(GQ$169&lt;SwaptionFirstMonthPosition+1,$FN191&lt;SwaptionFirstMonthPosition+1,GQ$169&gt;SwaptionFirstMonthPosition+SwaptionNumOfMonths+1,$FN191&gt;SwaptionFirstMonthPosition+SwaptionNumOfMonths+1),"",IF($FN191=GQ$169,1,IF($FN191&lt;GQ$169,INDEX($FO$170:$IH$241,GQ$169,$FN191),SUMPRODUCT(INDEX($FO$325:$IH$396,GQ$169,1+SwaptionShift):INDEX($FO$325:$IH$396,GQ$169,SwaptionMonthsToGo+SwaptionShift),INDEX($FO$245:$IH$316,$FN191-GQ$169,73-GQ$169+SwaptionShift):INDEX($FO$245:$IH$316,$FN191-GQ$169,72-GQ$169+SwaptionMonthsToGo+SwaptionShift))/SQRT(SUM(INDEX($FO346:$IH346,1+SwaptionShift):INDEX($FO346:$IH346,SwaptionMonthsToGo+SwaptionShift))*SUM(INDEX($FO$325:$IH$396,GQ$169,1+SwaptionShift):INDEX($FO$325:$IH$396,GQ$169,SwaptionMonthsToGo+SwaptionShift))))))</f>
        <v/>
      </c>
      <c r="GR191" s="469" t="str">
        <f ca="1">IF(OR(GR$169&lt;SwaptionFirstMonthPosition+1,$FN191&lt;SwaptionFirstMonthPosition+1,GR$169&gt;SwaptionFirstMonthPosition+SwaptionNumOfMonths+1,$FN191&gt;SwaptionFirstMonthPosition+SwaptionNumOfMonths+1),"",IF($FN191=GR$169,1,IF($FN191&lt;GR$169,INDEX($FO$170:$IH$241,GR$169,$FN191),SUMPRODUCT(INDEX($FO$325:$IH$396,GR$169,1+SwaptionShift):INDEX($FO$325:$IH$396,GR$169,SwaptionMonthsToGo+SwaptionShift),INDEX($FO$245:$IH$316,$FN191-GR$169,73-GR$169+SwaptionShift):INDEX($FO$245:$IH$316,$FN191-GR$169,72-GR$169+SwaptionMonthsToGo+SwaptionShift))/SQRT(SUM(INDEX($FO346:$IH346,1+SwaptionShift):INDEX($FO346:$IH346,SwaptionMonthsToGo+SwaptionShift))*SUM(INDEX($FO$325:$IH$396,GR$169,1+SwaptionShift):INDEX($FO$325:$IH$396,GR$169,SwaptionMonthsToGo+SwaptionShift))))))</f>
        <v/>
      </c>
      <c r="GS191" s="469" t="str">
        <f ca="1">IF(OR(GS$169&lt;SwaptionFirstMonthPosition+1,$FN191&lt;SwaptionFirstMonthPosition+1,GS$169&gt;SwaptionFirstMonthPosition+SwaptionNumOfMonths+1,$FN191&gt;SwaptionFirstMonthPosition+SwaptionNumOfMonths+1),"",IF($FN191=GS$169,1,IF($FN191&lt;GS$169,INDEX($FO$170:$IH$241,GS$169,$FN191),SUMPRODUCT(INDEX($FO$325:$IH$396,GS$169,1+SwaptionShift):INDEX($FO$325:$IH$396,GS$169,SwaptionMonthsToGo+SwaptionShift),INDEX($FO$245:$IH$316,$FN191-GS$169,73-GS$169+SwaptionShift):INDEX($FO$245:$IH$316,$FN191-GS$169,72-GS$169+SwaptionMonthsToGo+SwaptionShift))/SQRT(SUM(INDEX($FO346:$IH346,1+SwaptionShift):INDEX($FO346:$IH346,SwaptionMonthsToGo+SwaptionShift))*SUM(INDEX($FO$325:$IH$396,GS$169,1+SwaptionShift):INDEX($FO$325:$IH$396,GS$169,SwaptionMonthsToGo+SwaptionShift))))))</f>
        <v/>
      </c>
      <c r="GT191" s="469" t="str">
        <f ca="1">IF(OR(GT$169&lt;SwaptionFirstMonthPosition+1,$FN191&lt;SwaptionFirstMonthPosition+1,GT$169&gt;SwaptionFirstMonthPosition+SwaptionNumOfMonths+1,$FN191&gt;SwaptionFirstMonthPosition+SwaptionNumOfMonths+1),"",IF($FN191=GT$169,1,IF($FN191&lt;GT$169,INDEX($FO$170:$IH$241,GT$169,$FN191),SUMPRODUCT(INDEX($FO$325:$IH$396,GT$169,1+SwaptionShift):INDEX($FO$325:$IH$396,GT$169,SwaptionMonthsToGo+SwaptionShift),INDEX($FO$245:$IH$316,$FN191-GT$169,73-GT$169+SwaptionShift):INDEX($FO$245:$IH$316,$FN191-GT$169,72-GT$169+SwaptionMonthsToGo+SwaptionShift))/SQRT(SUM(INDEX($FO346:$IH346,1+SwaptionShift):INDEX($FO346:$IH346,SwaptionMonthsToGo+SwaptionShift))*SUM(INDEX($FO$325:$IH$396,GT$169,1+SwaptionShift):INDEX($FO$325:$IH$396,GT$169,SwaptionMonthsToGo+SwaptionShift))))))</f>
        <v/>
      </c>
      <c r="GU191" s="469" t="str">
        <f ca="1">IF(OR(GU$169&lt;SwaptionFirstMonthPosition+1,$FN191&lt;SwaptionFirstMonthPosition+1,GU$169&gt;SwaptionFirstMonthPosition+SwaptionNumOfMonths+1,$FN191&gt;SwaptionFirstMonthPosition+SwaptionNumOfMonths+1),"",IF($FN191=GU$169,1,IF($FN191&lt;GU$169,INDEX($FO$170:$IH$241,GU$169,$FN191),SUMPRODUCT(INDEX($FO$325:$IH$396,GU$169,1+SwaptionShift):INDEX($FO$325:$IH$396,GU$169,SwaptionMonthsToGo+SwaptionShift),INDEX($FO$245:$IH$316,$FN191-GU$169,73-GU$169+SwaptionShift):INDEX($FO$245:$IH$316,$FN191-GU$169,72-GU$169+SwaptionMonthsToGo+SwaptionShift))/SQRT(SUM(INDEX($FO346:$IH346,1+SwaptionShift):INDEX($FO346:$IH346,SwaptionMonthsToGo+SwaptionShift))*SUM(INDEX($FO$325:$IH$396,GU$169,1+SwaptionShift):INDEX($FO$325:$IH$396,GU$169,SwaptionMonthsToGo+SwaptionShift))))))</f>
        <v/>
      </c>
      <c r="GV191" s="469" t="str">
        <f ca="1">IF(OR(GV$169&lt;SwaptionFirstMonthPosition+1,$FN191&lt;SwaptionFirstMonthPosition+1,GV$169&gt;SwaptionFirstMonthPosition+SwaptionNumOfMonths+1,$FN191&gt;SwaptionFirstMonthPosition+SwaptionNumOfMonths+1),"",IF($FN191=GV$169,1,IF($FN191&lt;GV$169,INDEX($FO$170:$IH$241,GV$169,$FN191),SUMPRODUCT(INDEX($FO$325:$IH$396,GV$169,1+SwaptionShift):INDEX($FO$325:$IH$396,GV$169,SwaptionMonthsToGo+SwaptionShift),INDEX($FO$245:$IH$316,$FN191-GV$169,73-GV$169+SwaptionShift):INDEX($FO$245:$IH$316,$FN191-GV$169,72-GV$169+SwaptionMonthsToGo+SwaptionShift))/SQRT(SUM(INDEX($FO346:$IH346,1+SwaptionShift):INDEX($FO346:$IH346,SwaptionMonthsToGo+SwaptionShift))*SUM(INDEX($FO$325:$IH$396,GV$169,1+SwaptionShift):INDEX($FO$325:$IH$396,GV$169,SwaptionMonthsToGo+SwaptionShift))))))</f>
        <v/>
      </c>
      <c r="GW191" s="469" t="str">
        <f ca="1">IF(OR(GW$169&lt;SwaptionFirstMonthPosition+1,$FN191&lt;SwaptionFirstMonthPosition+1,GW$169&gt;SwaptionFirstMonthPosition+SwaptionNumOfMonths+1,$FN191&gt;SwaptionFirstMonthPosition+SwaptionNumOfMonths+1),"",IF($FN191=GW$169,1,IF($FN191&lt;GW$169,INDEX($FO$170:$IH$241,GW$169,$FN191),SUMPRODUCT(INDEX($FO$325:$IH$396,GW$169,1+SwaptionShift):INDEX($FO$325:$IH$396,GW$169,SwaptionMonthsToGo+SwaptionShift),INDEX($FO$245:$IH$316,$FN191-GW$169,73-GW$169+SwaptionShift):INDEX($FO$245:$IH$316,$FN191-GW$169,72-GW$169+SwaptionMonthsToGo+SwaptionShift))/SQRT(SUM(INDEX($FO346:$IH346,1+SwaptionShift):INDEX($FO346:$IH346,SwaptionMonthsToGo+SwaptionShift))*SUM(INDEX($FO$325:$IH$396,GW$169,1+SwaptionShift):INDEX($FO$325:$IH$396,GW$169,SwaptionMonthsToGo+SwaptionShift))))))</f>
        <v/>
      </c>
      <c r="GX191" s="469" t="str">
        <f ca="1">IF(OR(GX$169&lt;SwaptionFirstMonthPosition+1,$FN191&lt;SwaptionFirstMonthPosition+1,GX$169&gt;SwaptionFirstMonthPosition+SwaptionNumOfMonths+1,$FN191&gt;SwaptionFirstMonthPosition+SwaptionNumOfMonths+1),"",IF($FN191=GX$169,1,IF($FN191&lt;GX$169,INDEX($FO$170:$IH$241,GX$169,$FN191),SUMPRODUCT(INDEX($FO$325:$IH$396,GX$169,1+SwaptionShift):INDEX($FO$325:$IH$396,GX$169,SwaptionMonthsToGo+SwaptionShift),INDEX($FO$245:$IH$316,$FN191-GX$169,73-GX$169+SwaptionShift):INDEX($FO$245:$IH$316,$FN191-GX$169,72-GX$169+SwaptionMonthsToGo+SwaptionShift))/SQRT(SUM(INDEX($FO346:$IH346,1+SwaptionShift):INDEX($FO346:$IH346,SwaptionMonthsToGo+SwaptionShift))*SUM(INDEX($FO$325:$IH$396,GX$169,1+SwaptionShift):INDEX($FO$325:$IH$396,GX$169,SwaptionMonthsToGo+SwaptionShift))))))</f>
        <v/>
      </c>
      <c r="GY191" s="469" t="str">
        <f ca="1">IF(OR(GY$169&lt;SwaptionFirstMonthPosition+1,$FN191&lt;SwaptionFirstMonthPosition+1,GY$169&gt;SwaptionFirstMonthPosition+SwaptionNumOfMonths+1,$FN191&gt;SwaptionFirstMonthPosition+SwaptionNumOfMonths+1),"",IF($FN191=GY$169,1,IF($FN191&lt;GY$169,INDEX($FO$170:$IH$241,GY$169,$FN191),SUMPRODUCT(INDEX($FO$325:$IH$396,GY$169,1+SwaptionShift):INDEX($FO$325:$IH$396,GY$169,SwaptionMonthsToGo+SwaptionShift),INDEX($FO$245:$IH$316,$FN191-GY$169,73-GY$169+SwaptionShift):INDEX($FO$245:$IH$316,$FN191-GY$169,72-GY$169+SwaptionMonthsToGo+SwaptionShift))/SQRT(SUM(INDEX($FO346:$IH346,1+SwaptionShift):INDEX($FO346:$IH346,SwaptionMonthsToGo+SwaptionShift))*SUM(INDEX($FO$325:$IH$396,GY$169,1+SwaptionShift):INDEX($FO$325:$IH$396,GY$169,SwaptionMonthsToGo+SwaptionShift))))))</f>
        <v/>
      </c>
      <c r="GZ191" s="469" t="str">
        <f ca="1">IF(OR(GZ$169&lt;SwaptionFirstMonthPosition+1,$FN191&lt;SwaptionFirstMonthPosition+1,GZ$169&gt;SwaptionFirstMonthPosition+SwaptionNumOfMonths+1,$FN191&gt;SwaptionFirstMonthPosition+SwaptionNumOfMonths+1),"",IF($FN191=GZ$169,1,IF($FN191&lt;GZ$169,INDEX($FO$170:$IH$241,GZ$169,$FN191),SUMPRODUCT(INDEX($FO$325:$IH$396,GZ$169,1+SwaptionShift):INDEX($FO$325:$IH$396,GZ$169,SwaptionMonthsToGo+SwaptionShift),INDEX($FO$245:$IH$316,$FN191-GZ$169,73-GZ$169+SwaptionShift):INDEX($FO$245:$IH$316,$FN191-GZ$169,72-GZ$169+SwaptionMonthsToGo+SwaptionShift))/SQRT(SUM(INDEX($FO346:$IH346,1+SwaptionShift):INDEX($FO346:$IH346,SwaptionMonthsToGo+SwaptionShift))*SUM(INDEX($FO$325:$IH$396,GZ$169,1+SwaptionShift):INDEX($FO$325:$IH$396,GZ$169,SwaptionMonthsToGo+SwaptionShift))))))</f>
        <v/>
      </c>
      <c r="HA191" s="469" t="str">
        <f ca="1">IF(OR(HA$169&lt;SwaptionFirstMonthPosition+1,$FN191&lt;SwaptionFirstMonthPosition+1,HA$169&gt;SwaptionFirstMonthPosition+SwaptionNumOfMonths+1,$FN191&gt;SwaptionFirstMonthPosition+SwaptionNumOfMonths+1),"",IF($FN191=HA$169,1,IF($FN191&lt;HA$169,INDEX($FO$170:$IH$241,HA$169,$FN191),SUMPRODUCT(INDEX($FO$325:$IH$396,HA$169,1+SwaptionShift):INDEX($FO$325:$IH$396,HA$169,SwaptionMonthsToGo+SwaptionShift),INDEX($FO$245:$IH$316,$FN191-HA$169,73-HA$169+SwaptionShift):INDEX($FO$245:$IH$316,$FN191-HA$169,72-HA$169+SwaptionMonthsToGo+SwaptionShift))/SQRT(SUM(INDEX($FO346:$IH346,1+SwaptionShift):INDEX($FO346:$IH346,SwaptionMonthsToGo+SwaptionShift))*SUM(INDEX($FO$325:$IH$396,HA$169,1+SwaptionShift):INDEX($FO$325:$IH$396,HA$169,SwaptionMonthsToGo+SwaptionShift))))))</f>
        <v/>
      </c>
      <c r="HB191" s="469" t="str">
        <f ca="1">IF(OR(HB$169&lt;SwaptionFirstMonthPosition+1,$FN191&lt;SwaptionFirstMonthPosition+1,HB$169&gt;SwaptionFirstMonthPosition+SwaptionNumOfMonths+1,$FN191&gt;SwaptionFirstMonthPosition+SwaptionNumOfMonths+1),"",IF($FN191=HB$169,1,IF($FN191&lt;HB$169,INDEX($FO$170:$IH$241,HB$169,$FN191),SUMPRODUCT(INDEX($FO$325:$IH$396,HB$169,1+SwaptionShift):INDEX($FO$325:$IH$396,HB$169,SwaptionMonthsToGo+SwaptionShift),INDEX($FO$245:$IH$316,$FN191-HB$169,73-HB$169+SwaptionShift):INDEX($FO$245:$IH$316,$FN191-HB$169,72-HB$169+SwaptionMonthsToGo+SwaptionShift))/SQRT(SUM(INDEX($FO346:$IH346,1+SwaptionShift):INDEX($FO346:$IH346,SwaptionMonthsToGo+SwaptionShift))*SUM(INDEX($FO$325:$IH$396,HB$169,1+SwaptionShift):INDEX($FO$325:$IH$396,HB$169,SwaptionMonthsToGo+SwaptionShift))))))</f>
        <v/>
      </c>
      <c r="HC191" s="469" t="str">
        <f ca="1">IF(OR(HC$169&lt;SwaptionFirstMonthPosition+1,$FN191&lt;SwaptionFirstMonthPosition+1,HC$169&gt;SwaptionFirstMonthPosition+SwaptionNumOfMonths+1,$FN191&gt;SwaptionFirstMonthPosition+SwaptionNumOfMonths+1),"",IF($FN191=HC$169,1,IF($FN191&lt;HC$169,INDEX($FO$170:$IH$241,HC$169,$FN191),SUMPRODUCT(INDEX($FO$325:$IH$396,HC$169,1+SwaptionShift):INDEX($FO$325:$IH$396,HC$169,SwaptionMonthsToGo+SwaptionShift),INDEX($FO$245:$IH$316,$FN191-HC$169,73-HC$169+SwaptionShift):INDEX($FO$245:$IH$316,$FN191-HC$169,72-HC$169+SwaptionMonthsToGo+SwaptionShift))/SQRT(SUM(INDEX($FO346:$IH346,1+SwaptionShift):INDEX($FO346:$IH346,SwaptionMonthsToGo+SwaptionShift))*SUM(INDEX($FO$325:$IH$396,HC$169,1+SwaptionShift):INDEX($FO$325:$IH$396,HC$169,SwaptionMonthsToGo+SwaptionShift))))))</f>
        <v/>
      </c>
      <c r="HD191" s="469" t="str">
        <f ca="1">IF(OR(HD$169&lt;SwaptionFirstMonthPosition+1,$FN191&lt;SwaptionFirstMonthPosition+1,HD$169&gt;SwaptionFirstMonthPosition+SwaptionNumOfMonths+1,$FN191&gt;SwaptionFirstMonthPosition+SwaptionNumOfMonths+1),"",IF($FN191=HD$169,1,IF($FN191&lt;HD$169,INDEX($FO$170:$IH$241,HD$169,$FN191),SUMPRODUCT(INDEX($FO$325:$IH$396,HD$169,1+SwaptionShift):INDEX($FO$325:$IH$396,HD$169,SwaptionMonthsToGo+SwaptionShift),INDEX($FO$245:$IH$316,$FN191-HD$169,73-HD$169+SwaptionShift):INDEX($FO$245:$IH$316,$FN191-HD$169,72-HD$169+SwaptionMonthsToGo+SwaptionShift))/SQRT(SUM(INDEX($FO346:$IH346,1+SwaptionShift):INDEX($FO346:$IH346,SwaptionMonthsToGo+SwaptionShift))*SUM(INDEX($FO$325:$IH$396,HD$169,1+SwaptionShift):INDEX($FO$325:$IH$396,HD$169,SwaptionMonthsToGo+SwaptionShift))))))</f>
        <v/>
      </c>
      <c r="HE191" s="469" t="str">
        <f ca="1">IF(OR(HE$169&lt;SwaptionFirstMonthPosition+1,$FN191&lt;SwaptionFirstMonthPosition+1,HE$169&gt;SwaptionFirstMonthPosition+SwaptionNumOfMonths+1,$FN191&gt;SwaptionFirstMonthPosition+SwaptionNumOfMonths+1),"",IF($FN191=HE$169,1,IF($FN191&lt;HE$169,INDEX($FO$170:$IH$241,HE$169,$FN191),SUMPRODUCT(INDEX($FO$325:$IH$396,HE$169,1+SwaptionShift):INDEX($FO$325:$IH$396,HE$169,SwaptionMonthsToGo+SwaptionShift),INDEX($FO$245:$IH$316,$FN191-HE$169,73-HE$169+SwaptionShift):INDEX($FO$245:$IH$316,$FN191-HE$169,72-HE$169+SwaptionMonthsToGo+SwaptionShift))/SQRT(SUM(INDEX($FO346:$IH346,1+SwaptionShift):INDEX($FO346:$IH346,SwaptionMonthsToGo+SwaptionShift))*SUM(INDEX($FO$325:$IH$396,HE$169,1+SwaptionShift):INDEX($FO$325:$IH$396,HE$169,SwaptionMonthsToGo+SwaptionShift))))))</f>
        <v/>
      </c>
      <c r="HF191" s="469" t="str">
        <f ca="1">IF(OR(HF$169&lt;SwaptionFirstMonthPosition+1,$FN191&lt;SwaptionFirstMonthPosition+1,HF$169&gt;SwaptionFirstMonthPosition+SwaptionNumOfMonths+1,$FN191&gt;SwaptionFirstMonthPosition+SwaptionNumOfMonths+1),"",IF($FN191=HF$169,1,IF($FN191&lt;HF$169,INDEX($FO$170:$IH$241,HF$169,$FN191),SUMPRODUCT(INDEX($FO$325:$IH$396,HF$169,1+SwaptionShift):INDEX($FO$325:$IH$396,HF$169,SwaptionMonthsToGo+SwaptionShift),INDEX($FO$245:$IH$316,$FN191-HF$169,73-HF$169+SwaptionShift):INDEX($FO$245:$IH$316,$FN191-HF$169,72-HF$169+SwaptionMonthsToGo+SwaptionShift))/SQRT(SUM(INDEX($FO346:$IH346,1+SwaptionShift):INDEX($FO346:$IH346,SwaptionMonthsToGo+SwaptionShift))*SUM(INDEX($FO$325:$IH$396,HF$169,1+SwaptionShift):INDEX($FO$325:$IH$396,HF$169,SwaptionMonthsToGo+SwaptionShift))))))</f>
        <v/>
      </c>
      <c r="HG191" s="469" t="str">
        <f ca="1">IF(OR(HG$169&lt;SwaptionFirstMonthPosition+1,$FN191&lt;SwaptionFirstMonthPosition+1,HG$169&gt;SwaptionFirstMonthPosition+SwaptionNumOfMonths+1,$FN191&gt;SwaptionFirstMonthPosition+SwaptionNumOfMonths+1),"",IF($FN191=HG$169,1,IF($FN191&lt;HG$169,INDEX($FO$170:$IH$241,HG$169,$FN191),SUMPRODUCT(INDEX($FO$325:$IH$396,HG$169,1+SwaptionShift):INDEX($FO$325:$IH$396,HG$169,SwaptionMonthsToGo+SwaptionShift),INDEX($FO$245:$IH$316,$FN191-HG$169,73-HG$169+SwaptionShift):INDEX($FO$245:$IH$316,$FN191-HG$169,72-HG$169+SwaptionMonthsToGo+SwaptionShift))/SQRT(SUM(INDEX($FO346:$IH346,1+SwaptionShift):INDEX($FO346:$IH346,SwaptionMonthsToGo+SwaptionShift))*SUM(INDEX($FO$325:$IH$396,HG$169,1+SwaptionShift):INDEX($FO$325:$IH$396,HG$169,SwaptionMonthsToGo+SwaptionShift))))))</f>
        <v/>
      </c>
      <c r="HH191" s="469" t="str">
        <f ca="1">IF(OR(HH$169&lt;SwaptionFirstMonthPosition+1,$FN191&lt;SwaptionFirstMonthPosition+1,HH$169&gt;SwaptionFirstMonthPosition+SwaptionNumOfMonths+1,$FN191&gt;SwaptionFirstMonthPosition+SwaptionNumOfMonths+1),"",IF($FN191=HH$169,1,IF($FN191&lt;HH$169,INDEX($FO$170:$IH$241,HH$169,$FN191),SUMPRODUCT(INDEX($FO$325:$IH$396,HH$169,1+SwaptionShift):INDEX($FO$325:$IH$396,HH$169,SwaptionMonthsToGo+SwaptionShift),INDEX($FO$245:$IH$316,$FN191-HH$169,73-HH$169+SwaptionShift):INDEX($FO$245:$IH$316,$FN191-HH$169,72-HH$169+SwaptionMonthsToGo+SwaptionShift))/SQRT(SUM(INDEX($FO346:$IH346,1+SwaptionShift):INDEX($FO346:$IH346,SwaptionMonthsToGo+SwaptionShift))*SUM(INDEX($FO$325:$IH$396,HH$169,1+SwaptionShift):INDEX($FO$325:$IH$396,HH$169,SwaptionMonthsToGo+SwaptionShift))))))</f>
        <v/>
      </c>
      <c r="HI191" s="469" t="str">
        <f ca="1">IF(OR(HI$169&lt;SwaptionFirstMonthPosition+1,$FN191&lt;SwaptionFirstMonthPosition+1,HI$169&gt;SwaptionFirstMonthPosition+SwaptionNumOfMonths+1,$FN191&gt;SwaptionFirstMonthPosition+SwaptionNumOfMonths+1),"",IF($FN191=HI$169,1,IF($FN191&lt;HI$169,INDEX($FO$170:$IH$241,HI$169,$FN191),SUMPRODUCT(INDEX($FO$325:$IH$396,HI$169,1+SwaptionShift):INDEX($FO$325:$IH$396,HI$169,SwaptionMonthsToGo+SwaptionShift),INDEX($FO$245:$IH$316,$FN191-HI$169,73-HI$169+SwaptionShift):INDEX($FO$245:$IH$316,$FN191-HI$169,72-HI$169+SwaptionMonthsToGo+SwaptionShift))/SQRT(SUM(INDEX($FO346:$IH346,1+SwaptionShift):INDEX($FO346:$IH346,SwaptionMonthsToGo+SwaptionShift))*SUM(INDEX($FO$325:$IH$396,HI$169,1+SwaptionShift):INDEX($FO$325:$IH$396,HI$169,SwaptionMonthsToGo+SwaptionShift))))))</f>
        <v/>
      </c>
      <c r="HJ191" s="469" t="str">
        <f ca="1">IF(OR(HJ$169&lt;SwaptionFirstMonthPosition+1,$FN191&lt;SwaptionFirstMonthPosition+1,HJ$169&gt;SwaptionFirstMonthPosition+SwaptionNumOfMonths+1,$FN191&gt;SwaptionFirstMonthPosition+SwaptionNumOfMonths+1),"",IF($FN191=HJ$169,1,IF($FN191&lt;HJ$169,INDEX($FO$170:$IH$241,HJ$169,$FN191),SUMPRODUCT(INDEX($FO$325:$IH$396,HJ$169,1+SwaptionShift):INDEX($FO$325:$IH$396,HJ$169,SwaptionMonthsToGo+SwaptionShift),INDEX($FO$245:$IH$316,$FN191-HJ$169,73-HJ$169+SwaptionShift):INDEX($FO$245:$IH$316,$FN191-HJ$169,72-HJ$169+SwaptionMonthsToGo+SwaptionShift))/SQRT(SUM(INDEX($FO346:$IH346,1+SwaptionShift):INDEX($FO346:$IH346,SwaptionMonthsToGo+SwaptionShift))*SUM(INDEX($FO$325:$IH$396,HJ$169,1+SwaptionShift):INDEX($FO$325:$IH$396,HJ$169,SwaptionMonthsToGo+SwaptionShift))))))</f>
        <v/>
      </c>
      <c r="HK191" s="469" t="str">
        <f ca="1">IF(OR(HK$169&lt;SwaptionFirstMonthPosition+1,$FN191&lt;SwaptionFirstMonthPosition+1,HK$169&gt;SwaptionFirstMonthPosition+SwaptionNumOfMonths+1,$FN191&gt;SwaptionFirstMonthPosition+SwaptionNumOfMonths+1),"",IF($FN191=HK$169,1,IF($FN191&lt;HK$169,INDEX($FO$170:$IH$241,HK$169,$FN191),SUMPRODUCT(INDEX($FO$325:$IH$396,HK$169,1+SwaptionShift):INDEX($FO$325:$IH$396,HK$169,SwaptionMonthsToGo+SwaptionShift),INDEX($FO$245:$IH$316,$FN191-HK$169,73-HK$169+SwaptionShift):INDEX($FO$245:$IH$316,$FN191-HK$169,72-HK$169+SwaptionMonthsToGo+SwaptionShift))/SQRT(SUM(INDEX($FO346:$IH346,1+SwaptionShift):INDEX($FO346:$IH346,SwaptionMonthsToGo+SwaptionShift))*SUM(INDEX($FO$325:$IH$396,HK$169,1+SwaptionShift):INDEX($FO$325:$IH$396,HK$169,SwaptionMonthsToGo+SwaptionShift))))))</f>
        <v/>
      </c>
      <c r="HL191" s="469" t="str">
        <f ca="1">IF(OR(HL$169&lt;SwaptionFirstMonthPosition+1,$FN191&lt;SwaptionFirstMonthPosition+1,HL$169&gt;SwaptionFirstMonthPosition+SwaptionNumOfMonths+1,$FN191&gt;SwaptionFirstMonthPosition+SwaptionNumOfMonths+1),"",IF($FN191=HL$169,1,IF($FN191&lt;HL$169,INDEX($FO$170:$IH$241,HL$169,$FN191),SUMPRODUCT(INDEX($FO$325:$IH$396,HL$169,1+SwaptionShift):INDEX($FO$325:$IH$396,HL$169,SwaptionMonthsToGo+SwaptionShift),INDEX($FO$245:$IH$316,$FN191-HL$169,73-HL$169+SwaptionShift):INDEX($FO$245:$IH$316,$FN191-HL$169,72-HL$169+SwaptionMonthsToGo+SwaptionShift))/SQRT(SUM(INDEX($FO346:$IH346,1+SwaptionShift):INDEX($FO346:$IH346,SwaptionMonthsToGo+SwaptionShift))*SUM(INDEX($FO$325:$IH$396,HL$169,1+SwaptionShift):INDEX($FO$325:$IH$396,HL$169,SwaptionMonthsToGo+SwaptionShift))))))</f>
        <v/>
      </c>
      <c r="HM191" s="469" t="str">
        <f ca="1">IF(OR(HM$169&lt;SwaptionFirstMonthPosition+1,$FN191&lt;SwaptionFirstMonthPosition+1,HM$169&gt;SwaptionFirstMonthPosition+SwaptionNumOfMonths+1,$FN191&gt;SwaptionFirstMonthPosition+SwaptionNumOfMonths+1),"",IF($FN191=HM$169,1,IF($FN191&lt;HM$169,INDEX($FO$170:$IH$241,HM$169,$FN191),SUMPRODUCT(INDEX($FO$325:$IH$396,HM$169,1+SwaptionShift):INDEX($FO$325:$IH$396,HM$169,SwaptionMonthsToGo+SwaptionShift),INDEX($FO$245:$IH$316,$FN191-HM$169,73-HM$169+SwaptionShift):INDEX($FO$245:$IH$316,$FN191-HM$169,72-HM$169+SwaptionMonthsToGo+SwaptionShift))/SQRT(SUM(INDEX($FO346:$IH346,1+SwaptionShift):INDEX($FO346:$IH346,SwaptionMonthsToGo+SwaptionShift))*SUM(INDEX($FO$325:$IH$396,HM$169,1+SwaptionShift):INDEX($FO$325:$IH$396,HM$169,SwaptionMonthsToGo+SwaptionShift))))))</f>
        <v/>
      </c>
      <c r="HN191" s="469" t="str">
        <f ca="1">IF(OR(HN$169&lt;SwaptionFirstMonthPosition+1,$FN191&lt;SwaptionFirstMonthPosition+1,HN$169&gt;SwaptionFirstMonthPosition+SwaptionNumOfMonths+1,$FN191&gt;SwaptionFirstMonthPosition+SwaptionNumOfMonths+1),"",IF($FN191=HN$169,1,IF($FN191&lt;HN$169,INDEX($FO$170:$IH$241,HN$169,$FN191),SUMPRODUCT(INDEX($FO$325:$IH$396,HN$169,1+SwaptionShift):INDEX($FO$325:$IH$396,HN$169,SwaptionMonthsToGo+SwaptionShift),INDEX($FO$245:$IH$316,$FN191-HN$169,73-HN$169+SwaptionShift):INDEX($FO$245:$IH$316,$FN191-HN$169,72-HN$169+SwaptionMonthsToGo+SwaptionShift))/SQRT(SUM(INDEX($FO346:$IH346,1+SwaptionShift):INDEX($FO346:$IH346,SwaptionMonthsToGo+SwaptionShift))*SUM(INDEX($FO$325:$IH$396,HN$169,1+SwaptionShift):INDEX($FO$325:$IH$396,HN$169,SwaptionMonthsToGo+SwaptionShift))))))</f>
        <v/>
      </c>
      <c r="HO191" s="469" t="str">
        <f ca="1">IF(OR(HO$169&lt;SwaptionFirstMonthPosition+1,$FN191&lt;SwaptionFirstMonthPosition+1,HO$169&gt;SwaptionFirstMonthPosition+SwaptionNumOfMonths+1,$FN191&gt;SwaptionFirstMonthPosition+SwaptionNumOfMonths+1),"",IF($FN191=HO$169,1,IF($FN191&lt;HO$169,INDEX($FO$170:$IH$241,HO$169,$FN191),SUMPRODUCT(INDEX($FO$325:$IH$396,HO$169,1+SwaptionShift):INDEX($FO$325:$IH$396,HO$169,SwaptionMonthsToGo+SwaptionShift),INDEX($FO$245:$IH$316,$FN191-HO$169,73-HO$169+SwaptionShift):INDEX($FO$245:$IH$316,$FN191-HO$169,72-HO$169+SwaptionMonthsToGo+SwaptionShift))/SQRT(SUM(INDEX($FO346:$IH346,1+SwaptionShift):INDEX($FO346:$IH346,SwaptionMonthsToGo+SwaptionShift))*SUM(INDEX($FO$325:$IH$396,HO$169,1+SwaptionShift):INDEX($FO$325:$IH$396,HO$169,SwaptionMonthsToGo+SwaptionShift))))))</f>
        <v/>
      </c>
      <c r="HP191" s="469" t="str">
        <f ca="1">IF(OR(HP$169&lt;SwaptionFirstMonthPosition+1,$FN191&lt;SwaptionFirstMonthPosition+1,HP$169&gt;SwaptionFirstMonthPosition+SwaptionNumOfMonths+1,$FN191&gt;SwaptionFirstMonthPosition+SwaptionNumOfMonths+1),"",IF($FN191=HP$169,1,IF($FN191&lt;HP$169,INDEX($FO$170:$IH$241,HP$169,$FN191),SUMPRODUCT(INDEX($FO$325:$IH$396,HP$169,1+SwaptionShift):INDEX($FO$325:$IH$396,HP$169,SwaptionMonthsToGo+SwaptionShift),INDEX($FO$245:$IH$316,$FN191-HP$169,73-HP$169+SwaptionShift):INDEX($FO$245:$IH$316,$FN191-HP$169,72-HP$169+SwaptionMonthsToGo+SwaptionShift))/SQRT(SUM(INDEX($FO346:$IH346,1+SwaptionShift):INDEX($FO346:$IH346,SwaptionMonthsToGo+SwaptionShift))*SUM(INDEX($FO$325:$IH$396,HP$169,1+SwaptionShift):INDEX($FO$325:$IH$396,HP$169,SwaptionMonthsToGo+SwaptionShift))))))</f>
        <v/>
      </c>
      <c r="HQ191" s="469" t="str">
        <f ca="1">IF(OR(HQ$169&lt;SwaptionFirstMonthPosition+1,$FN191&lt;SwaptionFirstMonthPosition+1,HQ$169&gt;SwaptionFirstMonthPosition+SwaptionNumOfMonths+1,$FN191&gt;SwaptionFirstMonthPosition+SwaptionNumOfMonths+1),"",IF($FN191=HQ$169,1,IF($FN191&lt;HQ$169,INDEX($FO$170:$IH$241,HQ$169,$FN191),SUMPRODUCT(INDEX($FO$325:$IH$396,HQ$169,1+SwaptionShift):INDEX($FO$325:$IH$396,HQ$169,SwaptionMonthsToGo+SwaptionShift),INDEX($FO$245:$IH$316,$FN191-HQ$169,73-HQ$169+SwaptionShift):INDEX($FO$245:$IH$316,$FN191-HQ$169,72-HQ$169+SwaptionMonthsToGo+SwaptionShift))/SQRT(SUM(INDEX($FO346:$IH346,1+SwaptionShift):INDEX($FO346:$IH346,SwaptionMonthsToGo+SwaptionShift))*SUM(INDEX($FO$325:$IH$396,HQ$169,1+SwaptionShift):INDEX($FO$325:$IH$396,HQ$169,SwaptionMonthsToGo+SwaptionShift))))))</f>
        <v/>
      </c>
      <c r="HR191" s="469" t="str">
        <f ca="1">IF(OR(HR$169&lt;SwaptionFirstMonthPosition+1,$FN191&lt;SwaptionFirstMonthPosition+1,HR$169&gt;SwaptionFirstMonthPosition+SwaptionNumOfMonths+1,$FN191&gt;SwaptionFirstMonthPosition+SwaptionNumOfMonths+1),"",IF($FN191=HR$169,1,IF($FN191&lt;HR$169,INDEX($FO$170:$IH$241,HR$169,$FN191),SUMPRODUCT(INDEX($FO$325:$IH$396,HR$169,1+SwaptionShift):INDEX($FO$325:$IH$396,HR$169,SwaptionMonthsToGo+SwaptionShift),INDEX($FO$245:$IH$316,$FN191-HR$169,73-HR$169+SwaptionShift):INDEX($FO$245:$IH$316,$FN191-HR$169,72-HR$169+SwaptionMonthsToGo+SwaptionShift))/SQRT(SUM(INDEX($FO346:$IH346,1+SwaptionShift):INDEX($FO346:$IH346,SwaptionMonthsToGo+SwaptionShift))*SUM(INDEX($FO$325:$IH$396,HR$169,1+SwaptionShift):INDEX($FO$325:$IH$396,HR$169,SwaptionMonthsToGo+SwaptionShift))))))</f>
        <v/>
      </c>
      <c r="HS191" s="469" t="str">
        <f ca="1">IF(OR(HS$169&lt;SwaptionFirstMonthPosition+1,$FN191&lt;SwaptionFirstMonthPosition+1,HS$169&gt;SwaptionFirstMonthPosition+SwaptionNumOfMonths+1,$FN191&gt;SwaptionFirstMonthPosition+SwaptionNumOfMonths+1),"",IF($FN191=HS$169,1,IF($FN191&lt;HS$169,INDEX($FO$170:$IH$241,HS$169,$FN191),SUMPRODUCT(INDEX($FO$325:$IH$396,HS$169,1+SwaptionShift):INDEX($FO$325:$IH$396,HS$169,SwaptionMonthsToGo+SwaptionShift),INDEX($FO$245:$IH$316,$FN191-HS$169,73-HS$169+SwaptionShift):INDEX($FO$245:$IH$316,$FN191-HS$169,72-HS$169+SwaptionMonthsToGo+SwaptionShift))/SQRT(SUM(INDEX($FO346:$IH346,1+SwaptionShift):INDEX($FO346:$IH346,SwaptionMonthsToGo+SwaptionShift))*SUM(INDEX($FO$325:$IH$396,HS$169,1+SwaptionShift):INDEX($FO$325:$IH$396,HS$169,SwaptionMonthsToGo+SwaptionShift))))))</f>
        <v/>
      </c>
      <c r="HT191" s="469" t="str">
        <f ca="1">IF(OR(HT$169&lt;SwaptionFirstMonthPosition+1,$FN191&lt;SwaptionFirstMonthPosition+1,HT$169&gt;SwaptionFirstMonthPosition+SwaptionNumOfMonths+1,$FN191&gt;SwaptionFirstMonthPosition+SwaptionNumOfMonths+1),"",IF($FN191=HT$169,1,IF($FN191&lt;HT$169,INDEX($FO$170:$IH$241,HT$169,$FN191),SUMPRODUCT(INDEX($FO$325:$IH$396,HT$169,1+SwaptionShift):INDEX($FO$325:$IH$396,HT$169,SwaptionMonthsToGo+SwaptionShift),INDEX($FO$245:$IH$316,$FN191-HT$169,73-HT$169+SwaptionShift):INDEX($FO$245:$IH$316,$FN191-HT$169,72-HT$169+SwaptionMonthsToGo+SwaptionShift))/SQRT(SUM(INDEX($FO346:$IH346,1+SwaptionShift):INDEX($FO346:$IH346,SwaptionMonthsToGo+SwaptionShift))*SUM(INDEX($FO$325:$IH$396,HT$169,1+SwaptionShift):INDEX($FO$325:$IH$396,HT$169,SwaptionMonthsToGo+SwaptionShift))))))</f>
        <v/>
      </c>
      <c r="HU191" s="469" t="str">
        <f ca="1">IF(OR(HU$169&lt;SwaptionFirstMonthPosition+1,$FN191&lt;SwaptionFirstMonthPosition+1,HU$169&gt;SwaptionFirstMonthPosition+SwaptionNumOfMonths+1,$FN191&gt;SwaptionFirstMonthPosition+SwaptionNumOfMonths+1),"",IF($FN191=HU$169,1,IF($FN191&lt;HU$169,INDEX($FO$170:$IH$241,HU$169,$FN191),SUMPRODUCT(INDEX($FO$325:$IH$396,HU$169,1+SwaptionShift):INDEX($FO$325:$IH$396,HU$169,SwaptionMonthsToGo+SwaptionShift),INDEX($FO$245:$IH$316,$FN191-HU$169,73-HU$169+SwaptionShift):INDEX($FO$245:$IH$316,$FN191-HU$169,72-HU$169+SwaptionMonthsToGo+SwaptionShift))/SQRT(SUM(INDEX($FO346:$IH346,1+SwaptionShift):INDEX($FO346:$IH346,SwaptionMonthsToGo+SwaptionShift))*SUM(INDEX($FO$325:$IH$396,HU$169,1+SwaptionShift):INDEX($FO$325:$IH$396,HU$169,SwaptionMonthsToGo+SwaptionShift))))))</f>
        <v/>
      </c>
      <c r="HV191" s="469" t="str">
        <f ca="1">IF(OR(HV$169&lt;SwaptionFirstMonthPosition+1,$FN191&lt;SwaptionFirstMonthPosition+1,HV$169&gt;SwaptionFirstMonthPosition+SwaptionNumOfMonths+1,$FN191&gt;SwaptionFirstMonthPosition+SwaptionNumOfMonths+1),"",IF($FN191=HV$169,1,IF($FN191&lt;HV$169,INDEX($FO$170:$IH$241,HV$169,$FN191),SUMPRODUCT(INDEX($FO$325:$IH$396,HV$169,1+SwaptionShift):INDEX($FO$325:$IH$396,HV$169,SwaptionMonthsToGo+SwaptionShift),INDEX($FO$245:$IH$316,$FN191-HV$169,73-HV$169+SwaptionShift):INDEX($FO$245:$IH$316,$FN191-HV$169,72-HV$169+SwaptionMonthsToGo+SwaptionShift))/SQRT(SUM(INDEX($FO346:$IH346,1+SwaptionShift):INDEX($FO346:$IH346,SwaptionMonthsToGo+SwaptionShift))*SUM(INDEX($FO$325:$IH$396,HV$169,1+SwaptionShift):INDEX($FO$325:$IH$396,HV$169,SwaptionMonthsToGo+SwaptionShift))))))</f>
        <v/>
      </c>
      <c r="HW191" s="469" t="str">
        <f ca="1">IF(OR(HW$169&lt;SwaptionFirstMonthPosition+1,$FN191&lt;SwaptionFirstMonthPosition+1,HW$169&gt;SwaptionFirstMonthPosition+SwaptionNumOfMonths+1,$FN191&gt;SwaptionFirstMonthPosition+SwaptionNumOfMonths+1),"",IF($FN191=HW$169,1,IF($FN191&lt;HW$169,INDEX($FO$170:$IH$241,HW$169,$FN191),SUMPRODUCT(INDEX($FO$325:$IH$396,HW$169,1+SwaptionShift):INDEX($FO$325:$IH$396,HW$169,SwaptionMonthsToGo+SwaptionShift),INDEX($FO$245:$IH$316,$FN191-HW$169,73-HW$169+SwaptionShift):INDEX($FO$245:$IH$316,$FN191-HW$169,72-HW$169+SwaptionMonthsToGo+SwaptionShift))/SQRT(SUM(INDEX($FO346:$IH346,1+SwaptionShift):INDEX($FO346:$IH346,SwaptionMonthsToGo+SwaptionShift))*SUM(INDEX($FO$325:$IH$396,HW$169,1+SwaptionShift):INDEX($FO$325:$IH$396,HW$169,SwaptionMonthsToGo+SwaptionShift))))))</f>
        <v/>
      </c>
      <c r="HX191" s="469" t="str">
        <f ca="1">IF(OR(HX$169&lt;SwaptionFirstMonthPosition+1,$FN191&lt;SwaptionFirstMonthPosition+1,HX$169&gt;SwaptionFirstMonthPosition+SwaptionNumOfMonths+1,$FN191&gt;SwaptionFirstMonthPosition+SwaptionNumOfMonths+1),"",IF($FN191=HX$169,1,IF($FN191&lt;HX$169,INDEX($FO$170:$IH$241,HX$169,$FN191),SUMPRODUCT(INDEX($FO$325:$IH$396,HX$169,1+SwaptionShift):INDEX($FO$325:$IH$396,HX$169,SwaptionMonthsToGo+SwaptionShift),INDEX($FO$245:$IH$316,$FN191-HX$169,73-HX$169+SwaptionShift):INDEX($FO$245:$IH$316,$FN191-HX$169,72-HX$169+SwaptionMonthsToGo+SwaptionShift))/SQRT(SUM(INDEX($FO346:$IH346,1+SwaptionShift):INDEX($FO346:$IH346,SwaptionMonthsToGo+SwaptionShift))*SUM(INDEX($FO$325:$IH$396,HX$169,1+SwaptionShift):INDEX($FO$325:$IH$396,HX$169,SwaptionMonthsToGo+SwaptionShift))))))</f>
        <v/>
      </c>
      <c r="HY191" s="469" t="str">
        <f ca="1">IF(OR(HY$169&lt;SwaptionFirstMonthPosition+1,$FN191&lt;SwaptionFirstMonthPosition+1,HY$169&gt;SwaptionFirstMonthPosition+SwaptionNumOfMonths+1,$FN191&gt;SwaptionFirstMonthPosition+SwaptionNumOfMonths+1),"",IF($FN191=HY$169,1,IF($FN191&lt;HY$169,INDEX($FO$170:$IH$241,HY$169,$FN191),SUMPRODUCT(INDEX($FO$325:$IH$396,HY$169,1+SwaptionShift):INDEX($FO$325:$IH$396,HY$169,SwaptionMonthsToGo+SwaptionShift),INDEX($FO$245:$IH$316,$FN191-HY$169,73-HY$169+SwaptionShift):INDEX($FO$245:$IH$316,$FN191-HY$169,72-HY$169+SwaptionMonthsToGo+SwaptionShift))/SQRT(SUM(INDEX($FO346:$IH346,1+SwaptionShift):INDEX($FO346:$IH346,SwaptionMonthsToGo+SwaptionShift))*SUM(INDEX($FO$325:$IH$396,HY$169,1+SwaptionShift):INDEX($FO$325:$IH$396,HY$169,SwaptionMonthsToGo+SwaptionShift))))))</f>
        <v/>
      </c>
      <c r="HZ191" s="469" t="str">
        <f ca="1">IF(OR(HZ$169&lt;SwaptionFirstMonthPosition+1,$FN191&lt;SwaptionFirstMonthPosition+1,HZ$169&gt;SwaptionFirstMonthPosition+SwaptionNumOfMonths+1,$FN191&gt;SwaptionFirstMonthPosition+SwaptionNumOfMonths+1),"",IF($FN191=HZ$169,1,IF($FN191&lt;HZ$169,INDEX($FO$170:$IH$241,HZ$169,$FN191),SUMPRODUCT(INDEX($FO$325:$IH$396,HZ$169,1+SwaptionShift):INDEX($FO$325:$IH$396,HZ$169,SwaptionMonthsToGo+SwaptionShift),INDEX($FO$245:$IH$316,$FN191-HZ$169,73-HZ$169+SwaptionShift):INDEX($FO$245:$IH$316,$FN191-HZ$169,72-HZ$169+SwaptionMonthsToGo+SwaptionShift))/SQRT(SUM(INDEX($FO346:$IH346,1+SwaptionShift):INDEX($FO346:$IH346,SwaptionMonthsToGo+SwaptionShift))*SUM(INDEX($FO$325:$IH$396,HZ$169,1+SwaptionShift):INDEX($FO$325:$IH$396,HZ$169,SwaptionMonthsToGo+SwaptionShift))))))</f>
        <v/>
      </c>
      <c r="IA191" s="469" t="str">
        <f ca="1">IF(OR(IA$169&lt;SwaptionFirstMonthPosition+1,$FN191&lt;SwaptionFirstMonthPosition+1,IA$169&gt;SwaptionFirstMonthPosition+SwaptionNumOfMonths+1,$FN191&gt;SwaptionFirstMonthPosition+SwaptionNumOfMonths+1),"",IF($FN191=IA$169,1,IF($FN191&lt;IA$169,INDEX($FO$170:$IH$241,IA$169,$FN191),SUMPRODUCT(INDEX($FO$325:$IH$396,IA$169,1+SwaptionShift):INDEX($FO$325:$IH$396,IA$169,SwaptionMonthsToGo+SwaptionShift),INDEX($FO$245:$IH$316,$FN191-IA$169,73-IA$169+SwaptionShift):INDEX($FO$245:$IH$316,$FN191-IA$169,72-IA$169+SwaptionMonthsToGo+SwaptionShift))/SQRT(SUM(INDEX($FO346:$IH346,1+SwaptionShift):INDEX($FO346:$IH346,SwaptionMonthsToGo+SwaptionShift))*SUM(INDEX($FO$325:$IH$396,IA$169,1+SwaptionShift):INDEX($FO$325:$IH$396,IA$169,SwaptionMonthsToGo+SwaptionShift))))))</f>
        <v/>
      </c>
      <c r="IB191" s="469" t="str">
        <f ca="1">IF(OR(IB$169&lt;SwaptionFirstMonthPosition+1,$FN191&lt;SwaptionFirstMonthPosition+1,IB$169&gt;SwaptionFirstMonthPosition+SwaptionNumOfMonths+1,$FN191&gt;SwaptionFirstMonthPosition+SwaptionNumOfMonths+1),"",IF($FN191=IB$169,1,IF($FN191&lt;IB$169,INDEX($FO$170:$IH$241,IB$169,$FN191),SUMPRODUCT(INDEX($FO$325:$IH$396,IB$169,1+SwaptionShift):INDEX($FO$325:$IH$396,IB$169,SwaptionMonthsToGo+SwaptionShift),INDEX($FO$245:$IH$316,$FN191-IB$169,73-IB$169+SwaptionShift):INDEX($FO$245:$IH$316,$FN191-IB$169,72-IB$169+SwaptionMonthsToGo+SwaptionShift))/SQRT(SUM(INDEX($FO346:$IH346,1+SwaptionShift):INDEX($FO346:$IH346,SwaptionMonthsToGo+SwaptionShift))*SUM(INDEX($FO$325:$IH$396,IB$169,1+SwaptionShift):INDEX($FO$325:$IH$396,IB$169,SwaptionMonthsToGo+SwaptionShift))))))</f>
        <v/>
      </c>
      <c r="IC191" s="469" t="str">
        <f ca="1">IF(OR(IC$169&lt;SwaptionFirstMonthPosition+1,$FN191&lt;SwaptionFirstMonthPosition+1,IC$169&gt;SwaptionFirstMonthPosition+SwaptionNumOfMonths+1,$FN191&gt;SwaptionFirstMonthPosition+SwaptionNumOfMonths+1),"",IF($FN191=IC$169,1,IF($FN191&lt;IC$169,INDEX($FO$170:$IH$241,IC$169,$FN191),SUMPRODUCT(INDEX($FO$325:$IH$396,IC$169,1+SwaptionShift):INDEX($FO$325:$IH$396,IC$169,SwaptionMonthsToGo+SwaptionShift),INDEX($FO$245:$IH$316,$FN191-IC$169,73-IC$169+SwaptionShift):INDEX($FO$245:$IH$316,$FN191-IC$169,72-IC$169+SwaptionMonthsToGo+SwaptionShift))/SQRT(SUM(INDEX($FO346:$IH346,1+SwaptionShift):INDEX($FO346:$IH346,SwaptionMonthsToGo+SwaptionShift))*SUM(INDEX($FO$325:$IH$396,IC$169,1+SwaptionShift):INDEX($FO$325:$IH$396,IC$169,SwaptionMonthsToGo+SwaptionShift))))))</f>
        <v/>
      </c>
      <c r="ID191" s="469" t="str">
        <f ca="1">IF(OR(ID$169&lt;SwaptionFirstMonthPosition+1,$FN191&lt;SwaptionFirstMonthPosition+1,ID$169&gt;SwaptionFirstMonthPosition+SwaptionNumOfMonths+1,$FN191&gt;SwaptionFirstMonthPosition+SwaptionNumOfMonths+1),"",IF($FN191=ID$169,1,IF($FN191&lt;ID$169,INDEX($FO$170:$IH$241,ID$169,$FN191),SUMPRODUCT(INDEX($FO$325:$IH$396,ID$169,1+SwaptionShift):INDEX($FO$325:$IH$396,ID$169,SwaptionMonthsToGo+SwaptionShift),INDEX($FO$245:$IH$316,$FN191-ID$169,73-ID$169+SwaptionShift):INDEX($FO$245:$IH$316,$FN191-ID$169,72-ID$169+SwaptionMonthsToGo+SwaptionShift))/SQRT(SUM(INDEX($FO346:$IH346,1+SwaptionShift):INDEX($FO346:$IH346,SwaptionMonthsToGo+SwaptionShift))*SUM(INDEX($FO$325:$IH$396,ID$169,1+SwaptionShift):INDEX($FO$325:$IH$396,ID$169,SwaptionMonthsToGo+SwaptionShift))))))</f>
        <v/>
      </c>
      <c r="IE191" s="469" t="str">
        <f ca="1">IF(OR(IE$169&lt;SwaptionFirstMonthPosition+1,$FN191&lt;SwaptionFirstMonthPosition+1,IE$169&gt;SwaptionFirstMonthPosition+SwaptionNumOfMonths+1,$FN191&gt;SwaptionFirstMonthPosition+SwaptionNumOfMonths+1),"",IF($FN191=IE$169,1,IF($FN191&lt;IE$169,INDEX($FO$170:$IH$241,IE$169,$FN191),SUMPRODUCT(INDEX($FO$325:$IH$396,IE$169,1+SwaptionShift):INDEX($FO$325:$IH$396,IE$169,SwaptionMonthsToGo+SwaptionShift),INDEX($FO$245:$IH$316,$FN191-IE$169,73-IE$169+SwaptionShift):INDEX($FO$245:$IH$316,$FN191-IE$169,72-IE$169+SwaptionMonthsToGo+SwaptionShift))/SQRT(SUM(INDEX($FO346:$IH346,1+SwaptionShift):INDEX($FO346:$IH346,SwaptionMonthsToGo+SwaptionShift))*SUM(INDEX($FO$325:$IH$396,IE$169,1+SwaptionShift):INDEX($FO$325:$IH$396,IE$169,SwaptionMonthsToGo+SwaptionShift))))))</f>
        <v/>
      </c>
      <c r="IF191" s="469" t="str">
        <f ca="1">IF(OR(IF$169&lt;SwaptionFirstMonthPosition+1,$FN191&lt;SwaptionFirstMonthPosition+1,IF$169&gt;SwaptionFirstMonthPosition+SwaptionNumOfMonths+1,$FN191&gt;SwaptionFirstMonthPosition+SwaptionNumOfMonths+1),"",IF($FN191=IF$169,1,IF($FN191&lt;IF$169,INDEX($FO$170:$IH$241,IF$169,$FN191),SUMPRODUCT(INDEX($FO$325:$IH$396,IF$169,1+SwaptionShift):INDEX($FO$325:$IH$396,IF$169,SwaptionMonthsToGo+SwaptionShift),INDEX($FO$245:$IH$316,$FN191-IF$169,73-IF$169+SwaptionShift):INDEX($FO$245:$IH$316,$FN191-IF$169,72-IF$169+SwaptionMonthsToGo+SwaptionShift))/SQRT(SUM(INDEX($FO346:$IH346,1+SwaptionShift):INDEX($FO346:$IH346,SwaptionMonthsToGo+SwaptionShift))*SUM(INDEX($FO$325:$IH$396,IF$169,1+SwaptionShift):INDEX($FO$325:$IH$396,IF$169,SwaptionMonthsToGo+SwaptionShift))))))</f>
        <v/>
      </c>
      <c r="IG191" s="469" t="str">
        <f ca="1">IF(OR(IG$169&lt;SwaptionFirstMonthPosition+1,$FN191&lt;SwaptionFirstMonthPosition+1,IG$169&gt;SwaptionFirstMonthPosition+SwaptionNumOfMonths+1,$FN191&gt;SwaptionFirstMonthPosition+SwaptionNumOfMonths+1),"",IF($FN191=IG$169,1,IF($FN191&lt;IG$169,INDEX($FO$170:$IH$241,IG$169,$FN191),SUMPRODUCT(INDEX($FO$325:$IH$396,IG$169,1+SwaptionShift):INDEX($FO$325:$IH$396,IG$169,SwaptionMonthsToGo+SwaptionShift),INDEX($FO$245:$IH$316,$FN191-IG$169,73-IG$169+SwaptionShift):INDEX($FO$245:$IH$316,$FN191-IG$169,72-IG$169+SwaptionMonthsToGo+SwaptionShift))/SQRT(SUM(INDEX($FO346:$IH346,1+SwaptionShift):INDEX($FO346:$IH346,SwaptionMonthsToGo+SwaptionShift))*SUM(INDEX($FO$325:$IH$396,IG$169,1+SwaptionShift):INDEX($FO$325:$IH$396,IG$169,SwaptionMonthsToGo+SwaptionShift))))))</f>
        <v/>
      </c>
      <c r="IH191" s="662" t="str">
        <f ca="1">IF(OR(IH$169&lt;SwaptionFirstMonthPosition+1,$FN191&lt;SwaptionFirstMonthPosition+1,IH$169&gt;SwaptionFirstMonthPosition+SwaptionNumOfMonths+1,$FN191&gt;SwaptionFirstMonthPosition+SwaptionNumOfMonths+1),"",IF($FN191=IH$169,1,IF($FN191&lt;IH$169,INDEX($FO$170:$IH$241,IH$169,$FN191),SUMPRODUCT(INDEX($FO$325:$IH$396,IH$169,1+SwaptionShift):INDEX($FO$325:$IH$396,IH$169,SwaptionMonthsToGo+SwaptionShift),INDEX($FO$245:$IH$316,$FN191-IH$169,73-IH$169+SwaptionShift):INDEX($FO$245:$IH$316,$FN191-IH$169,72-IH$169+SwaptionMonthsToGo+SwaptionShift))/SQRT(SUM(INDEX($FO346:$IH346,1+SwaptionShift):INDEX($FO346:$IH346,SwaptionMonthsToGo+SwaptionShift))*SUM(INDEX($FO$325:$IH$396,IH$169,1+SwaptionShift):INDEX($FO$325:$IH$396,IH$169,SwaptionMonthsToGo+SwaptionShift))))))</f>
        <v/>
      </c>
      <c r="II191" s="242"/>
    </row>
    <row r="192" spans="8:243">
      <c r="H192" s="49" t="e">
        <f t="shared" ca="1" si="529"/>
        <v>#N/A</v>
      </c>
      <c r="I192" s="369">
        <f t="shared" si="530"/>
        <v>42248</v>
      </c>
      <c r="J192" s="367">
        <v>23.684999999999899</v>
      </c>
      <c r="K192" s="101" t="s">
        <v>267</v>
      </c>
      <c r="L192" s="382">
        <f t="shared" si="531"/>
        <v>23.684999999999885</v>
      </c>
      <c r="M192" s="163">
        <v>0.14230000000000001</v>
      </c>
      <c r="N192" s="372">
        <v>0</v>
      </c>
      <c r="O192" s="163">
        <f t="shared" si="488"/>
        <v>0.14230000000000001</v>
      </c>
      <c r="P192" s="367">
        <v>22.452145127585599</v>
      </c>
      <c r="Q192" s="101" t="s">
        <v>267</v>
      </c>
      <c r="R192" s="367">
        <f t="shared" ca="1" si="549"/>
        <v>22.45214512758562</v>
      </c>
      <c r="S192" s="814">
        <f t="shared" si="474"/>
        <v>0.34896578417973578</v>
      </c>
      <c r="T192" s="813">
        <f t="shared" si="550"/>
        <v>0.99999999894768166</v>
      </c>
      <c r="U192" s="532">
        <f t="shared" si="551"/>
        <v>0.99999999999999978</v>
      </c>
      <c r="V192" s="379">
        <v>0</v>
      </c>
      <c r="W192" s="424">
        <f t="shared" si="576"/>
        <v>23.719090909090813</v>
      </c>
      <c r="X192" s="405">
        <f t="shared" si="577"/>
        <v>23.719090909090792</v>
      </c>
      <c r="Y192" s="313">
        <f t="shared" si="578"/>
        <v>22.400690909090812</v>
      </c>
      <c r="Z192" s="313">
        <f t="shared" ca="1" si="579"/>
        <v>22.400690909090791</v>
      </c>
      <c r="AA192" s="419">
        <f t="shared" si="493"/>
        <v>1.3184</v>
      </c>
      <c r="AB192" s="423">
        <f t="shared" ca="1" si="494"/>
        <v>1.3184</v>
      </c>
      <c r="AC192" s="221">
        <v>42236</v>
      </c>
      <c r="AD192" s="221">
        <v>42232</v>
      </c>
      <c r="AE192" s="221">
        <v>42231</v>
      </c>
      <c r="AF192" s="221">
        <v>42227</v>
      </c>
      <c r="AG192" s="241" t="s">
        <v>497</v>
      </c>
      <c r="AH192" s="239" t="s">
        <v>497</v>
      </c>
      <c r="AI192" s="141">
        <v>22</v>
      </c>
      <c r="AJ192" s="41">
        <v>14</v>
      </c>
      <c r="AK192" s="41">
        <v>8</v>
      </c>
      <c r="AL192" s="285">
        <v>22</v>
      </c>
      <c r="AM192" s="41">
        <v>10</v>
      </c>
      <c r="AN192" s="142">
        <v>12</v>
      </c>
      <c r="AO192" s="364">
        <v>6.16361836964456E-2</v>
      </c>
      <c r="AP192" s="145">
        <f t="shared" ca="1" si="532"/>
        <v>0.41531700717407838</v>
      </c>
      <c r="AQ192" s="364">
        <v>5.5524852641323903E-2</v>
      </c>
      <c r="AR192" s="145">
        <f t="shared" ca="1" si="552"/>
        <v>0.45565414248948821</v>
      </c>
      <c r="AS192" s="264">
        <f t="shared" si="580"/>
        <v>0.14175454545454544</v>
      </c>
      <c r="AT192" s="149">
        <f t="shared" si="533"/>
        <v>0.14230000000000001</v>
      </c>
      <c r="AU192" s="149">
        <f t="shared" si="496"/>
        <v>0.14168181818181819</v>
      </c>
      <c r="AV192" s="263">
        <f t="shared" ca="1" si="560"/>
        <v>0.14016171233475541</v>
      </c>
      <c r="AW192" s="150" t="str">
        <f t="shared" ca="1" si="581"/>
        <v/>
      </c>
      <c r="AX192" s="149">
        <f t="shared" ca="1" si="553"/>
        <v>5.7348195419098325E-3</v>
      </c>
      <c r="AY192" s="149">
        <f t="shared" ca="1" si="554"/>
        <v>1.9725363976688354E-3</v>
      </c>
      <c r="AZ192" s="149">
        <f t="shared" ca="1" si="555"/>
        <v>1.9995156911208514E-3</v>
      </c>
      <c r="BA192" s="149">
        <f t="shared" ca="1" si="556"/>
        <v>1.0000000000000861E-4</v>
      </c>
      <c r="BB192" s="149">
        <f t="shared" ca="1" si="557"/>
        <v>1.0000000000000861E-4</v>
      </c>
      <c r="BC192" s="149">
        <f t="shared" ca="1" si="558"/>
        <v>1.0000000000000861E-4</v>
      </c>
      <c r="BD192" s="143">
        <f t="shared" ca="1" si="582"/>
        <v>0</v>
      </c>
      <c r="BE192" s="144">
        <f t="shared" ca="1" si="583"/>
        <v>0</v>
      </c>
      <c r="BF192" s="40">
        <f t="shared" si="584"/>
        <v>2015</v>
      </c>
      <c r="BG192" s="139">
        <f t="shared" si="585"/>
        <v>9</v>
      </c>
      <c r="BH192" s="140">
        <f t="shared" ca="1" si="586"/>
        <v>5242</v>
      </c>
      <c r="BI192" s="304">
        <f t="shared" ca="1" si="570"/>
        <v>14.395619438740589</v>
      </c>
      <c r="BJ192" s="42">
        <f t="shared" ca="1" si="503"/>
        <v>14.44614523053948</v>
      </c>
      <c r="BK192" s="42">
        <f t="shared" ca="1" si="504"/>
        <v>14.448883081326613</v>
      </c>
      <c r="BL192" s="42">
        <f t="shared" ca="1" si="571"/>
        <v>14.47501711156742</v>
      </c>
      <c r="BM192" s="285">
        <f t="shared" si="572"/>
        <v>22</v>
      </c>
      <c r="BN192" s="41">
        <f t="shared" si="573"/>
        <v>14</v>
      </c>
      <c r="BO192" s="41">
        <f t="shared" si="574"/>
        <v>8</v>
      </c>
      <c r="BP192" s="297" t="str">
        <f t="shared" ca="1" si="505"/>
        <v/>
      </c>
      <c r="BQ192" s="297" t="str">
        <f t="shared" ca="1" si="506"/>
        <v/>
      </c>
      <c r="BR192" s="299" t="str">
        <f t="shared" ca="1" si="507"/>
        <v/>
      </c>
      <c r="BS192" s="153" t="str">
        <f t="shared" ca="1" si="508"/>
        <v/>
      </c>
      <c r="BT192" s="153" t="str">
        <f t="shared" ca="1" si="509"/>
        <v/>
      </c>
      <c r="BU192" s="300" t="str">
        <f t="shared" ca="1" si="510"/>
        <v/>
      </c>
      <c r="BV192" s="301" t="str">
        <f t="shared" ca="1" si="511"/>
        <v/>
      </c>
      <c r="BW192" s="300" t="str">
        <f t="shared" ca="1" si="512"/>
        <v/>
      </c>
      <c r="BX192" s="301" t="str">
        <f t="shared" ca="1" si="513"/>
        <v/>
      </c>
      <c r="BY192" s="146" t="str">
        <f t="shared" ca="1" si="514"/>
        <v/>
      </c>
      <c r="BZ192" s="146" t="str">
        <f t="shared" ca="1" si="515"/>
        <v/>
      </c>
      <c r="CA192" s="146" t="str">
        <f t="shared" ca="1" si="516"/>
        <v/>
      </c>
      <c r="CB192" s="146" t="str">
        <f t="shared" ca="1" si="517"/>
        <v/>
      </c>
      <c r="CC192" s="302">
        <v>1</v>
      </c>
      <c r="CD192" s="154">
        <f ca="1">IF(BD192,_xll.xCrudeAPO(BS192,BT192,BY192,BZ192,S193,S194,BI192,BL192,BN192,BO192,0,Strike1,AO192,CC192,0,BL192,IF(OptControl=4,0,1),0,1),0)</f>
        <v>0</v>
      </c>
      <c r="CE192" s="155">
        <f ca="1">IF(BD192,_xll.xCrudeAPO(BS192,BT192,BY192,BZ192,S193,S194,BI192,BL192,BN192,BO192,0,Strike1,AO192,CC192,0,BL192,IF(OptControl=4,0,1),1,1)+_xll.xCrudeAPO(BS192,BT192,BY192,BZ192,S193,S194,BI192,BL192,BN192,BO192,0,Strike1,AO192,CC192,0,BL192,IF(OptControl=4,0,1),1,2)+IF(OR(VolSkewFlag=2,ABS(BQ192)&lt;0.0001),0,IF(BQ192&gt;0,-1,1)*CF192*Strike1/BP192^2*BW192/10%),0)</f>
        <v>0</v>
      </c>
      <c r="CF192" s="155">
        <f ca="1">IF(BD192,(_xll.xCrudeAPO(BS192,BT192,BY192,BZ192,S193,S194,BI192,BL192,BN192,BO192,0,Strike1,AO192,CC192,0,BL192,IF(OptControl=4,0,1),3,1)+_xll.xCrudeAPO(BS192,BT192,BY192,BZ192,S193,S194,BI192,BL192,BN192,BO192,0,Strike1,AO192,CC192,0,BL192,IF(OptControl=4,0,1),3,2))/100,0)</f>
        <v>0</v>
      </c>
      <c r="CG192" s="155">
        <f ca="1">IF(BD192,_xll.xCrudeAPO(BS192,BT192,BY192,BZ192,S193,S194,BI192-DaysForThetaCalculation/365.25,BL192-DaysForThetaCalculation/365.25,BN192,BO192,0,Strike1,AO192,CC192,0,BL192,IF(OptControl=4,0,1),0,1)-_xll.xCrudeAPO(BS192,BT192,BY192,BZ192,S193,S194,BI192,BL192,BN192,BO192,0,Strike1,AO192,CC192,0,BL192,IF(OptControl=4,0,1),0,1),0)</f>
        <v>0</v>
      </c>
      <c r="CH192" s="303">
        <f ca="1">IF(BD192,_xll.xCrudeAPO(BS192,BT192,CA192,CB192,S193,S194,BI192,BL192,BN192,BO192,0,Strike2,AO192,CC192,0,BL192,IF(OptControl=3,1,0),0,1),0)</f>
        <v>0</v>
      </c>
      <c r="CI192" s="155">
        <f ca="1">IF(BD192,_xll.xCrudeAPO(BS192,BT192,CA192,CB192,S193,S194,BI192,BL192,BN192,BO192,0,Strike2,AO192,CC192,0,BL192,IF(OptControl=3,1,0),1,1)+_xll.xCrudeAPO(BS192,BT192,CA192,CB192,S193,S194,BI192,BL192,BN192,BO192,0,Strike2,AO192,CC192,0,BL192,IF(OptControl=3,1,0),1,2)+IF(OR(VolSkewFlag=2,ABS(BR192)&lt;0.0001),0,IF(BR192&gt;0,-1,1)*CJ192*Strike2/BP192^2*BX192/10%),0)</f>
        <v>0</v>
      </c>
      <c r="CJ192" s="155">
        <f ca="1">IF(BD192,(_xll.xCrudeAPO(BS192,BT192,CA192,CB192,S193,S194,BI192,BL192,BN192,BO192,0,Strike2,AO192,CC192,0,BL192,IF(OptControl=3,1,0),3,1)+_xll.xCrudeAPO(BS192,BT192,CA192,CB192,S193,S194,BI192,BL192,BN192,BO192,0,Strike2,AO192,CC192,0,BL192,IF(OptControl=3,1,0),3,2))/100,0)</f>
        <v>0</v>
      </c>
      <c r="CK192" s="156">
        <f ca="1">IF(BD192,_xll.xCrudeAPO(BS192,BT192,CA192,CB192,S193,S194,BI192-DaysForThetaCalculation/365.25,BL192-DaysForThetaCalculation/365.25,BN192,BO192,0,Strike2,AO192,CC192,0,BL192,IF(OptControl=3,1,0),0,1)-_xll.xCrudeAPO(BS192,BT192,CA192,CB192,S193,S194,BI192,BL192,BN192,BO192,0,Strike2,AO192,CC192,0,BL192,IF(OptControl=3,1,0),0,1),0)</f>
        <v>0</v>
      </c>
      <c r="CL192" s="51"/>
      <c r="CM192" s="779" t="str">
        <f t="shared" ca="1" si="534"/>
        <v/>
      </c>
      <c r="CN192" s="783" t="str">
        <f t="shared" ca="1" si="535"/>
        <v/>
      </c>
      <c r="CO192" s="780" t="str">
        <f t="shared" ca="1" si="536"/>
        <v/>
      </c>
      <c r="CP192" s="780" t="str">
        <f t="shared" ca="1" si="537"/>
        <v/>
      </c>
      <c r="CQ192" s="780" t="str">
        <f t="shared" ca="1" si="538"/>
        <v/>
      </c>
      <c r="CR192" s="780" t="str">
        <f t="shared" ca="1" si="539"/>
        <v/>
      </c>
      <c r="CS192" s="781" t="str">
        <f t="shared" ca="1" si="540"/>
        <v/>
      </c>
      <c r="CT192" s="782" t="str">
        <f t="shared" ca="1" si="541"/>
        <v/>
      </c>
      <c r="CU192" s="782" t="str">
        <f t="shared" ca="1" si="542"/>
        <v/>
      </c>
      <c r="CV192" s="155">
        <f ca="1">IF(BD192,_xll.EURO(CN192,Strike1,AO192,AO192,CT192,CM192,IF(OptControl=4,0,1),0),0)</f>
        <v>0</v>
      </c>
      <c r="CW192" s="155">
        <f ca="1">IF(BD192,_xll.EURO(CN192,Strike1,AO192,AO192,CT192,CM192,IF(OptControl=4,0,1),1)+IF(OR(VolSkewFlag=2,ABS(CO192)&lt;0.0001),0,IF(CO192&gt;0,-1,1)*CX192*100*Strike1/CN192^2*CQ192/10%),0)</f>
        <v>0</v>
      </c>
      <c r="CX192" s="155">
        <f ca="1">IF(BD192,_xll.EURO(CN192,Strike1,AO192,AO192,CT192,CM192,IF(OptControl=4,0,1),3)/100,0)</f>
        <v>0</v>
      </c>
      <c r="CY192" s="155">
        <f ca="1">IF(BD192,_xll.EURO(CN192,Strike1,AO192,AO192,CT192,CM192,IF(OptControl=4,0,1),0)-_xll.EURO(CN192,Strike1,AO192,AO192,CT192,CM192-1,IF(OptControl=4,0,1),0),0)</f>
        <v>0</v>
      </c>
      <c r="CZ192" s="155">
        <f ca="1">IF(BD192,_xll.EURO(CN192,Strike2,AO192,AO192,CU192,CM192,IF(OptControl=3,1,0),0),0)</f>
        <v>0</v>
      </c>
      <c r="DA192" s="155">
        <f ca="1">IF(BD192,_xll.EURO(CN192,Strike2,AO192,AO192,CU192,CM192,IF(OptControl=3,1,0),1)+IF(OR(VolSkewFlag=2,ABS(CP192)&lt;0.0001),0,IF(CP192&gt;0,-1,1)*DB192*100*Strike2/CN192^2*CR192/10%),0)</f>
        <v>0</v>
      </c>
      <c r="DB192" s="155">
        <f ca="1">IF(BD192,_xll.EURO(CN192,Strike2,AO192,AO192,CU192,CM192,IF(OptControl=3,1,0),3)/100,0)</f>
        <v>0</v>
      </c>
      <c r="DC192" s="156">
        <f ca="1">IF(BD192,_xll.EURO(CN192,Strike2,AO192,AO192,CU192,CM192,IF(OptControl=3,1,0),0)-_xll.EURO(CN192,Strike2,AO192,AO192,CU192,CM192-1,IF(OptControl=3,1,0),0),0)</f>
        <v>0</v>
      </c>
      <c r="DE192" s="651">
        <f t="shared" ca="1" si="543"/>
        <v>42156</v>
      </c>
      <c r="DF192" s="465">
        <v>1E-4</v>
      </c>
      <c r="DG192" s="649">
        <v>1E-4</v>
      </c>
      <c r="DH192" s="650">
        <f t="shared" ca="1" si="587"/>
        <v>42156</v>
      </c>
      <c r="DI192" s="465">
        <v>1E-4</v>
      </c>
      <c r="DJ192" s="649">
        <v>1E-4</v>
      </c>
      <c r="DK192" s="651">
        <f t="shared" ca="1" si="588"/>
        <v>42156</v>
      </c>
      <c r="DL192" s="652">
        <f t="shared" si="589"/>
        <v>5.0100000000000006E-2</v>
      </c>
      <c r="DM192" s="651">
        <f t="shared" ca="1" si="544"/>
        <v>42156</v>
      </c>
      <c r="DN192" s="563">
        <f t="shared" si="545"/>
        <v>-0.12990000000000002</v>
      </c>
      <c r="DO192" s="803">
        <v>-0.13</v>
      </c>
      <c r="DP192" s="650">
        <f t="shared" ca="1" si="590"/>
        <v>42156</v>
      </c>
      <c r="DQ192" s="653">
        <v>1E-4</v>
      </c>
      <c r="DR192" s="590">
        <v>1E-4</v>
      </c>
      <c r="DS192" s="650">
        <f t="shared" ca="1" si="591"/>
        <v>42156</v>
      </c>
      <c r="DT192" s="653">
        <v>1E-4</v>
      </c>
      <c r="DU192" s="590">
        <v>1E-4</v>
      </c>
      <c r="DV192" s="651">
        <f t="shared" ca="1" si="592"/>
        <v>42156</v>
      </c>
      <c r="DW192" s="590">
        <v>1E-4</v>
      </c>
      <c r="DX192" s="651">
        <f t="shared" ca="1" si="546"/>
        <v>42156</v>
      </c>
      <c r="DY192" s="590">
        <f t="shared" si="547"/>
        <v>1E-4</v>
      </c>
      <c r="DZ192" s="1"/>
      <c r="EA192" s="857"/>
      <c r="EB192" s="857"/>
      <c r="EC192" s="857"/>
      <c r="ED192" s="868" t="e">
        <f t="shared" ca="1" si="566"/>
        <v>#NAME?</v>
      </c>
      <c r="EE192" s="863" t="e">
        <f t="shared" ca="1" si="524"/>
        <v>#NAME?</v>
      </c>
      <c r="EF192" s="590" t="e">
        <f t="shared" ca="1" si="525"/>
        <v>#NAME?</v>
      </c>
      <c r="EG192" s="862" t="str">
        <f t="shared" ca="1" si="593"/>
        <v/>
      </c>
      <c r="EH192" s="114" t="str">
        <f t="shared" ca="1" si="527"/>
        <v/>
      </c>
      <c r="EI192" s="109" t="str">
        <f t="shared" ca="1" si="528"/>
        <v/>
      </c>
      <c r="EJ192" s="115">
        <f ca="1">IF(BD192,_xll.xASN(BP192,Strike1,AO192,EH192,0,BM192,0,BI192,BL192,IF(OptControl=4,0,1),0),0)</f>
        <v>0</v>
      </c>
      <c r="EK192" s="108">
        <f ca="1">IF(BD192,_xll.xASN(BP192,Strike2,AO192,EI192,0,BM192,0,BI192,BL192,IF(OptControl=3,1,0),0),0)</f>
        <v>0</v>
      </c>
      <c r="EP192" s="53"/>
      <c r="EQ192" s="1"/>
      <c r="ER192" s="103"/>
      <c r="ES192" s="103"/>
      <c r="ET192" s="1"/>
      <c r="EU192" s="667" t="s">
        <v>404</v>
      </c>
      <c r="EW192" s="445"/>
      <c r="EX192" s="36"/>
      <c r="EY192" s="104"/>
      <c r="EZ192" s="465"/>
      <c r="FA192" s="446"/>
      <c r="FB192" s="446"/>
      <c r="FC192" s="242"/>
      <c r="FD192" s="242"/>
      <c r="FE192" s="242"/>
      <c r="FF192" s="242"/>
      <c r="FG192" s="242"/>
      <c r="FH192" s="242"/>
      <c r="FI192" s="242"/>
      <c r="FJ192" s="242"/>
      <c r="FK192" s="242"/>
      <c r="FL192" s="242"/>
      <c r="FM192" s="242"/>
      <c r="FN192" s="657">
        <v>23</v>
      </c>
      <c r="FO192" s="469" t="str">
        <f ca="1">IF(OR(FO$169&lt;SwaptionFirstMonthPosition+1,$FN192&lt;SwaptionFirstMonthPosition+1,FO$169&gt;SwaptionFirstMonthPosition+SwaptionNumOfMonths+1,$FN192&gt;SwaptionFirstMonthPosition+SwaptionNumOfMonths+1),"",IF($FN192=FO$169,1,IF($FN192&lt;FO$169,INDEX($FO$170:$IH$241,FO$169,$FN192),SUMPRODUCT(INDEX($FO$325:$IH$396,FO$169,1+SwaptionShift):INDEX($FO$325:$IH$396,FO$169,SwaptionMonthsToGo+SwaptionShift),INDEX($FO$245:$IH$316,$FN192-FO$169,73-FO$169+SwaptionShift):INDEX($FO$245:$IH$316,$FN192-FO$169,72-FO$169+SwaptionMonthsToGo+SwaptionShift))/SQRT(SUM(INDEX($FO347:$IH347,1+SwaptionShift):INDEX($FO347:$IH347,SwaptionMonthsToGo+SwaptionShift))*SUM(INDEX($FO$325:$IH$396,FO$169,1+SwaptionShift):INDEX($FO$325:$IH$396,FO$169,SwaptionMonthsToGo+SwaptionShift))))))</f>
        <v/>
      </c>
      <c r="FP192" s="469" t="str">
        <f ca="1">IF(OR(FP$169&lt;SwaptionFirstMonthPosition+1,$FN192&lt;SwaptionFirstMonthPosition+1,FP$169&gt;SwaptionFirstMonthPosition+SwaptionNumOfMonths+1,$FN192&gt;SwaptionFirstMonthPosition+SwaptionNumOfMonths+1),"",IF($FN192=FP$169,1,IF($FN192&lt;FP$169,INDEX($FO$170:$IH$241,FP$169,$FN192),SUMPRODUCT(INDEX($FO$325:$IH$396,FP$169,1+SwaptionShift):INDEX($FO$325:$IH$396,FP$169,SwaptionMonthsToGo+SwaptionShift),INDEX($FO$245:$IH$316,$FN192-FP$169,73-FP$169+SwaptionShift):INDEX($FO$245:$IH$316,$FN192-FP$169,72-FP$169+SwaptionMonthsToGo+SwaptionShift))/SQRT(SUM(INDEX($FO347:$IH347,1+SwaptionShift):INDEX($FO347:$IH347,SwaptionMonthsToGo+SwaptionShift))*SUM(INDEX($FO$325:$IH$396,FP$169,1+SwaptionShift):INDEX($FO$325:$IH$396,FP$169,SwaptionMonthsToGo+SwaptionShift))))))</f>
        <v/>
      </c>
      <c r="FQ192" s="469" t="str">
        <f ca="1">IF(OR(FQ$169&lt;SwaptionFirstMonthPosition+1,$FN192&lt;SwaptionFirstMonthPosition+1,FQ$169&gt;SwaptionFirstMonthPosition+SwaptionNumOfMonths+1,$FN192&gt;SwaptionFirstMonthPosition+SwaptionNumOfMonths+1),"",IF($FN192=FQ$169,1,IF($FN192&lt;FQ$169,INDEX($FO$170:$IH$241,FQ$169,$FN192),SUMPRODUCT(INDEX($FO$325:$IH$396,FQ$169,1+SwaptionShift):INDEX($FO$325:$IH$396,FQ$169,SwaptionMonthsToGo+SwaptionShift),INDEX($FO$245:$IH$316,$FN192-FQ$169,73-FQ$169+SwaptionShift):INDEX($FO$245:$IH$316,$FN192-FQ$169,72-FQ$169+SwaptionMonthsToGo+SwaptionShift))/SQRT(SUM(INDEX($FO347:$IH347,1+SwaptionShift):INDEX($FO347:$IH347,SwaptionMonthsToGo+SwaptionShift))*SUM(INDEX($FO$325:$IH$396,FQ$169,1+SwaptionShift):INDEX($FO$325:$IH$396,FQ$169,SwaptionMonthsToGo+SwaptionShift))))))</f>
        <v/>
      </c>
      <c r="FR192" s="469" t="str">
        <f ca="1">IF(OR(FR$169&lt;SwaptionFirstMonthPosition+1,$FN192&lt;SwaptionFirstMonthPosition+1,FR$169&gt;SwaptionFirstMonthPosition+SwaptionNumOfMonths+1,$FN192&gt;SwaptionFirstMonthPosition+SwaptionNumOfMonths+1),"",IF($FN192=FR$169,1,IF($FN192&lt;FR$169,INDEX($FO$170:$IH$241,FR$169,$FN192),SUMPRODUCT(INDEX($FO$325:$IH$396,FR$169,1+SwaptionShift):INDEX($FO$325:$IH$396,FR$169,SwaptionMonthsToGo+SwaptionShift),INDEX($FO$245:$IH$316,$FN192-FR$169,73-FR$169+SwaptionShift):INDEX($FO$245:$IH$316,$FN192-FR$169,72-FR$169+SwaptionMonthsToGo+SwaptionShift))/SQRT(SUM(INDEX($FO347:$IH347,1+SwaptionShift):INDEX($FO347:$IH347,SwaptionMonthsToGo+SwaptionShift))*SUM(INDEX($FO$325:$IH$396,FR$169,1+SwaptionShift):INDEX($FO$325:$IH$396,FR$169,SwaptionMonthsToGo+SwaptionShift))))))</f>
        <v/>
      </c>
      <c r="FS192" s="469" t="str">
        <f ca="1">IF(OR(FS$169&lt;SwaptionFirstMonthPosition+1,$FN192&lt;SwaptionFirstMonthPosition+1,FS$169&gt;SwaptionFirstMonthPosition+SwaptionNumOfMonths+1,$FN192&gt;SwaptionFirstMonthPosition+SwaptionNumOfMonths+1),"",IF($FN192=FS$169,1,IF($FN192&lt;FS$169,INDEX($FO$170:$IH$241,FS$169,$FN192),SUMPRODUCT(INDEX($FO$325:$IH$396,FS$169,1+SwaptionShift):INDEX($FO$325:$IH$396,FS$169,SwaptionMonthsToGo+SwaptionShift),INDEX($FO$245:$IH$316,$FN192-FS$169,73-FS$169+SwaptionShift):INDEX($FO$245:$IH$316,$FN192-FS$169,72-FS$169+SwaptionMonthsToGo+SwaptionShift))/SQRT(SUM(INDEX($FO347:$IH347,1+SwaptionShift):INDEX($FO347:$IH347,SwaptionMonthsToGo+SwaptionShift))*SUM(INDEX($FO$325:$IH$396,FS$169,1+SwaptionShift):INDEX($FO$325:$IH$396,FS$169,SwaptionMonthsToGo+SwaptionShift))))))</f>
        <v/>
      </c>
      <c r="FT192" s="469" t="str">
        <f ca="1">IF(OR(FT$169&lt;SwaptionFirstMonthPosition+1,$FN192&lt;SwaptionFirstMonthPosition+1,FT$169&gt;SwaptionFirstMonthPosition+SwaptionNumOfMonths+1,$FN192&gt;SwaptionFirstMonthPosition+SwaptionNumOfMonths+1),"",IF($FN192=FT$169,1,IF($FN192&lt;FT$169,INDEX($FO$170:$IH$241,FT$169,$FN192),SUMPRODUCT(INDEX($FO$325:$IH$396,FT$169,1+SwaptionShift):INDEX($FO$325:$IH$396,FT$169,SwaptionMonthsToGo+SwaptionShift),INDEX($FO$245:$IH$316,$FN192-FT$169,73-FT$169+SwaptionShift):INDEX($FO$245:$IH$316,$FN192-FT$169,72-FT$169+SwaptionMonthsToGo+SwaptionShift))/SQRT(SUM(INDEX($FO347:$IH347,1+SwaptionShift):INDEX($FO347:$IH347,SwaptionMonthsToGo+SwaptionShift))*SUM(INDEX($FO$325:$IH$396,FT$169,1+SwaptionShift):INDEX($FO$325:$IH$396,FT$169,SwaptionMonthsToGo+SwaptionShift))))))</f>
        <v/>
      </c>
      <c r="FU192" s="469" t="str">
        <f ca="1">IF(OR(FU$169&lt;SwaptionFirstMonthPosition+1,$FN192&lt;SwaptionFirstMonthPosition+1,FU$169&gt;SwaptionFirstMonthPosition+SwaptionNumOfMonths+1,$FN192&gt;SwaptionFirstMonthPosition+SwaptionNumOfMonths+1),"",IF($FN192=FU$169,1,IF($FN192&lt;FU$169,INDEX($FO$170:$IH$241,FU$169,$FN192),SUMPRODUCT(INDEX($FO$325:$IH$396,FU$169,1+SwaptionShift):INDEX($FO$325:$IH$396,FU$169,SwaptionMonthsToGo+SwaptionShift),INDEX($FO$245:$IH$316,$FN192-FU$169,73-FU$169+SwaptionShift):INDEX($FO$245:$IH$316,$FN192-FU$169,72-FU$169+SwaptionMonthsToGo+SwaptionShift))/SQRT(SUM(INDEX($FO347:$IH347,1+SwaptionShift):INDEX($FO347:$IH347,SwaptionMonthsToGo+SwaptionShift))*SUM(INDEX($FO$325:$IH$396,FU$169,1+SwaptionShift):INDEX($FO$325:$IH$396,FU$169,SwaptionMonthsToGo+SwaptionShift))))))</f>
        <v/>
      </c>
      <c r="FV192" s="469" t="str">
        <f ca="1">IF(OR(FV$169&lt;SwaptionFirstMonthPosition+1,$FN192&lt;SwaptionFirstMonthPosition+1,FV$169&gt;SwaptionFirstMonthPosition+SwaptionNumOfMonths+1,$FN192&gt;SwaptionFirstMonthPosition+SwaptionNumOfMonths+1),"",IF($FN192=FV$169,1,IF($FN192&lt;FV$169,INDEX($FO$170:$IH$241,FV$169,$FN192),SUMPRODUCT(INDEX($FO$325:$IH$396,FV$169,1+SwaptionShift):INDEX($FO$325:$IH$396,FV$169,SwaptionMonthsToGo+SwaptionShift),INDEX($FO$245:$IH$316,$FN192-FV$169,73-FV$169+SwaptionShift):INDEX($FO$245:$IH$316,$FN192-FV$169,72-FV$169+SwaptionMonthsToGo+SwaptionShift))/SQRT(SUM(INDEX($FO347:$IH347,1+SwaptionShift):INDEX($FO347:$IH347,SwaptionMonthsToGo+SwaptionShift))*SUM(INDEX($FO$325:$IH$396,FV$169,1+SwaptionShift):INDEX($FO$325:$IH$396,FV$169,SwaptionMonthsToGo+SwaptionShift))))))</f>
        <v/>
      </c>
      <c r="FW192" s="469" t="str">
        <f ca="1">IF(OR(FW$169&lt;SwaptionFirstMonthPosition+1,$FN192&lt;SwaptionFirstMonthPosition+1,FW$169&gt;SwaptionFirstMonthPosition+SwaptionNumOfMonths+1,$FN192&gt;SwaptionFirstMonthPosition+SwaptionNumOfMonths+1),"",IF($FN192=FW$169,1,IF($FN192&lt;FW$169,INDEX($FO$170:$IH$241,FW$169,$FN192),SUMPRODUCT(INDEX($FO$325:$IH$396,FW$169,1+SwaptionShift):INDEX($FO$325:$IH$396,FW$169,SwaptionMonthsToGo+SwaptionShift),INDEX($FO$245:$IH$316,$FN192-FW$169,73-FW$169+SwaptionShift):INDEX($FO$245:$IH$316,$FN192-FW$169,72-FW$169+SwaptionMonthsToGo+SwaptionShift))/SQRT(SUM(INDEX($FO347:$IH347,1+SwaptionShift):INDEX($FO347:$IH347,SwaptionMonthsToGo+SwaptionShift))*SUM(INDEX($FO$325:$IH$396,FW$169,1+SwaptionShift):INDEX($FO$325:$IH$396,FW$169,SwaptionMonthsToGo+SwaptionShift))))))</f>
        <v/>
      </c>
      <c r="FX192" s="469" t="str">
        <f ca="1">IF(OR(FX$169&lt;SwaptionFirstMonthPosition+1,$FN192&lt;SwaptionFirstMonthPosition+1,FX$169&gt;SwaptionFirstMonthPosition+SwaptionNumOfMonths+1,$FN192&gt;SwaptionFirstMonthPosition+SwaptionNumOfMonths+1),"",IF($FN192=FX$169,1,IF($FN192&lt;FX$169,INDEX($FO$170:$IH$241,FX$169,$FN192),SUMPRODUCT(INDEX($FO$325:$IH$396,FX$169,1+SwaptionShift):INDEX($FO$325:$IH$396,FX$169,SwaptionMonthsToGo+SwaptionShift),INDEX($FO$245:$IH$316,$FN192-FX$169,73-FX$169+SwaptionShift):INDEX($FO$245:$IH$316,$FN192-FX$169,72-FX$169+SwaptionMonthsToGo+SwaptionShift))/SQRT(SUM(INDEX($FO347:$IH347,1+SwaptionShift):INDEX($FO347:$IH347,SwaptionMonthsToGo+SwaptionShift))*SUM(INDEX($FO$325:$IH$396,FX$169,1+SwaptionShift):INDEX($FO$325:$IH$396,FX$169,SwaptionMonthsToGo+SwaptionShift))))))</f>
        <v/>
      </c>
      <c r="FY192" s="469" t="str">
        <f ca="1">IF(OR(FY$169&lt;SwaptionFirstMonthPosition+1,$FN192&lt;SwaptionFirstMonthPosition+1,FY$169&gt;SwaptionFirstMonthPosition+SwaptionNumOfMonths+1,$FN192&gt;SwaptionFirstMonthPosition+SwaptionNumOfMonths+1),"",IF($FN192=FY$169,1,IF($FN192&lt;FY$169,INDEX($FO$170:$IH$241,FY$169,$FN192),SUMPRODUCT(INDEX($FO$325:$IH$396,FY$169,1+SwaptionShift):INDEX($FO$325:$IH$396,FY$169,SwaptionMonthsToGo+SwaptionShift),INDEX($FO$245:$IH$316,$FN192-FY$169,73-FY$169+SwaptionShift):INDEX($FO$245:$IH$316,$FN192-FY$169,72-FY$169+SwaptionMonthsToGo+SwaptionShift))/SQRT(SUM(INDEX($FO347:$IH347,1+SwaptionShift):INDEX($FO347:$IH347,SwaptionMonthsToGo+SwaptionShift))*SUM(INDEX($FO$325:$IH$396,FY$169,1+SwaptionShift):INDEX($FO$325:$IH$396,FY$169,SwaptionMonthsToGo+SwaptionShift))))))</f>
        <v/>
      </c>
      <c r="FZ192" s="469" t="str">
        <f ca="1">IF(OR(FZ$169&lt;SwaptionFirstMonthPosition+1,$FN192&lt;SwaptionFirstMonthPosition+1,FZ$169&gt;SwaptionFirstMonthPosition+SwaptionNumOfMonths+1,$FN192&gt;SwaptionFirstMonthPosition+SwaptionNumOfMonths+1),"",IF($FN192=FZ$169,1,IF($FN192&lt;FZ$169,INDEX($FO$170:$IH$241,FZ$169,$FN192),SUMPRODUCT(INDEX($FO$325:$IH$396,FZ$169,1+SwaptionShift):INDEX($FO$325:$IH$396,FZ$169,SwaptionMonthsToGo+SwaptionShift),INDEX($FO$245:$IH$316,$FN192-FZ$169,73-FZ$169+SwaptionShift):INDEX($FO$245:$IH$316,$FN192-FZ$169,72-FZ$169+SwaptionMonthsToGo+SwaptionShift))/SQRT(SUM(INDEX($FO347:$IH347,1+SwaptionShift):INDEX($FO347:$IH347,SwaptionMonthsToGo+SwaptionShift))*SUM(INDEX($FO$325:$IH$396,FZ$169,1+SwaptionShift):INDEX($FO$325:$IH$396,FZ$169,SwaptionMonthsToGo+SwaptionShift))))))</f>
        <v/>
      </c>
      <c r="GA192" s="469" t="str">
        <f ca="1">IF(OR(GA$169&lt;SwaptionFirstMonthPosition+1,$FN192&lt;SwaptionFirstMonthPosition+1,GA$169&gt;SwaptionFirstMonthPosition+SwaptionNumOfMonths+1,$FN192&gt;SwaptionFirstMonthPosition+SwaptionNumOfMonths+1),"",IF($FN192=GA$169,1,IF($FN192&lt;GA$169,INDEX($FO$170:$IH$241,GA$169,$FN192),SUMPRODUCT(INDEX($FO$325:$IH$396,GA$169,1+SwaptionShift):INDEX($FO$325:$IH$396,GA$169,SwaptionMonthsToGo+SwaptionShift),INDEX($FO$245:$IH$316,$FN192-GA$169,73-GA$169+SwaptionShift):INDEX($FO$245:$IH$316,$FN192-GA$169,72-GA$169+SwaptionMonthsToGo+SwaptionShift))/SQRT(SUM(INDEX($FO347:$IH347,1+SwaptionShift):INDEX($FO347:$IH347,SwaptionMonthsToGo+SwaptionShift))*SUM(INDEX($FO$325:$IH$396,GA$169,1+SwaptionShift):INDEX($FO$325:$IH$396,GA$169,SwaptionMonthsToGo+SwaptionShift))))))</f>
        <v/>
      </c>
      <c r="GB192" s="469" t="str">
        <f ca="1">IF(OR(GB$169&lt;SwaptionFirstMonthPosition+1,$FN192&lt;SwaptionFirstMonthPosition+1,GB$169&gt;SwaptionFirstMonthPosition+SwaptionNumOfMonths+1,$FN192&gt;SwaptionFirstMonthPosition+SwaptionNumOfMonths+1),"",IF($FN192=GB$169,1,IF($FN192&lt;GB$169,INDEX($FO$170:$IH$241,GB$169,$FN192),SUMPRODUCT(INDEX($FO$325:$IH$396,GB$169,1+SwaptionShift):INDEX($FO$325:$IH$396,GB$169,SwaptionMonthsToGo+SwaptionShift),INDEX($FO$245:$IH$316,$FN192-GB$169,73-GB$169+SwaptionShift):INDEX($FO$245:$IH$316,$FN192-GB$169,72-GB$169+SwaptionMonthsToGo+SwaptionShift))/SQRT(SUM(INDEX($FO347:$IH347,1+SwaptionShift):INDEX($FO347:$IH347,SwaptionMonthsToGo+SwaptionShift))*SUM(INDEX($FO$325:$IH$396,GB$169,1+SwaptionShift):INDEX($FO$325:$IH$396,GB$169,SwaptionMonthsToGo+SwaptionShift))))))</f>
        <v/>
      </c>
      <c r="GC192" s="469" t="str">
        <f ca="1">IF(OR(GC$169&lt;SwaptionFirstMonthPosition+1,$FN192&lt;SwaptionFirstMonthPosition+1,GC$169&gt;SwaptionFirstMonthPosition+SwaptionNumOfMonths+1,$FN192&gt;SwaptionFirstMonthPosition+SwaptionNumOfMonths+1),"",IF($FN192=GC$169,1,IF($FN192&lt;GC$169,INDEX($FO$170:$IH$241,GC$169,$FN192),SUMPRODUCT(INDEX($FO$325:$IH$396,GC$169,1+SwaptionShift):INDEX($FO$325:$IH$396,GC$169,SwaptionMonthsToGo+SwaptionShift),INDEX($FO$245:$IH$316,$FN192-GC$169,73-GC$169+SwaptionShift):INDEX($FO$245:$IH$316,$FN192-GC$169,72-GC$169+SwaptionMonthsToGo+SwaptionShift))/SQRT(SUM(INDEX($FO347:$IH347,1+SwaptionShift):INDEX($FO347:$IH347,SwaptionMonthsToGo+SwaptionShift))*SUM(INDEX($FO$325:$IH$396,GC$169,1+SwaptionShift):INDEX($FO$325:$IH$396,GC$169,SwaptionMonthsToGo+SwaptionShift))))))</f>
        <v/>
      </c>
      <c r="GD192" s="469" t="str">
        <f ca="1">IF(OR(GD$169&lt;SwaptionFirstMonthPosition+1,$FN192&lt;SwaptionFirstMonthPosition+1,GD$169&gt;SwaptionFirstMonthPosition+SwaptionNumOfMonths+1,$FN192&gt;SwaptionFirstMonthPosition+SwaptionNumOfMonths+1),"",IF($FN192=GD$169,1,IF($FN192&lt;GD$169,INDEX($FO$170:$IH$241,GD$169,$FN192),SUMPRODUCT(INDEX($FO$325:$IH$396,GD$169,1+SwaptionShift):INDEX($FO$325:$IH$396,GD$169,SwaptionMonthsToGo+SwaptionShift),INDEX($FO$245:$IH$316,$FN192-GD$169,73-GD$169+SwaptionShift):INDEX($FO$245:$IH$316,$FN192-GD$169,72-GD$169+SwaptionMonthsToGo+SwaptionShift))/SQRT(SUM(INDEX($FO347:$IH347,1+SwaptionShift):INDEX($FO347:$IH347,SwaptionMonthsToGo+SwaptionShift))*SUM(INDEX($FO$325:$IH$396,GD$169,1+SwaptionShift):INDEX($FO$325:$IH$396,GD$169,SwaptionMonthsToGo+SwaptionShift))))))</f>
        <v/>
      </c>
      <c r="GE192" s="469" t="str">
        <f ca="1">IF(OR(GE$169&lt;SwaptionFirstMonthPosition+1,$FN192&lt;SwaptionFirstMonthPosition+1,GE$169&gt;SwaptionFirstMonthPosition+SwaptionNumOfMonths+1,$FN192&gt;SwaptionFirstMonthPosition+SwaptionNumOfMonths+1),"",IF($FN192=GE$169,1,IF($FN192&lt;GE$169,INDEX($FO$170:$IH$241,GE$169,$FN192),SUMPRODUCT(INDEX($FO$325:$IH$396,GE$169,1+SwaptionShift):INDEX($FO$325:$IH$396,GE$169,SwaptionMonthsToGo+SwaptionShift),INDEX($FO$245:$IH$316,$FN192-GE$169,73-GE$169+SwaptionShift):INDEX($FO$245:$IH$316,$FN192-GE$169,72-GE$169+SwaptionMonthsToGo+SwaptionShift))/SQRT(SUM(INDEX($FO347:$IH347,1+SwaptionShift):INDEX($FO347:$IH347,SwaptionMonthsToGo+SwaptionShift))*SUM(INDEX($FO$325:$IH$396,GE$169,1+SwaptionShift):INDEX($FO$325:$IH$396,GE$169,SwaptionMonthsToGo+SwaptionShift))))))</f>
        <v/>
      </c>
      <c r="GF192" s="469" t="str">
        <f ca="1">IF(OR(GF$169&lt;SwaptionFirstMonthPosition+1,$FN192&lt;SwaptionFirstMonthPosition+1,GF$169&gt;SwaptionFirstMonthPosition+SwaptionNumOfMonths+1,$FN192&gt;SwaptionFirstMonthPosition+SwaptionNumOfMonths+1),"",IF($FN192=GF$169,1,IF($FN192&lt;GF$169,INDEX($FO$170:$IH$241,GF$169,$FN192),SUMPRODUCT(INDEX($FO$325:$IH$396,GF$169,1+SwaptionShift):INDEX($FO$325:$IH$396,GF$169,SwaptionMonthsToGo+SwaptionShift),INDEX($FO$245:$IH$316,$FN192-GF$169,73-GF$169+SwaptionShift):INDEX($FO$245:$IH$316,$FN192-GF$169,72-GF$169+SwaptionMonthsToGo+SwaptionShift))/SQRT(SUM(INDEX($FO347:$IH347,1+SwaptionShift):INDEX($FO347:$IH347,SwaptionMonthsToGo+SwaptionShift))*SUM(INDEX($FO$325:$IH$396,GF$169,1+SwaptionShift):INDEX($FO$325:$IH$396,GF$169,SwaptionMonthsToGo+SwaptionShift))))))</f>
        <v/>
      </c>
      <c r="GG192" s="469" t="str">
        <f ca="1">IF(OR(GG$169&lt;SwaptionFirstMonthPosition+1,$FN192&lt;SwaptionFirstMonthPosition+1,GG$169&gt;SwaptionFirstMonthPosition+SwaptionNumOfMonths+1,$FN192&gt;SwaptionFirstMonthPosition+SwaptionNumOfMonths+1),"",IF($FN192=GG$169,1,IF($FN192&lt;GG$169,INDEX($FO$170:$IH$241,GG$169,$FN192),SUMPRODUCT(INDEX($FO$325:$IH$396,GG$169,1+SwaptionShift):INDEX($FO$325:$IH$396,GG$169,SwaptionMonthsToGo+SwaptionShift),INDEX($FO$245:$IH$316,$FN192-GG$169,73-GG$169+SwaptionShift):INDEX($FO$245:$IH$316,$FN192-GG$169,72-GG$169+SwaptionMonthsToGo+SwaptionShift))/SQRT(SUM(INDEX($FO347:$IH347,1+SwaptionShift):INDEX($FO347:$IH347,SwaptionMonthsToGo+SwaptionShift))*SUM(INDEX($FO$325:$IH$396,GG$169,1+SwaptionShift):INDEX($FO$325:$IH$396,GG$169,SwaptionMonthsToGo+SwaptionShift))))))</f>
        <v/>
      </c>
      <c r="GH192" s="469" t="str">
        <f ca="1">IF(OR(GH$169&lt;SwaptionFirstMonthPosition+1,$FN192&lt;SwaptionFirstMonthPosition+1,GH$169&gt;SwaptionFirstMonthPosition+SwaptionNumOfMonths+1,$FN192&gt;SwaptionFirstMonthPosition+SwaptionNumOfMonths+1),"",IF($FN192=GH$169,1,IF($FN192&lt;GH$169,INDEX($FO$170:$IH$241,GH$169,$FN192),SUMPRODUCT(INDEX($FO$325:$IH$396,GH$169,1+SwaptionShift):INDEX($FO$325:$IH$396,GH$169,SwaptionMonthsToGo+SwaptionShift),INDEX($FO$245:$IH$316,$FN192-GH$169,73-GH$169+SwaptionShift):INDEX($FO$245:$IH$316,$FN192-GH$169,72-GH$169+SwaptionMonthsToGo+SwaptionShift))/SQRT(SUM(INDEX($FO347:$IH347,1+SwaptionShift):INDEX($FO347:$IH347,SwaptionMonthsToGo+SwaptionShift))*SUM(INDEX($FO$325:$IH$396,GH$169,1+SwaptionShift):INDEX($FO$325:$IH$396,GH$169,SwaptionMonthsToGo+SwaptionShift))))))</f>
        <v/>
      </c>
      <c r="GI192" s="469" t="str">
        <f ca="1">IF(OR(GI$169&lt;SwaptionFirstMonthPosition+1,$FN192&lt;SwaptionFirstMonthPosition+1,GI$169&gt;SwaptionFirstMonthPosition+SwaptionNumOfMonths+1,$FN192&gt;SwaptionFirstMonthPosition+SwaptionNumOfMonths+1),"",IF($FN192=GI$169,1,IF($FN192&lt;GI$169,INDEX($FO$170:$IH$241,GI$169,$FN192),SUMPRODUCT(INDEX($FO$325:$IH$396,GI$169,1+SwaptionShift):INDEX($FO$325:$IH$396,GI$169,SwaptionMonthsToGo+SwaptionShift),INDEX($FO$245:$IH$316,$FN192-GI$169,73-GI$169+SwaptionShift):INDEX($FO$245:$IH$316,$FN192-GI$169,72-GI$169+SwaptionMonthsToGo+SwaptionShift))/SQRT(SUM(INDEX($FO347:$IH347,1+SwaptionShift):INDEX($FO347:$IH347,SwaptionMonthsToGo+SwaptionShift))*SUM(INDEX($FO$325:$IH$396,GI$169,1+SwaptionShift):INDEX($FO$325:$IH$396,GI$169,SwaptionMonthsToGo+SwaptionShift))))))</f>
        <v/>
      </c>
      <c r="GJ192" s="469" t="str">
        <f ca="1">IF(OR(GJ$169&lt;SwaptionFirstMonthPosition+1,$FN192&lt;SwaptionFirstMonthPosition+1,GJ$169&gt;SwaptionFirstMonthPosition+SwaptionNumOfMonths+1,$FN192&gt;SwaptionFirstMonthPosition+SwaptionNumOfMonths+1),"",IF($FN192=GJ$169,1,IF($FN192&lt;GJ$169,INDEX($FO$170:$IH$241,GJ$169,$FN192),SUMPRODUCT(INDEX($FO$325:$IH$396,GJ$169,1+SwaptionShift):INDEX($FO$325:$IH$396,GJ$169,SwaptionMonthsToGo+SwaptionShift),INDEX($FO$245:$IH$316,$FN192-GJ$169,73-GJ$169+SwaptionShift):INDEX($FO$245:$IH$316,$FN192-GJ$169,72-GJ$169+SwaptionMonthsToGo+SwaptionShift))/SQRT(SUM(INDEX($FO347:$IH347,1+SwaptionShift):INDEX($FO347:$IH347,SwaptionMonthsToGo+SwaptionShift))*SUM(INDEX($FO$325:$IH$396,GJ$169,1+SwaptionShift):INDEX($FO$325:$IH$396,GJ$169,SwaptionMonthsToGo+SwaptionShift))))))</f>
        <v/>
      </c>
      <c r="GK192" s="469" t="str">
        <f ca="1">IF(OR(GK$169&lt;SwaptionFirstMonthPosition+1,$FN192&lt;SwaptionFirstMonthPosition+1,GK$169&gt;SwaptionFirstMonthPosition+SwaptionNumOfMonths+1,$FN192&gt;SwaptionFirstMonthPosition+SwaptionNumOfMonths+1),"",IF($FN192=GK$169,1,IF($FN192&lt;GK$169,INDEX($FO$170:$IH$241,GK$169,$FN192),SUMPRODUCT(INDEX($FO$325:$IH$396,GK$169,1+SwaptionShift):INDEX($FO$325:$IH$396,GK$169,SwaptionMonthsToGo+SwaptionShift),INDEX($FO$245:$IH$316,$FN192-GK$169,73-GK$169+SwaptionShift):INDEX($FO$245:$IH$316,$FN192-GK$169,72-GK$169+SwaptionMonthsToGo+SwaptionShift))/SQRT(SUM(INDEX($FO347:$IH347,1+SwaptionShift):INDEX($FO347:$IH347,SwaptionMonthsToGo+SwaptionShift))*SUM(INDEX($FO$325:$IH$396,GK$169,1+SwaptionShift):INDEX($FO$325:$IH$396,GK$169,SwaptionMonthsToGo+SwaptionShift))))))</f>
        <v/>
      </c>
      <c r="GL192" s="469" t="str">
        <f ca="1">IF(OR(GL$169&lt;SwaptionFirstMonthPosition+1,$FN192&lt;SwaptionFirstMonthPosition+1,GL$169&gt;SwaptionFirstMonthPosition+SwaptionNumOfMonths+1,$FN192&gt;SwaptionFirstMonthPosition+SwaptionNumOfMonths+1),"",IF($FN192=GL$169,1,IF($FN192&lt;GL$169,INDEX($FO$170:$IH$241,GL$169,$FN192),SUMPRODUCT(INDEX($FO$325:$IH$396,GL$169,1+SwaptionShift):INDEX($FO$325:$IH$396,GL$169,SwaptionMonthsToGo+SwaptionShift),INDEX($FO$245:$IH$316,$FN192-GL$169,73-GL$169+SwaptionShift):INDEX($FO$245:$IH$316,$FN192-GL$169,72-GL$169+SwaptionMonthsToGo+SwaptionShift))/SQRT(SUM(INDEX($FO347:$IH347,1+SwaptionShift):INDEX($FO347:$IH347,SwaptionMonthsToGo+SwaptionShift))*SUM(INDEX($FO$325:$IH$396,GL$169,1+SwaptionShift):INDEX($FO$325:$IH$396,GL$169,SwaptionMonthsToGo+SwaptionShift))))))</f>
        <v/>
      </c>
      <c r="GM192" s="469" t="str">
        <f ca="1">IF(OR(GM$169&lt;SwaptionFirstMonthPosition+1,$FN192&lt;SwaptionFirstMonthPosition+1,GM$169&gt;SwaptionFirstMonthPosition+SwaptionNumOfMonths+1,$FN192&gt;SwaptionFirstMonthPosition+SwaptionNumOfMonths+1),"",IF($FN192=GM$169,1,IF($FN192&lt;GM$169,INDEX($FO$170:$IH$241,GM$169,$FN192),SUMPRODUCT(INDEX($FO$325:$IH$396,GM$169,1+SwaptionShift):INDEX($FO$325:$IH$396,GM$169,SwaptionMonthsToGo+SwaptionShift),INDEX($FO$245:$IH$316,$FN192-GM$169,73-GM$169+SwaptionShift):INDEX($FO$245:$IH$316,$FN192-GM$169,72-GM$169+SwaptionMonthsToGo+SwaptionShift))/SQRT(SUM(INDEX($FO347:$IH347,1+SwaptionShift):INDEX($FO347:$IH347,SwaptionMonthsToGo+SwaptionShift))*SUM(INDEX($FO$325:$IH$396,GM$169,1+SwaptionShift):INDEX($FO$325:$IH$396,GM$169,SwaptionMonthsToGo+SwaptionShift))))))</f>
        <v/>
      </c>
      <c r="GN192" s="469" t="str">
        <f ca="1">IF(OR(GN$169&lt;SwaptionFirstMonthPosition+1,$FN192&lt;SwaptionFirstMonthPosition+1,GN$169&gt;SwaptionFirstMonthPosition+SwaptionNumOfMonths+1,$FN192&gt;SwaptionFirstMonthPosition+SwaptionNumOfMonths+1),"",IF($FN192=GN$169,1,IF($FN192&lt;GN$169,INDEX($FO$170:$IH$241,GN$169,$FN192),SUMPRODUCT(INDEX($FO$325:$IH$396,GN$169,1+SwaptionShift):INDEX($FO$325:$IH$396,GN$169,SwaptionMonthsToGo+SwaptionShift),INDEX($FO$245:$IH$316,$FN192-GN$169,73-GN$169+SwaptionShift):INDEX($FO$245:$IH$316,$FN192-GN$169,72-GN$169+SwaptionMonthsToGo+SwaptionShift))/SQRT(SUM(INDEX($FO347:$IH347,1+SwaptionShift):INDEX($FO347:$IH347,SwaptionMonthsToGo+SwaptionShift))*SUM(INDEX($FO$325:$IH$396,GN$169,1+SwaptionShift):INDEX($FO$325:$IH$396,GN$169,SwaptionMonthsToGo+SwaptionShift))))))</f>
        <v/>
      </c>
      <c r="GO192" s="469" t="str">
        <f ca="1">IF(OR(GO$169&lt;SwaptionFirstMonthPosition+1,$FN192&lt;SwaptionFirstMonthPosition+1,GO$169&gt;SwaptionFirstMonthPosition+SwaptionNumOfMonths+1,$FN192&gt;SwaptionFirstMonthPosition+SwaptionNumOfMonths+1),"",IF($FN192=GO$169,1,IF($FN192&lt;GO$169,INDEX($FO$170:$IH$241,GO$169,$FN192),SUMPRODUCT(INDEX($FO$325:$IH$396,GO$169,1+SwaptionShift):INDEX($FO$325:$IH$396,GO$169,SwaptionMonthsToGo+SwaptionShift),INDEX($FO$245:$IH$316,$FN192-GO$169,73-GO$169+SwaptionShift):INDEX($FO$245:$IH$316,$FN192-GO$169,72-GO$169+SwaptionMonthsToGo+SwaptionShift))/SQRT(SUM(INDEX($FO347:$IH347,1+SwaptionShift):INDEX($FO347:$IH347,SwaptionMonthsToGo+SwaptionShift))*SUM(INDEX($FO$325:$IH$396,GO$169,1+SwaptionShift):INDEX($FO$325:$IH$396,GO$169,SwaptionMonthsToGo+SwaptionShift))))))</f>
        <v/>
      </c>
      <c r="GP192" s="469" t="str">
        <f ca="1">IF(OR(GP$169&lt;SwaptionFirstMonthPosition+1,$FN192&lt;SwaptionFirstMonthPosition+1,GP$169&gt;SwaptionFirstMonthPosition+SwaptionNumOfMonths+1,$FN192&gt;SwaptionFirstMonthPosition+SwaptionNumOfMonths+1),"",IF($FN192=GP$169,1,IF($FN192&lt;GP$169,INDEX($FO$170:$IH$241,GP$169,$FN192),SUMPRODUCT(INDEX($FO$325:$IH$396,GP$169,1+SwaptionShift):INDEX($FO$325:$IH$396,GP$169,SwaptionMonthsToGo+SwaptionShift),INDEX($FO$245:$IH$316,$FN192-GP$169,73-GP$169+SwaptionShift):INDEX($FO$245:$IH$316,$FN192-GP$169,72-GP$169+SwaptionMonthsToGo+SwaptionShift))/SQRT(SUM(INDEX($FO347:$IH347,1+SwaptionShift):INDEX($FO347:$IH347,SwaptionMonthsToGo+SwaptionShift))*SUM(INDEX($FO$325:$IH$396,GP$169,1+SwaptionShift):INDEX($FO$325:$IH$396,GP$169,SwaptionMonthsToGo+SwaptionShift))))))</f>
        <v/>
      </c>
      <c r="GQ192" s="469" t="str">
        <f ca="1">IF(OR(GQ$169&lt;SwaptionFirstMonthPosition+1,$FN192&lt;SwaptionFirstMonthPosition+1,GQ$169&gt;SwaptionFirstMonthPosition+SwaptionNumOfMonths+1,$FN192&gt;SwaptionFirstMonthPosition+SwaptionNumOfMonths+1),"",IF($FN192=GQ$169,1,IF($FN192&lt;GQ$169,INDEX($FO$170:$IH$241,GQ$169,$FN192),SUMPRODUCT(INDEX($FO$325:$IH$396,GQ$169,1+SwaptionShift):INDEX($FO$325:$IH$396,GQ$169,SwaptionMonthsToGo+SwaptionShift),INDEX($FO$245:$IH$316,$FN192-GQ$169,73-GQ$169+SwaptionShift):INDEX($FO$245:$IH$316,$FN192-GQ$169,72-GQ$169+SwaptionMonthsToGo+SwaptionShift))/SQRT(SUM(INDEX($FO347:$IH347,1+SwaptionShift):INDEX($FO347:$IH347,SwaptionMonthsToGo+SwaptionShift))*SUM(INDEX($FO$325:$IH$396,GQ$169,1+SwaptionShift):INDEX($FO$325:$IH$396,GQ$169,SwaptionMonthsToGo+SwaptionShift))))))</f>
        <v/>
      </c>
      <c r="GR192" s="469" t="str">
        <f ca="1">IF(OR(GR$169&lt;SwaptionFirstMonthPosition+1,$FN192&lt;SwaptionFirstMonthPosition+1,GR$169&gt;SwaptionFirstMonthPosition+SwaptionNumOfMonths+1,$FN192&gt;SwaptionFirstMonthPosition+SwaptionNumOfMonths+1),"",IF($FN192=GR$169,1,IF($FN192&lt;GR$169,INDEX($FO$170:$IH$241,GR$169,$FN192),SUMPRODUCT(INDEX($FO$325:$IH$396,GR$169,1+SwaptionShift):INDEX($FO$325:$IH$396,GR$169,SwaptionMonthsToGo+SwaptionShift),INDEX($FO$245:$IH$316,$FN192-GR$169,73-GR$169+SwaptionShift):INDEX($FO$245:$IH$316,$FN192-GR$169,72-GR$169+SwaptionMonthsToGo+SwaptionShift))/SQRT(SUM(INDEX($FO347:$IH347,1+SwaptionShift):INDEX($FO347:$IH347,SwaptionMonthsToGo+SwaptionShift))*SUM(INDEX($FO$325:$IH$396,GR$169,1+SwaptionShift):INDEX($FO$325:$IH$396,GR$169,SwaptionMonthsToGo+SwaptionShift))))))</f>
        <v/>
      </c>
      <c r="GS192" s="469" t="str">
        <f ca="1">IF(OR(GS$169&lt;SwaptionFirstMonthPosition+1,$FN192&lt;SwaptionFirstMonthPosition+1,GS$169&gt;SwaptionFirstMonthPosition+SwaptionNumOfMonths+1,$FN192&gt;SwaptionFirstMonthPosition+SwaptionNumOfMonths+1),"",IF($FN192=GS$169,1,IF($FN192&lt;GS$169,INDEX($FO$170:$IH$241,GS$169,$FN192),SUMPRODUCT(INDEX($FO$325:$IH$396,GS$169,1+SwaptionShift):INDEX($FO$325:$IH$396,GS$169,SwaptionMonthsToGo+SwaptionShift),INDEX($FO$245:$IH$316,$FN192-GS$169,73-GS$169+SwaptionShift):INDEX($FO$245:$IH$316,$FN192-GS$169,72-GS$169+SwaptionMonthsToGo+SwaptionShift))/SQRT(SUM(INDEX($FO347:$IH347,1+SwaptionShift):INDEX($FO347:$IH347,SwaptionMonthsToGo+SwaptionShift))*SUM(INDEX($FO$325:$IH$396,GS$169,1+SwaptionShift):INDEX($FO$325:$IH$396,GS$169,SwaptionMonthsToGo+SwaptionShift))))))</f>
        <v/>
      </c>
      <c r="GT192" s="469" t="str">
        <f ca="1">IF(OR(GT$169&lt;SwaptionFirstMonthPosition+1,$FN192&lt;SwaptionFirstMonthPosition+1,GT$169&gt;SwaptionFirstMonthPosition+SwaptionNumOfMonths+1,$FN192&gt;SwaptionFirstMonthPosition+SwaptionNumOfMonths+1),"",IF($FN192=GT$169,1,IF($FN192&lt;GT$169,INDEX($FO$170:$IH$241,GT$169,$FN192),SUMPRODUCT(INDEX($FO$325:$IH$396,GT$169,1+SwaptionShift):INDEX($FO$325:$IH$396,GT$169,SwaptionMonthsToGo+SwaptionShift),INDEX($FO$245:$IH$316,$FN192-GT$169,73-GT$169+SwaptionShift):INDEX($FO$245:$IH$316,$FN192-GT$169,72-GT$169+SwaptionMonthsToGo+SwaptionShift))/SQRT(SUM(INDEX($FO347:$IH347,1+SwaptionShift):INDEX($FO347:$IH347,SwaptionMonthsToGo+SwaptionShift))*SUM(INDEX($FO$325:$IH$396,GT$169,1+SwaptionShift):INDEX($FO$325:$IH$396,GT$169,SwaptionMonthsToGo+SwaptionShift))))))</f>
        <v/>
      </c>
      <c r="GU192" s="469" t="str">
        <f ca="1">IF(OR(GU$169&lt;SwaptionFirstMonthPosition+1,$FN192&lt;SwaptionFirstMonthPosition+1,GU$169&gt;SwaptionFirstMonthPosition+SwaptionNumOfMonths+1,$FN192&gt;SwaptionFirstMonthPosition+SwaptionNumOfMonths+1),"",IF($FN192=GU$169,1,IF($FN192&lt;GU$169,INDEX($FO$170:$IH$241,GU$169,$FN192),SUMPRODUCT(INDEX($FO$325:$IH$396,GU$169,1+SwaptionShift):INDEX($FO$325:$IH$396,GU$169,SwaptionMonthsToGo+SwaptionShift),INDEX($FO$245:$IH$316,$FN192-GU$169,73-GU$169+SwaptionShift):INDEX($FO$245:$IH$316,$FN192-GU$169,72-GU$169+SwaptionMonthsToGo+SwaptionShift))/SQRT(SUM(INDEX($FO347:$IH347,1+SwaptionShift):INDEX($FO347:$IH347,SwaptionMonthsToGo+SwaptionShift))*SUM(INDEX($FO$325:$IH$396,GU$169,1+SwaptionShift):INDEX($FO$325:$IH$396,GU$169,SwaptionMonthsToGo+SwaptionShift))))))</f>
        <v/>
      </c>
      <c r="GV192" s="469" t="str">
        <f ca="1">IF(OR(GV$169&lt;SwaptionFirstMonthPosition+1,$FN192&lt;SwaptionFirstMonthPosition+1,GV$169&gt;SwaptionFirstMonthPosition+SwaptionNumOfMonths+1,$FN192&gt;SwaptionFirstMonthPosition+SwaptionNumOfMonths+1),"",IF($FN192=GV$169,1,IF($FN192&lt;GV$169,INDEX($FO$170:$IH$241,GV$169,$FN192),SUMPRODUCT(INDEX($FO$325:$IH$396,GV$169,1+SwaptionShift):INDEX($FO$325:$IH$396,GV$169,SwaptionMonthsToGo+SwaptionShift),INDEX($FO$245:$IH$316,$FN192-GV$169,73-GV$169+SwaptionShift):INDEX($FO$245:$IH$316,$FN192-GV$169,72-GV$169+SwaptionMonthsToGo+SwaptionShift))/SQRT(SUM(INDEX($FO347:$IH347,1+SwaptionShift):INDEX($FO347:$IH347,SwaptionMonthsToGo+SwaptionShift))*SUM(INDEX($FO$325:$IH$396,GV$169,1+SwaptionShift):INDEX($FO$325:$IH$396,GV$169,SwaptionMonthsToGo+SwaptionShift))))))</f>
        <v/>
      </c>
      <c r="GW192" s="469" t="str">
        <f ca="1">IF(OR(GW$169&lt;SwaptionFirstMonthPosition+1,$FN192&lt;SwaptionFirstMonthPosition+1,GW$169&gt;SwaptionFirstMonthPosition+SwaptionNumOfMonths+1,$FN192&gt;SwaptionFirstMonthPosition+SwaptionNumOfMonths+1),"",IF($FN192=GW$169,1,IF($FN192&lt;GW$169,INDEX($FO$170:$IH$241,GW$169,$FN192),SUMPRODUCT(INDEX($FO$325:$IH$396,GW$169,1+SwaptionShift):INDEX($FO$325:$IH$396,GW$169,SwaptionMonthsToGo+SwaptionShift),INDEX($FO$245:$IH$316,$FN192-GW$169,73-GW$169+SwaptionShift):INDEX($FO$245:$IH$316,$FN192-GW$169,72-GW$169+SwaptionMonthsToGo+SwaptionShift))/SQRT(SUM(INDEX($FO347:$IH347,1+SwaptionShift):INDEX($FO347:$IH347,SwaptionMonthsToGo+SwaptionShift))*SUM(INDEX($FO$325:$IH$396,GW$169,1+SwaptionShift):INDEX($FO$325:$IH$396,GW$169,SwaptionMonthsToGo+SwaptionShift))))))</f>
        <v/>
      </c>
      <c r="GX192" s="469" t="str">
        <f ca="1">IF(OR(GX$169&lt;SwaptionFirstMonthPosition+1,$FN192&lt;SwaptionFirstMonthPosition+1,GX$169&gt;SwaptionFirstMonthPosition+SwaptionNumOfMonths+1,$FN192&gt;SwaptionFirstMonthPosition+SwaptionNumOfMonths+1),"",IF($FN192=GX$169,1,IF($FN192&lt;GX$169,INDEX($FO$170:$IH$241,GX$169,$FN192),SUMPRODUCT(INDEX($FO$325:$IH$396,GX$169,1+SwaptionShift):INDEX($FO$325:$IH$396,GX$169,SwaptionMonthsToGo+SwaptionShift),INDEX($FO$245:$IH$316,$FN192-GX$169,73-GX$169+SwaptionShift):INDEX($FO$245:$IH$316,$FN192-GX$169,72-GX$169+SwaptionMonthsToGo+SwaptionShift))/SQRT(SUM(INDEX($FO347:$IH347,1+SwaptionShift):INDEX($FO347:$IH347,SwaptionMonthsToGo+SwaptionShift))*SUM(INDEX($FO$325:$IH$396,GX$169,1+SwaptionShift):INDEX($FO$325:$IH$396,GX$169,SwaptionMonthsToGo+SwaptionShift))))))</f>
        <v/>
      </c>
      <c r="GY192" s="469" t="str">
        <f ca="1">IF(OR(GY$169&lt;SwaptionFirstMonthPosition+1,$FN192&lt;SwaptionFirstMonthPosition+1,GY$169&gt;SwaptionFirstMonthPosition+SwaptionNumOfMonths+1,$FN192&gt;SwaptionFirstMonthPosition+SwaptionNumOfMonths+1),"",IF($FN192=GY$169,1,IF($FN192&lt;GY$169,INDEX($FO$170:$IH$241,GY$169,$FN192),SUMPRODUCT(INDEX($FO$325:$IH$396,GY$169,1+SwaptionShift):INDEX($FO$325:$IH$396,GY$169,SwaptionMonthsToGo+SwaptionShift),INDEX($FO$245:$IH$316,$FN192-GY$169,73-GY$169+SwaptionShift):INDEX($FO$245:$IH$316,$FN192-GY$169,72-GY$169+SwaptionMonthsToGo+SwaptionShift))/SQRT(SUM(INDEX($FO347:$IH347,1+SwaptionShift):INDEX($FO347:$IH347,SwaptionMonthsToGo+SwaptionShift))*SUM(INDEX($FO$325:$IH$396,GY$169,1+SwaptionShift):INDEX($FO$325:$IH$396,GY$169,SwaptionMonthsToGo+SwaptionShift))))))</f>
        <v/>
      </c>
      <c r="GZ192" s="469" t="str">
        <f ca="1">IF(OR(GZ$169&lt;SwaptionFirstMonthPosition+1,$FN192&lt;SwaptionFirstMonthPosition+1,GZ$169&gt;SwaptionFirstMonthPosition+SwaptionNumOfMonths+1,$FN192&gt;SwaptionFirstMonthPosition+SwaptionNumOfMonths+1),"",IF($FN192=GZ$169,1,IF($FN192&lt;GZ$169,INDEX($FO$170:$IH$241,GZ$169,$FN192),SUMPRODUCT(INDEX($FO$325:$IH$396,GZ$169,1+SwaptionShift):INDEX($FO$325:$IH$396,GZ$169,SwaptionMonthsToGo+SwaptionShift),INDEX($FO$245:$IH$316,$FN192-GZ$169,73-GZ$169+SwaptionShift):INDEX($FO$245:$IH$316,$FN192-GZ$169,72-GZ$169+SwaptionMonthsToGo+SwaptionShift))/SQRT(SUM(INDEX($FO347:$IH347,1+SwaptionShift):INDEX($FO347:$IH347,SwaptionMonthsToGo+SwaptionShift))*SUM(INDEX($FO$325:$IH$396,GZ$169,1+SwaptionShift):INDEX($FO$325:$IH$396,GZ$169,SwaptionMonthsToGo+SwaptionShift))))))</f>
        <v/>
      </c>
      <c r="HA192" s="469" t="str">
        <f ca="1">IF(OR(HA$169&lt;SwaptionFirstMonthPosition+1,$FN192&lt;SwaptionFirstMonthPosition+1,HA$169&gt;SwaptionFirstMonthPosition+SwaptionNumOfMonths+1,$FN192&gt;SwaptionFirstMonthPosition+SwaptionNumOfMonths+1),"",IF($FN192=HA$169,1,IF($FN192&lt;HA$169,INDEX($FO$170:$IH$241,HA$169,$FN192),SUMPRODUCT(INDEX($FO$325:$IH$396,HA$169,1+SwaptionShift):INDEX($FO$325:$IH$396,HA$169,SwaptionMonthsToGo+SwaptionShift),INDEX($FO$245:$IH$316,$FN192-HA$169,73-HA$169+SwaptionShift):INDEX($FO$245:$IH$316,$FN192-HA$169,72-HA$169+SwaptionMonthsToGo+SwaptionShift))/SQRT(SUM(INDEX($FO347:$IH347,1+SwaptionShift):INDEX($FO347:$IH347,SwaptionMonthsToGo+SwaptionShift))*SUM(INDEX($FO$325:$IH$396,HA$169,1+SwaptionShift):INDEX($FO$325:$IH$396,HA$169,SwaptionMonthsToGo+SwaptionShift))))))</f>
        <v/>
      </c>
      <c r="HB192" s="469" t="str">
        <f ca="1">IF(OR(HB$169&lt;SwaptionFirstMonthPosition+1,$FN192&lt;SwaptionFirstMonthPosition+1,HB$169&gt;SwaptionFirstMonthPosition+SwaptionNumOfMonths+1,$FN192&gt;SwaptionFirstMonthPosition+SwaptionNumOfMonths+1),"",IF($FN192=HB$169,1,IF($FN192&lt;HB$169,INDEX($FO$170:$IH$241,HB$169,$FN192),SUMPRODUCT(INDEX($FO$325:$IH$396,HB$169,1+SwaptionShift):INDEX($FO$325:$IH$396,HB$169,SwaptionMonthsToGo+SwaptionShift),INDEX($FO$245:$IH$316,$FN192-HB$169,73-HB$169+SwaptionShift):INDEX($FO$245:$IH$316,$FN192-HB$169,72-HB$169+SwaptionMonthsToGo+SwaptionShift))/SQRT(SUM(INDEX($FO347:$IH347,1+SwaptionShift):INDEX($FO347:$IH347,SwaptionMonthsToGo+SwaptionShift))*SUM(INDEX($FO$325:$IH$396,HB$169,1+SwaptionShift):INDEX($FO$325:$IH$396,HB$169,SwaptionMonthsToGo+SwaptionShift))))))</f>
        <v/>
      </c>
      <c r="HC192" s="469" t="str">
        <f ca="1">IF(OR(HC$169&lt;SwaptionFirstMonthPosition+1,$FN192&lt;SwaptionFirstMonthPosition+1,HC$169&gt;SwaptionFirstMonthPosition+SwaptionNumOfMonths+1,$FN192&gt;SwaptionFirstMonthPosition+SwaptionNumOfMonths+1),"",IF($FN192=HC$169,1,IF($FN192&lt;HC$169,INDEX($FO$170:$IH$241,HC$169,$FN192),SUMPRODUCT(INDEX($FO$325:$IH$396,HC$169,1+SwaptionShift):INDEX($FO$325:$IH$396,HC$169,SwaptionMonthsToGo+SwaptionShift),INDEX($FO$245:$IH$316,$FN192-HC$169,73-HC$169+SwaptionShift):INDEX($FO$245:$IH$316,$FN192-HC$169,72-HC$169+SwaptionMonthsToGo+SwaptionShift))/SQRT(SUM(INDEX($FO347:$IH347,1+SwaptionShift):INDEX($FO347:$IH347,SwaptionMonthsToGo+SwaptionShift))*SUM(INDEX($FO$325:$IH$396,HC$169,1+SwaptionShift):INDEX($FO$325:$IH$396,HC$169,SwaptionMonthsToGo+SwaptionShift))))))</f>
        <v/>
      </c>
      <c r="HD192" s="469" t="str">
        <f ca="1">IF(OR(HD$169&lt;SwaptionFirstMonthPosition+1,$FN192&lt;SwaptionFirstMonthPosition+1,HD$169&gt;SwaptionFirstMonthPosition+SwaptionNumOfMonths+1,$FN192&gt;SwaptionFirstMonthPosition+SwaptionNumOfMonths+1),"",IF($FN192=HD$169,1,IF($FN192&lt;HD$169,INDEX($FO$170:$IH$241,HD$169,$FN192),SUMPRODUCT(INDEX($FO$325:$IH$396,HD$169,1+SwaptionShift):INDEX($FO$325:$IH$396,HD$169,SwaptionMonthsToGo+SwaptionShift),INDEX($FO$245:$IH$316,$FN192-HD$169,73-HD$169+SwaptionShift):INDEX($FO$245:$IH$316,$FN192-HD$169,72-HD$169+SwaptionMonthsToGo+SwaptionShift))/SQRT(SUM(INDEX($FO347:$IH347,1+SwaptionShift):INDEX($FO347:$IH347,SwaptionMonthsToGo+SwaptionShift))*SUM(INDEX($FO$325:$IH$396,HD$169,1+SwaptionShift):INDEX($FO$325:$IH$396,HD$169,SwaptionMonthsToGo+SwaptionShift))))))</f>
        <v/>
      </c>
      <c r="HE192" s="469" t="str">
        <f ca="1">IF(OR(HE$169&lt;SwaptionFirstMonthPosition+1,$FN192&lt;SwaptionFirstMonthPosition+1,HE$169&gt;SwaptionFirstMonthPosition+SwaptionNumOfMonths+1,$FN192&gt;SwaptionFirstMonthPosition+SwaptionNumOfMonths+1),"",IF($FN192=HE$169,1,IF($FN192&lt;HE$169,INDEX($FO$170:$IH$241,HE$169,$FN192),SUMPRODUCT(INDEX($FO$325:$IH$396,HE$169,1+SwaptionShift):INDEX($FO$325:$IH$396,HE$169,SwaptionMonthsToGo+SwaptionShift),INDEX($FO$245:$IH$316,$FN192-HE$169,73-HE$169+SwaptionShift):INDEX($FO$245:$IH$316,$FN192-HE$169,72-HE$169+SwaptionMonthsToGo+SwaptionShift))/SQRT(SUM(INDEX($FO347:$IH347,1+SwaptionShift):INDEX($FO347:$IH347,SwaptionMonthsToGo+SwaptionShift))*SUM(INDEX($FO$325:$IH$396,HE$169,1+SwaptionShift):INDEX($FO$325:$IH$396,HE$169,SwaptionMonthsToGo+SwaptionShift))))))</f>
        <v/>
      </c>
      <c r="HF192" s="469" t="str">
        <f ca="1">IF(OR(HF$169&lt;SwaptionFirstMonthPosition+1,$FN192&lt;SwaptionFirstMonthPosition+1,HF$169&gt;SwaptionFirstMonthPosition+SwaptionNumOfMonths+1,$FN192&gt;SwaptionFirstMonthPosition+SwaptionNumOfMonths+1),"",IF($FN192=HF$169,1,IF($FN192&lt;HF$169,INDEX($FO$170:$IH$241,HF$169,$FN192),SUMPRODUCT(INDEX($FO$325:$IH$396,HF$169,1+SwaptionShift):INDEX($FO$325:$IH$396,HF$169,SwaptionMonthsToGo+SwaptionShift),INDEX($FO$245:$IH$316,$FN192-HF$169,73-HF$169+SwaptionShift):INDEX($FO$245:$IH$316,$FN192-HF$169,72-HF$169+SwaptionMonthsToGo+SwaptionShift))/SQRT(SUM(INDEX($FO347:$IH347,1+SwaptionShift):INDEX($FO347:$IH347,SwaptionMonthsToGo+SwaptionShift))*SUM(INDEX($FO$325:$IH$396,HF$169,1+SwaptionShift):INDEX($FO$325:$IH$396,HF$169,SwaptionMonthsToGo+SwaptionShift))))))</f>
        <v/>
      </c>
      <c r="HG192" s="469" t="str">
        <f ca="1">IF(OR(HG$169&lt;SwaptionFirstMonthPosition+1,$FN192&lt;SwaptionFirstMonthPosition+1,HG$169&gt;SwaptionFirstMonthPosition+SwaptionNumOfMonths+1,$FN192&gt;SwaptionFirstMonthPosition+SwaptionNumOfMonths+1),"",IF($FN192=HG$169,1,IF($FN192&lt;HG$169,INDEX($FO$170:$IH$241,HG$169,$FN192),SUMPRODUCT(INDEX($FO$325:$IH$396,HG$169,1+SwaptionShift):INDEX($FO$325:$IH$396,HG$169,SwaptionMonthsToGo+SwaptionShift),INDEX($FO$245:$IH$316,$FN192-HG$169,73-HG$169+SwaptionShift):INDEX($FO$245:$IH$316,$FN192-HG$169,72-HG$169+SwaptionMonthsToGo+SwaptionShift))/SQRT(SUM(INDEX($FO347:$IH347,1+SwaptionShift):INDEX($FO347:$IH347,SwaptionMonthsToGo+SwaptionShift))*SUM(INDEX($FO$325:$IH$396,HG$169,1+SwaptionShift):INDEX($FO$325:$IH$396,HG$169,SwaptionMonthsToGo+SwaptionShift))))))</f>
        <v/>
      </c>
      <c r="HH192" s="469" t="str">
        <f ca="1">IF(OR(HH$169&lt;SwaptionFirstMonthPosition+1,$FN192&lt;SwaptionFirstMonthPosition+1,HH$169&gt;SwaptionFirstMonthPosition+SwaptionNumOfMonths+1,$FN192&gt;SwaptionFirstMonthPosition+SwaptionNumOfMonths+1),"",IF($FN192=HH$169,1,IF($FN192&lt;HH$169,INDEX($FO$170:$IH$241,HH$169,$FN192),SUMPRODUCT(INDEX($FO$325:$IH$396,HH$169,1+SwaptionShift):INDEX($FO$325:$IH$396,HH$169,SwaptionMonthsToGo+SwaptionShift),INDEX($FO$245:$IH$316,$FN192-HH$169,73-HH$169+SwaptionShift):INDEX($FO$245:$IH$316,$FN192-HH$169,72-HH$169+SwaptionMonthsToGo+SwaptionShift))/SQRT(SUM(INDEX($FO347:$IH347,1+SwaptionShift):INDEX($FO347:$IH347,SwaptionMonthsToGo+SwaptionShift))*SUM(INDEX($FO$325:$IH$396,HH$169,1+SwaptionShift):INDEX($FO$325:$IH$396,HH$169,SwaptionMonthsToGo+SwaptionShift))))))</f>
        <v/>
      </c>
      <c r="HI192" s="469" t="str">
        <f ca="1">IF(OR(HI$169&lt;SwaptionFirstMonthPosition+1,$FN192&lt;SwaptionFirstMonthPosition+1,HI$169&gt;SwaptionFirstMonthPosition+SwaptionNumOfMonths+1,$FN192&gt;SwaptionFirstMonthPosition+SwaptionNumOfMonths+1),"",IF($FN192=HI$169,1,IF($FN192&lt;HI$169,INDEX($FO$170:$IH$241,HI$169,$FN192),SUMPRODUCT(INDEX($FO$325:$IH$396,HI$169,1+SwaptionShift):INDEX($FO$325:$IH$396,HI$169,SwaptionMonthsToGo+SwaptionShift),INDEX($FO$245:$IH$316,$FN192-HI$169,73-HI$169+SwaptionShift):INDEX($FO$245:$IH$316,$FN192-HI$169,72-HI$169+SwaptionMonthsToGo+SwaptionShift))/SQRT(SUM(INDEX($FO347:$IH347,1+SwaptionShift):INDEX($FO347:$IH347,SwaptionMonthsToGo+SwaptionShift))*SUM(INDEX($FO$325:$IH$396,HI$169,1+SwaptionShift):INDEX($FO$325:$IH$396,HI$169,SwaptionMonthsToGo+SwaptionShift))))))</f>
        <v/>
      </c>
      <c r="HJ192" s="469" t="str">
        <f ca="1">IF(OR(HJ$169&lt;SwaptionFirstMonthPosition+1,$FN192&lt;SwaptionFirstMonthPosition+1,HJ$169&gt;SwaptionFirstMonthPosition+SwaptionNumOfMonths+1,$FN192&gt;SwaptionFirstMonthPosition+SwaptionNumOfMonths+1),"",IF($FN192=HJ$169,1,IF($FN192&lt;HJ$169,INDEX($FO$170:$IH$241,HJ$169,$FN192),SUMPRODUCT(INDEX($FO$325:$IH$396,HJ$169,1+SwaptionShift):INDEX($FO$325:$IH$396,HJ$169,SwaptionMonthsToGo+SwaptionShift),INDEX($FO$245:$IH$316,$FN192-HJ$169,73-HJ$169+SwaptionShift):INDEX($FO$245:$IH$316,$FN192-HJ$169,72-HJ$169+SwaptionMonthsToGo+SwaptionShift))/SQRT(SUM(INDEX($FO347:$IH347,1+SwaptionShift):INDEX($FO347:$IH347,SwaptionMonthsToGo+SwaptionShift))*SUM(INDEX($FO$325:$IH$396,HJ$169,1+SwaptionShift):INDEX($FO$325:$IH$396,HJ$169,SwaptionMonthsToGo+SwaptionShift))))))</f>
        <v/>
      </c>
      <c r="HK192" s="469" t="str">
        <f ca="1">IF(OR(HK$169&lt;SwaptionFirstMonthPosition+1,$FN192&lt;SwaptionFirstMonthPosition+1,HK$169&gt;SwaptionFirstMonthPosition+SwaptionNumOfMonths+1,$FN192&gt;SwaptionFirstMonthPosition+SwaptionNumOfMonths+1),"",IF($FN192=HK$169,1,IF($FN192&lt;HK$169,INDEX($FO$170:$IH$241,HK$169,$FN192),SUMPRODUCT(INDEX($FO$325:$IH$396,HK$169,1+SwaptionShift):INDEX($FO$325:$IH$396,HK$169,SwaptionMonthsToGo+SwaptionShift),INDEX($FO$245:$IH$316,$FN192-HK$169,73-HK$169+SwaptionShift):INDEX($FO$245:$IH$316,$FN192-HK$169,72-HK$169+SwaptionMonthsToGo+SwaptionShift))/SQRT(SUM(INDEX($FO347:$IH347,1+SwaptionShift):INDEX($FO347:$IH347,SwaptionMonthsToGo+SwaptionShift))*SUM(INDEX($FO$325:$IH$396,HK$169,1+SwaptionShift):INDEX($FO$325:$IH$396,HK$169,SwaptionMonthsToGo+SwaptionShift))))))</f>
        <v/>
      </c>
      <c r="HL192" s="469" t="str">
        <f ca="1">IF(OR(HL$169&lt;SwaptionFirstMonthPosition+1,$FN192&lt;SwaptionFirstMonthPosition+1,HL$169&gt;SwaptionFirstMonthPosition+SwaptionNumOfMonths+1,$FN192&gt;SwaptionFirstMonthPosition+SwaptionNumOfMonths+1),"",IF($FN192=HL$169,1,IF($FN192&lt;HL$169,INDEX($FO$170:$IH$241,HL$169,$FN192),SUMPRODUCT(INDEX($FO$325:$IH$396,HL$169,1+SwaptionShift):INDEX($FO$325:$IH$396,HL$169,SwaptionMonthsToGo+SwaptionShift),INDEX($FO$245:$IH$316,$FN192-HL$169,73-HL$169+SwaptionShift):INDEX($FO$245:$IH$316,$FN192-HL$169,72-HL$169+SwaptionMonthsToGo+SwaptionShift))/SQRT(SUM(INDEX($FO347:$IH347,1+SwaptionShift):INDEX($FO347:$IH347,SwaptionMonthsToGo+SwaptionShift))*SUM(INDEX($FO$325:$IH$396,HL$169,1+SwaptionShift):INDEX($FO$325:$IH$396,HL$169,SwaptionMonthsToGo+SwaptionShift))))))</f>
        <v/>
      </c>
      <c r="HM192" s="469" t="str">
        <f ca="1">IF(OR(HM$169&lt;SwaptionFirstMonthPosition+1,$FN192&lt;SwaptionFirstMonthPosition+1,HM$169&gt;SwaptionFirstMonthPosition+SwaptionNumOfMonths+1,$FN192&gt;SwaptionFirstMonthPosition+SwaptionNumOfMonths+1),"",IF($FN192=HM$169,1,IF($FN192&lt;HM$169,INDEX($FO$170:$IH$241,HM$169,$FN192),SUMPRODUCT(INDEX($FO$325:$IH$396,HM$169,1+SwaptionShift):INDEX($FO$325:$IH$396,HM$169,SwaptionMonthsToGo+SwaptionShift),INDEX($FO$245:$IH$316,$FN192-HM$169,73-HM$169+SwaptionShift):INDEX($FO$245:$IH$316,$FN192-HM$169,72-HM$169+SwaptionMonthsToGo+SwaptionShift))/SQRT(SUM(INDEX($FO347:$IH347,1+SwaptionShift):INDEX($FO347:$IH347,SwaptionMonthsToGo+SwaptionShift))*SUM(INDEX($FO$325:$IH$396,HM$169,1+SwaptionShift):INDEX($FO$325:$IH$396,HM$169,SwaptionMonthsToGo+SwaptionShift))))))</f>
        <v/>
      </c>
      <c r="HN192" s="469" t="str">
        <f ca="1">IF(OR(HN$169&lt;SwaptionFirstMonthPosition+1,$FN192&lt;SwaptionFirstMonthPosition+1,HN$169&gt;SwaptionFirstMonthPosition+SwaptionNumOfMonths+1,$FN192&gt;SwaptionFirstMonthPosition+SwaptionNumOfMonths+1),"",IF($FN192=HN$169,1,IF($FN192&lt;HN$169,INDEX($FO$170:$IH$241,HN$169,$FN192),SUMPRODUCT(INDEX($FO$325:$IH$396,HN$169,1+SwaptionShift):INDEX($FO$325:$IH$396,HN$169,SwaptionMonthsToGo+SwaptionShift),INDEX($FO$245:$IH$316,$FN192-HN$169,73-HN$169+SwaptionShift):INDEX($FO$245:$IH$316,$FN192-HN$169,72-HN$169+SwaptionMonthsToGo+SwaptionShift))/SQRT(SUM(INDEX($FO347:$IH347,1+SwaptionShift):INDEX($FO347:$IH347,SwaptionMonthsToGo+SwaptionShift))*SUM(INDEX($FO$325:$IH$396,HN$169,1+SwaptionShift):INDEX($FO$325:$IH$396,HN$169,SwaptionMonthsToGo+SwaptionShift))))))</f>
        <v/>
      </c>
      <c r="HO192" s="469" t="str">
        <f ca="1">IF(OR(HO$169&lt;SwaptionFirstMonthPosition+1,$FN192&lt;SwaptionFirstMonthPosition+1,HO$169&gt;SwaptionFirstMonthPosition+SwaptionNumOfMonths+1,$FN192&gt;SwaptionFirstMonthPosition+SwaptionNumOfMonths+1),"",IF($FN192=HO$169,1,IF($FN192&lt;HO$169,INDEX($FO$170:$IH$241,HO$169,$FN192),SUMPRODUCT(INDEX($FO$325:$IH$396,HO$169,1+SwaptionShift):INDEX($FO$325:$IH$396,HO$169,SwaptionMonthsToGo+SwaptionShift),INDEX($FO$245:$IH$316,$FN192-HO$169,73-HO$169+SwaptionShift):INDEX($FO$245:$IH$316,$FN192-HO$169,72-HO$169+SwaptionMonthsToGo+SwaptionShift))/SQRT(SUM(INDEX($FO347:$IH347,1+SwaptionShift):INDEX($FO347:$IH347,SwaptionMonthsToGo+SwaptionShift))*SUM(INDEX($FO$325:$IH$396,HO$169,1+SwaptionShift):INDEX($FO$325:$IH$396,HO$169,SwaptionMonthsToGo+SwaptionShift))))))</f>
        <v/>
      </c>
      <c r="HP192" s="469" t="str">
        <f ca="1">IF(OR(HP$169&lt;SwaptionFirstMonthPosition+1,$FN192&lt;SwaptionFirstMonthPosition+1,HP$169&gt;SwaptionFirstMonthPosition+SwaptionNumOfMonths+1,$FN192&gt;SwaptionFirstMonthPosition+SwaptionNumOfMonths+1),"",IF($FN192=HP$169,1,IF($FN192&lt;HP$169,INDEX($FO$170:$IH$241,HP$169,$FN192),SUMPRODUCT(INDEX($FO$325:$IH$396,HP$169,1+SwaptionShift):INDEX($FO$325:$IH$396,HP$169,SwaptionMonthsToGo+SwaptionShift),INDEX($FO$245:$IH$316,$FN192-HP$169,73-HP$169+SwaptionShift):INDEX($FO$245:$IH$316,$FN192-HP$169,72-HP$169+SwaptionMonthsToGo+SwaptionShift))/SQRT(SUM(INDEX($FO347:$IH347,1+SwaptionShift):INDEX($FO347:$IH347,SwaptionMonthsToGo+SwaptionShift))*SUM(INDEX($FO$325:$IH$396,HP$169,1+SwaptionShift):INDEX($FO$325:$IH$396,HP$169,SwaptionMonthsToGo+SwaptionShift))))))</f>
        <v/>
      </c>
      <c r="HQ192" s="469" t="str">
        <f ca="1">IF(OR(HQ$169&lt;SwaptionFirstMonthPosition+1,$FN192&lt;SwaptionFirstMonthPosition+1,HQ$169&gt;SwaptionFirstMonthPosition+SwaptionNumOfMonths+1,$FN192&gt;SwaptionFirstMonthPosition+SwaptionNumOfMonths+1),"",IF($FN192=HQ$169,1,IF($FN192&lt;HQ$169,INDEX($FO$170:$IH$241,HQ$169,$FN192),SUMPRODUCT(INDEX($FO$325:$IH$396,HQ$169,1+SwaptionShift):INDEX($FO$325:$IH$396,HQ$169,SwaptionMonthsToGo+SwaptionShift),INDEX($FO$245:$IH$316,$FN192-HQ$169,73-HQ$169+SwaptionShift):INDEX($FO$245:$IH$316,$FN192-HQ$169,72-HQ$169+SwaptionMonthsToGo+SwaptionShift))/SQRT(SUM(INDEX($FO347:$IH347,1+SwaptionShift):INDEX($FO347:$IH347,SwaptionMonthsToGo+SwaptionShift))*SUM(INDEX($FO$325:$IH$396,HQ$169,1+SwaptionShift):INDEX($FO$325:$IH$396,HQ$169,SwaptionMonthsToGo+SwaptionShift))))))</f>
        <v/>
      </c>
      <c r="HR192" s="469" t="str">
        <f ca="1">IF(OR(HR$169&lt;SwaptionFirstMonthPosition+1,$FN192&lt;SwaptionFirstMonthPosition+1,HR$169&gt;SwaptionFirstMonthPosition+SwaptionNumOfMonths+1,$FN192&gt;SwaptionFirstMonthPosition+SwaptionNumOfMonths+1),"",IF($FN192=HR$169,1,IF($FN192&lt;HR$169,INDEX($FO$170:$IH$241,HR$169,$FN192),SUMPRODUCT(INDEX($FO$325:$IH$396,HR$169,1+SwaptionShift):INDEX($FO$325:$IH$396,HR$169,SwaptionMonthsToGo+SwaptionShift),INDEX($FO$245:$IH$316,$FN192-HR$169,73-HR$169+SwaptionShift):INDEX($FO$245:$IH$316,$FN192-HR$169,72-HR$169+SwaptionMonthsToGo+SwaptionShift))/SQRT(SUM(INDEX($FO347:$IH347,1+SwaptionShift):INDEX($FO347:$IH347,SwaptionMonthsToGo+SwaptionShift))*SUM(INDEX($FO$325:$IH$396,HR$169,1+SwaptionShift):INDEX($FO$325:$IH$396,HR$169,SwaptionMonthsToGo+SwaptionShift))))))</f>
        <v/>
      </c>
      <c r="HS192" s="469" t="str">
        <f ca="1">IF(OR(HS$169&lt;SwaptionFirstMonthPosition+1,$FN192&lt;SwaptionFirstMonthPosition+1,HS$169&gt;SwaptionFirstMonthPosition+SwaptionNumOfMonths+1,$FN192&gt;SwaptionFirstMonthPosition+SwaptionNumOfMonths+1),"",IF($FN192=HS$169,1,IF($FN192&lt;HS$169,INDEX($FO$170:$IH$241,HS$169,$FN192),SUMPRODUCT(INDEX($FO$325:$IH$396,HS$169,1+SwaptionShift):INDEX($FO$325:$IH$396,HS$169,SwaptionMonthsToGo+SwaptionShift),INDEX($FO$245:$IH$316,$FN192-HS$169,73-HS$169+SwaptionShift):INDEX($FO$245:$IH$316,$FN192-HS$169,72-HS$169+SwaptionMonthsToGo+SwaptionShift))/SQRT(SUM(INDEX($FO347:$IH347,1+SwaptionShift):INDEX($FO347:$IH347,SwaptionMonthsToGo+SwaptionShift))*SUM(INDEX($FO$325:$IH$396,HS$169,1+SwaptionShift):INDEX($FO$325:$IH$396,HS$169,SwaptionMonthsToGo+SwaptionShift))))))</f>
        <v/>
      </c>
      <c r="HT192" s="469" t="str">
        <f ca="1">IF(OR(HT$169&lt;SwaptionFirstMonthPosition+1,$FN192&lt;SwaptionFirstMonthPosition+1,HT$169&gt;SwaptionFirstMonthPosition+SwaptionNumOfMonths+1,$FN192&gt;SwaptionFirstMonthPosition+SwaptionNumOfMonths+1),"",IF($FN192=HT$169,1,IF($FN192&lt;HT$169,INDEX($FO$170:$IH$241,HT$169,$FN192),SUMPRODUCT(INDEX($FO$325:$IH$396,HT$169,1+SwaptionShift):INDEX($FO$325:$IH$396,HT$169,SwaptionMonthsToGo+SwaptionShift),INDEX($FO$245:$IH$316,$FN192-HT$169,73-HT$169+SwaptionShift):INDEX($FO$245:$IH$316,$FN192-HT$169,72-HT$169+SwaptionMonthsToGo+SwaptionShift))/SQRT(SUM(INDEX($FO347:$IH347,1+SwaptionShift):INDEX($FO347:$IH347,SwaptionMonthsToGo+SwaptionShift))*SUM(INDEX($FO$325:$IH$396,HT$169,1+SwaptionShift):INDEX($FO$325:$IH$396,HT$169,SwaptionMonthsToGo+SwaptionShift))))))</f>
        <v/>
      </c>
      <c r="HU192" s="469" t="str">
        <f ca="1">IF(OR(HU$169&lt;SwaptionFirstMonthPosition+1,$FN192&lt;SwaptionFirstMonthPosition+1,HU$169&gt;SwaptionFirstMonthPosition+SwaptionNumOfMonths+1,$FN192&gt;SwaptionFirstMonthPosition+SwaptionNumOfMonths+1),"",IF($FN192=HU$169,1,IF($FN192&lt;HU$169,INDEX($FO$170:$IH$241,HU$169,$FN192),SUMPRODUCT(INDEX($FO$325:$IH$396,HU$169,1+SwaptionShift):INDEX($FO$325:$IH$396,HU$169,SwaptionMonthsToGo+SwaptionShift),INDEX($FO$245:$IH$316,$FN192-HU$169,73-HU$169+SwaptionShift):INDEX($FO$245:$IH$316,$FN192-HU$169,72-HU$169+SwaptionMonthsToGo+SwaptionShift))/SQRT(SUM(INDEX($FO347:$IH347,1+SwaptionShift):INDEX($FO347:$IH347,SwaptionMonthsToGo+SwaptionShift))*SUM(INDEX($FO$325:$IH$396,HU$169,1+SwaptionShift):INDEX($FO$325:$IH$396,HU$169,SwaptionMonthsToGo+SwaptionShift))))))</f>
        <v/>
      </c>
      <c r="HV192" s="469" t="str">
        <f ca="1">IF(OR(HV$169&lt;SwaptionFirstMonthPosition+1,$FN192&lt;SwaptionFirstMonthPosition+1,HV$169&gt;SwaptionFirstMonthPosition+SwaptionNumOfMonths+1,$FN192&gt;SwaptionFirstMonthPosition+SwaptionNumOfMonths+1),"",IF($FN192=HV$169,1,IF($FN192&lt;HV$169,INDEX($FO$170:$IH$241,HV$169,$FN192),SUMPRODUCT(INDEX($FO$325:$IH$396,HV$169,1+SwaptionShift):INDEX($FO$325:$IH$396,HV$169,SwaptionMonthsToGo+SwaptionShift),INDEX($FO$245:$IH$316,$FN192-HV$169,73-HV$169+SwaptionShift):INDEX($FO$245:$IH$316,$FN192-HV$169,72-HV$169+SwaptionMonthsToGo+SwaptionShift))/SQRT(SUM(INDEX($FO347:$IH347,1+SwaptionShift):INDEX($FO347:$IH347,SwaptionMonthsToGo+SwaptionShift))*SUM(INDEX($FO$325:$IH$396,HV$169,1+SwaptionShift):INDEX($FO$325:$IH$396,HV$169,SwaptionMonthsToGo+SwaptionShift))))))</f>
        <v/>
      </c>
      <c r="HW192" s="469" t="str">
        <f ca="1">IF(OR(HW$169&lt;SwaptionFirstMonthPosition+1,$FN192&lt;SwaptionFirstMonthPosition+1,HW$169&gt;SwaptionFirstMonthPosition+SwaptionNumOfMonths+1,$FN192&gt;SwaptionFirstMonthPosition+SwaptionNumOfMonths+1),"",IF($FN192=HW$169,1,IF($FN192&lt;HW$169,INDEX($FO$170:$IH$241,HW$169,$FN192),SUMPRODUCT(INDEX($FO$325:$IH$396,HW$169,1+SwaptionShift):INDEX($FO$325:$IH$396,HW$169,SwaptionMonthsToGo+SwaptionShift),INDEX($FO$245:$IH$316,$FN192-HW$169,73-HW$169+SwaptionShift):INDEX($FO$245:$IH$316,$FN192-HW$169,72-HW$169+SwaptionMonthsToGo+SwaptionShift))/SQRT(SUM(INDEX($FO347:$IH347,1+SwaptionShift):INDEX($FO347:$IH347,SwaptionMonthsToGo+SwaptionShift))*SUM(INDEX($FO$325:$IH$396,HW$169,1+SwaptionShift):INDEX($FO$325:$IH$396,HW$169,SwaptionMonthsToGo+SwaptionShift))))))</f>
        <v/>
      </c>
      <c r="HX192" s="469" t="str">
        <f ca="1">IF(OR(HX$169&lt;SwaptionFirstMonthPosition+1,$FN192&lt;SwaptionFirstMonthPosition+1,HX$169&gt;SwaptionFirstMonthPosition+SwaptionNumOfMonths+1,$FN192&gt;SwaptionFirstMonthPosition+SwaptionNumOfMonths+1),"",IF($FN192=HX$169,1,IF($FN192&lt;HX$169,INDEX($FO$170:$IH$241,HX$169,$FN192),SUMPRODUCT(INDEX($FO$325:$IH$396,HX$169,1+SwaptionShift):INDEX($FO$325:$IH$396,HX$169,SwaptionMonthsToGo+SwaptionShift),INDEX($FO$245:$IH$316,$FN192-HX$169,73-HX$169+SwaptionShift):INDEX($FO$245:$IH$316,$FN192-HX$169,72-HX$169+SwaptionMonthsToGo+SwaptionShift))/SQRT(SUM(INDEX($FO347:$IH347,1+SwaptionShift):INDEX($FO347:$IH347,SwaptionMonthsToGo+SwaptionShift))*SUM(INDEX($FO$325:$IH$396,HX$169,1+SwaptionShift):INDEX($FO$325:$IH$396,HX$169,SwaptionMonthsToGo+SwaptionShift))))))</f>
        <v/>
      </c>
      <c r="HY192" s="469" t="str">
        <f ca="1">IF(OR(HY$169&lt;SwaptionFirstMonthPosition+1,$FN192&lt;SwaptionFirstMonthPosition+1,HY$169&gt;SwaptionFirstMonthPosition+SwaptionNumOfMonths+1,$FN192&gt;SwaptionFirstMonthPosition+SwaptionNumOfMonths+1),"",IF($FN192=HY$169,1,IF($FN192&lt;HY$169,INDEX($FO$170:$IH$241,HY$169,$FN192),SUMPRODUCT(INDEX($FO$325:$IH$396,HY$169,1+SwaptionShift):INDEX($FO$325:$IH$396,HY$169,SwaptionMonthsToGo+SwaptionShift),INDEX($FO$245:$IH$316,$FN192-HY$169,73-HY$169+SwaptionShift):INDEX($FO$245:$IH$316,$FN192-HY$169,72-HY$169+SwaptionMonthsToGo+SwaptionShift))/SQRT(SUM(INDEX($FO347:$IH347,1+SwaptionShift):INDEX($FO347:$IH347,SwaptionMonthsToGo+SwaptionShift))*SUM(INDEX($FO$325:$IH$396,HY$169,1+SwaptionShift):INDEX($FO$325:$IH$396,HY$169,SwaptionMonthsToGo+SwaptionShift))))))</f>
        <v/>
      </c>
      <c r="HZ192" s="469" t="str">
        <f ca="1">IF(OR(HZ$169&lt;SwaptionFirstMonthPosition+1,$FN192&lt;SwaptionFirstMonthPosition+1,HZ$169&gt;SwaptionFirstMonthPosition+SwaptionNumOfMonths+1,$FN192&gt;SwaptionFirstMonthPosition+SwaptionNumOfMonths+1),"",IF($FN192=HZ$169,1,IF($FN192&lt;HZ$169,INDEX($FO$170:$IH$241,HZ$169,$FN192),SUMPRODUCT(INDEX($FO$325:$IH$396,HZ$169,1+SwaptionShift):INDEX($FO$325:$IH$396,HZ$169,SwaptionMonthsToGo+SwaptionShift),INDEX($FO$245:$IH$316,$FN192-HZ$169,73-HZ$169+SwaptionShift):INDEX($FO$245:$IH$316,$FN192-HZ$169,72-HZ$169+SwaptionMonthsToGo+SwaptionShift))/SQRT(SUM(INDEX($FO347:$IH347,1+SwaptionShift):INDEX($FO347:$IH347,SwaptionMonthsToGo+SwaptionShift))*SUM(INDEX($FO$325:$IH$396,HZ$169,1+SwaptionShift):INDEX($FO$325:$IH$396,HZ$169,SwaptionMonthsToGo+SwaptionShift))))))</f>
        <v/>
      </c>
      <c r="IA192" s="469" t="str">
        <f ca="1">IF(OR(IA$169&lt;SwaptionFirstMonthPosition+1,$FN192&lt;SwaptionFirstMonthPosition+1,IA$169&gt;SwaptionFirstMonthPosition+SwaptionNumOfMonths+1,$FN192&gt;SwaptionFirstMonthPosition+SwaptionNumOfMonths+1),"",IF($FN192=IA$169,1,IF($FN192&lt;IA$169,INDEX($FO$170:$IH$241,IA$169,$FN192),SUMPRODUCT(INDEX($FO$325:$IH$396,IA$169,1+SwaptionShift):INDEX($FO$325:$IH$396,IA$169,SwaptionMonthsToGo+SwaptionShift),INDEX($FO$245:$IH$316,$FN192-IA$169,73-IA$169+SwaptionShift):INDEX($FO$245:$IH$316,$FN192-IA$169,72-IA$169+SwaptionMonthsToGo+SwaptionShift))/SQRT(SUM(INDEX($FO347:$IH347,1+SwaptionShift):INDEX($FO347:$IH347,SwaptionMonthsToGo+SwaptionShift))*SUM(INDEX($FO$325:$IH$396,IA$169,1+SwaptionShift):INDEX($FO$325:$IH$396,IA$169,SwaptionMonthsToGo+SwaptionShift))))))</f>
        <v/>
      </c>
      <c r="IB192" s="469" t="str">
        <f ca="1">IF(OR(IB$169&lt;SwaptionFirstMonthPosition+1,$FN192&lt;SwaptionFirstMonthPosition+1,IB$169&gt;SwaptionFirstMonthPosition+SwaptionNumOfMonths+1,$FN192&gt;SwaptionFirstMonthPosition+SwaptionNumOfMonths+1),"",IF($FN192=IB$169,1,IF($FN192&lt;IB$169,INDEX($FO$170:$IH$241,IB$169,$FN192),SUMPRODUCT(INDEX($FO$325:$IH$396,IB$169,1+SwaptionShift):INDEX($FO$325:$IH$396,IB$169,SwaptionMonthsToGo+SwaptionShift),INDEX($FO$245:$IH$316,$FN192-IB$169,73-IB$169+SwaptionShift):INDEX($FO$245:$IH$316,$FN192-IB$169,72-IB$169+SwaptionMonthsToGo+SwaptionShift))/SQRT(SUM(INDEX($FO347:$IH347,1+SwaptionShift):INDEX($FO347:$IH347,SwaptionMonthsToGo+SwaptionShift))*SUM(INDEX($FO$325:$IH$396,IB$169,1+SwaptionShift):INDEX($FO$325:$IH$396,IB$169,SwaptionMonthsToGo+SwaptionShift))))))</f>
        <v/>
      </c>
      <c r="IC192" s="469" t="str">
        <f ca="1">IF(OR(IC$169&lt;SwaptionFirstMonthPosition+1,$FN192&lt;SwaptionFirstMonthPosition+1,IC$169&gt;SwaptionFirstMonthPosition+SwaptionNumOfMonths+1,$FN192&gt;SwaptionFirstMonthPosition+SwaptionNumOfMonths+1),"",IF($FN192=IC$169,1,IF($FN192&lt;IC$169,INDEX($FO$170:$IH$241,IC$169,$FN192),SUMPRODUCT(INDEX($FO$325:$IH$396,IC$169,1+SwaptionShift):INDEX($FO$325:$IH$396,IC$169,SwaptionMonthsToGo+SwaptionShift),INDEX($FO$245:$IH$316,$FN192-IC$169,73-IC$169+SwaptionShift):INDEX($FO$245:$IH$316,$FN192-IC$169,72-IC$169+SwaptionMonthsToGo+SwaptionShift))/SQRT(SUM(INDEX($FO347:$IH347,1+SwaptionShift):INDEX($FO347:$IH347,SwaptionMonthsToGo+SwaptionShift))*SUM(INDEX($FO$325:$IH$396,IC$169,1+SwaptionShift):INDEX($FO$325:$IH$396,IC$169,SwaptionMonthsToGo+SwaptionShift))))))</f>
        <v/>
      </c>
      <c r="ID192" s="469" t="str">
        <f ca="1">IF(OR(ID$169&lt;SwaptionFirstMonthPosition+1,$FN192&lt;SwaptionFirstMonthPosition+1,ID$169&gt;SwaptionFirstMonthPosition+SwaptionNumOfMonths+1,$FN192&gt;SwaptionFirstMonthPosition+SwaptionNumOfMonths+1),"",IF($FN192=ID$169,1,IF($FN192&lt;ID$169,INDEX($FO$170:$IH$241,ID$169,$FN192),SUMPRODUCT(INDEX($FO$325:$IH$396,ID$169,1+SwaptionShift):INDEX($FO$325:$IH$396,ID$169,SwaptionMonthsToGo+SwaptionShift),INDEX($FO$245:$IH$316,$FN192-ID$169,73-ID$169+SwaptionShift):INDEX($FO$245:$IH$316,$FN192-ID$169,72-ID$169+SwaptionMonthsToGo+SwaptionShift))/SQRT(SUM(INDEX($FO347:$IH347,1+SwaptionShift):INDEX($FO347:$IH347,SwaptionMonthsToGo+SwaptionShift))*SUM(INDEX($FO$325:$IH$396,ID$169,1+SwaptionShift):INDEX($FO$325:$IH$396,ID$169,SwaptionMonthsToGo+SwaptionShift))))))</f>
        <v/>
      </c>
      <c r="IE192" s="469" t="str">
        <f ca="1">IF(OR(IE$169&lt;SwaptionFirstMonthPosition+1,$FN192&lt;SwaptionFirstMonthPosition+1,IE$169&gt;SwaptionFirstMonthPosition+SwaptionNumOfMonths+1,$FN192&gt;SwaptionFirstMonthPosition+SwaptionNumOfMonths+1),"",IF($FN192=IE$169,1,IF($FN192&lt;IE$169,INDEX($FO$170:$IH$241,IE$169,$FN192),SUMPRODUCT(INDEX($FO$325:$IH$396,IE$169,1+SwaptionShift):INDEX($FO$325:$IH$396,IE$169,SwaptionMonthsToGo+SwaptionShift),INDEX($FO$245:$IH$316,$FN192-IE$169,73-IE$169+SwaptionShift):INDEX($FO$245:$IH$316,$FN192-IE$169,72-IE$169+SwaptionMonthsToGo+SwaptionShift))/SQRT(SUM(INDEX($FO347:$IH347,1+SwaptionShift):INDEX($FO347:$IH347,SwaptionMonthsToGo+SwaptionShift))*SUM(INDEX($FO$325:$IH$396,IE$169,1+SwaptionShift):INDEX($FO$325:$IH$396,IE$169,SwaptionMonthsToGo+SwaptionShift))))))</f>
        <v/>
      </c>
      <c r="IF192" s="469" t="str">
        <f ca="1">IF(OR(IF$169&lt;SwaptionFirstMonthPosition+1,$FN192&lt;SwaptionFirstMonthPosition+1,IF$169&gt;SwaptionFirstMonthPosition+SwaptionNumOfMonths+1,$FN192&gt;SwaptionFirstMonthPosition+SwaptionNumOfMonths+1),"",IF($FN192=IF$169,1,IF($FN192&lt;IF$169,INDEX($FO$170:$IH$241,IF$169,$FN192),SUMPRODUCT(INDEX($FO$325:$IH$396,IF$169,1+SwaptionShift):INDEX($FO$325:$IH$396,IF$169,SwaptionMonthsToGo+SwaptionShift),INDEX($FO$245:$IH$316,$FN192-IF$169,73-IF$169+SwaptionShift):INDEX($FO$245:$IH$316,$FN192-IF$169,72-IF$169+SwaptionMonthsToGo+SwaptionShift))/SQRT(SUM(INDEX($FO347:$IH347,1+SwaptionShift):INDEX($FO347:$IH347,SwaptionMonthsToGo+SwaptionShift))*SUM(INDEX($FO$325:$IH$396,IF$169,1+SwaptionShift):INDEX($FO$325:$IH$396,IF$169,SwaptionMonthsToGo+SwaptionShift))))))</f>
        <v/>
      </c>
      <c r="IG192" s="469" t="str">
        <f ca="1">IF(OR(IG$169&lt;SwaptionFirstMonthPosition+1,$FN192&lt;SwaptionFirstMonthPosition+1,IG$169&gt;SwaptionFirstMonthPosition+SwaptionNumOfMonths+1,$FN192&gt;SwaptionFirstMonthPosition+SwaptionNumOfMonths+1),"",IF($FN192=IG$169,1,IF($FN192&lt;IG$169,INDEX($FO$170:$IH$241,IG$169,$FN192),SUMPRODUCT(INDEX($FO$325:$IH$396,IG$169,1+SwaptionShift):INDEX($FO$325:$IH$396,IG$169,SwaptionMonthsToGo+SwaptionShift),INDEX($FO$245:$IH$316,$FN192-IG$169,73-IG$169+SwaptionShift):INDEX($FO$245:$IH$316,$FN192-IG$169,72-IG$169+SwaptionMonthsToGo+SwaptionShift))/SQRT(SUM(INDEX($FO347:$IH347,1+SwaptionShift):INDEX($FO347:$IH347,SwaptionMonthsToGo+SwaptionShift))*SUM(INDEX($FO$325:$IH$396,IG$169,1+SwaptionShift):INDEX($FO$325:$IH$396,IG$169,SwaptionMonthsToGo+SwaptionShift))))))</f>
        <v/>
      </c>
      <c r="IH192" s="662" t="str">
        <f ca="1">IF(OR(IH$169&lt;SwaptionFirstMonthPosition+1,$FN192&lt;SwaptionFirstMonthPosition+1,IH$169&gt;SwaptionFirstMonthPosition+SwaptionNumOfMonths+1,$FN192&gt;SwaptionFirstMonthPosition+SwaptionNumOfMonths+1),"",IF($FN192=IH$169,1,IF($FN192&lt;IH$169,INDEX($FO$170:$IH$241,IH$169,$FN192),SUMPRODUCT(INDEX($FO$325:$IH$396,IH$169,1+SwaptionShift):INDEX($FO$325:$IH$396,IH$169,SwaptionMonthsToGo+SwaptionShift),INDEX($FO$245:$IH$316,$FN192-IH$169,73-IH$169+SwaptionShift):INDEX($FO$245:$IH$316,$FN192-IH$169,72-IH$169+SwaptionMonthsToGo+SwaptionShift))/SQRT(SUM(INDEX($FO347:$IH347,1+SwaptionShift):INDEX($FO347:$IH347,SwaptionMonthsToGo+SwaptionShift))*SUM(INDEX($FO$325:$IH$396,IH$169,1+SwaptionShift):INDEX($FO$325:$IH$396,IH$169,SwaptionMonthsToGo+SwaptionShift))))))</f>
        <v/>
      </c>
      <c r="II192" s="242"/>
    </row>
    <row r="193" spans="8:243">
      <c r="H193" s="49" t="e">
        <f t="shared" ca="1" si="529"/>
        <v>#N/A</v>
      </c>
      <c r="I193" s="369">
        <f t="shared" si="530"/>
        <v>42278</v>
      </c>
      <c r="J193" s="367">
        <v>23.709999999999901</v>
      </c>
      <c r="K193" s="101" t="s">
        <v>267</v>
      </c>
      <c r="L193" s="382">
        <f t="shared" si="531"/>
        <v>23.709999999999884</v>
      </c>
      <c r="M193" s="163">
        <v>0.1419</v>
      </c>
      <c r="N193" s="372">
        <v>0</v>
      </c>
      <c r="O193" s="163">
        <f t="shared" si="488"/>
        <v>0.1419</v>
      </c>
      <c r="P193" s="367">
        <v>22.3047407931038</v>
      </c>
      <c r="Q193" s="101" t="s">
        <v>267</v>
      </c>
      <c r="R193" s="367">
        <f t="shared" ca="1" si="549"/>
        <v>22.304740793103761</v>
      </c>
      <c r="S193" s="814">
        <f t="shared" si="474"/>
        <v>0.34887612633793841</v>
      </c>
      <c r="T193" s="813">
        <f t="shared" si="550"/>
        <v>0.99999999905291348</v>
      </c>
      <c r="U193" s="532">
        <f t="shared" si="551"/>
        <v>0.99999999999999978</v>
      </c>
      <c r="V193" s="379">
        <v>0</v>
      </c>
      <c r="W193" s="424">
        <f t="shared" si="576"/>
        <v>23.744090909090811</v>
      </c>
      <c r="X193" s="405">
        <f t="shared" si="577"/>
        <v>23.74409090909079</v>
      </c>
      <c r="Y193" s="313">
        <f t="shared" si="578"/>
        <v>22.50249090909081</v>
      </c>
      <c r="Z193" s="313">
        <f t="shared" ca="1" si="579"/>
        <v>22.502490909090788</v>
      </c>
      <c r="AA193" s="419">
        <f t="shared" si="493"/>
        <v>1.2416</v>
      </c>
      <c r="AB193" s="423">
        <f t="shared" ca="1" si="494"/>
        <v>1.2416</v>
      </c>
      <c r="AC193" s="221">
        <v>42267</v>
      </c>
      <c r="AD193" s="221">
        <v>42263</v>
      </c>
      <c r="AE193" s="221">
        <v>42262</v>
      </c>
      <c r="AF193" s="221">
        <v>42258</v>
      </c>
      <c r="AG193" s="241" t="s">
        <v>497</v>
      </c>
      <c r="AH193" s="239" t="s">
        <v>497</v>
      </c>
      <c r="AI193" s="141">
        <v>22</v>
      </c>
      <c r="AJ193" s="41">
        <v>14</v>
      </c>
      <c r="AK193" s="41">
        <v>8</v>
      </c>
      <c r="AL193" s="285">
        <v>22</v>
      </c>
      <c r="AM193" s="41">
        <v>10</v>
      </c>
      <c r="AN193" s="142">
        <v>12</v>
      </c>
      <c r="AO193" s="364">
        <v>6.1680044242933697E-2</v>
      </c>
      <c r="AP193" s="145">
        <f t="shared" ca="1" si="532"/>
        <v>0.41292679051968256</v>
      </c>
      <c r="AQ193" s="364">
        <v>5.5628430290193299E-2</v>
      </c>
      <c r="AR193" s="145">
        <f t="shared" ca="1" si="552"/>
        <v>0.45288164487579885</v>
      </c>
      <c r="AS193" s="264">
        <f t="shared" si="580"/>
        <v>0.14135454545454548</v>
      </c>
      <c r="AT193" s="149">
        <f t="shared" si="533"/>
        <v>0.1419</v>
      </c>
      <c r="AU193" s="149">
        <f t="shared" si="496"/>
        <v>0.14128181818181818</v>
      </c>
      <c r="AV193" s="263">
        <f t="shared" ca="1" si="560"/>
        <v>0.13976728930884699</v>
      </c>
      <c r="AW193" s="150" t="str">
        <f t="shared" ca="1" si="581"/>
        <v/>
      </c>
      <c r="AX193" s="149">
        <f t="shared" ca="1" si="553"/>
        <v>5.6542555712733398E-3</v>
      </c>
      <c r="AY193" s="149">
        <f t="shared" ca="1" si="554"/>
        <v>1.9385971958204118E-3</v>
      </c>
      <c r="AZ193" s="149">
        <f t="shared" ca="1" si="555"/>
        <v>1.9756856437054223E-3</v>
      </c>
      <c r="BA193" s="149">
        <f t="shared" ca="1" si="556"/>
        <v>1.0000000000000868E-4</v>
      </c>
      <c r="BB193" s="149">
        <f t="shared" ca="1" si="557"/>
        <v>1.0000000000000868E-4</v>
      </c>
      <c r="BC193" s="149">
        <f t="shared" ca="1" si="558"/>
        <v>1.0000000000000868E-4</v>
      </c>
      <c r="BD193" s="143">
        <f t="shared" ca="1" si="582"/>
        <v>0</v>
      </c>
      <c r="BE193" s="144">
        <f t="shared" ca="1" si="583"/>
        <v>0</v>
      </c>
      <c r="BF193" s="40">
        <f t="shared" si="584"/>
        <v>2015</v>
      </c>
      <c r="BG193" s="139">
        <f t="shared" si="585"/>
        <v>10</v>
      </c>
      <c r="BH193" s="140">
        <f t="shared" ca="1" si="586"/>
        <v>5273</v>
      </c>
      <c r="BI193" s="304">
        <f t="shared" ca="1" si="570"/>
        <v>14.477754962354553</v>
      </c>
      <c r="BJ193" s="42">
        <f t="shared" ca="1" si="503"/>
        <v>14.530023022836165</v>
      </c>
      <c r="BK193" s="42">
        <f t="shared" ca="1" si="504"/>
        <v>14.532760873623298</v>
      </c>
      <c r="BL193" s="42">
        <f t="shared" ca="1" si="571"/>
        <v>14.559890485968515</v>
      </c>
      <c r="BM193" s="285">
        <f t="shared" si="572"/>
        <v>22</v>
      </c>
      <c r="BN193" s="41">
        <f t="shared" si="573"/>
        <v>14</v>
      </c>
      <c r="BO193" s="41">
        <f t="shared" si="574"/>
        <v>8</v>
      </c>
      <c r="BP193" s="297" t="str">
        <f t="shared" ca="1" si="505"/>
        <v/>
      </c>
      <c r="BQ193" s="297" t="str">
        <f t="shared" ca="1" si="506"/>
        <v/>
      </c>
      <c r="BR193" s="299" t="str">
        <f t="shared" ca="1" si="507"/>
        <v/>
      </c>
      <c r="BS193" s="153" t="str">
        <f t="shared" ca="1" si="508"/>
        <v/>
      </c>
      <c r="BT193" s="153" t="str">
        <f t="shared" ca="1" si="509"/>
        <v/>
      </c>
      <c r="BU193" s="300" t="str">
        <f t="shared" ca="1" si="510"/>
        <v/>
      </c>
      <c r="BV193" s="301" t="str">
        <f t="shared" ca="1" si="511"/>
        <v/>
      </c>
      <c r="BW193" s="300" t="str">
        <f t="shared" ca="1" si="512"/>
        <v/>
      </c>
      <c r="BX193" s="301" t="str">
        <f t="shared" ca="1" si="513"/>
        <v/>
      </c>
      <c r="BY193" s="146" t="str">
        <f t="shared" ca="1" si="514"/>
        <v/>
      </c>
      <c r="BZ193" s="146" t="str">
        <f t="shared" ca="1" si="515"/>
        <v/>
      </c>
      <c r="CA193" s="146" t="str">
        <f t="shared" ca="1" si="516"/>
        <v/>
      </c>
      <c r="CB193" s="146" t="str">
        <f t="shared" ca="1" si="517"/>
        <v/>
      </c>
      <c r="CC193" s="302">
        <v>1</v>
      </c>
      <c r="CD193" s="154">
        <f ca="1">IF(BD193,_xll.xCrudeAPO(BS193,BT193,BY193,BZ193,S194,S195,BI193,BL193,BN193,BO193,0,Strike1,AO193,CC193,0,BL193,IF(OptControl=4,0,1),0,1),0)</f>
        <v>0</v>
      </c>
      <c r="CE193" s="155">
        <f ca="1">IF(BD193,_xll.xCrudeAPO(BS193,BT193,BY193,BZ193,S194,S195,BI193,BL193,BN193,BO193,0,Strike1,AO193,CC193,0,BL193,IF(OptControl=4,0,1),1,1)+_xll.xCrudeAPO(BS193,BT193,BY193,BZ193,S194,S195,BI193,BL193,BN193,BO193,0,Strike1,AO193,CC193,0,BL193,IF(OptControl=4,0,1),1,2)+IF(OR(VolSkewFlag=2,ABS(BQ193)&lt;0.0001),0,IF(BQ193&gt;0,-1,1)*CF193*Strike1/BP193^2*BW193/10%),0)</f>
        <v>0</v>
      </c>
      <c r="CF193" s="155">
        <f ca="1">IF(BD193,(_xll.xCrudeAPO(BS193,BT193,BY193,BZ193,S194,S195,BI193,BL193,BN193,BO193,0,Strike1,AO193,CC193,0,BL193,IF(OptControl=4,0,1),3,1)+_xll.xCrudeAPO(BS193,BT193,BY193,BZ193,S194,S195,BI193,BL193,BN193,BO193,0,Strike1,AO193,CC193,0,BL193,IF(OptControl=4,0,1),3,2))/100,0)</f>
        <v>0</v>
      </c>
      <c r="CG193" s="155">
        <f ca="1">IF(BD193,_xll.xCrudeAPO(BS193,BT193,BY193,BZ193,S194,S195,BI193-DaysForThetaCalculation/365.25,BL193-DaysForThetaCalculation/365.25,BN193,BO193,0,Strike1,AO193,CC193,0,BL193,IF(OptControl=4,0,1),0,1)-_xll.xCrudeAPO(BS193,BT193,BY193,BZ193,S194,S195,BI193,BL193,BN193,BO193,0,Strike1,AO193,CC193,0,BL193,IF(OptControl=4,0,1),0,1),0)</f>
        <v>0</v>
      </c>
      <c r="CH193" s="303">
        <f ca="1">IF(BD193,_xll.xCrudeAPO(BS193,BT193,CA193,CB193,S194,S195,BI193,BL193,BN193,BO193,0,Strike2,AO193,CC193,0,BL193,IF(OptControl=3,1,0),0,1),0)</f>
        <v>0</v>
      </c>
      <c r="CI193" s="155">
        <f ca="1">IF(BD193,_xll.xCrudeAPO(BS193,BT193,CA193,CB193,S194,S195,BI193,BL193,BN193,BO193,0,Strike2,AO193,CC193,0,BL193,IF(OptControl=3,1,0),1,1)+_xll.xCrudeAPO(BS193,BT193,CA193,CB193,S194,S195,BI193,BL193,BN193,BO193,0,Strike2,AO193,CC193,0,BL193,IF(OptControl=3,1,0),1,2)+IF(OR(VolSkewFlag=2,ABS(BR193)&lt;0.0001),0,IF(BR193&gt;0,-1,1)*CJ193*Strike2/BP193^2*BX193/10%),0)</f>
        <v>0</v>
      </c>
      <c r="CJ193" s="155">
        <f ca="1">IF(BD193,(_xll.xCrudeAPO(BS193,BT193,CA193,CB193,S194,S195,BI193,BL193,BN193,BO193,0,Strike2,AO193,CC193,0,BL193,IF(OptControl=3,1,0),3,1)+_xll.xCrudeAPO(BS193,BT193,CA193,CB193,S194,S195,BI193,BL193,BN193,BO193,0,Strike2,AO193,CC193,0,BL193,IF(OptControl=3,1,0),3,2))/100,0)</f>
        <v>0</v>
      </c>
      <c r="CK193" s="156">
        <f ca="1">IF(BD193,_xll.xCrudeAPO(BS193,BT193,CA193,CB193,S194,S195,BI193-DaysForThetaCalculation/365.25,BL193-DaysForThetaCalculation/365.25,BN193,BO193,0,Strike2,AO193,CC193,0,BL193,IF(OptControl=3,1,0),0,1)-_xll.xCrudeAPO(BS193,BT193,CA193,CB193,S194,S195,BI193,BL193,BN193,BO193,0,Strike2,AO193,CC193,0,BL193,IF(OptControl=3,1,0),0,1),0)</f>
        <v>0</v>
      </c>
      <c r="CL193" s="51"/>
      <c r="CM193" s="779" t="str">
        <f t="shared" ca="1" si="534"/>
        <v/>
      </c>
      <c r="CN193" s="783" t="str">
        <f t="shared" ca="1" si="535"/>
        <v/>
      </c>
      <c r="CO193" s="780" t="str">
        <f t="shared" ca="1" si="536"/>
        <v/>
      </c>
      <c r="CP193" s="780" t="str">
        <f t="shared" ca="1" si="537"/>
        <v/>
      </c>
      <c r="CQ193" s="780" t="str">
        <f t="shared" ca="1" si="538"/>
        <v/>
      </c>
      <c r="CR193" s="780" t="str">
        <f t="shared" ca="1" si="539"/>
        <v/>
      </c>
      <c r="CS193" s="781" t="str">
        <f t="shared" ca="1" si="540"/>
        <v/>
      </c>
      <c r="CT193" s="782" t="str">
        <f t="shared" ca="1" si="541"/>
        <v/>
      </c>
      <c r="CU193" s="782" t="str">
        <f t="shared" ca="1" si="542"/>
        <v/>
      </c>
      <c r="CV193" s="155">
        <f ca="1">IF(BD193,_xll.EURO(CN193,Strike1,AO193,AO193,CT193,CM193,IF(OptControl=4,0,1),0),0)</f>
        <v>0</v>
      </c>
      <c r="CW193" s="155">
        <f ca="1">IF(BD193,_xll.EURO(CN193,Strike1,AO193,AO193,CT193,CM193,IF(OptControl=4,0,1),1)+IF(OR(VolSkewFlag=2,ABS(CO193)&lt;0.0001),0,IF(CO193&gt;0,-1,1)*CX193*100*Strike1/CN193^2*CQ193/10%),0)</f>
        <v>0</v>
      </c>
      <c r="CX193" s="155">
        <f ca="1">IF(BD193,_xll.EURO(CN193,Strike1,AO193,AO193,CT193,CM193,IF(OptControl=4,0,1),3)/100,0)</f>
        <v>0</v>
      </c>
      <c r="CY193" s="155">
        <f ca="1">IF(BD193,_xll.EURO(CN193,Strike1,AO193,AO193,CT193,CM193,IF(OptControl=4,0,1),0)-_xll.EURO(CN193,Strike1,AO193,AO193,CT193,CM193-1,IF(OptControl=4,0,1),0),0)</f>
        <v>0</v>
      </c>
      <c r="CZ193" s="155">
        <f ca="1">IF(BD193,_xll.EURO(CN193,Strike2,AO193,AO193,CU193,CM193,IF(OptControl=3,1,0),0),0)</f>
        <v>0</v>
      </c>
      <c r="DA193" s="155">
        <f ca="1">IF(BD193,_xll.EURO(CN193,Strike2,AO193,AO193,CU193,CM193,IF(OptControl=3,1,0),1)+IF(OR(VolSkewFlag=2,ABS(CP193)&lt;0.0001),0,IF(CP193&gt;0,-1,1)*DB193*100*Strike2/CN193^2*CR193/10%),0)</f>
        <v>0</v>
      </c>
      <c r="DB193" s="155">
        <f ca="1">IF(BD193,_xll.EURO(CN193,Strike2,AO193,AO193,CU193,CM193,IF(OptControl=3,1,0),3)/100,0)</f>
        <v>0</v>
      </c>
      <c r="DC193" s="156">
        <f ca="1">IF(BD193,_xll.EURO(CN193,Strike2,AO193,AO193,CU193,CM193,IF(OptControl=3,1,0),0)-_xll.EURO(CN193,Strike2,AO193,AO193,CU193,CM193-1,IF(OptControl=3,1,0),0),0)</f>
        <v>0</v>
      </c>
      <c r="DE193" s="651">
        <f t="shared" ca="1" si="543"/>
        <v>42186</v>
      </c>
      <c r="DF193" s="465">
        <v>1E-4</v>
      </c>
      <c r="DG193" s="649">
        <v>1E-4</v>
      </c>
      <c r="DH193" s="650">
        <f t="shared" ca="1" si="587"/>
        <v>42186</v>
      </c>
      <c r="DI193" s="465">
        <v>1E-4</v>
      </c>
      <c r="DJ193" s="649">
        <v>1E-4</v>
      </c>
      <c r="DK193" s="651">
        <f t="shared" ca="1" si="588"/>
        <v>42186</v>
      </c>
      <c r="DL193" s="652">
        <f t="shared" si="589"/>
        <v>5.0100000000000006E-2</v>
      </c>
      <c r="DM193" s="651">
        <f t="shared" ca="1" si="544"/>
        <v>42186</v>
      </c>
      <c r="DN193" s="563">
        <f t="shared" si="545"/>
        <v>-0.12990000000000002</v>
      </c>
      <c r="DO193" s="803">
        <v>-0.13</v>
      </c>
      <c r="DP193" s="650">
        <f t="shared" ca="1" si="590"/>
        <v>42186</v>
      </c>
      <c r="DQ193" s="653">
        <v>1E-4</v>
      </c>
      <c r="DR193" s="590">
        <v>1E-4</v>
      </c>
      <c r="DS193" s="650">
        <f t="shared" ca="1" si="591"/>
        <v>42186</v>
      </c>
      <c r="DT193" s="653">
        <v>1E-4</v>
      </c>
      <c r="DU193" s="590">
        <v>1E-4</v>
      </c>
      <c r="DV193" s="651">
        <f t="shared" ca="1" si="592"/>
        <v>42186</v>
      </c>
      <c r="DW193" s="590">
        <v>1E-4</v>
      </c>
      <c r="DX193" s="651">
        <f t="shared" ca="1" si="546"/>
        <v>42186</v>
      </c>
      <c r="DY193" s="590">
        <f t="shared" si="547"/>
        <v>1E-4</v>
      </c>
      <c r="DZ193" s="1"/>
      <c r="EA193" s="857"/>
      <c r="EB193" s="857"/>
      <c r="EC193" s="857"/>
      <c r="ED193" s="868" t="e">
        <f t="shared" ca="1" si="566"/>
        <v>#NAME?</v>
      </c>
      <c r="EE193" s="863" t="e">
        <f t="shared" ca="1" si="524"/>
        <v>#NAME?</v>
      </c>
      <c r="EF193" s="590" t="e">
        <f t="shared" ca="1" si="525"/>
        <v>#NAME?</v>
      </c>
      <c r="EG193" s="862" t="str">
        <f t="shared" ca="1" si="593"/>
        <v/>
      </c>
      <c r="EH193" s="114" t="str">
        <f t="shared" ca="1" si="527"/>
        <v/>
      </c>
      <c r="EI193" s="109" t="str">
        <f t="shared" ca="1" si="528"/>
        <v/>
      </c>
      <c r="EJ193" s="115">
        <f ca="1">IF(BD193,_xll.xASN(BP193,Strike1,AO193,EH193,0,BM193,0,BI193,BL193,IF(OptControl=4,0,1),0),0)</f>
        <v>0</v>
      </c>
      <c r="EK193" s="108">
        <f ca="1">IF(BD193,_xll.xASN(BP193,Strike2,AO193,EI193,0,BM193,0,BI193,BL193,IF(OptControl=3,1,0),0),0)</f>
        <v>0</v>
      </c>
      <c r="EP193" s="53"/>
      <c r="EQ193" s="1"/>
      <c r="ER193" s="103"/>
      <c r="ES193" s="103"/>
      <c r="ET193" s="1"/>
      <c r="EU193" s="667" t="s">
        <v>405</v>
      </c>
      <c r="EW193" s="445"/>
      <c r="EX193" s="36"/>
      <c r="EY193" s="104"/>
      <c r="EZ193" s="465"/>
      <c r="FA193" s="446"/>
      <c r="FB193" s="446"/>
      <c r="FC193" s="242"/>
      <c r="FD193" s="242"/>
      <c r="FE193" s="242"/>
      <c r="FF193" s="242"/>
      <c r="FG193" s="242"/>
      <c r="FH193" s="242"/>
      <c r="FI193" s="242"/>
      <c r="FJ193" s="242"/>
      <c r="FK193" s="242"/>
      <c r="FL193" s="242"/>
      <c r="FM193" s="242"/>
      <c r="FN193" s="657">
        <v>24</v>
      </c>
      <c r="FO193" s="469" t="str">
        <f ca="1">IF(OR(FO$169&lt;SwaptionFirstMonthPosition+1,$FN193&lt;SwaptionFirstMonthPosition+1,FO$169&gt;SwaptionFirstMonthPosition+SwaptionNumOfMonths+1,$FN193&gt;SwaptionFirstMonthPosition+SwaptionNumOfMonths+1),"",IF($FN193=FO$169,1,IF($FN193&lt;FO$169,INDEX($FO$170:$IH$241,FO$169,$FN193),SUMPRODUCT(INDEX($FO$325:$IH$396,FO$169,1+SwaptionShift):INDEX($FO$325:$IH$396,FO$169,SwaptionMonthsToGo+SwaptionShift),INDEX($FO$245:$IH$316,$FN193-FO$169,73-FO$169+SwaptionShift):INDEX($FO$245:$IH$316,$FN193-FO$169,72-FO$169+SwaptionMonthsToGo+SwaptionShift))/SQRT(SUM(INDEX($FO348:$IH348,1+SwaptionShift):INDEX($FO348:$IH348,SwaptionMonthsToGo+SwaptionShift))*SUM(INDEX($FO$325:$IH$396,FO$169,1+SwaptionShift):INDEX($FO$325:$IH$396,FO$169,SwaptionMonthsToGo+SwaptionShift))))))</f>
        <v/>
      </c>
      <c r="FP193" s="469" t="str">
        <f ca="1">IF(OR(FP$169&lt;SwaptionFirstMonthPosition+1,$FN193&lt;SwaptionFirstMonthPosition+1,FP$169&gt;SwaptionFirstMonthPosition+SwaptionNumOfMonths+1,$FN193&gt;SwaptionFirstMonthPosition+SwaptionNumOfMonths+1),"",IF($FN193=FP$169,1,IF($FN193&lt;FP$169,INDEX($FO$170:$IH$241,FP$169,$FN193),SUMPRODUCT(INDEX($FO$325:$IH$396,FP$169,1+SwaptionShift):INDEX($FO$325:$IH$396,FP$169,SwaptionMonthsToGo+SwaptionShift),INDEX($FO$245:$IH$316,$FN193-FP$169,73-FP$169+SwaptionShift):INDEX($FO$245:$IH$316,$FN193-FP$169,72-FP$169+SwaptionMonthsToGo+SwaptionShift))/SQRT(SUM(INDEX($FO348:$IH348,1+SwaptionShift):INDEX($FO348:$IH348,SwaptionMonthsToGo+SwaptionShift))*SUM(INDEX($FO$325:$IH$396,FP$169,1+SwaptionShift):INDEX($FO$325:$IH$396,FP$169,SwaptionMonthsToGo+SwaptionShift))))))</f>
        <v/>
      </c>
      <c r="FQ193" s="469" t="str">
        <f ca="1">IF(OR(FQ$169&lt;SwaptionFirstMonthPosition+1,$FN193&lt;SwaptionFirstMonthPosition+1,FQ$169&gt;SwaptionFirstMonthPosition+SwaptionNumOfMonths+1,$FN193&gt;SwaptionFirstMonthPosition+SwaptionNumOfMonths+1),"",IF($FN193=FQ$169,1,IF($FN193&lt;FQ$169,INDEX($FO$170:$IH$241,FQ$169,$FN193),SUMPRODUCT(INDEX($FO$325:$IH$396,FQ$169,1+SwaptionShift):INDEX($FO$325:$IH$396,FQ$169,SwaptionMonthsToGo+SwaptionShift),INDEX($FO$245:$IH$316,$FN193-FQ$169,73-FQ$169+SwaptionShift):INDEX($FO$245:$IH$316,$FN193-FQ$169,72-FQ$169+SwaptionMonthsToGo+SwaptionShift))/SQRT(SUM(INDEX($FO348:$IH348,1+SwaptionShift):INDEX($FO348:$IH348,SwaptionMonthsToGo+SwaptionShift))*SUM(INDEX($FO$325:$IH$396,FQ$169,1+SwaptionShift):INDEX($FO$325:$IH$396,FQ$169,SwaptionMonthsToGo+SwaptionShift))))))</f>
        <v/>
      </c>
      <c r="FR193" s="469" t="str">
        <f ca="1">IF(OR(FR$169&lt;SwaptionFirstMonthPosition+1,$FN193&lt;SwaptionFirstMonthPosition+1,FR$169&gt;SwaptionFirstMonthPosition+SwaptionNumOfMonths+1,$FN193&gt;SwaptionFirstMonthPosition+SwaptionNumOfMonths+1),"",IF($FN193=FR$169,1,IF($FN193&lt;FR$169,INDEX($FO$170:$IH$241,FR$169,$FN193),SUMPRODUCT(INDEX($FO$325:$IH$396,FR$169,1+SwaptionShift):INDEX($FO$325:$IH$396,FR$169,SwaptionMonthsToGo+SwaptionShift),INDEX($FO$245:$IH$316,$FN193-FR$169,73-FR$169+SwaptionShift):INDEX($FO$245:$IH$316,$FN193-FR$169,72-FR$169+SwaptionMonthsToGo+SwaptionShift))/SQRT(SUM(INDEX($FO348:$IH348,1+SwaptionShift):INDEX($FO348:$IH348,SwaptionMonthsToGo+SwaptionShift))*SUM(INDEX($FO$325:$IH$396,FR$169,1+SwaptionShift):INDEX($FO$325:$IH$396,FR$169,SwaptionMonthsToGo+SwaptionShift))))))</f>
        <v/>
      </c>
      <c r="FS193" s="469" t="str">
        <f ca="1">IF(OR(FS$169&lt;SwaptionFirstMonthPosition+1,$FN193&lt;SwaptionFirstMonthPosition+1,FS$169&gt;SwaptionFirstMonthPosition+SwaptionNumOfMonths+1,$FN193&gt;SwaptionFirstMonthPosition+SwaptionNumOfMonths+1),"",IF($FN193=FS$169,1,IF($FN193&lt;FS$169,INDEX($FO$170:$IH$241,FS$169,$FN193),SUMPRODUCT(INDEX($FO$325:$IH$396,FS$169,1+SwaptionShift):INDEX($FO$325:$IH$396,FS$169,SwaptionMonthsToGo+SwaptionShift),INDEX($FO$245:$IH$316,$FN193-FS$169,73-FS$169+SwaptionShift):INDEX($FO$245:$IH$316,$FN193-FS$169,72-FS$169+SwaptionMonthsToGo+SwaptionShift))/SQRT(SUM(INDEX($FO348:$IH348,1+SwaptionShift):INDEX($FO348:$IH348,SwaptionMonthsToGo+SwaptionShift))*SUM(INDEX($FO$325:$IH$396,FS$169,1+SwaptionShift):INDEX($FO$325:$IH$396,FS$169,SwaptionMonthsToGo+SwaptionShift))))))</f>
        <v/>
      </c>
      <c r="FT193" s="469" t="str">
        <f ca="1">IF(OR(FT$169&lt;SwaptionFirstMonthPosition+1,$FN193&lt;SwaptionFirstMonthPosition+1,FT$169&gt;SwaptionFirstMonthPosition+SwaptionNumOfMonths+1,$FN193&gt;SwaptionFirstMonthPosition+SwaptionNumOfMonths+1),"",IF($FN193=FT$169,1,IF($FN193&lt;FT$169,INDEX($FO$170:$IH$241,FT$169,$FN193),SUMPRODUCT(INDEX($FO$325:$IH$396,FT$169,1+SwaptionShift):INDEX($FO$325:$IH$396,FT$169,SwaptionMonthsToGo+SwaptionShift),INDEX($FO$245:$IH$316,$FN193-FT$169,73-FT$169+SwaptionShift):INDEX($FO$245:$IH$316,$FN193-FT$169,72-FT$169+SwaptionMonthsToGo+SwaptionShift))/SQRT(SUM(INDEX($FO348:$IH348,1+SwaptionShift):INDEX($FO348:$IH348,SwaptionMonthsToGo+SwaptionShift))*SUM(INDEX($FO$325:$IH$396,FT$169,1+SwaptionShift):INDEX($FO$325:$IH$396,FT$169,SwaptionMonthsToGo+SwaptionShift))))))</f>
        <v/>
      </c>
      <c r="FU193" s="469" t="str">
        <f ca="1">IF(OR(FU$169&lt;SwaptionFirstMonthPosition+1,$FN193&lt;SwaptionFirstMonthPosition+1,FU$169&gt;SwaptionFirstMonthPosition+SwaptionNumOfMonths+1,$FN193&gt;SwaptionFirstMonthPosition+SwaptionNumOfMonths+1),"",IF($FN193=FU$169,1,IF($FN193&lt;FU$169,INDEX($FO$170:$IH$241,FU$169,$FN193),SUMPRODUCT(INDEX($FO$325:$IH$396,FU$169,1+SwaptionShift):INDEX($FO$325:$IH$396,FU$169,SwaptionMonthsToGo+SwaptionShift),INDEX($FO$245:$IH$316,$FN193-FU$169,73-FU$169+SwaptionShift):INDEX($FO$245:$IH$316,$FN193-FU$169,72-FU$169+SwaptionMonthsToGo+SwaptionShift))/SQRT(SUM(INDEX($FO348:$IH348,1+SwaptionShift):INDEX($FO348:$IH348,SwaptionMonthsToGo+SwaptionShift))*SUM(INDEX($FO$325:$IH$396,FU$169,1+SwaptionShift):INDEX($FO$325:$IH$396,FU$169,SwaptionMonthsToGo+SwaptionShift))))))</f>
        <v/>
      </c>
      <c r="FV193" s="469" t="str">
        <f ca="1">IF(OR(FV$169&lt;SwaptionFirstMonthPosition+1,$FN193&lt;SwaptionFirstMonthPosition+1,FV$169&gt;SwaptionFirstMonthPosition+SwaptionNumOfMonths+1,$FN193&gt;SwaptionFirstMonthPosition+SwaptionNumOfMonths+1),"",IF($FN193=FV$169,1,IF($FN193&lt;FV$169,INDEX($FO$170:$IH$241,FV$169,$FN193),SUMPRODUCT(INDEX($FO$325:$IH$396,FV$169,1+SwaptionShift):INDEX($FO$325:$IH$396,FV$169,SwaptionMonthsToGo+SwaptionShift),INDEX($FO$245:$IH$316,$FN193-FV$169,73-FV$169+SwaptionShift):INDEX($FO$245:$IH$316,$FN193-FV$169,72-FV$169+SwaptionMonthsToGo+SwaptionShift))/SQRT(SUM(INDEX($FO348:$IH348,1+SwaptionShift):INDEX($FO348:$IH348,SwaptionMonthsToGo+SwaptionShift))*SUM(INDEX($FO$325:$IH$396,FV$169,1+SwaptionShift):INDEX($FO$325:$IH$396,FV$169,SwaptionMonthsToGo+SwaptionShift))))))</f>
        <v/>
      </c>
      <c r="FW193" s="469" t="str">
        <f ca="1">IF(OR(FW$169&lt;SwaptionFirstMonthPosition+1,$FN193&lt;SwaptionFirstMonthPosition+1,FW$169&gt;SwaptionFirstMonthPosition+SwaptionNumOfMonths+1,$FN193&gt;SwaptionFirstMonthPosition+SwaptionNumOfMonths+1),"",IF($FN193=FW$169,1,IF($FN193&lt;FW$169,INDEX($FO$170:$IH$241,FW$169,$FN193),SUMPRODUCT(INDEX($FO$325:$IH$396,FW$169,1+SwaptionShift):INDEX($FO$325:$IH$396,FW$169,SwaptionMonthsToGo+SwaptionShift),INDEX($FO$245:$IH$316,$FN193-FW$169,73-FW$169+SwaptionShift):INDEX($FO$245:$IH$316,$FN193-FW$169,72-FW$169+SwaptionMonthsToGo+SwaptionShift))/SQRT(SUM(INDEX($FO348:$IH348,1+SwaptionShift):INDEX($FO348:$IH348,SwaptionMonthsToGo+SwaptionShift))*SUM(INDEX($FO$325:$IH$396,FW$169,1+SwaptionShift):INDEX($FO$325:$IH$396,FW$169,SwaptionMonthsToGo+SwaptionShift))))))</f>
        <v/>
      </c>
      <c r="FX193" s="469" t="str">
        <f ca="1">IF(OR(FX$169&lt;SwaptionFirstMonthPosition+1,$FN193&lt;SwaptionFirstMonthPosition+1,FX$169&gt;SwaptionFirstMonthPosition+SwaptionNumOfMonths+1,$FN193&gt;SwaptionFirstMonthPosition+SwaptionNumOfMonths+1),"",IF($FN193=FX$169,1,IF($FN193&lt;FX$169,INDEX($FO$170:$IH$241,FX$169,$FN193),SUMPRODUCT(INDEX($FO$325:$IH$396,FX$169,1+SwaptionShift):INDEX($FO$325:$IH$396,FX$169,SwaptionMonthsToGo+SwaptionShift),INDEX($FO$245:$IH$316,$FN193-FX$169,73-FX$169+SwaptionShift):INDEX($FO$245:$IH$316,$FN193-FX$169,72-FX$169+SwaptionMonthsToGo+SwaptionShift))/SQRT(SUM(INDEX($FO348:$IH348,1+SwaptionShift):INDEX($FO348:$IH348,SwaptionMonthsToGo+SwaptionShift))*SUM(INDEX($FO$325:$IH$396,FX$169,1+SwaptionShift):INDEX($FO$325:$IH$396,FX$169,SwaptionMonthsToGo+SwaptionShift))))))</f>
        <v/>
      </c>
      <c r="FY193" s="469" t="str">
        <f ca="1">IF(OR(FY$169&lt;SwaptionFirstMonthPosition+1,$FN193&lt;SwaptionFirstMonthPosition+1,FY$169&gt;SwaptionFirstMonthPosition+SwaptionNumOfMonths+1,$FN193&gt;SwaptionFirstMonthPosition+SwaptionNumOfMonths+1),"",IF($FN193=FY$169,1,IF($FN193&lt;FY$169,INDEX($FO$170:$IH$241,FY$169,$FN193),SUMPRODUCT(INDEX($FO$325:$IH$396,FY$169,1+SwaptionShift):INDEX($FO$325:$IH$396,FY$169,SwaptionMonthsToGo+SwaptionShift),INDEX($FO$245:$IH$316,$FN193-FY$169,73-FY$169+SwaptionShift):INDEX($FO$245:$IH$316,$FN193-FY$169,72-FY$169+SwaptionMonthsToGo+SwaptionShift))/SQRT(SUM(INDEX($FO348:$IH348,1+SwaptionShift):INDEX($FO348:$IH348,SwaptionMonthsToGo+SwaptionShift))*SUM(INDEX($FO$325:$IH$396,FY$169,1+SwaptionShift):INDEX($FO$325:$IH$396,FY$169,SwaptionMonthsToGo+SwaptionShift))))))</f>
        <v/>
      </c>
      <c r="FZ193" s="469" t="str">
        <f ca="1">IF(OR(FZ$169&lt;SwaptionFirstMonthPosition+1,$FN193&lt;SwaptionFirstMonthPosition+1,FZ$169&gt;SwaptionFirstMonthPosition+SwaptionNumOfMonths+1,$FN193&gt;SwaptionFirstMonthPosition+SwaptionNumOfMonths+1),"",IF($FN193=FZ$169,1,IF($FN193&lt;FZ$169,INDEX($FO$170:$IH$241,FZ$169,$FN193),SUMPRODUCT(INDEX($FO$325:$IH$396,FZ$169,1+SwaptionShift):INDEX($FO$325:$IH$396,FZ$169,SwaptionMonthsToGo+SwaptionShift),INDEX($FO$245:$IH$316,$FN193-FZ$169,73-FZ$169+SwaptionShift):INDEX($FO$245:$IH$316,$FN193-FZ$169,72-FZ$169+SwaptionMonthsToGo+SwaptionShift))/SQRT(SUM(INDEX($FO348:$IH348,1+SwaptionShift):INDEX($FO348:$IH348,SwaptionMonthsToGo+SwaptionShift))*SUM(INDEX($FO$325:$IH$396,FZ$169,1+SwaptionShift):INDEX($FO$325:$IH$396,FZ$169,SwaptionMonthsToGo+SwaptionShift))))))</f>
        <v/>
      </c>
      <c r="GA193" s="469" t="str">
        <f ca="1">IF(OR(GA$169&lt;SwaptionFirstMonthPosition+1,$FN193&lt;SwaptionFirstMonthPosition+1,GA$169&gt;SwaptionFirstMonthPosition+SwaptionNumOfMonths+1,$FN193&gt;SwaptionFirstMonthPosition+SwaptionNumOfMonths+1),"",IF($FN193=GA$169,1,IF($FN193&lt;GA$169,INDEX($FO$170:$IH$241,GA$169,$FN193),SUMPRODUCT(INDEX($FO$325:$IH$396,GA$169,1+SwaptionShift):INDEX($FO$325:$IH$396,GA$169,SwaptionMonthsToGo+SwaptionShift),INDEX($FO$245:$IH$316,$FN193-GA$169,73-GA$169+SwaptionShift):INDEX($FO$245:$IH$316,$FN193-GA$169,72-GA$169+SwaptionMonthsToGo+SwaptionShift))/SQRT(SUM(INDEX($FO348:$IH348,1+SwaptionShift):INDEX($FO348:$IH348,SwaptionMonthsToGo+SwaptionShift))*SUM(INDEX($FO$325:$IH$396,GA$169,1+SwaptionShift):INDEX($FO$325:$IH$396,GA$169,SwaptionMonthsToGo+SwaptionShift))))))</f>
        <v/>
      </c>
      <c r="GB193" s="469" t="str">
        <f ca="1">IF(OR(GB$169&lt;SwaptionFirstMonthPosition+1,$FN193&lt;SwaptionFirstMonthPosition+1,GB$169&gt;SwaptionFirstMonthPosition+SwaptionNumOfMonths+1,$FN193&gt;SwaptionFirstMonthPosition+SwaptionNumOfMonths+1),"",IF($FN193=GB$169,1,IF($FN193&lt;GB$169,INDEX($FO$170:$IH$241,GB$169,$FN193),SUMPRODUCT(INDEX($FO$325:$IH$396,GB$169,1+SwaptionShift):INDEX($FO$325:$IH$396,GB$169,SwaptionMonthsToGo+SwaptionShift),INDEX($FO$245:$IH$316,$FN193-GB$169,73-GB$169+SwaptionShift):INDEX($FO$245:$IH$316,$FN193-GB$169,72-GB$169+SwaptionMonthsToGo+SwaptionShift))/SQRT(SUM(INDEX($FO348:$IH348,1+SwaptionShift):INDEX($FO348:$IH348,SwaptionMonthsToGo+SwaptionShift))*SUM(INDEX($FO$325:$IH$396,GB$169,1+SwaptionShift):INDEX($FO$325:$IH$396,GB$169,SwaptionMonthsToGo+SwaptionShift))))))</f>
        <v/>
      </c>
      <c r="GC193" s="469" t="str">
        <f ca="1">IF(OR(GC$169&lt;SwaptionFirstMonthPosition+1,$FN193&lt;SwaptionFirstMonthPosition+1,GC$169&gt;SwaptionFirstMonthPosition+SwaptionNumOfMonths+1,$FN193&gt;SwaptionFirstMonthPosition+SwaptionNumOfMonths+1),"",IF($FN193=GC$169,1,IF($FN193&lt;GC$169,INDEX($FO$170:$IH$241,GC$169,$FN193),SUMPRODUCT(INDEX($FO$325:$IH$396,GC$169,1+SwaptionShift):INDEX($FO$325:$IH$396,GC$169,SwaptionMonthsToGo+SwaptionShift),INDEX($FO$245:$IH$316,$FN193-GC$169,73-GC$169+SwaptionShift):INDEX($FO$245:$IH$316,$FN193-GC$169,72-GC$169+SwaptionMonthsToGo+SwaptionShift))/SQRT(SUM(INDEX($FO348:$IH348,1+SwaptionShift):INDEX($FO348:$IH348,SwaptionMonthsToGo+SwaptionShift))*SUM(INDEX($FO$325:$IH$396,GC$169,1+SwaptionShift):INDEX($FO$325:$IH$396,GC$169,SwaptionMonthsToGo+SwaptionShift))))))</f>
        <v/>
      </c>
      <c r="GD193" s="469" t="str">
        <f ca="1">IF(OR(GD$169&lt;SwaptionFirstMonthPosition+1,$FN193&lt;SwaptionFirstMonthPosition+1,GD$169&gt;SwaptionFirstMonthPosition+SwaptionNumOfMonths+1,$FN193&gt;SwaptionFirstMonthPosition+SwaptionNumOfMonths+1),"",IF($FN193=GD$169,1,IF($FN193&lt;GD$169,INDEX($FO$170:$IH$241,GD$169,$FN193),SUMPRODUCT(INDEX($FO$325:$IH$396,GD$169,1+SwaptionShift):INDEX($FO$325:$IH$396,GD$169,SwaptionMonthsToGo+SwaptionShift),INDEX($FO$245:$IH$316,$FN193-GD$169,73-GD$169+SwaptionShift):INDEX($FO$245:$IH$316,$FN193-GD$169,72-GD$169+SwaptionMonthsToGo+SwaptionShift))/SQRT(SUM(INDEX($FO348:$IH348,1+SwaptionShift):INDEX($FO348:$IH348,SwaptionMonthsToGo+SwaptionShift))*SUM(INDEX($FO$325:$IH$396,GD$169,1+SwaptionShift):INDEX($FO$325:$IH$396,GD$169,SwaptionMonthsToGo+SwaptionShift))))))</f>
        <v/>
      </c>
      <c r="GE193" s="469" t="str">
        <f ca="1">IF(OR(GE$169&lt;SwaptionFirstMonthPosition+1,$FN193&lt;SwaptionFirstMonthPosition+1,GE$169&gt;SwaptionFirstMonthPosition+SwaptionNumOfMonths+1,$FN193&gt;SwaptionFirstMonthPosition+SwaptionNumOfMonths+1),"",IF($FN193=GE$169,1,IF($FN193&lt;GE$169,INDEX($FO$170:$IH$241,GE$169,$FN193),SUMPRODUCT(INDEX($FO$325:$IH$396,GE$169,1+SwaptionShift):INDEX($FO$325:$IH$396,GE$169,SwaptionMonthsToGo+SwaptionShift),INDEX($FO$245:$IH$316,$FN193-GE$169,73-GE$169+SwaptionShift):INDEX($FO$245:$IH$316,$FN193-GE$169,72-GE$169+SwaptionMonthsToGo+SwaptionShift))/SQRT(SUM(INDEX($FO348:$IH348,1+SwaptionShift):INDEX($FO348:$IH348,SwaptionMonthsToGo+SwaptionShift))*SUM(INDEX($FO$325:$IH$396,GE$169,1+SwaptionShift):INDEX($FO$325:$IH$396,GE$169,SwaptionMonthsToGo+SwaptionShift))))))</f>
        <v/>
      </c>
      <c r="GF193" s="469" t="str">
        <f ca="1">IF(OR(GF$169&lt;SwaptionFirstMonthPosition+1,$FN193&lt;SwaptionFirstMonthPosition+1,GF$169&gt;SwaptionFirstMonthPosition+SwaptionNumOfMonths+1,$FN193&gt;SwaptionFirstMonthPosition+SwaptionNumOfMonths+1),"",IF($FN193=GF$169,1,IF($FN193&lt;GF$169,INDEX($FO$170:$IH$241,GF$169,$FN193),SUMPRODUCT(INDEX($FO$325:$IH$396,GF$169,1+SwaptionShift):INDEX($FO$325:$IH$396,GF$169,SwaptionMonthsToGo+SwaptionShift),INDEX($FO$245:$IH$316,$FN193-GF$169,73-GF$169+SwaptionShift):INDEX($FO$245:$IH$316,$FN193-GF$169,72-GF$169+SwaptionMonthsToGo+SwaptionShift))/SQRT(SUM(INDEX($FO348:$IH348,1+SwaptionShift):INDEX($FO348:$IH348,SwaptionMonthsToGo+SwaptionShift))*SUM(INDEX($FO$325:$IH$396,GF$169,1+SwaptionShift):INDEX($FO$325:$IH$396,GF$169,SwaptionMonthsToGo+SwaptionShift))))))</f>
        <v/>
      </c>
      <c r="GG193" s="469" t="str">
        <f ca="1">IF(OR(GG$169&lt;SwaptionFirstMonthPosition+1,$FN193&lt;SwaptionFirstMonthPosition+1,GG$169&gt;SwaptionFirstMonthPosition+SwaptionNumOfMonths+1,$FN193&gt;SwaptionFirstMonthPosition+SwaptionNumOfMonths+1),"",IF($FN193=GG$169,1,IF($FN193&lt;GG$169,INDEX($FO$170:$IH$241,GG$169,$FN193),SUMPRODUCT(INDEX($FO$325:$IH$396,GG$169,1+SwaptionShift):INDEX($FO$325:$IH$396,GG$169,SwaptionMonthsToGo+SwaptionShift),INDEX($FO$245:$IH$316,$FN193-GG$169,73-GG$169+SwaptionShift):INDEX($FO$245:$IH$316,$FN193-GG$169,72-GG$169+SwaptionMonthsToGo+SwaptionShift))/SQRT(SUM(INDEX($FO348:$IH348,1+SwaptionShift):INDEX($FO348:$IH348,SwaptionMonthsToGo+SwaptionShift))*SUM(INDEX($FO$325:$IH$396,GG$169,1+SwaptionShift):INDEX($FO$325:$IH$396,GG$169,SwaptionMonthsToGo+SwaptionShift))))))</f>
        <v/>
      </c>
      <c r="GH193" s="469" t="str">
        <f ca="1">IF(OR(GH$169&lt;SwaptionFirstMonthPosition+1,$FN193&lt;SwaptionFirstMonthPosition+1,GH$169&gt;SwaptionFirstMonthPosition+SwaptionNumOfMonths+1,$FN193&gt;SwaptionFirstMonthPosition+SwaptionNumOfMonths+1),"",IF($FN193=GH$169,1,IF($FN193&lt;GH$169,INDEX($FO$170:$IH$241,GH$169,$FN193),SUMPRODUCT(INDEX($FO$325:$IH$396,GH$169,1+SwaptionShift):INDEX($FO$325:$IH$396,GH$169,SwaptionMonthsToGo+SwaptionShift),INDEX($FO$245:$IH$316,$FN193-GH$169,73-GH$169+SwaptionShift):INDEX($FO$245:$IH$316,$FN193-GH$169,72-GH$169+SwaptionMonthsToGo+SwaptionShift))/SQRT(SUM(INDEX($FO348:$IH348,1+SwaptionShift):INDEX($FO348:$IH348,SwaptionMonthsToGo+SwaptionShift))*SUM(INDEX($FO$325:$IH$396,GH$169,1+SwaptionShift):INDEX($FO$325:$IH$396,GH$169,SwaptionMonthsToGo+SwaptionShift))))))</f>
        <v/>
      </c>
      <c r="GI193" s="469" t="str">
        <f ca="1">IF(OR(GI$169&lt;SwaptionFirstMonthPosition+1,$FN193&lt;SwaptionFirstMonthPosition+1,GI$169&gt;SwaptionFirstMonthPosition+SwaptionNumOfMonths+1,$FN193&gt;SwaptionFirstMonthPosition+SwaptionNumOfMonths+1),"",IF($FN193=GI$169,1,IF($FN193&lt;GI$169,INDEX($FO$170:$IH$241,GI$169,$FN193),SUMPRODUCT(INDEX($FO$325:$IH$396,GI$169,1+SwaptionShift):INDEX($FO$325:$IH$396,GI$169,SwaptionMonthsToGo+SwaptionShift),INDEX($FO$245:$IH$316,$FN193-GI$169,73-GI$169+SwaptionShift):INDEX($FO$245:$IH$316,$FN193-GI$169,72-GI$169+SwaptionMonthsToGo+SwaptionShift))/SQRT(SUM(INDEX($FO348:$IH348,1+SwaptionShift):INDEX($FO348:$IH348,SwaptionMonthsToGo+SwaptionShift))*SUM(INDEX($FO$325:$IH$396,GI$169,1+SwaptionShift):INDEX($FO$325:$IH$396,GI$169,SwaptionMonthsToGo+SwaptionShift))))))</f>
        <v/>
      </c>
      <c r="GJ193" s="469" t="str">
        <f ca="1">IF(OR(GJ$169&lt;SwaptionFirstMonthPosition+1,$FN193&lt;SwaptionFirstMonthPosition+1,GJ$169&gt;SwaptionFirstMonthPosition+SwaptionNumOfMonths+1,$FN193&gt;SwaptionFirstMonthPosition+SwaptionNumOfMonths+1),"",IF($FN193=GJ$169,1,IF($FN193&lt;GJ$169,INDEX($FO$170:$IH$241,GJ$169,$FN193),SUMPRODUCT(INDEX($FO$325:$IH$396,GJ$169,1+SwaptionShift):INDEX($FO$325:$IH$396,GJ$169,SwaptionMonthsToGo+SwaptionShift),INDEX($FO$245:$IH$316,$FN193-GJ$169,73-GJ$169+SwaptionShift):INDEX($FO$245:$IH$316,$FN193-GJ$169,72-GJ$169+SwaptionMonthsToGo+SwaptionShift))/SQRT(SUM(INDEX($FO348:$IH348,1+SwaptionShift):INDEX($FO348:$IH348,SwaptionMonthsToGo+SwaptionShift))*SUM(INDEX($FO$325:$IH$396,GJ$169,1+SwaptionShift):INDEX($FO$325:$IH$396,GJ$169,SwaptionMonthsToGo+SwaptionShift))))))</f>
        <v/>
      </c>
      <c r="GK193" s="469" t="str">
        <f ca="1">IF(OR(GK$169&lt;SwaptionFirstMonthPosition+1,$FN193&lt;SwaptionFirstMonthPosition+1,GK$169&gt;SwaptionFirstMonthPosition+SwaptionNumOfMonths+1,$FN193&gt;SwaptionFirstMonthPosition+SwaptionNumOfMonths+1),"",IF($FN193=GK$169,1,IF($FN193&lt;GK$169,INDEX($FO$170:$IH$241,GK$169,$FN193),SUMPRODUCT(INDEX($FO$325:$IH$396,GK$169,1+SwaptionShift):INDEX($FO$325:$IH$396,GK$169,SwaptionMonthsToGo+SwaptionShift),INDEX($FO$245:$IH$316,$FN193-GK$169,73-GK$169+SwaptionShift):INDEX($FO$245:$IH$316,$FN193-GK$169,72-GK$169+SwaptionMonthsToGo+SwaptionShift))/SQRT(SUM(INDEX($FO348:$IH348,1+SwaptionShift):INDEX($FO348:$IH348,SwaptionMonthsToGo+SwaptionShift))*SUM(INDEX($FO$325:$IH$396,GK$169,1+SwaptionShift):INDEX($FO$325:$IH$396,GK$169,SwaptionMonthsToGo+SwaptionShift))))))</f>
        <v/>
      </c>
      <c r="GL193" s="469" t="str">
        <f ca="1">IF(OR(GL$169&lt;SwaptionFirstMonthPosition+1,$FN193&lt;SwaptionFirstMonthPosition+1,GL$169&gt;SwaptionFirstMonthPosition+SwaptionNumOfMonths+1,$FN193&gt;SwaptionFirstMonthPosition+SwaptionNumOfMonths+1),"",IF($FN193=GL$169,1,IF($FN193&lt;GL$169,INDEX($FO$170:$IH$241,GL$169,$FN193),SUMPRODUCT(INDEX($FO$325:$IH$396,GL$169,1+SwaptionShift):INDEX($FO$325:$IH$396,GL$169,SwaptionMonthsToGo+SwaptionShift),INDEX($FO$245:$IH$316,$FN193-GL$169,73-GL$169+SwaptionShift):INDEX($FO$245:$IH$316,$FN193-GL$169,72-GL$169+SwaptionMonthsToGo+SwaptionShift))/SQRT(SUM(INDEX($FO348:$IH348,1+SwaptionShift):INDEX($FO348:$IH348,SwaptionMonthsToGo+SwaptionShift))*SUM(INDEX($FO$325:$IH$396,GL$169,1+SwaptionShift):INDEX($FO$325:$IH$396,GL$169,SwaptionMonthsToGo+SwaptionShift))))))</f>
        <v/>
      </c>
      <c r="GM193" s="469" t="str">
        <f ca="1">IF(OR(GM$169&lt;SwaptionFirstMonthPosition+1,$FN193&lt;SwaptionFirstMonthPosition+1,GM$169&gt;SwaptionFirstMonthPosition+SwaptionNumOfMonths+1,$FN193&gt;SwaptionFirstMonthPosition+SwaptionNumOfMonths+1),"",IF($FN193=GM$169,1,IF($FN193&lt;GM$169,INDEX($FO$170:$IH$241,GM$169,$FN193),SUMPRODUCT(INDEX($FO$325:$IH$396,GM$169,1+SwaptionShift):INDEX($FO$325:$IH$396,GM$169,SwaptionMonthsToGo+SwaptionShift),INDEX($FO$245:$IH$316,$FN193-GM$169,73-GM$169+SwaptionShift):INDEX($FO$245:$IH$316,$FN193-GM$169,72-GM$169+SwaptionMonthsToGo+SwaptionShift))/SQRT(SUM(INDEX($FO348:$IH348,1+SwaptionShift):INDEX($FO348:$IH348,SwaptionMonthsToGo+SwaptionShift))*SUM(INDEX($FO$325:$IH$396,GM$169,1+SwaptionShift):INDEX($FO$325:$IH$396,GM$169,SwaptionMonthsToGo+SwaptionShift))))))</f>
        <v/>
      </c>
      <c r="GN193" s="469" t="str">
        <f ca="1">IF(OR(GN$169&lt;SwaptionFirstMonthPosition+1,$FN193&lt;SwaptionFirstMonthPosition+1,GN$169&gt;SwaptionFirstMonthPosition+SwaptionNumOfMonths+1,$FN193&gt;SwaptionFirstMonthPosition+SwaptionNumOfMonths+1),"",IF($FN193=GN$169,1,IF($FN193&lt;GN$169,INDEX($FO$170:$IH$241,GN$169,$FN193),SUMPRODUCT(INDEX($FO$325:$IH$396,GN$169,1+SwaptionShift):INDEX($FO$325:$IH$396,GN$169,SwaptionMonthsToGo+SwaptionShift),INDEX($FO$245:$IH$316,$FN193-GN$169,73-GN$169+SwaptionShift):INDEX($FO$245:$IH$316,$FN193-GN$169,72-GN$169+SwaptionMonthsToGo+SwaptionShift))/SQRT(SUM(INDEX($FO348:$IH348,1+SwaptionShift):INDEX($FO348:$IH348,SwaptionMonthsToGo+SwaptionShift))*SUM(INDEX($FO$325:$IH$396,GN$169,1+SwaptionShift):INDEX($FO$325:$IH$396,GN$169,SwaptionMonthsToGo+SwaptionShift))))))</f>
        <v/>
      </c>
      <c r="GO193" s="469" t="str">
        <f ca="1">IF(OR(GO$169&lt;SwaptionFirstMonthPosition+1,$FN193&lt;SwaptionFirstMonthPosition+1,GO$169&gt;SwaptionFirstMonthPosition+SwaptionNumOfMonths+1,$FN193&gt;SwaptionFirstMonthPosition+SwaptionNumOfMonths+1),"",IF($FN193=GO$169,1,IF($FN193&lt;GO$169,INDEX($FO$170:$IH$241,GO$169,$FN193),SUMPRODUCT(INDEX($FO$325:$IH$396,GO$169,1+SwaptionShift):INDEX($FO$325:$IH$396,GO$169,SwaptionMonthsToGo+SwaptionShift),INDEX($FO$245:$IH$316,$FN193-GO$169,73-GO$169+SwaptionShift):INDEX($FO$245:$IH$316,$FN193-GO$169,72-GO$169+SwaptionMonthsToGo+SwaptionShift))/SQRT(SUM(INDEX($FO348:$IH348,1+SwaptionShift):INDEX($FO348:$IH348,SwaptionMonthsToGo+SwaptionShift))*SUM(INDEX($FO$325:$IH$396,GO$169,1+SwaptionShift):INDEX($FO$325:$IH$396,GO$169,SwaptionMonthsToGo+SwaptionShift))))))</f>
        <v/>
      </c>
      <c r="GP193" s="469" t="str">
        <f ca="1">IF(OR(GP$169&lt;SwaptionFirstMonthPosition+1,$FN193&lt;SwaptionFirstMonthPosition+1,GP$169&gt;SwaptionFirstMonthPosition+SwaptionNumOfMonths+1,$FN193&gt;SwaptionFirstMonthPosition+SwaptionNumOfMonths+1),"",IF($FN193=GP$169,1,IF($FN193&lt;GP$169,INDEX($FO$170:$IH$241,GP$169,$FN193),SUMPRODUCT(INDEX($FO$325:$IH$396,GP$169,1+SwaptionShift):INDEX($FO$325:$IH$396,GP$169,SwaptionMonthsToGo+SwaptionShift),INDEX($FO$245:$IH$316,$FN193-GP$169,73-GP$169+SwaptionShift):INDEX($FO$245:$IH$316,$FN193-GP$169,72-GP$169+SwaptionMonthsToGo+SwaptionShift))/SQRT(SUM(INDEX($FO348:$IH348,1+SwaptionShift):INDEX($FO348:$IH348,SwaptionMonthsToGo+SwaptionShift))*SUM(INDEX($FO$325:$IH$396,GP$169,1+SwaptionShift):INDEX($FO$325:$IH$396,GP$169,SwaptionMonthsToGo+SwaptionShift))))))</f>
        <v/>
      </c>
      <c r="GQ193" s="469" t="str">
        <f ca="1">IF(OR(GQ$169&lt;SwaptionFirstMonthPosition+1,$FN193&lt;SwaptionFirstMonthPosition+1,GQ$169&gt;SwaptionFirstMonthPosition+SwaptionNumOfMonths+1,$FN193&gt;SwaptionFirstMonthPosition+SwaptionNumOfMonths+1),"",IF($FN193=GQ$169,1,IF($FN193&lt;GQ$169,INDEX($FO$170:$IH$241,GQ$169,$FN193),SUMPRODUCT(INDEX($FO$325:$IH$396,GQ$169,1+SwaptionShift):INDEX($FO$325:$IH$396,GQ$169,SwaptionMonthsToGo+SwaptionShift),INDEX($FO$245:$IH$316,$FN193-GQ$169,73-GQ$169+SwaptionShift):INDEX($FO$245:$IH$316,$FN193-GQ$169,72-GQ$169+SwaptionMonthsToGo+SwaptionShift))/SQRT(SUM(INDEX($FO348:$IH348,1+SwaptionShift):INDEX($FO348:$IH348,SwaptionMonthsToGo+SwaptionShift))*SUM(INDEX($FO$325:$IH$396,GQ$169,1+SwaptionShift):INDEX($FO$325:$IH$396,GQ$169,SwaptionMonthsToGo+SwaptionShift))))))</f>
        <v/>
      </c>
      <c r="GR193" s="469" t="str">
        <f ca="1">IF(OR(GR$169&lt;SwaptionFirstMonthPosition+1,$FN193&lt;SwaptionFirstMonthPosition+1,GR$169&gt;SwaptionFirstMonthPosition+SwaptionNumOfMonths+1,$FN193&gt;SwaptionFirstMonthPosition+SwaptionNumOfMonths+1),"",IF($FN193=GR$169,1,IF($FN193&lt;GR$169,INDEX($FO$170:$IH$241,GR$169,$FN193),SUMPRODUCT(INDEX($FO$325:$IH$396,GR$169,1+SwaptionShift):INDEX($FO$325:$IH$396,GR$169,SwaptionMonthsToGo+SwaptionShift),INDEX($FO$245:$IH$316,$FN193-GR$169,73-GR$169+SwaptionShift):INDEX($FO$245:$IH$316,$FN193-GR$169,72-GR$169+SwaptionMonthsToGo+SwaptionShift))/SQRT(SUM(INDEX($FO348:$IH348,1+SwaptionShift):INDEX($FO348:$IH348,SwaptionMonthsToGo+SwaptionShift))*SUM(INDEX($FO$325:$IH$396,GR$169,1+SwaptionShift):INDEX($FO$325:$IH$396,GR$169,SwaptionMonthsToGo+SwaptionShift))))))</f>
        <v/>
      </c>
      <c r="GS193" s="469" t="str">
        <f ca="1">IF(OR(GS$169&lt;SwaptionFirstMonthPosition+1,$FN193&lt;SwaptionFirstMonthPosition+1,GS$169&gt;SwaptionFirstMonthPosition+SwaptionNumOfMonths+1,$FN193&gt;SwaptionFirstMonthPosition+SwaptionNumOfMonths+1),"",IF($FN193=GS$169,1,IF($FN193&lt;GS$169,INDEX($FO$170:$IH$241,GS$169,$FN193),SUMPRODUCT(INDEX($FO$325:$IH$396,GS$169,1+SwaptionShift):INDEX($FO$325:$IH$396,GS$169,SwaptionMonthsToGo+SwaptionShift),INDEX($FO$245:$IH$316,$FN193-GS$169,73-GS$169+SwaptionShift):INDEX($FO$245:$IH$316,$FN193-GS$169,72-GS$169+SwaptionMonthsToGo+SwaptionShift))/SQRT(SUM(INDEX($FO348:$IH348,1+SwaptionShift):INDEX($FO348:$IH348,SwaptionMonthsToGo+SwaptionShift))*SUM(INDEX($FO$325:$IH$396,GS$169,1+SwaptionShift):INDEX($FO$325:$IH$396,GS$169,SwaptionMonthsToGo+SwaptionShift))))))</f>
        <v/>
      </c>
      <c r="GT193" s="469" t="str">
        <f ca="1">IF(OR(GT$169&lt;SwaptionFirstMonthPosition+1,$FN193&lt;SwaptionFirstMonthPosition+1,GT$169&gt;SwaptionFirstMonthPosition+SwaptionNumOfMonths+1,$FN193&gt;SwaptionFirstMonthPosition+SwaptionNumOfMonths+1),"",IF($FN193=GT$169,1,IF($FN193&lt;GT$169,INDEX($FO$170:$IH$241,GT$169,$FN193),SUMPRODUCT(INDEX($FO$325:$IH$396,GT$169,1+SwaptionShift):INDEX($FO$325:$IH$396,GT$169,SwaptionMonthsToGo+SwaptionShift),INDEX($FO$245:$IH$316,$FN193-GT$169,73-GT$169+SwaptionShift):INDEX($FO$245:$IH$316,$FN193-GT$169,72-GT$169+SwaptionMonthsToGo+SwaptionShift))/SQRT(SUM(INDEX($FO348:$IH348,1+SwaptionShift):INDEX($FO348:$IH348,SwaptionMonthsToGo+SwaptionShift))*SUM(INDEX($FO$325:$IH$396,GT$169,1+SwaptionShift):INDEX($FO$325:$IH$396,GT$169,SwaptionMonthsToGo+SwaptionShift))))))</f>
        <v/>
      </c>
      <c r="GU193" s="469" t="str">
        <f ca="1">IF(OR(GU$169&lt;SwaptionFirstMonthPosition+1,$FN193&lt;SwaptionFirstMonthPosition+1,GU$169&gt;SwaptionFirstMonthPosition+SwaptionNumOfMonths+1,$FN193&gt;SwaptionFirstMonthPosition+SwaptionNumOfMonths+1),"",IF($FN193=GU$169,1,IF($FN193&lt;GU$169,INDEX($FO$170:$IH$241,GU$169,$FN193),SUMPRODUCT(INDEX($FO$325:$IH$396,GU$169,1+SwaptionShift):INDEX($FO$325:$IH$396,GU$169,SwaptionMonthsToGo+SwaptionShift),INDEX($FO$245:$IH$316,$FN193-GU$169,73-GU$169+SwaptionShift):INDEX($FO$245:$IH$316,$FN193-GU$169,72-GU$169+SwaptionMonthsToGo+SwaptionShift))/SQRT(SUM(INDEX($FO348:$IH348,1+SwaptionShift):INDEX($FO348:$IH348,SwaptionMonthsToGo+SwaptionShift))*SUM(INDEX($FO$325:$IH$396,GU$169,1+SwaptionShift):INDEX($FO$325:$IH$396,GU$169,SwaptionMonthsToGo+SwaptionShift))))))</f>
        <v/>
      </c>
      <c r="GV193" s="469" t="str">
        <f ca="1">IF(OR(GV$169&lt;SwaptionFirstMonthPosition+1,$FN193&lt;SwaptionFirstMonthPosition+1,GV$169&gt;SwaptionFirstMonthPosition+SwaptionNumOfMonths+1,$FN193&gt;SwaptionFirstMonthPosition+SwaptionNumOfMonths+1),"",IF($FN193=GV$169,1,IF($FN193&lt;GV$169,INDEX($FO$170:$IH$241,GV$169,$FN193),SUMPRODUCT(INDEX($FO$325:$IH$396,GV$169,1+SwaptionShift):INDEX($FO$325:$IH$396,GV$169,SwaptionMonthsToGo+SwaptionShift),INDEX($FO$245:$IH$316,$FN193-GV$169,73-GV$169+SwaptionShift):INDEX($FO$245:$IH$316,$FN193-GV$169,72-GV$169+SwaptionMonthsToGo+SwaptionShift))/SQRT(SUM(INDEX($FO348:$IH348,1+SwaptionShift):INDEX($FO348:$IH348,SwaptionMonthsToGo+SwaptionShift))*SUM(INDEX($FO$325:$IH$396,GV$169,1+SwaptionShift):INDEX($FO$325:$IH$396,GV$169,SwaptionMonthsToGo+SwaptionShift))))))</f>
        <v/>
      </c>
      <c r="GW193" s="469" t="str">
        <f ca="1">IF(OR(GW$169&lt;SwaptionFirstMonthPosition+1,$FN193&lt;SwaptionFirstMonthPosition+1,GW$169&gt;SwaptionFirstMonthPosition+SwaptionNumOfMonths+1,$FN193&gt;SwaptionFirstMonthPosition+SwaptionNumOfMonths+1),"",IF($FN193=GW$169,1,IF($FN193&lt;GW$169,INDEX($FO$170:$IH$241,GW$169,$FN193),SUMPRODUCT(INDEX($FO$325:$IH$396,GW$169,1+SwaptionShift):INDEX($FO$325:$IH$396,GW$169,SwaptionMonthsToGo+SwaptionShift),INDEX($FO$245:$IH$316,$FN193-GW$169,73-GW$169+SwaptionShift):INDEX($FO$245:$IH$316,$FN193-GW$169,72-GW$169+SwaptionMonthsToGo+SwaptionShift))/SQRT(SUM(INDEX($FO348:$IH348,1+SwaptionShift):INDEX($FO348:$IH348,SwaptionMonthsToGo+SwaptionShift))*SUM(INDEX($FO$325:$IH$396,GW$169,1+SwaptionShift):INDEX($FO$325:$IH$396,GW$169,SwaptionMonthsToGo+SwaptionShift))))))</f>
        <v/>
      </c>
      <c r="GX193" s="469" t="str">
        <f ca="1">IF(OR(GX$169&lt;SwaptionFirstMonthPosition+1,$FN193&lt;SwaptionFirstMonthPosition+1,GX$169&gt;SwaptionFirstMonthPosition+SwaptionNumOfMonths+1,$FN193&gt;SwaptionFirstMonthPosition+SwaptionNumOfMonths+1),"",IF($FN193=GX$169,1,IF($FN193&lt;GX$169,INDEX($FO$170:$IH$241,GX$169,$FN193),SUMPRODUCT(INDEX($FO$325:$IH$396,GX$169,1+SwaptionShift):INDEX($FO$325:$IH$396,GX$169,SwaptionMonthsToGo+SwaptionShift),INDEX($FO$245:$IH$316,$FN193-GX$169,73-GX$169+SwaptionShift):INDEX($FO$245:$IH$316,$FN193-GX$169,72-GX$169+SwaptionMonthsToGo+SwaptionShift))/SQRT(SUM(INDEX($FO348:$IH348,1+SwaptionShift):INDEX($FO348:$IH348,SwaptionMonthsToGo+SwaptionShift))*SUM(INDEX($FO$325:$IH$396,GX$169,1+SwaptionShift):INDEX($FO$325:$IH$396,GX$169,SwaptionMonthsToGo+SwaptionShift))))))</f>
        <v/>
      </c>
      <c r="GY193" s="469" t="str">
        <f ca="1">IF(OR(GY$169&lt;SwaptionFirstMonthPosition+1,$FN193&lt;SwaptionFirstMonthPosition+1,GY$169&gt;SwaptionFirstMonthPosition+SwaptionNumOfMonths+1,$FN193&gt;SwaptionFirstMonthPosition+SwaptionNumOfMonths+1),"",IF($FN193=GY$169,1,IF($FN193&lt;GY$169,INDEX($FO$170:$IH$241,GY$169,$FN193),SUMPRODUCT(INDEX($FO$325:$IH$396,GY$169,1+SwaptionShift):INDEX($FO$325:$IH$396,GY$169,SwaptionMonthsToGo+SwaptionShift),INDEX($FO$245:$IH$316,$FN193-GY$169,73-GY$169+SwaptionShift):INDEX($FO$245:$IH$316,$FN193-GY$169,72-GY$169+SwaptionMonthsToGo+SwaptionShift))/SQRT(SUM(INDEX($FO348:$IH348,1+SwaptionShift):INDEX($FO348:$IH348,SwaptionMonthsToGo+SwaptionShift))*SUM(INDEX($FO$325:$IH$396,GY$169,1+SwaptionShift):INDEX($FO$325:$IH$396,GY$169,SwaptionMonthsToGo+SwaptionShift))))))</f>
        <v/>
      </c>
      <c r="GZ193" s="469" t="str">
        <f ca="1">IF(OR(GZ$169&lt;SwaptionFirstMonthPosition+1,$FN193&lt;SwaptionFirstMonthPosition+1,GZ$169&gt;SwaptionFirstMonthPosition+SwaptionNumOfMonths+1,$FN193&gt;SwaptionFirstMonthPosition+SwaptionNumOfMonths+1),"",IF($FN193=GZ$169,1,IF($FN193&lt;GZ$169,INDEX($FO$170:$IH$241,GZ$169,$FN193),SUMPRODUCT(INDEX($FO$325:$IH$396,GZ$169,1+SwaptionShift):INDEX($FO$325:$IH$396,GZ$169,SwaptionMonthsToGo+SwaptionShift),INDEX($FO$245:$IH$316,$FN193-GZ$169,73-GZ$169+SwaptionShift):INDEX($FO$245:$IH$316,$FN193-GZ$169,72-GZ$169+SwaptionMonthsToGo+SwaptionShift))/SQRT(SUM(INDEX($FO348:$IH348,1+SwaptionShift):INDEX($FO348:$IH348,SwaptionMonthsToGo+SwaptionShift))*SUM(INDEX($FO$325:$IH$396,GZ$169,1+SwaptionShift):INDEX($FO$325:$IH$396,GZ$169,SwaptionMonthsToGo+SwaptionShift))))))</f>
        <v/>
      </c>
      <c r="HA193" s="469" t="str">
        <f ca="1">IF(OR(HA$169&lt;SwaptionFirstMonthPosition+1,$FN193&lt;SwaptionFirstMonthPosition+1,HA$169&gt;SwaptionFirstMonthPosition+SwaptionNumOfMonths+1,$FN193&gt;SwaptionFirstMonthPosition+SwaptionNumOfMonths+1),"",IF($FN193=HA$169,1,IF($FN193&lt;HA$169,INDEX($FO$170:$IH$241,HA$169,$FN193),SUMPRODUCT(INDEX($FO$325:$IH$396,HA$169,1+SwaptionShift):INDEX($FO$325:$IH$396,HA$169,SwaptionMonthsToGo+SwaptionShift),INDEX($FO$245:$IH$316,$FN193-HA$169,73-HA$169+SwaptionShift):INDEX($FO$245:$IH$316,$FN193-HA$169,72-HA$169+SwaptionMonthsToGo+SwaptionShift))/SQRT(SUM(INDEX($FO348:$IH348,1+SwaptionShift):INDEX($FO348:$IH348,SwaptionMonthsToGo+SwaptionShift))*SUM(INDEX($FO$325:$IH$396,HA$169,1+SwaptionShift):INDEX($FO$325:$IH$396,HA$169,SwaptionMonthsToGo+SwaptionShift))))))</f>
        <v/>
      </c>
      <c r="HB193" s="469" t="str">
        <f ca="1">IF(OR(HB$169&lt;SwaptionFirstMonthPosition+1,$FN193&lt;SwaptionFirstMonthPosition+1,HB$169&gt;SwaptionFirstMonthPosition+SwaptionNumOfMonths+1,$FN193&gt;SwaptionFirstMonthPosition+SwaptionNumOfMonths+1),"",IF($FN193=HB$169,1,IF($FN193&lt;HB$169,INDEX($FO$170:$IH$241,HB$169,$FN193),SUMPRODUCT(INDEX($FO$325:$IH$396,HB$169,1+SwaptionShift):INDEX($FO$325:$IH$396,HB$169,SwaptionMonthsToGo+SwaptionShift),INDEX($FO$245:$IH$316,$FN193-HB$169,73-HB$169+SwaptionShift):INDEX($FO$245:$IH$316,$FN193-HB$169,72-HB$169+SwaptionMonthsToGo+SwaptionShift))/SQRT(SUM(INDEX($FO348:$IH348,1+SwaptionShift):INDEX($FO348:$IH348,SwaptionMonthsToGo+SwaptionShift))*SUM(INDEX($FO$325:$IH$396,HB$169,1+SwaptionShift):INDEX($FO$325:$IH$396,HB$169,SwaptionMonthsToGo+SwaptionShift))))))</f>
        <v/>
      </c>
      <c r="HC193" s="469" t="str">
        <f ca="1">IF(OR(HC$169&lt;SwaptionFirstMonthPosition+1,$FN193&lt;SwaptionFirstMonthPosition+1,HC$169&gt;SwaptionFirstMonthPosition+SwaptionNumOfMonths+1,$FN193&gt;SwaptionFirstMonthPosition+SwaptionNumOfMonths+1),"",IF($FN193=HC$169,1,IF($FN193&lt;HC$169,INDEX($FO$170:$IH$241,HC$169,$FN193),SUMPRODUCT(INDEX($FO$325:$IH$396,HC$169,1+SwaptionShift):INDEX($FO$325:$IH$396,HC$169,SwaptionMonthsToGo+SwaptionShift),INDEX($FO$245:$IH$316,$FN193-HC$169,73-HC$169+SwaptionShift):INDEX($FO$245:$IH$316,$FN193-HC$169,72-HC$169+SwaptionMonthsToGo+SwaptionShift))/SQRT(SUM(INDEX($FO348:$IH348,1+SwaptionShift):INDEX($FO348:$IH348,SwaptionMonthsToGo+SwaptionShift))*SUM(INDEX($FO$325:$IH$396,HC$169,1+SwaptionShift):INDEX($FO$325:$IH$396,HC$169,SwaptionMonthsToGo+SwaptionShift))))))</f>
        <v/>
      </c>
      <c r="HD193" s="469" t="str">
        <f ca="1">IF(OR(HD$169&lt;SwaptionFirstMonthPosition+1,$FN193&lt;SwaptionFirstMonthPosition+1,HD$169&gt;SwaptionFirstMonthPosition+SwaptionNumOfMonths+1,$FN193&gt;SwaptionFirstMonthPosition+SwaptionNumOfMonths+1),"",IF($FN193=HD$169,1,IF($FN193&lt;HD$169,INDEX($FO$170:$IH$241,HD$169,$FN193),SUMPRODUCT(INDEX($FO$325:$IH$396,HD$169,1+SwaptionShift):INDEX($FO$325:$IH$396,HD$169,SwaptionMonthsToGo+SwaptionShift),INDEX($FO$245:$IH$316,$FN193-HD$169,73-HD$169+SwaptionShift):INDEX($FO$245:$IH$316,$FN193-HD$169,72-HD$169+SwaptionMonthsToGo+SwaptionShift))/SQRT(SUM(INDEX($FO348:$IH348,1+SwaptionShift):INDEX($FO348:$IH348,SwaptionMonthsToGo+SwaptionShift))*SUM(INDEX($FO$325:$IH$396,HD$169,1+SwaptionShift):INDEX($FO$325:$IH$396,HD$169,SwaptionMonthsToGo+SwaptionShift))))))</f>
        <v/>
      </c>
      <c r="HE193" s="469" t="str">
        <f ca="1">IF(OR(HE$169&lt;SwaptionFirstMonthPosition+1,$FN193&lt;SwaptionFirstMonthPosition+1,HE$169&gt;SwaptionFirstMonthPosition+SwaptionNumOfMonths+1,$FN193&gt;SwaptionFirstMonthPosition+SwaptionNumOfMonths+1),"",IF($FN193=HE$169,1,IF($FN193&lt;HE$169,INDEX($FO$170:$IH$241,HE$169,$FN193),SUMPRODUCT(INDEX($FO$325:$IH$396,HE$169,1+SwaptionShift):INDEX($FO$325:$IH$396,HE$169,SwaptionMonthsToGo+SwaptionShift),INDEX($FO$245:$IH$316,$FN193-HE$169,73-HE$169+SwaptionShift):INDEX($FO$245:$IH$316,$FN193-HE$169,72-HE$169+SwaptionMonthsToGo+SwaptionShift))/SQRT(SUM(INDEX($FO348:$IH348,1+SwaptionShift):INDEX($FO348:$IH348,SwaptionMonthsToGo+SwaptionShift))*SUM(INDEX($FO$325:$IH$396,HE$169,1+SwaptionShift):INDEX($FO$325:$IH$396,HE$169,SwaptionMonthsToGo+SwaptionShift))))))</f>
        <v/>
      </c>
      <c r="HF193" s="469" t="str">
        <f ca="1">IF(OR(HF$169&lt;SwaptionFirstMonthPosition+1,$FN193&lt;SwaptionFirstMonthPosition+1,HF$169&gt;SwaptionFirstMonthPosition+SwaptionNumOfMonths+1,$FN193&gt;SwaptionFirstMonthPosition+SwaptionNumOfMonths+1),"",IF($FN193=HF$169,1,IF($FN193&lt;HF$169,INDEX($FO$170:$IH$241,HF$169,$FN193),SUMPRODUCT(INDEX($FO$325:$IH$396,HF$169,1+SwaptionShift):INDEX($FO$325:$IH$396,HF$169,SwaptionMonthsToGo+SwaptionShift),INDEX($FO$245:$IH$316,$FN193-HF$169,73-HF$169+SwaptionShift):INDEX($FO$245:$IH$316,$FN193-HF$169,72-HF$169+SwaptionMonthsToGo+SwaptionShift))/SQRT(SUM(INDEX($FO348:$IH348,1+SwaptionShift):INDEX($FO348:$IH348,SwaptionMonthsToGo+SwaptionShift))*SUM(INDEX($FO$325:$IH$396,HF$169,1+SwaptionShift):INDEX($FO$325:$IH$396,HF$169,SwaptionMonthsToGo+SwaptionShift))))))</f>
        <v/>
      </c>
      <c r="HG193" s="469" t="str">
        <f ca="1">IF(OR(HG$169&lt;SwaptionFirstMonthPosition+1,$FN193&lt;SwaptionFirstMonthPosition+1,HG$169&gt;SwaptionFirstMonthPosition+SwaptionNumOfMonths+1,$FN193&gt;SwaptionFirstMonthPosition+SwaptionNumOfMonths+1),"",IF($FN193=HG$169,1,IF($FN193&lt;HG$169,INDEX($FO$170:$IH$241,HG$169,$FN193),SUMPRODUCT(INDEX($FO$325:$IH$396,HG$169,1+SwaptionShift):INDEX($FO$325:$IH$396,HG$169,SwaptionMonthsToGo+SwaptionShift),INDEX($FO$245:$IH$316,$FN193-HG$169,73-HG$169+SwaptionShift):INDEX($FO$245:$IH$316,$FN193-HG$169,72-HG$169+SwaptionMonthsToGo+SwaptionShift))/SQRT(SUM(INDEX($FO348:$IH348,1+SwaptionShift):INDEX($FO348:$IH348,SwaptionMonthsToGo+SwaptionShift))*SUM(INDEX($FO$325:$IH$396,HG$169,1+SwaptionShift):INDEX($FO$325:$IH$396,HG$169,SwaptionMonthsToGo+SwaptionShift))))))</f>
        <v/>
      </c>
      <c r="HH193" s="469" t="str">
        <f ca="1">IF(OR(HH$169&lt;SwaptionFirstMonthPosition+1,$FN193&lt;SwaptionFirstMonthPosition+1,HH$169&gt;SwaptionFirstMonthPosition+SwaptionNumOfMonths+1,$FN193&gt;SwaptionFirstMonthPosition+SwaptionNumOfMonths+1),"",IF($FN193=HH$169,1,IF($FN193&lt;HH$169,INDEX($FO$170:$IH$241,HH$169,$FN193),SUMPRODUCT(INDEX($FO$325:$IH$396,HH$169,1+SwaptionShift):INDEX($FO$325:$IH$396,HH$169,SwaptionMonthsToGo+SwaptionShift),INDEX($FO$245:$IH$316,$FN193-HH$169,73-HH$169+SwaptionShift):INDEX($FO$245:$IH$316,$FN193-HH$169,72-HH$169+SwaptionMonthsToGo+SwaptionShift))/SQRT(SUM(INDEX($FO348:$IH348,1+SwaptionShift):INDEX($FO348:$IH348,SwaptionMonthsToGo+SwaptionShift))*SUM(INDEX($FO$325:$IH$396,HH$169,1+SwaptionShift):INDEX($FO$325:$IH$396,HH$169,SwaptionMonthsToGo+SwaptionShift))))))</f>
        <v/>
      </c>
      <c r="HI193" s="469" t="str">
        <f ca="1">IF(OR(HI$169&lt;SwaptionFirstMonthPosition+1,$FN193&lt;SwaptionFirstMonthPosition+1,HI$169&gt;SwaptionFirstMonthPosition+SwaptionNumOfMonths+1,$FN193&gt;SwaptionFirstMonthPosition+SwaptionNumOfMonths+1),"",IF($FN193=HI$169,1,IF($FN193&lt;HI$169,INDEX($FO$170:$IH$241,HI$169,$FN193),SUMPRODUCT(INDEX($FO$325:$IH$396,HI$169,1+SwaptionShift):INDEX($FO$325:$IH$396,HI$169,SwaptionMonthsToGo+SwaptionShift),INDEX($FO$245:$IH$316,$FN193-HI$169,73-HI$169+SwaptionShift):INDEX($FO$245:$IH$316,$FN193-HI$169,72-HI$169+SwaptionMonthsToGo+SwaptionShift))/SQRT(SUM(INDEX($FO348:$IH348,1+SwaptionShift):INDEX($FO348:$IH348,SwaptionMonthsToGo+SwaptionShift))*SUM(INDEX($FO$325:$IH$396,HI$169,1+SwaptionShift):INDEX($FO$325:$IH$396,HI$169,SwaptionMonthsToGo+SwaptionShift))))))</f>
        <v/>
      </c>
      <c r="HJ193" s="469" t="str">
        <f ca="1">IF(OR(HJ$169&lt;SwaptionFirstMonthPosition+1,$FN193&lt;SwaptionFirstMonthPosition+1,HJ$169&gt;SwaptionFirstMonthPosition+SwaptionNumOfMonths+1,$FN193&gt;SwaptionFirstMonthPosition+SwaptionNumOfMonths+1),"",IF($FN193=HJ$169,1,IF($FN193&lt;HJ$169,INDEX($FO$170:$IH$241,HJ$169,$FN193),SUMPRODUCT(INDEX($FO$325:$IH$396,HJ$169,1+SwaptionShift):INDEX($FO$325:$IH$396,HJ$169,SwaptionMonthsToGo+SwaptionShift),INDEX($FO$245:$IH$316,$FN193-HJ$169,73-HJ$169+SwaptionShift):INDEX($FO$245:$IH$316,$FN193-HJ$169,72-HJ$169+SwaptionMonthsToGo+SwaptionShift))/SQRT(SUM(INDEX($FO348:$IH348,1+SwaptionShift):INDEX($FO348:$IH348,SwaptionMonthsToGo+SwaptionShift))*SUM(INDEX($FO$325:$IH$396,HJ$169,1+SwaptionShift):INDEX($FO$325:$IH$396,HJ$169,SwaptionMonthsToGo+SwaptionShift))))))</f>
        <v/>
      </c>
      <c r="HK193" s="469" t="str">
        <f ca="1">IF(OR(HK$169&lt;SwaptionFirstMonthPosition+1,$FN193&lt;SwaptionFirstMonthPosition+1,HK$169&gt;SwaptionFirstMonthPosition+SwaptionNumOfMonths+1,$FN193&gt;SwaptionFirstMonthPosition+SwaptionNumOfMonths+1),"",IF($FN193=HK$169,1,IF($FN193&lt;HK$169,INDEX($FO$170:$IH$241,HK$169,$FN193),SUMPRODUCT(INDEX($FO$325:$IH$396,HK$169,1+SwaptionShift):INDEX($FO$325:$IH$396,HK$169,SwaptionMonthsToGo+SwaptionShift),INDEX($FO$245:$IH$316,$FN193-HK$169,73-HK$169+SwaptionShift):INDEX($FO$245:$IH$316,$FN193-HK$169,72-HK$169+SwaptionMonthsToGo+SwaptionShift))/SQRT(SUM(INDEX($FO348:$IH348,1+SwaptionShift):INDEX($FO348:$IH348,SwaptionMonthsToGo+SwaptionShift))*SUM(INDEX($FO$325:$IH$396,HK$169,1+SwaptionShift):INDEX($FO$325:$IH$396,HK$169,SwaptionMonthsToGo+SwaptionShift))))))</f>
        <v/>
      </c>
      <c r="HL193" s="469" t="str">
        <f ca="1">IF(OR(HL$169&lt;SwaptionFirstMonthPosition+1,$FN193&lt;SwaptionFirstMonthPosition+1,HL$169&gt;SwaptionFirstMonthPosition+SwaptionNumOfMonths+1,$FN193&gt;SwaptionFirstMonthPosition+SwaptionNumOfMonths+1),"",IF($FN193=HL$169,1,IF($FN193&lt;HL$169,INDEX($FO$170:$IH$241,HL$169,$FN193),SUMPRODUCT(INDEX($FO$325:$IH$396,HL$169,1+SwaptionShift):INDEX($FO$325:$IH$396,HL$169,SwaptionMonthsToGo+SwaptionShift),INDEX($FO$245:$IH$316,$FN193-HL$169,73-HL$169+SwaptionShift):INDEX($FO$245:$IH$316,$FN193-HL$169,72-HL$169+SwaptionMonthsToGo+SwaptionShift))/SQRT(SUM(INDEX($FO348:$IH348,1+SwaptionShift):INDEX($FO348:$IH348,SwaptionMonthsToGo+SwaptionShift))*SUM(INDEX($FO$325:$IH$396,HL$169,1+SwaptionShift):INDEX($FO$325:$IH$396,HL$169,SwaptionMonthsToGo+SwaptionShift))))))</f>
        <v/>
      </c>
      <c r="HM193" s="469" t="str">
        <f ca="1">IF(OR(HM$169&lt;SwaptionFirstMonthPosition+1,$FN193&lt;SwaptionFirstMonthPosition+1,HM$169&gt;SwaptionFirstMonthPosition+SwaptionNumOfMonths+1,$FN193&gt;SwaptionFirstMonthPosition+SwaptionNumOfMonths+1),"",IF($FN193=HM$169,1,IF($FN193&lt;HM$169,INDEX($FO$170:$IH$241,HM$169,$FN193),SUMPRODUCT(INDEX($FO$325:$IH$396,HM$169,1+SwaptionShift):INDEX($FO$325:$IH$396,HM$169,SwaptionMonthsToGo+SwaptionShift),INDEX($FO$245:$IH$316,$FN193-HM$169,73-HM$169+SwaptionShift):INDEX($FO$245:$IH$316,$FN193-HM$169,72-HM$169+SwaptionMonthsToGo+SwaptionShift))/SQRT(SUM(INDEX($FO348:$IH348,1+SwaptionShift):INDEX($FO348:$IH348,SwaptionMonthsToGo+SwaptionShift))*SUM(INDEX($FO$325:$IH$396,HM$169,1+SwaptionShift):INDEX($FO$325:$IH$396,HM$169,SwaptionMonthsToGo+SwaptionShift))))))</f>
        <v/>
      </c>
      <c r="HN193" s="469" t="str">
        <f ca="1">IF(OR(HN$169&lt;SwaptionFirstMonthPosition+1,$FN193&lt;SwaptionFirstMonthPosition+1,HN$169&gt;SwaptionFirstMonthPosition+SwaptionNumOfMonths+1,$FN193&gt;SwaptionFirstMonthPosition+SwaptionNumOfMonths+1),"",IF($FN193=HN$169,1,IF($FN193&lt;HN$169,INDEX($FO$170:$IH$241,HN$169,$FN193),SUMPRODUCT(INDEX($FO$325:$IH$396,HN$169,1+SwaptionShift):INDEX($FO$325:$IH$396,HN$169,SwaptionMonthsToGo+SwaptionShift),INDEX($FO$245:$IH$316,$FN193-HN$169,73-HN$169+SwaptionShift):INDEX($FO$245:$IH$316,$FN193-HN$169,72-HN$169+SwaptionMonthsToGo+SwaptionShift))/SQRT(SUM(INDEX($FO348:$IH348,1+SwaptionShift):INDEX($FO348:$IH348,SwaptionMonthsToGo+SwaptionShift))*SUM(INDEX($FO$325:$IH$396,HN$169,1+SwaptionShift):INDEX($FO$325:$IH$396,HN$169,SwaptionMonthsToGo+SwaptionShift))))))</f>
        <v/>
      </c>
      <c r="HO193" s="469" t="str">
        <f ca="1">IF(OR(HO$169&lt;SwaptionFirstMonthPosition+1,$FN193&lt;SwaptionFirstMonthPosition+1,HO$169&gt;SwaptionFirstMonthPosition+SwaptionNumOfMonths+1,$FN193&gt;SwaptionFirstMonthPosition+SwaptionNumOfMonths+1),"",IF($FN193=HO$169,1,IF($FN193&lt;HO$169,INDEX($FO$170:$IH$241,HO$169,$FN193),SUMPRODUCT(INDEX($FO$325:$IH$396,HO$169,1+SwaptionShift):INDEX($FO$325:$IH$396,HO$169,SwaptionMonthsToGo+SwaptionShift),INDEX($FO$245:$IH$316,$FN193-HO$169,73-HO$169+SwaptionShift):INDEX($FO$245:$IH$316,$FN193-HO$169,72-HO$169+SwaptionMonthsToGo+SwaptionShift))/SQRT(SUM(INDEX($FO348:$IH348,1+SwaptionShift):INDEX($FO348:$IH348,SwaptionMonthsToGo+SwaptionShift))*SUM(INDEX($FO$325:$IH$396,HO$169,1+SwaptionShift):INDEX($FO$325:$IH$396,HO$169,SwaptionMonthsToGo+SwaptionShift))))))</f>
        <v/>
      </c>
      <c r="HP193" s="469" t="str">
        <f ca="1">IF(OR(HP$169&lt;SwaptionFirstMonthPosition+1,$FN193&lt;SwaptionFirstMonthPosition+1,HP$169&gt;SwaptionFirstMonthPosition+SwaptionNumOfMonths+1,$FN193&gt;SwaptionFirstMonthPosition+SwaptionNumOfMonths+1),"",IF($FN193=HP$169,1,IF($FN193&lt;HP$169,INDEX($FO$170:$IH$241,HP$169,$FN193),SUMPRODUCT(INDEX($FO$325:$IH$396,HP$169,1+SwaptionShift):INDEX($FO$325:$IH$396,HP$169,SwaptionMonthsToGo+SwaptionShift),INDEX($FO$245:$IH$316,$FN193-HP$169,73-HP$169+SwaptionShift):INDEX($FO$245:$IH$316,$FN193-HP$169,72-HP$169+SwaptionMonthsToGo+SwaptionShift))/SQRT(SUM(INDEX($FO348:$IH348,1+SwaptionShift):INDEX($FO348:$IH348,SwaptionMonthsToGo+SwaptionShift))*SUM(INDEX($FO$325:$IH$396,HP$169,1+SwaptionShift):INDEX($FO$325:$IH$396,HP$169,SwaptionMonthsToGo+SwaptionShift))))))</f>
        <v/>
      </c>
      <c r="HQ193" s="469" t="str">
        <f ca="1">IF(OR(HQ$169&lt;SwaptionFirstMonthPosition+1,$FN193&lt;SwaptionFirstMonthPosition+1,HQ$169&gt;SwaptionFirstMonthPosition+SwaptionNumOfMonths+1,$FN193&gt;SwaptionFirstMonthPosition+SwaptionNumOfMonths+1),"",IF($FN193=HQ$169,1,IF($FN193&lt;HQ$169,INDEX($FO$170:$IH$241,HQ$169,$FN193),SUMPRODUCT(INDEX($FO$325:$IH$396,HQ$169,1+SwaptionShift):INDEX($FO$325:$IH$396,HQ$169,SwaptionMonthsToGo+SwaptionShift),INDEX($FO$245:$IH$316,$FN193-HQ$169,73-HQ$169+SwaptionShift):INDEX($FO$245:$IH$316,$FN193-HQ$169,72-HQ$169+SwaptionMonthsToGo+SwaptionShift))/SQRT(SUM(INDEX($FO348:$IH348,1+SwaptionShift):INDEX($FO348:$IH348,SwaptionMonthsToGo+SwaptionShift))*SUM(INDEX($FO$325:$IH$396,HQ$169,1+SwaptionShift):INDEX($FO$325:$IH$396,HQ$169,SwaptionMonthsToGo+SwaptionShift))))))</f>
        <v/>
      </c>
      <c r="HR193" s="469" t="str">
        <f ca="1">IF(OR(HR$169&lt;SwaptionFirstMonthPosition+1,$FN193&lt;SwaptionFirstMonthPosition+1,HR$169&gt;SwaptionFirstMonthPosition+SwaptionNumOfMonths+1,$FN193&gt;SwaptionFirstMonthPosition+SwaptionNumOfMonths+1),"",IF($FN193=HR$169,1,IF($FN193&lt;HR$169,INDEX($FO$170:$IH$241,HR$169,$FN193),SUMPRODUCT(INDEX($FO$325:$IH$396,HR$169,1+SwaptionShift):INDEX($FO$325:$IH$396,HR$169,SwaptionMonthsToGo+SwaptionShift),INDEX($FO$245:$IH$316,$FN193-HR$169,73-HR$169+SwaptionShift):INDEX($FO$245:$IH$316,$FN193-HR$169,72-HR$169+SwaptionMonthsToGo+SwaptionShift))/SQRT(SUM(INDEX($FO348:$IH348,1+SwaptionShift):INDEX($FO348:$IH348,SwaptionMonthsToGo+SwaptionShift))*SUM(INDEX($FO$325:$IH$396,HR$169,1+SwaptionShift):INDEX($FO$325:$IH$396,HR$169,SwaptionMonthsToGo+SwaptionShift))))))</f>
        <v/>
      </c>
      <c r="HS193" s="469" t="str">
        <f ca="1">IF(OR(HS$169&lt;SwaptionFirstMonthPosition+1,$FN193&lt;SwaptionFirstMonthPosition+1,HS$169&gt;SwaptionFirstMonthPosition+SwaptionNumOfMonths+1,$FN193&gt;SwaptionFirstMonthPosition+SwaptionNumOfMonths+1),"",IF($FN193=HS$169,1,IF($FN193&lt;HS$169,INDEX($FO$170:$IH$241,HS$169,$FN193),SUMPRODUCT(INDEX($FO$325:$IH$396,HS$169,1+SwaptionShift):INDEX($FO$325:$IH$396,HS$169,SwaptionMonthsToGo+SwaptionShift),INDEX($FO$245:$IH$316,$FN193-HS$169,73-HS$169+SwaptionShift):INDEX($FO$245:$IH$316,$FN193-HS$169,72-HS$169+SwaptionMonthsToGo+SwaptionShift))/SQRT(SUM(INDEX($FO348:$IH348,1+SwaptionShift):INDEX($FO348:$IH348,SwaptionMonthsToGo+SwaptionShift))*SUM(INDEX($FO$325:$IH$396,HS$169,1+SwaptionShift):INDEX($FO$325:$IH$396,HS$169,SwaptionMonthsToGo+SwaptionShift))))))</f>
        <v/>
      </c>
      <c r="HT193" s="469" t="str">
        <f ca="1">IF(OR(HT$169&lt;SwaptionFirstMonthPosition+1,$FN193&lt;SwaptionFirstMonthPosition+1,HT$169&gt;SwaptionFirstMonthPosition+SwaptionNumOfMonths+1,$FN193&gt;SwaptionFirstMonthPosition+SwaptionNumOfMonths+1),"",IF($FN193=HT$169,1,IF($FN193&lt;HT$169,INDEX($FO$170:$IH$241,HT$169,$FN193),SUMPRODUCT(INDEX($FO$325:$IH$396,HT$169,1+SwaptionShift):INDEX($FO$325:$IH$396,HT$169,SwaptionMonthsToGo+SwaptionShift),INDEX($FO$245:$IH$316,$FN193-HT$169,73-HT$169+SwaptionShift):INDEX($FO$245:$IH$316,$FN193-HT$169,72-HT$169+SwaptionMonthsToGo+SwaptionShift))/SQRT(SUM(INDEX($FO348:$IH348,1+SwaptionShift):INDEX($FO348:$IH348,SwaptionMonthsToGo+SwaptionShift))*SUM(INDEX($FO$325:$IH$396,HT$169,1+SwaptionShift):INDEX($FO$325:$IH$396,HT$169,SwaptionMonthsToGo+SwaptionShift))))))</f>
        <v/>
      </c>
      <c r="HU193" s="469" t="str">
        <f ca="1">IF(OR(HU$169&lt;SwaptionFirstMonthPosition+1,$FN193&lt;SwaptionFirstMonthPosition+1,HU$169&gt;SwaptionFirstMonthPosition+SwaptionNumOfMonths+1,$FN193&gt;SwaptionFirstMonthPosition+SwaptionNumOfMonths+1),"",IF($FN193=HU$169,1,IF($FN193&lt;HU$169,INDEX($FO$170:$IH$241,HU$169,$FN193),SUMPRODUCT(INDEX($FO$325:$IH$396,HU$169,1+SwaptionShift):INDEX($FO$325:$IH$396,HU$169,SwaptionMonthsToGo+SwaptionShift),INDEX($FO$245:$IH$316,$FN193-HU$169,73-HU$169+SwaptionShift):INDEX($FO$245:$IH$316,$FN193-HU$169,72-HU$169+SwaptionMonthsToGo+SwaptionShift))/SQRT(SUM(INDEX($FO348:$IH348,1+SwaptionShift):INDEX($FO348:$IH348,SwaptionMonthsToGo+SwaptionShift))*SUM(INDEX($FO$325:$IH$396,HU$169,1+SwaptionShift):INDEX($FO$325:$IH$396,HU$169,SwaptionMonthsToGo+SwaptionShift))))))</f>
        <v/>
      </c>
      <c r="HV193" s="469" t="str">
        <f ca="1">IF(OR(HV$169&lt;SwaptionFirstMonthPosition+1,$FN193&lt;SwaptionFirstMonthPosition+1,HV$169&gt;SwaptionFirstMonthPosition+SwaptionNumOfMonths+1,$FN193&gt;SwaptionFirstMonthPosition+SwaptionNumOfMonths+1),"",IF($FN193=HV$169,1,IF($FN193&lt;HV$169,INDEX($FO$170:$IH$241,HV$169,$FN193),SUMPRODUCT(INDEX($FO$325:$IH$396,HV$169,1+SwaptionShift):INDEX($FO$325:$IH$396,HV$169,SwaptionMonthsToGo+SwaptionShift),INDEX($FO$245:$IH$316,$FN193-HV$169,73-HV$169+SwaptionShift):INDEX($FO$245:$IH$316,$FN193-HV$169,72-HV$169+SwaptionMonthsToGo+SwaptionShift))/SQRT(SUM(INDEX($FO348:$IH348,1+SwaptionShift):INDEX($FO348:$IH348,SwaptionMonthsToGo+SwaptionShift))*SUM(INDEX($FO$325:$IH$396,HV$169,1+SwaptionShift):INDEX($FO$325:$IH$396,HV$169,SwaptionMonthsToGo+SwaptionShift))))))</f>
        <v/>
      </c>
      <c r="HW193" s="469" t="str">
        <f ca="1">IF(OR(HW$169&lt;SwaptionFirstMonthPosition+1,$FN193&lt;SwaptionFirstMonthPosition+1,HW$169&gt;SwaptionFirstMonthPosition+SwaptionNumOfMonths+1,$FN193&gt;SwaptionFirstMonthPosition+SwaptionNumOfMonths+1),"",IF($FN193=HW$169,1,IF($FN193&lt;HW$169,INDEX($FO$170:$IH$241,HW$169,$FN193),SUMPRODUCT(INDEX($FO$325:$IH$396,HW$169,1+SwaptionShift):INDEX($FO$325:$IH$396,HW$169,SwaptionMonthsToGo+SwaptionShift),INDEX($FO$245:$IH$316,$FN193-HW$169,73-HW$169+SwaptionShift):INDEX($FO$245:$IH$316,$FN193-HW$169,72-HW$169+SwaptionMonthsToGo+SwaptionShift))/SQRT(SUM(INDEX($FO348:$IH348,1+SwaptionShift):INDEX($FO348:$IH348,SwaptionMonthsToGo+SwaptionShift))*SUM(INDEX($FO$325:$IH$396,HW$169,1+SwaptionShift):INDEX($FO$325:$IH$396,HW$169,SwaptionMonthsToGo+SwaptionShift))))))</f>
        <v/>
      </c>
      <c r="HX193" s="469" t="str">
        <f ca="1">IF(OR(HX$169&lt;SwaptionFirstMonthPosition+1,$FN193&lt;SwaptionFirstMonthPosition+1,HX$169&gt;SwaptionFirstMonthPosition+SwaptionNumOfMonths+1,$FN193&gt;SwaptionFirstMonthPosition+SwaptionNumOfMonths+1),"",IF($FN193=HX$169,1,IF($FN193&lt;HX$169,INDEX($FO$170:$IH$241,HX$169,$FN193),SUMPRODUCT(INDEX($FO$325:$IH$396,HX$169,1+SwaptionShift):INDEX($FO$325:$IH$396,HX$169,SwaptionMonthsToGo+SwaptionShift),INDEX($FO$245:$IH$316,$FN193-HX$169,73-HX$169+SwaptionShift):INDEX($FO$245:$IH$316,$FN193-HX$169,72-HX$169+SwaptionMonthsToGo+SwaptionShift))/SQRT(SUM(INDEX($FO348:$IH348,1+SwaptionShift):INDEX($FO348:$IH348,SwaptionMonthsToGo+SwaptionShift))*SUM(INDEX($FO$325:$IH$396,HX$169,1+SwaptionShift):INDEX($FO$325:$IH$396,HX$169,SwaptionMonthsToGo+SwaptionShift))))))</f>
        <v/>
      </c>
      <c r="HY193" s="469" t="str">
        <f ca="1">IF(OR(HY$169&lt;SwaptionFirstMonthPosition+1,$FN193&lt;SwaptionFirstMonthPosition+1,HY$169&gt;SwaptionFirstMonthPosition+SwaptionNumOfMonths+1,$FN193&gt;SwaptionFirstMonthPosition+SwaptionNumOfMonths+1),"",IF($FN193=HY$169,1,IF($FN193&lt;HY$169,INDEX($FO$170:$IH$241,HY$169,$FN193),SUMPRODUCT(INDEX($FO$325:$IH$396,HY$169,1+SwaptionShift):INDEX($FO$325:$IH$396,HY$169,SwaptionMonthsToGo+SwaptionShift),INDEX($FO$245:$IH$316,$FN193-HY$169,73-HY$169+SwaptionShift):INDEX($FO$245:$IH$316,$FN193-HY$169,72-HY$169+SwaptionMonthsToGo+SwaptionShift))/SQRT(SUM(INDEX($FO348:$IH348,1+SwaptionShift):INDEX($FO348:$IH348,SwaptionMonthsToGo+SwaptionShift))*SUM(INDEX($FO$325:$IH$396,HY$169,1+SwaptionShift):INDEX($FO$325:$IH$396,HY$169,SwaptionMonthsToGo+SwaptionShift))))))</f>
        <v/>
      </c>
      <c r="HZ193" s="469" t="str">
        <f ca="1">IF(OR(HZ$169&lt;SwaptionFirstMonthPosition+1,$FN193&lt;SwaptionFirstMonthPosition+1,HZ$169&gt;SwaptionFirstMonthPosition+SwaptionNumOfMonths+1,$FN193&gt;SwaptionFirstMonthPosition+SwaptionNumOfMonths+1),"",IF($FN193=HZ$169,1,IF($FN193&lt;HZ$169,INDEX($FO$170:$IH$241,HZ$169,$FN193),SUMPRODUCT(INDEX($FO$325:$IH$396,HZ$169,1+SwaptionShift):INDEX($FO$325:$IH$396,HZ$169,SwaptionMonthsToGo+SwaptionShift),INDEX($FO$245:$IH$316,$FN193-HZ$169,73-HZ$169+SwaptionShift):INDEX($FO$245:$IH$316,$FN193-HZ$169,72-HZ$169+SwaptionMonthsToGo+SwaptionShift))/SQRT(SUM(INDEX($FO348:$IH348,1+SwaptionShift):INDEX($FO348:$IH348,SwaptionMonthsToGo+SwaptionShift))*SUM(INDEX($FO$325:$IH$396,HZ$169,1+SwaptionShift):INDEX($FO$325:$IH$396,HZ$169,SwaptionMonthsToGo+SwaptionShift))))))</f>
        <v/>
      </c>
      <c r="IA193" s="469" t="str">
        <f ca="1">IF(OR(IA$169&lt;SwaptionFirstMonthPosition+1,$FN193&lt;SwaptionFirstMonthPosition+1,IA$169&gt;SwaptionFirstMonthPosition+SwaptionNumOfMonths+1,$FN193&gt;SwaptionFirstMonthPosition+SwaptionNumOfMonths+1),"",IF($FN193=IA$169,1,IF($FN193&lt;IA$169,INDEX($FO$170:$IH$241,IA$169,$FN193),SUMPRODUCT(INDEX($FO$325:$IH$396,IA$169,1+SwaptionShift):INDEX($FO$325:$IH$396,IA$169,SwaptionMonthsToGo+SwaptionShift),INDEX($FO$245:$IH$316,$FN193-IA$169,73-IA$169+SwaptionShift):INDEX($FO$245:$IH$316,$FN193-IA$169,72-IA$169+SwaptionMonthsToGo+SwaptionShift))/SQRT(SUM(INDEX($FO348:$IH348,1+SwaptionShift):INDEX($FO348:$IH348,SwaptionMonthsToGo+SwaptionShift))*SUM(INDEX($FO$325:$IH$396,IA$169,1+SwaptionShift):INDEX($FO$325:$IH$396,IA$169,SwaptionMonthsToGo+SwaptionShift))))))</f>
        <v/>
      </c>
      <c r="IB193" s="469" t="str">
        <f ca="1">IF(OR(IB$169&lt;SwaptionFirstMonthPosition+1,$FN193&lt;SwaptionFirstMonthPosition+1,IB$169&gt;SwaptionFirstMonthPosition+SwaptionNumOfMonths+1,$FN193&gt;SwaptionFirstMonthPosition+SwaptionNumOfMonths+1),"",IF($FN193=IB$169,1,IF($FN193&lt;IB$169,INDEX($FO$170:$IH$241,IB$169,$FN193),SUMPRODUCT(INDEX($FO$325:$IH$396,IB$169,1+SwaptionShift):INDEX($FO$325:$IH$396,IB$169,SwaptionMonthsToGo+SwaptionShift),INDEX($FO$245:$IH$316,$FN193-IB$169,73-IB$169+SwaptionShift):INDEX($FO$245:$IH$316,$FN193-IB$169,72-IB$169+SwaptionMonthsToGo+SwaptionShift))/SQRT(SUM(INDEX($FO348:$IH348,1+SwaptionShift):INDEX($FO348:$IH348,SwaptionMonthsToGo+SwaptionShift))*SUM(INDEX($FO$325:$IH$396,IB$169,1+SwaptionShift):INDEX($FO$325:$IH$396,IB$169,SwaptionMonthsToGo+SwaptionShift))))))</f>
        <v/>
      </c>
      <c r="IC193" s="469" t="str">
        <f ca="1">IF(OR(IC$169&lt;SwaptionFirstMonthPosition+1,$FN193&lt;SwaptionFirstMonthPosition+1,IC$169&gt;SwaptionFirstMonthPosition+SwaptionNumOfMonths+1,$FN193&gt;SwaptionFirstMonthPosition+SwaptionNumOfMonths+1),"",IF($FN193=IC$169,1,IF($FN193&lt;IC$169,INDEX($FO$170:$IH$241,IC$169,$FN193),SUMPRODUCT(INDEX($FO$325:$IH$396,IC$169,1+SwaptionShift):INDEX($FO$325:$IH$396,IC$169,SwaptionMonthsToGo+SwaptionShift),INDEX($FO$245:$IH$316,$FN193-IC$169,73-IC$169+SwaptionShift):INDEX($FO$245:$IH$316,$FN193-IC$169,72-IC$169+SwaptionMonthsToGo+SwaptionShift))/SQRT(SUM(INDEX($FO348:$IH348,1+SwaptionShift):INDEX($FO348:$IH348,SwaptionMonthsToGo+SwaptionShift))*SUM(INDEX($FO$325:$IH$396,IC$169,1+SwaptionShift):INDEX($FO$325:$IH$396,IC$169,SwaptionMonthsToGo+SwaptionShift))))))</f>
        <v/>
      </c>
      <c r="ID193" s="469" t="str">
        <f ca="1">IF(OR(ID$169&lt;SwaptionFirstMonthPosition+1,$FN193&lt;SwaptionFirstMonthPosition+1,ID$169&gt;SwaptionFirstMonthPosition+SwaptionNumOfMonths+1,$FN193&gt;SwaptionFirstMonthPosition+SwaptionNumOfMonths+1),"",IF($FN193=ID$169,1,IF($FN193&lt;ID$169,INDEX($FO$170:$IH$241,ID$169,$FN193),SUMPRODUCT(INDEX($FO$325:$IH$396,ID$169,1+SwaptionShift):INDEX($FO$325:$IH$396,ID$169,SwaptionMonthsToGo+SwaptionShift),INDEX($FO$245:$IH$316,$FN193-ID$169,73-ID$169+SwaptionShift):INDEX($FO$245:$IH$316,$FN193-ID$169,72-ID$169+SwaptionMonthsToGo+SwaptionShift))/SQRT(SUM(INDEX($FO348:$IH348,1+SwaptionShift):INDEX($FO348:$IH348,SwaptionMonthsToGo+SwaptionShift))*SUM(INDEX($FO$325:$IH$396,ID$169,1+SwaptionShift):INDEX($FO$325:$IH$396,ID$169,SwaptionMonthsToGo+SwaptionShift))))))</f>
        <v/>
      </c>
      <c r="IE193" s="469" t="str">
        <f ca="1">IF(OR(IE$169&lt;SwaptionFirstMonthPosition+1,$FN193&lt;SwaptionFirstMonthPosition+1,IE$169&gt;SwaptionFirstMonthPosition+SwaptionNumOfMonths+1,$FN193&gt;SwaptionFirstMonthPosition+SwaptionNumOfMonths+1),"",IF($FN193=IE$169,1,IF($FN193&lt;IE$169,INDEX($FO$170:$IH$241,IE$169,$FN193),SUMPRODUCT(INDEX($FO$325:$IH$396,IE$169,1+SwaptionShift):INDEX($FO$325:$IH$396,IE$169,SwaptionMonthsToGo+SwaptionShift),INDEX($FO$245:$IH$316,$FN193-IE$169,73-IE$169+SwaptionShift):INDEX($FO$245:$IH$316,$FN193-IE$169,72-IE$169+SwaptionMonthsToGo+SwaptionShift))/SQRT(SUM(INDEX($FO348:$IH348,1+SwaptionShift):INDEX($FO348:$IH348,SwaptionMonthsToGo+SwaptionShift))*SUM(INDEX($FO$325:$IH$396,IE$169,1+SwaptionShift):INDEX($FO$325:$IH$396,IE$169,SwaptionMonthsToGo+SwaptionShift))))))</f>
        <v/>
      </c>
      <c r="IF193" s="469" t="str">
        <f ca="1">IF(OR(IF$169&lt;SwaptionFirstMonthPosition+1,$FN193&lt;SwaptionFirstMonthPosition+1,IF$169&gt;SwaptionFirstMonthPosition+SwaptionNumOfMonths+1,$FN193&gt;SwaptionFirstMonthPosition+SwaptionNumOfMonths+1),"",IF($FN193=IF$169,1,IF($FN193&lt;IF$169,INDEX($FO$170:$IH$241,IF$169,$FN193),SUMPRODUCT(INDEX($FO$325:$IH$396,IF$169,1+SwaptionShift):INDEX($FO$325:$IH$396,IF$169,SwaptionMonthsToGo+SwaptionShift),INDEX($FO$245:$IH$316,$FN193-IF$169,73-IF$169+SwaptionShift):INDEX($FO$245:$IH$316,$FN193-IF$169,72-IF$169+SwaptionMonthsToGo+SwaptionShift))/SQRT(SUM(INDEX($FO348:$IH348,1+SwaptionShift):INDEX($FO348:$IH348,SwaptionMonthsToGo+SwaptionShift))*SUM(INDEX($FO$325:$IH$396,IF$169,1+SwaptionShift):INDEX($FO$325:$IH$396,IF$169,SwaptionMonthsToGo+SwaptionShift))))))</f>
        <v/>
      </c>
      <c r="IG193" s="469" t="str">
        <f ca="1">IF(OR(IG$169&lt;SwaptionFirstMonthPosition+1,$FN193&lt;SwaptionFirstMonthPosition+1,IG$169&gt;SwaptionFirstMonthPosition+SwaptionNumOfMonths+1,$FN193&gt;SwaptionFirstMonthPosition+SwaptionNumOfMonths+1),"",IF($FN193=IG$169,1,IF($FN193&lt;IG$169,INDEX($FO$170:$IH$241,IG$169,$FN193),SUMPRODUCT(INDEX($FO$325:$IH$396,IG$169,1+SwaptionShift):INDEX($FO$325:$IH$396,IG$169,SwaptionMonthsToGo+SwaptionShift),INDEX($FO$245:$IH$316,$FN193-IG$169,73-IG$169+SwaptionShift):INDEX($FO$245:$IH$316,$FN193-IG$169,72-IG$169+SwaptionMonthsToGo+SwaptionShift))/SQRT(SUM(INDEX($FO348:$IH348,1+SwaptionShift):INDEX($FO348:$IH348,SwaptionMonthsToGo+SwaptionShift))*SUM(INDEX($FO$325:$IH$396,IG$169,1+SwaptionShift):INDEX($FO$325:$IH$396,IG$169,SwaptionMonthsToGo+SwaptionShift))))))</f>
        <v/>
      </c>
      <c r="IH193" s="662" t="str">
        <f ca="1">IF(OR(IH$169&lt;SwaptionFirstMonthPosition+1,$FN193&lt;SwaptionFirstMonthPosition+1,IH$169&gt;SwaptionFirstMonthPosition+SwaptionNumOfMonths+1,$FN193&gt;SwaptionFirstMonthPosition+SwaptionNumOfMonths+1),"",IF($FN193=IH$169,1,IF($FN193&lt;IH$169,INDEX($FO$170:$IH$241,IH$169,$FN193),SUMPRODUCT(INDEX($FO$325:$IH$396,IH$169,1+SwaptionShift):INDEX($FO$325:$IH$396,IH$169,SwaptionMonthsToGo+SwaptionShift),INDEX($FO$245:$IH$316,$FN193-IH$169,73-IH$169+SwaptionShift):INDEX($FO$245:$IH$316,$FN193-IH$169,72-IH$169+SwaptionMonthsToGo+SwaptionShift))/SQRT(SUM(INDEX($FO348:$IH348,1+SwaptionShift):INDEX($FO348:$IH348,SwaptionMonthsToGo+SwaptionShift))*SUM(INDEX($FO$325:$IH$396,IH$169,1+SwaptionShift):INDEX($FO$325:$IH$396,IH$169,SwaptionMonthsToGo+SwaptionShift))))))</f>
        <v/>
      </c>
      <c r="II193" s="242"/>
    </row>
    <row r="194" spans="8:243">
      <c r="H194" s="49" t="e">
        <f t="shared" ca="1" si="529"/>
        <v>#N/A</v>
      </c>
      <c r="I194" s="369">
        <f t="shared" si="530"/>
        <v>42309</v>
      </c>
      <c r="J194" s="367">
        <v>23.7349999999999</v>
      </c>
      <c r="K194" s="101" t="s">
        <v>267</v>
      </c>
      <c r="L194" s="382">
        <f t="shared" si="531"/>
        <v>23.734999999999882</v>
      </c>
      <c r="M194" s="163">
        <v>0.14150000000000001</v>
      </c>
      <c r="N194" s="372">
        <v>0</v>
      </c>
      <c r="O194" s="163">
        <f t="shared" si="488"/>
        <v>0.14150000000000001</v>
      </c>
      <c r="P194" s="367">
        <v>22.480649339080003</v>
      </c>
      <c r="Q194" s="101" t="s">
        <v>267</v>
      </c>
      <c r="R194" s="367">
        <f t="shared" ca="1" si="549"/>
        <v>22.480649339079985</v>
      </c>
      <c r="S194" s="814">
        <f t="shared" si="474"/>
        <v>0.34878736507455904</v>
      </c>
      <c r="T194" s="813">
        <f t="shared" si="550"/>
        <v>0.99999999914762205</v>
      </c>
      <c r="U194" s="532">
        <f t="shared" si="551"/>
        <v>0.99999999999999978</v>
      </c>
      <c r="V194" s="379">
        <v>0</v>
      </c>
      <c r="W194" s="424">
        <f t="shared" si="576"/>
        <v>23.767142857142762</v>
      </c>
      <c r="X194" s="405">
        <f t="shared" si="577"/>
        <v>23.767142857142737</v>
      </c>
      <c r="Y194" s="313">
        <f t="shared" si="578"/>
        <v>22.52554285714276</v>
      </c>
      <c r="Z194" s="313">
        <f t="shared" ca="1" si="579"/>
        <v>22.525542857142739</v>
      </c>
      <c r="AA194" s="419">
        <f t="shared" si="493"/>
        <v>1.2416</v>
      </c>
      <c r="AB194" s="423">
        <f t="shared" ca="1" si="494"/>
        <v>1.2416</v>
      </c>
      <c r="AC194" s="221">
        <v>42297</v>
      </c>
      <c r="AD194" s="221">
        <v>42293</v>
      </c>
      <c r="AE194" s="221">
        <v>42292</v>
      </c>
      <c r="AF194" s="221">
        <v>42288</v>
      </c>
      <c r="AG194" s="241" t="s">
        <v>497</v>
      </c>
      <c r="AH194" s="239" t="s">
        <v>497</v>
      </c>
      <c r="AI194" s="141">
        <v>21</v>
      </c>
      <c r="AJ194" s="41">
        <v>15</v>
      </c>
      <c r="AK194" s="41">
        <v>6</v>
      </c>
      <c r="AL194" s="285">
        <v>21</v>
      </c>
      <c r="AM194" s="41">
        <v>10</v>
      </c>
      <c r="AN194" s="142">
        <v>11</v>
      </c>
      <c r="AO194" s="364">
        <v>6.1725366808308597E-2</v>
      </c>
      <c r="AP194" s="145">
        <f t="shared" ca="1" si="532"/>
        <v>0.41060717880339315</v>
      </c>
      <c r="AQ194" s="364">
        <v>5.57354606061677E-2</v>
      </c>
      <c r="AR194" s="145">
        <f t="shared" ca="1" si="552"/>
        <v>0.45016414250742676</v>
      </c>
      <c r="AS194" s="264">
        <f t="shared" si="580"/>
        <v>0.1409857142857143</v>
      </c>
      <c r="AT194" s="149">
        <f t="shared" si="533"/>
        <v>0.14150000000000001</v>
      </c>
      <c r="AU194" s="149">
        <f t="shared" si="496"/>
        <v>0.1408904761904762</v>
      </c>
      <c r="AV194" s="263">
        <f t="shared" ca="1" si="560"/>
        <v>0.13944188077054109</v>
      </c>
      <c r="AW194" s="150" t="str">
        <f t="shared" ca="1" si="581"/>
        <v/>
      </c>
      <c r="AX194" s="149">
        <f t="shared" ca="1" si="553"/>
        <v>5.5748233805154096E-3</v>
      </c>
      <c r="AY194" s="149">
        <f t="shared" ca="1" si="554"/>
        <v>1.9052419474156201E-3</v>
      </c>
      <c r="AZ194" s="149">
        <f t="shared" ca="1" si="555"/>
        <v>1.952139600642819E-3</v>
      </c>
      <c r="BA194" s="149">
        <f t="shared" ca="1" si="556"/>
        <v>1.0000000000000875E-4</v>
      </c>
      <c r="BB194" s="149">
        <f t="shared" ca="1" si="557"/>
        <v>1.0000000000000875E-4</v>
      </c>
      <c r="BC194" s="149">
        <f t="shared" ca="1" si="558"/>
        <v>1.0000000000000875E-4</v>
      </c>
      <c r="BD194" s="143">
        <f t="shared" ca="1" si="582"/>
        <v>0</v>
      </c>
      <c r="BE194" s="144">
        <f t="shared" ca="1" si="583"/>
        <v>0</v>
      </c>
      <c r="BF194" s="40">
        <f t="shared" si="584"/>
        <v>2015</v>
      </c>
      <c r="BG194" s="139">
        <f t="shared" si="585"/>
        <v>11</v>
      </c>
      <c r="BH194" s="140">
        <f t="shared" ca="1" si="586"/>
        <v>5303</v>
      </c>
      <c r="BI194" s="304">
        <f t="shared" ca="1" si="570"/>
        <v>14.562628336755647</v>
      </c>
      <c r="BJ194" s="42">
        <f t="shared" ca="1" si="503"/>
        <v>14.619340960203385</v>
      </c>
      <c r="BK194" s="42">
        <f t="shared" ca="1" si="504"/>
        <v>14.622078810990518</v>
      </c>
      <c r="BL194" s="42">
        <f t="shared" ca="1" si="571"/>
        <v>14.642026009582478</v>
      </c>
      <c r="BM194" s="285">
        <f t="shared" si="572"/>
        <v>21</v>
      </c>
      <c r="BN194" s="41">
        <f t="shared" si="573"/>
        <v>15</v>
      </c>
      <c r="BO194" s="41">
        <f t="shared" si="574"/>
        <v>6</v>
      </c>
      <c r="BP194" s="297" t="str">
        <f t="shared" ca="1" si="505"/>
        <v/>
      </c>
      <c r="BQ194" s="297" t="str">
        <f t="shared" ca="1" si="506"/>
        <v/>
      </c>
      <c r="BR194" s="299" t="str">
        <f t="shared" ca="1" si="507"/>
        <v/>
      </c>
      <c r="BS194" s="153" t="str">
        <f t="shared" ca="1" si="508"/>
        <v/>
      </c>
      <c r="BT194" s="153" t="str">
        <f t="shared" ca="1" si="509"/>
        <v/>
      </c>
      <c r="BU194" s="300" t="str">
        <f t="shared" ca="1" si="510"/>
        <v/>
      </c>
      <c r="BV194" s="301" t="str">
        <f t="shared" ca="1" si="511"/>
        <v/>
      </c>
      <c r="BW194" s="300" t="str">
        <f t="shared" ca="1" si="512"/>
        <v/>
      </c>
      <c r="BX194" s="301" t="str">
        <f t="shared" ca="1" si="513"/>
        <v/>
      </c>
      <c r="BY194" s="146" t="str">
        <f t="shared" ca="1" si="514"/>
        <v/>
      </c>
      <c r="BZ194" s="146" t="str">
        <f t="shared" ca="1" si="515"/>
        <v/>
      </c>
      <c r="CA194" s="146" t="str">
        <f t="shared" ca="1" si="516"/>
        <v/>
      </c>
      <c r="CB194" s="146" t="str">
        <f t="shared" ca="1" si="517"/>
        <v/>
      </c>
      <c r="CC194" s="302">
        <v>1</v>
      </c>
      <c r="CD194" s="154">
        <f ca="1">IF(BD194,_xll.xCrudeAPO(BS194,BT194,BY194,BZ194,S195,S196,BI194,BL194,BN194,BO194,0,Strike1,AO194,CC194,0,BL194,IF(OptControl=4,0,1),0,1),0)</f>
        <v>0</v>
      </c>
      <c r="CE194" s="155">
        <f ca="1">IF(BD194,_xll.xCrudeAPO(BS194,BT194,BY194,BZ194,S195,S196,BI194,BL194,BN194,BO194,0,Strike1,AO194,CC194,0,BL194,IF(OptControl=4,0,1),1,1)+_xll.xCrudeAPO(BS194,BT194,BY194,BZ194,S195,S196,BI194,BL194,BN194,BO194,0,Strike1,AO194,CC194,0,BL194,IF(OptControl=4,0,1),1,2)+IF(OR(VolSkewFlag=2,ABS(BQ194)&lt;0.0001),0,IF(BQ194&gt;0,-1,1)*CF194*Strike1/BP194^2*BW194/10%),0)</f>
        <v>0</v>
      </c>
      <c r="CF194" s="155">
        <f ca="1">IF(BD194,(_xll.xCrudeAPO(BS194,BT194,BY194,BZ194,S195,S196,BI194,BL194,BN194,BO194,0,Strike1,AO194,CC194,0,BL194,IF(OptControl=4,0,1),3,1)+_xll.xCrudeAPO(BS194,BT194,BY194,BZ194,S195,S196,BI194,BL194,BN194,BO194,0,Strike1,AO194,CC194,0,BL194,IF(OptControl=4,0,1),3,2))/100,0)</f>
        <v>0</v>
      </c>
      <c r="CG194" s="155">
        <f ca="1">IF(BD194,_xll.xCrudeAPO(BS194,BT194,BY194,BZ194,S195,S196,BI194-DaysForThetaCalculation/365.25,BL194-DaysForThetaCalculation/365.25,BN194,BO194,0,Strike1,AO194,CC194,0,BL194,IF(OptControl=4,0,1),0,1)-_xll.xCrudeAPO(BS194,BT194,BY194,BZ194,S195,S196,BI194,BL194,BN194,BO194,0,Strike1,AO194,CC194,0,BL194,IF(OptControl=4,0,1),0,1),0)</f>
        <v>0</v>
      </c>
      <c r="CH194" s="303">
        <f ca="1">IF(BD194,_xll.xCrudeAPO(BS194,BT194,CA194,CB194,S195,S196,BI194,BL194,BN194,BO194,0,Strike2,AO194,CC194,0,BL194,IF(OptControl=3,1,0),0,1),0)</f>
        <v>0</v>
      </c>
      <c r="CI194" s="155">
        <f ca="1">IF(BD194,_xll.xCrudeAPO(BS194,BT194,CA194,CB194,S195,S196,BI194,BL194,BN194,BO194,0,Strike2,AO194,CC194,0,BL194,IF(OptControl=3,1,0),1,1)+_xll.xCrudeAPO(BS194,BT194,CA194,CB194,S195,S196,BI194,BL194,BN194,BO194,0,Strike2,AO194,CC194,0,BL194,IF(OptControl=3,1,0),1,2)+IF(OR(VolSkewFlag=2,ABS(BR194)&lt;0.0001),0,IF(BR194&gt;0,-1,1)*CJ194*Strike2/BP194^2*BX194/10%),0)</f>
        <v>0</v>
      </c>
      <c r="CJ194" s="155">
        <f ca="1">IF(BD194,(_xll.xCrudeAPO(BS194,BT194,CA194,CB194,S195,S196,BI194,BL194,BN194,BO194,0,Strike2,AO194,CC194,0,BL194,IF(OptControl=3,1,0),3,1)+_xll.xCrudeAPO(BS194,BT194,CA194,CB194,S195,S196,BI194,BL194,BN194,BO194,0,Strike2,AO194,CC194,0,BL194,IF(OptControl=3,1,0),3,2))/100,0)</f>
        <v>0</v>
      </c>
      <c r="CK194" s="156">
        <f ca="1">IF(BD194,_xll.xCrudeAPO(BS194,BT194,CA194,CB194,S195,S196,BI194-DaysForThetaCalculation/365.25,BL194-DaysForThetaCalculation/365.25,BN194,BO194,0,Strike2,AO194,CC194,0,BL194,IF(OptControl=3,1,0),0,1)-_xll.xCrudeAPO(BS194,BT194,CA194,CB194,S195,S196,BI194,BL194,BN194,BO194,0,Strike2,AO194,CC194,0,BL194,IF(OptControl=3,1,0),0,1),0)</f>
        <v>0</v>
      </c>
      <c r="CL194" s="51"/>
      <c r="CM194" s="779" t="str">
        <f t="shared" ca="1" si="534"/>
        <v/>
      </c>
      <c r="CN194" s="783" t="str">
        <f t="shared" ca="1" si="535"/>
        <v/>
      </c>
      <c r="CO194" s="780" t="str">
        <f t="shared" ca="1" si="536"/>
        <v/>
      </c>
      <c r="CP194" s="780" t="str">
        <f t="shared" ca="1" si="537"/>
        <v/>
      </c>
      <c r="CQ194" s="780" t="str">
        <f t="shared" ca="1" si="538"/>
        <v/>
      </c>
      <c r="CR194" s="780" t="str">
        <f t="shared" ca="1" si="539"/>
        <v/>
      </c>
      <c r="CS194" s="781" t="str">
        <f t="shared" ca="1" si="540"/>
        <v/>
      </c>
      <c r="CT194" s="782" t="str">
        <f t="shared" ca="1" si="541"/>
        <v/>
      </c>
      <c r="CU194" s="782" t="str">
        <f t="shared" ca="1" si="542"/>
        <v/>
      </c>
      <c r="CV194" s="155">
        <f ca="1">IF(BD194,_xll.EURO(CN194,Strike1,AO194,AO194,CT194,CM194,IF(OptControl=4,0,1),0),0)</f>
        <v>0</v>
      </c>
      <c r="CW194" s="155">
        <f ca="1">IF(BD194,_xll.EURO(CN194,Strike1,AO194,AO194,CT194,CM194,IF(OptControl=4,0,1),1)+IF(OR(VolSkewFlag=2,ABS(CO194)&lt;0.0001),0,IF(CO194&gt;0,-1,1)*CX194*100*Strike1/CN194^2*CQ194/10%),0)</f>
        <v>0</v>
      </c>
      <c r="CX194" s="155">
        <f ca="1">IF(BD194,_xll.EURO(CN194,Strike1,AO194,AO194,CT194,CM194,IF(OptControl=4,0,1),3)/100,0)</f>
        <v>0</v>
      </c>
      <c r="CY194" s="155">
        <f ca="1">IF(BD194,_xll.EURO(CN194,Strike1,AO194,AO194,CT194,CM194,IF(OptControl=4,0,1),0)-_xll.EURO(CN194,Strike1,AO194,AO194,CT194,CM194-1,IF(OptControl=4,0,1),0),0)</f>
        <v>0</v>
      </c>
      <c r="CZ194" s="155">
        <f ca="1">IF(BD194,_xll.EURO(CN194,Strike2,AO194,AO194,CU194,CM194,IF(OptControl=3,1,0),0),0)</f>
        <v>0</v>
      </c>
      <c r="DA194" s="155">
        <f ca="1">IF(BD194,_xll.EURO(CN194,Strike2,AO194,AO194,CU194,CM194,IF(OptControl=3,1,0),1)+IF(OR(VolSkewFlag=2,ABS(CP194)&lt;0.0001),0,IF(CP194&gt;0,-1,1)*DB194*100*Strike2/CN194^2*CR194/10%),0)</f>
        <v>0</v>
      </c>
      <c r="DB194" s="155">
        <f ca="1">IF(BD194,_xll.EURO(CN194,Strike2,AO194,AO194,CU194,CM194,IF(OptControl=3,1,0),3)/100,0)</f>
        <v>0</v>
      </c>
      <c r="DC194" s="156">
        <f ca="1">IF(BD194,_xll.EURO(CN194,Strike2,AO194,AO194,CU194,CM194,IF(OptControl=3,1,0),0)-_xll.EURO(CN194,Strike2,AO194,AO194,CU194,CM194-1,IF(OptControl=3,1,0),0),0)</f>
        <v>0</v>
      </c>
      <c r="DE194" s="651">
        <f t="shared" ca="1" si="543"/>
        <v>42217</v>
      </c>
      <c r="DF194" s="465">
        <v>1E-4</v>
      </c>
      <c r="DG194" s="649">
        <v>1E-4</v>
      </c>
      <c r="DH194" s="650">
        <f t="shared" ca="1" si="587"/>
        <v>42217</v>
      </c>
      <c r="DI194" s="465">
        <v>1E-4</v>
      </c>
      <c r="DJ194" s="649">
        <v>1E-4</v>
      </c>
      <c r="DK194" s="651">
        <f t="shared" ca="1" si="588"/>
        <v>42217</v>
      </c>
      <c r="DL194" s="652">
        <f t="shared" si="589"/>
        <v>5.0100000000000006E-2</v>
      </c>
      <c r="DM194" s="651">
        <f t="shared" ca="1" si="544"/>
        <v>42217</v>
      </c>
      <c r="DN194" s="563">
        <f t="shared" si="545"/>
        <v>-0.12990000000000002</v>
      </c>
      <c r="DO194" s="803">
        <v>-0.13</v>
      </c>
      <c r="DP194" s="650">
        <f t="shared" ca="1" si="590"/>
        <v>42217</v>
      </c>
      <c r="DQ194" s="653">
        <v>1E-4</v>
      </c>
      <c r="DR194" s="590">
        <v>1E-4</v>
      </c>
      <c r="DS194" s="650">
        <f t="shared" ca="1" si="591"/>
        <v>42217</v>
      </c>
      <c r="DT194" s="653">
        <v>1E-4</v>
      </c>
      <c r="DU194" s="590">
        <v>1E-4</v>
      </c>
      <c r="DV194" s="651">
        <f t="shared" ca="1" si="592"/>
        <v>42217</v>
      </c>
      <c r="DW194" s="590">
        <v>1E-4</v>
      </c>
      <c r="DX194" s="651">
        <f t="shared" ca="1" si="546"/>
        <v>42217</v>
      </c>
      <c r="DY194" s="590">
        <f t="shared" si="547"/>
        <v>1E-4</v>
      </c>
      <c r="DZ194" s="1"/>
      <c r="EA194" s="857"/>
      <c r="EB194" s="857"/>
      <c r="EC194" s="857"/>
      <c r="ED194" s="868" t="e">
        <f t="shared" ca="1" si="566"/>
        <v>#NAME?</v>
      </c>
      <c r="EE194" s="863" t="e">
        <f t="shared" ca="1" si="524"/>
        <v>#NAME?</v>
      </c>
      <c r="EF194" s="590" t="e">
        <f t="shared" ca="1" si="525"/>
        <v>#NAME?</v>
      </c>
      <c r="EG194" s="862" t="str">
        <f t="shared" ca="1" si="593"/>
        <v/>
      </c>
      <c r="EH194" s="114" t="str">
        <f t="shared" ca="1" si="527"/>
        <v/>
      </c>
      <c r="EI194" s="109" t="str">
        <f t="shared" ca="1" si="528"/>
        <v/>
      </c>
      <c r="EJ194" s="115">
        <f ca="1">IF(BD194,_xll.xASN(BP194,Strike1,AO194,EH194,0,BM194,0,BI194,BL194,IF(OptControl=4,0,1),0),0)</f>
        <v>0</v>
      </c>
      <c r="EK194" s="108">
        <f ca="1">IF(BD194,_xll.xASN(BP194,Strike2,AO194,EI194,0,BM194,0,BI194,BL194,IF(OptControl=3,1,0),0),0)</f>
        <v>0</v>
      </c>
      <c r="EP194" s="53"/>
      <c r="EQ194" s="1"/>
      <c r="ER194" s="103"/>
      <c r="ES194" s="103"/>
      <c r="ET194" s="1"/>
      <c r="EU194" s="667" t="s">
        <v>406</v>
      </c>
      <c r="EW194" s="445"/>
      <c r="EX194" s="36"/>
      <c r="EY194" s="104"/>
      <c r="EZ194" s="465"/>
      <c r="FA194" s="446"/>
      <c r="FB194" s="446"/>
      <c r="FC194" s="242"/>
      <c r="FD194" s="242"/>
      <c r="FE194" s="242"/>
      <c r="FF194" s="242"/>
      <c r="FG194" s="242"/>
      <c r="FH194" s="242"/>
      <c r="FI194" s="242"/>
      <c r="FJ194" s="242"/>
      <c r="FK194" s="242"/>
      <c r="FL194" s="242"/>
      <c r="FM194" s="242"/>
      <c r="FN194" s="657">
        <v>25</v>
      </c>
      <c r="FO194" s="469" t="str">
        <f ca="1">IF(OR(FO$169&lt;SwaptionFirstMonthPosition+1,$FN194&lt;SwaptionFirstMonthPosition+1,FO$169&gt;SwaptionFirstMonthPosition+SwaptionNumOfMonths+1,$FN194&gt;SwaptionFirstMonthPosition+SwaptionNumOfMonths+1),"",IF($FN194=FO$169,1,IF($FN194&lt;FO$169,INDEX($FO$170:$IH$241,FO$169,$FN194),SUMPRODUCT(INDEX($FO$325:$IH$396,FO$169,1+SwaptionShift):INDEX($FO$325:$IH$396,FO$169,SwaptionMonthsToGo+SwaptionShift),INDEX($FO$245:$IH$316,$FN194-FO$169,73-FO$169+SwaptionShift):INDEX($FO$245:$IH$316,$FN194-FO$169,72-FO$169+SwaptionMonthsToGo+SwaptionShift))/SQRT(SUM(INDEX($FO349:$IH349,1+SwaptionShift):INDEX($FO349:$IH349,SwaptionMonthsToGo+SwaptionShift))*SUM(INDEX($FO$325:$IH$396,FO$169,1+SwaptionShift):INDEX($FO$325:$IH$396,FO$169,SwaptionMonthsToGo+SwaptionShift))))))</f>
        <v/>
      </c>
      <c r="FP194" s="469" t="str">
        <f ca="1">IF(OR(FP$169&lt;SwaptionFirstMonthPosition+1,$FN194&lt;SwaptionFirstMonthPosition+1,FP$169&gt;SwaptionFirstMonthPosition+SwaptionNumOfMonths+1,$FN194&gt;SwaptionFirstMonthPosition+SwaptionNumOfMonths+1),"",IF($FN194=FP$169,1,IF($FN194&lt;FP$169,INDEX($FO$170:$IH$241,FP$169,$FN194),SUMPRODUCT(INDEX($FO$325:$IH$396,FP$169,1+SwaptionShift):INDEX($FO$325:$IH$396,FP$169,SwaptionMonthsToGo+SwaptionShift),INDEX($FO$245:$IH$316,$FN194-FP$169,73-FP$169+SwaptionShift):INDEX($FO$245:$IH$316,$FN194-FP$169,72-FP$169+SwaptionMonthsToGo+SwaptionShift))/SQRT(SUM(INDEX($FO349:$IH349,1+SwaptionShift):INDEX($FO349:$IH349,SwaptionMonthsToGo+SwaptionShift))*SUM(INDEX($FO$325:$IH$396,FP$169,1+SwaptionShift):INDEX($FO$325:$IH$396,FP$169,SwaptionMonthsToGo+SwaptionShift))))))</f>
        <v/>
      </c>
      <c r="FQ194" s="469" t="str">
        <f ca="1">IF(OR(FQ$169&lt;SwaptionFirstMonthPosition+1,$FN194&lt;SwaptionFirstMonthPosition+1,FQ$169&gt;SwaptionFirstMonthPosition+SwaptionNumOfMonths+1,$FN194&gt;SwaptionFirstMonthPosition+SwaptionNumOfMonths+1),"",IF($FN194=FQ$169,1,IF($FN194&lt;FQ$169,INDEX($FO$170:$IH$241,FQ$169,$FN194),SUMPRODUCT(INDEX($FO$325:$IH$396,FQ$169,1+SwaptionShift):INDEX($FO$325:$IH$396,FQ$169,SwaptionMonthsToGo+SwaptionShift),INDEX($FO$245:$IH$316,$FN194-FQ$169,73-FQ$169+SwaptionShift):INDEX($FO$245:$IH$316,$FN194-FQ$169,72-FQ$169+SwaptionMonthsToGo+SwaptionShift))/SQRT(SUM(INDEX($FO349:$IH349,1+SwaptionShift):INDEX($FO349:$IH349,SwaptionMonthsToGo+SwaptionShift))*SUM(INDEX($FO$325:$IH$396,FQ$169,1+SwaptionShift):INDEX($FO$325:$IH$396,FQ$169,SwaptionMonthsToGo+SwaptionShift))))))</f>
        <v/>
      </c>
      <c r="FR194" s="469" t="str">
        <f ca="1">IF(OR(FR$169&lt;SwaptionFirstMonthPosition+1,$FN194&lt;SwaptionFirstMonthPosition+1,FR$169&gt;SwaptionFirstMonthPosition+SwaptionNumOfMonths+1,$FN194&gt;SwaptionFirstMonthPosition+SwaptionNumOfMonths+1),"",IF($FN194=FR$169,1,IF($FN194&lt;FR$169,INDEX($FO$170:$IH$241,FR$169,$FN194),SUMPRODUCT(INDEX($FO$325:$IH$396,FR$169,1+SwaptionShift):INDEX($FO$325:$IH$396,FR$169,SwaptionMonthsToGo+SwaptionShift),INDEX($FO$245:$IH$316,$FN194-FR$169,73-FR$169+SwaptionShift):INDEX($FO$245:$IH$316,$FN194-FR$169,72-FR$169+SwaptionMonthsToGo+SwaptionShift))/SQRT(SUM(INDEX($FO349:$IH349,1+SwaptionShift):INDEX($FO349:$IH349,SwaptionMonthsToGo+SwaptionShift))*SUM(INDEX($FO$325:$IH$396,FR$169,1+SwaptionShift):INDEX($FO$325:$IH$396,FR$169,SwaptionMonthsToGo+SwaptionShift))))))</f>
        <v/>
      </c>
      <c r="FS194" s="469" t="str">
        <f ca="1">IF(OR(FS$169&lt;SwaptionFirstMonthPosition+1,$FN194&lt;SwaptionFirstMonthPosition+1,FS$169&gt;SwaptionFirstMonthPosition+SwaptionNumOfMonths+1,$FN194&gt;SwaptionFirstMonthPosition+SwaptionNumOfMonths+1),"",IF($FN194=FS$169,1,IF($FN194&lt;FS$169,INDEX($FO$170:$IH$241,FS$169,$FN194),SUMPRODUCT(INDEX($FO$325:$IH$396,FS$169,1+SwaptionShift):INDEX($FO$325:$IH$396,FS$169,SwaptionMonthsToGo+SwaptionShift),INDEX($FO$245:$IH$316,$FN194-FS$169,73-FS$169+SwaptionShift):INDEX($FO$245:$IH$316,$FN194-FS$169,72-FS$169+SwaptionMonthsToGo+SwaptionShift))/SQRT(SUM(INDEX($FO349:$IH349,1+SwaptionShift):INDEX($FO349:$IH349,SwaptionMonthsToGo+SwaptionShift))*SUM(INDEX($FO$325:$IH$396,FS$169,1+SwaptionShift):INDEX($FO$325:$IH$396,FS$169,SwaptionMonthsToGo+SwaptionShift))))))</f>
        <v/>
      </c>
      <c r="FT194" s="469" t="str">
        <f ca="1">IF(OR(FT$169&lt;SwaptionFirstMonthPosition+1,$FN194&lt;SwaptionFirstMonthPosition+1,FT$169&gt;SwaptionFirstMonthPosition+SwaptionNumOfMonths+1,$FN194&gt;SwaptionFirstMonthPosition+SwaptionNumOfMonths+1),"",IF($FN194=FT$169,1,IF($FN194&lt;FT$169,INDEX($FO$170:$IH$241,FT$169,$FN194),SUMPRODUCT(INDEX($FO$325:$IH$396,FT$169,1+SwaptionShift):INDEX($FO$325:$IH$396,FT$169,SwaptionMonthsToGo+SwaptionShift),INDEX($FO$245:$IH$316,$FN194-FT$169,73-FT$169+SwaptionShift):INDEX($FO$245:$IH$316,$FN194-FT$169,72-FT$169+SwaptionMonthsToGo+SwaptionShift))/SQRT(SUM(INDEX($FO349:$IH349,1+SwaptionShift):INDEX($FO349:$IH349,SwaptionMonthsToGo+SwaptionShift))*SUM(INDEX($FO$325:$IH$396,FT$169,1+SwaptionShift):INDEX($FO$325:$IH$396,FT$169,SwaptionMonthsToGo+SwaptionShift))))))</f>
        <v/>
      </c>
      <c r="FU194" s="469" t="str">
        <f ca="1">IF(OR(FU$169&lt;SwaptionFirstMonthPosition+1,$FN194&lt;SwaptionFirstMonthPosition+1,FU$169&gt;SwaptionFirstMonthPosition+SwaptionNumOfMonths+1,$FN194&gt;SwaptionFirstMonthPosition+SwaptionNumOfMonths+1),"",IF($FN194=FU$169,1,IF($FN194&lt;FU$169,INDEX($FO$170:$IH$241,FU$169,$FN194),SUMPRODUCT(INDEX($FO$325:$IH$396,FU$169,1+SwaptionShift):INDEX($FO$325:$IH$396,FU$169,SwaptionMonthsToGo+SwaptionShift),INDEX($FO$245:$IH$316,$FN194-FU$169,73-FU$169+SwaptionShift):INDEX($FO$245:$IH$316,$FN194-FU$169,72-FU$169+SwaptionMonthsToGo+SwaptionShift))/SQRT(SUM(INDEX($FO349:$IH349,1+SwaptionShift):INDEX($FO349:$IH349,SwaptionMonthsToGo+SwaptionShift))*SUM(INDEX($FO$325:$IH$396,FU$169,1+SwaptionShift):INDEX($FO$325:$IH$396,FU$169,SwaptionMonthsToGo+SwaptionShift))))))</f>
        <v/>
      </c>
      <c r="FV194" s="469" t="str">
        <f ca="1">IF(OR(FV$169&lt;SwaptionFirstMonthPosition+1,$FN194&lt;SwaptionFirstMonthPosition+1,FV$169&gt;SwaptionFirstMonthPosition+SwaptionNumOfMonths+1,$FN194&gt;SwaptionFirstMonthPosition+SwaptionNumOfMonths+1),"",IF($FN194=FV$169,1,IF($FN194&lt;FV$169,INDEX($FO$170:$IH$241,FV$169,$FN194),SUMPRODUCT(INDEX($FO$325:$IH$396,FV$169,1+SwaptionShift):INDEX($FO$325:$IH$396,FV$169,SwaptionMonthsToGo+SwaptionShift),INDEX($FO$245:$IH$316,$FN194-FV$169,73-FV$169+SwaptionShift):INDEX($FO$245:$IH$316,$FN194-FV$169,72-FV$169+SwaptionMonthsToGo+SwaptionShift))/SQRT(SUM(INDEX($FO349:$IH349,1+SwaptionShift):INDEX($FO349:$IH349,SwaptionMonthsToGo+SwaptionShift))*SUM(INDEX($FO$325:$IH$396,FV$169,1+SwaptionShift):INDEX($FO$325:$IH$396,FV$169,SwaptionMonthsToGo+SwaptionShift))))))</f>
        <v/>
      </c>
      <c r="FW194" s="469" t="str">
        <f ca="1">IF(OR(FW$169&lt;SwaptionFirstMonthPosition+1,$FN194&lt;SwaptionFirstMonthPosition+1,FW$169&gt;SwaptionFirstMonthPosition+SwaptionNumOfMonths+1,$FN194&gt;SwaptionFirstMonthPosition+SwaptionNumOfMonths+1),"",IF($FN194=FW$169,1,IF($FN194&lt;FW$169,INDEX($FO$170:$IH$241,FW$169,$FN194),SUMPRODUCT(INDEX($FO$325:$IH$396,FW$169,1+SwaptionShift):INDEX($FO$325:$IH$396,FW$169,SwaptionMonthsToGo+SwaptionShift),INDEX($FO$245:$IH$316,$FN194-FW$169,73-FW$169+SwaptionShift):INDEX($FO$245:$IH$316,$FN194-FW$169,72-FW$169+SwaptionMonthsToGo+SwaptionShift))/SQRT(SUM(INDEX($FO349:$IH349,1+SwaptionShift):INDEX($FO349:$IH349,SwaptionMonthsToGo+SwaptionShift))*SUM(INDEX($FO$325:$IH$396,FW$169,1+SwaptionShift):INDEX($FO$325:$IH$396,FW$169,SwaptionMonthsToGo+SwaptionShift))))))</f>
        <v/>
      </c>
      <c r="FX194" s="469" t="str">
        <f ca="1">IF(OR(FX$169&lt;SwaptionFirstMonthPosition+1,$FN194&lt;SwaptionFirstMonthPosition+1,FX$169&gt;SwaptionFirstMonthPosition+SwaptionNumOfMonths+1,$FN194&gt;SwaptionFirstMonthPosition+SwaptionNumOfMonths+1),"",IF($FN194=FX$169,1,IF($FN194&lt;FX$169,INDEX($FO$170:$IH$241,FX$169,$FN194),SUMPRODUCT(INDEX($FO$325:$IH$396,FX$169,1+SwaptionShift):INDEX($FO$325:$IH$396,FX$169,SwaptionMonthsToGo+SwaptionShift),INDEX($FO$245:$IH$316,$FN194-FX$169,73-FX$169+SwaptionShift):INDEX($FO$245:$IH$316,$FN194-FX$169,72-FX$169+SwaptionMonthsToGo+SwaptionShift))/SQRT(SUM(INDEX($FO349:$IH349,1+SwaptionShift):INDEX($FO349:$IH349,SwaptionMonthsToGo+SwaptionShift))*SUM(INDEX($FO$325:$IH$396,FX$169,1+SwaptionShift):INDEX($FO$325:$IH$396,FX$169,SwaptionMonthsToGo+SwaptionShift))))))</f>
        <v/>
      </c>
      <c r="FY194" s="469" t="str">
        <f ca="1">IF(OR(FY$169&lt;SwaptionFirstMonthPosition+1,$FN194&lt;SwaptionFirstMonthPosition+1,FY$169&gt;SwaptionFirstMonthPosition+SwaptionNumOfMonths+1,$FN194&gt;SwaptionFirstMonthPosition+SwaptionNumOfMonths+1),"",IF($FN194=FY$169,1,IF($FN194&lt;FY$169,INDEX($FO$170:$IH$241,FY$169,$FN194),SUMPRODUCT(INDEX($FO$325:$IH$396,FY$169,1+SwaptionShift):INDEX($FO$325:$IH$396,FY$169,SwaptionMonthsToGo+SwaptionShift),INDEX($FO$245:$IH$316,$FN194-FY$169,73-FY$169+SwaptionShift):INDEX($FO$245:$IH$316,$FN194-FY$169,72-FY$169+SwaptionMonthsToGo+SwaptionShift))/SQRT(SUM(INDEX($FO349:$IH349,1+SwaptionShift):INDEX($FO349:$IH349,SwaptionMonthsToGo+SwaptionShift))*SUM(INDEX($FO$325:$IH$396,FY$169,1+SwaptionShift):INDEX($FO$325:$IH$396,FY$169,SwaptionMonthsToGo+SwaptionShift))))))</f>
        <v/>
      </c>
      <c r="FZ194" s="469" t="str">
        <f ca="1">IF(OR(FZ$169&lt;SwaptionFirstMonthPosition+1,$FN194&lt;SwaptionFirstMonthPosition+1,FZ$169&gt;SwaptionFirstMonthPosition+SwaptionNumOfMonths+1,$FN194&gt;SwaptionFirstMonthPosition+SwaptionNumOfMonths+1),"",IF($FN194=FZ$169,1,IF($FN194&lt;FZ$169,INDEX($FO$170:$IH$241,FZ$169,$FN194),SUMPRODUCT(INDEX($FO$325:$IH$396,FZ$169,1+SwaptionShift):INDEX($FO$325:$IH$396,FZ$169,SwaptionMonthsToGo+SwaptionShift),INDEX($FO$245:$IH$316,$FN194-FZ$169,73-FZ$169+SwaptionShift):INDEX($FO$245:$IH$316,$FN194-FZ$169,72-FZ$169+SwaptionMonthsToGo+SwaptionShift))/SQRT(SUM(INDEX($FO349:$IH349,1+SwaptionShift):INDEX($FO349:$IH349,SwaptionMonthsToGo+SwaptionShift))*SUM(INDEX($FO$325:$IH$396,FZ$169,1+SwaptionShift):INDEX($FO$325:$IH$396,FZ$169,SwaptionMonthsToGo+SwaptionShift))))))</f>
        <v/>
      </c>
      <c r="GA194" s="469" t="str">
        <f ca="1">IF(OR(GA$169&lt;SwaptionFirstMonthPosition+1,$FN194&lt;SwaptionFirstMonthPosition+1,GA$169&gt;SwaptionFirstMonthPosition+SwaptionNumOfMonths+1,$FN194&gt;SwaptionFirstMonthPosition+SwaptionNumOfMonths+1),"",IF($FN194=GA$169,1,IF($FN194&lt;GA$169,INDEX($FO$170:$IH$241,GA$169,$FN194),SUMPRODUCT(INDEX($FO$325:$IH$396,GA$169,1+SwaptionShift):INDEX($FO$325:$IH$396,GA$169,SwaptionMonthsToGo+SwaptionShift),INDEX($FO$245:$IH$316,$FN194-GA$169,73-GA$169+SwaptionShift):INDEX($FO$245:$IH$316,$FN194-GA$169,72-GA$169+SwaptionMonthsToGo+SwaptionShift))/SQRT(SUM(INDEX($FO349:$IH349,1+SwaptionShift):INDEX($FO349:$IH349,SwaptionMonthsToGo+SwaptionShift))*SUM(INDEX($FO$325:$IH$396,GA$169,1+SwaptionShift):INDEX($FO$325:$IH$396,GA$169,SwaptionMonthsToGo+SwaptionShift))))))</f>
        <v/>
      </c>
      <c r="GB194" s="469" t="str">
        <f ca="1">IF(OR(GB$169&lt;SwaptionFirstMonthPosition+1,$FN194&lt;SwaptionFirstMonthPosition+1,GB$169&gt;SwaptionFirstMonthPosition+SwaptionNumOfMonths+1,$FN194&gt;SwaptionFirstMonthPosition+SwaptionNumOfMonths+1),"",IF($FN194=GB$169,1,IF($FN194&lt;GB$169,INDEX($FO$170:$IH$241,GB$169,$FN194),SUMPRODUCT(INDEX($FO$325:$IH$396,GB$169,1+SwaptionShift):INDEX($FO$325:$IH$396,GB$169,SwaptionMonthsToGo+SwaptionShift),INDEX($FO$245:$IH$316,$FN194-GB$169,73-GB$169+SwaptionShift):INDEX($FO$245:$IH$316,$FN194-GB$169,72-GB$169+SwaptionMonthsToGo+SwaptionShift))/SQRT(SUM(INDEX($FO349:$IH349,1+SwaptionShift):INDEX($FO349:$IH349,SwaptionMonthsToGo+SwaptionShift))*SUM(INDEX($FO$325:$IH$396,GB$169,1+SwaptionShift):INDEX($FO$325:$IH$396,GB$169,SwaptionMonthsToGo+SwaptionShift))))))</f>
        <v/>
      </c>
      <c r="GC194" s="469" t="str">
        <f ca="1">IF(OR(GC$169&lt;SwaptionFirstMonthPosition+1,$FN194&lt;SwaptionFirstMonthPosition+1,GC$169&gt;SwaptionFirstMonthPosition+SwaptionNumOfMonths+1,$FN194&gt;SwaptionFirstMonthPosition+SwaptionNumOfMonths+1),"",IF($FN194=GC$169,1,IF($FN194&lt;GC$169,INDEX($FO$170:$IH$241,GC$169,$FN194),SUMPRODUCT(INDEX($FO$325:$IH$396,GC$169,1+SwaptionShift):INDEX($FO$325:$IH$396,GC$169,SwaptionMonthsToGo+SwaptionShift),INDEX($FO$245:$IH$316,$FN194-GC$169,73-GC$169+SwaptionShift):INDEX($FO$245:$IH$316,$FN194-GC$169,72-GC$169+SwaptionMonthsToGo+SwaptionShift))/SQRT(SUM(INDEX($FO349:$IH349,1+SwaptionShift):INDEX($FO349:$IH349,SwaptionMonthsToGo+SwaptionShift))*SUM(INDEX($FO$325:$IH$396,GC$169,1+SwaptionShift):INDEX($FO$325:$IH$396,GC$169,SwaptionMonthsToGo+SwaptionShift))))))</f>
        <v/>
      </c>
      <c r="GD194" s="469" t="str">
        <f ca="1">IF(OR(GD$169&lt;SwaptionFirstMonthPosition+1,$FN194&lt;SwaptionFirstMonthPosition+1,GD$169&gt;SwaptionFirstMonthPosition+SwaptionNumOfMonths+1,$FN194&gt;SwaptionFirstMonthPosition+SwaptionNumOfMonths+1),"",IF($FN194=GD$169,1,IF($FN194&lt;GD$169,INDEX($FO$170:$IH$241,GD$169,$FN194),SUMPRODUCT(INDEX($FO$325:$IH$396,GD$169,1+SwaptionShift):INDEX($FO$325:$IH$396,GD$169,SwaptionMonthsToGo+SwaptionShift),INDEX($FO$245:$IH$316,$FN194-GD$169,73-GD$169+SwaptionShift):INDEX($FO$245:$IH$316,$FN194-GD$169,72-GD$169+SwaptionMonthsToGo+SwaptionShift))/SQRT(SUM(INDEX($FO349:$IH349,1+SwaptionShift):INDEX($FO349:$IH349,SwaptionMonthsToGo+SwaptionShift))*SUM(INDEX($FO$325:$IH$396,GD$169,1+SwaptionShift):INDEX($FO$325:$IH$396,GD$169,SwaptionMonthsToGo+SwaptionShift))))))</f>
        <v/>
      </c>
      <c r="GE194" s="469" t="str">
        <f ca="1">IF(OR(GE$169&lt;SwaptionFirstMonthPosition+1,$FN194&lt;SwaptionFirstMonthPosition+1,GE$169&gt;SwaptionFirstMonthPosition+SwaptionNumOfMonths+1,$FN194&gt;SwaptionFirstMonthPosition+SwaptionNumOfMonths+1),"",IF($FN194=GE$169,1,IF($FN194&lt;GE$169,INDEX($FO$170:$IH$241,GE$169,$FN194),SUMPRODUCT(INDEX($FO$325:$IH$396,GE$169,1+SwaptionShift):INDEX($FO$325:$IH$396,GE$169,SwaptionMonthsToGo+SwaptionShift),INDEX($FO$245:$IH$316,$FN194-GE$169,73-GE$169+SwaptionShift):INDEX($FO$245:$IH$316,$FN194-GE$169,72-GE$169+SwaptionMonthsToGo+SwaptionShift))/SQRT(SUM(INDEX($FO349:$IH349,1+SwaptionShift):INDEX($FO349:$IH349,SwaptionMonthsToGo+SwaptionShift))*SUM(INDEX($FO$325:$IH$396,GE$169,1+SwaptionShift):INDEX($FO$325:$IH$396,GE$169,SwaptionMonthsToGo+SwaptionShift))))))</f>
        <v/>
      </c>
      <c r="GF194" s="469" t="str">
        <f ca="1">IF(OR(GF$169&lt;SwaptionFirstMonthPosition+1,$FN194&lt;SwaptionFirstMonthPosition+1,GF$169&gt;SwaptionFirstMonthPosition+SwaptionNumOfMonths+1,$FN194&gt;SwaptionFirstMonthPosition+SwaptionNumOfMonths+1),"",IF($FN194=GF$169,1,IF($FN194&lt;GF$169,INDEX($FO$170:$IH$241,GF$169,$FN194),SUMPRODUCT(INDEX($FO$325:$IH$396,GF$169,1+SwaptionShift):INDEX($FO$325:$IH$396,GF$169,SwaptionMonthsToGo+SwaptionShift),INDEX($FO$245:$IH$316,$FN194-GF$169,73-GF$169+SwaptionShift):INDEX($FO$245:$IH$316,$FN194-GF$169,72-GF$169+SwaptionMonthsToGo+SwaptionShift))/SQRT(SUM(INDEX($FO349:$IH349,1+SwaptionShift):INDEX($FO349:$IH349,SwaptionMonthsToGo+SwaptionShift))*SUM(INDEX($FO$325:$IH$396,GF$169,1+SwaptionShift):INDEX($FO$325:$IH$396,GF$169,SwaptionMonthsToGo+SwaptionShift))))))</f>
        <v/>
      </c>
      <c r="GG194" s="469" t="str">
        <f ca="1">IF(OR(GG$169&lt;SwaptionFirstMonthPosition+1,$FN194&lt;SwaptionFirstMonthPosition+1,GG$169&gt;SwaptionFirstMonthPosition+SwaptionNumOfMonths+1,$FN194&gt;SwaptionFirstMonthPosition+SwaptionNumOfMonths+1),"",IF($FN194=GG$169,1,IF($FN194&lt;GG$169,INDEX($FO$170:$IH$241,GG$169,$FN194),SUMPRODUCT(INDEX($FO$325:$IH$396,GG$169,1+SwaptionShift):INDEX($FO$325:$IH$396,GG$169,SwaptionMonthsToGo+SwaptionShift),INDEX($FO$245:$IH$316,$FN194-GG$169,73-GG$169+SwaptionShift):INDEX($FO$245:$IH$316,$FN194-GG$169,72-GG$169+SwaptionMonthsToGo+SwaptionShift))/SQRT(SUM(INDEX($FO349:$IH349,1+SwaptionShift):INDEX($FO349:$IH349,SwaptionMonthsToGo+SwaptionShift))*SUM(INDEX($FO$325:$IH$396,GG$169,1+SwaptionShift):INDEX($FO$325:$IH$396,GG$169,SwaptionMonthsToGo+SwaptionShift))))))</f>
        <v/>
      </c>
      <c r="GH194" s="469" t="str">
        <f ca="1">IF(OR(GH$169&lt;SwaptionFirstMonthPosition+1,$FN194&lt;SwaptionFirstMonthPosition+1,GH$169&gt;SwaptionFirstMonthPosition+SwaptionNumOfMonths+1,$FN194&gt;SwaptionFirstMonthPosition+SwaptionNumOfMonths+1),"",IF($FN194=GH$169,1,IF($FN194&lt;GH$169,INDEX($FO$170:$IH$241,GH$169,$FN194),SUMPRODUCT(INDEX($FO$325:$IH$396,GH$169,1+SwaptionShift):INDEX($FO$325:$IH$396,GH$169,SwaptionMonthsToGo+SwaptionShift),INDEX($FO$245:$IH$316,$FN194-GH$169,73-GH$169+SwaptionShift):INDEX($FO$245:$IH$316,$FN194-GH$169,72-GH$169+SwaptionMonthsToGo+SwaptionShift))/SQRT(SUM(INDEX($FO349:$IH349,1+SwaptionShift):INDEX($FO349:$IH349,SwaptionMonthsToGo+SwaptionShift))*SUM(INDEX($FO$325:$IH$396,GH$169,1+SwaptionShift):INDEX($FO$325:$IH$396,GH$169,SwaptionMonthsToGo+SwaptionShift))))))</f>
        <v/>
      </c>
      <c r="GI194" s="469" t="str">
        <f ca="1">IF(OR(GI$169&lt;SwaptionFirstMonthPosition+1,$FN194&lt;SwaptionFirstMonthPosition+1,GI$169&gt;SwaptionFirstMonthPosition+SwaptionNumOfMonths+1,$FN194&gt;SwaptionFirstMonthPosition+SwaptionNumOfMonths+1),"",IF($FN194=GI$169,1,IF($FN194&lt;GI$169,INDEX($FO$170:$IH$241,GI$169,$FN194),SUMPRODUCT(INDEX($FO$325:$IH$396,GI$169,1+SwaptionShift):INDEX($FO$325:$IH$396,GI$169,SwaptionMonthsToGo+SwaptionShift),INDEX($FO$245:$IH$316,$FN194-GI$169,73-GI$169+SwaptionShift):INDEX($FO$245:$IH$316,$FN194-GI$169,72-GI$169+SwaptionMonthsToGo+SwaptionShift))/SQRT(SUM(INDEX($FO349:$IH349,1+SwaptionShift):INDEX($FO349:$IH349,SwaptionMonthsToGo+SwaptionShift))*SUM(INDEX($FO$325:$IH$396,GI$169,1+SwaptionShift):INDEX($FO$325:$IH$396,GI$169,SwaptionMonthsToGo+SwaptionShift))))))</f>
        <v/>
      </c>
      <c r="GJ194" s="469" t="str">
        <f ca="1">IF(OR(GJ$169&lt;SwaptionFirstMonthPosition+1,$FN194&lt;SwaptionFirstMonthPosition+1,GJ$169&gt;SwaptionFirstMonthPosition+SwaptionNumOfMonths+1,$FN194&gt;SwaptionFirstMonthPosition+SwaptionNumOfMonths+1),"",IF($FN194=GJ$169,1,IF($FN194&lt;GJ$169,INDEX($FO$170:$IH$241,GJ$169,$FN194),SUMPRODUCT(INDEX($FO$325:$IH$396,GJ$169,1+SwaptionShift):INDEX($FO$325:$IH$396,GJ$169,SwaptionMonthsToGo+SwaptionShift),INDEX($FO$245:$IH$316,$FN194-GJ$169,73-GJ$169+SwaptionShift):INDEX($FO$245:$IH$316,$FN194-GJ$169,72-GJ$169+SwaptionMonthsToGo+SwaptionShift))/SQRT(SUM(INDEX($FO349:$IH349,1+SwaptionShift):INDEX($FO349:$IH349,SwaptionMonthsToGo+SwaptionShift))*SUM(INDEX($FO$325:$IH$396,GJ$169,1+SwaptionShift):INDEX($FO$325:$IH$396,GJ$169,SwaptionMonthsToGo+SwaptionShift))))))</f>
        <v/>
      </c>
      <c r="GK194" s="469" t="str">
        <f ca="1">IF(OR(GK$169&lt;SwaptionFirstMonthPosition+1,$FN194&lt;SwaptionFirstMonthPosition+1,GK$169&gt;SwaptionFirstMonthPosition+SwaptionNumOfMonths+1,$FN194&gt;SwaptionFirstMonthPosition+SwaptionNumOfMonths+1),"",IF($FN194=GK$169,1,IF($FN194&lt;GK$169,INDEX($FO$170:$IH$241,GK$169,$FN194),SUMPRODUCT(INDEX($FO$325:$IH$396,GK$169,1+SwaptionShift):INDEX($FO$325:$IH$396,GK$169,SwaptionMonthsToGo+SwaptionShift),INDEX($FO$245:$IH$316,$FN194-GK$169,73-GK$169+SwaptionShift):INDEX($FO$245:$IH$316,$FN194-GK$169,72-GK$169+SwaptionMonthsToGo+SwaptionShift))/SQRT(SUM(INDEX($FO349:$IH349,1+SwaptionShift):INDEX($FO349:$IH349,SwaptionMonthsToGo+SwaptionShift))*SUM(INDEX($FO$325:$IH$396,GK$169,1+SwaptionShift):INDEX($FO$325:$IH$396,GK$169,SwaptionMonthsToGo+SwaptionShift))))))</f>
        <v/>
      </c>
      <c r="GL194" s="469" t="str">
        <f ca="1">IF(OR(GL$169&lt;SwaptionFirstMonthPosition+1,$FN194&lt;SwaptionFirstMonthPosition+1,GL$169&gt;SwaptionFirstMonthPosition+SwaptionNumOfMonths+1,$FN194&gt;SwaptionFirstMonthPosition+SwaptionNumOfMonths+1),"",IF($FN194=GL$169,1,IF($FN194&lt;GL$169,INDEX($FO$170:$IH$241,GL$169,$FN194),SUMPRODUCT(INDEX($FO$325:$IH$396,GL$169,1+SwaptionShift):INDEX($FO$325:$IH$396,GL$169,SwaptionMonthsToGo+SwaptionShift),INDEX($FO$245:$IH$316,$FN194-GL$169,73-GL$169+SwaptionShift):INDEX($FO$245:$IH$316,$FN194-GL$169,72-GL$169+SwaptionMonthsToGo+SwaptionShift))/SQRT(SUM(INDEX($FO349:$IH349,1+SwaptionShift):INDEX($FO349:$IH349,SwaptionMonthsToGo+SwaptionShift))*SUM(INDEX($FO$325:$IH$396,GL$169,1+SwaptionShift):INDEX($FO$325:$IH$396,GL$169,SwaptionMonthsToGo+SwaptionShift))))))</f>
        <v/>
      </c>
      <c r="GM194" s="469" t="str">
        <f ca="1">IF(OR(GM$169&lt;SwaptionFirstMonthPosition+1,$FN194&lt;SwaptionFirstMonthPosition+1,GM$169&gt;SwaptionFirstMonthPosition+SwaptionNumOfMonths+1,$FN194&gt;SwaptionFirstMonthPosition+SwaptionNumOfMonths+1),"",IF($FN194=GM$169,1,IF($FN194&lt;GM$169,INDEX($FO$170:$IH$241,GM$169,$FN194),SUMPRODUCT(INDEX($FO$325:$IH$396,GM$169,1+SwaptionShift):INDEX($FO$325:$IH$396,GM$169,SwaptionMonthsToGo+SwaptionShift),INDEX($FO$245:$IH$316,$FN194-GM$169,73-GM$169+SwaptionShift):INDEX($FO$245:$IH$316,$FN194-GM$169,72-GM$169+SwaptionMonthsToGo+SwaptionShift))/SQRT(SUM(INDEX($FO349:$IH349,1+SwaptionShift):INDEX($FO349:$IH349,SwaptionMonthsToGo+SwaptionShift))*SUM(INDEX($FO$325:$IH$396,GM$169,1+SwaptionShift):INDEX($FO$325:$IH$396,GM$169,SwaptionMonthsToGo+SwaptionShift))))))</f>
        <v/>
      </c>
      <c r="GN194" s="469" t="str">
        <f ca="1">IF(OR(GN$169&lt;SwaptionFirstMonthPosition+1,$FN194&lt;SwaptionFirstMonthPosition+1,GN$169&gt;SwaptionFirstMonthPosition+SwaptionNumOfMonths+1,$FN194&gt;SwaptionFirstMonthPosition+SwaptionNumOfMonths+1),"",IF($FN194=GN$169,1,IF($FN194&lt;GN$169,INDEX($FO$170:$IH$241,GN$169,$FN194),SUMPRODUCT(INDEX($FO$325:$IH$396,GN$169,1+SwaptionShift):INDEX($FO$325:$IH$396,GN$169,SwaptionMonthsToGo+SwaptionShift),INDEX($FO$245:$IH$316,$FN194-GN$169,73-GN$169+SwaptionShift):INDEX($FO$245:$IH$316,$FN194-GN$169,72-GN$169+SwaptionMonthsToGo+SwaptionShift))/SQRT(SUM(INDEX($FO349:$IH349,1+SwaptionShift):INDEX($FO349:$IH349,SwaptionMonthsToGo+SwaptionShift))*SUM(INDEX($FO$325:$IH$396,GN$169,1+SwaptionShift):INDEX($FO$325:$IH$396,GN$169,SwaptionMonthsToGo+SwaptionShift))))))</f>
        <v/>
      </c>
      <c r="GO194" s="469" t="str">
        <f ca="1">IF(OR(GO$169&lt;SwaptionFirstMonthPosition+1,$FN194&lt;SwaptionFirstMonthPosition+1,GO$169&gt;SwaptionFirstMonthPosition+SwaptionNumOfMonths+1,$FN194&gt;SwaptionFirstMonthPosition+SwaptionNumOfMonths+1),"",IF($FN194=GO$169,1,IF($FN194&lt;GO$169,INDEX($FO$170:$IH$241,GO$169,$FN194),SUMPRODUCT(INDEX($FO$325:$IH$396,GO$169,1+SwaptionShift):INDEX($FO$325:$IH$396,GO$169,SwaptionMonthsToGo+SwaptionShift),INDEX($FO$245:$IH$316,$FN194-GO$169,73-GO$169+SwaptionShift):INDEX($FO$245:$IH$316,$FN194-GO$169,72-GO$169+SwaptionMonthsToGo+SwaptionShift))/SQRT(SUM(INDEX($FO349:$IH349,1+SwaptionShift):INDEX($FO349:$IH349,SwaptionMonthsToGo+SwaptionShift))*SUM(INDEX($FO$325:$IH$396,GO$169,1+SwaptionShift):INDEX($FO$325:$IH$396,GO$169,SwaptionMonthsToGo+SwaptionShift))))))</f>
        <v/>
      </c>
      <c r="GP194" s="469" t="str">
        <f ca="1">IF(OR(GP$169&lt;SwaptionFirstMonthPosition+1,$FN194&lt;SwaptionFirstMonthPosition+1,GP$169&gt;SwaptionFirstMonthPosition+SwaptionNumOfMonths+1,$FN194&gt;SwaptionFirstMonthPosition+SwaptionNumOfMonths+1),"",IF($FN194=GP$169,1,IF($FN194&lt;GP$169,INDEX($FO$170:$IH$241,GP$169,$FN194),SUMPRODUCT(INDEX($FO$325:$IH$396,GP$169,1+SwaptionShift):INDEX($FO$325:$IH$396,GP$169,SwaptionMonthsToGo+SwaptionShift),INDEX($FO$245:$IH$316,$FN194-GP$169,73-GP$169+SwaptionShift):INDEX($FO$245:$IH$316,$FN194-GP$169,72-GP$169+SwaptionMonthsToGo+SwaptionShift))/SQRT(SUM(INDEX($FO349:$IH349,1+SwaptionShift):INDEX($FO349:$IH349,SwaptionMonthsToGo+SwaptionShift))*SUM(INDEX($FO$325:$IH$396,GP$169,1+SwaptionShift):INDEX($FO$325:$IH$396,GP$169,SwaptionMonthsToGo+SwaptionShift))))))</f>
        <v/>
      </c>
      <c r="GQ194" s="469" t="str">
        <f ca="1">IF(OR(GQ$169&lt;SwaptionFirstMonthPosition+1,$FN194&lt;SwaptionFirstMonthPosition+1,GQ$169&gt;SwaptionFirstMonthPosition+SwaptionNumOfMonths+1,$FN194&gt;SwaptionFirstMonthPosition+SwaptionNumOfMonths+1),"",IF($FN194=GQ$169,1,IF($FN194&lt;GQ$169,INDEX($FO$170:$IH$241,GQ$169,$FN194),SUMPRODUCT(INDEX($FO$325:$IH$396,GQ$169,1+SwaptionShift):INDEX($FO$325:$IH$396,GQ$169,SwaptionMonthsToGo+SwaptionShift),INDEX($FO$245:$IH$316,$FN194-GQ$169,73-GQ$169+SwaptionShift):INDEX($FO$245:$IH$316,$FN194-GQ$169,72-GQ$169+SwaptionMonthsToGo+SwaptionShift))/SQRT(SUM(INDEX($FO349:$IH349,1+SwaptionShift):INDEX($FO349:$IH349,SwaptionMonthsToGo+SwaptionShift))*SUM(INDEX($FO$325:$IH$396,GQ$169,1+SwaptionShift):INDEX($FO$325:$IH$396,GQ$169,SwaptionMonthsToGo+SwaptionShift))))))</f>
        <v/>
      </c>
      <c r="GR194" s="469" t="str">
        <f ca="1">IF(OR(GR$169&lt;SwaptionFirstMonthPosition+1,$FN194&lt;SwaptionFirstMonthPosition+1,GR$169&gt;SwaptionFirstMonthPosition+SwaptionNumOfMonths+1,$FN194&gt;SwaptionFirstMonthPosition+SwaptionNumOfMonths+1),"",IF($FN194=GR$169,1,IF($FN194&lt;GR$169,INDEX($FO$170:$IH$241,GR$169,$FN194),SUMPRODUCT(INDEX($FO$325:$IH$396,GR$169,1+SwaptionShift):INDEX($FO$325:$IH$396,GR$169,SwaptionMonthsToGo+SwaptionShift),INDEX($FO$245:$IH$316,$FN194-GR$169,73-GR$169+SwaptionShift):INDEX($FO$245:$IH$316,$FN194-GR$169,72-GR$169+SwaptionMonthsToGo+SwaptionShift))/SQRT(SUM(INDEX($FO349:$IH349,1+SwaptionShift):INDEX($FO349:$IH349,SwaptionMonthsToGo+SwaptionShift))*SUM(INDEX($FO$325:$IH$396,GR$169,1+SwaptionShift):INDEX($FO$325:$IH$396,GR$169,SwaptionMonthsToGo+SwaptionShift))))))</f>
        <v/>
      </c>
      <c r="GS194" s="469" t="str">
        <f ca="1">IF(OR(GS$169&lt;SwaptionFirstMonthPosition+1,$FN194&lt;SwaptionFirstMonthPosition+1,GS$169&gt;SwaptionFirstMonthPosition+SwaptionNumOfMonths+1,$FN194&gt;SwaptionFirstMonthPosition+SwaptionNumOfMonths+1),"",IF($FN194=GS$169,1,IF($FN194&lt;GS$169,INDEX($FO$170:$IH$241,GS$169,$FN194),SUMPRODUCT(INDEX($FO$325:$IH$396,GS$169,1+SwaptionShift):INDEX($FO$325:$IH$396,GS$169,SwaptionMonthsToGo+SwaptionShift),INDEX($FO$245:$IH$316,$FN194-GS$169,73-GS$169+SwaptionShift):INDEX($FO$245:$IH$316,$FN194-GS$169,72-GS$169+SwaptionMonthsToGo+SwaptionShift))/SQRT(SUM(INDEX($FO349:$IH349,1+SwaptionShift):INDEX($FO349:$IH349,SwaptionMonthsToGo+SwaptionShift))*SUM(INDEX($FO$325:$IH$396,GS$169,1+SwaptionShift):INDEX($FO$325:$IH$396,GS$169,SwaptionMonthsToGo+SwaptionShift))))))</f>
        <v/>
      </c>
      <c r="GT194" s="469" t="str">
        <f ca="1">IF(OR(GT$169&lt;SwaptionFirstMonthPosition+1,$FN194&lt;SwaptionFirstMonthPosition+1,GT$169&gt;SwaptionFirstMonthPosition+SwaptionNumOfMonths+1,$FN194&gt;SwaptionFirstMonthPosition+SwaptionNumOfMonths+1),"",IF($FN194=GT$169,1,IF($FN194&lt;GT$169,INDEX($FO$170:$IH$241,GT$169,$FN194),SUMPRODUCT(INDEX($FO$325:$IH$396,GT$169,1+SwaptionShift):INDEX($FO$325:$IH$396,GT$169,SwaptionMonthsToGo+SwaptionShift),INDEX($FO$245:$IH$316,$FN194-GT$169,73-GT$169+SwaptionShift):INDEX($FO$245:$IH$316,$FN194-GT$169,72-GT$169+SwaptionMonthsToGo+SwaptionShift))/SQRT(SUM(INDEX($FO349:$IH349,1+SwaptionShift):INDEX($FO349:$IH349,SwaptionMonthsToGo+SwaptionShift))*SUM(INDEX($FO$325:$IH$396,GT$169,1+SwaptionShift):INDEX($FO$325:$IH$396,GT$169,SwaptionMonthsToGo+SwaptionShift))))))</f>
        <v/>
      </c>
      <c r="GU194" s="469" t="str">
        <f ca="1">IF(OR(GU$169&lt;SwaptionFirstMonthPosition+1,$FN194&lt;SwaptionFirstMonthPosition+1,GU$169&gt;SwaptionFirstMonthPosition+SwaptionNumOfMonths+1,$FN194&gt;SwaptionFirstMonthPosition+SwaptionNumOfMonths+1),"",IF($FN194=GU$169,1,IF($FN194&lt;GU$169,INDEX($FO$170:$IH$241,GU$169,$FN194),SUMPRODUCT(INDEX($FO$325:$IH$396,GU$169,1+SwaptionShift):INDEX($FO$325:$IH$396,GU$169,SwaptionMonthsToGo+SwaptionShift),INDEX($FO$245:$IH$316,$FN194-GU$169,73-GU$169+SwaptionShift):INDEX($FO$245:$IH$316,$FN194-GU$169,72-GU$169+SwaptionMonthsToGo+SwaptionShift))/SQRT(SUM(INDEX($FO349:$IH349,1+SwaptionShift):INDEX($FO349:$IH349,SwaptionMonthsToGo+SwaptionShift))*SUM(INDEX($FO$325:$IH$396,GU$169,1+SwaptionShift):INDEX($FO$325:$IH$396,GU$169,SwaptionMonthsToGo+SwaptionShift))))))</f>
        <v/>
      </c>
      <c r="GV194" s="469" t="str">
        <f ca="1">IF(OR(GV$169&lt;SwaptionFirstMonthPosition+1,$FN194&lt;SwaptionFirstMonthPosition+1,GV$169&gt;SwaptionFirstMonthPosition+SwaptionNumOfMonths+1,$FN194&gt;SwaptionFirstMonthPosition+SwaptionNumOfMonths+1),"",IF($FN194=GV$169,1,IF($FN194&lt;GV$169,INDEX($FO$170:$IH$241,GV$169,$FN194),SUMPRODUCT(INDEX($FO$325:$IH$396,GV$169,1+SwaptionShift):INDEX($FO$325:$IH$396,GV$169,SwaptionMonthsToGo+SwaptionShift),INDEX($FO$245:$IH$316,$FN194-GV$169,73-GV$169+SwaptionShift):INDEX($FO$245:$IH$316,$FN194-GV$169,72-GV$169+SwaptionMonthsToGo+SwaptionShift))/SQRT(SUM(INDEX($FO349:$IH349,1+SwaptionShift):INDEX($FO349:$IH349,SwaptionMonthsToGo+SwaptionShift))*SUM(INDEX($FO$325:$IH$396,GV$169,1+SwaptionShift):INDEX($FO$325:$IH$396,GV$169,SwaptionMonthsToGo+SwaptionShift))))))</f>
        <v/>
      </c>
      <c r="GW194" s="469" t="str">
        <f ca="1">IF(OR(GW$169&lt;SwaptionFirstMonthPosition+1,$FN194&lt;SwaptionFirstMonthPosition+1,GW$169&gt;SwaptionFirstMonthPosition+SwaptionNumOfMonths+1,$FN194&gt;SwaptionFirstMonthPosition+SwaptionNumOfMonths+1),"",IF($FN194=GW$169,1,IF($FN194&lt;GW$169,INDEX($FO$170:$IH$241,GW$169,$FN194),SUMPRODUCT(INDEX($FO$325:$IH$396,GW$169,1+SwaptionShift):INDEX($FO$325:$IH$396,GW$169,SwaptionMonthsToGo+SwaptionShift),INDEX($FO$245:$IH$316,$FN194-GW$169,73-GW$169+SwaptionShift):INDEX($FO$245:$IH$316,$FN194-GW$169,72-GW$169+SwaptionMonthsToGo+SwaptionShift))/SQRT(SUM(INDEX($FO349:$IH349,1+SwaptionShift):INDEX($FO349:$IH349,SwaptionMonthsToGo+SwaptionShift))*SUM(INDEX($FO$325:$IH$396,GW$169,1+SwaptionShift):INDEX($FO$325:$IH$396,GW$169,SwaptionMonthsToGo+SwaptionShift))))))</f>
        <v/>
      </c>
      <c r="GX194" s="469" t="str">
        <f ca="1">IF(OR(GX$169&lt;SwaptionFirstMonthPosition+1,$FN194&lt;SwaptionFirstMonthPosition+1,GX$169&gt;SwaptionFirstMonthPosition+SwaptionNumOfMonths+1,$FN194&gt;SwaptionFirstMonthPosition+SwaptionNumOfMonths+1),"",IF($FN194=GX$169,1,IF($FN194&lt;GX$169,INDEX($FO$170:$IH$241,GX$169,$FN194),SUMPRODUCT(INDEX($FO$325:$IH$396,GX$169,1+SwaptionShift):INDEX($FO$325:$IH$396,GX$169,SwaptionMonthsToGo+SwaptionShift),INDEX($FO$245:$IH$316,$FN194-GX$169,73-GX$169+SwaptionShift):INDEX($FO$245:$IH$316,$FN194-GX$169,72-GX$169+SwaptionMonthsToGo+SwaptionShift))/SQRT(SUM(INDEX($FO349:$IH349,1+SwaptionShift):INDEX($FO349:$IH349,SwaptionMonthsToGo+SwaptionShift))*SUM(INDEX($FO$325:$IH$396,GX$169,1+SwaptionShift):INDEX($FO$325:$IH$396,GX$169,SwaptionMonthsToGo+SwaptionShift))))))</f>
        <v/>
      </c>
      <c r="GY194" s="469" t="str">
        <f ca="1">IF(OR(GY$169&lt;SwaptionFirstMonthPosition+1,$FN194&lt;SwaptionFirstMonthPosition+1,GY$169&gt;SwaptionFirstMonthPosition+SwaptionNumOfMonths+1,$FN194&gt;SwaptionFirstMonthPosition+SwaptionNumOfMonths+1),"",IF($FN194=GY$169,1,IF($FN194&lt;GY$169,INDEX($FO$170:$IH$241,GY$169,$FN194),SUMPRODUCT(INDEX($FO$325:$IH$396,GY$169,1+SwaptionShift):INDEX($FO$325:$IH$396,GY$169,SwaptionMonthsToGo+SwaptionShift),INDEX($FO$245:$IH$316,$FN194-GY$169,73-GY$169+SwaptionShift):INDEX($FO$245:$IH$316,$FN194-GY$169,72-GY$169+SwaptionMonthsToGo+SwaptionShift))/SQRT(SUM(INDEX($FO349:$IH349,1+SwaptionShift):INDEX($FO349:$IH349,SwaptionMonthsToGo+SwaptionShift))*SUM(INDEX($FO$325:$IH$396,GY$169,1+SwaptionShift):INDEX($FO$325:$IH$396,GY$169,SwaptionMonthsToGo+SwaptionShift))))))</f>
        <v/>
      </c>
      <c r="GZ194" s="469" t="str">
        <f ca="1">IF(OR(GZ$169&lt;SwaptionFirstMonthPosition+1,$FN194&lt;SwaptionFirstMonthPosition+1,GZ$169&gt;SwaptionFirstMonthPosition+SwaptionNumOfMonths+1,$FN194&gt;SwaptionFirstMonthPosition+SwaptionNumOfMonths+1),"",IF($FN194=GZ$169,1,IF($FN194&lt;GZ$169,INDEX($FO$170:$IH$241,GZ$169,$FN194),SUMPRODUCT(INDEX($FO$325:$IH$396,GZ$169,1+SwaptionShift):INDEX($FO$325:$IH$396,GZ$169,SwaptionMonthsToGo+SwaptionShift),INDEX($FO$245:$IH$316,$FN194-GZ$169,73-GZ$169+SwaptionShift):INDEX($FO$245:$IH$316,$FN194-GZ$169,72-GZ$169+SwaptionMonthsToGo+SwaptionShift))/SQRT(SUM(INDEX($FO349:$IH349,1+SwaptionShift):INDEX($FO349:$IH349,SwaptionMonthsToGo+SwaptionShift))*SUM(INDEX($FO$325:$IH$396,GZ$169,1+SwaptionShift):INDEX($FO$325:$IH$396,GZ$169,SwaptionMonthsToGo+SwaptionShift))))))</f>
        <v/>
      </c>
      <c r="HA194" s="469" t="str">
        <f ca="1">IF(OR(HA$169&lt;SwaptionFirstMonthPosition+1,$FN194&lt;SwaptionFirstMonthPosition+1,HA$169&gt;SwaptionFirstMonthPosition+SwaptionNumOfMonths+1,$FN194&gt;SwaptionFirstMonthPosition+SwaptionNumOfMonths+1),"",IF($FN194=HA$169,1,IF($FN194&lt;HA$169,INDEX($FO$170:$IH$241,HA$169,$FN194),SUMPRODUCT(INDEX($FO$325:$IH$396,HA$169,1+SwaptionShift):INDEX($FO$325:$IH$396,HA$169,SwaptionMonthsToGo+SwaptionShift),INDEX($FO$245:$IH$316,$FN194-HA$169,73-HA$169+SwaptionShift):INDEX($FO$245:$IH$316,$FN194-HA$169,72-HA$169+SwaptionMonthsToGo+SwaptionShift))/SQRT(SUM(INDEX($FO349:$IH349,1+SwaptionShift):INDEX($FO349:$IH349,SwaptionMonthsToGo+SwaptionShift))*SUM(INDEX($FO$325:$IH$396,HA$169,1+SwaptionShift):INDEX($FO$325:$IH$396,HA$169,SwaptionMonthsToGo+SwaptionShift))))))</f>
        <v/>
      </c>
      <c r="HB194" s="469" t="str">
        <f ca="1">IF(OR(HB$169&lt;SwaptionFirstMonthPosition+1,$FN194&lt;SwaptionFirstMonthPosition+1,HB$169&gt;SwaptionFirstMonthPosition+SwaptionNumOfMonths+1,$FN194&gt;SwaptionFirstMonthPosition+SwaptionNumOfMonths+1),"",IF($FN194=HB$169,1,IF($FN194&lt;HB$169,INDEX($FO$170:$IH$241,HB$169,$FN194),SUMPRODUCT(INDEX($FO$325:$IH$396,HB$169,1+SwaptionShift):INDEX($FO$325:$IH$396,HB$169,SwaptionMonthsToGo+SwaptionShift),INDEX($FO$245:$IH$316,$FN194-HB$169,73-HB$169+SwaptionShift):INDEX($FO$245:$IH$316,$FN194-HB$169,72-HB$169+SwaptionMonthsToGo+SwaptionShift))/SQRT(SUM(INDEX($FO349:$IH349,1+SwaptionShift):INDEX($FO349:$IH349,SwaptionMonthsToGo+SwaptionShift))*SUM(INDEX($FO$325:$IH$396,HB$169,1+SwaptionShift):INDEX($FO$325:$IH$396,HB$169,SwaptionMonthsToGo+SwaptionShift))))))</f>
        <v/>
      </c>
      <c r="HC194" s="469" t="str">
        <f ca="1">IF(OR(HC$169&lt;SwaptionFirstMonthPosition+1,$FN194&lt;SwaptionFirstMonthPosition+1,HC$169&gt;SwaptionFirstMonthPosition+SwaptionNumOfMonths+1,$FN194&gt;SwaptionFirstMonthPosition+SwaptionNumOfMonths+1),"",IF($FN194=HC$169,1,IF($FN194&lt;HC$169,INDEX($FO$170:$IH$241,HC$169,$FN194),SUMPRODUCT(INDEX($FO$325:$IH$396,HC$169,1+SwaptionShift):INDEX($FO$325:$IH$396,HC$169,SwaptionMonthsToGo+SwaptionShift),INDEX($FO$245:$IH$316,$FN194-HC$169,73-HC$169+SwaptionShift):INDEX($FO$245:$IH$316,$FN194-HC$169,72-HC$169+SwaptionMonthsToGo+SwaptionShift))/SQRT(SUM(INDEX($FO349:$IH349,1+SwaptionShift):INDEX($FO349:$IH349,SwaptionMonthsToGo+SwaptionShift))*SUM(INDEX($FO$325:$IH$396,HC$169,1+SwaptionShift):INDEX($FO$325:$IH$396,HC$169,SwaptionMonthsToGo+SwaptionShift))))))</f>
        <v/>
      </c>
      <c r="HD194" s="469" t="str">
        <f ca="1">IF(OR(HD$169&lt;SwaptionFirstMonthPosition+1,$FN194&lt;SwaptionFirstMonthPosition+1,HD$169&gt;SwaptionFirstMonthPosition+SwaptionNumOfMonths+1,$FN194&gt;SwaptionFirstMonthPosition+SwaptionNumOfMonths+1),"",IF($FN194=HD$169,1,IF($FN194&lt;HD$169,INDEX($FO$170:$IH$241,HD$169,$FN194),SUMPRODUCT(INDEX($FO$325:$IH$396,HD$169,1+SwaptionShift):INDEX($FO$325:$IH$396,HD$169,SwaptionMonthsToGo+SwaptionShift),INDEX($FO$245:$IH$316,$FN194-HD$169,73-HD$169+SwaptionShift):INDEX($FO$245:$IH$316,$FN194-HD$169,72-HD$169+SwaptionMonthsToGo+SwaptionShift))/SQRT(SUM(INDEX($FO349:$IH349,1+SwaptionShift):INDEX($FO349:$IH349,SwaptionMonthsToGo+SwaptionShift))*SUM(INDEX($FO$325:$IH$396,HD$169,1+SwaptionShift):INDEX($FO$325:$IH$396,HD$169,SwaptionMonthsToGo+SwaptionShift))))))</f>
        <v/>
      </c>
      <c r="HE194" s="469" t="str">
        <f ca="1">IF(OR(HE$169&lt;SwaptionFirstMonthPosition+1,$FN194&lt;SwaptionFirstMonthPosition+1,HE$169&gt;SwaptionFirstMonthPosition+SwaptionNumOfMonths+1,$FN194&gt;SwaptionFirstMonthPosition+SwaptionNumOfMonths+1),"",IF($FN194=HE$169,1,IF($FN194&lt;HE$169,INDEX($FO$170:$IH$241,HE$169,$FN194),SUMPRODUCT(INDEX($FO$325:$IH$396,HE$169,1+SwaptionShift):INDEX($FO$325:$IH$396,HE$169,SwaptionMonthsToGo+SwaptionShift),INDEX($FO$245:$IH$316,$FN194-HE$169,73-HE$169+SwaptionShift):INDEX($FO$245:$IH$316,$FN194-HE$169,72-HE$169+SwaptionMonthsToGo+SwaptionShift))/SQRT(SUM(INDEX($FO349:$IH349,1+SwaptionShift):INDEX($FO349:$IH349,SwaptionMonthsToGo+SwaptionShift))*SUM(INDEX($FO$325:$IH$396,HE$169,1+SwaptionShift):INDEX($FO$325:$IH$396,HE$169,SwaptionMonthsToGo+SwaptionShift))))))</f>
        <v/>
      </c>
      <c r="HF194" s="469" t="str">
        <f ca="1">IF(OR(HF$169&lt;SwaptionFirstMonthPosition+1,$FN194&lt;SwaptionFirstMonthPosition+1,HF$169&gt;SwaptionFirstMonthPosition+SwaptionNumOfMonths+1,$FN194&gt;SwaptionFirstMonthPosition+SwaptionNumOfMonths+1),"",IF($FN194=HF$169,1,IF($FN194&lt;HF$169,INDEX($FO$170:$IH$241,HF$169,$FN194),SUMPRODUCT(INDEX($FO$325:$IH$396,HF$169,1+SwaptionShift):INDEX($FO$325:$IH$396,HF$169,SwaptionMonthsToGo+SwaptionShift),INDEX($FO$245:$IH$316,$FN194-HF$169,73-HF$169+SwaptionShift):INDEX($FO$245:$IH$316,$FN194-HF$169,72-HF$169+SwaptionMonthsToGo+SwaptionShift))/SQRT(SUM(INDEX($FO349:$IH349,1+SwaptionShift):INDEX($FO349:$IH349,SwaptionMonthsToGo+SwaptionShift))*SUM(INDEX($FO$325:$IH$396,HF$169,1+SwaptionShift):INDEX($FO$325:$IH$396,HF$169,SwaptionMonthsToGo+SwaptionShift))))))</f>
        <v/>
      </c>
      <c r="HG194" s="469" t="str">
        <f ca="1">IF(OR(HG$169&lt;SwaptionFirstMonthPosition+1,$FN194&lt;SwaptionFirstMonthPosition+1,HG$169&gt;SwaptionFirstMonthPosition+SwaptionNumOfMonths+1,$FN194&gt;SwaptionFirstMonthPosition+SwaptionNumOfMonths+1),"",IF($FN194=HG$169,1,IF($FN194&lt;HG$169,INDEX($FO$170:$IH$241,HG$169,$FN194),SUMPRODUCT(INDEX($FO$325:$IH$396,HG$169,1+SwaptionShift):INDEX($FO$325:$IH$396,HG$169,SwaptionMonthsToGo+SwaptionShift),INDEX($FO$245:$IH$316,$FN194-HG$169,73-HG$169+SwaptionShift):INDEX($FO$245:$IH$316,$FN194-HG$169,72-HG$169+SwaptionMonthsToGo+SwaptionShift))/SQRT(SUM(INDEX($FO349:$IH349,1+SwaptionShift):INDEX($FO349:$IH349,SwaptionMonthsToGo+SwaptionShift))*SUM(INDEX($FO$325:$IH$396,HG$169,1+SwaptionShift):INDEX($FO$325:$IH$396,HG$169,SwaptionMonthsToGo+SwaptionShift))))))</f>
        <v/>
      </c>
      <c r="HH194" s="469" t="str">
        <f ca="1">IF(OR(HH$169&lt;SwaptionFirstMonthPosition+1,$FN194&lt;SwaptionFirstMonthPosition+1,HH$169&gt;SwaptionFirstMonthPosition+SwaptionNumOfMonths+1,$FN194&gt;SwaptionFirstMonthPosition+SwaptionNumOfMonths+1),"",IF($FN194=HH$169,1,IF($FN194&lt;HH$169,INDEX($FO$170:$IH$241,HH$169,$FN194),SUMPRODUCT(INDEX($FO$325:$IH$396,HH$169,1+SwaptionShift):INDEX($FO$325:$IH$396,HH$169,SwaptionMonthsToGo+SwaptionShift),INDEX($FO$245:$IH$316,$FN194-HH$169,73-HH$169+SwaptionShift):INDEX($FO$245:$IH$316,$FN194-HH$169,72-HH$169+SwaptionMonthsToGo+SwaptionShift))/SQRT(SUM(INDEX($FO349:$IH349,1+SwaptionShift):INDEX($FO349:$IH349,SwaptionMonthsToGo+SwaptionShift))*SUM(INDEX($FO$325:$IH$396,HH$169,1+SwaptionShift):INDEX($FO$325:$IH$396,HH$169,SwaptionMonthsToGo+SwaptionShift))))))</f>
        <v/>
      </c>
      <c r="HI194" s="469" t="str">
        <f ca="1">IF(OR(HI$169&lt;SwaptionFirstMonthPosition+1,$FN194&lt;SwaptionFirstMonthPosition+1,HI$169&gt;SwaptionFirstMonthPosition+SwaptionNumOfMonths+1,$FN194&gt;SwaptionFirstMonthPosition+SwaptionNumOfMonths+1),"",IF($FN194=HI$169,1,IF($FN194&lt;HI$169,INDEX($FO$170:$IH$241,HI$169,$FN194),SUMPRODUCT(INDEX($FO$325:$IH$396,HI$169,1+SwaptionShift):INDEX($FO$325:$IH$396,HI$169,SwaptionMonthsToGo+SwaptionShift),INDEX($FO$245:$IH$316,$FN194-HI$169,73-HI$169+SwaptionShift):INDEX($FO$245:$IH$316,$FN194-HI$169,72-HI$169+SwaptionMonthsToGo+SwaptionShift))/SQRT(SUM(INDEX($FO349:$IH349,1+SwaptionShift):INDEX($FO349:$IH349,SwaptionMonthsToGo+SwaptionShift))*SUM(INDEX($FO$325:$IH$396,HI$169,1+SwaptionShift):INDEX($FO$325:$IH$396,HI$169,SwaptionMonthsToGo+SwaptionShift))))))</f>
        <v/>
      </c>
      <c r="HJ194" s="469" t="str">
        <f ca="1">IF(OR(HJ$169&lt;SwaptionFirstMonthPosition+1,$FN194&lt;SwaptionFirstMonthPosition+1,HJ$169&gt;SwaptionFirstMonthPosition+SwaptionNumOfMonths+1,$FN194&gt;SwaptionFirstMonthPosition+SwaptionNumOfMonths+1),"",IF($FN194=HJ$169,1,IF($FN194&lt;HJ$169,INDEX($FO$170:$IH$241,HJ$169,$FN194),SUMPRODUCT(INDEX($FO$325:$IH$396,HJ$169,1+SwaptionShift):INDEX($FO$325:$IH$396,HJ$169,SwaptionMonthsToGo+SwaptionShift),INDEX($FO$245:$IH$316,$FN194-HJ$169,73-HJ$169+SwaptionShift):INDEX($FO$245:$IH$316,$FN194-HJ$169,72-HJ$169+SwaptionMonthsToGo+SwaptionShift))/SQRT(SUM(INDEX($FO349:$IH349,1+SwaptionShift):INDEX($FO349:$IH349,SwaptionMonthsToGo+SwaptionShift))*SUM(INDEX($FO$325:$IH$396,HJ$169,1+SwaptionShift):INDEX($FO$325:$IH$396,HJ$169,SwaptionMonthsToGo+SwaptionShift))))))</f>
        <v/>
      </c>
      <c r="HK194" s="469" t="str">
        <f ca="1">IF(OR(HK$169&lt;SwaptionFirstMonthPosition+1,$FN194&lt;SwaptionFirstMonthPosition+1,HK$169&gt;SwaptionFirstMonthPosition+SwaptionNumOfMonths+1,$FN194&gt;SwaptionFirstMonthPosition+SwaptionNumOfMonths+1),"",IF($FN194=HK$169,1,IF($FN194&lt;HK$169,INDEX($FO$170:$IH$241,HK$169,$FN194),SUMPRODUCT(INDEX($FO$325:$IH$396,HK$169,1+SwaptionShift):INDEX($FO$325:$IH$396,HK$169,SwaptionMonthsToGo+SwaptionShift),INDEX($FO$245:$IH$316,$FN194-HK$169,73-HK$169+SwaptionShift):INDEX($FO$245:$IH$316,$FN194-HK$169,72-HK$169+SwaptionMonthsToGo+SwaptionShift))/SQRT(SUM(INDEX($FO349:$IH349,1+SwaptionShift):INDEX($FO349:$IH349,SwaptionMonthsToGo+SwaptionShift))*SUM(INDEX($FO$325:$IH$396,HK$169,1+SwaptionShift):INDEX($FO$325:$IH$396,HK$169,SwaptionMonthsToGo+SwaptionShift))))))</f>
        <v/>
      </c>
      <c r="HL194" s="469" t="str">
        <f ca="1">IF(OR(HL$169&lt;SwaptionFirstMonthPosition+1,$FN194&lt;SwaptionFirstMonthPosition+1,HL$169&gt;SwaptionFirstMonthPosition+SwaptionNumOfMonths+1,$FN194&gt;SwaptionFirstMonthPosition+SwaptionNumOfMonths+1),"",IF($FN194=HL$169,1,IF($FN194&lt;HL$169,INDEX($FO$170:$IH$241,HL$169,$FN194),SUMPRODUCT(INDEX($FO$325:$IH$396,HL$169,1+SwaptionShift):INDEX($FO$325:$IH$396,HL$169,SwaptionMonthsToGo+SwaptionShift),INDEX($FO$245:$IH$316,$FN194-HL$169,73-HL$169+SwaptionShift):INDEX($FO$245:$IH$316,$FN194-HL$169,72-HL$169+SwaptionMonthsToGo+SwaptionShift))/SQRT(SUM(INDEX($FO349:$IH349,1+SwaptionShift):INDEX($FO349:$IH349,SwaptionMonthsToGo+SwaptionShift))*SUM(INDEX($FO$325:$IH$396,HL$169,1+SwaptionShift):INDEX($FO$325:$IH$396,HL$169,SwaptionMonthsToGo+SwaptionShift))))))</f>
        <v/>
      </c>
      <c r="HM194" s="469" t="str">
        <f ca="1">IF(OR(HM$169&lt;SwaptionFirstMonthPosition+1,$FN194&lt;SwaptionFirstMonthPosition+1,HM$169&gt;SwaptionFirstMonthPosition+SwaptionNumOfMonths+1,$FN194&gt;SwaptionFirstMonthPosition+SwaptionNumOfMonths+1),"",IF($FN194=HM$169,1,IF($FN194&lt;HM$169,INDEX($FO$170:$IH$241,HM$169,$FN194),SUMPRODUCT(INDEX($FO$325:$IH$396,HM$169,1+SwaptionShift):INDEX($FO$325:$IH$396,HM$169,SwaptionMonthsToGo+SwaptionShift),INDEX($FO$245:$IH$316,$FN194-HM$169,73-HM$169+SwaptionShift):INDEX($FO$245:$IH$316,$FN194-HM$169,72-HM$169+SwaptionMonthsToGo+SwaptionShift))/SQRT(SUM(INDEX($FO349:$IH349,1+SwaptionShift):INDEX($FO349:$IH349,SwaptionMonthsToGo+SwaptionShift))*SUM(INDEX($FO$325:$IH$396,HM$169,1+SwaptionShift):INDEX($FO$325:$IH$396,HM$169,SwaptionMonthsToGo+SwaptionShift))))))</f>
        <v/>
      </c>
      <c r="HN194" s="469" t="str">
        <f ca="1">IF(OR(HN$169&lt;SwaptionFirstMonthPosition+1,$FN194&lt;SwaptionFirstMonthPosition+1,HN$169&gt;SwaptionFirstMonthPosition+SwaptionNumOfMonths+1,$FN194&gt;SwaptionFirstMonthPosition+SwaptionNumOfMonths+1),"",IF($FN194=HN$169,1,IF($FN194&lt;HN$169,INDEX($FO$170:$IH$241,HN$169,$FN194),SUMPRODUCT(INDEX($FO$325:$IH$396,HN$169,1+SwaptionShift):INDEX($FO$325:$IH$396,HN$169,SwaptionMonthsToGo+SwaptionShift),INDEX($FO$245:$IH$316,$FN194-HN$169,73-HN$169+SwaptionShift):INDEX($FO$245:$IH$316,$FN194-HN$169,72-HN$169+SwaptionMonthsToGo+SwaptionShift))/SQRT(SUM(INDEX($FO349:$IH349,1+SwaptionShift):INDEX($FO349:$IH349,SwaptionMonthsToGo+SwaptionShift))*SUM(INDEX($FO$325:$IH$396,HN$169,1+SwaptionShift):INDEX($FO$325:$IH$396,HN$169,SwaptionMonthsToGo+SwaptionShift))))))</f>
        <v/>
      </c>
      <c r="HO194" s="469" t="str">
        <f ca="1">IF(OR(HO$169&lt;SwaptionFirstMonthPosition+1,$FN194&lt;SwaptionFirstMonthPosition+1,HO$169&gt;SwaptionFirstMonthPosition+SwaptionNumOfMonths+1,$FN194&gt;SwaptionFirstMonthPosition+SwaptionNumOfMonths+1),"",IF($FN194=HO$169,1,IF($FN194&lt;HO$169,INDEX($FO$170:$IH$241,HO$169,$FN194),SUMPRODUCT(INDEX($FO$325:$IH$396,HO$169,1+SwaptionShift):INDEX($FO$325:$IH$396,HO$169,SwaptionMonthsToGo+SwaptionShift),INDEX($FO$245:$IH$316,$FN194-HO$169,73-HO$169+SwaptionShift):INDEX($FO$245:$IH$316,$FN194-HO$169,72-HO$169+SwaptionMonthsToGo+SwaptionShift))/SQRT(SUM(INDEX($FO349:$IH349,1+SwaptionShift):INDEX($FO349:$IH349,SwaptionMonthsToGo+SwaptionShift))*SUM(INDEX($FO$325:$IH$396,HO$169,1+SwaptionShift):INDEX($FO$325:$IH$396,HO$169,SwaptionMonthsToGo+SwaptionShift))))))</f>
        <v/>
      </c>
      <c r="HP194" s="469" t="str">
        <f ca="1">IF(OR(HP$169&lt;SwaptionFirstMonthPosition+1,$FN194&lt;SwaptionFirstMonthPosition+1,HP$169&gt;SwaptionFirstMonthPosition+SwaptionNumOfMonths+1,$FN194&gt;SwaptionFirstMonthPosition+SwaptionNumOfMonths+1),"",IF($FN194=HP$169,1,IF($FN194&lt;HP$169,INDEX($FO$170:$IH$241,HP$169,$FN194),SUMPRODUCT(INDEX($FO$325:$IH$396,HP$169,1+SwaptionShift):INDEX($FO$325:$IH$396,HP$169,SwaptionMonthsToGo+SwaptionShift),INDEX($FO$245:$IH$316,$FN194-HP$169,73-HP$169+SwaptionShift):INDEX($FO$245:$IH$316,$FN194-HP$169,72-HP$169+SwaptionMonthsToGo+SwaptionShift))/SQRT(SUM(INDEX($FO349:$IH349,1+SwaptionShift):INDEX($FO349:$IH349,SwaptionMonthsToGo+SwaptionShift))*SUM(INDEX($FO$325:$IH$396,HP$169,1+SwaptionShift):INDEX($FO$325:$IH$396,HP$169,SwaptionMonthsToGo+SwaptionShift))))))</f>
        <v/>
      </c>
      <c r="HQ194" s="469" t="str">
        <f ca="1">IF(OR(HQ$169&lt;SwaptionFirstMonthPosition+1,$FN194&lt;SwaptionFirstMonthPosition+1,HQ$169&gt;SwaptionFirstMonthPosition+SwaptionNumOfMonths+1,$FN194&gt;SwaptionFirstMonthPosition+SwaptionNumOfMonths+1),"",IF($FN194=HQ$169,1,IF($FN194&lt;HQ$169,INDEX($FO$170:$IH$241,HQ$169,$FN194),SUMPRODUCT(INDEX($FO$325:$IH$396,HQ$169,1+SwaptionShift):INDEX($FO$325:$IH$396,HQ$169,SwaptionMonthsToGo+SwaptionShift),INDEX($FO$245:$IH$316,$FN194-HQ$169,73-HQ$169+SwaptionShift):INDEX($FO$245:$IH$316,$FN194-HQ$169,72-HQ$169+SwaptionMonthsToGo+SwaptionShift))/SQRT(SUM(INDEX($FO349:$IH349,1+SwaptionShift):INDEX($FO349:$IH349,SwaptionMonthsToGo+SwaptionShift))*SUM(INDEX($FO$325:$IH$396,HQ$169,1+SwaptionShift):INDEX($FO$325:$IH$396,HQ$169,SwaptionMonthsToGo+SwaptionShift))))))</f>
        <v/>
      </c>
      <c r="HR194" s="469" t="str">
        <f ca="1">IF(OR(HR$169&lt;SwaptionFirstMonthPosition+1,$FN194&lt;SwaptionFirstMonthPosition+1,HR$169&gt;SwaptionFirstMonthPosition+SwaptionNumOfMonths+1,$FN194&gt;SwaptionFirstMonthPosition+SwaptionNumOfMonths+1),"",IF($FN194=HR$169,1,IF($FN194&lt;HR$169,INDEX($FO$170:$IH$241,HR$169,$FN194),SUMPRODUCT(INDEX($FO$325:$IH$396,HR$169,1+SwaptionShift):INDEX($FO$325:$IH$396,HR$169,SwaptionMonthsToGo+SwaptionShift),INDEX($FO$245:$IH$316,$FN194-HR$169,73-HR$169+SwaptionShift):INDEX($FO$245:$IH$316,$FN194-HR$169,72-HR$169+SwaptionMonthsToGo+SwaptionShift))/SQRT(SUM(INDEX($FO349:$IH349,1+SwaptionShift):INDEX($FO349:$IH349,SwaptionMonthsToGo+SwaptionShift))*SUM(INDEX($FO$325:$IH$396,HR$169,1+SwaptionShift):INDEX($FO$325:$IH$396,HR$169,SwaptionMonthsToGo+SwaptionShift))))))</f>
        <v/>
      </c>
      <c r="HS194" s="469" t="str">
        <f ca="1">IF(OR(HS$169&lt;SwaptionFirstMonthPosition+1,$FN194&lt;SwaptionFirstMonthPosition+1,HS$169&gt;SwaptionFirstMonthPosition+SwaptionNumOfMonths+1,$FN194&gt;SwaptionFirstMonthPosition+SwaptionNumOfMonths+1),"",IF($FN194=HS$169,1,IF($FN194&lt;HS$169,INDEX($FO$170:$IH$241,HS$169,$FN194),SUMPRODUCT(INDEX($FO$325:$IH$396,HS$169,1+SwaptionShift):INDEX($FO$325:$IH$396,HS$169,SwaptionMonthsToGo+SwaptionShift),INDEX($FO$245:$IH$316,$FN194-HS$169,73-HS$169+SwaptionShift):INDEX($FO$245:$IH$316,$FN194-HS$169,72-HS$169+SwaptionMonthsToGo+SwaptionShift))/SQRT(SUM(INDEX($FO349:$IH349,1+SwaptionShift):INDEX($FO349:$IH349,SwaptionMonthsToGo+SwaptionShift))*SUM(INDEX($FO$325:$IH$396,HS$169,1+SwaptionShift):INDEX($FO$325:$IH$396,HS$169,SwaptionMonthsToGo+SwaptionShift))))))</f>
        <v/>
      </c>
      <c r="HT194" s="469" t="str">
        <f ca="1">IF(OR(HT$169&lt;SwaptionFirstMonthPosition+1,$FN194&lt;SwaptionFirstMonthPosition+1,HT$169&gt;SwaptionFirstMonthPosition+SwaptionNumOfMonths+1,$FN194&gt;SwaptionFirstMonthPosition+SwaptionNumOfMonths+1),"",IF($FN194=HT$169,1,IF($FN194&lt;HT$169,INDEX($FO$170:$IH$241,HT$169,$FN194),SUMPRODUCT(INDEX($FO$325:$IH$396,HT$169,1+SwaptionShift):INDEX($FO$325:$IH$396,HT$169,SwaptionMonthsToGo+SwaptionShift),INDEX($FO$245:$IH$316,$FN194-HT$169,73-HT$169+SwaptionShift):INDEX($FO$245:$IH$316,$FN194-HT$169,72-HT$169+SwaptionMonthsToGo+SwaptionShift))/SQRT(SUM(INDEX($FO349:$IH349,1+SwaptionShift):INDEX($FO349:$IH349,SwaptionMonthsToGo+SwaptionShift))*SUM(INDEX($FO$325:$IH$396,HT$169,1+SwaptionShift):INDEX($FO$325:$IH$396,HT$169,SwaptionMonthsToGo+SwaptionShift))))))</f>
        <v/>
      </c>
      <c r="HU194" s="469" t="str">
        <f ca="1">IF(OR(HU$169&lt;SwaptionFirstMonthPosition+1,$FN194&lt;SwaptionFirstMonthPosition+1,HU$169&gt;SwaptionFirstMonthPosition+SwaptionNumOfMonths+1,$FN194&gt;SwaptionFirstMonthPosition+SwaptionNumOfMonths+1),"",IF($FN194=HU$169,1,IF($FN194&lt;HU$169,INDEX($FO$170:$IH$241,HU$169,$FN194),SUMPRODUCT(INDEX($FO$325:$IH$396,HU$169,1+SwaptionShift):INDEX($FO$325:$IH$396,HU$169,SwaptionMonthsToGo+SwaptionShift),INDEX($FO$245:$IH$316,$FN194-HU$169,73-HU$169+SwaptionShift):INDEX($FO$245:$IH$316,$FN194-HU$169,72-HU$169+SwaptionMonthsToGo+SwaptionShift))/SQRT(SUM(INDEX($FO349:$IH349,1+SwaptionShift):INDEX($FO349:$IH349,SwaptionMonthsToGo+SwaptionShift))*SUM(INDEX($FO$325:$IH$396,HU$169,1+SwaptionShift):INDEX($FO$325:$IH$396,HU$169,SwaptionMonthsToGo+SwaptionShift))))))</f>
        <v/>
      </c>
      <c r="HV194" s="469" t="str">
        <f ca="1">IF(OR(HV$169&lt;SwaptionFirstMonthPosition+1,$FN194&lt;SwaptionFirstMonthPosition+1,HV$169&gt;SwaptionFirstMonthPosition+SwaptionNumOfMonths+1,$FN194&gt;SwaptionFirstMonthPosition+SwaptionNumOfMonths+1),"",IF($FN194=HV$169,1,IF($FN194&lt;HV$169,INDEX($FO$170:$IH$241,HV$169,$FN194),SUMPRODUCT(INDEX($FO$325:$IH$396,HV$169,1+SwaptionShift):INDEX($FO$325:$IH$396,HV$169,SwaptionMonthsToGo+SwaptionShift),INDEX($FO$245:$IH$316,$FN194-HV$169,73-HV$169+SwaptionShift):INDEX($FO$245:$IH$316,$FN194-HV$169,72-HV$169+SwaptionMonthsToGo+SwaptionShift))/SQRT(SUM(INDEX($FO349:$IH349,1+SwaptionShift):INDEX($FO349:$IH349,SwaptionMonthsToGo+SwaptionShift))*SUM(INDEX($FO$325:$IH$396,HV$169,1+SwaptionShift):INDEX($FO$325:$IH$396,HV$169,SwaptionMonthsToGo+SwaptionShift))))))</f>
        <v/>
      </c>
      <c r="HW194" s="469" t="str">
        <f ca="1">IF(OR(HW$169&lt;SwaptionFirstMonthPosition+1,$FN194&lt;SwaptionFirstMonthPosition+1,HW$169&gt;SwaptionFirstMonthPosition+SwaptionNumOfMonths+1,$FN194&gt;SwaptionFirstMonthPosition+SwaptionNumOfMonths+1),"",IF($FN194=HW$169,1,IF($FN194&lt;HW$169,INDEX($FO$170:$IH$241,HW$169,$FN194),SUMPRODUCT(INDEX($FO$325:$IH$396,HW$169,1+SwaptionShift):INDEX($FO$325:$IH$396,HW$169,SwaptionMonthsToGo+SwaptionShift),INDEX($FO$245:$IH$316,$FN194-HW$169,73-HW$169+SwaptionShift):INDEX($FO$245:$IH$316,$FN194-HW$169,72-HW$169+SwaptionMonthsToGo+SwaptionShift))/SQRT(SUM(INDEX($FO349:$IH349,1+SwaptionShift):INDEX($FO349:$IH349,SwaptionMonthsToGo+SwaptionShift))*SUM(INDEX($FO$325:$IH$396,HW$169,1+SwaptionShift):INDEX($FO$325:$IH$396,HW$169,SwaptionMonthsToGo+SwaptionShift))))))</f>
        <v/>
      </c>
      <c r="HX194" s="469" t="str">
        <f ca="1">IF(OR(HX$169&lt;SwaptionFirstMonthPosition+1,$FN194&lt;SwaptionFirstMonthPosition+1,HX$169&gt;SwaptionFirstMonthPosition+SwaptionNumOfMonths+1,$FN194&gt;SwaptionFirstMonthPosition+SwaptionNumOfMonths+1),"",IF($FN194=HX$169,1,IF($FN194&lt;HX$169,INDEX($FO$170:$IH$241,HX$169,$FN194),SUMPRODUCT(INDEX($FO$325:$IH$396,HX$169,1+SwaptionShift):INDEX($FO$325:$IH$396,HX$169,SwaptionMonthsToGo+SwaptionShift),INDEX($FO$245:$IH$316,$FN194-HX$169,73-HX$169+SwaptionShift):INDEX($FO$245:$IH$316,$FN194-HX$169,72-HX$169+SwaptionMonthsToGo+SwaptionShift))/SQRT(SUM(INDEX($FO349:$IH349,1+SwaptionShift):INDEX($FO349:$IH349,SwaptionMonthsToGo+SwaptionShift))*SUM(INDEX($FO$325:$IH$396,HX$169,1+SwaptionShift):INDEX($FO$325:$IH$396,HX$169,SwaptionMonthsToGo+SwaptionShift))))))</f>
        <v/>
      </c>
      <c r="HY194" s="469" t="str">
        <f ca="1">IF(OR(HY$169&lt;SwaptionFirstMonthPosition+1,$FN194&lt;SwaptionFirstMonthPosition+1,HY$169&gt;SwaptionFirstMonthPosition+SwaptionNumOfMonths+1,$FN194&gt;SwaptionFirstMonthPosition+SwaptionNumOfMonths+1),"",IF($FN194=HY$169,1,IF($FN194&lt;HY$169,INDEX($FO$170:$IH$241,HY$169,$FN194),SUMPRODUCT(INDEX($FO$325:$IH$396,HY$169,1+SwaptionShift):INDEX($FO$325:$IH$396,HY$169,SwaptionMonthsToGo+SwaptionShift),INDEX($FO$245:$IH$316,$FN194-HY$169,73-HY$169+SwaptionShift):INDEX($FO$245:$IH$316,$FN194-HY$169,72-HY$169+SwaptionMonthsToGo+SwaptionShift))/SQRT(SUM(INDEX($FO349:$IH349,1+SwaptionShift):INDEX($FO349:$IH349,SwaptionMonthsToGo+SwaptionShift))*SUM(INDEX($FO$325:$IH$396,HY$169,1+SwaptionShift):INDEX($FO$325:$IH$396,HY$169,SwaptionMonthsToGo+SwaptionShift))))))</f>
        <v/>
      </c>
      <c r="HZ194" s="469" t="str">
        <f ca="1">IF(OR(HZ$169&lt;SwaptionFirstMonthPosition+1,$FN194&lt;SwaptionFirstMonthPosition+1,HZ$169&gt;SwaptionFirstMonthPosition+SwaptionNumOfMonths+1,$FN194&gt;SwaptionFirstMonthPosition+SwaptionNumOfMonths+1),"",IF($FN194=HZ$169,1,IF($FN194&lt;HZ$169,INDEX($FO$170:$IH$241,HZ$169,$FN194),SUMPRODUCT(INDEX($FO$325:$IH$396,HZ$169,1+SwaptionShift):INDEX($FO$325:$IH$396,HZ$169,SwaptionMonthsToGo+SwaptionShift),INDEX($FO$245:$IH$316,$FN194-HZ$169,73-HZ$169+SwaptionShift):INDEX($FO$245:$IH$316,$FN194-HZ$169,72-HZ$169+SwaptionMonthsToGo+SwaptionShift))/SQRT(SUM(INDEX($FO349:$IH349,1+SwaptionShift):INDEX($FO349:$IH349,SwaptionMonthsToGo+SwaptionShift))*SUM(INDEX($FO$325:$IH$396,HZ$169,1+SwaptionShift):INDEX($FO$325:$IH$396,HZ$169,SwaptionMonthsToGo+SwaptionShift))))))</f>
        <v/>
      </c>
      <c r="IA194" s="469" t="str">
        <f ca="1">IF(OR(IA$169&lt;SwaptionFirstMonthPosition+1,$FN194&lt;SwaptionFirstMonthPosition+1,IA$169&gt;SwaptionFirstMonthPosition+SwaptionNumOfMonths+1,$FN194&gt;SwaptionFirstMonthPosition+SwaptionNumOfMonths+1),"",IF($FN194=IA$169,1,IF($FN194&lt;IA$169,INDEX($FO$170:$IH$241,IA$169,$FN194),SUMPRODUCT(INDEX($FO$325:$IH$396,IA$169,1+SwaptionShift):INDEX($FO$325:$IH$396,IA$169,SwaptionMonthsToGo+SwaptionShift),INDEX($FO$245:$IH$316,$FN194-IA$169,73-IA$169+SwaptionShift):INDEX($FO$245:$IH$316,$FN194-IA$169,72-IA$169+SwaptionMonthsToGo+SwaptionShift))/SQRT(SUM(INDEX($FO349:$IH349,1+SwaptionShift):INDEX($FO349:$IH349,SwaptionMonthsToGo+SwaptionShift))*SUM(INDEX($FO$325:$IH$396,IA$169,1+SwaptionShift):INDEX($FO$325:$IH$396,IA$169,SwaptionMonthsToGo+SwaptionShift))))))</f>
        <v/>
      </c>
      <c r="IB194" s="469" t="str">
        <f ca="1">IF(OR(IB$169&lt;SwaptionFirstMonthPosition+1,$FN194&lt;SwaptionFirstMonthPosition+1,IB$169&gt;SwaptionFirstMonthPosition+SwaptionNumOfMonths+1,$FN194&gt;SwaptionFirstMonthPosition+SwaptionNumOfMonths+1),"",IF($FN194=IB$169,1,IF($FN194&lt;IB$169,INDEX($FO$170:$IH$241,IB$169,$FN194),SUMPRODUCT(INDEX($FO$325:$IH$396,IB$169,1+SwaptionShift):INDEX($FO$325:$IH$396,IB$169,SwaptionMonthsToGo+SwaptionShift),INDEX($FO$245:$IH$316,$FN194-IB$169,73-IB$169+SwaptionShift):INDEX($FO$245:$IH$316,$FN194-IB$169,72-IB$169+SwaptionMonthsToGo+SwaptionShift))/SQRT(SUM(INDEX($FO349:$IH349,1+SwaptionShift):INDEX($FO349:$IH349,SwaptionMonthsToGo+SwaptionShift))*SUM(INDEX($FO$325:$IH$396,IB$169,1+SwaptionShift):INDEX($FO$325:$IH$396,IB$169,SwaptionMonthsToGo+SwaptionShift))))))</f>
        <v/>
      </c>
      <c r="IC194" s="469" t="str">
        <f ca="1">IF(OR(IC$169&lt;SwaptionFirstMonthPosition+1,$FN194&lt;SwaptionFirstMonthPosition+1,IC$169&gt;SwaptionFirstMonthPosition+SwaptionNumOfMonths+1,$FN194&gt;SwaptionFirstMonthPosition+SwaptionNumOfMonths+1),"",IF($FN194=IC$169,1,IF($FN194&lt;IC$169,INDEX($FO$170:$IH$241,IC$169,$FN194),SUMPRODUCT(INDEX($FO$325:$IH$396,IC$169,1+SwaptionShift):INDEX($FO$325:$IH$396,IC$169,SwaptionMonthsToGo+SwaptionShift),INDEX($FO$245:$IH$316,$FN194-IC$169,73-IC$169+SwaptionShift):INDEX($FO$245:$IH$316,$FN194-IC$169,72-IC$169+SwaptionMonthsToGo+SwaptionShift))/SQRT(SUM(INDEX($FO349:$IH349,1+SwaptionShift):INDEX($FO349:$IH349,SwaptionMonthsToGo+SwaptionShift))*SUM(INDEX($FO$325:$IH$396,IC$169,1+SwaptionShift):INDEX($FO$325:$IH$396,IC$169,SwaptionMonthsToGo+SwaptionShift))))))</f>
        <v/>
      </c>
      <c r="ID194" s="469" t="str">
        <f ca="1">IF(OR(ID$169&lt;SwaptionFirstMonthPosition+1,$FN194&lt;SwaptionFirstMonthPosition+1,ID$169&gt;SwaptionFirstMonthPosition+SwaptionNumOfMonths+1,$FN194&gt;SwaptionFirstMonthPosition+SwaptionNumOfMonths+1),"",IF($FN194=ID$169,1,IF($FN194&lt;ID$169,INDEX($FO$170:$IH$241,ID$169,$FN194),SUMPRODUCT(INDEX($FO$325:$IH$396,ID$169,1+SwaptionShift):INDEX($FO$325:$IH$396,ID$169,SwaptionMonthsToGo+SwaptionShift),INDEX($FO$245:$IH$316,$FN194-ID$169,73-ID$169+SwaptionShift):INDEX($FO$245:$IH$316,$FN194-ID$169,72-ID$169+SwaptionMonthsToGo+SwaptionShift))/SQRT(SUM(INDEX($FO349:$IH349,1+SwaptionShift):INDEX($FO349:$IH349,SwaptionMonthsToGo+SwaptionShift))*SUM(INDEX($FO$325:$IH$396,ID$169,1+SwaptionShift):INDEX($FO$325:$IH$396,ID$169,SwaptionMonthsToGo+SwaptionShift))))))</f>
        <v/>
      </c>
      <c r="IE194" s="469" t="str">
        <f ca="1">IF(OR(IE$169&lt;SwaptionFirstMonthPosition+1,$FN194&lt;SwaptionFirstMonthPosition+1,IE$169&gt;SwaptionFirstMonthPosition+SwaptionNumOfMonths+1,$FN194&gt;SwaptionFirstMonthPosition+SwaptionNumOfMonths+1),"",IF($FN194=IE$169,1,IF($FN194&lt;IE$169,INDEX($FO$170:$IH$241,IE$169,$FN194),SUMPRODUCT(INDEX($FO$325:$IH$396,IE$169,1+SwaptionShift):INDEX($FO$325:$IH$396,IE$169,SwaptionMonthsToGo+SwaptionShift),INDEX($FO$245:$IH$316,$FN194-IE$169,73-IE$169+SwaptionShift):INDEX($FO$245:$IH$316,$FN194-IE$169,72-IE$169+SwaptionMonthsToGo+SwaptionShift))/SQRT(SUM(INDEX($FO349:$IH349,1+SwaptionShift):INDEX($FO349:$IH349,SwaptionMonthsToGo+SwaptionShift))*SUM(INDEX($FO$325:$IH$396,IE$169,1+SwaptionShift):INDEX($FO$325:$IH$396,IE$169,SwaptionMonthsToGo+SwaptionShift))))))</f>
        <v/>
      </c>
      <c r="IF194" s="469" t="str">
        <f ca="1">IF(OR(IF$169&lt;SwaptionFirstMonthPosition+1,$FN194&lt;SwaptionFirstMonthPosition+1,IF$169&gt;SwaptionFirstMonthPosition+SwaptionNumOfMonths+1,$FN194&gt;SwaptionFirstMonthPosition+SwaptionNumOfMonths+1),"",IF($FN194=IF$169,1,IF($FN194&lt;IF$169,INDEX($FO$170:$IH$241,IF$169,$FN194),SUMPRODUCT(INDEX($FO$325:$IH$396,IF$169,1+SwaptionShift):INDEX($FO$325:$IH$396,IF$169,SwaptionMonthsToGo+SwaptionShift),INDEX($FO$245:$IH$316,$FN194-IF$169,73-IF$169+SwaptionShift):INDEX($FO$245:$IH$316,$FN194-IF$169,72-IF$169+SwaptionMonthsToGo+SwaptionShift))/SQRT(SUM(INDEX($FO349:$IH349,1+SwaptionShift):INDEX($FO349:$IH349,SwaptionMonthsToGo+SwaptionShift))*SUM(INDEX($FO$325:$IH$396,IF$169,1+SwaptionShift):INDEX($FO$325:$IH$396,IF$169,SwaptionMonthsToGo+SwaptionShift))))))</f>
        <v/>
      </c>
      <c r="IG194" s="469" t="str">
        <f ca="1">IF(OR(IG$169&lt;SwaptionFirstMonthPosition+1,$FN194&lt;SwaptionFirstMonthPosition+1,IG$169&gt;SwaptionFirstMonthPosition+SwaptionNumOfMonths+1,$FN194&gt;SwaptionFirstMonthPosition+SwaptionNumOfMonths+1),"",IF($FN194=IG$169,1,IF($FN194&lt;IG$169,INDEX($FO$170:$IH$241,IG$169,$FN194),SUMPRODUCT(INDEX($FO$325:$IH$396,IG$169,1+SwaptionShift):INDEX($FO$325:$IH$396,IG$169,SwaptionMonthsToGo+SwaptionShift),INDEX($FO$245:$IH$316,$FN194-IG$169,73-IG$169+SwaptionShift):INDEX($FO$245:$IH$316,$FN194-IG$169,72-IG$169+SwaptionMonthsToGo+SwaptionShift))/SQRT(SUM(INDEX($FO349:$IH349,1+SwaptionShift):INDEX($FO349:$IH349,SwaptionMonthsToGo+SwaptionShift))*SUM(INDEX($FO$325:$IH$396,IG$169,1+SwaptionShift):INDEX($FO$325:$IH$396,IG$169,SwaptionMonthsToGo+SwaptionShift))))))</f>
        <v/>
      </c>
      <c r="IH194" s="662" t="str">
        <f ca="1">IF(OR(IH$169&lt;SwaptionFirstMonthPosition+1,$FN194&lt;SwaptionFirstMonthPosition+1,IH$169&gt;SwaptionFirstMonthPosition+SwaptionNumOfMonths+1,$FN194&gt;SwaptionFirstMonthPosition+SwaptionNumOfMonths+1),"",IF($FN194=IH$169,1,IF($FN194&lt;IH$169,INDEX($FO$170:$IH$241,IH$169,$FN194),SUMPRODUCT(INDEX($FO$325:$IH$396,IH$169,1+SwaptionShift):INDEX($FO$325:$IH$396,IH$169,SwaptionMonthsToGo+SwaptionShift),INDEX($FO$245:$IH$316,$FN194-IH$169,73-IH$169+SwaptionShift):INDEX($FO$245:$IH$316,$FN194-IH$169,72-IH$169+SwaptionMonthsToGo+SwaptionShift))/SQRT(SUM(INDEX($FO349:$IH349,1+SwaptionShift):INDEX($FO349:$IH349,SwaptionMonthsToGo+SwaptionShift))*SUM(INDEX($FO$325:$IH$396,IH$169,1+SwaptionShift):INDEX($FO$325:$IH$396,IH$169,SwaptionMonthsToGo+SwaptionShift))))))</f>
        <v/>
      </c>
      <c r="II194" s="242"/>
    </row>
    <row r="195" spans="8:243">
      <c r="H195" s="49" t="e">
        <f t="shared" ca="1" si="529"/>
        <v>#N/A</v>
      </c>
      <c r="I195" s="369">
        <f t="shared" si="530"/>
        <v>42339</v>
      </c>
      <c r="J195" s="367">
        <v>23.759999999999902</v>
      </c>
      <c r="K195" s="101" t="s">
        <v>267</v>
      </c>
      <c r="L195" s="382">
        <f t="shared" si="531"/>
        <v>23.759999999999881</v>
      </c>
      <c r="M195" s="163">
        <v>0.1411</v>
      </c>
      <c r="N195" s="372">
        <v>0</v>
      </c>
      <c r="O195" s="163">
        <f t="shared" si="488"/>
        <v>0.1411</v>
      </c>
      <c r="P195" s="367">
        <v>22.520692217433101</v>
      </c>
      <c r="Q195" s="101" t="s">
        <v>267</v>
      </c>
      <c r="R195" s="367">
        <f t="shared" ca="1" si="549"/>
        <v>22.520692217433123</v>
      </c>
      <c r="S195" s="814">
        <f t="shared" ref="S195:S256" si="594">S$19+(S194-S$19)*S$18</f>
        <v>0.34869949142381346</v>
      </c>
      <c r="T195" s="813">
        <f t="shared" si="550"/>
        <v>0.99999999923285976</v>
      </c>
      <c r="U195" s="532">
        <f t="shared" si="551"/>
        <v>0.99999999999999978</v>
      </c>
      <c r="V195" s="379">
        <v>0</v>
      </c>
      <c r="W195" s="424">
        <f t="shared" si="576"/>
        <v>23.794090909090809</v>
      </c>
      <c r="X195" s="405">
        <f t="shared" si="577"/>
        <v>23.794090909090787</v>
      </c>
      <c r="Y195" s="313">
        <f t="shared" si="578"/>
        <v>22.552490909090807</v>
      </c>
      <c r="Z195" s="313">
        <f t="shared" ca="1" si="579"/>
        <v>22.552490909090785</v>
      </c>
      <c r="AA195" s="419">
        <f t="shared" si="493"/>
        <v>1.2416</v>
      </c>
      <c r="AB195" s="423">
        <f t="shared" ca="1" si="494"/>
        <v>1.2416</v>
      </c>
      <c r="AC195" s="221">
        <v>42328</v>
      </c>
      <c r="AD195" s="221">
        <v>42324</v>
      </c>
      <c r="AE195" s="221">
        <v>42323</v>
      </c>
      <c r="AF195" s="221">
        <v>42319</v>
      </c>
      <c r="AG195" s="241" t="s">
        <v>497</v>
      </c>
      <c r="AH195" s="239" t="s">
        <v>497</v>
      </c>
      <c r="AI195" s="141">
        <v>22</v>
      </c>
      <c r="AJ195" s="41">
        <v>14</v>
      </c>
      <c r="AK195" s="41">
        <v>8</v>
      </c>
      <c r="AL195" s="285">
        <v>22</v>
      </c>
      <c r="AM195" s="41">
        <v>10</v>
      </c>
      <c r="AN195" s="142">
        <v>12</v>
      </c>
      <c r="AO195" s="364">
        <v>6.1769227356094802E-2</v>
      </c>
      <c r="AP195" s="145">
        <f t="shared" ca="1" si="532"/>
        <v>0.40823818041893223</v>
      </c>
      <c r="AQ195" s="364">
        <v>5.5839038407567099E-2</v>
      </c>
      <c r="AR195" s="145">
        <f t="shared" ca="1" si="552"/>
        <v>0.44740980462851559</v>
      </c>
      <c r="AS195" s="264">
        <f t="shared" si="580"/>
        <v>0.14055454545454546</v>
      </c>
      <c r="AT195" s="149">
        <f t="shared" si="533"/>
        <v>0.1411</v>
      </c>
      <c r="AU195" s="149">
        <f t="shared" si="496"/>
        <v>0.14048181818181818</v>
      </c>
      <c r="AV195" s="263">
        <f t="shared" ca="1" si="560"/>
        <v>0.13897770307068033</v>
      </c>
      <c r="AW195" s="150" t="str">
        <f t="shared" ca="1" si="581"/>
        <v/>
      </c>
      <c r="AX195" s="149">
        <f t="shared" ca="1" si="553"/>
        <v>5.4965070701504101E-3</v>
      </c>
      <c r="AY195" s="149">
        <f t="shared" ca="1" si="554"/>
        <v>1.8724606050283055E-3</v>
      </c>
      <c r="AZ195" s="149">
        <f t="shared" ca="1" si="555"/>
        <v>1.9288741771948149E-3</v>
      </c>
      <c r="BA195" s="149">
        <f t="shared" ca="1" si="556"/>
        <v>1.0000000000000881E-4</v>
      </c>
      <c r="BB195" s="149">
        <f t="shared" ca="1" si="557"/>
        <v>1.0000000000000881E-4</v>
      </c>
      <c r="BC195" s="149">
        <f t="shared" ca="1" si="558"/>
        <v>1.0000000000000881E-4</v>
      </c>
      <c r="BD195" s="143">
        <f t="shared" ca="1" si="582"/>
        <v>0</v>
      </c>
      <c r="BE195" s="144">
        <f t="shared" ca="1" si="583"/>
        <v>0</v>
      </c>
      <c r="BF195" s="40">
        <f t="shared" si="584"/>
        <v>2015</v>
      </c>
      <c r="BG195" s="139">
        <f t="shared" si="585"/>
        <v>12</v>
      </c>
      <c r="BH195" s="140">
        <f t="shared" ca="1" si="586"/>
        <v>5334</v>
      </c>
      <c r="BI195" s="304">
        <f t="shared" ca="1" si="570"/>
        <v>14.64476386036961</v>
      </c>
      <c r="BJ195" s="42">
        <f t="shared" ca="1" si="503"/>
        <v>14.697031920851224</v>
      </c>
      <c r="BK195" s="42">
        <f t="shared" ca="1" si="504"/>
        <v>14.699769771638357</v>
      </c>
      <c r="BL195" s="42">
        <f t="shared" ca="1" si="571"/>
        <v>14.726899383983573</v>
      </c>
      <c r="BM195" s="285">
        <f t="shared" si="572"/>
        <v>22</v>
      </c>
      <c r="BN195" s="41">
        <f t="shared" si="573"/>
        <v>14</v>
      </c>
      <c r="BO195" s="41">
        <f t="shared" si="574"/>
        <v>8</v>
      </c>
      <c r="BP195" s="297" t="str">
        <f t="shared" ca="1" si="505"/>
        <v/>
      </c>
      <c r="BQ195" s="297" t="str">
        <f t="shared" ca="1" si="506"/>
        <v/>
      </c>
      <c r="BR195" s="299" t="str">
        <f t="shared" ca="1" si="507"/>
        <v/>
      </c>
      <c r="BS195" s="153" t="str">
        <f t="shared" ca="1" si="508"/>
        <v/>
      </c>
      <c r="BT195" s="153" t="str">
        <f t="shared" ca="1" si="509"/>
        <v/>
      </c>
      <c r="BU195" s="300" t="str">
        <f t="shared" ca="1" si="510"/>
        <v/>
      </c>
      <c r="BV195" s="301" t="str">
        <f t="shared" ca="1" si="511"/>
        <v/>
      </c>
      <c r="BW195" s="300" t="str">
        <f t="shared" ca="1" si="512"/>
        <v/>
      </c>
      <c r="BX195" s="301" t="str">
        <f t="shared" ca="1" si="513"/>
        <v/>
      </c>
      <c r="BY195" s="146" t="str">
        <f t="shared" ca="1" si="514"/>
        <v/>
      </c>
      <c r="BZ195" s="146" t="str">
        <f t="shared" ca="1" si="515"/>
        <v/>
      </c>
      <c r="CA195" s="146" t="str">
        <f t="shared" ca="1" si="516"/>
        <v/>
      </c>
      <c r="CB195" s="146" t="str">
        <f t="shared" ca="1" si="517"/>
        <v/>
      </c>
      <c r="CC195" s="302">
        <v>1</v>
      </c>
      <c r="CD195" s="154">
        <f ca="1">IF(BD195,_xll.xCrudeAPO(BS195,BT195,BY195,BZ195,S196,S197,BI195,BL195,BN195,BO195,0,Strike1,AO195,CC195,0,BL195,IF(OptControl=4,0,1),0,1),0)</f>
        <v>0</v>
      </c>
      <c r="CE195" s="155">
        <f ca="1">IF(BD195,_xll.xCrudeAPO(BS195,BT195,BY195,BZ195,S196,S197,BI195,BL195,BN195,BO195,0,Strike1,AO195,CC195,0,BL195,IF(OptControl=4,0,1),1,1)+_xll.xCrudeAPO(BS195,BT195,BY195,BZ195,S196,S197,BI195,BL195,BN195,BO195,0,Strike1,AO195,CC195,0,BL195,IF(OptControl=4,0,1),1,2)+IF(OR(VolSkewFlag=2,ABS(BQ195)&lt;0.0001),0,IF(BQ195&gt;0,-1,1)*CF195*Strike1/BP195^2*BW195/10%),0)</f>
        <v>0</v>
      </c>
      <c r="CF195" s="155">
        <f ca="1">IF(BD195,(_xll.xCrudeAPO(BS195,BT195,BY195,BZ195,S196,S197,BI195,BL195,BN195,BO195,0,Strike1,AO195,CC195,0,BL195,IF(OptControl=4,0,1),3,1)+_xll.xCrudeAPO(BS195,BT195,BY195,BZ195,S196,S197,BI195,BL195,BN195,BO195,0,Strike1,AO195,CC195,0,BL195,IF(OptControl=4,0,1),3,2))/100,0)</f>
        <v>0</v>
      </c>
      <c r="CG195" s="155">
        <f ca="1">IF(BD195,_xll.xCrudeAPO(BS195,BT195,BY195,BZ195,S196,S197,BI195-DaysForThetaCalculation/365.25,BL195-DaysForThetaCalculation/365.25,BN195,BO195,0,Strike1,AO195,CC195,0,BL195,IF(OptControl=4,0,1),0,1)-_xll.xCrudeAPO(BS195,BT195,BY195,BZ195,S196,S197,BI195,BL195,BN195,BO195,0,Strike1,AO195,CC195,0,BL195,IF(OptControl=4,0,1),0,1),0)</f>
        <v>0</v>
      </c>
      <c r="CH195" s="303">
        <f ca="1">IF(BD195,_xll.xCrudeAPO(BS195,BT195,CA195,CB195,S196,S197,BI195,BL195,BN195,BO195,0,Strike2,AO195,CC195,0,BL195,IF(OptControl=3,1,0),0,1),0)</f>
        <v>0</v>
      </c>
      <c r="CI195" s="155">
        <f ca="1">IF(BD195,_xll.xCrudeAPO(BS195,BT195,CA195,CB195,S196,S197,BI195,BL195,BN195,BO195,0,Strike2,AO195,CC195,0,BL195,IF(OptControl=3,1,0),1,1)+_xll.xCrudeAPO(BS195,BT195,CA195,CB195,S196,S197,BI195,BL195,BN195,BO195,0,Strike2,AO195,CC195,0,BL195,IF(OptControl=3,1,0),1,2)+IF(OR(VolSkewFlag=2,ABS(BR195)&lt;0.0001),0,IF(BR195&gt;0,-1,1)*CJ195*Strike2/BP195^2*BX195/10%),0)</f>
        <v>0</v>
      </c>
      <c r="CJ195" s="155">
        <f ca="1">IF(BD195,(_xll.xCrudeAPO(BS195,BT195,CA195,CB195,S196,S197,BI195,BL195,BN195,BO195,0,Strike2,AO195,CC195,0,BL195,IF(OptControl=3,1,0),3,1)+_xll.xCrudeAPO(BS195,BT195,CA195,CB195,S196,S197,BI195,BL195,BN195,BO195,0,Strike2,AO195,CC195,0,BL195,IF(OptControl=3,1,0),3,2))/100,0)</f>
        <v>0</v>
      </c>
      <c r="CK195" s="156">
        <f ca="1">IF(BD195,_xll.xCrudeAPO(BS195,BT195,CA195,CB195,S196,S197,BI195-DaysForThetaCalculation/365.25,BL195-DaysForThetaCalculation/365.25,BN195,BO195,0,Strike2,AO195,CC195,0,BL195,IF(OptControl=3,1,0),0,1)-_xll.xCrudeAPO(BS195,BT195,CA195,CB195,S196,S197,BI195,BL195,BN195,BO195,0,Strike2,AO195,CC195,0,BL195,IF(OptControl=3,1,0),0,1),0)</f>
        <v>0</v>
      </c>
      <c r="CL195" s="51"/>
      <c r="CM195" s="779" t="str">
        <f t="shared" ca="1" si="534"/>
        <v/>
      </c>
      <c r="CN195" s="783" t="str">
        <f t="shared" ca="1" si="535"/>
        <v/>
      </c>
      <c r="CO195" s="780" t="str">
        <f t="shared" ca="1" si="536"/>
        <v/>
      </c>
      <c r="CP195" s="780" t="str">
        <f t="shared" ca="1" si="537"/>
        <v/>
      </c>
      <c r="CQ195" s="780" t="str">
        <f t="shared" ca="1" si="538"/>
        <v/>
      </c>
      <c r="CR195" s="780" t="str">
        <f t="shared" ca="1" si="539"/>
        <v/>
      </c>
      <c r="CS195" s="781" t="str">
        <f t="shared" ca="1" si="540"/>
        <v/>
      </c>
      <c r="CT195" s="782" t="str">
        <f t="shared" ca="1" si="541"/>
        <v/>
      </c>
      <c r="CU195" s="782" t="str">
        <f t="shared" ca="1" si="542"/>
        <v/>
      </c>
      <c r="CV195" s="155">
        <f ca="1">IF(BD195,_xll.EURO(CN195,Strike1,AO195,AO195,CT195,CM195,IF(OptControl=4,0,1),0),0)</f>
        <v>0</v>
      </c>
      <c r="CW195" s="155">
        <f ca="1">IF(BD195,_xll.EURO(CN195,Strike1,AO195,AO195,CT195,CM195,IF(OptControl=4,0,1),1)+IF(OR(VolSkewFlag=2,ABS(CO195)&lt;0.0001),0,IF(CO195&gt;0,-1,1)*CX195*100*Strike1/CN195^2*CQ195/10%),0)</f>
        <v>0</v>
      </c>
      <c r="CX195" s="155">
        <f ca="1">IF(BD195,_xll.EURO(CN195,Strike1,AO195,AO195,CT195,CM195,IF(OptControl=4,0,1),3)/100,0)</f>
        <v>0</v>
      </c>
      <c r="CY195" s="155">
        <f ca="1">IF(BD195,_xll.EURO(CN195,Strike1,AO195,AO195,CT195,CM195,IF(OptControl=4,0,1),0)-_xll.EURO(CN195,Strike1,AO195,AO195,CT195,CM195-1,IF(OptControl=4,0,1),0),0)</f>
        <v>0</v>
      </c>
      <c r="CZ195" s="155">
        <f ca="1">IF(BD195,_xll.EURO(CN195,Strike2,AO195,AO195,CU195,CM195,IF(OptControl=3,1,0),0),0)</f>
        <v>0</v>
      </c>
      <c r="DA195" s="155">
        <f ca="1">IF(BD195,_xll.EURO(CN195,Strike2,AO195,AO195,CU195,CM195,IF(OptControl=3,1,0),1)+IF(OR(VolSkewFlag=2,ABS(CP195)&lt;0.0001),0,IF(CP195&gt;0,-1,1)*DB195*100*Strike2/CN195^2*CR195/10%),0)</f>
        <v>0</v>
      </c>
      <c r="DB195" s="155">
        <f ca="1">IF(BD195,_xll.EURO(CN195,Strike2,AO195,AO195,CU195,CM195,IF(OptControl=3,1,0),3)/100,0)</f>
        <v>0</v>
      </c>
      <c r="DC195" s="156">
        <f ca="1">IF(BD195,_xll.EURO(CN195,Strike2,AO195,AO195,CU195,CM195,IF(OptControl=3,1,0),0)-_xll.EURO(CN195,Strike2,AO195,AO195,CU195,CM195-1,IF(OptControl=3,1,0),0),0)</f>
        <v>0</v>
      </c>
      <c r="DE195" s="651">
        <f t="shared" ca="1" si="543"/>
        <v>42248</v>
      </c>
      <c r="DF195" s="465">
        <v>1E-4</v>
      </c>
      <c r="DG195" s="649">
        <v>1E-4</v>
      </c>
      <c r="DH195" s="650">
        <f t="shared" ca="1" si="587"/>
        <v>42248</v>
      </c>
      <c r="DI195" s="465">
        <v>1E-4</v>
      </c>
      <c r="DJ195" s="649">
        <v>1E-4</v>
      </c>
      <c r="DK195" s="651">
        <f t="shared" ca="1" si="588"/>
        <v>42248</v>
      </c>
      <c r="DL195" s="652">
        <f t="shared" si="589"/>
        <v>5.0100000000000006E-2</v>
      </c>
      <c r="DM195" s="651">
        <f t="shared" ca="1" si="544"/>
        <v>42248</v>
      </c>
      <c r="DN195" s="563">
        <f t="shared" si="545"/>
        <v>-0.12990000000000002</v>
      </c>
      <c r="DO195" s="803">
        <v>-0.13</v>
      </c>
      <c r="DP195" s="650">
        <f t="shared" ca="1" si="590"/>
        <v>42248</v>
      </c>
      <c r="DQ195" s="653">
        <v>1E-4</v>
      </c>
      <c r="DR195" s="590">
        <v>1E-4</v>
      </c>
      <c r="DS195" s="650">
        <f t="shared" ca="1" si="591"/>
        <v>42248</v>
      </c>
      <c r="DT195" s="653">
        <v>1E-4</v>
      </c>
      <c r="DU195" s="590">
        <v>1E-4</v>
      </c>
      <c r="DV195" s="651">
        <f t="shared" ca="1" si="592"/>
        <v>42248</v>
      </c>
      <c r="DW195" s="590">
        <v>1E-4</v>
      </c>
      <c r="DX195" s="651">
        <f t="shared" ca="1" si="546"/>
        <v>42248</v>
      </c>
      <c r="DY195" s="590">
        <f t="shared" si="547"/>
        <v>1E-4</v>
      </c>
      <c r="DZ195" s="1"/>
      <c r="EA195" s="857"/>
      <c r="EB195" s="857"/>
      <c r="EC195" s="857"/>
      <c r="ED195" s="868" t="e">
        <f t="shared" ca="1" si="566"/>
        <v>#NAME?</v>
      </c>
      <c r="EE195" s="863" t="e">
        <f t="shared" ca="1" si="524"/>
        <v>#NAME?</v>
      </c>
      <c r="EF195" s="590" t="e">
        <f t="shared" ca="1" si="525"/>
        <v>#NAME?</v>
      </c>
      <c r="EG195" s="862" t="str">
        <f t="shared" ca="1" si="593"/>
        <v/>
      </c>
      <c r="EH195" s="114" t="str">
        <f t="shared" ca="1" si="527"/>
        <v/>
      </c>
      <c r="EI195" s="109" t="str">
        <f t="shared" ca="1" si="528"/>
        <v/>
      </c>
      <c r="EJ195" s="115">
        <f ca="1">IF(BD195,_xll.xASN(BP195,Strike1,AO195,EH195,0,BM195,0,BI195,BL195,IF(OptControl=4,0,1),0),0)</f>
        <v>0</v>
      </c>
      <c r="EK195" s="108">
        <f ca="1">IF(BD195,_xll.xASN(BP195,Strike2,AO195,EI195,0,BM195,0,BI195,BL195,IF(OptControl=3,1,0),0),0)</f>
        <v>0</v>
      </c>
      <c r="EP195" s="53"/>
      <c r="EQ195" s="1"/>
      <c r="ER195" s="103"/>
      <c r="ES195" s="103"/>
      <c r="ET195" s="1"/>
      <c r="EU195" s="667" t="s">
        <v>407</v>
      </c>
      <c r="EW195" s="445"/>
      <c r="EX195" s="36"/>
      <c r="EY195" s="104"/>
      <c r="EZ195" s="465"/>
      <c r="FA195" s="446"/>
      <c r="FB195" s="446"/>
      <c r="FC195" s="242"/>
      <c r="FD195" s="242"/>
      <c r="FE195" s="242"/>
      <c r="FF195" s="242"/>
      <c r="FG195" s="242"/>
      <c r="FH195" s="242"/>
      <c r="FI195" s="242"/>
      <c r="FJ195" s="242"/>
      <c r="FK195" s="242"/>
      <c r="FL195" s="242"/>
      <c r="FM195" s="242"/>
      <c r="FN195" s="657">
        <v>26</v>
      </c>
      <c r="FO195" s="469" t="str">
        <f ca="1">IF(OR(FO$169&lt;SwaptionFirstMonthPosition+1,$FN195&lt;SwaptionFirstMonthPosition+1,FO$169&gt;SwaptionFirstMonthPosition+SwaptionNumOfMonths+1,$FN195&gt;SwaptionFirstMonthPosition+SwaptionNumOfMonths+1),"",IF($FN195=FO$169,1,IF($FN195&lt;FO$169,INDEX($FO$170:$IH$241,FO$169,$FN195),SUMPRODUCT(INDEX($FO$325:$IH$396,FO$169,1+SwaptionShift):INDEX($FO$325:$IH$396,FO$169,SwaptionMonthsToGo+SwaptionShift),INDEX($FO$245:$IH$316,$FN195-FO$169,73-FO$169+SwaptionShift):INDEX($FO$245:$IH$316,$FN195-FO$169,72-FO$169+SwaptionMonthsToGo+SwaptionShift))/SQRT(SUM(INDEX($FO350:$IH350,1+SwaptionShift):INDEX($FO350:$IH350,SwaptionMonthsToGo+SwaptionShift))*SUM(INDEX($FO$325:$IH$396,FO$169,1+SwaptionShift):INDEX($FO$325:$IH$396,FO$169,SwaptionMonthsToGo+SwaptionShift))))))</f>
        <v/>
      </c>
      <c r="FP195" s="469" t="str">
        <f ca="1">IF(OR(FP$169&lt;SwaptionFirstMonthPosition+1,$FN195&lt;SwaptionFirstMonthPosition+1,FP$169&gt;SwaptionFirstMonthPosition+SwaptionNumOfMonths+1,$FN195&gt;SwaptionFirstMonthPosition+SwaptionNumOfMonths+1),"",IF($FN195=FP$169,1,IF($FN195&lt;FP$169,INDEX($FO$170:$IH$241,FP$169,$FN195),SUMPRODUCT(INDEX($FO$325:$IH$396,FP$169,1+SwaptionShift):INDEX($FO$325:$IH$396,FP$169,SwaptionMonthsToGo+SwaptionShift),INDEX($FO$245:$IH$316,$FN195-FP$169,73-FP$169+SwaptionShift):INDEX($FO$245:$IH$316,$FN195-FP$169,72-FP$169+SwaptionMonthsToGo+SwaptionShift))/SQRT(SUM(INDEX($FO350:$IH350,1+SwaptionShift):INDEX($FO350:$IH350,SwaptionMonthsToGo+SwaptionShift))*SUM(INDEX($FO$325:$IH$396,FP$169,1+SwaptionShift):INDEX($FO$325:$IH$396,FP$169,SwaptionMonthsToGo+SwaptionShift))))))</f>
        <v/>
      </c>
      <c r="FQ195" s="469" t="str">
        <f ca="1">IF(OR(FQ$169&lt;SwaptionFirstMonthPosition+1,$FN195&lt;SwaptionFirstMonthPosition+1,FQ$169&gt;SwaptionFirstMonthPosition+SwaptionNumOfMonths+1,$FN195&gt;SwaptionFirstMonthPosition+SwaptionNumOfMonths+1),"",IF($FN195=FQ$169,1,IF($FN195&lt;FQ$169,INDEX($FO$170:$IH$241,FQ$169,$FN195),SUMPRODUCT(INDEX($FO$325:$IH$396,FQ$169,1+SwaptionShift):INDEX($FO$325:$IH$396,FQ$169,SwaptionMonthsToGo+SwaptionShift),INDEX($FO$245:$IH$316,$FN195-FQ$169,73-FQ$169+SwaptionShift):INDEX($FO$245:$IH$316,$FN195-FQ$169,72-FQ$169+SwaptionMonthsToGo+SwaptionShift))/SQRT(SUM(INDEX($FO350:$IH350,1+SwaptionShift):INDEX($FO350:$IH350,SwaptionMonthsToGo+SwaptionShift))*SUM(INDEX($FO$325:$IH$396,FQ$169,1+SwaptionShift):INDEX($FO$325:$IH$396,FQ$169,SwaptionMonthsToGo+SwaptionShift))))))</f>
        <v/>
      </c>
      <c r="FR195" s="469" t="str">
        <f ca="1">IF(OR(FR$169&lt;SwaptionFirstMonthPosition+1,$FN195&lt;SwaptionFirstMonthPosition+1,FR$169&gt;SwaptionFirstMonthPosition+SwaptionNumOfMonths+1,$FN195&gt;SwaptionFirstMonthPosition+SwaptionNumOfMonths+1),"",IF($FN195=FR$169,1,IF($FN195&lt;FR$169,INDEX($FO$170:$IH$241,FR$169,$FN195),SUMPRODUCT(INDEX($FO$325:$IH$396,FR$169,1+SwaptionShift):INDEX($FO$325:$IH$396,FR$169,SwaptionMonthsToGo+SwaptionShift),INDEX($FO$245:$IH$316,$FN195-FR$169,73-FR$169+SwaptionShift):INDEX($FO$245:$IH$316,$FN195-FR$169,72-FR$169+SwaptionMonthsToGo+SwaptionShift))/SQRT(SUM(INDEX($FO350:$IH350,1+SwaptionShift):INDEX($FO350:$IH350,SwaptionMonthsToGo+SwaptionShift))*SUM(INDEX($FO$325:$IH$396,FR$169,1+SwaptionShift):INDEX($FO$325:$IH$396,FR$169,SwaptionMonthsToGo+SwaptionShift))))))</f>
        <v/>
      </c>
      <c r="FS195" s="469" t="str">
        <f ca="1">IF(OR(FS$169&lt;SwaptionFirstMonthPosition+1,$FN195&lt;SwaptionFirstMonthPosition+1,FS$169&gt;SwaptionFirstMonthPosition+SwaptionNumOfMonths+1,$FN195&gt;SwaptionFirstMonthPosition+SwaptionNumOfMonths+1),"",IF($FN195=FS$169,1,IF($FN195&lt;FS$169,INDEX($FO$170:$IH$241,FS$169,$FN195),SUMPRODUCT(INDEX($FO$325:$IH$396,FS$169,1+SwaptionShift):INDEX($FO$325:$IH$396,FS$169,SwaptionMonthsToGo+SwaptionShift),INDEX($FO$245:$IH$316,$FN195-FS$169,73-FS$169+SwaptionShift):INDEX($FO$245:$IH$316,$FN195-FS$169,72-FS$169+SwaptionMonthsToGo+SwaptionShift))/SQRT(SUM(INDEX($FO350:$IH350,1+SwaptionShift):INDEX($FO350:$IH350,SwaptionMonthsToGo+SwaptionShift))*SUM(INDEX($FO$325:$IH$396,FS$169,1+SwaptionShift):INDEX($FO$325:$IH$396,FS$169,SwaptionMonthsToGo+SwaptionShift))))))</f>
        <v/>
      </c>
      <c r="FT195" s="469" t="str">
        <f ca="1">IF(OR(FT$169&lt;SwaptionFirstMonthPosition+1,$FN195&lt;SwaptionFirstMonthPosition+1,FT$169&gt;SwaptionFirstMonthPosition+SwaptionNumOfMonths+1,$FN195&gt;SwaptionFirstMonthPosition+SwaptionNumOfMonths+1),"",IF($FN195=FT$169,1,IF($FN195&lt;FT$169,INDEX($FO$170:$IH$241,FT$169,$FN195),SUMPRODUCT(INDEX($FO$325:$IH$396,FT$169,1+SwaptionShift):INDEX($FO$325:$IH$396,FT$169,SwaptionMonthsToGo+SwaptionShift),INDEX($FO$245:$IH$316,$FN195-FT$169,73-FT$169+SwaptionShift):INDEX($FO$245:$IH$316,$FN195-FT$169,72-FT$169+SwaptionMonthsToGo+SwaptionShift))/SQRT(SUM(INDEX($FO350:$IH350,1+SwaptionShift):INDEX($FO350:$IH350,SwaptionMonthsToGo+SwaptionShift))*SUM(INDEX($FO$325:$IH$396,FT$169,1+SwaptionShift):INDEX($FO$325:$IH$396,FT$169,SwaptionMonthsToGo+SwaptionShift))))))</f>
        <v/>
      </c>
      <c r="FU195" s="469" t="str">
        <f ca="1">IF(OR(FU$169&lt;SwaptionFirstMonthPosition+1,$FN195&lt;SwaptionFirstMonthPosition+1,FU$169&gt;SwaptionFirstMonthPosition+SwaptionNumOfMonths+1,$FN195&gt;SwaptionFirstMonthPosition+SwaptionNumOfMonths+1),"",IF($FN195=FU$169,1,IF($FN195&lt;FU$169,INDEX($FO$170:$IH$241,FU$169,$FN195),SUMPRODUCT(INDEX($FO$325:$IH$396,FU$169,1+SwaptionShift):INDEX($FO$325:$IH$396,FU$169,SwaptionMonthsToGo+SwaptionShift),INDEX($FO$245:$IH$316,$FN195-FU$169,73-FU$169+SwaptionShift):INDEX($FO$245:$IH$316,$FN195-FU$169,72-FU$169+SwaptionMonthsToGo+SwaptionShift))/SQRT(SUM(INDEX($FO350:$IH350,1+SwaptionShift):INDEX($FO350:$IH350,SwaptionMonthsToGo+SwaptionShift))*SUM(INDEX($FO$325:$IH$396,FU$169,1+SwaptionShift):INDEX($FO$325:$IH$396,FU$169,SwaptionMonthsToGo+SwaptionShift))))))</f>
        <v/>
      </c>
      <c r="FV195" s="469" t="str">
        <f ca="1">IF(OR(FV$169&lt;SwaptionFirstMonthPosition+1,$FN195&lt;SwaptionFirstMonthPosition+1,FV$169&gt;SwaptionFirstMonthPosition+SwaptionNumOfMonths+1,$FN195&gt;SwaptionFirstMonthPosition+SwaptionNumOfMonths+1),"",IF($FN195=FV$169,1,IF($FN195&lt;FV$169,INDEX($FO$170:$IH$241,FV$169,$FN195),SUMPRODUCT(INDEX($FO$325:$IH$396,FV$169,1+SwaptionShift):INDEX($FO$325:$IH$396,FV$169,SwaptionMonthsToGo+SwaptionShift),INDEX($FO$245:$IH$316,$FN195-FV$169,73-FV$169+SwaptionShift):INDEX($FO$245:$IH$316,$FN195-FV$169,72-FV$169+SwaptionMonthsToGo+SwaptionShift))/SQRT(SUM(INDEX($FO350:$IH350,1+SwaptionShift):INDEX($FO350:$IH350,SwaptionMonthsToGo+SwaptionShift))*SUM(INDEX($FO$325:$IH$396,FV$169,1+SwaptionShift):INDEX($FO$325:$IH$396,FV$169,SwaptionMonthsToGo+SwaptionShift))))))</f>
        <v/>
      </c>
      <c r="FW195" s="469" t="str">
        <f ca="1">IF(OR(FW$169&lt;SwaptionFirstMonthPosition+1,$FN195&lt;SwaptionFirstMonthPosition+1,FW$169&gt;SwaptionFirstMonthPosition+SwaptionNumOfMonths+1,$FN195&gt;SwaptionFirstMonthPosition+SwaptionNumOfMonths+1),"",IF($FN195=FW$169,1,IF($FN195&lt;FW$169,INDEX($FO$170:$IH$241,FW$169,$FN195),SUMPRODUCT(INDEX($FO$325:$IH$396,FW$169,1+SwaptionShift):INDEX($FO$325:$IH$396,FW$169,SwaptionMonthsToGo+SwaptionShift),INDEX($FO$245:$IH$316,$FN195-FW$169,73-FW$169+SwaptionShift):INDEX($FO$245:$IH$316,$FN195-FW$169,72-FW$169+SwaptionMonthsToGo+SwaptionShift))/SQRT(SUM(INDEX($FO350:$IH350,1+SwaptionShift):INDEX($FO350:$IH350,SwaptionMonthsToGo+SwaptionShift))*SUM(INDEX($FO$325:$IH$396,FW$169,1+SwaptionShift):INDEX($FO$325:$IH$396,FW$169,SwaptionMonthsToGo+SwaptionShift))))))</f>
        <v/>
      </c>
      <c r="FX195" s="469" t="str">
        <f ca="1">IF(OR(FX$169&lt;SwaptionFirstMonthPosition+1,$FN195&lt;SwaptionFirstMonthPosition+1,FX$169&gt;SwaptionFirstMonthPosition+SwaptionNumOfMonths+1,$FN195&gt;SwaptionFirstMonthPosition+SwaptionNumOfMonths+1),"",IF($FN195=FX$169,1,IF($FN195&lt;FX$169,INDEX($FO$170:$IH$241,FX$169,$FN195),SUMPRODUCT(INDEX($FO$325:$IH$396,FX$169,1+SwaptionShift):INDEX($FO$325:$IH$396,FX$169,SwaptionMonthsToGo+SwaptionShift),INDEX($FO$245:$IH$316,$FN195-FX$169,73-FX$169+SwaptionShift):INDEX($FO$245:$IH$316,$FN195-FX$169,72-FX$169+SwaptionMonthsToGo+SwaptionShift))/SQRT(SUM(INDEX($FO350:$IH350,1+SwaptionShift):INDEX($FO350:$IH350,SwaptionMonthsToGo+SwaptionShift))*SUM(INDEX($FO$325:$IH$396,FX$169,1+SwaptionShift):INDEX($FO$325:$IH$396,FX$169,SwaptionMonthsToGo+SwaptionShift))))))</f>
        <v/>
      </c>
      <c r="FY195" s="469" t="str">
        <f ca="1">IF(OR(FY$169&lt;SwaptionFirstMonthPosition+1,$FN195&lt;SwaptionFirstMonthPosition+1,FY$169&gt;SwaptionFirstMonthPosition+SwaptionNumOfMonths+1,$FN195&gt;SwaptionFirstMonthPosition+SwaptionNumOfMonths+1),"",IF($FN195=FY$169,1,IF($FN195&lt;FY$169,INDEX($FO$170:$IH$241,FY$169,$FN195),SUMPRODUCT(INDEX($FO$325:$IH$396,FY$169,1+SwaptionShift):INDEX($FO$325:$IH$396,FY$169,SwaptionMonthsToGo+SwaptionShift),INDEX($FO$245:$IH$316,$FN195-FY$169,73-FY$169+SwaptionShift):INDEX($FO$245:$IH$316,$FN195-FY$169,72-FY$169+SwaptionMonthsToGo+SwaptionShift))/SQRT(SUM(INDEX($FO350:$IH350,1+SwaptionShift):INDEX($FO350:$IH350,SwaptionMonthsToGo+SwaptionShift))*SUM(INDEX($FO$325:$IH$396,FY$169,1+SwaptionShift):INDEX($FO$325:$IH$396,FY$169,SwaptionMonthsToGo+SwaptionShift))))))</f>
        <v/>
      </c>
      <c r="FZ195" s="469" t="str">
        <f ca="1">IF(OR(FZ$169&lt;SwaptionFirstMonthPosition+1,$FN195&lt;SwaptionFirstMonthPosition+1,FZ$169&gt;SwaptionFirstMonthPosition+SwaptionNumOfMonths+1,$FN195&gt;SwaptionFirstMonthPosition+SwaptionNumOfMonths+1),"",IF($FN195=FZ$169,1,IF($FN195&lt;FZ$169,INDEX($FO$170:$IH$241,FZ$169,$FN195),SUMPRODUCT(INDEX($FO$325:$IH$396,FZ$169,1+SwaptionShift):INDEX($FO$325:$IH$396,FZ$169,SwaptionMonthsToGo+SwaptionShift),INDEX($FO$245:$IH$316,$FN195-FZ$169,73-FZ$169+SwaptionShift):INDEX($FO$245:$IH$316,$FN195-FZ$169,72-FZ$169+SwaptionMonthsToGo+SwaptionShift))/SQRT(SUM(INDEX($FO350:$IH350,1+SwaptionShift):INDEX($FO350:$IH350,SwaptionMonthsToGo+SwaptionShift))*SUM(INDEX($FO$325:$IH$396,FZ$169,1+SwaptionShift):INDEX($FO$325:$IH$396,FZ$169,SwaptionMonthsToGo+SwaptionShift))))))</f>
        <v/>
      </c>
      <c r="GA195" s="469" t="str">
        <f ca="1">IF(OR(GA$169&lt;SwaptionFirstMonthPosition+1,$FN195&lt;SwaptionFirstMonthPosition+1,GA$169&gt;SwaptionFirstMonthPosition+SwaptionNumOfMonths+1,$FN195&gt;SwaptionFirstMonthPosition+SwaptionNumOfMonths+1),"",IF($FN195=GA$169,1,IF($FN195&lt;GA$169,INDEX($FO$170:$IH$241,GA$169,$FN195),SUMPRODUCT(INDEX($FO$325:$IH$396,GA$169,1+SwaptionShift):INDEX($FO$325:$IH$396,GA$169,SwaptionMonthsToGo+SwaptionShift),INDEX($FO$245:$IH$316,$FN195-GA$169,73-GA$169+SwaptionShift):INDEX($FO$245:$IH$316,$FN195-GA$169,72-GA$169+SwaptionMonthsToGo+SwaptionShift))/SQRT(SUM(INDEX($FO350:$IH350,1+SwaptionShift):INDEX($FO350:$IH350,SwaptionMonthsToGo+SwaptionShift))*SUM(INDEX($FO$325:$IH$396,GA$169,1+SwaptionShift):INDEX($FO$325:$IH$396,GA$169,SwaptionMonthsToGo+SwaptionShift))))))</f>
        <v/>
      </c>
      <c r="GB195" s="469" t="str">
        <f ca="1">IF(OR(GB$169&lt;SwaptionFirstMonthPosition+1,$FN195&lt;SwaptionFirstMonthPosition+1,GB$169&gt;SwaptionFirstMonthPosition+SwaptionNumOfMonths+1,$FN195&gt;SwaptionFirstMonthPosition+SwaptionNumOfMonths+1),"",IF($FN195=GB$169,1,IF($FN195&lt;GB$169,INDEX($FO$170:$IH$241,GB$169,$FN195),SUMPRODUCT(INDEX($FO$325:$IH$396,GB$169,1+SwaptionShift):INDEX($FO$325:$IH$396,GB$169,SwaptionMonthsToGo+SwaptionShift),INDEX($FO$245:$IH$316,$FN195-GB$169,73-GB$169+SwaptionShift):INDEX($FO$245:$IH$316,$FN195-GB$169,72-GB$169+SwaptionMonthsToGo+SwaptionShift))/SQRT(SUM(INDEX($FO350:$IH350,1+SwaptionShift):INDEX($FO350:$IH350,SwaptionMonthsToGo+SwaptionShift))*SUM(INDEX($FO$325:$IH$396,GB$169,1+SwaptionShift):INDEX($FO$325:$IH$396,GB$169,SwaptionMonthsToGo+SwaptionShift))))))</f>
        <v/>
      </c>
      <c r="GC195" s="469" t="str">
        <f ca="1">IF(OR(GC$169&lt;SwaptionFirstMonthPosition+1,$FN195&lt;SwaptionFirstMonthPosition+1,GC$169&gt;SwaptionFirstMonthPosition+SwaptionNumOfMonths+1,$FN195&gt;SwaptionFirstMonthPosition+SwaptionNumOfMonths+1),"",IF($FN195=GC$169,1,IF($FN195&lt;GC$169,INDEX($FO$170:$IH$241,GC$169,$FN195),SUMPRODUCT(INDEX($FO$325:$IH$396,GC$169,1+SwaptionShift):INDEX($FO$325:$IH$396,GC$169,SwaptionMonthsToGo+SwaptionShift),INDEX($FO$245:$IH$316,$FN195-GC$169,73-GC$169+SwaptionShift):INDEX($FO$245:$IH$316,$FN195-GC$169,72-GC$169+SwaptionMonthsToGo+SwaptionShift))/SQRT(SUM(INDEX($FO350:$IH350,1+SwaptionShift):INDEX($FO350:$IH350,SwaptionMonthsToGo+SwaptionShift))*SUM(INDEX($FO$325:$IH$396,GC$169,1+SwaptionShift):INDEX($FO$325:$IH$396,GC$169,SwaptionMonthsToGo+SwaptionShift))))))</f>
        <v/>
      </c>
      <c r="GD195" s="469" t="str">
        <f ca="1">IF(OR(GD$169&lt;SwaptionFirstMonthPosition+1,$FN195&lt;SwaptionFirstMonthPosition+1,GD$169&gt;SwaptionFirstMonthPosition+SwaptionNumOfMonths+1,$FN195&gt;SwaptionFirstMonthPosition+SwaptionNumOfMonths+1),"",IF($FN195=GD$169,1,IF($FN195&lt;GD$169,INDEX($FO$170:$IH$241,GD$169,$FN195),SUMPRODUCT(INDEX($FO$325:$IH$396,GD$169,1+SwaptionShift):INDEX($FO$325:$IH$396,GD$169,SwaptionMonthsToGo+SwaptionShift),INDEX($FO$245:$IH$316,$FN195-GD$169,73-GD$169+SwaptionShift):INDEX($FO$245:$IH$316,$FN195-GD$169,72-GD$169+SwaptionMonthsToGo+SwaptionShift))/SQRT(SUM(INDEX($FO350:$IH350,1+SwaptionShift):INDEX($FO350:$IH350,SwaptionMonthsToGo+SwaptionShift))*SUM(INDEX($FO$325:$IH$396,GD$169,1+SwaptionShift):INDEX($FO$325:$IH$396,GD$169,SwaptionMonthsToGo+SwaptionShift))))))</f>
        <v/>
      </c>
      <c r="GE195" s="469" t="str">
        <f ca="1">IF(OR(GE$169&lt;SwaptionFirstMonthPosition+1,$FN195&lt;SwaptionFirstMonthPosition+1,GE$169&gt;SwaptionFirstMonthPosition+SwaptionNumOfMonths+1,$FN195&gt;SwaptionFirstMonthPosition+SwaptionNumOfMonths+1),"",IF($FN195=GE$169,1,IF($FN195&lt;GE$169,INDEX($FO$170:$IH$241,GE$169,$FN195),SUMPRODUCT(INDEX($FO$325:$IH$396,GE$169,1+SwaptionShift):INDEX($FO$325:$IH$396,GE$169,SwaptionMonthsToGo+SwaptionShift),INDEX($FO$245:$IH$316,$FN195-GE$169,73-GE$169+SwaptionShift):INDEX($FO$245:$IH$316,$FN195-GE$169,72-GE$169+SwaptionMonthsToGo+SwaptionShift))/SQRT(SUM(INDEX($FO350:$IH350,1+SwaptionShift):INDEX($FO350:$IH350,SwaptionMonthsToGo+SwaptionShift))*SUM(INDEX($FO$325:$IH$396,GE$169,1+SwaptionShift):INDEX($FO$325:$IH$396,GE$169,SwaptionMonthsToGo+SwaptionShift))))))</f>
        <v/>
      </c>
      <c r="GF195" s="469" t="str">
        <f ca="1">IF(OR(GF$169&lt;SwaptionFirstMonthPosition+1,$FN195&lt;SwaptionFirstMonthPosition+1,GF$169&gt;SwaptionFirstMonthPosition+SwaptionNumOfMonths+1,$FN195&gt;SwaptionFirstMonthPosition+SwaptionNumOfMonths+1),"",IF($FN195=GF$169,1,IF($FN195&lt;GF$169,INDEX($FO$170:$IH$241,GF$169,$FN195),SUMPRODUCT(INDEX($FO$325:$IH$396,GF$169,1+SwaptionShift):INDEX($FO$325:$IH$396,GF$169,SwaptionMonthsToGo+SwaptionShift),INDEX($FO$245:$IH$316,$FN195-GF$169,73-GF$169+SwaptionShift):INDEX($FO$245:$IH$316,$FN195-GF$169,72-GF$169+SwaptionMonthsToGo+SwaptionShift))/SQRT(SUM(INDEX($FO350:$IH350,1+SwaptionShift):INDEX($FO350:$IH350,SwaptionMonthsToGo+SwaptionShift))*SUM(INDEX($FO$325:$IH$396,GF$169,1+SwaptionShift):INDEX($FO$325:$IH$396,GF$169,SwaptionMonthsToGo+SwaptionShift))))))</f>
        <v/>
      </c>
      <c r="GG195" s="469" t="str">
        <f ca="1">IF(OR(GG$169&lt;SwaptionFirstMonthPosition+1,$FN195&lt;SwaptionFirstMonthPosition+1,GG$169&gt;SwaptionFirstMonthPosition+SwaptionNumOfMonths+1,$FN195&gt;SwaptionFirstMonthPosition+SwaptionNumOfMonths+1),"",IF($FN195=GG$169,1,IF($FN195&lt;GG$169,INDEX($FO$170:$IH$241,GG$169,$FN195),SUMPRODUCT(INDEX($FO$325:$IH$396,GG$169,1+SwaptionShift):INDEX($FO$325:$IH$396,GG$169,SwaptionMonthsToGo+SwaptionShift),INDEX($FO$245:$IH$316,$FN195-GG$169,73-GG$169+SwaptionShift):INDEX($FO$245:$IH$316,$FN195-GG$169,72-GG$169+SwaptionMonthsToGo+SwaptionShift))/SQRT(SUM(INDEX($FO350:$IH350,1+SwaptionShift):INDEX($FO350:$IH350,SwaptionMonthsToGo+SwaptionShift))*SUM(INDEX($FO$325:$IH$396,GG$169,1+SwaptionShift):INDEX($FO$325:$IH$396,GG$169,SwaptionMonthsToGo+SwaptionShift))))))</f>
        <v/>
      </c>
      <c r="GH195" s="469" t="str">
        <f ca="1">IF(OR(GH$169&lt;SwaptionFirstMonthPosition+1,$FN195&lt;SwaptionFirstMonthPosition+1,GH$169&gt;SwaptionFirstMonthPosition+SwaptionNumOfMonths+1,$FN195&gt;SwaptionFirstMonthPosition+SwaptionNumOfMonths+1),"",IF($FN195=GH$169,1,IF($FN195&lt;GH$169,INDEX($FO$170:$IH$241,GH$169,$FN195),SUMPRODUCT(INDEX($FO$325:$IH$396,GH$169,1+SwaptionShift):INDEX($FO$325:$IH$396,GH$169,SwaptionMonthsToGo+SwaptionShift),INDEX($FO$245:$IH$316,$FN195-GH$169,73-GH$169+SwaptionShift):INDEX($FO$245:$IH$316,$FN195-GH$169,72-GH$169+SwaptionMonthsToGo+SwaptionShift))/SQRT(SUM(INDEX($FO350:$IH350,1+SwaptionShift):INDEX($FO350:$IH350,SwaptionMonthsToGo+SwaptionShift))*SUM(INDEX($FO$325:$IH$396,GH$169,1+SwaptionShift):INDEX($FO$325:$IH$396,GH$169,SwaptionMonthsToGo+SwaptionShift))))))</f>
        <v/>
      </c>
      <c r="GI195" s="469" t="str">
        <f ca="1">IF(OR(GI$169&lt;SwaptionFirstMonthPosition+1,$FN195&lt;SwaptionFirstMonthPosition+1,GI$169&gt;SwaptionFirstMonthPosition+SwaptionNumOfMonths+1,$FN195&gt;SwaptionFirstMonthPosition+SwaptionNumOfMonths+1),"",IF($FN195=GI$169,1,IF($FN195&lt;GI$169,INDEX($FO$170:$IH$241,GI$169,$FN195),SUMPRODUCT(INDEX($FO$325:$IH$396,GI$169,1+SwaptionShift):INDEX($FO$325:$IH$396,GI$169,SwaptionMonthsToGo+SwaptionShift),INDEX($FO$245:$IH$316,$FN195-GI$169,73-GI$169+SwaptionShift):INDEX($FO$245:$IH$316,$FN195-GI$169,72-GI$169+SwaptionMonthsToGo+SwaptionShift))/SQRT(SUM(INDEX($FO350:$IH350,1+SwaptionShift):INDEX($FO350:$IH350,SwaptionMonthsToGo+SwaptionShift))*SUM(INDEX($FO$325:$IH$396,GI$169,1+SwaptionShift):INDEX($FO$325:$IH$396,GI$169,SwaptionMonthsToGo+SwaptionShift))))))</f>
        <v/>
      </c>
      <c r="GJ195" s="469" t="str">
        <f ca="1">IF(OR(GJ$169&lt;SwaptionFirstMonthPosition+1,$FN195&lt;SwaptionFirstMonthPosition+1,GJ$169&gt;SwaptionFirstMonthPosition+SwaptionNumOfMonths+1,$FN195&gt;SwaptionFirstMonthPosition+SwaptionNumOfMonths+1),"",IF($FN195=GJ$169,1,IF($FN195&lt;GJ$169,INDEX($FO$170:$IH$241,GJ$169,$FN195),SUMPRODUCT(INDEX($FO$325:$IH$396,GJ$169,1+SwaptionShift):INDEX($FO$325:$IH$396,GJ$169,SwaptionMonthsToGo+SwaptionShift),INDEX($FO$245:$IH$316,$FN195-GJ$169,73-GJ$169+SwaptionShift):INDEX($FO$245:$IH$316,$FN195-GJ$169,72-GJ$169+SwaptionMonthsToGo+SwaptionShift))/SQRT(SUM(INDEX($FO350:$IH350,1+SwaptionShift):INDEX($FO350:$IH350,SwaptionMonthsToGo+SwaptionShift))*SUM(INDEX($FO$325:$IH$396,GJ$169,1+SwaptionShift):INDEX($FO$325:$IH$396,GJ$169,SwaptionMonthsToGo+SwaptionShift))))))</f>
        <v/>
      </c>
      <c r="GK195" s="469" t="str">
        <f ca="1">IF(OR(GK$169&lt;SwaptionFirstMonthPosition+1,$FN195&lt;SwaptionFirstMonthPosition+1,GK$169&gt;SwaptionFirstMonthPosition+SwaptionNumOfMonths+1,$FN195&gt;SwaptionFirstMonthPosition+SwaptionNumOfMonths+1),"",IF($FN195=GK$169,1,IF($FN195&lt;GK$169,INDEX($FO$170:$IH$241,GK$169,$FN195),SUMPRODUCT(INDEX($FO$325:$IH$396,GK$169,1+SwaptionShift):INDEX($FO$325:$IH$396,GK$169,SwaptionMonthsToGo+SwaptionShift),INDEX($FO$245:$IH$316,$FN195-GK$169,73-GK$169+SwaptionShift):INDEX($FO$245:$IH$316,$FN195-GK$169,72-GK$169+SwaptionMonthsToGo+SwaptionShift))/SQRT(SUM(INDEX($FO350:$IH350,1+SwaptionShift):INDEX($FO350:$IH350,SwaptionMonthsToGo+SwaptionShift))*SUM(INDEX($FO$325:$IH$396,GK$169,1+SwaptionShift):INDEX($FO$325:$IH$396,GK$169,SwaptionMonthsToGo+SwaptionShift))))))</f>
        <v/>
      </c>
      <c r="GL195" s="469" t="str">
        <f ca="1">IF(OR(GL$169&lt;SwaptionFirstMonthPosition+1,$FN195&lt;SwaptionFirstMonthPosition+1,GL$169&gt;SwaptionFirstMonthPosition+SwaptionNumOfMonths+1,$FN195&gt;SwaptionFirstMonthPosition+SwaptionNumOfMonths+1),"",IF($FN195=GL$169,1,IF($FN195&lt;GL$169,INDEX($FO$170:$IH$241,GL$169,$FN195),SUMPRODUCT(INDEX($FO$325:$IH$396,GL$169,1+SwaptionShift):INDEX($FO$325:$IH$396,GL$169,SwaptionMonthsToGo+SwaptionShift),INDEX($FO$245:$IH$316,$FN195-GL$169,73-GL$169+SwaptionShift):INDEX($FO$245:$IH$316,$FN195-GL$169,72-GL$169+SwaptionMonthsToGo+SwaptionShift))/SQRT(SUM(INDEX($FO350:$IH350,1+SwaptionShift):INDEX($FO350:$IH350,SwaptionMonthsToGo+SwaptionShift))*SUM(INDEX($FO$325:$IH$396,GL$169,1+SwaptionShift):INDEX($FO$325:$IH$396,GL$169,SwaptionMonthsToGo+SwaptionShift))))))</f>
        <v/>
      </c>
      <c r="GM195" s="469" t="str">
        <f ca="1">IF(OR(GM$169&lt;SwaptionFirstMonthPosition+1,$FN195&lt;SwaptionFirstMonthPosition+1,GM$169&gt;SwaptionFirstMonthPosition+SwaptionNumOfMonths+1,$FN195&gt;SwaptionFirstMonthPosition+SwaptionNumOfMonths+1),"",IF($FN195=GM$169,1,IF($FN195&lt;GM$169,INDEX($FO$170:$IH$241,GM$169,$FN195),SUMPRODUCT(INDEX($FO$325:$IH$396,GM$169,1+SwaptionShift):INDEX($FO$325:$IH$396,GM$169,SwaptionMonthsToGo+SwaptionShift),INDEX($FO$245:$IH$316,$FN195-GM$169,73-GM$169+SwaptionShift):INDEX($FO$245:$IH$316,$FN195-GM$169,72-GM$169+SwaptionMonthsToGo+SwaptionShift))/SQRT(SUM(INDEX($FO350:$IH350,1+SwaptionShift):INDEX($FO350:$IH350,SwaptionMonthsToGo+SwaptionShift))*SUM(INDEX($FO$325:$IH$396,GM$169,1+SwaptionShift):INDEX($FO$325:$IH$396,GM$169,SwaptionMonthsToGo+SwaptionShift))))))</f>
        <v/>
      </c>
      <c r="GN195" s="469" t="str">
        <f ca="1">IF(OR(GN$169&lt;SwaptionFirstMonthPosition+1,$FN195&lt;SwaptionFirstMonthPosition+1,GN$169&gt;SwaptionFirstMonthPosition+SwaptionNumOfMonths+1,$FN195&gt;SwaptionFirstMonthPosition+SwaptionNumOfMonths+1),"",IF($FN195=GN$169,1,IF($FN195&lt;GN$169,INDEX($FO$170:$IH$241,GN$169,$FN195),SUMPRODUCT(INDEX($FO$325:$IH$396,GN$169,1+SwaptionShift):INDEX($FO$325:$IH$396,GN$169,SwaptionMonthsToGo+SwaptionShift),INDEX($FO$245:$IH$316,$FN195-GN$169,73-GN$169+SwaptionShift):INDEX($FO$245:$IH$316,$FN195-GN$169,72-GN$169+SwaptionMonthsToGo+SwaptionShift))/SQRT(SUM(INDEX($FO350:$IH350,1+SwaptionShift):INDEX($FO350:$IH350,SwaptionMonthsToGo+SwaptionShift))*SUM(INDEX($FO$325:$IH$396,GN$169,1+SwaptionShift):INDEX($FO$325:$IH$396,GN$169,SwaptionMonthsToGo+SwaptionShift))))))</f>
        <v/>
      </c>
      <c r="GO195" s="469" t="str">
        <f ca="1">IF(OR(GO$169&lt;SwaptionFirstMonthPosition+1,$FN195&lt;SwaptionFirstMonthPosition+1,GO$169&gt;SwaptionFirstMonthPosition+SwaptionNumOfMonths+1,$FN195&gt;SwaptionFirstMonthPosition+SwaptionNumOfMonths+1),"",IF($FN195=GO$169,1,IF($FN195&lt;GO$169,INDEX($FO$170:$IH$241,GO$169,$FN195),SUMPRODUCT(INDEX($FO$325:$IH$396,GO$169,1+SwaptionShift):INDEX($FO$325:$IH$396,GO$169,SwaptionMonthsToGo+SwaptionShift),INDEX($FO$245:$IH$316,$FN195-GO$169,73-GO$169+SwaptionShift):INDEX($FO$245:$IH$316,$FN195-GO$169,72-GO$169+SwaptionMonthsToGo+SwaptionShift))/SQRT(SUM(INDEX($FO350:$IH350,1+SwaptionShift):INDEX($FO350:$IH350,SwaptionMonthsToGo+SwaptionShift))*SUM(INDEX($FO$325:$IH$396,GO$169,1+SwaptionShift):INDEX($FO$325:$IH$396,GO$169,SwaptionMonthsToGo+SwaptionShift))))))</f>
        <v/>
      </c>
      <c r="GP195" s="469" t="str">
        <f ca="1">IF(OR(GP$169&lt;SwaptionFirstMonthPosition+1,$FN195&lt;SwaptionFirstMonthPosition+1,GP$169&gt;SwaptionFirstMonthPosition+SwaptionNumOfMonths+1,$FN195&gt;SwaptionFirstMonthPosition+SwaptionNumOfMonths+1),"",IF($FN195=GP$169,1,IF($FN195&lt;GP$169,INDEX($FO$170:$IH$241,GP$169,$FN195),SUMPRODUCT(INDEX($FO$325:$IH$396,GP$169,1+SwaptionShift):INDEX($FO$325:$IH$396,GP$169,SwaptionMonthsToGo+SwaptionShift),INDEX($FO$245:$IH$316,$FN195-GP$169,73-GP$169+SwaptionShift):INDEX($FO$245:$IH$316,$FN195-GP$169,72-GP$169+SwaptionMonthsToGo+SwaptionShift))/SQRT(SUM(INDEX($FO350:$IH350,1+SwaptionShift):INDEX($FO350:$IH350,SwaptionMonthsToGo+SwaptionShift))*SUM(INDEX($FO$325:$IH$396,GP$169,1+SwaptionShift):INDEX($FO$325:$IH$396,GP$169,SwaptionMonthsToGo+SwaptionShift))))))</f>
        <v/>
      </c>
      <c r="GQ195" s="469" t="str">
        <f ca="1">IF(OR(GQ$169&lt;SwaptionFirstMonthPosition+1,$FN195&lt;SwaptionFirstMonthPosition+1,GQ$169&gt;SwaptionFirstMonthPosition+SwaptionNumOfMonths+1,$FN195&gt;SwaptionFirstMonthPosition+SwaptionNumOfMonths+1),"",IF($FN195=GQ$169,1,IF($FN195&lt;GQ$169,INDEX($FO$170:$IH$241,GQ$169,$FN195),SUMPRODUCT(INDEX($FO$325:$IH$396,GQ$169,1+SwaptionShift):INDEX($FO$325:$IH$396,GQ$169,SwaptionMonthsToGo+SwaptionShift),INDEX($FO$245:$IH$316,$FN195-GQ$169,73-GQ$169+SwaptionShift):INDEX($FO$245:$IH$316,$FN195-GQ$169,72-GQ$169+SwaptionMonthsToGo+SwaptionShift))/SQRT(SUM(INDEX($FO350:$IH350,1+SwaptionShift):INDEX($FO350:$IH350,SwaptionMonthsToGo+SwaptionShift))*SUM(INDEX($FO$325:$IH$396,GQ$169,1+SwaptionShift):INDEX($FO$325:$IH$396,GQ$169,SwaptionMonthsToGo+SwaptionShift))))))</f>
        <v/>
      </c>
      <c r="GR195" s="469" t="str">
        <f ca="1">IF(OR(GR$169&lt;SwaptionFirstMonthPosition+1,$FN195&lt;SwaptionFirstMonthPosition+1,GR$169&gt;SwaptionFirstMonthPosition+SwaptionNumOfMonths+1,$FN195&gt;SwaptionFirstMonthPosition+SwaptionNumOfMonths+1),"",IF($FN195=GR$169,1,IF($FN195&lt;GR$169,INDEX($FO$170:$IH$241,GR$169,$FN195),SUMPRODUCT(INDEX($FO$325:$IH$396,GR$169,1+SwaptionShift):INDEX($FO$325:$IH$396,GR$169,SwaptionMonthsToGo+SwaptionShift),INDEX($FO$245:$IH$316,$FN195-GR$169,73-GR$169+SwaptionShift):INDEX($FO$245:$IH$316,$FN195-GR$169,72-GR$169+SwaptionMonthsToGo+SwaptionShift))/SQRT(SUM(INDEX($FO350:$IH350,1+SwaptionShift):INDEX($FO350:$IH350,SwaptionMonthsToGo+SwaptionShift))*SUM(INDEX($FO$325:$IH$396,GR$169,1+SwaptionShift):INDEX($FO$325:$IH$396,GR$169,SwaptionMonthsToGo+SwaptionShift))))))</f>
        <v/>
      </c>
      <c r="GS195" s="469" t="str">
        <f ca="1">IF(OR(GS$169&lt;SwaptionFirstMonthPosition+1,$FN195&lt;SwaptionFirstMonthPosition+1,GS$169&gt;SwaptionFirstMonthPosition+SwaptionNumOfMonths+1,$FN195&gt;SwaptionFirstMonthPosition+SwaptionNumOfMonths+1),"",IF($FN195=GS$169,1,IF($FN195&lt;GS$169,INDEX($FO$170:$IH$241,GS$169,$FN195),SUMPRODUCT(INDEX($FO$325:$IH$396,GS$169,1+SwaptionShift):INDEX($FO$325:$IH$396,GS$169,SwaptionMonthsToGo+SwaptionShift),INDEX($FO$245:$IH$316,$FN195-GS$169,73-GS$169+SwaptionShift):INDEX($FO$245:$IH$316,$FN195-GS$169,72-GS$169+SwaptionMonthsToGo+SwaptionShift))/SQRT(SUM(INDEX($FO350:$IH350,1+SwaptionShift):INDEX($FO350:$IH350,SwaptionMonthsToGo+SwaptionShift))*SUM(INDEX($FO$325:$IH$396,GS$169,1+SwaptionShift):INDEX($FO$325:$IH$396,GS$169,SwaptionMonthsToGo+SwaptionShift))))))</f>
        <v/>
      </c>
      <c r="GT195" s="469" t="str">
        <f ca="1">IF(OR(GT$169&lt;SwaptionFirstMonthPosition+1,$FN195&lt;SwaptionFirstMonthPosition+1,GT$169&gt;SwaptionFirstMonthPosition+SwaptionNumOfMonths+1,$FN195&gt;SwaptionFirstMonthPosition+SwaptionNumOfMonths+1),"",IF($FN195=GT$169,1,IF($FN195&lt;GT$169,INDEX($FO$170:$IH$241,GT$169,$FN195),SUMPRODUCT(INDEX($FO$325:$IH$396,GT$169,1+SwaptionShift):INDEX($FO$325:$IH$396,GT$169,SwaptionMonthsToGo+SwaptionShift),INDEX($FO$245:$IH$316,$FN195-GT$169,73-GT$169+SwaptionShift):INDEX($FO$245:$IH$316,$FN195-GT$169,72-GT$169+SwaptionMonthsToGo+SwaptionShift))/SQRT(SUM(INDEX($FO350:$IH350,1+SwaptionShift):INDEX($FO350:$IH350,SwaptionMonthsToGo+SwaptionShift))*SUM(INDEX($FO$325:$IH$396,GT$169,1+SwaptionShift):INDEX($FO$325:$IH$396,GT$169,SwaptionMonthsToGo+SwaptionShift))))))</f>
        <v/>
      </c>
      <c r="GU195" s="469" t="str">
        <f ca="1">IF(OR(GU$169&lt;SwaptionFirstMonthPosition+1,$FN195&lt;SwaptionFirstMonthPosition+1,GU$169&gt;SwaptionFirstMonthPosition+SwaptionNumOfMonths+1,$FN195&gt;SwaptionFirstMonthPosition+SwaptionNumOfMonths+1),"",IF($FN195=GU$169,1,IF($FN195&lt;GU$169,INDEX($FO$170:$IH$241,GU$169,$FN195),SUMPRODUCT(INDEX($FO$325:$IH$396,GU$169,1+SwaptionShift):INDEX($FO$325:$IH$396,GU$169,SwaptionMonthsToGo+SwaptionShift),INDEX($FO$245:$IH$316,$FN195-GU$169,73-GU$169+SwaptionShift):INDEX($FO$245:$IH$316,$FN195-GU$169,72-GU$169+SwaptionMonthsToGo+SwaptionShift))/SQRT(SUM(INDEX($FO350:$IH350,1+SwaptionShift):INDEX($FO350:$IH350,SwaptionMonthsToGo+SwaptionShift))*SUM(INDEX($FO$325:$IH$396,GU$169,1+SwaptionShift):INDEX($FO$325:$IH$396,GU$169,SwaptionMonthsToGo+SwaptionShift))))))</f>
        <v/>
      </c>
      <c r="GV195" s="469" t="str">
        <f ca="1">IF(OR(GV$169&lt;SwaptionFirstMonthPosition+1,$FN195&lt;SwaptionFirstMonthPosition+1,GV$169&gt;SwaptionFirstMonthPosition+SwaptionNumOfMonths+1,$FN195&gt;SwaptionFirstMonthPosition+SwaptionNumOfMonths+1),"",IF($FN195=GV$169,1,IF($FN195&lt;GV$169,INDEX($FO$170:$IH$241,GV$169,$FN195),SUMPRODUCT(INDEX($FO$325:$IH$396,GV$169,1+SwaptionShift):INDEX($FO$325:$IH$396,GV$169,SwaptionMonthsToGo+SwaptionShift),INDEX($FO$245:$IH$316,$FN195-GV$169,73-GV$169+SwaptionShift):INDEX($FO$245:$IH$316,$FN195-GV$169,72-GV$169+SwaptionMonthsToGo+SwaptionShift))/SQRT(SUM(INDEX($FO350:$IH350,1+SwaptionShift):INDEX($FO350:$IH350,SwaptionMonthsToGo+SwaptionShift))*SUM(INDEX($FO$325:$IH$396,GV$169,1+SwaptionShift):INDEX($FO$325:$IH$396,GV$169,SwaptionMonthsToGo+SwaptionShift))))))</f>
        <v/>
      </c>
      <c r="GW195" s="469" t="str">
        <f ca="1">IF(OR(GW$169&lt;SwaptionFirstMonthPosition+1,$FN195&lt;SwaptionFirstMonthPosition+1,GW$169&gt;SwaptionFirstMonthPosition+SwaptionNumOfMonths+1,$FN195&gt;SwaptionFirstMonthPosition+SwaptionNumOfMonths+1),"",IF($FN195=GW$169,1,IF($FN195&lt;GW$169,INDEX($FO$170:$IH$241,GW$169,$FN195),SUMPRODUCT(INDEX($FO$325:$IH$396,GW$169,1+SwaptionShift):INDEX($FO$325:$IH$396,GW$169,SwaptionMonthsToGo+SwaptionShift),INDEX($FO$245:$IH$316,$FN195-GW$169,73-GW$169+SwaptionShift):INDEX($FO$245:$IH$316,$FN195-GW$169,72-GW$169+SwaptionMonthsToGo+SwaptionShift))/SQRT(SUM(INDEX($FO350:$IH350,1+SwaptionShift):INDEX($FO350:$IH350,SwaptionMonthsToGo+SwaptionShift))*SUM(INDEX($FO$325:$IH$396,GW$169,1+SwaptionShift):INDEX($FO$325:$IH$396,GW$169,SwaptionMonthsToGo+SwaptionShift))))))</f>
        <v/>
      </c>
      <c r="GX195" s="469" t="str">
        <f ca="1">IF(OR(GX$169&lt;SwaptionFirstMonthPosition+1,$FN195&lt;SwaptionFirstMonthPosition+1,GX$169&gt;SwaptionFirstMonthPosition+SwaptionNumOfMonths+1,$FN195&gt;SwaptionFirstMonthPosition+SwaptionNumOfMonths+1),"",IF($FN195=GX$169,1,IF($FN195&lt;GX$169,INDEX($FO$170:$IH$241,GX$169,$FN195),SUMPRODUCT(INDEX($FO$325:$IH$396,GX$169,1+SwaptionShift):INDEX($FO$325:$IH$396,GX$169,SwaptionMonthsToGo+SwaptionShift),INDEX($FO$245:$IH$316,$FN195-GX$169,73-GX$169+SwaptionShift):INDEX($FO$245:$IH$316,$FN195-GX$169,72-GX$169+SwaptionMonthsToGo+SwaptionShift))/SQRT(SUM(INDEX($FO350:$IH350,1+SwaptionShift):INDEX($FO350:$IH350,SwaptionMonthsToGo+SwaptionShift))*SUM(INDEX($FO$325:$IH$396,GX$169,1+SwaptionShift):INDEX($FO$325:$IH$396,GX$169,SwaptionMonthsToGo+SwaptionShift))))))</f>
        <v/>
      </c>
      <c r="GY195" s="469" t="str">
        <f ca="1">IF(OR(GY$169&lt;SwaptionFirstMonthPosition+1,$FN195&lt;SwaptionFirstMonthPosition+1,GY$169&gt;SwaptionFirstMonthPosition+SwaptionNumOfMonths+1,$FN195&gt;SwaptionFirstMonthPosition+SwaptionNumOfMonths+1),"",IF($FN195=GY$169,1,IF($FN195&lt;GY$169,INDEX($FO$170:$IH$241,GY$169,$FN195),SUMPRODUCT(INDEX($FO$325:$IH$396,GY$169,1+SwaptionShift):INDEX($FO$325:$IH$396,GY$169,SwaptionMonthsToGo+SwaptionShift),INDEX($FO$245:$IH$316,$FN195-GY$169,73-GY$169+SwaptionShift):INDEX($FO$245:$IH$316,$FN195-GY$169,72-GY$169+SwaptionMonthsToGo+SwaptionShift))/SQRT(SUM(INDEX($FO350:$IH350,1+SwaptionShift):INDEX($FO350:$IH350,SwaptionMonthsToGo+SwaptionShift))*SUM(INDEX($FO$325:$IH$396,GY$169,1+SwaptionShift):INDEX($FO$325:$IH$396,GY$169,SwaptionMonthsToGo+SwaptionShift))))))</f>
        <v/>
      </c>
      <c r="GZ195" s="469" t="str">
        <f ca="1">IF(OR(GZ$169&lt;SwaptionFirstMonthPosition+1,$FN195&lt;SwaptionFirstMonthPosition+1,GZ$169&gt;SwaptionFirstMonthPosition+SwaptionNumOfMonths+1,$FN195&gt;SwaptionFirstMonthPosition+SwaptionNumOfMonths+1),"",IF($FN195=GZ$169,1,IF($FN195&lt;GZ$169,INDEX($FO$170:$IH$241,GZ$169,$FN195),SUMPRODUCT(INDEX($FO$325:$IH$396,GZ$169,1+SwaptionShift):INDEX($FO$325:$IH$396,GZ$169,SwaptionMonthsToGo+SwaptionShift),INDEX($FO$245:$IH$316,$FN195-GZ$169,73-GZ$169+SwaptionShift):INDEX($FO$245:$IH$316,$FN195-GZ$169,72-GZ$169+SwaptionMonthsToGo+SwaptionShift))/SQRT(SUM(INDEX($FO350:$IH350,1+SwaptionShift):INDEX($FO350:$IH350,SwaptionMonthsToGo+SwaptionShift))*SUM(INDEX($FO$325:$IH$396,GZ$169,1+SwaptionShift):INDEX($FO$325:$IH$396,GZ$169,SwaptionMonthsToGo+SwaptionShift))))))</f>
        <v/>
      </c>
      <c r="HA195" s="469" t="str">
        <f ca="1">IF(OR(HA$169&lt;SwaptionFirstMonthPosition+1,$FN195&lt;SwaptionFirstMonthPosition+1,HA$169&gt;SwaptionFirstMonthPosition+SwaptionNumOfMonths+1,$FN195&gt;SwaptionFirstMonthPosition+SwaptionNumOfMonths+1),"",IF($FN195=HA$169,1,IF($FN195&lt;HA$169,INDEX($FO$170:$IH$241,HA$169,$FN195),SUMPRODUCT(INDEX($FO$325:$IH$396,HA$169,1+SwaptionShift):INDEX($FO$325:$IH$396,HA$169,SwaptionMonthsToGo+SwaptionShift),INDEX($FO$245:$IH$316,$FN195-HA$169,73-HA$169+SwaptionShift):INDEX($FO$245:$IH$316,$FN195-HA$169,72-HA$169+SwaptionMonthsToGo+SwaptionShift))/SQRT(SUM(INDEX($FO350:$IH350,1+SwaptionShift):INDEX($FO350:$IH350,SwaptionMonthsToGo+SwaptionShift))*SUM(INDEX($FO$325:$IH$396,HA$169,1+SwaptionShift):INDEX($FO$325:$IH$396,HA$169,SwaptionMonthsToGo+SwaptionShift))))))</f>
        <v/>
      </c>
      <c r="HB195" s="469" t="str">
        <f ca="1">IF(OR(HB$169&lt;SwaptionFirstMonthPosition+1,$FN195&lt;SwaptionFirstMonthPosition+1,HB$169&gt;SwaptionFirstMonthPosition+SwaptionNumOfMonths+1,$FN195&gt;SwaptionFirstMonthPosition+SwaptionNumOfMonths+1),"",IF($FN195=HB$169,1,IF($FN195&lt;HB$169,INDEX($FO$170:$IH$241,HB$169,$FN195),SUMPRODUCT(INDEX($FO$325:$IH$396,HB$169,1+SwaptionShift):INDEX($FO$325:$IH$396,HB$169,SwaptionMonthsToGo+SwaptionShift),INDEX($FO$245:$IH$316,$FN195-HB$169,73-HB$169+SwaptionShift):INDEX($FO$245:$IH$316,$FN195-HB$169,72-HB$169+SwaptionMonthsToGo+SwaptionShift))/SQRT(SUM(INDEX($FO350:$IH350,1+SwaptionShift):INDEX($FO350:$IH350,SwaptionMonthsToGo+SwaptionShift))*SUM(INDEX($FO$325:$IH$396,HB$169,1+SwaptionShift):INDEX($FO$325:$IH$396,HB$169,SwaptionMonthsToGo+SwaptionShift))))))</f>
        <v/>
      </c>
      <c r="HC195" s="469" t="str">
        <f ca="1">IF(OR(HC$169&lt;SwaptionFirstMonthPosition+1,$FN195&lt;SwaptionFirstMonthPosition+1,HC$169&gt;SwaptionFirstMonthPosition+SwaptionNumOfMonths+1,$FN195&gt;SwaptionFirstMonthPosition+SwaptionNumOfMonths+1),"",IF($FN195=HC$169,1,IF($FN195&lt;HC$169,INDEX($FO$170:$IH$241,HC$169,$FN195),SUMPRODUCT(INDEX($FO$325:$IH$396,HC$169,1+SwaptionShift):INDEX($FO$325:$IH$396,HC$169,SwaptionMonthsToGo+SwaptionShift),INDEX($FO$245:$IH$316,$FN195-HC$169,73-HC$169+SwaptionShift):INDEX($FO$245:$IH$316,$FN195-HC$169,72-HC$169+SwaptionMonthsToGo+SwaptionShift))/SQRT(SUM(INDEX($FO350:$IH350,1+SwaptionShift):INDEX($FO350:$IH350,SwaptionMonthsToGo+SwaptionShift))*SUM(INDEX($FO$325:$IH$396,HC$169,1+SwaptionShift):INDEX($FO$325:$IH$396,HC$169,SwaptionMonthsToGo+SwaptionShift))))))</f>
        <v/>
      </c>
      <c r="HD195" s="469" t="str">
        <f ca="1">IF(OR(HD$169&lt;SwaptionFirstMonthPosition+1,$FN195&lt;SwaptionFirstMonthPosition+1,HD$169&gt;SwaptionFirstMonthPosition+SwaptionNumOfMonths+1,$FN195&gt;SwaptionFirstMonthPosition+SwaptionNumOfMonths+1),"",IF($FN195=HD$169,1,IF($FN195&lt;HD$169,INDEX($FO$170:$IH$241,HD$169,$FN195),SUMPRODUCT(INDEX($FO$325:$IH$396,HD$169,1+SwaptionShift):INDEX($FO$325:$IH$396,HD$169,SwaptionMonthsToGo+SwaptionShift),INDEX($FO$245:$IH$316,$FN195-HD$169,73-HD$169+SwaptionShift):INDEX($FO$245:$IH$316,$FN195-HD$169,72-HD$169+SwaptionMonthsToGo+SwaptionShift))/SQRT(SUM(INDEX($FO350:$IH350,1+SwaptionShift):INDEX($FO350:$IH350,SwaptionMonthsToGo+SwaptionShift))*SUM(INDEX($FO$325:$IH$396,HD$169,1+SwaptionShift):INDEX($FO$325:$IH$396,HD$169,SwaptionMonthsToGo+SwaptionShift))))))</f>
        <v/>
      </c>
      <c r="HE195" s="469" t="str">
        <f ca="1">IF(OR(HE$169&lt;SwaptionFirstMonthPosition+1,$FN195&lt;SwaptionFirstMonthPosition+1,HE$169&gt;SwaptionFirstMonthPosition+SwaptionNumOfMonths+1,$FN195&gt;SwaptionFirstMonthPosition+SwaptionNumOfMonths+1),"",IF($FN195=HE$169,1,IF($FN195&lt;HE$169,INDEX($FO$170:$IH$241,HE$169,$FN195),SUMPRODUCT(INDEX($FO$325:$IH$396,HE$169,1+SwaptionShift):INDEX($FO$325:$IH$396,HE$169,SwaptionMonthsToGo+SwaptionShift),INDEX($FO$245:$IH$316,$FN195-HE$169,73-HE$169+SwaptionShift):INDEX($FO$245:$IH$316,$FN195-HE$169,72-HE$169+SwaptionMonthsToGo+SwaptionShift))/SQRT(SUM(INDEX($FO350:$IH350,1+SwaptionShift):INDEX($FO350:$IH350,SwaptionMonthsToGo+SwaptionShift))*SUM(INDEX($FO$325:$IH$396,HE$169,1+SwaptionShift):INDEX($FO$325:$IH$396,HE$169,SwaptionMonthsToGo+SwaptionShift))))))</f>
        <v/>
      </c>
      <c r="HF195" s="469" t="str">
        <f ca="1">IF(OR(HF$169&lt;SwaptionFirstMonthPosition+1,$FN195&lt;SwaptionFirstMonthPosition+1,HF$169&gt;SwaptionFirstMonthPosition+SwaptionNumOfMonths+1,$FN195&gt;SwaptionFirstMonthPosition+SwaptionNumOfMonths+1),"",IF($FN195=HF$169,1,IF($FN195&lt;HF$169,INDEX($FO$170:$IH$241,HF$169,$FN195),SUMPRODUCT(INDEX($FO$325:$IH$396,HF$169,1+SwaptionShift):INDEX($FO$325:$IH$396,HF$169,SwaptionMonthsToGo+SwaptionShift),INDEX($FO$245:$IH$316,$FN195-HF$169,73-HF$169+SwaptionShift):INDEX($FO$245:$IH$316,$FN195-HF$169,72-HF$169+SwaptionMonthsToGo+SwaptionShift))/SQRT(SUM(INDEX($FO350:$IH350,1+SwaptionShift):INDEX($FO350:$IH350,SwaptionMonthsToGo+SwaptionShift))*SUM(INDEX($FO$325:$IH$396,HF$169,1+SwaptionShift):INDEX($FO$325:$IH$396,HF$169,SwaptionMonthsToGo+SwaptionShift))))))</f>
        <v/>
      </c>
      <c r="HG195" s="469" t="str">
        <f ca="1">IF(OR(HG$169&lt;SwaptionFirstMonthPosition+1,$FN195&lt;SwaptionFirstMonthPosition+1,HG$169&gt;SwaptionFirstMonthPosition+SwaptionNumOfMonths+1,$FN195&gt;SwaptionFirstMonthPosition+SwaptionNumOfMonths+1),"",IF($FN195=HG$169,1,IF($FN195&lt;HG$169,INDEX($FO$170:$IH$241,HG$169,$FN195),SUMPRODUCT(INDEX($FO$325:$IH$396,HG$169,1+SwaptionShift):INDEX($FO$325:$IH$396,HG$169,SwaptionMonthsToGo+SwaptionShift),INDEX($FO$245:$IH$316,$FN195-HG$169,73-HG$169+SwaptionShift):INDEX($FO$245:$IH$316,$FN195-HG$169,72-HG$169+SwaptionMonthsToGo+SwaptionShift))/SQRT(SUM(INDEX($FO350:$IH350,1+SwaptionShift):INDEX($FO350:$IH350,SwaptionMonthsToGo+SwaptionShift))*SUM(INDEX($FO$325:$IH$396,HG$169,1+SwaptionShift):INDEX($FO$325:$IH$396,HG$169,SwaptionMonthsToGo+SwaptionShift))))))</f>
        <v/>
      </c>
      <c r="HH195" s="469" t="str">
        <f ca="1">IF(OR(HH$169&lt;SwaptionFirstMonthPosition+1,$FN195&lt;SwaptionFirstMonthPosition+1,HH$169&gt;SwaptionFirstMonthPosition+SwaptionNumOfMonths+1,$FN195&gt;SwaptionFirstMonthPosition+SwaptionNumOfMonths+1),"",IF($FN195=HH$169,1,IF($FN195&lt;HH$169,INDEX($FO$170:$IH$241,HH$169,$FN195),SUMPRODUCT(INDEX($FO$325:$IH$396,HH$169,1+SwaptionShift):INDEX($FO$325:$IH$396,HH$169,SwaptionMonthsToGo+SwaptionShift),INDEX($FO$245:$IH$316,$FN195-HH$169,73-HH$169+SwaptionShift):INDEX($FO$245:$IH$316,$FN195-HH$169,72-HH$169+SwaptionMonthsToGo+SwaptionShift))/SQRT(SUM(INDEX($FO350:$IH350,1+SwaptionShift):INDEX($FO350:$IH350,SwaptionMonthsToGo+SwaptionShift))*SUM(INDEX($FO$325:$IH$396,HH$169,1+SwaptionShift):INDEX($FO$325:$IH$396,HH$169,SwaptionMonthsToGo+SwaptionShift))))))</f>
        <v/>
      </c>
      <c r="HI195" s="469" t="str">
        <f ca="1">IF(OR(HI$169&lt;SwaptionFirstMonthPosition+1,$FN195&lt;SwaptionFirstMonthPosition+1,HI$169&gt;SwaptionFirstMonthPosition+SwaptionNumOfMonths+1,$FN195&gt;SwaptionFirstMonthPosition+SwaptionNumOfMonths+1),"",IF($FN195=HI$169,1,IF($FN195&lt;HI$169,INDEX($FO$170:$IH$241,HI$169,$FN195),SUMPRODUCT(INDEX($FO$325:$IH$396,HI$169,1+SwaptionShift):INDEX($FO$325:$IH$396,HI$169,SwaptionMonthsToGo+SwaptionShift),INDEX($FO$245:$IH$316,$FN195-HI$169,73-HI$169+SwaptionShift):INDEX($FO$245:$IH$316,$FN195-HI$169,72-HI$169+SwaptionMonthsToGo+SwaptionShift))/SQRT(SUM(INDEX($FO350:$IH350,1+SwaptionShift):INDEX($FO350:$IH350,SwaptionMonthsToGo+SwaptionShift))*SUM(INDEX($FO$325:$IH$396,HI$169,1+SwaptionShift):INDEX($FO$325:$IH$396,HI$169,SwaptionMonthsToGo+SwaptionShift))))))</f>
        <v/>
      </c>
      <c r="HJ195" s="469" t="str">
        <f ca="1">IF(OR(HJ$169&lt;SwaptionFirstMonthPosition+1,$FN195&lt;SwaptionFirstMonthPosition+1,HJ$169&gt;SwaptionFirstMonthPosition+SwaptionNumOfMonths+1,$FN195&gt;SwaptionFirstMonthPosition+SwaptionNumOfMonths+1),"",IF($FN195=HJ$169,1,IF($FN195&lt;HJ$169,INDEX($FO$170:$IH$241,HJ$169,$FN195),SUMPRODUCT(INDEX($FO$325:$IH$396,HJ$169,1+SwaptionShift):INDEX($FO$325:$IH$396,HJ$169,SwaptionMonthsToGo+SwaptionShift),INDEX($FO$245:$IH$316,$FN195-HJ$169,73-HJ$169+SwaptionShift):INDEX($FO$245:$IH$316,$FN195-HJ$169,72-HJ$169+SwaptionMonthsToGo+SwaptionShift))/SQRT(SUM(INDEX($FO350:$IH350,1+SwaptionShift):INDEX($FO350:$IH350,SwaptionMonthsToGo+SwaptionShift))*SUM(INDEX($FO$325:$IH$396,HJ$169,1+SwaptionShift):INDEX($FO$325:$IH$396,HJ$169,SwaptionMonthsToGo+SwaptionShift))))))</f>
        <v/>
      </c>
      <c r="HK195" s="469" t="str">
        <f ca="1">IF(OR(HK$169&lt;SwaptionFirstMonthPosition+1,$FN195&lt;SwaptionFirstMonthPosition+1,HK$169&gt;SwaptionFirstMonthPosition+SwaptionNumOfMonths+1,$FN195&gt;SwaptionFirstMonthPosition+SwaptionNumOfMonths+1),"",IF($FN195=HK$169,1,IF($FN195&lt;HK$169,INDEX($FO$170:$IH$241,HK$169,$FN195),SUMPRODUCT(INDEX($FO$325:$IH$396,HK$169,1+SwaptionShift):INDEX($FO$325:$IH$396,HK$169,SwaptionMonthsToGo+SwaptionShift),INDEX($FO$245:$IH$316,$FN195-HK$169,73-HK$169+SwaptionShift):INDEX($FO$245:$IH$316,$FN195-HK$169,72-HK$169+SwaptionMonthsToGo+SwaptionShift))/SQRT(SUM(INDEX($FO350:$IH350,1+SwaptionShift):INDEX($FO350:$IH350,SwaptionMonthsToGo+SwaptionShift))*SUM(INDEX($FO$325:$IH$396,HK$169,1+SwaptionShift):INDEX($FO$325:$IH$396,HK$169,SwaptionMonthsToGo+SwaptionShift))))))</f>
        <v/>
      </c>
      <c r="HL195" s="469" t="str">
        <f ca="1">IF(OR(HL$169&lt;SwaptionFirstMonthPosition+1,$FN195&lt;SwaptionFirstMonthPosition+1,HL$169&gt;SwaptionFirstMonthPosition+SwaptionNumOfMonths+1,$FN195&gt;SwaptionFirstMonthPosition+SwaptionNumOfMonths+1),"",IF($FN195=HL$169,1,IF($FN195&lt;HL$169,INDEX($FO$170:$IH$241,HL$169,$FN195),SUMPRODUCT(INDEX($FO$325:$IH$396,HL$169,1+SwaptionShift):INDEX($FO$325:$IH$396,HL$169,SwaptionMonthsToGo+SwaptionShift),INDEX($FO$245:$IH$316,$FN195-HL$169,73-HL$169+SwaptionShift):INDEX($FO$245:$IH$316,$FN195-HL$169,72-HL$169+SwaptionMonthsToGo+SwaptionShift))/SQRT(SUM(INDEX($FO350:$IH350,1+SwaptionShift):INDEX($FO350:$IH350,SwaptionMonthsToGo+SwaptionShift))*SUM(INDEX($FO$325:$IH$396,HL$169,1+SwaptionShift):INDEX($FO$325:$IH$396,HL$169,SwaptionMonthsToGo+SwaptionShift))))))</f>
        <v/>
      </c>
      <c r="HM195" s="469" t="str">
        <f ca="1">IF(OR(HM$169&lt;SwaptionFirstMonthPosition+1,$FN195&lt;SwaptionFirstMonthPosition+1,HM$169&gt;SwaptionFirstMonthPosition+SwaptionNumOfMonths+1,$FN195&gt;SwaptionFirstMonthPosition+SwaptionNumOfMonths+1),"",IF($FN195=HM$169,1,IF($FN195&lt;HM$169,INDEX($FO$170:$IH$241,HM$169,$FN195),SUMPRODUCT(INDEX($FO$325:$IH$396,HM$169,1+SwaptionShift):INDEX($FO$325:$IH$396,HM$169,SwaptionMonthsToGo+SwaptionShift),INDEX($FO$245:$IH$316,$FN195-HM$169,73-HM$169+SwaptionShift):INDEX($FO$245:$IH$316,$FN195-HM$169,72-HM$169+SwaptionMonthsToGo+SwaptionShift))/SQRT(SUM(INDEX($FO350:$IH350,1+SwaptionShift):INDEX($FO350:$IH350,SwaptionMonthsToGo+SwaptionShift))*SUM(INDEX($FO$325:$IH$396,HM$169,1+SwaptionShift):INDEX($FO$325:$IH$396,HM$169,SwaptionMonthsToGo+SwaptionShift))))))</f>
        <v/>
      </c>
      <c r="HN195" s="469" t="str">
        <f ca="1">IF(OR(HN$169&lt;SwaptionFirstMonthPosition+1,$FN195&lt;SwaptionFirstMonthPosition+1,HN$169&gt;SwaptionFirstMonthPosition+SwaptionNumOfMonths+1,$FN195&gt;SwaptionFirstMonthPosition+SwaptionNumOfMonths+1),"",IF($FN195=HN$169,1,IF($FN195&lt;HN$169,INDEX($FO$170:$IH$241,HN$169,$FN195),SUMPRODUCT(INDEX($FO$325:$IH$396,HN$169,1+SwaptionShift):INDEX($FO$325:$IH$396,HN$169,SwaptionMonthsToGo+SwaptionShift),INDEX($FO$245:$IH$316,$FN195-HN$169,73-HN$169+SwaptionShift):INDEX($FO$245:$IH$316,$FN195-HN$169,72-HN$169+SwaptionMonthsToGo+SwaptionShift))/SQRT(SUM(INDEX($FO350:$IH350,1+SwaptionShift):INDEX($FO350:$IH350,SwaptionMonthsToGo+SwaptionShift))*SUM(INDEX($FO$325:$IH$396,HN$169,1+SwaptionShift):INDEX($FO$325:$IH$396,HN$169,SwaptionMonthsToGo+SwaptionShift))))))</f>
        <v/>
      </c>
      <c r="HO195" s="469" t="str">
        <f ca="1">IF(OR(HO$169&lt;SwaptionFirstMonthPosition+1,$FN195&lt;SwaptionFirstMonthPosition+1,HO$169&gt;SwaptionFirstMonthPosition+SwaptionNumOfMonths+1,$FN195&gt;SwaptionFirstMonthPosition+SwaptionNumOfMonths+1),"",IF($FN195=HO$169,1,IF($FN195&lt;HO$169,INDEX($FO$170:$IH$241,HO$169,$FN195),SUMPRODUCT(INDEX($FO$325:$IH$396,HO$169,1+SwaptionShift):INDEX($FO$325:$IH$396,HO$169,SwaptionMonthsToGo+SwaptionShift),INDEX($FO$245:$IH$316,$FN195-HO$169,73-HO$169+SwaptionShift):INDEX($FO$245:$IH$316,$FN195-HO$169,72-HO$169+SwaptionMonthsToGo+SwaptionShift))/SQRT(SUM(INDEX($FO350:$IH350,1+SwaptionShift):INDEX($FO350:$IH350,SwaptionMonthsToGo+SwaptionShift))*SUM(INDEX($FO$325:$IH$396,HO$169,1+SwaptionShift):INDEX($FO$325:$IH$396,HO$169,SwaptionMonthsToGo+SwaptionShift))))))</f>
        <v/>
      </c>
      <c r="HP195" s="469" t="str">
        <f ca="1">IF(OR(HP$169&lt;SwaptionFirstMonthPosition+1,$FN195&lt;SwaptionFirstMonthPosition+1,HP$169&gt;SwaptionFirstMonthPosition+SwaptionNumOfMonths+1,$FN195&gt;SwaptionFirstMonthPosition+SwaptionNumOfMonths+1),"",IF($FN195=HP$169,1,IF($FN195&lt;HP$169,INDEX($FO$170:$IH$241,HP$169,$FN195),SUMPRODUCT(INDEX($FO$325:$IH$396,HP$169,1+SwaptionShift):INDEX($FO$325:$IH$396,HP$169,SwaptionMonthsToGo+SwaptionShift),INDEX($FO$245:$IH$316,$FN195-HP$169,73-HP$169+SwaptionShift):INDEX($FO$245:$IH$316,$FN195-HP$169,72-HP$169+SwaptionMonthsToGo+SwaptionShift))/SQRT(SUM(INDEX($FO350:$IH350,1+SwaptionShift):INDEX($FO350:$IH350,SwaptionMonthsToGo+SwaptionShift))*SUM(INDEX($FO$325:$IH$396,HP$169,1+SwaptionShift):INDEX($FO$325:$IH$396,HP$169,SwaptionMonthsToGo+SwaptionShift))))))</f>
        <v/>
      </c>
      <c r="HQ195" s="469" t="str">
        <f ca="1">IF(OR(HQ$169&lt;SwaptionFirstMonthPosition+1,$FN195&lt;SwaptionFirstMonthPosition+1,HQ$169&gt;SwaptionFirstMonthPosition+SwaptionNumOfMonths+1,$FN195&gt;SwaptionFirstMonthPosition+SwaptionNumOfMonths+1),"",IF($FN195=HQ$169,1,IF($FN195&lt;HQ$169,INDEX($FO$170:$IH$241,HQ$169,$FN195),SUMPRODUCT(INDEX($FO$325:$IH$396,HQ$169,1+SwaptionShift):INDEX($FO$325:$IH$396,HQ$169,SwaptionMonthsToGo+SwaptionShift),INDEX($FO$245:$IH$316,$FN195-HQ$169,73-HQ$169+SwaptionShift):INDEX($FO$245:$IH$316,$FN195-HQ$169,72-HQ$169+SwaptionMonthsToGo+SwaptionShift))/SQRT(SUM(INDEX($FO350:$IH350,1+SwaptionShift):INDEX($FO350:$IH350,SwaptionMonthsToGo+SwaptionShift))*SUM(INDEX($FO$325:$IH$396,HQ$169,1+SwaptionShift):INDEX($FO$325:$IH$396,HQ$169,SwaptionMonthsToGo+SwaptionShift))))))</f>
        <v/>
      </c>
      <c r="HR195" s="469" t="str">
        <f ca="1">IF(OR(HR$169&lt;SwaptionFirstMonthPosition+1,$FN195&lt;SwaptionFirstMonthPosition+1,HR$169&gt;SwaptionFirstMonthPosition+SwaptionNumOfMonths+1,$FN195&gt;SwaptionFirstMonthPosition+SwaptionNumOfMonths+1),"",IF($FN195=HR$169,1,IF($FN195&lt;HR$169,INDEX($FO$170:$IH$241,HR$169,$FN195),SUMPRODUCT(INDEX($FO$325:$IH$396,HR$169,1+SwaptionShift):INDEX($FO$325:$IH$396,HR$169,SwaptionMonthsToGo+SwaptionShift),INDEX($FO$245:$IH$316,$FN195-HR$169,73-HR$169+SwaptionShift):INDEX($FO$245:$IH$316,$FN195-HR$169,72-HR$169+SwaptionMonthsToGo+SwaptionShift))/SQRT(SUM(INDEX($FO350:$IH350,1+SwaptionShift):INDEX($FO350:$IH350,SwaptionMonthsToGo+SwaptionShift))*SUM(INDEX($FO$325:$IH$396,HR$169,1+SwaptionShift):INDEX($FO$325:$IH$396,HR$169,SwaptionMonthsToGo+SwaptionShift))))))</f>
        <v/>
      </c>
      <c r="HS195" s="469" t="str">
        <f ca="1">IF(OR(HS$169&lt;SwaptionFirstMonthPosition+1,$FN195&lt;SwaptionFirstMonthPosition+1,HS$169&gt;SwaptionFirstMonthPosition+SwaptionNumOfMonths+1,$FN195&gt;SwaptionFirstMonthPosition+SwaptionNumOfMonths+1),"",IF($FN195=HS$169,1,IF($FN195&lt;HS$169,INDEX($FO$170:$IH$241,HS$169,$FN195),SUMPRODUCT(INDEX($FO$325:$IH$396,HS$169,1+SwaptionShift):INDEX($FO$325:$IH$396,HS$169,SwaptionMonthsToGo+SwaptionShift),INDEX($FO$245:$IH$316,$FN195-HS$169,73-HS$169+SwaptionShift):INDEX($FO$245:$IH$316,$FN195-HS$169,72-HS$169+SwaptionMonthsToGo+SwaptionShift))/SQRT(SUM(INDEX($FO350:$IH350,1+SwaptionShift):INDEX($FO350:$IH350,SwaptionMonthsToGo+SwaptionShift))*SUM(INDEX($FO$325:$IH$396,HS$169,1+SwaptionShift):INDEX($FO$325:$IH$396,HS$169,SwaptionMonthsToGo+SwaptionShift))))))</f>
        <v/>
      </c>
      <c r="HT195" s="469" t="str">
        <f ca="1">IF(OR(HT$169&lt;SwaptionFirstMonthPosition+1,$FN195&lt;SwaptionFirstMonthPosition+1,HT$169&gt;SwaptionFirstMonthPosition+SwaptionNumOfMonths+1,$FN195&gt;SwaptionFirstMonthPosition+SwaptionNumOfMonths+1),"",IF($FN195=HT$169,1,IF($FN195&lt;HT$169,INDEX($FO$170:$IH$241,HT$169,$FN195),SUMPRODUCT(INDEX($FO$325:$IH$396,HT$169,1+SwaptionShift):INDEX($FO$325:$IH$396,HT$169,SwaptionMonthsToGo+SwaptionShift),INDEX($FO$245:$IH$316,$FN195-HT$169,73-HT$169+SwaptionShift):INDEX($FO$245:$IH$316,$FN195-HT$169,72-HT$169+SwaptionMonthsToGo+SwaptionShift))/SQRT(SUM(INDEX($FO350:$IH350,1+SwaptionShift):INDEX($FO350:$IH350,SwaptionMonthsToGo+SwaptionShift))*SUM(INDEX($FO$325:$IH$396,HT$169,1+SwaptionShift):INDEX($FO$325:$IH$396,HT$169,SwaptionMonthsToGo+SwaptionShift))))))</f>
        <v/>
      </c>
      <c r="HU195" s="469" t="str">
        <f ca="1">IF(OR(HU$169&lt;SwaptionFirstMonthPosition+1,$FN195&lt;SwaptionFirstMonthPosition+1,HU$169&gt;SwaptionFirstMonthPosition+SwaptionNumOfMonths+1,$FN195&gt;SwaptionFirstMonthPosition+SwaptionNumOfMonths+1),"",IF($FN195=HU$169,1,IF($FN195&lt;HU$169,INDEX($FO$170:$IH$241,HU$169,$FN195),SUMPRODUCT(INDEX($FO$325:$IH$396,HU$169,1+SwaptionShift):INDEX($FO$325:$IH$396,HU$169,SwaptionMonthsToGo+SwaptionShift),INDEX($FO$245:$IH$316,$FN195-HU$169,73-HU$169+SwaptionShift):INDEX($FO$245:$IH$316,$FN195-HU$169,72-HU$169+SwaptionMonthsToGo+SwaptionShift))/SQRT(SUM(INDEX($FO350:$IH350,1+SwaptionShift):INDEX($FO350:$IH350,SwaptionMonthsToGo+SwaptionShift))*SUM(INDEX($FO$325:$IH$396,HU$169,1+SwaptionShift):INDEX($FO$325:$IH$396,HU$169,SwaptionMonthsToGo+SwaptionShift))))))</f>
        <v/>
      </c>
      <c r="HV195" s="469" t="str">
        <f ca="1">IF(OR(HV$169&lt;SwaptionFirstMonthPosition+1,$FN195&lt;SwaptionFirstMonthPosition+1,HV$169&gt;SwaptionFirstMonthPosition+SwaptionNumOfMonths+1,$FN195&gt;SwaptionFirstMonthPosition+SwaptionNumOfMonths+1),"",IF($FN195=HV$169,1,IF($FN195&lt;HV$169,INDEX($FO$170:$IH$241,HV$169,$FN195),SUMPRODUCT(INDEX($FO$325:$IH$396,HV$169,1+SwaptionShift):INDEX($FO$325:$IH$396,HV$169,SwaptionMonthsToGo+SwaptionShift),INDEX($FO$245:$IH$316,$FN195-HV$169,73-HV$169+SwaptionShift):INDEX($FO$245:$IH$316,$FN195-HV$169,72-HV$169+SwaptionMonthsToGo+SwaptionShift))/SQRT(SUM(INDEX($FO350:$IH350,1+SwaptionShift):INDEX($FO350:$IH350,SwaptionMonthsToGo+SwaptionShift))*SUM(INDEX($FO$325:$IH$396,HV$169,1+SwaptionShift):INDEX($FO$325:$IH$396,HV$169,SwaptionMonthsToGo+SwaptionShift))))))</f>
        <v/>
      </c>
      <c r="HW195" s="469" t="str">
        <f ca="1">IF(OR(HW$169&lt;SwaptionFirstMonthPosition+1,$FN195&lt;SwaptionFirstMonthPosition+1,HW$169&gt;SwaptionFirstMonthPosition+SwaptionNumOfMonths+1,$FN195&gt;SwaptionFirstMonthPosition+SwaptionNumOfMonths+1),"",IF($FN195=HW$169,1,IF($FN195&lt;HW$169,INDEX($FO$170:$IH$241,HW$169,$FN195),SUMPRODUCT(INDEX($FO$325:$IH$396,HW$169,1+SwaptionShift):INDEX($FO$325:$IH$396,HW$169,SwaptionMonthsToGo+SwaptionShift),INDEX($FO$245:$IH$316,$FN195-HW$169,73-HW$169+SwaptionShift):INDEX($FO$245:$IH$316,$FN195-HW$169,72-HW$169+SwaptionMonthsToGo+SwaptionShift))/SQRT(SUM(INDEX($FO350:$IH350,1+SwaptionShift):INDEX($FO350:$IH350,SwaptionMonthsToGo+SwaptionShift))*SUM(INDEX($FO$325:$IH$396,HW$169,1+SwaptionShift):INDEX($FO$325:$IH$396,HW$169,SwaptionMonthsToGo+SwaptionShift))))))</f>
        <v/>
      </c>
      <c r="HX195" s="469" t="str">
        <f ca="1">IF(OR(HX$169&lt;SwaptionFirstMonthPosition+1,$FN195&lt;SwaptionFirstMonthPosition+1,HX$169&gt;SwaptionFirstMonthPosition+SwaptionNumOfMonths+1,$FN195&gt;SwaptionFirstMonthPosition+SwaptionNumOfMonths+1),"",IF($FN195=HX$169,1,IF($FN195&lt;HX$169,INDEX($FO$170:$IH$241,HX$169,$FN195),SUMPRODUCT(INDEX($FO$325:$IH$396,HX$169,1+SwaptionShift):INDEX($FO$325:$IH$396,HX$169,SwaptionMonthsToGo+SwaptionShift),INDEX($FO$245:$IH$316,$FN195-HX$169,73-HX$169+SwaptionShift):INDEX($FO$245:$IH$316,$FN195-HX$169,72-HX$169+SwaptionMonthsToGo+SwaptionShift))/SQRT(SUM(INDEX($FO350:$IH350,1+SwaptionShift):INDEX($FO350:$IH350,SwaptionMonthsToGo+SwaptionShift))*SUM(INDEX($FO$325:$IH$396,HX$169,1+SwaptionShift):INDEX($FO$325:$IH$396,HX$169,SwaptionMonthsToGo+SwaptionShift))))))</f>
        <v/>
      </c>
      <c r="HY195" s="469" t="str">
        <f ca="1">IF(OR(HY$169&lt;SwaptionFirstMonthPosition+1,$FN195&lt;SwaptionFirstMonthPosition+1,HY$169&gt;SwaptionFirstMonthPosition+SwaptionNumOfMonths+1,$FN195&gt;SwaptionFirstMonthPosition+SwaptionNumOfMonths+1),"",IF($FN195=HY$169,1,IF($FN195&lt;HY$169,INDEX($FO$170:$IH$241,HY$169,$FN195),SUMPRODUCT(INDEX($FO$325:$IH$396,HY$169,1+SwaptionShift):INDEX($FO$325:$IH$396,HY$169,SwaptionMonthsToGo+SwaptionShift),INDEX($FO$245:$IH$316,$FN195-HY$169,73-HY$169+SwaptionShift):INDEX($FO$245:$IH$316,$FN195-HY$169,72-HY$169+SwaptionMonthsToGo+SwaptionShift))/SQRT(SUM(INDEX($FO350:$IH350,1+SwaptionShift):INDEX($FO350:$IH350,SwaptionMonthsToGo+SwaptionShift))*SUM(INDEX($FO$325:$IH$396,HY$169,1+SwaptionShift):INDEX($FO$325:$IH$396,HY$169,SwaptionMonthsToGo+SwaptionShift))))))</f>
        <v/>
      </c>
      <c r="HZ195" s="469" t="str">
        <f ca="1">IF(OR(HZ$169&lt;SwaptionFirstMonthPosition+1,$FN195&lt;SwaptionFirstMonthPosition+1,HZ$169&gt;SwaptionFirstMonthPosition+SwaptionNumOfMonths+1,$FN195&gt;SwaptionFirstMonthPosition+SwaptionNumOfMonths+1),"",IF($FN195=HZ$169,1,IF($FN195&lt;HZ$169,INDEX($FO$170:$IH$241,HZ$169,$FN195),SUMPRODUCT(INDEX($FO$325:$IH$396,HZ$169,1+SwaptionShift):INDEX($FO$325:$IH$396,HZ$169,SwaptionMonthsToGo+SwaptionShift),INDEX($FO$245:$IH$316,$FN195-HZ$169,73-HZ$169+SwaptionShift):INDEX($FO$245:$IH$316,$FN195-HZ$169,72-HZ$169+SwaptionMonthsToGo+SwaptionShift))/SQRT(SUM(INDEX($FO350:$IH350,1+SwaptionShift):INDEX($FO350:$IH350,SwaptionMonthsToGo+SwaptionShift))*SUM(INDEX($FO$325:$IH$396,HZ$169,1+SwaptionShift):INDEX($FO$325:$IH$396,HZ$169,SwaptionMonthsToGo+SwaptionShift))))))</f>
        <v/>
      </c>
      <c r="IA195" s="469" t="str">
        <f ca="1">IF(OR(IA$169&lt;SwaptionFirstMonthPosition+1,$FN195&lt;SwaptionFirstMonthPosition+1,IA$169&gt;SwaptionFirstMonthPosition+SwaptionNumOfMonths+1,$FN195&gt;SwaptionFirstMonthPosition+SwaptionNumOfMonths+1),"",IF($FN195=IA$169,1,IF($FN195&lt;IA$169,INDEX($FO$170:$IH$241,IA$169,$FN195),SUMPRODUCT(INDEX($FO$325:$IH$396,IA$169,1+SwaptionShift):INDEX($FO$325:$IH$396,IA$169,SwaptionMonthsToGo+SwaptionShift),INDEX($FO$245:$IH$316,$FN195-IA$169,73-IA$169+SwaptionShift):INDEX($FO$245:$IH$316,$FN195-IA$169,72-IA$169+SwaptionMonthsToGo+SwaptionShift))/SQRT(SUM(INDEX($FO350:$IH350,1+SwaptionShift):INDEX($FO350:$IH350,SwaptionMonthsToGo+SwaptionShift))*SUM(INDEX($FO$325:$IH$396,IA$169,1+SwaptionShift):INDEX($FO$325:$IH$396,IA$169,SwaptionMonthsToGo+SwaptionShift))))))</f>
        <v/>
      </c>
      <c r="IB195" s="469" t="str">
        <f ca="1">IF(OR(IB$169&lt;SwaptionFirstMonthPosition+1,$FN195&lt;SwaptionFirstMonthPosition+1,IB$169&gt;SwaptionFirstMonthPosition+SwaptionNumOfMonths+1,$FN195&gt;SwaptionFirstMonthPosition+SwaptionNumOfMonths+1),"",IF($FN195=IB$169,1,IF($FN195&lt;IB$169,INDEX($FO$170:$IH$241,IB$169,$FN195),SUMPRODUCT(INDEX($FO$325:$IH$396,IB$169,1+SwaptionShift):INDEX($FO$325:$IH$396,IB$169,SwaptionMonthsToGo+SwaptionShift),INDEX($FO$245:$IH$316,$FN195-IB$169,73-IB$169+SwaptionShift):INDEX($FO$245:$IH$316,$FN195-IB$169,72-IB$169+SwaptionMonthsToGo+SwaptionShift))/SQRT(SUM(INDEX($FO350:$IH350,1+SwaptionShift):INDEX($FO350:$IH350,SwaptionMonthsToGo+SwaptionShift))*SUM(INDEX($FO$325:$IH$396,IB$169,1+SwaptionShift):INDEX($FO$325:$IH$396,IB$169,SwaptionMonthsToGo+SwaptionShift))))))</f>
        <v/>
      </c>
      <c r="IC195" s="469" t="str">
        <f ca="1">IF(OR(IC$169&lt;SwaptionFirstMonthPosition+1,$FN195&lt;SwaptionFirstMonthPosition+1,IC$169&gt;SwaptionFirstMonthPosition+SwaptionNumOfMonths+1,$FN195&gt;SwaptionFirstMonthPosition+SwaptionNumOfMonths+1),"",IF($FN195=IC$169,1,IF($FN195&lt;IC$169,INDEX($FO$170:$IH$241,IC$169,$FN195),SUMPRODUCT(INDEX($FO$325:$IH$396,IC$169,1+SwaptionShift):INDEX($FO$325:$IH$396,IC$169,SwaptionMonthsToGo+SwaptionShift),INDEX($FO$245:$IH$316,$FN195-IC$169,73-IC$169+SwaptionShift):INDEX($FO$245:$IH$316,$FN195-IC$169,72-IC$169+SwaptionMonthsToGo+SwaptionShift))/SQRT(SUM(INDEX($FO350:$IH350,1+SwaptionShift):INDEX($FO350:$IH350,SwaptionMonthsToGo+SwaptionShift))*SUM(INDEX($FO$325:$IH$396,IC$169,1+SwaptionShift):INDEX($FO$325:$IH$396,IC$169,SwaptionMonthsToGo+SwaptionShift))))))</f>
        <v/>
      </c>
      <c r="ID195" s="469" t="str">
        <f ca="1">IF(OR(ID$169&lt;SwaptionFirstMonthPosition+1,$FN195&lt;SwaptionFirstMonthPosition+1,ID$169&gt;SwaptionFirstMonthPosition+SwaptionNumOfMonths+1,$FN195&gt;SwaptionFirstMonthPosition+SwaptionNumOfMonths+1),"",IF($FN195=ID$169,1,IF($FN195&lt;ID$169,INDEX($FO$170:$IH$241,ID$169,$FN195),SUMPRODUCT(INDEX($FO$325:$IH$396,ID$169,1+SwaptionShift):INDEX($FO$325:$IH$396,ID$169,SwaptionMonthsToGo+SwaptionShift),INDEX($FO$245:$IH$316,$FN195-ID$169,73-ID$169+SwaptionShift):INDEX($FO$245:$IH$316,$FN195-ID$169,72-ID$169+SwaptionMonthsToGo+SwaptionShift))/SQRT(SUM(INDEX($FO350:$IH350,1+SwaptionShift):INDEX($FO350:$IH350,SwaptionMonthsToGo+SwaptionShift))*SUM(INDEX($FO$325:$IH$396,ID$169,1+SwaptionShift):INDEX($FO$325:$IH$396,ID$169,SwaptionMonthsToGo+SwaptionShift))))))</f>
        <v/>
      </c>
      <c r="IE195" s="469" t="str">
        <f ca="1">IF(OR(IE$169&lt;SwaptionFirstMonthPosition+1,$FN195&lt;SwaptionFirstMonthPosition+1,IE$169&gt;SwaptionFirstMonthPosition+SwaptionNumOfMonths+1,$FN195&gt;SwaptionFirstMonthPosition+SwaptionNumOfMonths+1),"",IF($FN195=IE$169,1,IF($FN195&lt;IE$169,INDEX($FO$170:$IH$241,IE$169,$FN195),SUMPRODUCT(INDEX($FO$325:$IH$396,IE$169,1+SwaptionShift):INDEX($FO$325:$IH$396,IE$169,SwaptionMonthsToGo+SwaptionShift),INDEX($FO$245:$IH$316,$FN195-IE$169,73-IE$169+SwaptionShift):INDEX($FO$245:$IH$316,$FN195-IE$169,72-IE$169+SwaptionMonthsToGo+SwaptionShift))/SQRT(SUM(INDEX($FO350:$IH350,1+SwaptionShift):INDEX($FO350:$IH350,SwaptionMonthsToGo+SwaptionShift))*SUM(INDEX($FO$325:$IH$396,IE$169,1+SwaptionShift):INDEX($FO$325:$IH$396,IE$169,SwaptionMonthsToGo+SwaptionShift))))))</f>
        <v/>
      </c>
      <c r="IF195" s="469" t="str">
        <f ca="1">IF(OR(IF$169&lt;SwaptionFirstMonthPosition+1,$FN195&lt;SwaptionFirstMonthPosition+1,IF$169&gt;SwaptionFirstMonthPosition+SwaptionNumOfMonths+1,$FN195&gt;SwaptionFirstMonthPosition+SwaptionNumOfMonths+1),"",IF($FN195=IF$169,1,IF($FN195&lt;IF$169,INDEX($FO$170:$IH$241,IF$169,$FN195),SUMPRODUCT(INDEX($FO$325:$IH$396,IF$169,1+SwaptionShift):INDEX($FO$325:$IH$396,IF$169,SwaptionMonthsToGo+SwaptionShift),INDEX($FO$245:$IH$316,$FN195-IF$169,73-IF$169+SwaptionShift):INDEX($FO$245:$IH$316,$FN195-IF$169,72-IF$169+SwaptionMonthsToGo+SwaptionShift))/SQRT(SUM(INDEX($FO350:$IH350,1+SwaptionShift):INDEX($FO350:$IH350,SwaptionMonthsToGo+SwaptionShift))*SUM(INDEX($FO$325:$IH$396,IF$169,1+SwaptionShift):INDEX($FO$325:$IH$396,IF$169,SwaptionMonthsToGo+SwaptionShift))))))</f>
        <v/>
      </c>
      <c r="IG195" s="469" t="str">
        <f ca="1">IF(OR(IG$169&lt;SwaptionFirstMonthPosition+1,$FN195&lt;SwaptionFirstMonthPosition+1,IG$169&gt;SwaptionFirstMonthPosition+SwaptionNumOfMonths+1,$FN195&gt;SwaptionFirstMonthPosition+SwaptionNumOfMonths+1),"",IF($FN195=IG$169,1,IF($FN195&lt;IG$169,INDEX($FO$170:$IH$241,IG$169,$FN195),SUMPRODUCT(INDEX($FO$325:$IH$396,IG$169,1+SwaptionShift):INDEX($FO$325:$IH$396,IG$169,SwaptionMonthsToGo+SwaptionShift),INDEX($FO$245:$IH$316,$FN195-IG$169,73-IG$169+SwaptionShift):INDEX($FO$245:$IH$316,$FN195-IG$169,72-IG$169+SwaptionMonthsToGo+SwaptionShift))/SQRT(SUM(INDEX($FO350:$IH350,1+SwaptionShift):INDEX($FO350:$IH350,SwaptionMonthsToGo+SwaptionShift))*SUM(INDEX($FO$325:$IH$396,IG$169,1+SwaptionShift):INDEX($FO$325:$IH$396,IG$169,SwaptionMonthsToGo+SwaptionShift))))))</f>
        <v/>
      </c>
      <c r="IH195" s="662" t="str">
        <f ca="1">IF(OR(IH$169&lt;SwaptionFirstMonthPosition+1,$FN195&lt;SwaptionFirstMonthPosition+1,IH$169&gt;SwaptionFirstMonthPosition+SwaptionNumOfMonths+1,$FN195&gt;SwaptionFirstMonthPosition+SwaptionNumOfMonths+1),"",IF($FN195=IH$169,1,IF($FN195&lt;IH$169,INDEX($FO$170:$IH$241,IH$169,$FN195),SUMPRODUCT(INDEX($FO$325:$IH$396,IH$169,1+SwaptionShift):INDEX($FO$325:$IH$396,IH$169,SwaptionMonthsToGo+SwaptionShift),INDEX($FO$245:$IH$316,$FN195-IH$169,73-IH$169+SwaptionShift):INDEX($FO$245:$IH$316,$FN195-IH$169,72-IH$169+SwaptionMonthsToGo+SwaptionShift))/SQRT(SUM(INDEX($FO350:$IH350,1+SwaptionShift):INDEX($FO350:$IH350,SwaptionMonthsToGo+SwaptionShift))*SUM(INDEX($FO$325:$IH$396,IH$169,1+SwaptionShift):INDEX($FO$325:$IH$396,IH$169,SwaptionMonthsToGo+SwaptionShift))))))</f>
        <v/>
      </c>
      <c r="II195" s="242"/>
    </row>
    <row r="196" spans="8:243">
      <c r="H196" s="49" t="e">
        <f t="shared" ca="1" si="529"/>
        <v>#N/A</v>
      </c>
      <c r="I196" s="369">
        <f t="shared" si="530"/>
        <v>42370</v>
      </c>
      <c r="J196" s="367">
        <v>23.784999999999901</v>
      </c>
      <c r="K196" s="101" t="s">
        <v>267</v>
      </c>
      <c r="L196" s="382">
        <f t="shared" si="531"/>
        <v>23.784999999999879</v>
      </c>
      <c r="M196" s="163">
        <v>0.14070000000000002</v>
      </c>
      <c r="N196" s="372">
        <v>0</v>
      </c>
      <c r="O196" s="163">
        <f t="shared" ref="O196:O259" si="595">M196+N196</f>
        <v>0.14070000000000002</v>
      </c>
      <c r="P196" s="367">
        <v>22.529952529606</v>
      </c>
      <c r="Q196" s="101" t="s">
        <v>267</v>
      </c>
      <c r="R196" s="367">
        <f t="shared" ref="R196:R259" ca="1" si="596">IF(ISNUMBER(Q196),P196+Q196/100,IF(Q196="extra",(Z194*AL194-R195*AM194)/AN194,IF(Q196="inter",interpolateprices($Q$19:$R$260,ROW(Q196)-ROW(FirstPricingMonth)+1),interpolatechanges($P$19:$Q$260,ROW(Q196)-ROW(FirstPricingMonth)+1))))</f>
        <v>22.529952529606025</v>
      </c>
      <c r="S196" s="814">
        <f t="shared" si="594"/>
        <v>0.34861249650957532</v>
      </c>
      <c r="T196" s="813">
        <f t="shared" si="550"/>
        <v>0.99999999930957373</v>
      </c>
      <c r="U196" s="532">
        <f t="shared" si="551"/>
        <v>0.99999999999999978</v>
      </c>
      <c r="V196" s="379">
        <v>0</v>
      </c>
      <c r="W196" s="424">
        <f t="shared" si="576"/>
        <v>23.818749999999898</v>
      </c>
      <c r="X196" s="405">
        <f t="shared" si="577"/>
        <v>23.818749999999881</v>
      </c>
      <c r="Y196" s="313">
        <f t="shared" si="578"/>
        <v>22.602749999999897</v>
      </c>
      <c r="Z196" s="313">
        <f t="shared" ca="1" si="579"/>
        <v>22.60274999999988</v>
      </c>
      <c r="AA196" s="419">
        <f t="shared" si="493"/>
        <v>1.216</v>
      </c>
      <c r="AB196" s="423">
        <f t="shared" ca="1" si="494"/>
        <v>1.216</v>
      </c>
      <c r="AC196" s="221">
        <v>42358</v>
      </c>
      <c r="AD196" s="221">
        <v>42354</v>
      </c>
      <c r="AE196" s="221">
        <v>42353</v>
      </c>
      <c r="AF196" s="221">
        <v>42349</v>
      </c>
      <c r="AG196" s="241" t="s">
        <v>497</v>
      </c>
      <c r="AH196" s="239" t="s">
        <v>497</v>
      </c>
      <c r="AI196" s="141">
        <v>20</v>
      </c>
      <c r="AJ196" s="41">
        <v>13</v>
      </c>
      <c r="AK196" s="41">
        <v>7</v>
      </c>
      <c r="AL196" s="285">
        <v>20</v>
      </c>
      <c r="AM196" s="41">
        <v>9</v>
      </c>
      <c r="AN196" s="142">
        <v>11</v>
      </c>
      <c r="AO196" s="364">
        <v>6.1814549922811303E-2</v>
      </c>
      <c r="AP196" s="145">
        <f t="shared" ca="1" si="532"/>
        <v>0.40587139828346563</v>
      </c>
      <c r="AQ196" s="364">
        <v>5.5946068881147497E-2</v>
      </c>
      <c r="AR196" s="145">
        <f t="shared" ca="1" si="552"/>
        <v>0.4447099861851479</v>
      </c>
      <c r="AS196" s="264">
        <f t="shared" si="580"/>
        <v>0.14016000000000001</v>
      </c>
      <c r="AT196" s="149">
        <f t="shared" si="533"/>
        <v>0.14070000000000002</v>
      </c>
      <c r="AU196" s="149">
        <f t="shared" si="496"/>
        <v>0.14008000000000001</v>
      </c>
      <c r="AV196" s="263">
        <f t="shared" ca="1" si="560"/>
        <v>0.13865174627494609</v>
      </c>
      <c r="AW196" s="150" t="str">
        <f t="shared" ca="1" si="581"/>
        <v/>
      </c>
      <c r="AX196" s="149">
        <f t="shared" ca="1" si="553"/>
        <v>5.4192909640520832E-3</v>
      </c>
      <c r="AY196" s="149">
        <f t="shared" ca="1" si="554"/>
        <v>1.8402432941070062E-3</v>
      </c>
      <c r="AZ196" s="149">
        <f t="shared" ca="1" si="555"/>
        <v>1.9058860289621882E-3</v>
      </c>
      <c r="BA196" s="149">
        <f t="shared" ca="1" si="556"/>
        <v>1.0000000000000887E-4</v>
      </c>
      <c r="BB196" s="149">
        <f t="shared" ca="1" si="557"/>
        <v>1.0000000000000887E-4</v>
      </c>
      <c r="BC196" s="149">
        <f t="shared" ca="1" si="558"/>
        <v>1.0000000000000887E-4</v>
      </c>
      <c r="BD196" s="143">
        <f t="shared" ca="1" si="582"/>
        <v>0</v>
      </c>
      <c r="BE196" s="144">
        <f t="shared" ca="1" si="583"/>
        <v>0</v>
      </c>
      <c r="BF196" s="40">
        <f t="shared" si="584"/>
        <v>2016</v>
      </c>
      <c r="BG196" s="139">
        <f t="shared" si="585"/>
        <v>1</v>
      </c>
      <c r="BH196" s="140">
        <f t="shared" ca="1" si="586"/>
        <v>5364</v>
      </c>
      <c r="BI196" s="304">
        <f t="shared" ca="1" si="570"/>
        <v>14.729637234770705</v>
      </c>
      <c r="BJ196" s="42">
        <f t="shared" ca="1" si="503"/>
        <v>14.78302532511978</v>
      </c>
      <c r="BK196" s="42">
        <f t="shared" ca="1" si="504"/>
        <v>14.785763175906913</v>
      </c>
      <c r="BL196" s="42">
        <f t="shared" ca="1" si="571"/>
        <v>14.811772758384668</v>
      </c>
      <c r="BM196" s="285">
        <f t="shared" si="572"/>
        <v>20</v>
      </c>
      <c r="BN196" s="41">
        <f t="shared" si="573"/>
        <v>13</v>
      </c>
      <c r="BO196" s="41">
        <f t="shared" si="574"/>
        <v>7</v>
      </c>
      <c r="BP196" s="297" t="str">
        <f t="shared" ca="1" si="505"/>
        <v/>
      </c>
      <c r="BQ196" s="297" t="str">
        <f t="shared" ca="1" si="506"/>
        <v/>
      </c>
      <c r="BR196" s="299" t="str">
        <f t="shared" ca="1" si="507"/>
        <v/>
      </c>
      <c r="BS196" s="153" t="str">
        <f t="shared" ca="1" si="508"/>
        <v/>
      </c>
      <c r="BT196" s="153" t="str">
        <f t="shared" ca="1" si="509"/>
        <v/>
      </c>
      <c r="BU196" s="300" t="str">
        <f t="shared" ca="1" si="510"/>
        <v/>
      </c>
      <c r="BV196" s="301" t="str">
        <f t="shared" ca="1" si="511"/>
        <v/>
      </c>
      <c r="BW196" s="300" t="str">
        <f t="shared" ca="1" si="512"/>
        <v/>
      </c>
      <c r="BX196" s="301" t="str">
        <f t="shared" ca="1" si="513"/>
        <v/>
      </c>
      <c r="BY196" s="146" t="str">
        <f t="shared" ca="1" si="514"/>
        <v/>
      </c>
      <c r="BZ196" s="146" t="str">
        <f t="shared" ca="1" si="515"/>
        <v/>
      </c>
      <c r="CA196" s="146" t="str">
        <f t="shared" ca="1" si="516"/>
        <v/>
      </c>
      <c r="CB196" s="146" t="str">
        <f t="shared" ca="1" si="517"/>
        <v/>
      </c>
      <c r="CC196" s="302">
        <v>1</v>
      </c>
      <c r="CD196" s="154">
        <f ca="1">IF(BD196,_xll.xCrudeAPO(BS196,BT196,BY196,BZ196,S197,S198,BI196,BL196,BN196,BO196,0,Strike1,AO196,CC196,0,BL196,IF(OptControl=4,0,1),0,1),0)</f>
        <v>0</v>
      </c>
      <c r="CE196" s="155">
        <f ca="1">IF(BD196,_xll.xCrudeAPO(BS196,BT196,BY196,BZ196,S197,S198,BI196,BL196,BN196,BO196,0,Strike1,AO196,CC196,0,BL196,IF(OptControl=4,0,1),1,1)+_xll.xCrudeAPO(BS196,BT196,BY196,BZ196,S197,S198,BI196,BL196,BN196,BO196,0,Strike1,AO196,CC196,0,BL196,IF(OptControl=4,0,1),1,2)+IF(OR(VolSkewFlag=2,ABS(BQ196)&lt;0.0001),0,IF(BQ196&gt;0,-1,1)*CF196*Strike1/BP196^2*BW196/10%),0)</f>
        <v>0</v>
      </c>
      <c r="CF196" s="155">
        <f ca="1">IF(BD196,(_xll.xCrudeAPO(BS196,BT196,BY196,BZ196,S197,S198,BI196,BL196,BN196,BO196,0,Strike1,AO196,CC196,0,BL196,IF(OptControl=4,0,1),3,1)+_xll.xCrudeAPO(BS196,BT196,BY196,BZ196,S197,S198,BI196,BL196,BN196,BO196,0,Strike1,AO196,CC196,0,BL196,IF(OptControl=4,0,1),3,2))/100,0)</f>
        <v>0</v>
      </c>
      <c r="CG196" s="155">
        <f ca="1">IF(BD196,_xll.xCrudeAPO(BS196,BT196,BY196,BZ196,S197,S198,BI196-DaysForThetaCalculation/365.25,BL196-DaysForThetaCalculation/365.25,BN196,BO196,0,Strike1,AO196,CC196,0,BL196,IF(OptControl=4,0,1),0,1)-_xll.xCrudeAPO(BS196,BT196,BY196,BZ196,S197,S198,BI196,BL196,BN196,BO196,0,Strike1,AO196,CC196,0,BL196,IF(OptControl=4,0,1),0,1),0)</f>
        <v>0</v>
      </c>
      <c r="CH196" s="303">
        <f ca="1">IF(BD196,_xll.xCrudeAPO(BS196,BT196,CA196,CB196,S197,S198,BI196,BL196,BN196,BO196,0,Strike2,AO196,CC196,0,BL196,IF(OptControl=3,1,0),0,1),0)</f>
        <v>0</v>
      </c>
      <c r="CI196" s="155">
        <f ca="1">IF(BD196,_xll.xCrudeAPO(BS196,BT196,CA196,CB196,S197,S198,BI196,BL196,BN196,BO196,0,Strike2,AO196,CC196,0,BL196,IF(OptControl=3,1,0),1,1)+_xll.xCrudeAPO(BS196,BT196,CA196,CB196,S197,S198,BI196,BL196,BN196,BO196,0,Strike2,AO196,CC196,0,BL196,IF(OptControl=3,1,0),1,2)+IF(OR(VolSkewFlag=2,ABS(BR196)&lt;0.0001),0,IF(BR196&gt;0,-1,1)*CJ196*Strike2/BP196^2*BX196/10%),0)</f>
        <v>0</v>
      </c>
      <c r="CJ196" s="155">
        <f ca="1">IF(BD196,(_xll.xCrudeAPO(BS196,BT196,CA196,CB196,S197,S198,BI196,BL196,BN196,BO196,0,Strike2,AO196,CC196,0,BL196,IF(OptControl=3,1,0),3,1)+_xll.xCrudeAPO(BS196,BT196,CA196,CB196,S197,S198,BI196,BL196,BN196,BO196,0,Strike2,AO196,CC196,0,BL196,IF(OptControl=3,1,0),3,2))/100,0)</f>
        <v>0</v>
      </c>
      <c r="CK196" s="156">
        <f ca="1">IF(BD196,_xll.xCrudeAPO(BS196,BT196,CA196,CB196,S197,S198,BI196-DaysForThetaCalculation/365.25,BL196-DaysForThetaCalculation/365.25,BN196,BO196,0,Strike2,AO196,CC196,0,BL196,IF(OptControl=3,1,0),0,1)-_xll.xCrudeAPO(BS196,BT196,CA196,CB196,S197,S198,BI196,BL196,BN196,BO196,0,Strike2,AO196,CC196,0,BL196,IF(OptControl=3,1,0),0,1),0)</f>
        <v>0</v>
      </c>
      <c r="CL196" s="51"/>
      <c r="CM196" s="779" t="str">
        <f t="shared" ca="1" si="534"/>
        <v/>
      </c>
      <c r="CN196" s="783" t="str">
        <f t="shared" ca="1" si="535"/>
        <v/>
      </c>
      <c r="CO196" s="780" t="str">
        <f t="shared" ca="1" si="536"/>
        <v/>
      </c>
      <c r="CP196" s="780" t="str">
        <f t="shared" ca="1" si="537"/>
        <v/>
      </c>
      <c r="CQ196" s="780" t="str">
        <f t="shared" ca="1" si="538"/>
        <v/>
      </c>
      <c r="CR196" s="780" t="str">
        <f t="shared" ca="1" si="539"/>
        <v/>
      </c>
      <c r="CS196" s="781" t="str">
        <f t="shared" ca="1" si="540"/>
        <v/>
      </c>
      <c r="CT196" s="782" t="str">
        <f t="shared" ca="1" si="541"/>
        <v/>
      </c>
      <c r="CU196" s="782" t="str">
        <f t="shared" ca="1" si="542"/>
        <v/>
      </c>
      <c r="CV196" s="155">
        <f ca="1">IF(BD196,_xll.EURO(CN196,Strike1,AO196,AO196,CT196,CM196,IF(OptControl=4,0,1),0),0)</f>
        <v>0</v>
      </c>
      <c r="CW196" s="155">
        <f ca="1">IF(BD196,_xll.EURO(CN196,Strike1,AO196,AO196,CT196,CM196,IF(OptControl=4,0,1),1)+IF(OR(VolSkewFlag=2,ABS(CO196)&lt;0.0001),0,IF(CO196&gt;0,-1,1)*CX196*100*Strike1/CN196^2*CQ196/10%),0)</f>
        <v>0</v>
      </c>
      <c r="CX196" s="155">
        <f ca="1">IF(BD196,_xll.EURO(CN196,Strike1,AO196,AO196,CT196,CM196,IF(OptControl=4,0,1),3)/100,0)</f>
        <v>0</v>
      </c>
      <c r="CY196" s="155">
        <f ca="1">IF(BD196,_xll.EURO(CN196,Strike1,AO196,AO196,CT196,CM196,IF(OptControl=4,0,1),0)-_xll.EURO(CN196,Strike1,AO196,AO196,CT196,CM196-1,IF(OptControl=4,0,1),0),0)</f>
        <v>0</v>
      </c>
      <c r="CZ196" s="155">
        <f ca="1">IF(BD196,_xll.EURO(CN196,Strike2,AO196,AO196,CU196,CM196,IF(OptControl=3,1,0),0),0)</f>
        <v>0</v>
      </c>
      <c r="DA196" s="155">
        <f ca="1">IF(BD196,_xll.EURO(CN196,Strike2,AO196,AO196,CU196,CM196,IF(OptControl=3,1,0),1)+IF(OR(VolSkewFlag=2,ABS(CP196)&lt;0.0001),0,IF(CP196&gt;0,-1,1)*DB196*100*Strike2/CN196^2*CR196/10%),0)</f>
        <v>0</v>
      </c>
      <c r="DB196" s="155">
        <f ca="1">IF(BD196,_xll.EURO(CN196,Strike2,AO196,AO196,CU196,CM196,IF(OptControl=3,1,0),3)/100,0)</f>
        <v>0</v>
      </c>
      <c r="DC196" s="156">
        <f ca="1">IF(BD196,_xll.EURO(CN196,Strike2,AO196,AO196,CU196,CM196,IF(OptControl=3,1,0),0)-_xll.EURO(CN196,Strike2,AO196,AO196,CU196,CM196-1,IF(OptControl=3,1,0),0),0)</f>
        <v>0</v>
      </c>
      <c r="DE196" s="651">
        <f t="shared" ca="1" si="543"/>
        <v>42278</v>
      </c>
      <c r="DF196" s="465">
        <v>1E-4</v>
      </c>
      <c r="DG196" s="649">
        <v>1E-4</v>
      </c>
      <c r="DH196" s="650">
        <f t="shared" ca="1" si="587"/>
        <v>42278</v>
      </c>
      <c r="DI196" s="465">
        <v>1E-4</v>
      </c>
      <c r="DJ196" s="649">
        <v>1E-4</v>
      </c>
      <c r="DK196" s="651">
        <f t="shared" ca="1" si="588"/>
        <v>42278</v>
      </c>
      <c r="DL196" s="652">
        <f t="shared" si="589"/>
        <v>5.0100000000000006E-2</v>
      </c>
      <c r="DM196" s="651">
        <f t="shared" ca="1" si="544"/>
        <v>42278</v>
      </c>
      <c r="DN196" s="563">
        <f t="shared" si="545"/>
        <v>-0.12990000000000002</v>
      </c>
      <c r="DO196" s="803">
        <v>-0.13</v>
      </c>
      <c r="DP196" s="650">
        <f t="shared" ca="1" si="590"/>
        <v>42278</v>
      </c>
      <c r="DQ196" s="653">
        <v>1E-4</v>
      </c>
      <c r="DR196" s="590">
        <v>1E-4</v>
      </c>
      <c r="DS196" s="650">
        <f t="shared" ca="1" si="591"/>
        <v>42278</v>
      </c>
      <c r="DT196" s="653">
        <v>1E-4</v>
      </c>
      <c r="DU196" s="590">
        <v>1E-4</v>
      </c>
      <c r="DV196" s="651">
        <f t="shared" ca="1" si="592"/>
        <v>42278</v>
      </c>
      <c r="DW196" s="590">
        <v>1E-4</v>
      </c>
      <c r="DX196" s="651">
        <f t="shared" ca="1" si="546"/>
        <v>42278</v>
      </c>
      <c r="DY196" s="590">
        <f t="shared" si="547"/>
        <v>1E-4</v>
      </c>
      <c r="DZ196" s="1"/>
      <c r="EA196" s="857"/>
      <c r="EB196" s="857"/>
      <c r="EC196" s="857"/>
      <c r="ED196" s="868" t="e">
        <f t="shared" ca="1" si="566"/>
        <v>#NAME?</v>
      </c>
      <c r="EE196" s="863" t="e">
        <f t="shared" ca="1" si="524"/>
        <v>#NAME?</v>
      </c>
      <c r="EF196" s="590" t="e">
        <f t="shared" ca="1" si="525"/>
        <v>#NAME?</v>
      </c>
      <c r="EG196" s="862" t="str">
        <f t="shared" ca="1" si="593"/>
        <v/>
      </c>
      <c r="EH196" s="114" t="str">
        <f t="shared" ca="1" si="527"/>
        <v/>
      </c>
      <c r="EI196" s="109" t="str">
        <f t="shared" ca="1" si="528"/>
        <v/>
      </c>
      <c r="EJ196" s="115">
        <f ca="1">IF(BD196,_xll.xASN(BP196,Strike1,AO196,EH196,0,BM196,0,BI196,BL196,IF(OptControl=4,0,1),0),0)</f>
        <v>0</v>
      </c>
      <c r="EK196" s="108">
        <f ca="1">IF(BD196,_xll.xASN(BP196,Strike2,AO196,EI196,0,BM196,0,BI196,BL196,IF(OptControl=3,1,0),0),0)</f>
        <v>0</v>
      </c>
      <c r="EP196" s="53"/>
      <c r="EQ196" s="1"/>
      <c r="ER196" s="103"/>
      <c r="ES196" s="103"/>
      <c r="ET196" s="1"/>
      <c r="EU196" s="667" t="s">
        <v>408</v>
      </c>
      <c r="EW196" s="445"/>
      <c r="EX196" s="36"/>
      <c r="EY196" s="104"/>
      <c r="EZ196" s="465"/>
      <c r="FA196" s="446"/>
      <c r="FB196" s="446"/>
      <c r="FC196" s="242"/>
      <c r="FD196" s="242"/>
      <c r="FE196" s="242"/>
      <c r="FF196" s="242"/>
      <c r="FG196" s="242"/>
      <c r="FH196" s="242"/>
      <c r="FI196" s="242"/>
      <c r="FJ196" s="242"/>
      <c r="FK196" s="242"/>
      <c r="FL196" s="242"/>
      <c r="FM196" s="242"/>
      <c r="FN196" s="657">
        <v>27</v>
      </c>
      <c r="FO196" s="469" t="str">
        <f ca="1">IF(OR(FO$169&lt;SwaptionFirstMonthPosition+1,$FN196&lt;SwaptionFirstMonthPosition+1,FO$169&gt;SwaptionFirstMonthPosition+SwaptionNumOfMonths+1,$FN196&gt;SwaptionFirstMonthPosition+SwaptionNumOfMonths+1),"",IF($FN196=FO$169,1,IF($FN196&lt;FO$169,INDEX($FO$170:$IH$241,FO$169,$FN196),SUMPRODUCT(INDEX($FO$325:$IH$396,FO$169,1+SwaptionShift):INDEX($FO$325:$IH$396,FO$169,SwaptionMonthsToGo+SwaptionShift),INDEX($FO$245:$IH$316,$FN196-FO$169,73-FO$169+SwaptionShift):INDEX($FO$245:$IH$316,$FN196-FO$169,72-FO$169+SwaptionMonthsToGo+SwaptionShift))/SQRT(SUM(INDEX($FO351:$IH351,1+SwaptionShift):INDEX($FO351:$IH351,SwaptionMonthsToGo+SwaptionShift))*SUM(INDEX($FO$325:$IH$396,FO$169,1+SwaptionShift):INDEX($FO$325:$IH$396,FO$169,SwaptionMonthsToGo+SwaptionShift))))))</f>
        <v/>
      </c>
      <c r="FP196" s="469" t="str">
        <f ca="1">IF(OR(FP$169&lt;SwaptionFirstMonthPosition+1,$FN196&lt;SwaptionFirstMonthPosition+1,FP$169&gt;SwaptionFirstMonthPosition+SwaptionNumOfMonths+1,$FN196&gt;SwaptionFirstMonthPosition+SwaptionNumOfMonths+1),"",IF($FN196=FP$169,1,IF($FN196&lt;FP$169,INDEX($FO$170:$IH$241,FP$169,$FN196),SUMPRODUCT(INDEX($FO$325:$IH$396,FP$169,1+SwaptionShift):INDEX($FO$325:$IH$396,FP$169,SwaptionMonthsToGo+SwaptionShift),INDEX($FO$245:$IH$316,$FN196-FP$169,73-FP$169+SwaptionShift):INDEX($FO$245:$IH$316,$FN196-FP$169,72-FP$169+SwaptionMonthsToGo+SwaptionShift))/SQRT(SUM(INDEX($FO351:$IH351,1+SwaptionShift):INDEX($FO351:$IH351,SwaptionMonthsToGo+SwaptionShift))*SUM(INDEX($FO$325:$IH$396,FP$169,1+SwaptionShift):INDEX($FO$325:$IH$396,FP$169,SwaptionMonthsToGo+SwaptionShift))))))</f>
        <v/>
      </c>
      <c r="FQ196" s="469" t="str">
        <f ca="1">IF(OR(FQ$169&lt;SwaptionFirstMonthPosition+1,$FN196&lt;SwaptionFirstMonthPosition+1,FQ$169&gt;SwaptionFirstMonthPosition+SwaptionNumOfMonths+1,$FN196&gt;SwaptionFirstMonthPosition+SwaptionNumOfMonths+1),"",IF($FN196=FQ$169,1,IF($FN196&lt;FQ$169,INDEX($FO$170:$IH$241,FQ$169,$FN196),SUMPRODUCT(INDEX($FO$325:$IH$396,FQ$169,1+SwaptionShift):INDEX($FO$325:$IH$396,FQ$169,SwaptionMonthsToGo+SwaptionShift),INDEX($FO$245:$IH$316,$FN196-FQ$169,73-FQ$169+SwaptionShift):INDEX($FO$245:$IH$316,$FN196-FQ$169,72-FQ$169+SwaptionMonthsToGo+SwaptionShift))/SQRT(SUM(INDEX($FO351:$IH351,1+SwaptionShift):INDEX($FO351:$IH351,SwaptionMonthsToGo+SwaptionShift))*SUM(INDEX($FO$325:$IH$396,FQ$169,1+SwaptionShift):INDEX($FO$325:$IH$396,FQ$169,SwaptionMonthsToGo+SwaptionShift))))))</f>
        <v/>
      </c>
      <c r="FR196" s="469" t="str">
        <f ca="1">IF(OR(FR$169&lt;SwaptionFirstMonthPosition+1,$FN196&lt;SwaptionFirstMonthPosition+1,FR$169&gt;SwaptionFirstMonthPosition+SwaptionNumOfMonths+1,$FN196&gt;SwaptionFirstMonthPosition+SwaptionNumOfMonths+1),"",IF($FN196=FR$169,1,IF($FN196&lt;FR$169,INDEX($FO$170:$IH$241,FR$169,$FN196),SUMPRODUCT(INDEX($FO$325:$IH$396,FR$169,1+SwaptionShift):INDEX($FO$325:$IH$396,FR$169,SwaptionMonthsToGo+SwaptionShift),INDEX($FO$245:$IH$316,$FN196-FR$169,73-FR$169+SwaptionShift):INDEX($FO$245:$IH$316,$FN196-FR$169,72-FR$169+SwaptionMonthsToGo+SwaptionShift))/SQRT(SUM(INDEX($FO351:$IH351,1+SwaptionShift):INDEX($FO351:$IH351,SwaptionMonthsToGo+SwaptionShift))*SUM(INDEX($FO$325:$IH$396,FR$169,1+SwaptionShift):INDEX($FO$325:$IH$396,FR$169,SwaptionMonthsToGo+SwaptionShift))))))</f>
        <v/>
      </c>
      <c r="FS196" s="469" t="str">
        <f ca="1">IF(OR(FS$169&lt;SwaptionFirstMonthPosition+1,$FN196&lt;SwaptionFirstMonthPosition+1,FS$169&gt;SwaptionFirstMonthPosition+SwaptionNumOfMonths+1,$FN196&gt;SwaptionFirstMonthPosition+SwaptionNumOfMonths+1),"",IF($FN196=FS$169,1,IF($FN196&lt;FS$169,INDEX($FO$170:$IH$241,FS$169,$FN196),SUMPRODUCT(INDEX($FO$325:$IH$396,FS$169,1+SwaptionShift):INDEX($FO$325:$IH$396,FS$169,SwaptionMonthsToGo+SwaptionShift),INDEX($FO$245:$IH$316,$FN196-FS$169,73-FS$169+SwaptionShift):INDEX($FO$245:$IH$316,$FN196-FS$169,72-FS$169+SwaptionMonthsToGo+SwaptionShift))/SQRT(SUM(INDEX($FO351:$IH351,1+SwaptionShift):INDEX($FO351:$IH351,SwaptionMonthsToGo+SwaptionShift))*SUM(INDEX($FO$325:$IH$396,FS$169,1+SwaptionShift):INDEX($FO$325:$IH$396,FS$169,SwaptionMonthsToGo+SwaptionShift))))))</f>
        <v/>
      </c>
      <c r="FT196" s="469" t="str">
        <f ca="1">IF(OR(FT$169&lt;SwaptionFirstMonthPosition+1,$FN196&lt;SwaptionFirstMonthPosition+1,FT$169&gt;SwaptionFirstMonthPosition+SwaptionNumOfMonths+1,$FN196&gt;SwaptionFirstMonthPosition+SwaptionNumOfMonths+1),"",IF($FN196=FT$169,1,IF($FN196&lt;FT$169,INDEX($FO$170:$IH$241,FT$169,$FN196),SUMPRODUCT(INDEX($FO$325:$IH$396,FT$169,1+SwaptionShift):INDEX($FO$325:$IH$396,FT$169,SwaptionMonthsToGo+SwaptionShift),INDEX($FO$245:$IH$316,$FN196-FT$169,73-FT$169+SwaptionShift):INDEX($FO$245:$IH$316,$FN196-FT$169,72-FT$169+SwaptionMonthsToGo+SwaptionShift))/SQRT(SUM(INDEX($FO351:$IH351,1+SwaptionShift):INDEX($FO351:$IH351,SwaptionMonthsToGo+SwaptionShift))*SUM(INDEX($FO$325:$IH$396,FT$169,1+SwaptionShift):INDEX($FO$325:$IH$396,FT$169,SwaptionMonthsToGo+SwaptionShift))))))</f>
        <v/>
      </c>
      <c r="FU196" s="469" t="str">
        <f ca="1">IF(OR(FU$169&lt;SwaptionFirstMonthPosition+1,$FN196&lt;SwaptionFirstMonthPosition+1,FU$169&gt;SwaptionFirstMonthPosition+SwaptionNumOfMonths+1,$FN196&gt;SwaptionFirstMonthPosition+SwaptionNumOfMonths+1),"",IF($FN196=FU$169,1,IF($FN196&lt;FU$169,INDEX($FO$170:$IH$241,FU$169,$FN196),SUMPRODUCT(INDEX($FO$325:$IH$396,FU$169,1+SwaptionShift):INDEX($FO$325:$IH$396,FU$169,SwaptionMonthsToGo+SwaptionShift),INDEX($FO$245:$IH$316,$FN196-FU$169,73-FU$169+SwaptionShift):INDEX($FO$245:$IH$316,$FN196-FU$169,72-FU$169+SwaptionMonthsToGo+SwaptionShift))/SQRT(SUM(INDEX($FO351:$IH351,1+SwaptionShift):INDEX($FO351:$IH351,SwaptionMonthsToGo+SwaptionShift))*SUM(INDEX($FO$325:$IH$396,FU$169,1+SwaptionShift):INDEX($FO$325:$IH$396,FU$169,SwaptionMonthsToGo+SwaptionShift))))))</f>
        <v/>
      </c>
      <c r="FV196" s="469" t="str">
        <f ca="1">IF(OR(FV$169&lt;SwaptionFirstMonthPosition+1,$FN196&lt;SwaptionFirstMonthPosition+1,FV$169&gt;SwaptionFirstMonthPosition+SwaptionNumOfMonths+1,$FN196&gt;SwaptionFirstMonthPosition+SwaptionNumOfMonths+1),"",IF($FN196=FV$169,1,IF($FN196&lt;FV$169,INDEX($FO$170:$IH$241,FV$169,$FN196),SUMPRODUCT(INDEX($FO$325:$IH$396,FV$169,1+SwaptionShift):INDEX($FO$325:$IH$396,FV$169,SwaptionMonthsToGo+SwaptionShift),INDEX($FO$245:$IH$316,$FN196-FV$169,73-FV$169+SwaptionShift):INDEX($FO$245:$IH$316,$FN196-FV$169,72-FV$169+SwaptionMonthsToGo+SwaptionShift))/SQRT(SUM(INDEX($FO351:$IH351,1+SwaptionShift):INDEX($FO351:$IH351,SwaptionMonthsToGo+SwaptionShift))*SUM(INDEX($FO$325:$IH$396,FV$169,1+SwaptionShift):INDEX($FO$325:$IH$396,FV$169,SwaptionMonthsToGo+SwaptionShift))))))</f>
        <v/>
      </c>
      <c r="FW196" s="469" t="str">
        <f ca="1">IF(OR(FW$169&lt;SwaptionFirstMonthPosition+1,$FN196&lt;SwaptionFirstMonthPosition+1,FW$169&gt;SwaptionFirstMonthPosition+SwaptionNumOfMonths+1,$FN196&gt;SwaptionFirstMonthPosition+SwaptionNumOfMonths+1),"",IF($FN196=FW$169,1,IF($FN196&lt;FW$169,INDEX($FO$170:$IH$241,FW$169,$FN196),SUMPRODUCT(INDEX($FO$325:$IH$396,FW$169,1+SwaptionShift):INDEX($FO$325:$IH$396,FW$169,SwaptionMonthsToGo+SwaptionShift),INDEX($FO$245:$IH$316,$FN196-FW$169,73-FW$169+SwaptionShift):INDEX($FO$245:$IH$316,$FN196-FW$169,72-FW$169+SwaptionMonthsToGo+SwaptionShift))/SQRT(SUM(INDEX($FO351:$IH351,1+SwaptionShift):INDEX($FO351:$IH351,SwaptionMonthsToGo+SwaptionShift))*SUM(INDEX($FO$325:$IH$396,FW$169,1+SwaptionShift):INDEX($FO$325:$IH$396,FW$169,SwaptionMonthsToGo+SwaptionShift))))))</f>
        <v/>
      </c>
      <c r="FX196" s="469" t="str">
        <f ca="1">IF(OR(FX$169&lt;SwaptionFirstMonthPosition+1,$FN196&lt;SwaptionFirstMonthPosition+1,FX$169&gt;SwaptionFirstMonthPosition+SwaptionNumOfMonths+1,$FN196&gt;SwaptionFirstMonthPosition+SwaptionNumOfMonths+1),"",IF($FN196=FX$169,1,IF($FN196&lt;FX$169,INDEX($FO$170:$IH$241,FX$169,$FN196),SUMPRODUCT(INDEX($FO$325:$IH$396,FX$169,1+SwaptionShift):INDEX($FO$325:$IH$396,FX$169,SwaptionMonthsToGo+SwaptionShift),INDEX($FO$245:$IH$316,$FN196-FX$169,73-FX$169+SwaptionShift):INDEX($FO$245:$IH$316,$FN196-FX$169,72-FX$169+SwaptionMonthsToGo+SwaptionShift))/SQRT(SUM(INDEX($FO351:$IH351,1+SwaptionShift):INDEX($FO351:$IH351,SwaptionMonthsToGo+SwaptionShift))*SUM(INDEX($FO$325:$IH$396,FX$169,1+SwaptionShift):INDEX($FO$325:$IH$396,FX$169,SwaptionMonthsToGo+SwaptionShift))))))</f>
        <v/>
      </c>
      <c r="FY196" s="469" t="str">
        <f ca="1">IF(OR(FY$169&lt;SwaptionFirstMonthPosition+1,$FN196&lt;SwaptionFirstMonthPosition+1,FY$169&gt;SwaptionFirstMonthPosition+SwaptionNumOfMonths+1,$FN196&gt;SwaptionFirstMonthPosition+SwaptionNumOfMonths+1),"",IF($FN196=FY$169,1,IF($FN196&lt;FY$169,INDEX($FO$170:$IH$241,FY$169,$FN196),SUMPRODUCT(INDEX($FO$325:$IH$396,FY$169,1+SwaptionShift):INDEX($FO$325:$IH$396,FY$169,SwaptionMonthsToGo+SwaptionShift),INDEX($FO$245:$IH$316,$FN196-FY$169,73-FY$169+SwaptionShift):INDEX($FO$245:$IH$316,$FN196-FY$169,72-FY$169+SwaptionMonthsToGo+SwaptionShift))/SQRT(SUM(INDEX($FO351:$IH351,1+SwaptionShift):INDEX($FO351:$IH351,SwaptionMonthsToGo+SwaptionShift))*SUM(INDEX($FO$325:$IH$396,FY$169,1+SwaptionShift):INDEX($FO$325:$IH$396,FY$169,SwaptionMonthsToGo+SwaptionShift))))))</f>
        <v/>
      </c>
      <c r="FZ196" s="469" t="str">
        <f ca="1">IF(OR(FZ$169&lt;SwaptionFirstMonthPosition+1,$FN196&lt;SwaptionFirstMonthPosition+1,FZ$169&gt;SwaptionFirstMonthPosition+SwaptionNumOfMonths+1,$FN196&gt;SwaptionFirstMonthPosition+SwaptionNumOfMonths+1),"",IF($FN196=FZ$169,1,IF($FN196&lt;FZ$169,INDEX($FO$170:$IH$241,FZ$169,$FN196),SUMPRODUCT(INDEX($FO$325:$IH$396,FZ$169,1+SwaptionShift):INDEX($FO$325:$IH$396,FZ$169,SwaptionMonthsToGo+SwaptionShift),INDEX($FO$245:$IH$316,$FN196-FZ$169,73-FZ$169+SwaptionShift):INDEX($FO$245:$IH$316,$FN196-FZ$169,72-FZ$169+SwaptionMonthsToGo+SwaptionShift))/SQRT(SUM(INDEX($FO351:$IH351,1+SwaptionShift):INDEX($FO351:$IH351,SwaptionMonthsToGo+SwaptionShift))*SUM(INDEX($FO$325:$IH$396,FZ$169,1+SwaptionShift):INDEX($FO$325:$IH$396,FZ$169,SwaptionMonthsToGo+SwaptionShift))))))</f>
        <v/>
      </c>
      <c r="GA196" s="469" t="str">
        <f ca="1">IF(OR(GA$169&lt;SwaptionFirstMonthPosition+1,$FN196&lt;SwaptionFirstMonthPosition+1,GA$169&gt;SwaptionFirstMonthPosition+SwaptionNumOfMonths+1,$FN196&gt;SwaptionFirstMonthPosition+SwaptionNumOfMonths+1),"",IF($FN196=GA$169,1,IF($FN196&lt;GA$169,INDEX($FO$170:$IH$241,GA$169,$FN196),SUMPRODUCT(INDEX($FO$325:$IH$396,GA$169,1+SwaptionShift):INDEX($FO$325:$IH$396,GA$169,SwaptionMonthsToGo+SwaptionShift),INDEX($FO$245:$IH$316,$FN196-GA$169,73-GA$169+SwaptionShift):INDEX($FO$245:$IH$316,$FN196-GA$169,72-GA$169+SwaptionMonthsToGo+SwaptionShift))/SQRT(SUM(INDEX($FO351:$IH351,1+SwaptionShift):INDEX($FO351:$IH351,SwaptionMonthsToGo+SwaptionShift))*SUM(INDEX($FO$325:$IH$396,GA$169,1+SwaptionShift):INDEX($FO$325:$IH$396,GA$169,SwaptionMonthsToGo+SwaptionShift))))))</f>
        <v/>
      </c>
      <c r="GB196" s="469" t="str">
        <f ca="1">IF(OR(GB$169&lt;SwaptionFirstMonthPosition+1,$FN196&lt;SwaptionFirstMonthPosition+1,GB$169&gt;SwaptionFirstMonthPosition+SwaptionNumOfMonths+1,$FN196&gt;SwaptionFirstMonthPosition+SwaptionNumOfMonths+1),"",IF($FN196=GB$169,1,IF($FN196&lt;GB$169,INDEX($FO$170:$IH$241,GB$169,$FN196),SUMPRODUCT(INDEX($FO$325:$IH$396,GB$169,1+SwaptionShift):INDEX($FO$325:$IH$396,GB$169,SwaptionMonthsToGo+SwaptionShift),INDEX($FO$245:$IH$316,$FN196-GB$169,73-GB$169+SwaptionShift):INDEX($FO$245:$IH$316,$FN196-GB$169,72-GB$169+SwaptionMonthsToGo+SwaptionShift))/SQRT(SUM(INDEX($FO351:$IH351,1+SwaptionShift):INDEX($FO351:$IH351,SwaptionMonthsToGo+SwaptionShift))*SUM(INDEX($FO$325:$IH$396,GB$169,1+SwaptionShift):INDEX($FO$325:$IH$396,GB$169,SwaptionMonthsToGo+SwaptionShift))))))</f>
        <v/>
      </c>
      <c r="GC196" s="469" t="str">
        <f ca="1">IF(OR(GC$169&lt;SwaptionFirstMonthPosition+1,$FN196&lt;SwaptionFirstMonthPosition+1,GC$169&gt;SwaptionFirstMonthPosition+SwaptionNumOfMonths+1,$FN196&gt;SwaptionFirstMonthPosition+SwaptionNumOfMonths+1),"",IF($FN196=GC$169,1,IF($FN196&lt;GC$169,INDEX($FO$170:$IH$241,GC$169,$FN196),SUMPRODUCT(INDEX($FO$325:$IH$396,GC$169,1+SwaptionShift):INDEX($FO$325:$IH$396,GC$169,SwaptionMonthsToGo+SwaptionShift),INDEX($FO$245:$IH$316,$FN196-GC$169,73-GC$169+SwaptionShift):INDEX($FO$245:$IH$316,$FN196-GC$169,72-GC$169+SwaptionMonthsToGo+SwaptionShift))/SQRT(SUM(INDEX($FO351:$IH351,1+SwaptionShift):INDEX($FO351:$IH351,SwaptionMonthsToGo+SwaptionShift))*SUM(INDEX($FO$325:$IH$396,GC$169,1+SwaptionShift):INDEX($FO$325:$IH$396,GC$169,SwaptionMonthsToGo+SwaptionShift))))))</f>
        <v/>
      </c>
      <c r="GD196" s="469" t="str">
        <f ca="1">IF(OR(GD$169&lt;SwaptionFirstMonthPosition+1,$FN196&lt;SwaptionFirstMonthPosition+1,GD$169&gt;SwaptionFirstMonthPosition+SwaptionNumOfMonths+1,$FN196&gt;SwaptionFirstMonthPosition+SwaptionNumOfMonths+1),"",IF($FN196=GD$169,1,IF($FN196&lt;GD$169,INDEX($FO$170:$IH$241,GD$169,$FN196),SUMPRODUCT(INDEX($FO$325:$IH$396,GD$169,1+SwaptionShift):INDEX($FO$325:$IH$396,GD$169,SwaptionMonthsToGo+SwaptionShift),INDEX($FO$245:$IH$316,$FN196-GD$169,73-GD$169+SwaptionShift):INDEX($FO$245:$IH$316,$FN196-GD$169,72-GD$169+SwaptionMonthsToGo+SwaptionShift))/SQRT(SUM(INDEX($FO351:$IH351,1+SwaptionShift):INDEX($FO351:$IH351,SwaptionMonthsToGo+SwaptionShift))*SUM(INDEX($FO$325:$IH$396,GD$169,1+SwaptionShift):INDEX($FO$325:$IH$396,GD$169,SwaptionMonthsToGo+SwaptionShift))))))</f>
        <v/>
      </c>
      <c r="GE196" s="469" t="str">
        <f ca="1">IF(OR(GE$169&lt;SwaptionFirstMonthPosition+1,$FN196&lt;SwaptionFirstMonthPosition+1,GE$169&gt;SwaptionFirstMonthPosition+SwaptionNumOfMonths+1,$FN196&gt;SwaptionFirstMonthPosition+SwaptionNumOfMonths+1),"",IF($FN196=GE$169,1,IF($FN196&lt;GE$169,INDEX($FO$170:$IH$241,GE$169,$FN196),SUMPRODUCT(INDEX($FO$325:$IH$396,GE$169,1+SwaptionShift):INDEX($FO$325:$IH$396,GE$169,SwaptionMonthsToGo+SwaptionShift),INDEX($FO$245:$IH$316,$FN196-GE$169,73-GE$169+SwaptionShift):INDEX($FO$245:$IH$316,$FN196-GE$169,72-GE$169+SwaptionMonthsToGo+SwaptionShift))/SQRT(SUM(INDEX($FO351:$IH351,1+SwaptionShift):INDEX($FO351:$IH351,SwaptionMonthsToGo+SwaptionShift))*SUM(INDEX($FO$325:$IH$396,GE$169,1+SwaptionShift):INDEX($FO$325:$IH$396,GE$169,SwaptionMonthsToGo+SwaptionShift))))))</f>
        <v/>
      </c>
      <c r="GF196" s="469" t="str">
        <f ca="1">IF(OR(GF$169&lt;SwaptionFirstMonthPosition+1,$FN196&lt;SwaptionFirstMonthPosition+1,GF$169&gt;SwaptionFirstMonthPosition+SwaptionNumOfMonths+1,$FN196&gt;SwaptionFirstMonthPosition+SwaptionNumOfMonths+1),"",IF($FN196=GF$169,1,IF($FN196&lt;GF$169,INDEX($FO$170:$IH$241,GF$169,$FN196),SUMPRODUCT(INDEX($FO$325:$IH$396,GF$169,1+SwaptionShift):INDEX($FO$325:$IH$396,GF$169,SwaptionMonthsToGo+SwaptionShift),INDEX($FO$245:$IH$316,$FN196-GF$169,73-GF$169+SwaptionShift):INDEX($FO$245:$IH$316,$FN196-GF$169,72-GF$169+SwaptionMonthsToGo+SwaptionShift))/SQRT(SUM(INDEX($FO351:$IH351,1+SwaptionShift):INDEX($FO351:$IH351,SwaptionMonthsToGo+SwaptionShift))*SUM(INDEX($FO$325:$IH$396,GF$169,1+SwaptionShift):INDEX($FO$325:$IH$396,GF$169,SwaptionMonthsToGo+SwaptionShift))))))</f>
        <v/>
      </c>
      <c r="GG196" s="469" t="str">
        <f ca="1">IF(OR(GG$169&lt;SwaptionFirstMonthPosition+1,$FN196&lt;SwaptionFirstMonthPosition+1,GG$169&gt;SwaptionFirstMonthPosition+SwaptionNumOfMonths+1,$FN196&gt;SwaptionFirstMonthPosition+SwaptionNumOfMonths+1),"",IF($FN196=GG$169,1,IF($FN196&lt;GG$169,INDEX($FO$170:$IH$241,GG$169,$FN196),SUMPRODUCT(INDEX($FO$325:$IH$396,GG$169,1+SwaptionShift):INDEX($FO$325:$IH$396,GG$169,SwaptionMonthsToGo+SwaptionShift),INDEX($FO$245:$IH$316,$FN196-GG$169,73-GG$169+SwaptionShift):INDEX($FO$245:$IH$316,$FN196-GG$169,72-GG$169+SwaptionMonthsToGo+SwaptionShift))/SQRT(SUM(INDEX($FO351:$IH351,1+SwaptionShift):INDEX($FO351:$IH351,SwaptionMonthsToGo+SwaptionShift))*SUM(INDEX($FO$325:$IH$396,GG$169,1+SwaptionShift):INDEX($FO$325:$IH$396,GG$169,SwaptionMonthsToGo+SwaptionShift))))))</f>
        <v/>
      </c>
      <c r="GH196" s="469" t="str">
        <f ca="1">IF(OR(GH$169&lt;SwaptionFirstMonthPosition+1,$FN196&lt;SwaptionFirstMonthPosition+1,GH$169&gt;SwaptionFirstMonthPosition+SwaptionNumOfMonths+1,$FN196&gt;SwaptionFirstMonthPosition+SwaptionNumOfMonths+1),"",IF($FN196=GH$169,1,IF($FN196&lt;GH$169,INDEX($FO$170:$IH$241,GH$169,$FN196),SUMPRODUCT(INDEX($FO$325:$IH$396,GH$169,1+SwaptionShift):INDEX($FO$325:$IH$396,GH$169,SwaptionMonthsToGo+SwaptionShift),INDEX($FO$245:$IH$316,$FN196-GH$169,73-GH$169+SwaptionShift):INDEX($FO$245:$IH$316,$FN196-GH$169,72-GH$169+SwaptionMonthsToGo+SwaptionShift))/SQRT(SUM(INDEX($FO351:$IH351,1+SwaptionShift):INDEX($FO351:$IH351,SwaptionMonthsToGo+SwaptionShift))*SUM(INDEX($FO$325:$IH$396,GH$169,1+SwaptionShift):INDEX($FO$325:$IH$396,GH$169,SwaptionMonthsToGo+SwaptionShift))))))</f>
        <v/>
      </c>
      <c r="GI196" s="469" t="str">
        <f ca="1">IF(OR(GI$169&lt;SwaptionFirstMonthPosition+1,$FN196&lt;SwaptionFirstMonthPosition+1,GI$169&gt;SwaptionFirstMonthPosition+SwaptionNumOfMonths+1,$FN196&gt;SwaptionFirstMonthPosition+SwaptionNumOfMonths+1),"",IF($FN196=GI$169,1,IF($FN196&lt;GI$169,INDEX($FO$170:$IH$241,GI$169,$FN196),SUMPRODUCT(INDEX($FO$325:$IH$396,GI$169,1+SwaptionShift):INDEX($FO$325:$IH$396,GI$169,SwaptionMonthsToGo+SwaptionShift),INDEX($FO$245:$IH$316,$FN196-GI$169,73-GI$169+SwaptionShift):INDEX($FO$245:$IH$316,$FN196-GI$169,72-GI$169+SwaptionMonthsToGo+SwaptionShift))/SQRT(SUM(INDEX($FO351:$IH351,1+SwaptionShift):INDEX($FO351:$IH351,SwaptionMonthsToGo+SwaptionShift))*SUM(INDEX($FO$325:$IH$396,GI$169,1+SwaptionShift):INDEX($FO$325:$IH$396,GI$169,SwaptionMonthsToGo+SwaptionShift))))))</f>
        <v/>
      </c>
      <c r="GJ196" s="469" t="str">
        <f ca="1">IF(OR(GJ$169&lt;SwaptionFirstMonthPosition+1,$FN196&lt;SwaptionFirstMonthPosition+1,GJ$169&gt;SwaptionFirstMonthPosition+SwaptionNumOfMonths+1,$FN196&gt;SwaptionFirstMonthPosition+SwaptionNumOfMonths+1),"",IF($FN196=GJ$169,1,IF($FN196&lt;GJ$169,INDEX($FO$170:$IH$241,GJ$169,$FN196),SUMPRODUCT(INDEX($FO$325:$IH$396,GJ$169,1+SwaptionShift):INDEX($FO$325:$IH$396,GJ$169,SwaptionMonthsToGo+SwaptionShift),INDEX($FO$245:$IH$316,$FN196-GJ$169,73-GJ$169+SwaptionShift):INDEX($FO$245:$IH$316,$FN196-GJ$169,72-GJ$169+SwaptionMonthsToGo+SwaptionShift))/SQRT(SUM(INDEX($FO351:$IH351,1+SwaptionShift):INDEX($FO351:$IH351,SwaptionMonthsToGo+SwaptionShift))*SUM(INDEX($FO$325:$IH$396,GJ$169,1+SwaptionShift):INDEX($FO$325:$IH$396,GJ$169,SwaptionMonthsToGo+SwaptionShift))))))</f>
        <v/>
      </c>
      <c r="GK196" s="469" t="str">
        <f ca="1">IF(OR(GK$169&lt;SwaptionFirstMonthPosition+1,$FN196&lt;SwaptionFirstMonthPosition+1,GK$169&gt;SwaptionFirstMonthPosition+SwaptionNumOfMonths+1,$FN196&gt;SwaptionFirstMonthPosition+SwaptionNumOfMonths+1),"",IF($FN196=GK$169,1,IF($FN196&lt;GK$169,INDEX($FO$170:$IH$241,GK$169,$FN196),SUMPRODUCT(INDEX($FO$325:$IH$396,GK$169,1+SwaptionShift):INDEX($FO$325:$IH$396,GK$169,SwaptionMonthsToGo+SwaptionShift),INDEX($FO$245:$IH$316,$FN196-GK$169,73-GK$169+SwaptionShift):INDEX($FO$245:$IH$316,$FN196-GK$169,72-GK$169+SwaptionMonthsToGo+SwaptionShift))/SQRT(SUM(INDEX($FO351:$IH351,1+SwaptionShift):INDEX($FO351:$IH351,SwaptionMonthsToGo+SwaptionShift))*SUM(INDEX($FO$325:$IH$396,GK$169,1+SwaptionShift):INDEX($FO$325:$IH$396,GK$169,SwaptionMonthsToGo+SwaptionShift))))))</f>
        <v/>
      </c>
      <c r="GL196" s="469" t="str">
        <f ca="1">IF(OR(GL$169&lt;SwaptionFirstMonthPosition+1,$FN196&lt;SwaptionFirstMonthPosition+1,GL$169&gt;SwaptionFirstMonthPosition+SwaptionNumOfMonths+1,$FN196&gt;SwaptionFirstMonthPosition+SwaptionNumOfMonths+1),"",IF($FN196=GL$169,1,IF($FN196&lt;GL$169,INDEX($FO$170:$IH$241,GL$169,$FN196),SUMPRODUCT(INDEX($FO$325:$IH$396,GL$169,1+SwaptionShift):INDEX($FO$325:$IH$396,GL$169,SwaptionMonthsToGo+SwaptionShift),INDEX($FO$245:$IH$316,$FN196-GL$169,73-GL$169+SwaptionShift):INDEX($FO$245:$IH$316,$FN196-GL$169,72-GL$169+SwaptionMonthsToGo+SwaptionShift))/SQRT(SUM(INDEX($FO351:$IH351,1+SwaptionShift):INDEX($FO351:$IH351,SwaptionMonthsToGo+SwaptionShift))*SUM(INDEX($FO$325:$IH$396,GL$169,1+SwaptionShift):INDEX($FO$325:$IH$396,GL$169,SwaptionMonthsToGo+SwaptionShift))))))</f>
        <v/>
      </c>
      <c r="GM196" s="469" t="str">
        <f ca="1">IF(OR(GM$169&lt;SwaptionFirstMonthPosition+1,$FN196&lt;SwaptionFirstMonthPosition+1,GM$169&gt;SwaptionFirstMonthPosition+SwaptionNumOfMonths+1,$FN196&gt;SwaptionFirstMonthPosition+SwaptionNumOfMonths+1),"",IF($FN196=GM$169,1,IF($FN196&lt;GM$169,INDEX($FO$170:$IH$241,GM$169,$FN196),SUMPRODUCT(INDEX($FO$325:$IH$396,GM$169,1+SwaptionShift):INDEX($FO$325:$IH$396,GM$169,SwaptionMonthsToGo+SwaptionShift),INDEX($FO$245:$IH$316,$FN196-GM$169,73-GM$169+SwaptionShift):INDEX($FO$245:$IH$316,$FN196-GM$169,72-GM$169+SwaptionMonthsToGo+SwaptionShift))/SQRT(SUM(INDEX($FO351:$IH351,1+SwaptionShift):INDEX($FO351:$IH351,SwaptionMonthsToGo+SwaptionShift))*SUM(INDEX($FO$325:$IH$396,GM$169,1+SwaptionShift):INDEX($FO$325:$IH$396,GM$169,SwaptionMonthsToGo+SwaptionShift))))))</f>
        <v/>
      </c>
      <c r="GN196" s="469" t="str">
        <f ca="1">IF(OR(GN$169&lt;SwaptionFirstMonthPosition+1,$FN196&lt;SwaptionFirstMonthPosition+1,GN$169&gt;SwaptionFirstMonthPosition+SwaptionNumOfMonths+1,$FN196&gt;SwaptionFirstMonthPosition+SwaptionNumOfMonths+1),"",IF($FN196=GN$169,1,IF($FN196&lt;GN$169,INDEX($FO$170:$IH$241,GN$169,$FN196),SUMPRODUCT(INDEX($FO$325:$IH$396,GN$169,1+SwaptionShift):INDEX($FO$325:$IH$396,GN$169,SwaptionMonthsToGo+SwaptionShift),INDEX($FO$245:$IH$316,$FN196-GN$169,73-GN$169+SwaptionShift):INDEX($FO$245:$IH$316,$FN196-GN$169,72-GN$169+SwaptionMonthsToGo+SwaptionShift))/SQRT(SUM(INDEX($FO351:$IH351,1+SwaptionShift):INDEX($FO351:$IH351,SwaptionMonthsToGo+SwaptionShift))*SUM(INDEX($FO$325:$IH$396,GN$169,1+SwaptionShift):INDEX($FO$325:$IH$396,GN$169,SwaptionMonthsToGo+SwaptionShift))))))</f>
        <v/>
      </c>
      <c r="GO196" s="469" t="str">
        <f ca="1">IF(OR(GO$169&lt;SwaptionFirstMonthPosition+1,$FN196&lt;SwaptionFirstMonthPosition+1,GO$169&gt;SwaptionFirstMonthPosition+SwaptionNumOfMonths+1,$FN196&gt;SwaptionFirstMonthPosition+SwaptionNumOfMonths+1),"",IF($FN196=GO$169,1,IF($FN196&lt;GO$169,INDEX($FO$170:$IH$241,GO$169,$FN196),SUMPRODUCT(INDEX($FO$325:$IH$396,GO$169,1+SwaptionShift):INDEX($FO$325:$IH$396,GO$169,SwaptionMonthsToGo+SwaptionShift),INDEX($FO$245:$IH$316,$FN196-GO$169,73-GO$169+SwaptionShift):INDEX($FO$245:$IH$316,$FN196-GO$169,72-GO$169+SwaptionMonthsToGo+SwaptionShift))/SQRT(SUM(INDEX($FO351:$IH351,1+SwaptionShift):INDEX($FO351:$IH351,SwaptionMonthsToGo+SwaptionShift))*SUM(INDEX($FO$325:$IH$396,GO$169,1+SwaptionShift):INDEX($FO$325:$IH$396,GO$169,SwaptionMonthsToGo+SwaptionShift))))))</f>
        <v/>
      </c>
      <c r="GP196" s="469" t="str">
        <f ca="1">IF(OR(GP$169&lt;SwaptionFirstMonthPosition+1,$FN196&lt;SwaptionFirstMonthPosition+1,GP$169&gt;SwaptionFirstMonthPosition+SwaptionNumOfMonths+1,$FN196&gt;SwaptionFirstMonthPosition+SwaptionNumOfMonths+1),"",IF($FN196=GP$169,1,IF($FN196&lt;GP$169,INDEX($FO$170:$IH$241,GP$169,$FN196),SUMPRODUCT(INDEX($FO$325:$IH$396,GP$169,1+SwaptionShift):INDEX($FO$325:$IH$396,GP$169,SwaptionMonthsToGo+SwaptionShift),INDEX($FO$245:$IH$316,$FN196-GP$169,73-GP$169+SwaptionShift):INDEX($FO$245:$IH$316,$FN196-GP$169,72-GP$169+SwaptionMonthsToGo+SwaptionShift))/SQRT(SUM(INDEX($FO351:$IH351,1+SwaptionShift):INDEX($FO351:$IH351,SwaptionMonthsToGo+SwaptionShift))*SUM(INDEX($FO$325:$IH$396,GP$169,1+SwaptionShift):INDEX($FO$325:$IH$396,GP$169,SwaptionMonthsToGo+SwaptionShift))))))</f>
        <v/>
      </c>
      <c r="GQ196" s="469" t="str">
        <f ca="1">IF(OR(GQ$169&lt;SwaptionFirstMonthPosition+1,$FN196&lt;SwaptionFirstMonthPosition+1,GQ$169&gt;SwaptionFirstMonthPosition+SwaptionNumOfMonths+1,$FN196&gt;SwaptionFirstMonthPosition+SwaptionNumOfMonths+1),"",IF($FN196=GQ$169,1,IF($FN196&lt;GQ$169,INDEX($FO$170:$IH$241,GQ$169,$FN196),SUMPRODUCT(INDEX($FO$325:$IH$396,GQ$169,1+SwaptionShift):INDEX($FO$325:$IH$396,GQ$169,SwaptionMonthsToGo+SwaptionShift),INDEX($FO$245:$IH$316,$FN196-GQ$169,73-GQ$169+SwaptionShift):INDEX($FO$245:$IH$316,$FN196-GQ$169,72-GQ$169+SwaptionMonthsToGo+SwaptionShift))/SQRT(SUM(INDEX($FO351:$IH351,1+SwaptionShift):INDEX($FO351:$IH351,SwaptionMonthsToGo+SwaptionShift))*SUM(INDEX($FO$325:$IH$396,GQ$169,1+SwaptionShift):INDEX($FO$325:$IH$396,GQ$169,SwaptionMonthsToGo+SwaptionShift))))))</f>
        <v/>
      </c>
      <c r="GR196" s="469" t="str">
        <f ca="1">IF(OR(GR$169&lt;SwaptionFirstMonthPosition+1,$FN196&lt;SwaptionFirstMonthPosition+1,GR$169&gt;SwaptionFirstMonthPosition+SwaptionNumOfMonths+1,$FN196&gt;SwaptionFirstMonthPosition+SwaptionNumOfMonths+1),"",IF($FN196=GR$169,1,IF($FN196&lt;GR$169,INDEX($FO$170:$IH$241,GR$169,$FN196),SUMPRODUCT(INDEX($FO$325:$IH$396,GR$169,1+SwaptionShift):INDEX($FO$325:$IH$396,GR$169,SwaptionMonthsToGo+SwaptionShift),INDEX($FO$245:$IH$316,$FN196-GR$169,73-GR$169+SwaptionShift):INDEX($FO$245:$IH$316,$FN196-GR$169,72-GR$169+SwaptionMonthsToGo+SwaptionShift))/SQRT(SUM(INDEX($FO351:$IH351,1+SwaptionShift):INDEX($FO351:$IH351,SwaptionMonthsToGo+SwaptionShift))*SUM(INDEX($FO$325:$IH$396,GR$169,1+SwaptionShift):INDEX($FO$325:$IH$396,GR$169,SwaptionMonthsToGo+SwaptionShift))))))</f>
        <v/>
      </c>
      <c r="GS196" s="469" t="str">
        <f ca="1">IF(OR(GS$169&lt;SwaptionFirstMonthPosition+1,$FN196&lt;SwaptionFirstMonthPosition+1,GS$169&gt;SwaptionFirstMonthPosition+SwaptionNumOfMonths+1,$FN196&gt;SwaptionFirstMonthPosition+SwaptionNumOfMonths+1),"",IF($FN196=GS$169,1,IF($FN196&lt;GS$169,INDEX($FO$170:$IH$241,GS$169,$FN196),SUMPRODUCT(INDEX($FO$325:$IH$396,GS$169,1+SwaptionShift):INDEX($FO$325:$IH$396,GS$169,SwaptionMonthsToGo+SwaptionShift),INDEX($FO$245:$IH$316,$FN196-GS$169,73-GS$169+SwaptionShift):INDEX($FO$245:$IH$316,$FN196-GS$169,72-GS$169+SwaptionMonthsToGo+SwaptionShift))/SQRT(SUM(INDEX($FO351:$IH351,1+SwaptionShift):INDEX($FO351:$IH351,SwaptionMonthsToGo+SwaptionShift))*SUM(INDEX($FO$325:$IH$396,GS$169,1+SwaptionShift):INDEX($FO$325:$IH$396,GS$169,SwaptionMonthsToGo+SwaptionShift))))))</f>
        <v/>
      </c>
      <c r="GT196" s="469" t="str">
        <f ca="1">IF(OR(GT$169&lt;SwaptionFirstMonthPosition+1,$FN196&lt;SwaptionFirstMonthPosition+1,GT$169&gt;SwaptionFirstMonthPosition+SwaptionNumOfMonths+1,$FN196&gt;SwaptionFirstMonthPosition+SwaptionNumOfMonths+1),"",IF($FN196=GT$169,1,IF($FN196&lt;GT$169,INDEX($FO$170:$IH$241,GT$169,$FN196),SUMPRODUCT(INDEX($FO$325:$IH$396,GT$169,1+SwaptionShift):INDEX($FO$325:$IH$396,GT$169,SwaptionMonthsToGo+SwaptionShift),INDEX($FO$245:$IH$316,$FN196-GT$169,73-GT$169+SwaptionShift):INDEX($FO$245:$IH$316,$FN196-GT$169,72-GT$169+SwaptionMonthsToGo+SwaptionShift))/SQRT(SUM(INDEX($FO351:$IH351,1+SwaptionShift):INDEX($FO351:$IH351,SwaptionMonthsToGo+SwaptionShift))*SUM(INDEX($FO$325:$IH$396,GT$169,1+SwaptionShift):INDEX($FO$325:$IH$396,GT$169,SwaptionMonthsToGo+SwaptionShift))))))</f>
        <v/>
      </c>
      <c r="GU196" s="469" t="str">
        <f ca="1">IF(OR(GU$169&lt;SwaptionFirstMonthPosition+1,$FN196&lt;SwaptionFirstMonthPosition+1,GU$169&gt;SwaptionFirstMonthPosition+SwaptionNumOfMonths+1,$FN196&gt;SwaptionFirstMonthPosition+SwaptionNumOfMonths+1),"",IF($FN196=GU$169,1,IF($FN196&lt;GU$169,INDEX($FO$170:$IH$241,GU$169,$FN196),SUMPRODUCT(INDEX($FO$325:$IH$396,GU$169,1+SwaptionShift):INDEX($FO$325:$IH$396,GU$169,SwaptionMonthsToGo+SwaptionShift),INDEX($FO$245:$IH$316,$FN196-GU$169,73-GU$169+SwaptionShift):INDEX($FO$245:$IH$316,$FN196-GU$169,72-GU$169+SwaptionMonthsToGo+SwaptionShift))/SQRT(SUM(INDEX($FO351:$IH351,1+SwaptionShift):INDEX($FO351:$IH351,SwaptionMonthsToGo+SwaptionShift))*SUM(INDEX($FO$325:$IH$396,GU$169,1+SwaptionShift):INDEX($FO$325:$IH$396,GU$169,SwaptionMonthsToGo+SwaptionShift))))))</f>
        <v/>
      </c>
      <c r="GV196" s="469" t="str">
        <f ca="1">IF(OR(GV$169&lt;SwaptionFirstMonthPosition+1,$FN196&lt;SwaptionFirstMonthPosition+1,GV$169&gt;SwaptionFirstMonthPosition+SwaptionNumOfMonths+1,$FN196&gt;SwaptionFirstMonthPosition+SwaptionNumOfMonths+1),"",IF($FN196=GV$169,1,IF($FN196&lt;GV$169,INDEX($FO$170:$IH$241,GV$169,$FN196),SUMPRODUCT(INDEX($FO$325:$IH$396,GV$169,1+SwaptionShift):INDEX($FO$325:$IH$396,GV$169,SwaptionMonthsToGo+SwaptionShift),INDEX($FO$245:$IH$316,$FN196-GV$169,73-GV$169+SwaptionShift):INDEX($FO$245:$IH$316,$FN196-GV$169,72-GV$169+SwaptionMonthsToGo+SwaptionShift))/SQRT(SUM(INDEX($FO351:$IH351,1+SwaptionShift):INDEX($FO351:$IH351,SwaptionMonthsToGo+SwaptionShift))*SUM(INDEX($FO$325:$IH$396,GV$169,1+SwaptionShift):INDEX($FO$325:$IH$396,GV$169,SwaptionMonthsToGo+SwaptionShift))))))</f>
        <v/>
      </c>
      <c r="GW196" s="469" t="str">
        <f ca="1">IF(OR(GW$169&lt;SwaptionFirstMonthPosition+1,$FN196&lt;SwaptionFirstMonthPosition+1,GW$169&gt;SwaptionFirstMonthPosition+SwaptionNumOfMonths+1,$FN196&gt;SwaptionFirstMonthPosition+SwaptionNumOfMonths+1),"",IF($FN196=GW$169,1,IF($FN196&lt;GW$169,INDEX($FO$170:$IH$241,GW$169,$FN196),SUMPRODUCT(INDEX($FO$325:$IH$396,GW$169,1+SwaptionShift):INDEX($FO$325:$IH$396,GW$169,SwaptionMonthsToGo+SwaptionShift),INDEX($FO$245:$IH$316,$FN196-GW$169,73-GW$169+SwaptionShift):INDEX($FO$245:$IH$316,$FN196-GW$169,72-GW$169+SwaptionMonthsToGo+SwaptionShift))/SQRT(SUM(INDEX($FO351:$IH351,1+SwaptionShift):INDEX($FO351:$IH351,SwaptionMonthsToGo+SwaptionShift))*SUM(INDEX($FO$325:$IH$396,GW$169,1+SwaptionShift):INDEX($FO$325:$IH$396,GW$169,SwaptionMonthsToGo+SwaptionShift))))))</f>
        <v/>
      </c>
      <c r="GX196" s="469" t="str">
        <f ca="1">IF(OR(GX$169&lt;SwaptionFirstMonthPosition+1,$FN196&lt;SwaptionFirstMonthPosition+1,GX$169&gt;SwaptionFirstMonthPosition+SwaptionNumOfMonths+1,$FN196&gt;SwaptionFirstMonthPosition+SwaptionNumOfMonths+1),"",IF($FN196=GX$169,1,IF($FN196&lt;GX$169,INDEX($FO$170:$IH$241,GX$169,$FN196),SUMPRODUCT(INDEX($FO$325:$IH$396,GX$169,1+SwaptionShift):INDEX($FO$325:$IH$396,GX$169,SwaptionMonthsToGo+SwaptionShift),INDEX($FO$245:$IH$316,$FN196-GX$169,73-GX$169+SwaptionShift):INDEX($FO$245:$IH$316,$FN196-GX$169,72-GX$169+SwaptionMonthsToGo+SwaptionShift))/SQRT(SUM(INDEX($FO351:$IH351,1+SwaptionShift):INDEX($FO351:$IH351,SwaptionMonthsToGo+SwaptionShift))*SUM(INDEX($FO$325:$IH$396,GX$169,1+SwaptionShift):INDEX($FO$325:$IH$396,GX$169,SwaptionMonthsToGo+SwaptionShift))))))</f>
        <v/>
      </c>
      <c r="GY196" s="469" t="str">
        <f ca="1">IF(OR(GY$169&lt;SwaptionFirstMonthPosition+1,$FN196&lt;SwaptionFirstMonthPosition+1,GY$169&gt;SwaptionFirstMonthPosition+SwaptionNumOfMonths+1,$FN196&gt;SwaptionFirstMonthPosition+SwaptionNumOfMonths+1),"",IF($FN196=GY$169,1,IF($FN196&lt;GY$169,INDEX($FO$170:$IH$241,GY$169,$FN196),SUMPRODUCT(INDEX($FO$325:$IH$396,GY$169,1+SwaptionShift):INDEX($FO$325:$IH$396,GY$169,SwaptionMonthsToGo+SwaptionShift),INDEX($FO$245:$IH$316,$FN196-GY$169,73-GY$169+SwaptionShift):INDEX($FO$245:$IH$316,$FN196-GY$169,72-GY$169+SwaptionMonthsToGo+SwaptionShift))/SQRT(SUM(INDEX($FO351:$IH351,1+SwaptionShift):INDEX($FO351:$IH351,SwaptionMonthsToGo+SwaptionShift))*SUM(INDEX($FO$325:$IH$396,GY$169,1+SwaptionShift):INDEX($FO$325:$IH$396,GY$169,SwaptionMonthsToGo+SwaptionShift))))))</f>
        <v/>
      </c>
      <c r="GZ196" s="469" t="str">
        <f ca="1">IF(OR(GZ$169&lt;SwaptionFirstMonthPosition+1,$FN196&lt;SwaptionFirstMonthPosition+1,GZ$169&gt;SwaptionFirstMonthPosition+SwaptionNumOfMonths+1,$FN196&gt;SwaptionFirstMonthPosition+SwaptionNumOfMonths+1),"",IF($FN196=GZ$169,1,IF($FN196&lt;GZ$169,INDEX($FO$170:$IH$241,GZ$169,$FN196),SUMPRODUCT(INDEX($FO$325:$IH$396,GZ$169,1+SwaptionShift):INDEX($FO$325:$IH$396,GZ$169,SwaptionMonthsToGo+SwaptionShift),INDEX($FO$245:$IH$316,$FN196-GZ$169,73-GZ$169+SwaptionShift):INDEX($FO$245:$IH$316,$FN196-GZ$169,72-GZ$169+SwaptionMonthsToGo+SwaptionShift))/SQRT(SUM(INDEX($FO351:$IH351,1+SwaptionShift):INDEX($FO351:$IH351,SwaptionMonthsToGo+SwaptionShift))*SUM(INDEX($FO$325:$IH$396,GZ$169,1+SwaptionShift):INDEX($FO$325:$IH$396,GZ$169,SwaptionMonthsToGo+SwaptionShift))))))</f>
        <v/>
      </c>
      <c r="HA196" s="469" t="str">
        <f ca="1">IF(OR(HA$169&lt;SwaptionFirstMonthPosition+1,$FN196&lt;SwaptionFirstMonthPosition+1,HA$169&gt;SwaptionFirstMonthPosition+SwaptionNumOfMonths+1,$FN196&gt;SwaptionFirstMonthPosition+SwaptionNumOfMonths+1),"",IF($FN196=HA$169,1,IF($FN196&lt;HA$169,INDEX($FO$170:$IH$241,HA$169,$FN196),SUMPRODUCT(INDEX($FO$325:$IH$396,HA$169,1+SwaptionShift):INDEX($FO$325:$IH$396,HA$169,SwaptionMonthsToGo+SwaptionShift),INDEX($FO$245:$IH$316,$FN196-HA$169,73-HA$169+SwaptionShift):INDEX($FO$245:$IH$316,$FN196-HA$169,72-HA$169+SwaptionMonthsToGo+SwaptionShift))/SQRT(SUM(INDEX($FO351:$IH351,1+SwaptionShift):INDEX($FO351:$IH351,SwaptionMonthsToGo+SwaptionShift))*SUM(INDEX($FO$325:$IH$396,HA$169,1+SwaptionShift):INDEX($FO$325:$IH$396,HA$169,SwaptionMonthsToGo+SwaptionShift))))))</f>
        <v/>
      </c>
      <c r="HB196" s="469" t="str">
        <f ca="1">IF(OR(HB$169&lt;SwaptionFirstMonthPosition+1,$FN196&lt;SwaptionFirstMonthPosition+1,HB$169&gt;SwaptionFirstMonthPosition+SwaptionNumOfMonths+1,$FN196&gt;SwaptionFirstMonthPosition+SwaptionNumOfMonths+1),"",IF($FN196=HB$169,1,IF($FN196&lt;HB$169,INDEX($FO$170:$IH$241,HB$169,$FN196),SUMPRODUCT(INDEX($FO$325:$IH$396,HB$169,1+SwaptionShift):INDEX($FO$325:$IH$396,HB$169,SwaptionMonthsToGo+SwaptionShift),INDEX($FO$245:$IH$316,$FN196-HB$169,73-HB$169+SwaptionShift):INDEX($FO$245:$IH$316,$FN196-HB$169,72-HB$169+SwaptionMonthsToGo+SwaptionShift))/SQRT(SUM(INDEX($FO351:$IH351,1+SwaptionShift):INDEX($FO351:$IH351,SwaptionMonthsToGo+SwaptionShift))*SUM(INDEX($FO$325:$IH$396,HB$169,1+SwaptionShift):INDEX($FO$325:$IH$396,HB$169,SwaptionMonthsToGo+SwaptionShift))))))</f>
        <v/>
      </c>
      <c r="HC196" s="469" t="str">
        <f ca="1">IF(OR(HC$169&lt;SwaptionFirstMonthPosition+1,$FN196&lt;SwaptionFirstMonthPosition+1,HC$169&gt;SwaptionFirstMonthPosition+SwaptionNumOfMonths+1,$FN196&gt;SwaptionFirstMonthPosition+SwaptionNumOfMonths+1),"",IF($FN196=HC$169,1,IF($FN196&lt;HC$169,INDEX($FO$170:$IH$241,HC$169,$FN196),SUMPRODUCT(INDEX($FO$325:$IH$396,HC$169,1+SwaptionShift):INDEX($FO$325:$IH$396,HC$169,SwaptionMonthsToGo+SwaptionShift),INDEX($FO$245:$IH$316,$FN196-HC$169,73-HC$169+SwaptionShift):INDEX($FO$245:$IH$316,$FN196-HC$169,72-HC$169+SwaptionMonthsToGo+SwaptionShift))/SQRT(SUM(INDEX($FO351:$IH351,1+SwaptionShift):INDEX($FO351:$IH351,SwaptionMonthsToGo+SwaptionShift))*SUM(INDEX($FO$325:$IH$396,HC$169,1+SwaptionShift):INDEX($FO$325:$IH$396,HC$169,SwaptionMonthsToGo+SwaptionShift))))))</f>
        <v/>
      </c>
      <c r="HD196" s="469" t="str">
        <f ca="1">IF(OR(HD$169&lt;SwaptionFirstMonthPosition+1,$FN196&lt;SwaptionFirstMonthPosition+1,HD$169&gt;SwaptionFirstMonthPosition+SwaptionNumOfMonths+1,$FN196&gt;SwaptionFirstMonthPosition+SwaptionNumOfMonths+1),"",IF($FN196=HD$169,1,IF($FN196&lt;HD$169,INDEX($FO$170:$IH$241,HD$169,$FN196),SUMPRODUCT(INDEX($FO$325:$IH$396,HD$169,1+SwaptionShift):INDEX($FO$325:$IH$396,HD$169,SwaptionMonthsToGo+SwaptionShift),INDEX($FO$245:$IH$316,$FN196-HD$169,73-HD$169+SwaptionShift):INDEX($FO$245:$IH$316,$FN196-HD$169,72-HD$169+SwaptionMonthsToGo+SwaptionShift))/SQRT(SUM(INDEX($FO351:$IH351,1+SwaptionShift):INDEX($FO351:$IH351,SwaptionMonthsToGo+SwaptionShift))*SUM(INDEX($FO$325:$IH$396,HD$169,1+SwaptionShift):INDEX($FO$325:$IH$396,HD$169,SwaptionMonthsToGo+SwaptionShift))))))</f>
        <v/>
      </c>
      <c r="HE196" s="469" t="str">
        <f ca="1">IF(OR(HE$169&lt;SwaptionFirstMonthPosition+1,$FN196&lt;SwaptionFirstMonthPosition+1,HE$169&gt;SwaptionFirstMonthPosition+SwaptionNumOfMonths+1,$FN196&gt;SwaptionFirstMonthPosition+SwaptionNumOfMonths+1),"",IF($FN196=HE$169,1,IF($FN196&lt;HE$169,INDEX($FO$170:$IH$241,HE$169,$FN196),SUMPRODUCT(INDEX($FO$325:$IH$396,HE$169,1+SwaptionShift):INDEX($FO$325:$IH$396,HE$169,SwaptionMonthsToGo+SwaptionShift),INDEX($FO$245:$IH$316,$FN196-HE$169,73-HE$169+SwaptionShift):INDEX($FO$245:$IH$316,$FN196-HE$169,72-HE$169+SwaptionMonthsToGo+SwaptionShift))/SQRT(SUM(INDEX($FO351:$IH351,1+SwaptionShift):INDEX($FO351:$IH351,SwaptionMonthsToGo+SwaptionShift))*SUM(INDEX($FO$325:$IH$396,HE$169,1+SwaptionShift):INDEX($FO$325:$IH$396,HE$169,SwaptionMonthsToGo+SwaptionShift))))))</f>
        <v/>
      </c>
      <c r="HF196" s="469" t="str">
        <f ca="1">IF(OR(HF$169&lt;SwaptionFirstMonthPosition+1,$FN196&lt;SwaptionFirstMonthPosition+1,HF$169&gt;SwaptionFirstMonthPosition+SwaptionNumOfMonths+1,$FN196&gt;SwaptionFirstMonthPosition+SwaptionNumOfMonths+1),"",IF($FN196=HF$169,1,IF($FN196&lt;HF$169,INDEX($FO$170:$IH$241,HF$169,$FN196),SUMPRODUCT(INDEX($FO$325:$IH$396,HF$169,1+SwaptionShift):INDEX($FO$325:$IH$396,HF$169,SwaptionMonthsToGo+SwaptionShift),INDEX($FO$245:$IH$316,$FN196-HF$169,73-HF$169+SwaptionShift):INDEX($FO$245:$IH$316,$FN196-HF$169,72-HF$169+SwaptionMonthsToGo+SwaptionShift))/SQRT(SUM(INDEX($FO351:$IH351,1+SwaptionShift):INDEX($FO351:$IH351,SwaptionMonthsToGo+SwaptionShift))*SUM(INDEX($FO$325:$IH$396,HF$169,1+SwaptionShift):INDEX($FO$325:$IH$396,HF$169,SwaptionMonthsToGo+SwaptionShift))))))</f>
        <v/>
      </c>
      <c r="HG196" s="469" t="str">
        <f ca="1">IF(OR(HG$169&lt;SwaptionFirstMonthPosition+1,$FN196&lt;SwaptionFirstMonthPosition+1,HG$169&gt;SwaptionFirstMonthPosition+SwaptionNumOfMonths+1,$FN196&gt;SwaptionFirstMonthPosition+SwaptionNumOfMonths+1),"",IF($FN196=HG$169,1,IF($FN196&lt;HG$169,INDEX($FO$170:$IH$241,HG$169,$FN196),SUMPRODUCT(INDEX($FO$325:$IH$396,HG$169,1+SwaptionShift):INDEX($FO$325:$IH$396,HG$169,SwaptionMonthsToGo+SwaptionShift),INDEX($FO$245:$IH$316,$FN196-HG$169,73-HG$169+SwaptionShift):INDEX($FO$245:$IH$316,$FN196-HG$169,72-HG$169+SwaptionMonthsToGo+SwaptionShift))/SQRT(SUM(INDEX($FO351:$IH351,1+SwaptionShift):INDEX($FO351:$IH351,SwaptionMonthsToGo+SwaptionShift))*SUM(INDEX($FO$325:$IH$396,HG$169,1+SwaptionShift):INDEX($FO$325:$IH$396,HG$169,SwaptionMonthsToGo+SwaptionShift))))))</f>
        <v/>
      </c>
      <c r="HH196" s="469" t="str">
        <f ca="1">IF(OR(HH$169&lt;SwaptionFirstMonthPosition+1,$FN196&lt;SwaptionFirstMonthPosition+1,HH$169&gt;SwaptionFirstMonthPosition+SwaptionNumOfMonths+1,$FN196&gt;SwaptionFirstMonthPosition+SwaptionNumOfMonths+1),"",IF($FN196=HH$169,1,IF($FN196&lt;HH$169,INDEX($FO$170:$IH$241,HH$169,$FN196),SUMPRODUCT(INDEX($FO$325:$IH$396,HH$169,1+SwaptionShift):INDEX($FO$325:$IH$396,HH$169,SwaptionMonthsToGo+SwaptionShift),INDEX($FO$245:$IH$316,$FN196-HH$169,73-HH$169+SwaptionShift):INDEX($FO$245:$IH$316,$FN196-HH$169,72-HH$169+SwaptionMonthsToGo+SwaptionShift))/SQRT(SUM(INDEX($FO351:$IH351,1+SwaptionShift):INDEX($FO351:$IH351,SwaptionMonthsToGo+SwaptionShift))*SUM(INDEX($FO$325:$IH$396,HH$169,1+SwaptionShift):INDEX($FO$325:$IH$396,HH$169,SwaptionMonthsToGo+SwaptionShift))))))</f>
        <v/>
      </c>
      <c r="HI196" s="469" t="str">
        <f ca="1">IF(OR(HI$169&lt;SwaptionFirstMonthPosition+1,$FN196&lt;SwaptionFirstMonthPosition+1,HI$169&gt;SwaptionFirstMonthPosition+SwaptionNumOfMonths+1,$FN196&gt;SwaptionFirstMonthPosition+SwaptionNumOfMonths+1),"",IF($FN196=HI$169,1,IF($FN196&lt;HI$169,INDEX($FO$170:$IH$241,HI$169,$FN196),SUMPRODUCT(INDEX($FO$325:$IH$396,HI$169,1+SwaptionShift):INDEX($FO$325:$IH$396,HI$169,SwaptionMonthsToGo+SwaptionShift),INDEX($FO$245:$IH$316,$FN196-HI$169,73-HI$169+SwaptionShift):INDEX($FO$245:$IH$316,$FN196-HI$169,72-HI$169+SwaptionMonthsToGo+SwaptionShift))/SQRT(SUM(INDEX($FO351:$IH351,1+SwaptionShift):INDEX($FO351:$IH351,SwaptionMonthsToGo+SwaptionShift))*SUM(INDEX($FO$325:$IH$396,HI$169,1+SwaptionShift):INDEX($FO$325:$IH$396,HI$169,SwaptionMonthsToGo+SwaptionShift))))))</f>
        <v/>
      </c>
      <c r="HJ196" s="469" t="str">
        <f ca="1">IF(OR(HJ$169&lt;SwaptionFirstMonthPosition+1,$FN196&lt;SwaptionFirstMonthPosition+1,HJ$169&gt;SwaptionFirstMonthPosition+SwaptionNumOfMonths+1,$FN196&gt;SwaptionFirstMonthPosition+SwaptionNumOfMonths+1),"",IF($FN196=HJ$169,1,IF($FN196&lt;HJ$169,INDEX($FO$170:$IH$241,HJ$169,$FN196),SUMPRODUCT(INDEX($FO$325:$IH$396,HJ$169,1+SwaptionShift):INDEX($FO$325:$IH$396,HJ$169,SwaptionMonthsToGo+SwaptionShift),INDEX($FO$245:$IH$316,$FN196-HJ$169,73-HJ$169+SwaptionShift):INDEX($FO$245:$IH$316,$FN196-HJ$169,72-HJ$169+SwaptionMonthsToGo+SwaptionShift))/SQRT(SUM(INDEX($FO351:$IH351,1+SwaptionShift):INDEX($FO351:$IH351,SwaptionMonthsToGo+SwaptionShift))*SUM(INDEX($FO$325:$IH$396,HJ$169,1+SwaptionShift):INDEX($FO$325:$IH$396,HJ$169,SwaptionMonthsToGo+SwaptionShift))))))</f>
        <v/>
      </c>
      <c r="HK196" s="469" t="str">
        <f ca="1">IF(OR(HK$169&lt;SwaptionFirstMonthPosition+1,$FN196&lt;SwaptionFirstMonthPosition+1,HK$169&gt;SwaptionFirstMonthPosition+SwaptionNumOfMonths+1,$FN196&gt;SwaptionFirstMonthPosition+SwaptionNumOfMonths+1),"",IF($FN196=HK$169,1,IF($FN196&lt;HK$169,INDEX($FO$170:$IH$241,HK$169,$FN196),SUMPRODUCT(INDEX($FO$325:$IH$396,HK$169,1+SwaptionShift):INDEX($FO$325:$IH$396,HK$169,SwaptionMonthsToGo+SwaptionShift),INDEX($FO$245:$IH$316,$FN196-HK$169,73-HK$169+SwaptionShift):INDEX($FO$245:$IH$316,$FN196-HK$169,72-HK$169+SwaptionMonthsToGo+SwaptionShift))/SQRT(SUM(INDEX($FO351:$IH351,1+SwaptionShift):INDEX($FO351:$IH351,SwaptionMonthsToGo+SwaptionShift))*SUM(INDEX($FO$325:$IH$396,HK$169,1+SwaptionShift):INDEX($FO$325:$IH$396,HK$169,SwaptionMonthsToGo+SwaptionShift))))))</f>
        <v/>
      </c>
      <c r="HL196" s="469" t="str">
        <f ca="1">IF(OR(HL$169&lt;SwaptionFirstMonthPosition+1,$FN196&lt;SwaptionFirstMonthPosition+1,HL$169&gt;SwaptionFirstMonthPosition+SwaptionNumOfMonths+1,$FN196&gt;SwaptionFirstMonthPosition+SwaptionNumOfMonths+1),"",IF($FN196=HL$169,1,IF($FN196&lt;HL$169,INDEX($FO$170:$IH$241,HL$169,$FN196),SUMPRODUCT(INDEX($FO$325:$IH$396,HL$169,1+SwaptionShift):INDEX($FO$325:$IH$396,HL$169,SwaptionMonthsToGo+SwaptionShift),INDEX($FO$245:$IH$316,$FN196-HL$169,73-HL$169+SwaptionShift):INDEX($FO$245:$IH$316,$FN196-HL$169,72-HL$169+SwaptionMonthsToGo+SwaptionShift))/SQRT(SUM(INDEX($FO351:$IH351,1+SwaptionShift):INDEX($FO351:$IH351,SwaptionMonthsToGo+SwaptionShift))*SUM(INDEX($FO$325:$IH$396,HL$169,1+SwaptionShift):INDEX($FO$325:$IH$396,HL$169,SwaptionMonthsToGo+SwaptionShift))))))</f>
        <v/>
      </c>
      <c r="HM196" s="469" t="str">
        <f ca="1">IF(OR(HM$169&lt;SwaptionFirstMonthPosition+1,$FN196&lt;SwaptionFirstMonthPosition+1,HM$169&gt;SwaptionFirstMonthPosition+SwaptionNumOfMonths+1,$FN196&gt;SwaptionFirstMonthPosition+SwaptionNumOfMonths+1),"",IF($FN196=HM$169,1,IF($FN196&lt;HM$169,INDEX($FO$170:$IH$241,HM$169,$FN196),SUMPRODUCT(INDEX($FO$325:$IH$396,HM$169,1+SwaptionShift):INDEX($FO$325:$IH$396,HM$169,SwaptionMonthsToGo+SwaptionShift),INDEX($FO$245:$IH$316,$FN196-HM$169,73-HM$169+SwaptionShift):INDEX($FO$245:$IH$316,$FN196-HM$169,72-HM$169+SwaptionMonthsToGo+SwaptionShift))/SQRT(SUM(INDEX($FO351:$IH351,1+SwaptionShift):INDEX($FO351:$IH351,SwaptionMonthsToGo+SwaptionShift))*SUM(INDEX($FO$325:$IH$396,HM$169,1+SwaptionShift):INDEX($FO$325:$IH$396,HM$169,SwaptionMonthsToGo+SwaptionShift))))))</f>
        <v/>
      </c>
      <c r="HN196" s="469" t="str">
        <f ca="1">IF(OR(HN$169&lt;SwaptionFirstMonthPosition+1,$FN196&lt;SwaptionFirstMonthPosition+1,HN$169&gt;SwaptionFirstMonthPosition+SwaptionNumOfMonths+1,$FN196&gt;SwaptionFirstMonthPosition+SwaptionNumOfMonths+1),"",IF($FN196=HN$169,1,IF($FN196&lt;HN$169,INDEX($FO$170:$IH$241,HN$169,$FN196),SUMPRODUCT(INDEX($FO$325:$IH$396,HN$169,1+SwaptionShift):INDEX($FO$325:$IH$396,HN$169,SwaptionMonthsToGo+SwaptionShift),INDEX($FO$245:$IH$316,$FN196-HN$169,73-HN$169+SwaptionShift):INDEX($FO$245:$IH$316,$FN196-HN$169,72-HN$169+SwaptionMonthsToGo+SwaptionShift))/SQRT(SUM(INDEX($FO351:$IH351,1+SwaptionShift):INDEX($FO351:$IH351,SwaptionMonthsToGo+SwaptionShift))*SUM(INDEX($FO$325:$IH$396,HN$169,1+SwaptionShift):INDEX($FO$325:$IH$396,HN$169,SwaptionMonthsToGo+SwaptionShift))))))</f>
        <v/>
      </c>
      <c r="HO196" s="469" t="str">
        <f ca="1">IF(OR(HO$169&lt;SwaptionFirstMonthPosition+1,$FN196&lt;SwaptionFirstMonthPosition+1,HO$169&gt;SwaptionFirstMonthPosition+SwaptionNumOfMonths+1,$FN196&gt;SwaptionFirstMonthPosition+SwaptionNumOfMonths+1),"",IF($FN196=HO$169,1,IF($FN196&lt;HO$169,INDEX($FO$170:$IH$241,HO$169,$FN196),SUMPRODUCT(INDEX($FO$325:$IH$396,HO$169,1+SwaptionShift):INDEX($FO$325:$IH$396,HO$169,SwaptionMonthsToGo+SwaptionShift),INDEX($FO$245:$IH$316,$FN196-HO$169,73-HO$169+SwaptionShift):INDEX($FO$245:$IH$316,$FN196-HO$169,72-HO$169+SwaptionMonthsToGo+SwaptionShift))/SQRT(SUM(INDEX($FO351:$IH351,1+SwaptionShift):INDEX($FO351:$IH351,SwaptionMonthsToGo+SwaptionShift))*SUM(INDEX($FO$325:$IH$396,HO$169,1+SwaptionShift):INDEX($FO$325:$IH$396,HO$169,SwaptionMonthsToGo+SwaptionShift))))))</f>
        <v/>
      </c>
      <c r="HP196" s="469" t="str">
        <f ca="1">IF(OR(HP$169&lt;SwaptionFirstMonthPosition+1,$FN196&lt;SwaptionFirstMonthPosition+1,HP$169&gt;SwaptionFirstMonthPosition+SwaptionNumOfMonths+1,$FN196&gt;SwaptionFirstMonthPosition+SwaptionNumOfMonths+1),"",IF($FN196=HP$169,1,IF($FN196&lt;HP$169,INDEX($FO$170:$IH$241,HP$169,$FN196),SUMPRODUCT(INDEX($FO$325:$IH$396,HP$169,1+SwaptionShift):INDEX($FO$325:$IH$396,HP$169,SwaptionMonthsToGo+SwaptionShift),INDEX($FO$245:$IH$316,$FN196-HP$169,73-HP$169+SwaptionShift):INDEX($FO$245:$IH$316,$FN196-HP$169,72-HP$169+SwaptionMonthsToGo+SwaptionShift))/SQRT(SUM(INDEX($FO351:$IH351,1+SwaptionShift):INDEX($FO351:$IH351,SwaptionMonthsToGo+SwaptionShift))*SUM(INDEX($FO$325:$IH$396,HP$169,1+SwaptionShift):INDEX($FO$325:$IH$396,HP$169,SwaptionMonthsToGo+SwaptionShift))))))</f>
        <v/>
      </c>
      <c r="HQ196" s="469" t="str">
        <f ca="1">IF(OR(HQ$169&lt;SwaptionFirstMonthPosition+1,$FN196&lt;SwaptionFirstMonthPosition+1,HQ$169&gt;SwaptionFirstMonthPosition+SwaptionNumOfMonths+1,$FN196&gt;SwaptionFirstMonthPosition+SwaptionNumOfMonths+1),"",IF($FN196=HQ$169,1,IF($FN196&lt;HQ$169,INDEX($FO$170:$IH$241,HQ$169,$FN196),SUMPRODUCT(INDEX($FO$325:$IH$396,HQ$169,1+SwaptionShift):INDEX($FO$325:$IH$396,HQ$169,SwaptionMonthsToGo+SwaptionShift),INDEX($FO$245:$IH$316,$FN196-HQ$169,73-HQ$169+SwaptionShift):INDEX($FO$245:$IH$316,$FN196-HQ$169,72-HQ$169+SwaptionMonthsToGo+SwaptionShift))/SQRT(SUM(INDEX($FO351:$IH351,1+SwaptionShift):INDEX($FO351:$IH351,SwaptionMonthsToGo+SwaptionShift))*SUM(INDEX($FO$325:$IH$396,HQ$169,1+SwaptionShift):INDEX($FO$325:$IH$396,HQ$169,SwaptionMonthsToGo+SwaptionShift))))))</f>
        <v/>
      </c>
      <c r="HR196" s="469" t="str">
        <f ca="1">IF(OR(HR$169&lt;SwaptionFirstMonthPosition+1,$FN196&lt;SwaptionFirstMonthPosition+1,HR$169&gt;SwaptionFirstMonthPosition+SwaptionNumOfMonths+1,$FN196&gt;SwaptionFirstMonthPosition+SwaptionNumOfMonths+1),"",IF($FN196=HR$169,1,IF($FN196&lt;HR$169,INDEX($FO$170:$IH$241,HR$169,$FN196),SUMPRODUCT(INDEX($FO$325:$IH$396,HR$169,1+SwaptionShift):INDEX($FO$325:$IH$396,HR$169,SwaptionMonthsToGo+SwaptionShift),INDEX($FO$245:$IH$316,$FN196-HR$169,73-HR$169+SwaptionShift):INDEX($FO$245:$IH$316,$FN196-HR$169,72-HR$169+SwaptionMonthsToGo+SwaptionShift))/SQRT(SUM(INDEX($FO351:$IH351,1+SwaptionShift):INDEX($FO351:$IH351,SwaptionMonthsToGo+SwaptionShift))*SUM(INDEX($FO$325:$IH$396,HR$169,1+SwaptionShift):INDEX($FO$325:$IH$396,HR$169,SwaptionMonthsToGo+SwaptionShift))))))</f>
        <v/>
      </c>
      <c r="HS196" s="469" t="str">
        <f ca="1">IF(OR(HS$169&lt;SwaptionFirstMonthPosition+1,$FN196&lt;SwaptionFirstMonthPosition+1,HS$169&gt;SwaptionFirstMonthPosition+SwaptionNumOfMonths+1,$FN196&gt;SwaptionFirstMonthPosition+SwaptionNumOfMonths+1),"",IF($FN196=HS$169,1,IF($FN196&lt;HS$169,INDEX($FO$170:$IH$241,HS$169,$FN196),SUMPRODUCT(INDEX($FO$325:$IH$396,HS$169,1+SwaptionShift):INDEX($FO$325:$IH$396,HS$169,SwaptionMonthsToGo+SwaptionShift),INDEX($FO$245:$IH$316,$FN196-HS$169,73-HS$169+SwaptionShift):INDEX($FO$245:$IH$316,$FN196-HS$169,72-HS$169+SwaptionMonthsToGo+SwaptionShift))/SQRT(SUM(INDEX($FO351:$IH351,1+SwaptionShift):INDEX($FO351:$IH351,SwaptionMonthsToGo+SwaptionShift))*SUM(INDEX($FO$325:$IH$396,HS$169,1+SwaptionShift):INDEX($FO$325:$IH$396,HS$169,SwaptionMonthsToGo+SwaptionShift))))))</f>
        <v/>
      </c>
      <c r="HT196" s="469" t="str">
        <f ca="1">IF(OR(HT$169&lt;SwaptionFirstMonthPosition+1,$FN196&lt;SwaptionFirstMonthPosition+1,HT$169&gt;SwaptionFirstMonthPosition+SwaptionNumOfMonths+1,$FN196&gt;SwaptionFirstMonthPosition+SwaptionNumOfMonths+1),"",IF($FN196=HT$169,1,IF($FN196&lt;HT$169,INDEX($FO$170:$IH$241,HT$169,$FN196),SUMPRODUCT(INDEX($FO$325:$IH$396,HT$169,1+SwaptionShift):INDEX($FO$325:$IH$396,HT$169,SwaptionMonthsToGo+SwaptionShift),INDEX($FO$245:$IH$316,$FN196-HT$169,73-HT$169+SwaptionShift):INDEX($FO$245:$IH$316,$FN196-HT$169,72-HT$169+SwaptionMonthsToGo+SwaptionShift))/SQRT(SUM(INDEX($FO351:$IH351,1+SwaptionShift):INDEX($FO351:$IH351,SwaptionMonthsToGo+SwaptionShift))*SUM(INDEX($FO$325:$IH$396,HT$169,1+SwaptionShift):INDEX($FO$325:$IH$396,HT$169,SwaptionMonthsToGo+SwaptionShift))))))</f>
        <v/>
      </c>
      <c r="HU196" s="469" t="str">
        <f ca="1">IF(OR(HU$169&lt;SwaptionFirstMonthPosition+1,$FN196&lt;SwaptionFirstMonthPosition+1,HU$169&gt;SwaptionFirstMonthPosition+SwaptionNumOfMonths+1,$FN196&gt;SwaptionFirstMonthPosition+SwaptionNumOfMonths+1),"",IF($FN196=HU$169,1,IF($FN196&lt;HU$169,INDEX($FO$170:$IH$241,HU$169,$FN196),SUMPRODUCT(INDEX($FO$325:$IH$396,HU$169,1+SwaptionShift):INDEX($FO$325:$IH$396,HU$169,SwaptionMonthsToGo+SwaptionShift),INDEX($FO$245:$IH$316,$FN196-HU$169,73-HU$169+SwaptionShift):INDEX($FO$245:$IH$316,$FN196-HU$169,72-HU$169+SwaptionMonthsToGo+SwaptionShift))/SQRT(SUM(INDEX($FO351:$IH351,1+SwaptionShift):INDEX($FO351:$IH351,SwaptionMonthsToGo+SwaptionShift))*SUM(INDEX($FO$325:$IH$396,HU$169,1+SwaptionShift):INDEX($FO$325:$IH$396,HU$169,SwaptionMonthsToGo+SwaptionShift))))))</f>
        <v/>
      </c>
      <c r="HV196" s="469" t="str">
        <f ca="1">IF(OR(HV$169&lt;SwaptionFirstMonthPosition+1,$FN196&lt;SwaptionFirstMonthPosition+1,HV$169&gt;SwaptionFirstMonthPosition+SwaptionNumOfMonths+1,$FN196&gt;SwaptionFirstMonthPosition+SwaptionNumOfMonths+1),"",IF($FN196=HV$169,1,IF($FN196&lt;HV$169,INDEX($FO$170:$IH$241,HV$169,$FN196),SUMPRODUCT(INDEX($FO$325:$IH$396,HV$169,1+SwaptionShift):INDEX($FO$325:$IH$396,HV$169,SwaptionMonthsToGo+SwaptionShift),INDEX($FO$245:$IH$316,$FN196-HV$169,73-HV$169+SwaptionShift):INDEX($FO$245:$IH$316,$FN196-HV$169,72-HV$169+SwaptionMonthsToGo+SwaptionShift))/SQRT(SUM(INDEX($FO351:$IH351,1+SwaptionShift):INDEX($FO351:$IH351,SwaptionMonthsToGo+SwaptionShift))*SUM(INDEX($FO$325:$IH$396,HV$169,1+SwaptionShift):INDEX($FO$325:$IH$396,HV$169,SwaptionMonthsToGo+SwaptionShift))))))</f>
        <v/>
      </c>
      <c r="HW196" s="469" t="str">
        <f ca="1">IF(OR(HW$169&lt;SwaptionFirstMonthPosition+1,$FN196&lt;SwaptionFirstMonthPosition+1,HW$169&gt;SwaptionFirstMonthPosition+SwaptionNumOfMonths+1,$FN196&gt;SwaptionFirstMonthPosition+SwaptionNumOfMonths+1),"",IF($FN196=HW$169,1,IF($FN196&lt;HW$169,INDEX($FO$170:$IH$241,HW$169,$FN196),SUMPRODUCT(INDEX($FO$325:$IH$396,HW$169,1+SwaptionShift):INDEX($FO$325:$IH$396,HW$169,SwaptionMonthsToGo+SwaptionShift),INDEX($FO$245:$IH$316,$FN196-HW$169,73-HW$169+SwaptionShift):INDEX($FO$245:$IH$316,$FN196-HW$169,72-HW$169+SwaptionMonthsToGo+SwaptionShift))/SQRT(SUM(INDEX($FO351:$IH351,1+SwaptionShift):INDEX($FO351:$IH351,SwaptionMonthsToGo+SwaptionShift))*SUM(INDEX($FO$325:$IH$396,HW$169,1+SwaptionShift):INDEX($FO$325:$IH$396,HW$169,SwaptionMonthsToGo+SwaptionShift))))))</f>
        <v/>
      </c>
      <c r="HX196" s="469" t="str">
        <f ca="1">IF(OR(HX$169&lt;SwaptionFirstMonthPosition+1,$FN196&lt;SwaptionFirstMonthPosition+1,HX$169&gt;SwaptionFirstMonthPosition+SwaptionNumOfMonths+1,$FN196&gt;SwaptionFirstMonthPosition+SwaptionNumOfMonths+1),"",IF($FN196=HX$169,1,IF($FN196&lt;HX$169,INDEX($FO$170:$IH$241,HX$169,$FN196),SUMPRODUCT(INDEX($FO$325:$IH$396,HX$169,1+SwaptionShift):INDEX($FO$325:$IH$396,HX$169,SwaptionMonthsToGo+SwaptionShift),INDEX($FO$245:$IH$316,$FN196-HX$169,73-HX$169+SwaptionShift):INDEX($FO$245:$IH$316,$FN196-HX$169,72-HX$169+SwaptionMonthsToGo+SwaptionShift))/SQRT(SUM(INDEX($FO351:$IH351,1+SwaptionShift):INDEX($FO351:$IH351,SwaptionMonthsToGo+SwaptionShift))*SUM(INDEX($FO$325:$IH$396,HX$169,1+SwaptionShift):INDEX($FO$325:$IH$396,HX$169,SwaptionMonthsToGo+SwaptionShift))))))</f>
        <v/>
      </c>
      <c r="HY196" s="469" t="str">
        <f ca="1">IF(OR(HY$169&lt;SwaptionFirstMonthPosition+1,$FN196&lt;SwaptionFirstMonthPosition+1,HY$169&gt;SwaptionFirstMonthPosition+SwaptionNumOfMonths+1,$FN196&gt;SwaptionFirstMonthPosition+SwaptionNumOfMonths+1),"",IF($FN196=HY$169,1,IF($FN196&lt;HY$169,INDEX($FO$170:$IH$241,HY$169,$FN196),SUMPRODUCT(INDEX($FO$325:$IH$396,HY$169,1+SwaptionShift):INDEX($FO$325:$IH$396,HY$169,SwaptionMonthsToGo+SwaptionShift),INDEX($FO$245:$IH$316,$FN196-HY$169,73-HY$169+SwaptionShift):INDEX($FO$245:$IH$316,$FN196-HY$169,72-HY$169+SwaptionMonthsToGo+SwaptionShift))/SQRT(SUM(INDEX($FO351:$IH351,1+SwaptionShift):INDEX($FO351:$IH351,SwaptionMonthsToGo+SwaptionShift))*SUM(INDEX($FO$325:$IH$396,HY$169,1+SwaptionShift):INDEX($FO$325:$IH$396,HY$169,SwaptionMonthsToGo+SwaptionShift))))))</f>
        <v/>
      </c>
      <c r="HZ196" s="469" t="str">
        <f ca="1">IF(OR(HZ$169&lt;SwaptionFirstMonthPosition+1,$FN196&lt;SwaptionFirstMonthPosition+1,HZ$169&gt;SwaptionFirstMonthPosition+SwaptionNumOfMonths+1,$FN196&gt;SwaptionFirstMonthPosition+SwaptionNumOfMonths+1),"",IF($FN196=HZ$169,1,IF($FN196&lt;HZ$169,INDEX($FO$170:$IH$241,HZ$169,$FN196),SUMPRODUCT(INDEX($FO$325:$IH$396,HZ$169,1+SwaptionShift):INDEX($FO$325:$IH$396,HZ$169,SwaptionMonthsToGo+SwaptionShift),INDEX($FO$245:$IH$316,$FN196-HZ$169,73-HZ$169+SwaptionShift):INDEX($FO$245:$IH$316,$FN196-HZ$169,72-HZ$169+SwaptionMonthsToGo+SwaptionShift))/SQRT(SUM(INDEX($FO351:$IH351,1+SwaptionShift):INDEX($FO351:$IH351,SwaptionMonthsToGo+SwaptionShift))*SUM(INDEX($FO$325:$IH$396,HZ$169,1+SwaptionShift):INDEX($FO$325:$IH$396,HZ$169,SwaptionMonthsToGo+SwaptionShift))))))</f>
        <v/>
      </c>
      <c r="IA196" s="469" t="str">
        <f ca="1">IF(OR(IA$169&lt;SwaptionFirstMonthPosition+1,$FN196&lt;SwaptionFirstMonthPosition+1,IA$169&gt;SwaptionFirstMonthPosition+SwaptionNumOfMonths+1,$FN196&gt;SwaptionFirstMonthPosition+SwaptionNumOfMonths+1),"",IF($FN196=IA$169,1,IF($FN196&lt;IA$169,INDEX($FO$170:$IH$241,IA$169,$FN196),SUMPRODUCT(INDEX($FO$325:$IH$396,IA$169,1+SwaptionShift):INDEX($FO$325:$IH$396,IA$169,SwaptionMonthsToGo+SwaptionShift),INDEX($FO$245:$IH$316,$FN196-IA$169,73-IA$169+SwaptionShift):INDEX($FO$245:$IH$316,$FN196-IA$169,72-IA$169+SwaptionMonthsToGo+SwaptionShift))/SQRT(SUM(INDEX($FO351:$IH351,1+SwaptionShift):INDEX($FO351:$IH351,SwaptionMonthsToGo+SwaptionShift))*SUM(INDEX($FO$325:$IH$396,IA$169,1+SwaptionShift):INDEX($FO$325:$IH$396,IA$169,SwaptionMonthsToGo+SwaptionShift))))))</f>
        <v/>
      </c>
      <c r="IB196" s="469" t="str">
        <f ca="1">IF(OR(IB$169&lt;SwaptionFirstMonthPosition+1,$FN196&lt;SwaptionFirstMonthPosition+1,IB$169&gt;SwaptionFirstMonthPosition+SwaptionNumOfMonths+1,$FN196&gt;SwaptionFirstMonthPosition+SwaptionNumOfMonths+1),"",IF($FN196=IB$169,1,IF($FN196&lt;IB$169,INDEX($FO$170:$IH$241,IB$169,$FN196),SUMPRODUCT(INDEX($FO$325:$IH$396,IB$169,1+SwaptionShift):INDEX($FO$325:$IH$396,IB$169,SwaptionMonthsToGo+SwaptionShift),INDEX($FO$245:$IH$316,$FN196-IB$169,73-IB$169+SwaptionShift):INDEX($FO$245:$IH$316,$FN196-IB$169,72-IB$169+SwaptionMonthsToGo+SwaptionShift))/SQRT(SUM(INDEX($FO351:$IH351,1+SwaptionShift):INDEX($FO351:$IH351,SwaptionMonthsToGo+SwaptionShift))*SUM(INDEX($FO$325:$IH$396,IB$169,1+SwaptionShift):INDEX($FO$325:$IH$396,IB$169,SwaptionMonthsToGo+SwaptionShift))))))</f>
        <v/>
      </c>
      <c r="IC196" s="469" t="str">
        <f ca="1">IF(OR(IC$169&lt;SwaptionFirstMonthPosition+1,$FN196&lt;SwaptionFirstMonthPosition+1,IC$169&gt;SwaptionFirstMonthPosition+SwaptionNumOfMonths+1,$FN196&gt;SwaptionFirstMonthPosition+SwaptionNumOfMonths+1),"",IF($FN196=IC$169,1,IF($FN196&lt;IC$169,INDEX($FO$170:$IH$241,IC$169,$FN196),SUMPRODUCT(INDEX($FO$325:$IH$396,IC$169,1+SwaptionShift):INDEX($FO$325:$IH$396,IC$169,SwaptionMonthsToGo+SwaptionShift),INDEX($FO$245:$IH$316,$FN196-IC$169,73-IC$169+SwaptionShift):INDEX($FO$245:$IH$316,$FN196-IC$169,72-IC$169+SwaptionMonthsToGo+SwaptionShift))/SQRT(SUM(INDEX($FO351:$IH351,1+SwaptionShift):INDEX($FO351:$IH351,SwaptionMonthsToGo+SwaptionShift))*SUM(INDEX($FO$325:$IH$396,IC$169,1+SwaptionShift):INDEX($FO$325:$IH$396,IC$169,SwaptionMonthsToGo+SwaptionShift))))))</f>
        <v/>
      </c>
      <c r="ID196" s="469" t="str">
        <f ca="1">IF(OR(ID$169&lt;SwaptionFirstMonthPosition+1,$FN196&lt;SwaptionFirstMonthPosition+1,ID$169&gt;SwaptionFirstMonthPosition+SwaptionNumOfMonths+1,$FN196&gt;SwaptionFirstMonthPosition+SwaptionNumOfMonths+1),"",IF($FN196=ID$169,1,IF($FN196&lt;ID$169,INDEX($FO$170:$IH$241,ID$169,$FN196),SUMPRODUCT(INDEX($FO$325:$IH$396,ID$169,1+SwaptionShift):INDEX($FO$325:$IH$396,ID$169,SwaptionMonthsToGo+SwaptionShift),INDEX($FO$245:$IH$316,$FN196-ID$169,73-ID$169+SwaptionShift):INDEX($FO$245:$IH$316,$FN196-ID$169,72-ID$169+SwaptionMonthsToGo+SwaptionShift))/SQRT(SUM(INDEX($FO351:$IH351,1+SwaptionShift):INDEX($FO351:$IH351,SwaptionMonthsToGo+SwaptionShift))*SUM(INDEX($FO$325:$IH$396,ID$169,1+SwaptionShift):INDEX($FO$325:$IH$396,ID$169,SwaptionMonthsToGo+SwaptionShift))))))</f>
        <v/>
      </c>
      <c r="IE196" s="469" t="str">
        <f ca="1">IF(OR(IE$169&lt;SwaptionFirstMonthPosition+1,$FN196&lt;SwaptionFirstMonthPosition+1,IE$169&gt;SwaptionFirstMonthPosition+SwaptionNumOfMonths+1,$FN196&gt;SwaptionFirstMonthPosition+SwaptionNumOfMonths+1),"",IF($FN196=IE$169,1,IF($FN196&lt;IE$169,INDEX($FO$170:$IH$241,IE$169,$FN196),SUMPRODUCT(INDEX($FO$325:$IH$396,IE$169,1+SwaptionShift):INDEX($FO$325:$IH$396,IE$169,SwaptionMonthsToGo+SwaptionShift),INDEX($FO$245:$IH$316,$FN196-IE$169,73-IE$169+SwaptionShift):INDEX($FO$245:$IH$316,$FN196-IE$169,72-IE$169+SwaptionMonthsToGo+SwaptionShift))/SQRT(SUM(INDEX($FO351:$IH351,1+SwaptionShift):INDEX($FO351:$IH351,SwaptionMonthsToGo+SwaptionShift))*SUM(INDEX($FO$325:$IH$396,IE$169,1+SwaptionShift):INDEX($FO$325:$IH$396,IE$169,SwaptionMonthsToGo+SwaptionShift))))))</f>
        <v/>
      </c>
      <c r="IF196" s="469" t="str">
        <f ca="1">IF(OR(IF$169&lt;SwaptionFirstMonthPosition+1,$FN196&lt;SwaptionFirstMonthPosition+1,IF$169&gt;SwaptionFirstMonthPosition+SwaptionNumOfMonths+1,$FN196&gt;SwaptionFirstMonthPosition+SwaptionNumOfMonths+1),"",IF($FN196=IF$169,1,IF($FN196&lt;IF$169,INDEX($FO$170:$IH$241,IF$169,$FN196),SUMPRODUCT(INDEX($FO$325:$IH$396,IF$169,1+SwaptionShift):INDEX($FO$325:$IH$396,IF$169,SwaptionMonthsToGo+SwaptionShift),INDEX($FO$245:$IH$316,$FN196-IF$169,73-IF$169+SwaptionShift):INDEX($FO$245:$IH$316,$FN196-IF$169,72-IF$169+SwaptionMonthsToGo+SwaptionShift))/SQRT(SUM(INDEX($FO351:$IH351,1+SwaptionShift):INDEX($FO351:$IH351,SwaptionMonthsToGo+SwaptionShift))*SUM(INDEX($FO$325:$IH$396,IF$169,1+SwaptionShift):INDEX($FO$325:$IH$396,IF$169,SwaptionMonthsToGo+SwaptionShift))))))</f>
        <v/>
      </c>
      <c r="IG196" s="469" t="str">
        <f ca="1">IF(OR(IG$169&lt;SwaptionFirstMonthPosition+1,$FN196&lt;SwaptionFirstMonthPosition+1,IG$169&gt;SwaptionFirstMonthPosition+SwaptionNumOfMonths+1,$FN196&gt;SwaptionFirstMonthPosition+SwaptionNumOfMonths+1),"",IF($FN196=IG$169,1,IF($FN196&lt;IG$169,INDEX($FO$170:$IH$241,IG$169,$FN196),SUMPRODUCT(INDEX($FO$325:$IH$396,IG$169,1+SwaptionShift):INDEX($FO$325:$IH$396,IG$169,SwaptionMonthsToGo+SwaptionShift),INDEX($FO$245:$IH$316,$FN196-IG$169,73-IG$169+SwaptionShift):INDEX($FO$245:$IH$316,$FN196-IG$169,72-IG$169+SwaptionMonthsToGo+SwaptionShift))/SQRT(SUM(INDEX($FO351:$IH351,1+SwaptionShift):INDEX($FO351:$IH351,SwaptionMonthsToGo+SwaptionShift))*SUM(INDEX($FO$325:$IH$396,IG$169,1+SwaptionShift):INDEX($FO$325:$IH$396,IG$169,SwaptionMonthsToGo+SwaptionShift))))))</f>
        <v/>
      </c>
      <c r="IH196" s="662" t="str">
        <f ca="1">IF(OR(IH$169&lt;SwaptionFirstMonthPosition+1,$FN196&lt;SwaptionFirstMonthPosition+1,IH$169&gt;SwaptionFirstMonthPosition+SwaptionNumOfMonths+1,$FN196&gt;SwaptionFirstMonthPosition+SwaptionNumOfMonths+1),"",IF($FN196=IH$169,1,IF($FN196&lt;IH$169,INDEX($FO$170:$IH$241,IH$169,$FN196),SUMPRODUCT(INDEX($FO$325:$IH$396,IH$169,1+SwaptionShift):INDEX($FO$325:$IH$396,IH$169,SwaptionMonthsToGo+SwaptionShift),INDEX($FO$245:$IH$316,$FN196-IH$169,73-IH$169+SwaptionShift):INDEX($FO$245:$IH$316,$FN196-IH$169,72-IH$169+SwaptionMonthsToGo+SwaptionShift))/SQRT(SUM(INDEX($FO351:$IH351,1+SwaptionShift):INDEX($FO351:$IH351,SwaptionMonthsToGo+SwaptionShift))*SUM(INDEX($FO$325:$IH$396,IH$169,1+SwaptionShift):INDEX($FO$325:$IH$396,IH$169,SwaptionMonthsToGo+SwaptionShift))))))</f>
        <v/>
      </c>
      <c r="II196" s="242"/>
    </row>
    <row r="197" spans="8:243">
      <c r="H197" s="49" t="e">
        <f t="shared" ca="1" si="529"/>
        <v>#N/A</v>
      </c>
      <c r="I197" s="369">
        <f t="shared" si="530"/>
        <v>42401</v>
      </c>
      <c r="J197" s="367">
        <v>23.809999999999899</v>
      </c>
      <c r="K197" s="101" t="s">
        <v>267</v>
      </c>
      <c r="L197" s="382">
        <f t="shared" si="531"/>
        <v>23.809999999999878</v>
      </c>
      <c r="M197" s="163">
        <v>0.14030000000000001</v>
      </c>
      <c r="N197" s="372">
        <v>0</v>
      </c>
      <c r="O197" s="163">
        <f t="shared" si="595"/>
        <v>0.14030000000000001</v>
      </c>
      <c r="P197" s="367">
        <v>22.571272891994802</v>
      </c>
      <c r="Q197" s="101" t="s">
        <v>267</v>
      </c>
      <c r="R197" s="367">
        <f t="shared" ca="1" si="596"/>
        <v>22.571272891994756</v>
      </c>
      <c r="S197" s="814">
        <f t="shared" si="594"/>
        <v>0.34852637154447957</v>
      </c>
      <c r="T197" s="813">
        <f t="shared" si="550"/>
        <v>0.99999999937861628</v>
      </c>
      <c r="U197" s="532">
        <f t="shared" si="551"/>
        <v>0.99999999999999978</v>
      </c>
      <c r="V197" s="379">
        <v>0</v>
      </c>
      <c r="W197" s="424">
        <f t="shared" ref="W197:W258" si="597">(J198*AJ197+J199*AK197)/AI197</f>
        <v>23.842142857142758</v>
      </c>
      <c r="X197" s="405">
        <f t="shared" ref="X197:X258" si="598">(L198*AJ197+L199*AK197)/AI197</f>
        <v>23.842142857142736</v>
      </c>
      <c r="Y197" s="313">
        <f t="shared" ref="Y197:Y258" si="599">IF(Q199="extra",W197-AA197,(P198*AM197+P199*AN197)/AL197)</f>
        <v>22.626142857142757</v>
      </c>
      <c r="Z197" s="313">
        <f t="shared" ref="Z197:Z258" ca="1" si="600">IF(Q199="extra",X197-AB197,(R198*AM197+R199*AN197)/AL197)</f>
        <v>22.626142857142735</v>
      </c>
      <c r="AA197" s="419">
        <f t="shared" si="493"/>
        <v>1.216</v>
      </c>
      <c r="AB197" s="423">
        <f t="shared" ca="1" si="494"/>
        <v>1.216</v>
      </c>
      <c r="AC197" s="221">
        <v>42389</v>
      </c>
      <c r="AD197" s="221">
        <v>42385</v>
      </c>
      <c r="AE197" s="221">
        <v>42384</v>
      </c>
      <c r="AF197" s="221">
        <v>42380</v>
      </c>
      <c r="AG197" s="241" t="s">
        <v>497</v>
      </c>
      <c r="AH197" s="239" t="s">
        <v>497</v>
      </c>
      <c r="AI197" s="141">
        <v>21</v>
      </c>
      <c r="AJ197" s="41">
        <v>15</v>
      </c>
      <c r="AK197" s="41">
        <v>6</v>
      </c>
      <c r="AL197" s="285">
        <v>21</v>
      </c>
      <c r="AM197" s="41">
        <v>10</v>
      </c>
      <c r="AN197" s="142">
        <v>11</v>
      </c>
      <c r="AO197" s="364">
        <v>6.1859872490209994E-2</v>
      </c>
      <c r="AP197" s="145">
        <f t="shared" ca="1" si="532"/>
        <v>0.40364996463429537</v>
      </c>
      <c r="AQ197" s="364">
        <v>5.6053099434816303E-2</v>
      </c>
      <c r="AR197" s="145">
        <f t="shared" ca="1" si="552"/>
        <v>0.44195203765253332</v>
      </c>
      <c r="AS197" s="264">
        <f t="shared" ref="AS197:AS260" si="601">(O198*AJ197+O199*AK197)/AI197</f>
        <v>0.13978571428571429</v>
      </c>
      <c r="AT197" s="149">
        <f t="shared" si="533"/>
        <v>0.14030000000000001</v>
      </c>
      <c r="AU197" s="149">
        <f t="shared" si="496"/>
        <v>0.1396904761904762</v>
      </c>
      <c r="AV197" s="263">
        <f t="shared" ca="1" si="560"/>
        <v>0.138187691834642</v>
      </c>
      <c r="AW197" s="150" t="str">
        <f t="shared" ca="1" si="581"/>
        <v/>
      </c>
      <c r="AX197" s="149">
        <f t="shared" ca="1" si="553"/>
        <v>5.3431596063157416E-3</v>
      </c>
      <c r="AY197" s="149">
        <f t="shared" ca="1" si="554"/>
        <v>1.808580310000494E-3</v>
      </c>
      <c r="AZ197" s="149">
        <f t="shared" ca="1" si="555"/>
        <v>1.8831718514039648E-3</v>
      </c>
      <c r="BA197" s="149">
        <f t="shared" ca="1" si="556"/>
        <v>1.0000000000000892E-4</v>
      </c>
      <c r="BB197" s="149">
        <f t="shared" ca="1" si="557"/>
        <v>1.0000000000000892E-4</v>
      </c>
      <c r="BC197" s="149">
        <f t="shared" ca="1" si="558"/>
        <v>1.0000000000000892E-4</v>
      </c>
      <c r="BD197" s="143">
        <f t="shared" ref="BD197:BD260" ca="1" si="602">IF(OR(DateStart&gt;=I198,DateEnd&lt;I197),0,IF(VolumeOverrideFlag,V197,Volume))</f>
        <v>0</v>
      </c>
      <c r="BE197" s="144">
        <f t="shared" ref="BE197:BE260" ca="1" si="603">IF(OR(DateStart2&gt;=I198,DateEnd2&lt;I197),0,IF(VolumeOverrideFlag,V197,VolumeSwaption))</f>
        <v>0</v>
      </c>
      <c r="BF197" s="40">
        <f t="shared" ref="BF197:BF260" si="604">YEAR(I197)</f>
        <v>2016</v>
      </c>
      <c r="BG197" s="139">
        <f t="shared" ref="BG197:BG260" si="605">MONTH(I197)</f>
        <v>2</v>
      </c>
      <c r="BH197" s="140">
        <f t="shared" ref="BH197:BH260" ca="1" si="606">AD197-DateToday+1</f>
        <v>5395</v>
      </c>
      <c r="BI197" s="304">
        <f t="shared" ref="BI197:BI260" ca="1" si="607">(I197-DateToday+1)/365.25</f>
        <v>14.8145106091718</v>
      </c>
      <c r="BJ197" s="42">
        <f t="shared" ca="1" si="503"/>
        <v>14.869267624914443</v>
      </c>
      <c r="BK197" s="42">
        <f t="shared" ca="1" si="504"/>
        <v>14.872005475701576</v>
      </c>
      <c r="BL197" s="42">
        <f t="shared" ref="BL197:BL260" ca="1" si="608">(I198-DateToday)/365.25</f>
        <v>14.891170431211499</v>
      </c>
      <c r="BM197" s="285">
        <f t="shared" ref="BM197:BM260" si="609">CHOOSE(Underlying,AI197,AL197)</f>
        <v>21</v>
      </c>
      <c r="BN197" s="41">
        <f t="shared" ref="BN197:BN260" si="610">CHOOSE(Underlying,AJ197,AM197)</f>
        <v>15</v>
      </c>
      <c r="BO197" s="41">
        <f t="shared" ref="BO197:BO260" si="611">CHOOSE(Underlying,AK197,AN197)</f>
        <v>6</v>
      </c>
      <c r="BP197" s="297" t="str">
        <f t="shared" ca="1" si="505"/>
        <v/>
      </c>
      <c r="BQ197" s="297" t="str">
        <f t="shared" ca="1" si="506"/>
        <v/>
      </c>
      <c r="BR197" s="299" t="str">
        <f t="shared" ca="1" si="507"/>
        <v/>
      </c>
      <c r="BS197" s="153" t="str">
        <f t="shared" ca="1" si="508"/>
        <v/>
      </c>
      <c r="BT197" s="153" t="str">
        <f t="shared" ca="1" si="509"/>
        <v/>
      </c>
      <c r="BU197" s="300" t="str">
        <f t="shared" ca="1" si="510"/>
        <v/>
      </c>
      <c r="BV197" s="301" t="str">
        <f t="shared" ca="1" si="511"/>
        <v/>
      </c>
      <c r="BW197" s="300" t="str">
        <f t="shared" ca="1" si="512"/>
        <v/>
      </c>
      <c r="BX197" s="301" t="str">
        <f t="shared" ca="1" si="513"/>
        <v/>
      </c>
      <c r="BY197" s="146" t="str">
        <f t="shared" ca="1" si="514"/>
        <v/>
      </c>
      <c r="BZ197" s="146" t="str">
        <f t="shared" ca="1" si="515"/>
        <v/>
      </c>
      <c r="CA197" s="146" t="str">
        <f t="shared" ca="1" si="516"/>
        <v/>
      </c>
      <c r="CB197" s="146" t="str">
        <f t="shared" ca="1" si="517"/>
        <v/>
      </c>
      <c r="CC197" s="302">
        <v>1</v>
      </c>
      <c r="CD197" s="154">
        <f ca="1">IF(BD197,_xll.xCrudeAPO(BS197,BT197,BY197,BZ197,S198,S199,BI197,BL197,BN197,BO197,0,Strike1,AO197,CC197,0,BL197,IF(OptControl=4,0,1),0,1),0)</f>
        <v>0</v>
      </c>
      <c r="CE197" s="155">
        <f ca="1">IF(BD197,_xll.xCrudeAPO(BS197,BT197,BY197,BZ197,S198,S199,BI197,BL197,BN197,BO197,0,Strike1,AO197,CC197,0,BL197,IF(OptControl=4,0,1),1,1)+_xll.xCrudeAPO(BS197,BT197,BY197,BZ197,S198,S199,BI197,BL197,BN197,BO197,0,Strike1,AO197,CC197,0,BL197,IF(OptControl=4,0,1),1,2)+IF(OR(VolSkewFlag=2,ABS(BQ197)&lt;0.0001),0,IF(BQ197&gt;0,-1,1)*CF197*Strike1/BP197^2*BW197/10%),0)</f>
        <v>0</v>
      </c>
      <c r="CF197" s="155">
        <f ca="1">IF(BD197,(_xll.xCrudeAPO(BS197,BT197,BY197,BZ197,S198,S199,BI197,BL197,BN197,BO197,0,Strike1,AO197,CC197,0,BL197,IF(OptControl=4,0,1),3,1)+_xll.xCrudeAPO(BS197,BT197,BY197,BZ197,S198,S199,BI197,BL197,BN197,BO197,0,Strike1,AO197,CC197,0,BL197,IF(OptControl=4,0,1),3,2))/100,0)</f>
        <v>0</v>
      </c>
      <c r="CG197" s="155">
        <f ca="1">IF(BD197,_xll.xCrudeAPO(BS197,BT197,BY197,BZ197,S198,S199,BI197-DaysForThetaCalculation/365.25,BL197-DaysForThetaCalculation/365.25,BN197,BO197,0,Strike1,AO197,CC197,0,BL197,IF(OptControl=4,0,1),0,1)-_xll.xCrudeAPO(BS197,BT197,BY197,BZ197,S198,S199,BI197,BL197,BN197,BO197,0,Strike1,AO197,CC197,0,BL197,IF(OptControl=4,0,1),0,1),0)</f>
        <v>0</v>
      </c>
      <c r="CH197" s="303">
        <f ca="1">IF(BD197,_xll.xCrudeAPO(BS197,BT197,CA197,CB197,S198,S199,BI197,BL197,BN197,BO197,0,Strike2,AO197,CC197,0,BL197,IF(OptControl=3,1,0),0,1),0)</f>
        <v>0</v>
      </c>
      <c r="CI197" s="155">
        <f ca="1">IF(BD197,_xll.xCrudeAPO(BS197,BT197,CA197,CB197,S198,S199,BI197,BL197,BN197,BO197,0,Strike2,AO197,CC197,0,BL197,IF(OptControl=3,1,0),1,1)+_xll.xCrudeAPO(BS197,BT197,CA197,CB197,S198,S199,BI197,BL197,BN197,BO197,0,Strike2,AO197,CC197,0,BL197,IF(OptControl=3,1,0),1,2)+IF(OR(VolSkewFlag=2,ABS(BR197)&lt;0.0001),0,IF(BR197&gt;0,-1,1)*CJ197*Strike2/BP197^2*BX197/10%),0)</f>
        <v>0</v>
      </c>
      <c r="CJ197" s="155">
        <f ca="1">IF(BD197,(_xll.xCrudeAPO(BS197,BT197,CA197,CB197,S198,S199,BI197,BL197,BN197,BO197,0,Strike2,AO197,CC197,0,BL197,IF(OptControl=3,1,0),3,1)+_xll.xCrudeAPO(BS197,BT197,CA197,CB197,S198,S199,BI197,BL197,BN197,BO197,0,Strike2,AO197,CC197,0,BL197,IF(OptControl=3,1,0),3,2))/100,0)</f>
        <v>0</v>
      </c>
      <c r="CK197" s="156">
        <f ca="1">IF(BD197,_xll.xCrudeAPO(BS197,BT197,CA197,CB197,S198,S199,BI197-DaysForThetaCalculation/365.25,BL197-DaysForThetaCalculation/365.25,BN197,BO197,0,Strike2,AO197,CC197,0,BL197,IF(OptControl=3,1,0),0,1)-_xll.xCrudeAPO(BS197,BT197,CA197,CB197,S198,S199,BI197,BL197,BN197,BO197,0,Strike2,AO197,CC197,0,BL197,IF(OptControl=3,1,0),0,1),0)</f>
        <v>0</v>
      </c>
      <c r="CL197" s="51"/>
      <c r="CM197" s="779" t="str">
        <f t="shared" ca="1" si="534"/>
        <v/>
      </c>
      <c r="CN197" s="783" t="str">
        <f t="shared" ca="1" si="535"/>
        <v/>
      </c>
      <c r="CO197" s="780" t="str">
        <f t="shared" ca="1" si="536"/>
        <v/>
      </c>
      <c r="CP197" s="780" t="str">
        <f t="shared" ca="1" si="537"/>
        <v/>
      </c>
      <c r="CQ197" s="780" t="str">
        <f t="shared" ca="1" si="538"/>
        <v/>
      </c>
      <c r="CR197" s="780" t="str">
        <f t="shared" ca="1" si="539"/>
        <v/>
      </c>
      <c r="CS197" s="781" t="str">
        <f t="shared" ca="1" si="540"/>
        <v/>
      </c>
      <c r="CT197" s="782" t="str">
        <f t="shared" ca="1" si="541"/>
        <v/>
      </c>
      <c r="CU197" s="782" t="str">
        <f t="shared" ca="1" si="542"/>
        <v/>
      </c>
      <c r="CV197" s="155">
        <f ca="1">IF(BD197,_xll.EURO(CN197,Strike1,AO197,AO197,CT197,CM197,IF(OptControl=4,0,1),0),0)</f>
        <v>0</v>
      </c>
      <c r="CW197" s="155">
        <f ca="1">IF(BD197,_xll.EURO(CN197,Strike1,AO197,AO197,CT197,CM197,IF(OptControl=4,0,1),1)+IF(OR(VolSkewFlag=2,ABS(CO197)&lt;0.0001),0,IF(CO197&gt;0,-1,1)*CX197*100*Strike1/CN197^2*CQ197/10%),0)</f>
        <v>0</v>
      </c>
      <c r="CX197" s="155">
        <f ca="1">IF(BD197,_xll.EURO(CN197,Strike1,AO197,AO197,CT197,CM197,IF(OptControl=4,0,1),3)/100,0)</f>
        <v>0</v>
      </c>
      <c r="CY197" s="155">
        <f ca="1">IF(BD197,_xll.EURO(CN197,Strike1,AO197,AO197,CT197,CM197,IF(OptControl=4,0,1),0)-_xll.EURO(CN197,Strike1,AO197,AO197,CT197,CM197-1,IF(OptControl=4,0,1),0),0)</f>
        <v>0</v>
      </c>
      <c r="CZ197" s="155">
        <f ca="1">IF(BD197,_xll.EURO(CN197,Strike2,AO197,AO197,CU197,CM197,IF(OptControl=3,1,0),0),0)</f>
        <v>0</v>
      </c>
      <c r="DA197" s="155">
        <f ca="1">IF(BD197,_xll.EURO(CN197,Strike2,AO197,AO197,CU197,CM197,IF(OptControl=3,1,0),1)+IF(OR(VolSkewFlag=2,ABS(CP197)&lt;0.0001),0,IF(CP197&gt;0,-1,1)*DB197*100*Strike2/CN197^2*CR197/10%),0)</f>
        <v>0</v>
      </c>
      <c r="DB197" s="155">
        <f ca="1">IF(BD197,_xll.EURO(CN197,Strike2,AO197,AO197,CU197,CM197,IF(OptControl=3,1,0),3)/100,0)</f>
        <v>0</v>
      </c>
      <c r="DC197" s="156">
        <f ca="1">IF(BD197,_xll.EURO(CN197,Strike2,AO197,AO197,CU197,CM197,IF(OptControl=3,1,0),0)-_xll.EURO(CN197,Strike2,AO197,AO197,CU197,CM197-1,IF(OptControl=3,1,0),0),0)</f>
        <v>0</v>
      </c>
      <c r="DE197" s="651">
        <f t="shared" ca="1" si="543"/>
        <v>42309</v>
      </c>
      <c r="DF197" s="465">
        <v>1E-4</v>
      </c>
      <c r="DG197" s="649">
        <v>1E-4</v>
      </c>
      <c r="DH197" s="650">
        <f t="shared" ref="DH197:DH260" ca="1" si="612">DE197</f>
        <v>42309</v>
      </c>
      <c r="DI197" s="465">
        <v>1E-4</v>
      </c>
      <c r="DJ197" s="649">
        <v>1E-4</v>
      </c>
      <c r="DK197" s="651">
        <f t="shared" ref="DK197:DK260" ca="1" si="613">DE197</f>
        <v>42309</v>
      </c>
      <c r="DL197" s="652">
        <f t="shared" ref="DL197:DL260" si="614">DI197+BrentPhyBrentSpread</f>
        <v>5.0100000000000006E-2</v>
      </c>
      <c r="DM197" s="651">
        <f t="shared" ref="DM197:DM260" ca="1" si="615">DE197</f>
        <v>42309</v>
      </c>
      <c r="DN197" s="563">
        <f t="shared" ref="DN197:DN260" si="616">DJ197+DO197</f>
        <v>-0.12990000000000002</v>
      </c>
      <c r="DO197" s="803">
        <v>-0.13</v>
      </c>
      <c r="DP197" s="650">
        <f t="shared" ref="DP197:DP260" ca="1" si="617">DE197</f>
        <v>42309</v>
      </c>
      <c r="DQ197" s="653">
        <v>1E-4</v>
      </c>
      <c r="DR197" s="590">
        <v>1E-4</v>
      </c>
      <c r="DS197" s="650">
        <f t="shared" ref="DS197:DS260" ca="1" si="618">DE197</f>
        <v>42309</v>
      </c>
      <c r="DT197" s="653">
        <v>1E-4</v>
      </c>
      <c r="DU197" s="590">
        <v>1E-4</v>
      </c>
      <c r="DV197" s="651">
        <f t="shared" ref="DV197:DV260" ca="1" si="619">DE197</f>
        <v>42309</v>
      </c>
      <c r="DW197" s="590">
        <v>1E-4</v>
      </c>
      <c r="DX197" s="651">
        <f t="shared" ref="DX197:DX260" ca="1" si="620">DP197</f>
        <v>42309</v>
      </c>
      <c r="DY197" s="590">
        <f t="shared" ref="DY197:DY260" si="621">DR197</f>
        <v>1E-4</v>
      </c>
      <c r="DZ197" s="1"/>
      <c r="EA197" s="857"/>
      <c r="EB197" s="857"/>
      <c r="EC197" s="857"/>
      <c r="ED197" s="868" t="e">
        <f t="shared" ca="1" si="566"/>
        <v>#NAME?</v>
      </c>
      <c r="EE197" s="863" t="e">
        <f t="shared" ca="1" si="524"/>
        <v>#NAME?</v>
      </c>
      <c r="EF197" s="590" t="e">
        <f t="shared" ca="1" si="525"/>
        <v>#NAME?</v>
      </c>
      <c r="EG197" s="862" t="str">
        <f t="shared" ref="EG197:EG260" ca="1" si="622">IF(BD197,IF(Underlying=1,AS197,AU197),"")</f>
        <v/>
      </c>
      <c r="EH197" s="114" t="str">
        <f t="shared" ca="1" si="527"/>
        <v/>
      </c>
      <c r="EI197" s="109" t="str">
        <f t="shared" ca="1" si="528"/>
        <v/>
      </c>
      <c r="EJ197" s="115">
        <f ca="1">IF(BD197,_xll.xASN(BP197,Strike1,AO197,EH197,0,BM197,0,BI197,BL197,IF(OptControl=4,0,1),0),0)</f>
        <v>0</v>
      </c>
      <c r="EK197" s="108">
        <f ca="1">IF(BD197,_xll.xASN(BP197,Strike2,AO197,EI197,0,BM197,0,BI197,BL197,IF(OptControl=3,1,0),0),0)</f>
        <v>0</v>
      </c>
      <c r="EP197" s="53"/>
      <c r="EQ197" s="1"/>
      <c r="ER197" s="103"/>
      <c r="ES197" s="103"/>
      <c r="ET197" s="1"/>
      <c r="EU197" s="667" t="s">
        <v>410</v>
      </c>
      <c r="EW197" s="445"/>
      <c r="EX197" s="36"/>
      <c r="EY197" s="104"/>
      <c r="EZ197" s="465"/>
      <c r="FA197" s="446"/>
      <c r="FB197" s="446"/>
      <c r="FC197" s="242"/>
      <c r="FD197" s="242"/>
      <c r="FE197" s="242"/>
      <c r="FF197" s="242"/>
      <c r="FG197" s="242"/>
      <c r="FH197" s="242"/>
      <c r="FI197" s="242"/>
      <c r="FJ197" s="242"/>
      <c r="FK197" s="242"/>
      <c r="FL197" s="242"/>
      <c r="FM197" s="242"/>
      <c r="FN197" s="657">
        <v>28</v>
      </c>
      <c r="FO197" s="469" t="str">
        <f ca="1">IF(OR(FO$169&lt;SwaptionFirstMonthPosition+1,$FN197&lt;SwaptionFirstMonthPosition+1,FO$169&gt;SwaptionFirstMonthPosition+SwaptionNumOfMonths+1,$FN197&gt;SwaptionFirstMonthPosition+SwaptionNumOfMonths+1),"",IF($FN197=FO$169,1,IF($FN197&lt;FO$169,INDEX($FO$170:$IH$241,FO$169,$FN197),SUMPRODUCT(INDEX($FO$325:$IH$396,FO$169,1+SwaptionShift):INDEX($FO$325:$IH$396,FO$169,SwaptionMonthsToGo+SwaptionShift),INDEX($FO$245:$IH$316,$FN197-FO$169,73-FO$169+SwaptionShift):INDEX($FO$245:$IH$316,$FN197-FO$169,72-FO$169+SwaptionMonthsToGo+SwaptionShift))/SQRT(SUM(INDEX($FO352:$IH352,1+SwaptionShift):INDEX($FO352:$IH352,SwaptionMonthsToGo+SwaptionShift))*SUM(INDEX($FO$325:$IH$396,FO$169,1+SwaptionShift):INDEX($FO$325:$IH$396,FO$169,SwaptionMonthsToGo+SwaptionShift))))))</f>
        <v/>
      </c>
      <c r="FP197" s="469" t="str">
        <f ca="1">IF(OR(FP$169&lt;SwaptionFirstMonthPosition+1,$FN197&lt;SwaptionFirstMonthPosition+1,FP$169&gt;SwaptionFirstMonthPosition+SwaptionNumOfMonths+1,$FN197&gt;SwaptionFirstMonthPosition+SwaptionNumOfMonths+1),"",IF($FN197=FP$169,1,IF($FN197&lt;FP$169,INDEX($FO$170:$IH$241,FP$169,$FN197),SUMPRODUCT(INDEX($FO$325:$IH$396,FP$169,1+SwaptionShift):INDEX($FO$325:$IH$396,FP$169,SwaptionMonthsToGo+SwaptionShift),INDEX($FO$245:$IH$316,$FN197-FP$169,73-FP$169+SwaptionShift):INDEX($FO$245:$IH$316,$FN197-FP$169,72-FP$169+SwaptionMonthsToGo+SwaptionShift))/SQRT(SUM(INDEX($FO352:$IH352,1+SwaptionShift):INDEX($FO352:$IH352,SwaptionMonthsToGo+SwaptionShift))*SUM(INDEX($FO$325:$IH$396,FP$169,1+SwaptionShift):INDEX($FO$325:$IH$396,FP$169,SwaptionMonthsToGo+SwaptionShift))))))</f>
        <v/>
      </c>
      <c r="FQ197" s="469" t="str">
        <f ca="1">IF(OR(FQ$169&lt;SwaptionFirstMonthPosition+1,$FN197&lt;SwaptionFirstMonthPosition+1,FQ$169&gt;SwaptionFirstMonthPosition+SwaptionNumOfMonths+1,$FN197&gt;SwaptionFirstMonthPosition+SwaptionNumOfMonths+1),"",IF($FN197=FQ$169,1,IF($FN197&lt;FQ$169,INDEX($FO$170:$IH$241,FQ$169,$FN197),SUMPRODUCT(INDEX($FO$325:$IH$396,FQ$169,1+SwaptionShift):INDEX($FO$325:$IH$396,FQ$169,SwaptionMonthsToGo+SwaptionShift),INDEX($FO$245:$IH$316,$FN197-FQ$169,73-FQ$169+SwaptionShift):INDEX($FO$245:$IH$316,$FN197-FQ$169,72-FQ$169+SwaptionMonthsToGo+SwaptionShift))/SQRT(SUM(INDEX($FO352:$IH352,1+SwaptionShift):INDEX($FO352:$IH352,SwaptionMonthsToGo+SwaptionShift))*SUM(INDEX($FO$325:$IH$396,FQ$169,1+SwaptionShift):INDEX($FO$325:$IH$396,FQ$169,SwaptionMonthsToGo+SwaptionShift))))))</f>
        <v/>
      </c>
      <c r="FR197" s="469" t="str">
        <f ca="1">IF(OR(FR$169&lt;SwaptionFirstMonthPosition+1,$FN197&lt;SwaptionFirstMonthPosition+1,FR$169&gt;SwaptionFirstMonthPosition+SwaptionNumOfMonths+1,$FN197&gt;SwaptionFirstMonthPosition+SwaptionNumOfMonths+1),"",IF($FN197=FR$169,1,IF($FN197&lt;FR$169,INDEX($FO$170:$IH$241,FR$169,$FN197),SUMPRODUCT(INDEX($FO$325:$IH$396,FR$169,1+SwaptionShift):INDEX($FO$325:$IH$396,FR$169,SwaptionMonthsToGo+SwaptionShift),INDEX($FO$245:$IH$316,$FN197-FR$169,73-FR$169+SwaptionShift):INDEX($FO$245:$IH$316,$FN197-FR$169,72-FR$169+SwaptionMonthsToGo+SwaptionShift))/SQRT(SUM(INDEX($FO352:$IH352,1+SwaptionShift):INDEX($FO352:$IH352,SwaptionMonthsToGo+SwaptionShift))*SUM(INDEX($FO$325:$IH$396,FR$169,1+SwaptionShift):INDEX($FO$325:$IH$396,FR$169,SwaptionMonthsToGo+SwaptionShift))))))</f>
        <v/>
      </c>
      <c r="FS197" s="469" t="str">
        <f ca="1">IF(OR(FS$169&lt;SwaptionFirstMonthPosition+1,$FN197&lt;SwaptionFirstMonthPosition+1,FS$169&gt;SwaptionFirstMonthPosition+SwaptionNumOfMonths+1,$FN197&gt;SwaptionFirstMonthPosition+SwaptionNumOfMonths+1),"",IF($FN197=FS$169,1,IF($FN197&lt;FS$169,INDEX($FO$170:$IH$241,FS$169,$FN197),SUMPRODUCT(INDEX($FO$325:$IH$396,FS$169,1+SwaptionShift):INDEX($FO$325:$IH$396,FS$169,SwaptionMonthsToGo+SwaptionShift),INDEX($FO$245:$IH$316,$FN197-FS$169,73-FS$169+SwaptionShift):INDEX($FO$245:$IH$316,$FN197-FS$169,72-FS$169+SwaptionMonthsToGo+SwaptionShift))/SQRT(SUM(INDEX($FO352:$IH352,1+SwaptionShift):INDEX($FO352:$IH352,SwaptionMonthsToGo+SwaptionShift))*SUM(INDEX($FO$325:$IH$396,FS$169,1+SwaptionShift):INDEX($FO$325:$IH$396,FS$169,SwaptionMonthsToGo+SwaptionShift))))))</f>
        <v/>
      </c>
      <c r="FT197" s="469" t="str">
        <f ca="1">IF(OR(FT$169&lt;SwaptionFirstMonthPosition+1,$FN197&lt;SwaptionFirstMonthPosition+1,FT$169&gt;SwaptionFirstMonthPosition+SwaptionNumOfMonths+1,$FN197&gt;SwaptionFirstMonthPosition+SwaptionNumOfMonths+1),"",IF($FN197=FT$169,1,IF($FN197&lt;FT$169,INDEX($FO$170:$IH$241,FT$169,$FN197),SUMPRODUCT(INDEX($FO$325:$IH$396,FT$169,1+SwaptionShift):INDEX($FO$325:$IH$396,FT$169,SwaptionMonthsToGo+SwaptionShift),INDEX($FO$245:$IH$316,$FN197-FT$169,73-FT$169+SwaptionShift):INDEX($FO$245:$IH$316,$FN197-FT$169,72-FT$169+SwaptionMonthsToGo+SwaptionShift))/SQRT(SUM(INDEX($FO352:$IH352,1+SwaptionShift):INDEX($FO352:$IH352,SwaptionMonthsToGo+SwaptionShift))*SUM(INDEX($FO$325:$IH$396,FT$169,1+SwaptionShift):INDEX($FO$325:$IH$396,FT$169,SwaptionMonthsToGo+SwaptionShift))))))</f>
        <v/>
      </c>
      <c r="FU197" s="469" t="str">
        <f ca="1">IF(OR(FU$169&lt;SwaptionFirstMonthPosition+1,$FN197&lt;SwaptionFirstMonthPosition+1,FU$169&gt;SwaptionFirstMonthPosition+SwaptionNumOfMonths+1,$FN197&gt;SwaptionFirstMonthPosition+SwaptionNumOfMonths+1),"",IF($FN197=FU$169,1,IF($FN197&lt;FU$169,INDEX($FO$170:$IH$241,FU$169,$FN197),SUMPRODUCT(INDEX($FO$325:$IH$396,FU$169,1+SwaptionShift):INDEX($FO$325:$IH$396,FU$169,SwaptionMonthsToGo+SwaptionShift),INDEX($FO$245:$IH$316,$FN197-FU$169,73-FU$169+SwaptionShift):INDEX($FO$245:$IH$316,$FN197-FU$169,72-FU$169+SwaptionMonthsToGo+SwaptionShift))/SQRT(SUM(INDEX($FO352:$IH352,1+SwaptionShift):INDEX($FO352:$IH352,SwaptionMonthsToGo+SwaptionShift))*SUM(INDEX($FO$325:$IH$396,FU$169,1+SwaptionShift):INDEX($FO$325:$IH$396,FU$169,SwaptionMonthsToGo+SwaptionShift))))))</f>
        <v/>
      </c>
      <c r="FV197" s="469" t="str">
        <f ca="1">IF(OR(FV$169&lt;SwaptionFirstMonthPosition+1,$FN197&lt;SwaptionFirstMonthPosition+1,FV$169&gt;SwaptionFirstMonthPosition+SwaptionNumOfMonths+1,$FN197&gt;SwaptionFirstMonthPosition+SwaptionNumOfMonths+1),"",IF($FN197=FV$169,1,IF($FN197&lt;FV$169,INDEX($FO$170:$IH$241,FV$169,$FN197),SUMPRODUCT(INDEX($FO$325:$IH$396,FV$169,1+SwaptionShift):INDEX($FO$325:$IH$396,FV$169,SwaptionMonthsToGo+SwaptionShift),INDEX($FO$245:$IH$316,$FN197-FV$169,73-FV$169+SwaptionShift):INDEX($FO$245:$IH$316,$FN197-FV$169,72-FV$169+SwaptionMonthsToGo+SwaptionShift))/SQRT(SUM(INDEX($FO352:$IH352,1+SwaptionShift):INDEX($FO352:$IH352,SwaptionMonthsToGo+SwaptionShift))*SUM(INDEX($FO$325:$IH$396,FV$169,1+SwaptionShift):INDEX($FO$325:$IH$396,FV$169,SwaptionMonthsToGo+SwaptionShift))))))</f>
        <v/>
      </c>
      <c r="FW197" s="469" t="str">
        <f ca="1">IF(OR(FW$169&lt;SwaptionFirstMonthPosition+1,$FN197&lt;SwaptionFirstMonthPosition+1,FW$169&gt;SwaptionFirstMonthPosition+SwaptionNumOfMonths+1,$FN197&gt;SwaptionFirstMonthPosition+SwaptionNumOfMonths+1),"",IF($FN197=FW$169,1,IF($FN197&lt;FW$169,INDEX($FO$170:$IH$241,FW$169,$FN197),SUMPRODUCT(INDEX($FO$325:$IH$396,FW$169,1+SwaptionShift):INDEX($FO$325:$IH$396,FW$169,SwaptionMonthsToGo+SwaptionShift),INDEX($FO$245:$IH$316,$FN197-FW$169,73-FW$169+SwaptionShift):INDEX($FO$245:$IH$316,$FN197-FW$169,72-FW$169+SwaptionMonthsToGo+SwaptionShift))/SQRT(SUM(INDEX($FO352:$IH352,1+SwaptionShift):INDEX($FO352:$IH352,SwaptionMonthsToGo+SwaptionShift))*SUM(INDEX($FO$325:$IH$396,FW$169,1+SwaptionShift):INDEX($FO$325:$IH$396,FW$169,SwaptionMonthsToGo+SwaptionShift))))))</f>
        <v/>
      </c>
      <c r="FX197" s="469" t="str">
        <f ca="1">IF(OR(FX$169&lt;SwaptionFirstMonthPosition+1,$FN197&lt;SwaptionFirstMonthPosition+1,FX$169&gt;SwaptionFirstMonthPosition+SwaptionNumOfMonths+1,$FN197&gt;SwaptionFirstMonthPosition+SwaptionNumOfMonths+1),"",IF($FN197=FX$169,1,IF($FN197&lt;FX$169,INDEX($FO$170:$IH$241,FX$169,$FN197),SUMPRODUCT(INDEX($FO$325:$IH$396,FX$169,1+SwaptionShift):INDEX($FO$325:$IH$396,FX$169,SwaptionMonthsToGo+SwaptionShift),INDEX($FO$245:$IH$316,$FN197-FX$169,73-FX$169+SwaptionShift):INDEX($FO$245:$IH$316,$FN197-FX$169,72-FX$169+SwaptionMonthsToGo+SwaptionShift))/SQRT(SUM(INDEX($FO352:$IH352,1+SwaptionShift):INDEX($FO352:$IH352,SwaptionMonthsToGo+SwaptionShift))*SUM(INDEX($FO$325:$IH$396,FX$169,1+SwaptionShift):INDEX($FO$325:$IH$396,FX$169,SwaptionMonthsToGo+SwaptionShift))))))</f>
        <v/>
      </c>
      <c r="FY197" s="469" t="str">
        <f ca="1">IF(OR(FY$169&lt;SwaptionFirstMonthPosition+1,$FN197&lt;SwaptionFirstMonthPosition+1,FY$169&gt;SwaptionFirstMonthPosition+SwaptionNumOfMonths+1,$FN197&gt;SwaptionFirstMonthPosition+SwaptionNumOfMonths+1),"",IF($FN197=FY$169,1,IF($FN197&lt;FY$169,INDEX($FO$170:$IH$241,FY$169,$FN197),SUMPRODUCT(INDEX($FO$325:$IH$396,FY$169,1+SwaptionShift):INDEX($FO$325:$IH$396,FY$169,SwaptionMonthsToGo+SwaptionShift),INDEX($FO$245:$IH$316,$FN197-FY$169,73-FY$169+SwaptionShift):INDEX($FO$245:$IH$316,$FN197-FY$169,72-FY$169+SwaptionMonthsToGo+SwaptionShift))/SQRT(SUM(INDEX($FO352:$IH352,1+SwaptionShift):INDEX($FO352:$IH352,SwaptionMonthsToGo+SwaptionShift))*SUM(INDEX($FO$325:$IH$396,FY$169,1+SwaptionShift):INDEX($FO$325:$IH$396,FY$169,SwaptionMonthsToGo+SwaptionShift))))))</f>
        <v/>
      </c>
      <c r="FZ197" s="469" t="str">
        <f ca="1">IF(OR(FZ$169&lt;SwaptionFirstMonthPosition+1,$FN197&lt;SwaptionFirstMonthPosition+1,FZ$169&gt;SwaptionFirstMonthPosition+SwaptionNumOfMonths+1,$FN197&gt;SwaptionFirstMonthPosition+SwaptionNumOfMonths+1),"",IF($FN197=FZ$169,1,IF($FN197&lt;FZ$169,INDEX($FO$170:$IH$241,FZ$169,$FN197),SUMPRODUCT(INDEX($FO$325:$IH$396,FZ$169,1+SwaptionShift):INDEX($FO$325:$IH$396,FZ$169,SwaptionMonthsToGo+SwaptionShift),INDEX($FO$245:$IH$316,$FN197-FZ$169,73-FZ$169+SwaptionShift):INDEX($FO$245:$IH$316,$FN197-FZ$169,72-FZ$169+SwaptionMonthsToGo+SwaptionShift))/SQRT(SUM(INDEX($FO352:$IH352,1+SwaptionShift):INDEX($FO352:$IH352,SwaptionMonthsToGo+SwaptionShift))*SUM(INDEX($FO$325:$IH$396,FZ$169,1+SwaptionShift):INDEX($FO$325:$IH$396,FZ$169,SwaptionMonthsToGo+SwaptionShift))))))</f>
        <v/>
      </c>
      <c r="GA197" s="469" t="str">
        <f ca="1">IF(OR(GA$169&lt;SwaptionFirstMonthPosition+1,$FN197&lt;SwaptionFirstMonthPosition+1,GA$169&gt;SwaptionFirstMonthPosition+SwaptionNumOfMonths+1,$FN197&gt;SwaptionFirstMonthPosition+SwaptionNumOfMonths+1),"",IF($FN197=GA$169,1,IF($FN197&lt;GA$169,INDEX($FO$170:$IH$241,GA$169,$FN197),SUMPRODUCT(INDEX($FO$325:$IH$396,GA$169,1+SwaptionShift):INDEX($FO$325:$IH$396,GA$169,SwaptionMonthsToGo+SwaptionShift),INDEX($FO$245:$IH$316,$FN197-GA$169,73-GA$169+SwaptionShift):INDEX($FO$245:$IH$316,$FN197-GA$169,72-GA$169+SwaptionMonthsToGo+SwaptionShift))/SQRT(SUM(INDEX($FO352:$IH352,1+SwaptionShift):INDEX($FO352:$IH352,SwaptionMonthsToGo+SwaptionShift))*SUM(INDEX($FO$325:$IH$396,GA$169,1+SwaptionShift):INDEX($FO$325:$IH$396,GA$169,SwaptionMonthsToGo+SwaptionShift))))))</f>
        <v/>
      </c>
      <c r="GB197" s="469" t="str">
        <f ca="1">IF(OR(GB$169&lt;SwaptionFirstMonthPosition+1,$FN197&lt;SwaptionFirstMonthPosition+1,GB$169&gt;SwaptionFirstMonthPosition+SwaptionNumOfMonths+1,$FN197&gt;SwaptionFirstMonthPosition+SwaptionNumOfMonths+1),"",IF($FN197=GB$169,1,IF($FN197&lt;GB$169,INDEX($FO$170:$IH$241,GB$169,$FN197),SUMPRODUCT(INDEX($FO$325:$IH$396,GB$169,1+SwaptionShift):INDEX($FO$325:$IH$396,GB$169,SwaptionMonthsToGo+SwaptionShift),INDEX($FO$245:$IH$316,$FN197-GB$169,73-GB$169+SwaptionShift):INDEX($FO$245:$IH$316,$FN197-GB$169,72-GB$169+SwaptionMonthsToGo+SwaptionShift))/SQRT(SUM(INDEX($FO352:$IH352,1+SwaptionShift):INDEX($FO352:$IH352,SwaptionMonthsToGo+SwaptionShift))*SUM(INDEX($FO$325:$IH$396,GB$169,1+SwaptionShift):INDEX($FO$325:$IH$396,GB$169,SwaptionMonthsToGo+SwaptionShift))))))</f>
        <v/>
      </c>
      <c r="GC197" s="469" t="str">
        <f ca="1">IF(OR(GC$169&lt;SwaptionFirstMonthPosition+1,$FN197&lt;SwaptionFirstMonthPosition+1,GC$169&gt;SwaptionFirstMonthPosition+SwaptionNumOfMonths+1,$FN197&gt;SwaptionFirstMonthPosition+SwaptionNumOfMonths+1),"",IF($FN197=GC$169,1,IF($FN197&lt;GC$169,INDEX($FO$170:$IH$241,GC$169,$FN197),SUMPRODUCT(INDEX($FO$325:$IH$396,GC$169,1+SwaptionShift):INDEX($FO$325:$IH$396,GC$169,SwaptionMonthsToGo+SwaptionShift),INDEX($FO$245:$IH$316,$FN197-GC$169,73-GC$169+SwaptionShift):INDEX($FO$245:$IH$316,$FN197-GC$169,72-GC$169+SwaptionMonthsToGo+SwaptionShift))/SQRT(SUM(INDEX($FO352:$IH352,1+SwaptionShift):INDEX($FO352:$IH352,SwaptionMonthsToGo+SwaptionShift))*SUM(INDEX($FO$325:$IH$396,GC$169,1+SwaptionShift):INDEX($FO$325:$IH$396,GC$169,SwaptionMonthsToGo+SwaptionShift))))))</f>
        <v/>
      </c>
      <c r="GD197" s="469" t="str">
        <f ca="1">IF(OR(GD$169&lt;SwaptionFirstMonthPosition+1,$FN197&lt;SwaptionFirstMonthPosition+1,GD$169&gt;SwaptionFirstMonthPosition+SwaptionNumOfMonths+1,$FN197&gt;SwaptionFirstMonthPosition+SwaptionNumOfMonths+1),"",IF($FN197=GD$169,1,IF($FN197&lt;GD$169,INDEX($FO$170:$IH$241,GD$169,$FN197),SUMPRODUCT(INDEX($FO$325:$IH$396,GD$169,1+SwaptionShift):INDEX($FO$325:$IH$396,GD$169,SwaptionMonthsToGo+SwaptionShift),INDEX($FO$245:$IH$316,$FN197-GD$169,73-GD$169+SwaptionShift):INDEX($FO$245:$IH$316,$FN197-GD$169,72-GD$169+SwaptionMonthsToGo+SwaptionShift))/SQRT(SUM(INDEX($FO352:$IH352,1+SwaptionShift):INDEX($FO352:$IH352,SwaptionMonthsToGo+SwaptionShift))*SUM(INDEX($FO$325:$IH$396,GD$169,1+SwaptionShift):INDEX($FO$325:$IH$396,GD$169,SwaptionMonthsToGo+SwaptionShift))))))</f>
        <v/>
      </c>
      <c r="GE197" s="469" t="str">
        <f ca="1">IF(OR(GE$169&lt;SwaptionFirstMonthPosition+1,$FN197&lt;SwaptionFirstMonthPosition+1,GE$169&gt;SwaptionFirstMonthPosition+SwaptionNumOfMonths+1,$FN197&gt;SwaptionFirstMonthPosition+SwaptionNumOfMonths+1),"",IF($FN197=GE$169,1,IF($FN197&lt;GE$169,INDEX($FO$170:$IH$241,GE$169,$FN197),SUMPRODUCT(INDEX($FO$325:$IH$396,GE$169,1+SwaptionShift):INDEX($FO$325:$IH$396,GE$169,SwaptionMonthsToGo+SwaptionShift),INDEX($FO$245:$IH$316,$FN197-GE$169,73-GE$169+SwaptionShift):INDEX($FO$245:$IH$316,$FN197-GE$169,72-GE$169+SwaptionMonthsToGo+SwaptionShift))/SQRT(SUM(INDEX($FO352:$IH352,1+SwaptionShift):INDEX($FO352:$IH352,SwaptionMonthsToGo+SwaptionShift))*SUM(INDEX($FO$325:$IH$396,GE$169,1+SwaptionShift):INDEX($FO$325:$IH$396,GE$169,SwaptionMonthsToGo+SwaptionShift))))))</f>
        <v/>
      </c>
      <c r="GF197" s="469" t="str">
        <f ca="1">IF(OR(GF$169&lt;SwaptionFirstMonthPosition+1,$FN197&lt;SwaptionFirstMonthPosition+1,GF$169&gt;SwaptionFirstMonthPosition+SwaptionNumOfMonths+1,$FN197&gt;SwaptionFirstMonthPosition+SwaptionNumOfMonths+1),"",IF($FN197=GF$169,1,IF($FN197&lt;GF$169,INDEX($FO$170:$IH$241,GF$169,$FN197),SUMPRODUCT(INDEX($FO$325:$IH$396,GF$169,1+SwaptionShift):INDEX($FO$325:$IH$396,GF$169,SwaptionMonthsToGo+SwaptionShift),INDEX($FO$245:$IH$316,$FN197-GF$169,73-GF$169+SwaptionShift):INDEX($FO$245:$IH$316,$FN197-GF$169,72-GF$169+SwaptionMonthsToGo+SwaptionShift))/SQRT(SUM(INDEX($FO352:$IH352,1+SwaptionShift):INDEX($FO352:$IH352,SwaptionMonthsToGo+SwaptionShift))*SUM(INDEX($FO$325:$IH$396,GF$169,1+SwaptionShift):INDEX($FO$325:$IH$396,GF$169,SwaptionMonthsToGo+SwaptionShift))))))</f>
        <v/>
      </c>
      <c r="GG197" s="469" t="str">
        <f ca="1">IF(OR(GG$169&lt;SwaptionFirstMonthPosition+1,$FN197&lt;SwaptionFirstMonthPosition+1,GG$169&gt;SwaptionFirstMonthPosition+SwaptionNumOfMonths+1,$FN197&gt;SwaptionFirstMonthPosition+SwaptionNumOfMonths+1),"",IF($FN197=GG$169,1,IF($FN197&lt;GG$169,INDEX($FO$170:$IH$241,GG$169,$FN197),SUMPRODUCT(INDEX($FO$325:$IH$396,GG$169,1+SwaptionShift):INDEX($FO$325:$IH$396,GG$169,SwaptionMonthsToGo+SwaptionShift),INDEX($FO$245:$IH$316,$FN197-GG$169,73-GG$169+SwaptionShift):INDEX($FO$245:$IH$316,$FN197-GG$169,72-GG$169+SwaptionMonthsToGo+SwaptionShift))/SQRT(SUM(INDEX($FO352:$IH352,1+SwaptionShift):INDEX($FO352:$IH352,SwaptionMonthsToGo+SwaptionShift))*SUM(INDEX($FO$325:$IH$396,GG$169,1+SwaptionShift):INDEX($FO$325:$IH$396,GG$169,SwaptionMonthsToGo+SwaptionShift))))))</f>
        <v/>
      </c>
      <c r="GH197" s="469" t="str">
        <f ca="1">IF(OR(GH$169&lt;SwaptionFirstMonthPosition+1,$FN197&lt;SwaptionFirstMonthPosition+1,GH$169&gt;SwaptionFirstMonthPosition+SwaptionNumOfMonths+1,$FN197&gt;SwaptionFirstMonthPosition+SwaptionNumOfMonths+1),"",IF($FN197=GH$169,1,IF($FN197&lt;GH$169,INDEX($FO$170:$IH$241,GH$169,$FN197),SUMPRODUCT(INDEX($FO$325:$IH$396,GH$169,1+SwaptionShift):INDEX($FO$325:$IH$396,GH$169,SwaptionMonthsToGo+SwaptionShift),INDEX($FO$245:$IH$316,$FN197-GH$169,73-GH$169+SwaptionShift):INDEX($FO$245:$IH$316,$FN197-GH$169,72-GH$169+SwaptionMonthsToGo+SwaptionShift))/SQRT(SUM(INDEX($FO352:$IH352,1+SwaptionShift):INDEX($FO352:$IH352,SwaptionMonthsToGo+SwaptionShift))*SUM(INDEX($FO$325:$IH$396,GH$169,1+SwaptionShift):INDEX($FO$325:$IH$396,GH$169,SwaptionMonthsToGo+SwaptionShift))))))</f>
        <v/>
      </c>
      <c r="GI197" s="469" t="str">
        <f ca="1">IF(OR(GI$169&lt;SwaptionFirstMonthPosition+1,$FN197&lt;SwaptionFirstMonthPosition+1,GI$169&gt;SwaptionFirstMonthPosition+SwaptionNumOfMonths+1,$FN197&gt;SwaptionFirstMonthPosition+SwaptionNumOfMonths+1),"",IF($FN197=GI$169,1,IF($FN197&lt;GI$169,INDEX($FO$170:$IH$241,GI$169,$FN197),SUMPRODUCT(INDEX($FO$325:$IH$396,GI$169,1+SwaptionShift):INDEX($FO$325:$IH$396,GI$169,SwaptionMonthsToGo+SwaptionShift),INDEX($FO$245:$IH$316,$FN197-GI$169,73-GI$169+SwaptionShift):INDEX($FO$245:$IH$316,$FN197-GI$169,72-GI$169+SwaptionMonthsToGo+SwaptionShift))/SQRT(SUM(INDEX($FO352:$IH352,1+SwaptionShift):INDEX($FO352:$IH352,SwaptionMonthsToGo+SwaptionShift))*SUM(INDEX($FO$325:$IH$396,GI$169,1+SwaptionShift):INDEX($FO$325:$IH$396,GI$169,SwaptionMonthsToGo+SwaptionShift))))))</f>
        <v/>
      </c>
      <c r="GJ197" s="469" t="str">
        <f ca="1">IF(OR(GJ$169&lt;SwaptionFirstMonthPosition+1,$FN197&lt;SwaptionFirstMonthPosition+1,GJ$169&gt;SwaptionFirstMonthPosition+SwaptionNumOfMonths+1,$FN197&gt;SwaptionFirstMonthPosition+SwaptionNumOfMonths+1),"",IF($FN197=GJ$169,1,IF($FN197&lt;GJ$169,INDEX($FO$170:$IH$241,GJ$169,$FN197),SUMPRODUCT(INDEX($FO$325:$IH$396,GJ$169,1+SwaptionShift):INDEX($FO$325:$IH$396,GJ$169,SwaptionMonthsToGo+SwaptionShift),INDEX($FO$245:$IH$316,$FN197-GJ$169,73-GJ$169+SwaptionShift):INDEX($FO$245:$IH$316,$FN197-GJ$169,72-GJ$169+SwaptionMonthsToGo+SwaptionShift))/SQRT(SUM(INDEX($FO352:$IH352,1+SwaptionShift):INDEX($FO352:$IH352,SwaptionMonthsToGo+SwaptionShift))*SUM(INDEX($FO$325:$IH$396,GJ$169,1+SwaptionShift):INDEX($FO$325:$IH$396,GJ$169,SwaptionMonthsToGo+SwaptionShift))))))</f>
        <v/>
      </c>
      <c r="GK197" s="469" t="str">
        <f ca="1">IF(OR(GK$169&lt;SwaptionFirstMonthPosition+1,$FN197&lt;SwaptionFirstMonthPosition+1,GK$169&gt;SwaptionFirstMonthPosition+SwaptionNumOfMonths+1,$FN197&gt;SwaptionFirstMonthPosition+SwaptionNumOfMonths+1),"",IF($FN197=GK$169,1,IF($FN197&lt;GK$169,INDEX($FO$170:$IH$241,GK$169,$FN197),SUMPRODUCT(INDEX($FO$325:$IH$396,GK$169,1+SwaptionShift):INDEX($FO$325:$IH$396,GK$169,SwaptionMonthsToGo+SwaptionShift),INDEX($FO$245:$IH$316,$FN197-GK$169,73-GK$169+SwaptionShift):INDEX($FO$245:$IH$316,$FN197-GK$169,72-GK$169+SwaptionMonthsToGo+SwaptionShift))/SQRT(SUM(INDEX($FO352:$IH352,1+SwaptionShift):INDEX($FO352:$IH352,SwaptionMonthsToGo+SwaptionShift))*SUM(INDEX($FO$325:$IH$396,GK$169,1+SwaptionShift):INDEX($FO$325:$IH$396,GK$169,SwaptionMonthsToGo+SwaptionShift))))))</f>
        <v/>
      </c>
      <c r="GL197" s="469" t="str">
        <f ca="1">IF(OR(GL$169&lt;SwaptionFirstMonthPosition+1,$FN197&lt;SwaptionFirstMonthPosition+1,GL$169&gt;SwaptionFirstMonthPosition+SwaptionNumOfMonths+1,$FN197&gt;SwaptionFirstMonthPosition+SwaptionNumOfMonths+1),"",IF($FN197=GL$169,1,IF($FN197&lt;GL$169,INDEX($FO$170:$IH$241,GL$169,$FN197),SUMPRODUCT(INDEX($FO$325:$IH$396,GL$169,1+SwaptionShift):INDEX($FO$325:$IH$396,GL$169,SwaptionMonthsToGo+SwaptionShift),INDEX($FO$245:$IH$316,$FN197-GL$169,73-GL$169+SwaptionShift):INDEX($FO$245:$IH$316,$FN197-GL$169,72-GL$169+SwaptionMonthsToGo+SwaptionShift))/SQRT(SUM(INDEX($FO352:$IH352,1+SwaptionShift):INDEX($FO352:$IH352,SwaptionMonthsToGo+SwaptionShift))*SUM(INDEX($FO$325:$IH$396,GL$169,1+SwaptionShift):INDEX($FO$325:$IH$396,GL$169,SwaptionMonthsToGo+SwaptionShift))))))</f>
        <v/>
      </c>
      <c r="GM197" s="469" t="str">
        <f ca="1">IF(OR(GM$169&lt;SwaptionFirstMonthPosition+1,$FN197&lt;SwaptionFirstMonthPosition+1,GM$169&gt;SwaptionFirstMonthPosition+SwaptionNumOfMonths+1,$FN197&gt;SwaptionFirstMonthPosition+SwaptionNumOfMonths+1),"",IF($FN197=GM$169,1,IF($FN197&lt;GM$169,INDEX($FO$170:$IH$241,GM$169,$FN197),SUMPRODUCT(INDEX($FO$325:$IH$396,GM$169,1+SwaptionShift):INDEX($FO$325:$IH$396,GM$169,SwaptionMonthsToGo+SwaptionShift),INDEX($FO$245:$IH$316,$FN197-GM$169,73-GM$169+SwaptionShift):INDEX($FO$245:$IH$316,$FN197-GM$169,72-GM$169+SwaptionMonthsToGo+SwaptionShift))/SQRT(SUM(INDEX($FO352:$IH352,1+SwaptionShift):INDEX($FO352:$IH352,SwaptionMonthsToGo+SwaptionShift))*SUM(INDEX($FO$325:$IH$396,GM$169,1+SwaptionShift):INDEX($FO$325:$IH$396,GM$169,SwaptionMonthsToGo+SwaptionShift))))))</f>
        <v/>
      </c>
      <c r="GN197" s="469" t="str">
        <f ca="1">IF(OR(GN$169&lt;SwaptionFirstMonthPosition+1,$FN197&lt;SwaptionFirstMonthPosition+1,GN$169&gt;SwaptionFirstMonthPosition+SwaptionNumOfMonths+1,$FN197&gt;SwaptionFirstMonthPosition+SwaptionNumOfMonths+1),"",IF($FN197=GN$169,1,IF($FN197&lt;GN$169,INDEX($FO$170:$IH$241,GN$169,$FN197),SUMPRODUCT(INDEX($FO$325:$IH$396,GN$169,1+SwaptionShift):INDEX($FO$325:$IH$396,GN$169,SwaptionMonthsToGo+SwaptionShift),INDEX($FO$245:$IH$316,$FN197-GN$169,73-GN$169+SwaptionShift):INDEX($FO$245:$IH$316,$FN197-GN$169,72-GN$169+SwaptionMonthsToGo+SwaptionShift))/SQRT(SUM(INDEX($FO352:$IH352,1+SwaptionShift):INDEX($FO352:$IH352,SwaptionMonthsToGo+SwaptionShift))*SUM(INDEX($FO$325:$IH$396,GN$169,1+SwaptionShift):INDEX($FO$325:$IH$396,GN$169,SwaptionMonthsToGo+SwaptionShift))))))</f>
        <v/>
      </c>
      <c r="GO197" s="469" t="str">
        <f ca="1">IF(OR(GO$169&lt;SwaptionFirstMonthPosition+1,$FN197&lt;SwaptionFirstMonthPosition+1,GO$169&gt;SwaptionFirstMonthPosition+SwaptionNumOfMonths+1,$FN197&gt;SwaptionFirstMonthPosition+SwaptionNumOfMonths+1),"",IF($FN197=GO$169,1,IF($FN197&lt;GO$169,INDEX($FO$170:$IH$241,GO$169,$FN197),SUMPRODUCT(INDEX($FO$325:$IH$396,GO$169,1+SwaptionShift):INDEX($FO$325:$IH$396,GO$169,SwaptionMonthsToGo+SwaptionShift),INDEX($FO$245:$IH$316,$FN197-GO$169,73-GO$169+SwaptionShift):INDEX($FO$245:$IH$316,$FN197-GO$169,72-GO$169+SwaptionMonthsToGo+SwaptionShift))/SQRT(SUM(INDEX($FO352:$IH352,1+SwaptionShift):INDEX($FO352:$IH352,SwaptionMonthsToGo+SwaptionShift))*SUM(INDEX($FO$325:$IH$396,GO$169,1+SwaptionShift):INDEX($FO$325:$IH$396,GO$169,SwaptionMonthsToGo+SwaptionShift))))))</f>
        <v/>
      </c>
      <c r="GP197" s="469" t="str">
        <f ca="1">IF(OR(GP$169&lt;SwaptionFirstMonthPosition+1,$FN197&lt;SwaptionFirstMonthPosition+1,GP$169&gt;SwaptionFirstMonthPosition+SwaptionNumOfMonths+1,$FN197&gt;SwaptionFirstMonthPosition+SwaptionNumOfMonths+1),"",IF($FN197=GP$169,1,IF($FN197&lt;GP$169,INDEX($FO$170:$IH$241,GP$169,$FN197),SUMPRODUCT(INDEX($FO$325:$IH$396,GP$169,1+SwaptionShift):INDEX($FO$325:$IH$396,GP$169,SwaptionMonthsToGo+SwaptionShift),INDEX($FO$245:$IH$316,$FN197-GP$169,73-GP$169+SwaptionShift):INDEX($FO$245:$IH$316,$FN197-GP$169,72-GP$169+SwaptionMonthsToGo+SwaptionShift))/SQRT(SUM(INDEX($FO352:$IH352,1+SwaptionShift):INDEX($FO352:$IH352,SwaptionMonthsToGo+SwaptionShift))*SUM(INDEX($FO$325:$IH$396,GP$169,1+SwaptionShift):INDEX($FO$325:$IH$396,GP$169,SwaptionMonthsToGo+SwaptionShift))))))</f>
        <v/>
      </c>
      <c r="GQ197" s="469" t="str">
        <f ca="1">IF(OR(GQ$169&lt;SwaptionFirstMonthPosition+1,$FN197&lt;SwaptionFirstMonthPosition+1,GQ$169&gt;SwaptionFirstMonthPosition+SwaptionNumOfMonths+1,$FN197&gt;SwaptionFirstMonthPosition+SwaptionNumOfMonths+1),"",IF($FN197=GQ$169,1,IF($FN197&lt;GQ$169,INDEX($FO$170:$IH$241,GQ$169,$FN197),SUMPRODUCT(INDEX($FO$325:$IH$396,GQ$169,1+SwaptionShift):INDEX($FO$325:$IH$396,GQ$169,SwaptionMonthsToGo+SwaptionShift),INDEX($FO$245:$IH$316,$FN197-GQ$169,73-GQ$169+SwaptionShift):INDEX($FO$245:$IH$316,$FN197-GQ$169,72-GQ$169+SwaptionMonthsToGo+SwaptionShift))/SQRT(SUM(INDEX($FO352:$IH352,1+SwaptionShift):INDEX($FO352:$IH352,SwaptionMonthsToGo+SwaptionShift))*SUM(INDEX($FO$325:$IH$396,GQ$169,1+SwaptionShift):INDEX($FO$325:$IH$396,GQ$169,SwaptionMonthsToGo+SwaptionShift))))))</f>
        <v/>
      </c>
      <c r="GR197" s="469" t="str">
        <f ca="1">IF(OR(GR$169&lt;SwaptionFirstMonthPosition+1,$FN197&lt;SwaptionFirstMonthPosition+1,GR$169&gt;SwaptionFirstMonthPosition+SwaptionNumOfMonths+1,$FN197&gt;SwaptionFirstMonthPosition+SwaptionNumOfMonths+1),"",IF($FN197=GR$169,1,IF($FN197&lt;GR$169,INDEX($FO$170:$IH$241,GR$169,$FN197),SUMPRODUCT(INDEX($FO$325:$IH$396,GR$169,1+SwaptionShift):INDEX($FO$325:$IH$396,GR$169,SwaptionMonthsToGo+SwaptionShift),INDEX($FO$245:$IH$316,$FN197-GR$169,73-GR$169+SwaptionShift):INDEX($FO$245:$IH$316,$FN197-GR$169,72-GR$169+SwaptionMonthsToGo+SwaptionShift))/SQRT(SUM(INDEX($FO352:$IH352,1+SwaptionShift):INDEX($FO352:$IH352,SwaptionMonthsToGo+SwaptionShift))*SUM(INDEX($FO$325:$IH$396,GR$169,1+SwaptionShift):INDEX($FO$325:$IH$396,GR$169,SwaptionMonthsToGo+SwaptionShift))))))</f>
        <v/>
      </c>
      <c r="GS197" s="469" t="str">
        <f ca="1">IF(OR(GS$169&lt;SwaptionFirstMonthPosition+1,$FN197&lt;SwaptionFirstMonthPosition+1,GS$169&gt;SwaptionFirstMonthPosition+SwaptionNumOfMonths+1,$FN197&gt;SwaptionFirstMonthPosition+SwaptionNumOfMonths+1),"",IF($FN197=GS$169,1,IF($FN197&lt;GS$169,INDEX($FO$170:$IH$241,GS$169,$FN197),SUMPRODUCT(INDEX($FO$325:$IH$396,GS$169,1+SwaptionShift):INDEX($FO$325:$IH$396,GS$169,SwaptionMonthsToGo+SwaptionShift),INDEX($FO$245:$IH$316,$FN197-GS$169,73-GS$169+SwaptionShift):INDEX($FO$245:$IH$316,$FN197-GS$169,72-GS$169+SwaptionMonthsToGo+SwaptionShift))/SQRT(SUM(INDEX($FO352:$IH352,1+SwaptionShift):INDEX($FO352:$IH352,SwaptionMonthsToGo+SwaptionShift))*SUM(INDEX($FO$325:$IH$396,GS$169,1+SwaptionShift):INDEX($FO$325:$IH$396,GS$169,SwaptionMonthsToGo+SwaptionShift))))))</f>
        <v/>
      </c>
      <c r="GT197" s="469" t="str">
        <f ca="1">IF(OR(GT$169&lt;SwaptionFirstMonthPosition+1,$FN197&lt;SwaptionFirstMonthPosition+1,GT$169&gt;SwaptionFirstMonthPosition+SwaptionNumOfMonths+1,$FN197&gt;SwaptionFirstMonthPosition+SwaptionNumOfMonths+1),"",IF($FN197=GT$169,1,IF($FN197&lt;GT$169,INDEX($FO$170:$IH$241,GT$169,$FN197),SUMPRODUCT(INDEX($FO$325:$IH$396,GT$169,1+SwaptionShift):INDEX($FO$325:$IH$396,GT$169,SwaptionMonthsToGo+SwaptionShift),INDEX($FO$245:$IH$316,$FN197-GT$169,73-GT$169+SwaptionShift):INDEX($FO$245:$IH$316,$FN197-GT$169,72-GT$169+SwaptionMonthsToGo+SwaptionShift))/SQRT(SUM(INDEX($FO352:$IH352,1+SwaptionShift):INDEX($FO352:$IH352,SwaptionMonthsToGo+SwaptionShift))*SUM(INDEX($FO$325:$IH$396,GT$169,1+SwaptionShift):INDEX($FO$325:$IH$396,GT$169,SwaptionMonthsToGo+SwaptionShift))))))</f>
        <v/>
      </c>
      <c r="GU197" s="469" t="str">
        <f ca="1">IF(OR(GU$169&lt;SwaptionFirstMonthPosition+1,$FN197&lt;SwaptionFirstMonthPosition+1,GU$169&gt;SwaptionFirstMonthPosition+SwaptionNumOfMonths+1,$FN197&gt;SwaptionFirstMonthPosition+SwaptionNumOfMonths+1),"",IF($FN197=GU$169,1,IF($FN197&lt;GU$169,INDEX($FO$170:$IH$241,GU$169,$FN197),SUMPRODUCT(INDEX($FO$325:$IH$396,GU$169,1+SwaptionShift):INDEX($FO$325:$IH$396,GU$169,SwaptionMonthsToGo+SwaptionShift),INDEX($FO$245:$IH$316,$FN197-GU$169,73-GU$169+SwaptionShift):INDEX($FO$245:$IH$316,$FN197-GU$169,72-GU$169+SwaptionMonthsToGo+SwaptionShift))/SQRT(SUM(INDEX($FO352:$IH352,1+SwaptionShift):INDEX($FO352:$IH352,SwaptionMonthsToGo+SwaptionShift))*SUM(INDEX($FO$325:$IH$396,GU$169,1+SwaptionShift):INDEX($FO$325:$IH$396,GU$169,SwaptionMonthsToGo+SwaptionShift))))))</f>
        <v/>
      </c>
      <c r="GV197" s="469" t="str">
        <f ca="1">IF(OR(GV$169&lt;SwaptionFirstMonthPosition+1,$FN197&lt;SwaptionFirstMonthPosition+1,GV$169&gt;SwaptionFirstMonthPosition+SwaptionNumOfMonths+1,$FN197&gt;SwaptionFirstMonthPosition+SwaptionNumOfMonths+1),"",IF($FN197=GV$169,1,IF($FN197&lt;GV$169,INDEX($FO$170:$IH$241,GV$169,$FN197),SUMPRODUCT(INDEX($FO$325:$IH$396,GV$169,1+SwaptionShift):INDEX($FO$325:$IH$396,GV$169,SwaptionMonthsToGo+SwaptionShift),INDEX($FO$245:$IH$316,$FN197-GV$169,73-GV$169+SwaptionShift):INDEX($FO$245:$IH$316,$FN197-GV$169,72-GV$169+SwaptionMonthsToGo+SwaptionShift))/SQRT(SUM(INDEX($FO352:$IH352,1+SwaptionShift):INDEX($FO352:$IH352,SwaptionMonthsToGo+SwaptionShift))*SUM(INDEX($FO$325:$IH$396,GV$169,1+SwaptionShift):INDEX($FO$325:$IH$396,GV$169,SwaptionMonthsToGo+SwaptionShift))))))</f>
        <v/>
      </c>
      <c r="GW197" s="469" t="str">
        <f ca="1">IF(OR(GW$169&lt;SwaptionFirstMonthPosition+1,$FN197&lt;SwaptionFirstMonthPosition+1,GW$169&gt;SwaptionFirstMonthPosition+SwaptionNumOfMonths+1,$FN197&gt;SwaptionFirstMonthPosition+SwaptionNumOfMonths+1),"",IF($FN197=GW$169,1,IF($FN197&lt;GW$169,INDEX($FO$170:$IH$241,GW$169,$FN197),SUMPRODUCT(INDEX($FO$325:$IH$396,GW$169,1+SwaptionShift):INDEX($FO$325:$IH$396,GW$169,SwaptionMonthsToGo+SwaptionShift),INDEX($FO$245:$IH$316,$FN197-GW$169,73-GW$169+SwaptionShift):INDEX($FO$245:$IH$316,$FN197-GW$169,72-GW$169+SwaptionMonthsToGo+SwaptionShift))/SQRT(SUM(INDEX($FO352:$IH352,1+SwaptionShift):INDEX($FO352:$IH352,SwaptionMonthsToGo+SwaptionShift))*SUM(INDEX($FO$325:$IH$396,GW$169,1+SwaptionShift):INDEX($FO$325:$IH$396,GW$169,SwaptionMonthsToGo+SwaptionShift))))))</f>
        <v/>
      </c>
      <c r="GX197" s="469" t="str">
        <f ca="1">IF(OR(GX$169&lt;SwaptionFirstMonthPosition+1,$FN197&lt;SwaptionFirstMonthPosition+1,GX$169&gt;SwaptionFirstMonthPosition+SwaptionNumOfMonths+1,$FN197&gt;SwaptionFirstMonthPosition+SwaptionNumOfMonths+1),"",IF($FN197=GX$169,1,IF($FN197&lt;GX$169,INDEX($FO$170:$IH$241,GX$169,$FN197),SUMPRODUCT(INDEX($FO$325:$IH$396,GX$169,1+SwaptionShift):INDEX($FO$325:$IH$396,GX$169,SwaptionMonthsToGo+SwaptionShift),INDEX($FO$245:$IH$316,$FN197-GX$169,73-GX$169+SwaptionShift):INDEX($FO$245:$IH$316,$FN197-GX$169,72-GX$169+SwaptionMonthsToGo+SwaptionShift))/SQRT(SUM(INDEX($FO352:$IH352,1+SwaptionShift):INDEX($FO352:$IH352,SwaptionMonthsToGo+SwaptionShift))*SUM(INDEX($FO$325:$IH$396,GX$169,1+SwaptionShift):INDEX($FO$325:$IH$396,GX$169,SwaptionMonthsToGo+SwaptionShift))))))</f>
        <v/>
      </c>
      <c r="GY197" s="469" t="str">
        <f ca="1">IF(OR(GY$169&lt;SwaptionFirstMonthPosition+1,$FN197&lt;SwaptionFirstMonthPosition+1,GY$169&gt;SwaptionFirstMonthPosition+SwaptionNumOfMonths+1,$FN197&gt;SwaptionFirstMonthPosition+SwaptionNumOfMonths+1),"",IF($FN197=GY$169,1,IF($FN197&lt;GY$169,INDEX($FO$170:$IH$241,GY$169,$FN197),SUMPRODUCT(INDEX($FO$325:$IH$396,GY$169,1+SwaptionShift):INDEX($FO$325:$IH$396,GY$169,SwaptionMonthsToGo+SwaptionShift),INDEX($FO$245:$IH$316,$FN197-GY$169,73-GY$169+SwaptionShift):INDEX($FO$245:$IH$316,$FN197-GY$169,72-GY$169+SwaptionMonthsToGo+SwaptionShift))/SQRT(SUM(INDEX($FO352:$IH352,1+SwaptionShift):INDEX($FO352:$IH352,SwaptionMonthsToGo+SwaptionShift))*SUM(INDEX($FO$325:$IH$396,GY$169,1+SwaptionShift):INDEX($FO$325:$IH$396,GY$169,SwaptionMonthsToGo+SwaptionShift))))))</f>
        <v/>
      </c>
      <c r="GZ197" s="469" t="str">
        <f ca="1">IF(OR(GZ$169&lt;SwaptionFirstMonthPosition+1,$FN197&lt;SwaptionFirstMonthPosition+1,GZ$169&gt;SwaptionFirstMonthPosition+SwaptionNumOfMonths+1,$FN197&gt;SwaptionFirstMonthPosition+SwaptionNumOfMonths+1),"",IF($FN197=GZ$169,1,IF($FN197&lt;GZ$169,INDEX($FO$170:$IH$241,GZ$169,$FN197),SUMPRODUCT(INDEX($FO$325:$IH$396,GZ$169,1+SwaptionShift):INDEX($FO$325:$IH$396,GZ$169,SwaptionMonthsToGo+SwaptionShift),INDEX($FO$245:$IH$316,$FN197-GZ$169,73-GZ$169+SwaptionShift):INDEX($FO$245:$IH$316,$FN197-GZ$169,72-GZ$169+SwaptionMonthsToGo+SwaptionShift))/SQRT(SUM(INDEX($FO352:$IH352,1+SwaptionShift):INDEX($FO352:$IH352,SwaptionMonthsToGo+SwaptionShift))*SUM(INDEX($FO$325:$IH$396,GZ$169,1+SwaptionShift):INDEX($FO$325:$IH$396,GZ$169,SwaptionMonthsToGo+SwaptionShift))))))</f>
        <v/>
      </c>
      <c r="HA197" s="469" t="str">
        <f ca="1">IF(OR(HA$169&lt;SwaptionFirstMonthPosition+1,$FN197&lt;SwaptionFirstMonthPosition+1,HA$169&gt;SwaptionFirstMonthPosition+SwaptionNumOfMonths+1,$FN197&gt;SwaptionFirstMonthPosition+SwaptionNumOfMonths+1),"",IF($FN197=HA$169,1,IF($FN197&lt;HA$169,INDEX($FO$170:$IH$241,HA$169,$FN197),SUMPRODUCT(INDEX($FO$325:$IH$396,HA$169,1+SwaptionShift):INDEX($FO$325:$IH$396,HA$169,SwaptionMonthsToGo+SwaptionShift),INDEX($FO$245:$IH$316,$FN197-HA$169,73-HA$169+SwaptionShift):INDEX($FO$245:$IH$316,$FN197-HA$169,72-HA$169+SwaptionMonthsToGo+SwaptionShift))/SQRT(SUM(INDEX($FO352:$IH352,1+SwaptionShift):INDEX($FO352:$IH352,SwaptionMonthsToGo+SwaptionShift))*SUM(INDEX($FO$325:$IH$396,HA$169,1+SwaptionShift):INDEX($FO$325:$IH$396,HA$169,SwaptionMonthsToGo+SwaptionShift))))))</f>
        <v/>
      </c>
      <c r="HB197" s="469" t="str">
        <f ca="1">IF(OR(HB$169&lt;SwaptionFirstMonthPosition+1,$FN197&lt;SwaptionFirstMonthPosition+1,HB$169&gt;SwaptionFirstMonthPosition+SwaptionNumOfMonths+1,$FN197&gt;SwaptionFirstMonthPosition+SwaptionNumOfMonths+1),"",IF($FN197=HB$169,1,IF($FN197&lt;HB$169,INDEX($FO$170:$IH$241,HB$169,$FN197),SUMPRODUCT(INDEX($FO$325:$IH$396,HB$169,1+SwaptionShift):INDEX($FO$325:$IH$396,HB$169,SwaptionMonthsToGo+SwaptionShift),INDEX($FO$245:$IH$316,$FN197-HB$169,73-HB$169+SwaptionShift):INDEX($FO$245:$IH$316,$FN197-HB$169,72-HB$169+SwaptionMonthsToGo+SwaptionShift))/SQRT(SUM(INDEX($FO352:$IH352,1+SwaptionShift):INDEX($FO352:$IH352,SwaptionMonthsToGo+SwaptionShift))*SUM(INDEX($FO$325:$IH$396,HB$169,1+SwaptionShift):INDEX($FO$325:$IH$396,HB$169,SwaptionMonthsToGo+SwaptionShift))))))</f>
        <v/>
      </c>
      <c r="HC197" s="469" t="str">
        <f ca="1">IF(OR(HC$169&lt;SwaptionFirstMonthPosition+1,$FN197&lt;SwaptionFirstMonthPosition+1,HC$169&gt;SwaptionFirstMonthPosition+SwaptionNumOfMonths+1,$FN197&gt;SwaptionFirstMonthPosition+SwaptionNumOfMonths+1),"",IF($FN197=HC$169,1,IF($FN197&lt;HC$169,INDEX($FO$170:$IH$241,HC$169,$FN197),SUMPRODUCT(INDEX($FO$325:$IH$396,HC$169,1+SwaptionShift):INDEX($FO$325:$IH$396,HC$169,SwaptionMonthsToGo+SwaptionShift),INDEX($FO$245:$IH$316,$FN197-HC$169,73-HC$169+SwaptionShift):INDEX($FO$245:$IH$316,$FN197-HC$169,72-HC$169+SwaptionMonthsToGo+SwaptionShift))/SQRT(SUM(INDEX($FO352:$IH352,1+SwaptionShift):INDEX($FO352:$IH352,SwaptionMonthsToGo+SwaptionShift))*SUM(INDEX($FO$325:$IH$396,HC$169,1+SwaptionShift):INDEX($FO$325:$IH$396,HC$169,SwaptionMonthsToGo+SwaptionShift))))))</f>
        <v/>
      </c>
      <c r="HD197" s="469" t="str">
        <f ca="1">IF(OR(HD$169&lt;SwaptionFirstMonthPosition+1,$FN197&lt;SwaptionFirstMonthPosition+1,HD$169&gt;SwaptionFirstMonthPosition+SwaptionNumOfMonths+1,$FN197&gt;SwaptionFirstMonthPosition+SwaptionNumOfMonths+1),"",IF($FN197=HD$169,1,IF($FN197&lt;HD$169,INDEX($FO$170:$IH$241,HD$169,$FN197),SUMPRODUCT(INDEX($FO$325:$IH$396,HD$169,1+SwaptionShift):INDEX($FO$325:$IH$396,HD$169,SwaptionMonthsToGo+SwaptionShift),INDEX($FO$245:$IH$316,$FN197-HD$169,73-HD$169+SwaptionShift):INDEX($FO$245:$IH$316,$FN197-HD$169,72-HD$169+SwaptionMonthsToGo+SwaptionShift))/SQRT(SUM(INDEX($FO352:$IH352,1+SwaptionShift):INDEX($FO352:$IH352,SwaptionMonthsToGo+SwaptionShift))*SUM(INDEX($FO$325:$IH$396,HD$169,1+SwaptionShift):INDEX($FO$325:$IH$396,HD$169,SwaptionMonthsToGo+SwaptionShift))))))</f>
        <v/>
      </c>
      <c r="HE197" s="469" t="str">
        <f ca="1">IF(OR(HE$169&lt;SwaptionFirstMonthPosition+1,$FN197&lt;SwaptionFirstMonthPosition+1,HE$169&gt;SwaptionFirstMonthPosition+SwaptionNumOfMonths+1,$FN197&gt;SwaptionFirstMonthPosition+SwaptionNumOfMonths+1),"",IF($FN197=HE$169,1,IF($FN197&lt;HE$169,INDEX($FO$170:$IH$241,HE$169,$FN197),SUMPRODUCT(INDEX($FO$325:$IH$396,HE$169,1+SwaptionShift):INDEX($FO$325:$IH$396,HE$169,SwaptionMonthsToGo+SwaptionShift),INDEX($FO$245:$IH$316,$FN197-HE$169,73-HE$169+SwaptionShift):INDEX($FO$245:$IH$316,$FN197-HE$169,72-HE$169+SwaptionMonthsToGo+SwaptionShift))/SQRT(SUM(INDEX($FO352:$IH352,1+SwaptionShift):INDEX($FO352:$IH352,SwaptionMonthsToGo+SwaptionShift))*SUM(INDEX($FO$325:$IH$396,HE$169,1+SwaptionShift):INDEX($FO$325:$IH$396,HE$169,SwaptionMonthsToGo+SwaptionShift))))))</f>
        <v/>
      </c>
      <c r="HF197" s="469" t="str">
        <f ca="1">IF(OR(HF$169&lt;SwaptionFirstMonthPosition+1,$FN197&lt;SwaptionFirstMonthPosition+1,HF$169&gt;SwaptionFirstMonthPosition+SwaptionNumOfMonths+1,$FN197&gt;SwaptionFirstMonthPosition+SwaptionNumOfMonths+1),"",IF($FN197=HF$169,1,IF($FN197&lt;HF$169,INDEX($FO$170:$IH$241,HF$169,$FN197),SUMPRODUCT(INDEX($FO$325:$IH$396,HF$169,1+SwaptionShift):INDEX($FO$325:$IH$396,HF$169,SwaptionMonthsToGo+SwaptionShift),INDEX($FO$245:$IH$316,$FN197-HF$169,73-HF$169+SwaptionShift):INDEX($FO$245:$IH$316,$FN197-HF$169,72-HF$169+SwaptionMonthsToGo+SwaptionShift))/SQRT(SUM(INDEX($FO352:$IH352,1+SwaptionShift):INDEX($FO352:$IH352,SwaptionMonthsToGo+SwaptionShift))*SUM(INDEX($FO$325:$IH$396,HF$169,1+SwaptionShift):INDEX($FO$325:$IH$396,HF$169,SwaptionMonthsToGo+SwaptionShift))))))</f>
        <v/>
      </c>
      <c r="HG197" s="469" t="str">
        <f ca="1">IF(OR(HG$169&lt;SwaptionFirstMonthPosition+1,$FN197&lt;SwaptionFirstMonthPosition+1,HG$169&gt;SwaptionFirstMonthPosition+SwaptionNumOfMonths+1,$FN197&gt;SwaptionFirstMonthPosition+SwaptionNumOfMonths+1),"",IF($FN197=HG$169,1,IF($FN197&lt;HG$169,INDEX($FO$170:$IH$241,HG$169,$FN197),SUMPRODUCT(INDEX($FO$325:$IH$396,HG$169,1+SwaptionShift):INDEX($FO$325:$IH$396,HG$169,SwaptionMonthsToGo+SwaptionShift),INDEX($FO$245:$IH$316,$FN197-HG$169,73-HG$169+SwaptionShift):INDEX($FO$245:$IH$316,$FN197-HG$169,72-HG$169+SwaptionMonthsToGo+SwaptionShift))/SQRT(SUM(INDEX($FO352:$IH352,1+SwaptionShift):INDEX($FO352:$IH352,SwaptionMonthsToGo+SwaptionShift))*SUM(INDEX($FO$325:$IH$396,HG$169,1+SwaptionShift):INDEX($FO$325:$IH$396,HG$169,SwaptionMonthsToGo+SwaptionShift))))))</f>
        <v/>
      </c>
      <c r="HH197" s="469" t="str">
        <f ca="1">IF(OR(HH$169&lt;SwaptionFirstMonthPosition+1,$FN197&lt;SwaptionFirstMonthPosition+1,HH$169&gt;SwaptionFirstMonthPosition+SwaptionNumOfMonths+1,$FN197&gt;SwaptionFirstMonthPosition+SwaptionNumOfMonths+1),"",IF($FN197=HH$169,1,IF($FN197&lt;HH$169,INDEX($FO$170:$IH$241,HH$169,$FN197),SUMPRODUCT(INDEX($FO$325:$IH$396,HH$169,1+SwaptionShift):INDEX($FO$325:$IH$396,HH$169,SwaptionMonthsToGo+SwaptionShift),INDEX($FO$245:$IH$316,$FN197-HH$169,73-HH$169+SwaptionShift):INDEX($FO$245:$IH$316,$FN197-HH$169,72-HH$169+SwaptionMonthsToGo+SwaptionShift))/SQRT(SUM(INDEX($FO352:$IH352,1+SwaptionShift):INDEX($FO352:$IH352,SwaptionMonthsToGo+SwaptionShift))*SUM(INDEX($FO$325:$IH$396,HH$169,1+SwaptionShift):INDEX($FO$325:$IH$396,HH$169,SwaptionMonthsToGo+SwaptionShift))))))</f>
        <v/>
      </c>
      <c r="HI197" s="469" t="str">
        <f ca="1">IF(OR(HI$169&lt;SwaptionFirstMonthPosition+1,$FN197&lt;SwaptionFirstMonthPosition+1,HI$169&gt;SwaptionFirstMonthPosition+SwaptionNumOfMonths+1,$FN197&gt;SwaptionFirstMonthPosition+SwaptionNumOfMonths+1),"",IF($FN197=HI$169,1,IF($FN197&lt;HI$169,INDEX($FO$170:$IH$241,HI$169,$FN197),SUMPRODUCT(INDEX($FO$325:$IH$396,HI$169,1+SwaptionShift):INDEX($FO$325:$IH$396,HI$169,SwaptionMonthsToGo+SwaptionShift),INDEX($FO$245:$IH$316,$FN197-HI$169,73-HI$169+SwaptionShift):INDEX($FO$245:$IH$316,$FN197-HI$169,72-HI$169+SwaptionMonthsToGo+SwaptionShift))/SQRT(SUM(INDEX($FO352:$IH352,1+SwaptionShift):INDEX($FO352:$IH352,SwaptionMonthsToGo+SwaptionShift))*SUM(INDEX($FO$325:$IH$396,HI$169,1+SwaptionShift):INDEX($FO$325:$IH$396,HI$169,SwaptionMonthsToGo+SwaptionShift))))))</f>
        <v/>
      </c>
      <c r="HJ197" s="469" t="str">
        <f ca="1">IF(OR(HJ$169&lt;SwaptionFirstMonthPosition+1,$FN197&lt;SwaptionFirstMonthPosition+1,HJ$169&gt;SwaptionFirstMonthPosition+SwaptionNumOfMonths+1,$FN197&gt;SwaptionFirstMonthPosition+SwaptionNumOfMonths+1),"",IF($FN197=HJ$169,1,IF($FN197&lt;HJ$169,INDEX($FO$170:$IH$241,HJ$169,$FN197),SUMPRODUCT(INDEX($FO$325:$IH$396,HJ$169,1+SwaptionShift):INDEX($FO$325:$IH$396,HJ$169,SwaptionMonthsToGo+SwaptionShift),INDEX($FO$245:$IH$316,$FN197-HJ$169,73-HJ$169+SwaptionShift):INDEX($FO$245:$IH$316,$FN197-HJ$169,72-HJ$169+SwaptionMonthsToGo+SwaptionShift))/SQRT(SUM(INDEX($FO352:$IH352,1+SwaptionShift):INDEX($FO352:$IH352,SwaptionMonthsToGo+SwaptionShift))*SUM(INDEX($FO$325:$IH$396,HJ$169,1+SwaptionShift):INDEX($FO$325:$IH$396,HJ$169,SwaptionMonthsToGo+SwaptionShift))))))</f>
        <v/>
      </c>
      <c r="HK197" s="469" t="str">
        <f ca="1">IF(OR(HK$169&lt;SwaptionFirstMonthPosition+1,$FN197&lt;SwaptionFirstMonthPosition+1,HK$169&gt;SwaptionFirstMonthPosition+SwaptionNumOfMonths+1,$FN197&gt;SwaptionFirstMonthPosition+SwaptionNumOfMonths+1),"",IF($FN197=HK$169,1,IF($FN197&lt;HK$169,INDEX($FO$170:$IH$241,HK$169,$FN197),SUMPRODUCT(INDEX($FO$325:$IH$396,HK$169,1+SwaptionShift):INDEX($FO$325:$IH$396,HK$169,SwaptionMonthsToGo+SwaptionShift),INDEX($FO$245:$IH$316,$FN197-HK$169,73-HK$169+SwaptionShift):INDEX($FO$245:$IH$316,$FN197-HK$169,72-HK$169+SwaptionMonthsToGo+SwaptionShift))/SQRT(SUM(INDEX($FO352:$IH352,1+SwaptionShift):INDEX($FO352:$IH352,SwaptionMonthsToGo+SwaptionShift))*SUM(INDEX($FO$325:$IH$396,HK$169,1+SwaptionShift):INDEX($FO$325:$IH$396,HK$169,SwaptionMonthsToGo+SwaptionShift))))))</f>
        <v/>
      </c>
      <c r="HL197" s="469" t="str">
        <f ca="1">IF(OR(HL$169&lt;SwaptionFirstMonthPosition+1,$FN197&lt;SwaptionFirstMonthPosition+1,HL$169&gt;SwaptionFirstMonthPosition+SwaptionNumOfMonths+1,$FN197&gt;SwaptionFirstMonthPosition+SwaptionNumOfMonths+1),"",IF($FN197=HL$169,1,IF($FN197&lt;HL$169,INDEX($FO$170:$IH$241,HL$169,$FN197),SUMPRODUCT(INDEX($FO$325:$IH$396,HL$169,1+SwaptionShift):INDEX($FO$325:$IH$396,HL$169,SwaptionMonthsToGo+SwaptionShift),INDEX($FO$245:$IH$316,$FN197-HL$169,73-HL$169+SwaptionShift):INDEX($FO$245:$IH$316,$FN197-HL$169,72-HL$169+SwaptionMonthsToGo+SwaptionShift))/SQRT(SUM(INDEX($FO352:$IH352,1+SwaptionShift):INDEX($FO352:$IH352,SwaptionMonthsToGo+SwaptionShift))*SUM(INDEX($FO$325:$IH$396,HL$169,1+SwaptionShift):INDEX($FO$325:$IH$396,HL$169,SwaptionMonthsToGo+SwaptionShift))))))</f>
        <v/>
      </c>
      <c r="HM197" s="469" t="str">
        <f ca="1">IF(OR(HM$169&lt;SwaptionFirstMonthPosition+1,$FN197&lt;SwaptionFirstMonthPosition+1,HM$169&gt;SwaptionFirstMonthPosition+SwaptionNumOfMonths+1,$FN197&gt;SwaptionFirstMonthPosition+SwaptionNumOfMonths+1),"",IF($FN197=HM$169,1,IF($FN197&lt;HM$169,INDEX($FO$170:$IH$241,HM$169,$FN197),SUMPRODUCT(INDEX($FO$325:$IH$396,HM$169,1+SwaptionShift):INDEX($FO$325:$IH$396,HM$169,SwaptionMonthsToGo+SwaptionShift),INDEX($FO$245:$IH$316,$FN197-HM$169,73-HM$169+SwaptionShift):INDEX($FO$245:$IH$316,$FN197-HM$169,72-HM$169+SwaptionMonthsToGo+SwaptionShift))/SQRT(SUM(INDEX($FO352:$IH352,1+SwaptionShift):INDEX($FO352:$IH352,SwaptionMonthsToGo+SwaptionShift))*SUM(INDEX($FO$325:$IH$396,HM$169,1+SwaptionShift):INDEX($FO$325:$IH$396,HM$169,SwaptionMonthsToGo+SwaptionShift))))))</f>
        <v/>
      </c>
      <c r="HN197" s="469" t="str">
        <f ca="1">IF(OR(HN$169&lt;SwaptionFirstMonthPosition+1,$FN197&lt;SwaptionFirstMonthPosition+1,HN$169&gt;SwaptionFirstMonthPosition+SwaptionNumOfMonths+1,$FN197&gt;SwaptionFirstMonthPosition+SwaptionNumOfMonths+1),"",IF($FN197=HN$169,1,IF($FN197&lt;HN$169,INDEX($FO$170:$IH$241,HN$169,$FN197),SUMPRODUCT(INDEX($FO$325:$IH$396,HN$169,1+SwaptionShift):INDEX($FO$325:$IH$396,HN$169,SwaptionMonthsToGo+SwaptionShift),INDEX($FO$245:$IH$316,$FN197-HN$169,73-HN$169+SwaptionShift):INDEX($FO$245:$IH$316,$FN197-HN$169,72-HN$169+SwaptionMonthsToGo+SwaptionShift))/SQRT(SUM(INDEX($FO352:$IH352,1+SwaptionShift):INDEX($FO352:$IH352,SwaptionMonthsToGo+SwaptionShift))*SUM(INDEX($FO$325:$IH$396,HN$169,1+SwaptionShift):INDEX($FO$325:$IH$396,HN$169,SwaptionMonthsToGo+SwaptionShift))))))</f>
        <v/>
      </c>
      <c r="HO197" s="469" t="str">
        <f ca="1">IF(OR(HO$169&lt;SwaptionFirstMonthPosition+1,$FN197&lt;SwaptionFirstMonthPosition+1,HO$169&gt;SwaptionFirstMonthPosition+SwaptionNumOfMonths+1,$FN197&gt;SwaptionFirstMonthPosition+SwaptionNumOfMonths+1),"",IF($FN197=HO$169,1,IF($FN197&lt;HO$169,INDEX($FO$170:$IH$241,HO$169,$FN197),SUMPRODUCT(INDEX($FO$325:$IH$396,HO$169,1+SwaptionShift):INDEX($FO$325:$IH$396,HO$169,SwaptionMonthsToGo+SwaptionShift),INDEX($FO$245:$IH$316,$FN197-HO$169,73-HO$169+SwaptionShift):INDEX($FO$245:$IH$316,$FN197-HO$169,72-HO$169+SwaptionMonthsToGo+SwaptionShift))/SQRT(SUM(INDEX($FO352:$IH352,1+SwaptionShift):INDEX($FO352:$IH352,SwaptionMonthsToGo+SwaptionShift))*SUM(INDEX($FO$325:$IH$396,HO$169,1+SwaptionShift):INDEX($FO$325:$IH$396,HO$169,SwaptionMonthsToGo+SwaptionShift))))))</f>
        <v/>
      </c>
      <c r="HP197" s="469" t="str">
        <f ca="1">IF(OR(HP$169&lt;SwaptionFirstMonthPosition+1,$FN197&lt;SwaptionFirstMonthPosition+1,HP$169&gt;SwaptionFirstMonthPosition+SwaptionNumOfMonths+1,$FN197&gt;SwaptionFirstMonthPosition+SwaptionNumOfMonths+1),"",IF($FN197=HP$169,1,IF($FN197&lt;HP$169,INDEX($FO$170:$IH$241,HP$169,$FN197),SUMPRODUCT(INDEX($FO$325:$IH$396,HP$169,1+SwaptionShift):INDEX($FO$325:$IH$396,HP$169,SwaptionMonthsToGo+SwaptionShift),INDEX($FO$245:$IH$316,$FN197-HP$169,73-HP$169+SwaptionShift):INDEX($FO$245:$IH$316,$FN197-HP$169,72-HP$169+SwaptionMonthsToGo+SwaptionShift))/SQRT(SUM(INDEX($FO352:$IH352,1+SwaptionShift):INDEX($FO352:$IH352,SwaptionMonthsToGo+SwaptionShift))*SUM(INDEX($FO$325:$IH$396,HP$169,1+SwaptionShift):INDEX($FO$325:$IH$396,HP$169,SwaptionMonthsToGo+SwaptionShift))))))</f>
        <v/>
      </c>
      <c r="HQ197" s="469" t="str">
        <f ca="1">IF(OR(HQ$169&lt;SwaptionFirstMonthPosition+1,$FN197&lt;SwaptionFirstMonthPosition+1,HQ$169&gt;SwaptionFirstMonthPosition+SwaptionNumOfMonths+1,$FN197&gt;SwaptionFirstMonthPosition+SwaptionNumOfMonths+1),"",IF($FN197=HQ$169,1,IF($FN197&lt;HQ$169,INDEX($FO$170:$IH$241,HQ$169,$FN197),SUMPRODUCT(INDEX($FO$325:$IH$396,HQ$169,1+SwaptionShift):INDEX($FO$325:$IH$396,HQ$169,SwaptionMonthsToGo+SwaptionShift),INDEX($FO$245:$IH$316,$FN197-HQ$169,73-HQ$169+SwaptionShift):INDEX($FO$245:$IH$316,$FN197-HQ$169,72-HQ$169+SwaptionMonthsToGo+SwaptionShift))/SQRT(SUM(INDEX($FO352:$IH352,1+SwaptionShift):INDEX($FO352:$IH352,SwaptionMonthsToGo+SwaptionShift))*SUM(INDEX($FO$325:$IH$396,HQ$169,1+SwaptionShift):INDEX($FO$325:$IH$396,HQ$169,SwaptionMonthsToGo+SwaptionShift))))))</f>
        <v/>
      </c>
      <c r="HR197" s="469" t="str">
        <f ca="1">IF(OR(HR$169&lt;SwaptionFirstMonthPosition+1,$FN197&lt;SwaptionFirstMonthPosition+1,HR$169&gt;SwaptionFirstMonthPosition+SwaptionNumOfMonths+1,$FN197&gt;SwaptionFirstMonthPosition+SwaptionNumOfMonths+1),"",IF($FN197=HR$169,1,IF($FN197&lt;HR$169,INDEX($FO$170:$IH$241,HR$169,$FN197),SUMPRODUCT(INDEX($FO$325:$IH$396,HR$169,1+SwaptionShift):INDEX($FO$325:$IH$396,HR$169,SwaptionMonthsToGo+SwaptionShift),INDEX($FO$245:$IH$316,$FN197-HR$169,73-HR$169+SwaptionShift):INDEX($FO$245:$IH$316,$FN197-HR$169,72-HR$169+SwaptionMonthsToGo+SwaptionShift))/SQRT(SUM(INDEX($FO352:$IH352,1+SwaptionShift):INDEX($FO352:$IH352,SwaptionMonthsToGo+SwaptionShift))*SUM(INDEX($FO$325:$IH$396,HR$169,1+SwaptionShift):INDEX($FO$325:$IH$396,HR$169,SwaptionMonthsToGo+SwaptionShift))))))</f>
        <v/>
      </c>
      <c r="HS197" s="469" t="str">
        <f ca="1">IF(OR(HS$169&lt;SwaptionFirstMonthPosition+1,$FN197&lt;SwaptionFirstMonthPosition+1,HS$169&gt;SwaptionFirstMonthPosition+SwaptionNumOfMonths+1,$FN197&gt;SwaptionFirstMonthPosition+SwaptionNumOfMonths+1),"",IF($FN197=HS$169,1,IF($FN197&lt;HS$169,INDEX($FO$170:$IH$241,HS$169,$FN197),SUMPRODUCT(INDEX($FO$325:$IH$396,HS$169,1+SwaptionShift):INDEX($FO$325:$IH$396,HS$169,SwaptionMonthsToGo+SwaptionShift),INDEX($FO$245:$IH$316,$FN197-HS$169,73-HS$169+SwaptionShift):INDEX($FO$245:$IH$316,$FN197-HS$169,72-HS$169+SwaptionMonthsToGo+SwaptionShift))/SQRT(SUM(INDEX($FO352:$IH352,1+SwaptionShift):INDEX($FO352:$IH352,SwaptionMonthsToGo+SwaptionShift))*SUM(INDEX($FO$325:$IH$396,HS$169,1+SwaptionShift):INDEX($FO$325:$IH$396,HS$169,SwaptionMonthsToGo+SwaptionShift))))))</f>
        <v/>
      </c>
      <c r="HT197" s="469" t="str">
        <f ca="1">IF(OR(HT$169&lt;SwaptionFirstMonthPosition+1,$FN197&lt;SwaptionFirstMonthPosition+1,HT$169&gt;SwaptionFirstMonthPosition+SwaptionNumOfMonths+1,$FN197&gt;SwaptionFirstMonthPosition+SwaptionNumOfMonths+1),"",IF($FN197=HT$169,1,IF($FN197&lt;HT$169,INDEX($FO$170:$IH$241,HT$169,$FN197),SUMPRODUCT(INDEX($FO$325:$IH$396,HT$169,1+SwaptionShift):INDEX($FO$325:$IH$396,HT$169,SwaptionMonthsToGo+SwaptionShift),INDEX($FO$245:$IH$316,$FN197-HT$169,73-HT$169+SwaptionShift):INDEX($FO$245:$IH$316,$FN197-HT$169,72-HT$169+SwaptionMonthsToGo+SwaptionShift))/SQRT(SUM(INDEX($FO352:$IH352,1+SwaptionShift):INDEX($FO352:$IH352,SwaptionMonthsToGo+SwaptionShift))*SUM(INDEX($FO$325:$IH$396,HT$169,1+SwaptionShift):INDEX($FO$325:$IH$396,HT$169,SwaptionMonthsToGo+SwaptionShift))))))</f>
        <v/>
      </c>
      <c r="HU197" s="469" t="str">
        <f ca="1">IF(OR(HU$169&lt;SwaptionFirstMonthPosition+1,$FN197&lt;SwaptionFirstMonthPosition+1,HU$169&gt;SwaptionFirstMonthPosition+SwaptionNumOfMonths+1,$FN197&gt;SwaptionFirstMonthPosition+SwaptionNumOfMonths+1),"",IF($FN197=HU$169,1,IF($FN197&lt;HU$169,INDEX($FO$170:$IH$241,HU$169,$FN197),SUMPRODUCT(INDEX($FO$325:$IH$396,HU$169,1+SwaptionShift):INDEX($FO$325:$IH$396,HU$169,SwaptionMonthsToGo+SwaptionShift),INDEX($FO$245:$IH$316,$FN197-HU$169,73-HU$169+SwaptionShift):INDEX($FO$245:$IH$316,$FN197-HU$169,72-HU$169+SwaptionMonthsToGo+SwaptionShift))/SQRT(SUM(INDEX($FO352:$IH352,1+SwaptionShift):INDEX($FO352:$IH352,SwaptionMonthsToGo+SwaptionShift))*SUM(INDEX($FO$325:$IH$396,HU$169,1+SwaptionShift):INDEX($FO$325:$IH$396,HU$169,SwaptionMonthsToGo+SwaptionShift))))))</f>
        <v/>
      </c>
      <c r="HV197" s="469" t="str">
        <f ca="1">IF(OR(HV$169&lt;SwaptionFirstMonthPosition+1,$FN197&lt;SwaptionFirstMonthPosition+1,HV$169&gt;SwaptionFirstMonthPosition+SwaptionNumOfMonths+1,$FN197&gt;SwaptionFirstMonthPosition+SwaptionNumOfMonths+1),"",IF($FN197=HV$169,1,IF($FN197&lt;HV$169,INDEX($FO$170:$IH$241,HV$169,$FN197),SUMPRODUCT(INDEX($FO$325:$IH$396,HV$169,1+SwaptionShift):INDEX($FO$325:$IH$396,HV$169,SwaptionMonthsToGo+SwaptionShift),INDEX($FO$245:$IH$316,$FN197-HV$169,73-HV$169+SwaptionShift):INDEX($FO$245:$IH$316,$FN197-HV$169,72-HV$169+SwaptionMonthsToGo+SwaptionShift))/SQRT(SUM(INDEX($FO352:$IH352,1+SwaptionShift):INDEX($FO352:$IH352,SwaptionMonthsToGo+SwaptionShift))*SUM(INDEX($FO$325:$IH$396,HV$169,1+SwaptionShift):INDEX($FO$325:$IH$396,HV$169,SwaptionMonthsToGo+SwaptionShift))))))</f>
        <v/>
      </c>
      <c r="HW197" s="469" t="str">
        <f ca="1">IF(OR(HW$169&lt;SwaptionFirstMonthPosition+1,$FN197&lt;SwaptionFirstMonthPosition+1,HW$169&gt;SwaptionFirstMonthPosition+SwaptionNumOfMonths+1,$FN197&gt;SwaptionFirstMonthPosition+SwaptionNumOfMonths+1),"",IF($FN197=HW$169,1,IF($FN197&lt;HW$169,INDEX($FO$170:$IH$241,HW$169,$FN197),SUMPRODUCT(INDEX($FO$325:$IH$396,HW$169,1+SwaptionShift):INDEX($FO$325:$IH$396,HW$169,SwaptionMonthsToGo+SwaptionShift),INDEX($FO$245:$IH$316,$FN197-HW$169,73-HW$169+SwaptionShift):INDEX($FO$245:$IH$316,$FN197-HW$169,72-HW$169+SwaptionMonthsToGo+SwaptionShift))/SQRT(SUM(INDEX($FO352:$IH352,1+SwaptionShift):INDEX($FO352:$IH352,SwaptionMonthsToGo+SwaptionShift))*SUM(INDEX($FO$325:$IH$396,HW$169,1+SwaptionShift):INDEX($FO$325:$IH$396,HW$169,SwaptionMonthsToGo+SwaptionShift))))))</f>
        <v/>
      </c>
      <c r="HX197" s="469" t="str">
        <f ca="1">IF(OR(HX$169&lt;SwaptionFirstMonthPosition+1,$FN197&lt;SwaptionFirstMonthPosition+1,HX$169&gt;SwaptionFirstMonthPosition+SwaptionNumOfMonths+1,$FN197&gt;SwaptionFirstMonthPosition+SwaptionNumOfMonths+1),"",IF($FN197=HX$169,1,IF($FN197&lt;HX$169,INDEX($FO$170:$IH$241,HX$169,$FN197),SUMPRODUCT(INDEX($FO$325:$IH$396,HX$169,1+SwaptionShift):INDEX($FO$325:$IH$396,HX$169,SwaptionMonthsToGo+SwaptionShift),INDEX($FO$245:$IH$316,$FN197-HX$169,73-HX$169+SwaptionShift):INDEX($FO$245:$IH$316,$FN197-HX$169,72-HX$169+SwaptionMonthsToGo+SwaptionShift))/SQRT(SUM(INDEX($FO352:$IH352,1+SwaptionShift):INDEX($FO352:$IH352,SwaptionMonthsToGo+SwaptionShift))*SUM(INDEX($FO$325:$IH$396,HX$169,1+SwaptionShift):INDEX($FO$325:$IH$396,HX$169,SwaptionMonthsToGo+SwaptionShift))))))</f>
        <v/>
      </c>
      <c r="HY197" s="469" t="str">
        <f ca="1">IF(OR(HY$169&lt;SwaptionFirstMonthPosition+1,$FN197&lt;SwaptionFirstMonthPosition+1,HY$169&gt;SwaptionFirstMonthPosition+SwaptionNumOfMonths+1,$FN197&gt;SwaptionFirstMonthPosition+SwaptionNumOfMonths+1),"",IF($FN197=HY$169,1,IF($FN197&lt;HY$169,INDEX($FO$170:$IH$241,HY$169,$FN197),SUMPRODUCT(INDEX($FO$325:$IH$396,HY$169,1+SwaptionShift):INDEX($FO$325:$IH$396,HY$169,SwaptionMonthsToGo+SwaptionShift),INDEX($FO$245:$IH$316,$FN197-HY$169,73-HY$169+SwaptionShift):INDEX($FO$245:$IH$316,$FN197-HY$169,72-HY$169+SwaptionMonthsToGo+SwaptionShift))/SQRT(SUM(INDEX($FO352:$IH352,1+SwaptionShift):INDEX($FO352:$IH352,SwaptionMonthsToGo+SwaptionShift))*SUM(INDEX($FO$325:$IH$396,HY$169,1+SwaptionShift):INDEX($FO$325:$IH$396,HY$169,SwaptionMonthsToGo+SwaptionShift))))))</f>
        <v/>
      </c>
      <c r="HZ197" s="469" t="str">
        <f ca="1">IF(OR(HZ$169&lt;SwaptionFirstMonthPosition+1,$FN197&lt;SwaptionFirstMonthPosition+1,HZ$169&gt;SwaptionFirstMonthPosition+SwaptionNumOfMonths+1,$FN197&gt;SwaptionFirstMonthPosition+SwaptionNumOfMonths+1),"",IF($FN197=HZ$169,1,IF($FN197&lt;HZ$169,INDEX($FO$170:$IH$241,HZ$169,$FN197),SUMPRODUCT(INDEX($FO$325:$IH$396,HZ$169,1+SwaptionShift):INDEX($FO$325:$IH$396,HZ$169,SwaptionMonthsToGo+SwaptionShift),INDEX($FO$245:$IH$316,$FN197-HZ$169,73-HZ$169+SwaptionShift):INDEX($FO$245:$IH$316,$FN197-HZ$169,72-HZ$169+SwaptionMonthsToGo+SwaptionShift))/SQRT(SUM(INDEX($FO352:$IH352,1+SwaptionShift):INDEX($FO352:$IH352,SwaptionMonthsToGo+SwaptionShift))*SUM(INDEX($FO$325:$IH$396,HZ$169,1+SwaptionShift):INDEX($FO$325:$IH$396,HZ$169,SwaptionMonthsToGo+SwaptionShift))))))</f>
        <v/>
      </c>
      <c r="IA197" s="469" t="str">
        <f ca="1">IF(OR(IA$169&lt;SwaptionFirstMonthPosition+1,$FN197&lt;SwaptionFirstMonthPosition+1,IA$169&gt;SwaptionFirstMonthPosition+SwaptionNumOfMonths+1,$FN197&gt;SwaptionFirstMonthPosition+SwaptionNumOfMonths+1),"",IF($FN197=IA$169,1,IF($FN197&lt;IA$169,INDEX($FO$170:$IH$241,IA$169,$FN197),SUMPRODUCT(INDEX($FO$325:$IH$396,IA$169,1+SwaptionShift):INDEX($FO$325:$IH$396,IA$169,SwaptionMonthsToGo+SwaptionShift),INDEX($FO$245:$IH$316,$FN197-IA$169,73-IA$169+SwaptionShift):INDEX($FO$245:$IH$316,$FN197-IA$169,72-IA$169+SwaptionMonthsToGo+SwaptionShift))/SQRT(SUM(INDEX($FO352:$IH352,1+SwaptionShift):INDEX($FO352:$IH352,SwaptionMonthsToGo+SwaptionShift))*SUM(INDEX($FO$325:$IH$396,IA$169,1+SwaptionShift):INDEX($FO$325:$IH$396,IA$169,SwaptionMonthsToGo+SwaptionShift))))))</f>
        <v/>
      </c>
      <c r="IB197" s="469" t="str">
        <f ca="1">IF(OR(IB$169&lt;SwaptionFirstMonthPosition+1,$FN197&lt;SwaptionFirstMonthPosition+1,IB$169&gt;SwaptionFirstMonthPosition+SwaptionNumOfMonths+1,$FN197&gt;SwaptionFirstMonthPosition+SwaptionNumOfMonths+1),"",IF($FN197=IB$169,1,IF($FN197&lt;IB$169,INDEX($FO$170:$IH$241,IB$169,$FN197),SUMPRODUCT(INDEX($FO$325:$IH$396,IB$169,1+SwaptionShift):INDEX($FO$325:$IH$396,IB$169,SwaptionMonthsToGo+SwaptionShift),INDEX($FO$245:$IH$316,$FN197-IB$169,73-IB$169+SwaptionShift):INDEX($FO$245:$IH$316,$FN197-IB$169,72-IB$169+SwaptionMonthsToGo+SwaptionShift))/SQRT(SUM(INDEX($FO352:$IH352,1+SwaptionShift):INDEX($FO352:$IH352,SwaptionMonthsToGo+SwaptionShift))*SUM(INDEX($FO$325:$IH$396,IB$169,1+SwaptionShift):INDEX($FO$325:$IH$396,IB$169,SwaptionMonthsToGo+SwaptionShift))))))</f>
        <v/>
      </c>
      <c r="IC197" s="469" t="str">
        <f ca="1">IF(OR(IC$169&lt;SwaptionFirstMonthPosition+1,$FN197&lt;SwaptionFirstMonthPosition+1,IC$169&gt;SwaptionFirstMonthPosition+SwaptionNumOfMonths+1,$FN197&gt;SwaptionFirstMonthPosition+SwaptionNumOfMonths+1),"",IF($FN197=IC$169,1,IF($FN197&lt;IC$169,INDEX($FO$170:$IH$241,IC$169,$FN197),SUMPRODUCT(INDEX($FO$325:$IH$396,IC$169,1+SwaptionShift):INDEX($FO$325:$IH$396,IC$169,SwaptionMonthsToGo+SwaptionShift),INDEX($FO$245:$IH$316,$FN197-IC$169,73-IC$169+SwaptionShift):INDEX($FO$245:$IH$316,$FN197-IC$169,72-IC$169+SwaptionMonthsToGo+SwaptionShift))/SQRT(SUM(INDEX($FO352:$IH352,1+SwaptionShift):INDEX($FO352:$IH352,SwaptionMonthsToGo+SwaptionShift))*SUM(INDEX($FO$325:$IH$396,IC$169,1+SwaptionShift):INDEX($FO$325:$IH$396,IC$169,SwaptionMonthsToGo+SwaptionShift))))))</f>
        <v/>
      </c>
      <c r="ID197" s="469" t="str">
        <f ca="1">IF(OR(ID$169&lt;SwaptionFirstMonthPosition+1,$FN197&lt;SwaptionFirstMonthPosition+1,ID$169&gt;SwaptionFirstMonthPosition+SwaptionNumOfMonths+1,$FN197&gt;SwaptionFirstMonthPosition+SwaptionNumOfMonths+1),"",IF($FN197=ID$169,1,IF($FN197&lt;ID$169,INDEX($FO$170:$IH$241,ID$169,$FN197),SUMPRODUCT(INDEX($FO$325:$IH$396,ID$169,1+SwaptionShift):INDEX($FO$325:$IH$396,ID$169,SwaptionMonthsToGo+SwaptionShift),INDEX($FO$245:$IH$316,$FN197-ID$169,73-ID$169+SwaptionShift):INDEX($FO$245:$IH$316,$FN197-ID$169,72-ID$169+SwaptionMonthsToGo+SwaptionShift))/SQRT(SUM(INDEX($FO352:$IH352,1+SwaptionShift):INDEX($FO352:$IH352,SwaptionMonthsToGo+SwaptionShift))*SUM(INDEX($FO$325:$IH$396,ID$169,1+SwaptionShift):INDEX($FO$325:$IH$396,ID$169,SwaptionMonthsToGo+SwaptionShift))))))</f>
        <v/>
      </c>
      <c r="IE197" s="469" t="str">
        <f ca="1">IF(OR(IE$169&lt;SwaptionFirstMonthPosition+1,$FN197&lt;SwaptionFirstMonthPosition+1,IE$169&gt;SwaptionFirstMonthPosition+SwaptionNumOfMonths+1,$FN197&gt;SwaptionFirstMonthPosition+SwaptionNumOfMonths+1),"",IF($FN197=IE$169,1,IF($FN197&lt;IE$169,INDEX($FO$170:$IH$241,IE$169,$FN197),SUMPRODUCT(INDEX($FO$325:$IH$396,IE$169,1+SwaptionShift):INDEX($FO$325:$IH$396,IE$169,SwaptionMonthsToGo+SwaptionShift),INDEX($FO$245:$IH$316,$FN197-IE$169,73-IE$169+SwaptionShift):INDEX($FO$245:$IH$316,$FN197-IE$169,72-IE$169+SwaptionMonthsToGo+SwaptionShift))/SQRT(SUM(INDEX($FO352:$IH352,1+SwaptionShift):INDEX($FO352:$IH352,SwaptionMonthsToGo+SwaptionShift))*SUM(INDEX($FO$325:$IH$396,IE$169,1+SwaptionShift):INDEX($FO$325:$IH$396,IE$169,SwaptionMonthsToGo+SwaptionShift))))))</f>
        <v/>
      </c>
      <c r="IF197" s="469" t="str">
        <f ca="1">IF(OR(IF$169&lt;SwaptionFirstMonthPosition+1,$FN197&lt;SwaptionFirstMonthPosition+1,IF$169&gt;SwaptionFirstMonthPosition+SwaptionNumOfMonths+1,$FN197&gt;SwaptionFirstMonthPosition+SwaptionNumOfMonths+1),"",IF($FN197=IF$169,1,IF($FN197&lt;IF$169,INDEX($FO$170:$IH$241,IF$169,$FN197),SUMPRODUCT(INDEX($FO$325:$IH$396,IF$169,1+SwaptionShift):INDEX($FO$325:$IH$396,IF$169,SwaptionMonthsToGo+SwaptionShift),INDEX($FO$245:$IH$316,$FN197-IF$169,73-IF$169+SwaptionShift):INDEX($FO$245:$IH$316,$FN197-IF$169,72-IF$169+SwaptionMonthsToGo+SwaptionShift))/SQRT(SUM(INDEX($FO352:$IH352,1+SwaptionShift):INDEX($FO352:$IH352,SwaptionMonthsToGo+SwaptionShift))*SUM(INDEX($FO$325:$IH$396,IF$169,1+SwaptionShift):INDEX($FO$325:$IH$396,IF$169,SwaptionMonthsToGo+SwaptionShift))))))</f>
        <v/>
      </c>
      <c r="IG197" s="469" t="str">
        <f ca="1">IF(OR(IG$169&lt;SwaptionFirstMonthPosition+1,$FN197&lt;SwaptionFirstMonthPosition+1,IG$169&gt;SwaptionFirstMonthPosition+SwaptionNumOfMonths+1,$FN197&gt;SwaptionFirstMonthPosition+SwaptionNumOfMonths+1),"",IF($FN197=IG$169,1,IF($FN197&lt;IG$169,INDEX($FO$170:$IH$241,IG$169,$FN197),SUMPRODUCT(INDEX($FO$325:$IH$396,IG$169,1+SwaptionShift):INDEX($FO$325:$IH$396,IG$169,SwaptionMonthsToGo+SwaptionShift),INDEX($FO$245:$IH$316,$FN197-IG$169,73-IG$169+SwaptionShift):INDEX($FO$245:$IH$316,$FN197-IG$169,72-IG$169+SwaptionMonthsToGo+SwaptionShift))/SQRT(SUM(INDEX($FO352:$IH352,1+SwaptionShift):INDEX($FO352:$IH352,SwaptionMonthsToGo+SwaptionShift))*SUM(INDEX($FO$325:$IH$396,IG$169,1+SwaptionShift):INDEX($FO$325:$IH$396,IG$169,SwaptionMonthsToGo+SwaptionShift))))))</f>
        <v/>
      </c>
      <c r="IH197" s="662" t="str">
        <f ca="1">IF(OR(IH$169&lt;SwaptionFirstMonthPosition+1,$FN197&lt;SwaptionFirstMonthPosition+1,IH$169&gt;SwaptionFirstMonthPosition+SwaptionNumOfMonths+1,$FN197&gt;SwaptionFirstMonthPosition+SwaptionNumOfMonths+1),"",IF($FN197=IH$169,1,IF($FN197&lt;IH$169,INDEX($FO$170:$IH$241,IH$169,$FN197),SUMPRODUCT(INDEX($FO$325:$IH$396,IH$169,1+SwaptionShift):INDEX($FO$325:$IH$396,IH$169,SwaptionMonthsToGo+SwaptionShift),INDEX($FO$245:$IH$316,$FN197-IH$169,73-IH$169+SwaptionShift):INDEX($FO$245:$IH$316,$FN197-IH$169,72-IH$169+SwaptionMonthsToGo+SwaptionShift))/SQRT(SUM(INDEX($FO352:$IH352,1+SwaptionShift):INDEX($FO352:$IH352,SwaptionMonthsToGo+SwaptionShift))*SUM(INDEX($FO$325:$IH$396,IH$169,1+SwaptionShift):INDEX($FO$325:$IH$396,IH$169,SwaptionMonthsToGo+SwaptionShift))))))</f>
        <v/>
      </c>
      <c r="II197" s="242"/>
    </row>
    <row r="198" spans="8:243">
      <c r="H198" s="49" t="e">
        <f t="shared" ca="1" si="529"/>
        <v>#N/A</v>
      </c>
      <c r="I198" s="369">
        <f t="shared" si="530"/>
        <v>42430</v>
      </c>
      <c r="J198" s="367">
        <v>23.834999999999901</v>
      </c>
      <c r="K198" s="101" t="s">
        <v>267</v>
      </c>
      <c r="L198" s="382">
        <f t="shared" si="531"/>
        <v>23.834999999999877</v>
      </c>
      <c r="M198" s="163">
        <v>0.1399</v>
      </c>
      <c r="N198" s="372">
        <v>0</v>
      </c>
      <c r="O198" s="163">
        <f t="shared" si="595"/>
        <v>0.1399</v>
      </c>
      <c r="P198" s="367">
        <v>22.628503997458598</v>
      </c>
      <c r="Q198" s="101" t="s">
        <v>267</v>
      </c>
      <c r="R198" s="367">
        <f t="shared" ca="1" si="596"/>
        <v>22.628503997458612</v>
      </c>
      <c r="S198" s="814">
        <f t="shared" si="594"/>
        <v>0.34844110782903476</v>
      </c>
      <c r="T198" s="813">
        <f t="shared" si="550"/>
        <v>0.99999999944075457</v>
      </c>
      <c r="U198" s="532">
        <f t="shared" si="551"/>
        <v>0.99999999999999978</v>
      </c>
      <c r="V198" s="379">
        <v>0</v>
      </c>
      <c r="W198" s="424">
        <f t="shared" si="597"/>
        <v>23.869782608695552</v>
      </c>
      <c r="X198" s="405">
        <f t="shared" si="598"/>
        <v>23.869782608695527</v>
      </c>
      <c r="Y198" s="313">
        <f t="shared" si="599"/>
        <v>22.65378260869555</v>
      </c>
      <c r="Z198" s="313">
        <f t="shared" ca="1" si="600"/>
        <v>22.653782608695526</v>
      </c>
      <c r="AA198" s="419">
        <f t="shared" si="493"/>
        <v>1.216</v>
      </c>
      <c r="AB198" s="423">
        <f t="shared" ca="1" si="494"/>
        <v>1.216</v>
      </c>
      <c r="AC198" s="221">
        <v>42420</v>
      </c>
      <c r="AD198" s="221">
        <v>42416</v>
      </c>
      <c r="AE198" s="221">
        <v>42415</v>
      </c>
      <c r="AF198" s="221">
        <v>42411</v>
      </c>
      <c r="AG198" s="241" t="s">
        <v>497</v>
      </c>
      <c r="AH198" s="239" t="s">
        <v>497</v>
      </c>
      <c r="AI198" s="141">
        <v>23</v>
      </c>
      <c r="AJ198" s="41">
        <v>14</v>
      </c>
      <c r="AK198" s="41">
        <v>9</v>
      </c>
      <c r="AL198" s="285">
        <v>23</v>
      </c>
      <c r="AM198" s="41">
        <v>10</v>
      </c>
      <c r="AN198" s="142">
        <v>13</v>
      </c>
      <c r="AO198" s="364">
        <v>6.19022710216202E-2</v>
      </c>
      <c r="AP198" s="145">
        <f t="shared" ca="1" si="532"/>
        <v>0.40132094749714942</v>
      </c>
      <c r="AQ198" s="364">
        <v>5.6153224863976406E-2</v>
      </c>
      <c r="AR198" s="145">
        <f t="shared" ca="1" si="552"/>
        <v>0.43924729121328326</v>
      </c>
      <c r="AS198" s="264">
        <f t="shared" si="601"/>
        <v>0.13934347826086957</v>
      </c>
      <c r="AT198" s="149">
        <f t="shared" si="533"/>
        <v>0.1399</v>
      </c>
      <c r="AU198" s="149">
        <f t="shared" si="496"/>
        <v>0.13927391304347828</v>
      </c>
      <c r="AV198" s="263">
        <f t="shared" ca="1" si="560"/>
        <v>0.13779272750281046</v>
      </c>
      <c r="AW198" s="150" t="str">
        <f t="shared" ca="1" si="581"/>
        <v/>
      </c>
      <c r="AX198" s="149">
        <f t="shared" ca="1" si="553"/>
        <v>5.2680977581645513E-3</v>
      </c>
      <c r="AY198" s="149">
        <f t="shared" ca="1" si="554"/>
        <v>1.7774621150344935E-3</v>
      </c>
      <c r="AZ198" s="149">
        <f t="shared" ca="1" si="555"/>
        <v>1.8607283793623914E-3</v>
      </c>
      <c r="BA198" s="149">
        <f t="shared" ca="1" si="556"/>
        <v>1.0000000000000899E-4</v>
      </c>
      <c r="BB198" s="149">
        <f t="shared" ca="1" si="557"/>
        <v>1.0000000000000899E-4</v>
      </c>
      <c r="BC198" s="149">
        <f t="shared" ca="1" si="558"/>
        <v>1.0000000000000899E-4</v>
      </c>
      <c r="BD198" s="143">
        <f t="shared" ca="1" si="602"/>
        <v>0</v>
      </c>
      <c r="BE198" s="144">
        <f t="shared" ca="1" si="603"/>
        <v>0</v>
      </c>
      <c r="BF198" s="40">
        <f t="shared" si="604"/>
        <v>2016</v>
      </c>
      <c r="BG198" s="139">
        <f t="shared" si="605"/>
        <v>3</v>
      </c>
      <c r="BH198" s="140">
        <f t="shared" ca="1" si="606"/>
        <v>5426</v>
      </c>
      <c r="BI198" s="304">
        <f t="shared" ca="1" si="607"/>
        <v>14.89390828199863</v>
      </c>
      <c r="BJ198" s="42">
        <f t="shared" ca="1" si="503"/>
        <v>14.943903818111478</v>
      </c>
      <c r="BK198" s="42">
        <f t="shared" ca="1" si="504"/>
        <v>14.946641668898611</v>
      </c>
      <c r="BL198" s="42">
        <f t="shared" ca="1" si="608"/>
        <v>14.976043805612594</v>
      </c>
      <c r="BM198" s="285">
        <f t="shared" si="609"/>
        <v>23</v>
      </c>
      <c r="BN198" s="41">
        <f t="shared" si="610"/>
        <v>14</v>
      </c>
      <c r="BO198" s="41">
        <f t="shared" si="611"/>
        <v>9</v>
      </c>
      <c r="BP198" s="297" t="str">
        <f t="shared" ca="1" si="505"/>
        <v/>
      </c>
      <c r="BQ198" s="297" t="str">
        <f t="shared" ca="1" si="506"/>
        <v/>
      </c>
      <c r="BR198" s="299" t="str">
        <f t="shared" ca="1" si="507"/>
        <v/>
      </c>
      <c r="BS198" s="153" t="str">
        <f t="shared" ca="1" si="508"/>
        <v/>
      </c>
      <c r="BT198" s="153" t="str">
        <f t="shared" ca="1" si="509"/>
        <v/>
      </c>
      <c r="BU198" s="300" t="str">
        <f t="shared" ca="1" si="510"/>
        <v/>
      </c>
      <c r="BV198" s="301" t="str">
        <f t="shared" ca="1" si="511"/>
        <v/>
      </c>
      <c r="BW198" s="300" t="str">
        <f t="shared" ca="1" si="512"/>
        <v/>
      </c>
      <c r="BX198" s="301" t="str">
        <f t="shared" ca="1" si="513"/>
        <v/>
      </c>
      <c r="BY198" s="146" t="str">
        <f t="shared" ca="1" si="514"/>
        <v/>
      </c>
      <c r="BZ198" s="146" t="str">
        <f t="shared" ca="1" si="515"/>
        <v/>
      </c>
      <c r="CA198" s="146" t="str">
        <f t="shared" ca="1" si="516"/>
        <v/>
      </c>
      <c r="CB198" s="146" t="str">
        <f t="shared" ca="1" si="517"/>
        <v/>
      </c>
      <c r="CC198" s="302">
        <v>1</v>
      </c>
      <c r="CD198" s="154">
        <f ca="1">IF(BD198,_xll.xCrudeAPO(BS198,BT198,BY198,BZ198,S199,S200,BI198,BL198,BN198,BO198,0,Strike1,AO198,CC198,0,BL198,IF(OptControl=4,0,1),0,1),0)</f>
        <v>0</v>
      </c>
      <c r="CE198" s="155">
        <f ca="1">IF(BD198,_xll.xCrudeAPO(BS198,BT198,BY198,BZ198,S199,S200,BI198,BL198,BN198,BO198,0,Strike1,AO198,CC198,0,BL198,IF(OptControl=4,0,1),1,1)+_xll.xCrudeAPO(BS198,BT198,BY198,BZ198,S199,S200,BI198,BL198,BN198,BO198,0,Strike1,AO198,CC198,0,BL198,IF(OptControl=4,0,1),1,2)+IF(OR(VolSkewFlag=2,ABS(BQ198)&lt;0.0001),0,IF(BQ198&gt;0,-1,1)*CF198*Strike1/BP198^2*BW198/10%),0)</f>
        <v>0</v>
      </c>
      <c r="CF198" s="155">
        <f ca="1">IF(BD198,(_xll.xCrudeAPO(BS198,BT198,BY198,BZ198,S199,S200,BI198,BL198,BN198,BO198,0,Strike1,AO198,CC198,0,BL198,IF(OptControl=4,0,1),3,1)+_xll.xCrudeAPO(BS198,BT198,BY198,BZ198,S199,S200,BI198,BL198,BN198,BO198,0,Strike1,AO198,CC198,0,BL198,IF(OptControl=4,0,1),3,2))/100,0)</f>
        <v>0</v>
      </c>
      <c r="CG198" s="155">
        <f ca="1">IF(BD198,_xll.xCrudeAPO(BS198,BT198,BY198,BZ198,S199,S200,BI198-DaysForThetaCalculation/365.25,BL198-DaysForThetaCalculation/365.25,BN198,BO198,0,Strike1,AO198,CC198,0,BL198,IF(OptControl=4,0,1),0,1)-_xll.xCrudeAPO(BS198,BT198,BY198,BZ198,S199,S200,BI198,BL198,BN198,BO198,0,Strike1,AO198,CC198,0,BL198,IF(OptControl=4,0,1),0,1),0)</f>
        <v>0</v>
      </c>
      <c r="CH198" s="303">
        <f ca="1">IF(BD198,_xll.xCrudeAPO(BS198,BT198,CA198,CB198,S199,S200,BI198,BL198,BN198,BO198,0,Strike2,AO198,CC198,0,BL198,IF(OptControl=3,1,0),0,1),0)</f>
        <v>0</v>
      </c>
      <c r="CI198" s="155">
        <f ca="1">IF(BD198,_xll.xCrudeAPO(BS198,BT198,CA198,CB198,S199,S200,BI198,BL198,BN198,BO198,0,Strike2,AO198,CC198,0,BL198,IF(OptControl=3,1,0),1,1)+_xll.xCrudeAPO(BS198,BT198,CA198,CB198,S199,S200,BI198,BL198,BN198,BO198,0,Strike2,AO198,CC198,0,BL198,IF(OptControl=3,1,0),1,2)+IF(OR(VolSkewFlag=2,ABS(BR198)&lt;0.0001),0,IF(BR198&gt;0,-1,1)*CJ198*Strike2/BP198^2*BX198/10%),0)</f>
        <v>0</v>
      </c>
      <c r="CJ198" s="155">
        <f ca="1">IF(BD198,(_xll.xCrudeAPO(BS198,BT198,CA198,CB198,S199,S200,BI198,BL198,BN198,BO198,0,Strike2,AO198,CC198,0,BL198,IF(OptControl=3,1,0),3,1)+_xll.xCrudeAPO(BS198,BT198,CA198,CB198,S199,S200,BI198,BL198,BN198,BO198,0,Strike2,AO198,CC198,0,BL198,IF(OptControl=3,1,0),3,2))/100,0)</f>
        <v>0</v>
      </c>
      <c r="CK198" s="156">
        <f ca="1">IF(BD198,_xll.xCrudeAPO(BS198,BT198,CA198,CB198,S199,S200,BI198-DaysForThetaCalculation/365.25,BL198-DaysForThetaCalculation/365.25,BN198,BO198,0,Strike2,AO198,CC198,0,BL198,IF(OptControl=3,1,0),0,1)-_xll.xCrudeAPO(BS198,BT198,CA198,CB198,S199,S200,BI198,BL198,BN198,BO198,0,Strike2,AO198,CC198,0,BL198,IF(OptControl=3,1,0),0,1),0)</f>
        <v>0</v>
      </c>
      <c r="CL198" s="51"/>
      <c r="CM198" s="779" t="str">
        <f t="shared" ca="1" si="534"/>
        <v/>
      </c>
      <c r="CN198" s="783" t="str">
        <f t="shared" ca="1" si="535"/>
        <v/>
      </c>
      <c r="CO198" s="780" t="str">
        <f t="shared" ca="1" si="536"/>
        <v/>
      </c>
      <c r="CP198" s="780" t="str">
        <f t="shared" ca="1" si="537"/>
        <v/>
      </c>
      <c r="CQ198" s="780" t="str">
        <f t="shared" ca="1" si="538"/>
        <v/>
      </c>
      <c r="CR198" s="780" t="str">
        <f t="shared" ca="1" si="539"/>
        <v/>
      </c>
      <c r="CS198" s="781" t="str">
        <f t="shared" ca="1" si="540"/>
        <v/>
      </c>
      <c r="CT198" s="782" t="str">
        <f t="shared" ca="1" si="541"/>
        <v/>
      </c>
      <c r="CU198" s="782" t="str">
        <f t="shared" ca="1" si="542"/>
        <v/>
      </c>
      <c r="CV198" s="155">
        <f ca="1">IF(BD198,_xll.EURO(CN198,Strike1,AO198,AO198,CT198,CM198,IF(OptControl=4,0,1),0),0)</f>
        <v>0</v>
      </c>
      <c r="CW198" s="155">
        <f ca="1">IF(BD198,_xll.EURO(CN198,Strike1,AO198,AO198,CT198,CM198,IF(OptControl=4,0,1),1)+IF(OR(VolSkewFlag=2,ABS(CO198)&lt;0.0001),0,IF(CO198&gt;0,-1,1)*CX198*100*Strike1/CN198^2*CQ198/10%),0)</f>
        <v>0</v>
      </c>
      <c r="CX198" s="155">
        <f ca="1">IF(BD198,_xll.EURO(CN198,Strike1,AO198,AO198,CT198,CM198,IF(OptControl=4,0,1),3)/100,0)</f>
        <v>0</v>
      </c>
      <c r="CY198" s="155">
        <f ca="1">IF(BD198,_xll.EURO(CN198,Strike1,AO198,AO198,CT198,CM198,IF(OptControl=4,0,1),0)-_xll.EURO(CN198,Strike1,AO198,AO198,CT198,CM198-1,IF(OptControl=4,0,1),0),0)</f>
        <v>0</v>
      </c>
      <c r="CZ198" s="155">
        <f ca="1">IF(BD198,_xll.EURO(CN198,Strike2,AO198,AO198,CU198,CM198,IF(OptControl=3,1,0),0),0)</f>
        <v>0</v>
      </c>
      <c r="DA198" s="155">
        <f ca="1">IF(BD198,_xll.EURO(CN198,Strike2,AO198,AO198,CU198,CM198,IF(OptControl=3,1,0),1)+IF(OR(VolSkewFlag=2,ABS(CP198)&lt;0.0001),0,IF(CP198&gt;0,-1,1)*DB198*100*Strike2/CN198^2*CR198/10%),0)</f>
        <v>0</v>
      </c>
      <c r="DB198" s="155">
        <f ca="1">IF(BD198,_xll.EURO(CN198,Strike2,AO198,AO198,CU198,CM198,IF(OptControl=3,1,0),3)/100,0)</f>
        <v>0</v>
      </c>
      <c r="DC198" s="156">
        <f ca="1">IF(BD198,_xll.EURO(CN198,Strike2,AO198,AO198,CU198,CM198,IF(OptControl=3,1,0),0)-_xll.EURO(CN198,Strike2,AO198,AO198,CU198,CM198-1,IF(OptControl=3,1,0),0),0)</f>
        <v>0</v>
      </c>
      <c r="DE198" s="651">
        <f t="shared" ca="1" si="543"/>
        <v>42339</v>
      </c>
      <c r="DF198" s="465">
        <v>1E-4</v>
      </c>
      <c r="DG198" s="649">
        <v>1E-4</v>
      </c>
      <c r="DH198" s="650">
        <f t="shared" ca="1" si="612"/>
        <v>42339</v>
      </c>
      <c r="DI198" s="465">
        <v>1E-4</v>
      </c>
      <c r="DJ198" s="649">
        <v>1E-4</v>
      </c>
      <c r="DK198" s="651">
        <f t="shared" ca="1" si="613"/>
        <v>42339</v>
      </c>
      <c r="DL198" s="652">
        <f t="shared" si="614"/>
        <v>5.0100000000000006E-2</v>
      </c>
      <c r="DM198" s="651">
        <f t="shared" ca="1" si="615"/>
        <v>42339</v>
      </c>
      <c r="DN198" s="563">
        <f t="shared" si="616"/>
        <v>-0.12990000000000002</v>
      </c>
      <c r="DO198" s="803">
        <v>-0.13</v>
      </c>
      <c r="DP198" s="650">
        <f t="shared" ca="1" si="617"/>
        <v>42339</v>
      </c>
      <c r="DQ198" s="653">
        <v>1E-4</v>
      </c>
      <c r="DR198" s="590">
        <v>1E-4</v>
      </c>
      <c r="DS198" s="650">
        <f t="shared" ca="1" si="618"/>
        <v>42339</v>
      </c>
      <c r="DT198" s="653">
        <v>1E-4</v>
      </c>
      <c r="DU198" s="590">
        <v>1E-4</v>
      </c>
      <c r="DV198" s="651">
        <f t="shared" ca="1" si="619"/>
        <v>42339</v>
      </c>
      <c r="DW198" s="590">
        <v>1E-4</v>
      </c>
      <c r="DX198" s="651">
        <f t="shared" ca="1" si="620"/>
        <v>42339</v>
      </c>
      <c r="DY198" s="590">
        <f t="shared" si="621"/>
        <v>1E-4</v>
      </c>
      <c r="DZ198" s="1"/>
      <c r="EA198" s="857"/>
      <c r="EB198" s="857"/>
      <c r="EC198" s="857"/>
      <c r="ED198" s="868" t="e">
        <f t="shared" ca="1" si="566"/>
        <v>#NAME?</v>
      </c>
      <c r="EE198" s="863" t="e">
        <f t="shared" ca="1" si="524"/>
        <v>#NAME?</v>
      </c>
      <c r="EF198" s="590" t="e">
        <f t="shared" ca="1" si="525"/>
        <v>#NAME?</v>
      </c>
      <c r="EG198" s="862" t="str">
        <f t="shared" ca="1" si="622"/>
        <v/>
      </c>
      <c r="EH198" s="114" t="str">
        <f t="shared" ca="1" si="527"/>
        <v/>
      </c>
      <c r="EI198" s="109" t="str">
        <f t="shared" ca="1" si="528"/>
        <v/>
      </c>
      <c r="EJ198" s="115">
        <f ca="1">IF(BD198,_xll.xASN(BP198,Strike1,AO198,EH198,0,BM198,0,BI198,BL198,IF(OptControl=4,0,1),0),0)</f>
        <v>0</v>
      </c>
      <c r="EK198" s="108">
        <f ca="1">IF(BD198,_xll.xASN(BP198,Strike2,AO198,EI198,0,BM198,0,BI198,BL198,IF(OptControl=3,1,0),0),0)</f>
        <v>0</v>
      </c>
      <c r="EP198" s="53"/>
      <c r="EQ198" s="1"/>
      <c r="ER198" s="103"/>
      <c r="ES198" s="103"/>
      <c r="ET198" s="1"/>
      <c r="EU198" s="667" t="s">
        <v>411</v>
      </c>
      <c r="EW198" s="445"/>
      <c r="EX198" s="36"/>
      <c r="EY198" s="104"/>
      <c r="EZ198" s="465"/>
      <c r="FA198" s="446"/>
      <c r="FB198" s="446"/>
      <c r="FC198" s="242"/>
      <c r="FD198" s="242"/>
      <c r="FE198" s="242"/>
      <c r="FF198" s="242"/>
      <c r="FG198" s="242"/>
      <c r="FH198" s="242"/>
      <c r="FI198" s="242"/>
      <c r="FJ198" s="242"/>
      <c r="FK198" s="242"/>
      <c r="FL198" s="242"/>
      <c r="FM198" s="242"/>
      <c r="FN198" s="657">
        <v>29</v>
      </c>
      <c r="FO198" s="469" t="str">
        <f ca="1">IF(OR(FO$169&lt;SwaptionFirstMonthPosition+1,$FN198&lt;SwaptionFirstMonthPosition+1,FO$169&gt;SwaptionFirstMonthPosition+SwaptionNumOfMonths+1,$FN198&gt;SwaptionFirstMonthPosition+SwaptionNumOfMonths+1),"",IF($FN198=FO$169,1,IF($FN198&lt;FO$169,INDEX($FO$170:$IH$241,FO$169,$FN198),SUMPRODUCT(INDEX($FO$325:$IH$396,FO$169,1+SwaptionShift):INDEX($FO$325:$IH$396,FO$169,SwaptionMonthsToGo+SwaptionShift),INDEX($FO$245:$IH$316,$FN198-FO$169,73-FO$169+SwaptionShift):INDEX($FO$245:$IH$316,$FN198-FO$169,72-FO$169+SwaptionMonthsToGo+SwaptionShift))/SQRT(SUM(INDEX($FO353:$IH353,1+SwaptionShift):INDEX($FO353:$IH353,SwaptionMonthsToGo+SwaptionShift))*SUM(INDEX($FO$325:$IH$396,FO$169,1+SwaptionShift):INDEX($FO$325:$IH$396,FO$169,SwaptionMonthsToGo+SwaptionShift))))))</f>
        <v/>
      </c>
      <c r="FP198" s="469" t="str">
        <f ca="1">IF(OR(FP$169&lt;SwaptionFirstMonthPosition+1,$FN198&lt;SwaptionFirstMonthPosition+1,FP$169&gt;SwaptionFirstMonthPosition+SwaptionNumOfMonths+1,$FN198&gt;SwaptionFirstMonthPosition+SwaptionNumOfMonths+1),"",IF($FN198=FP$169,1,IF($FN198&lt;FP$169,INDEX($FO$170:$IH$241,FP$169,$FN198),SUMPRODUCT(INDEX($FO$325:$IH$396,FP$169,1+SwaptionShift):INDEX($FO$325:$IH$396,FP$169,SwaptionMonthsToGo+SwaptionShift),INDEX($FO$245:$IH$316,$FN198-FP$169,73-FP$169+SwaptionShift):INDEX($FO$245:$IH$316,$FN198-FP$169,72-FP$169+SwaptionMonthsToGo+SwaptionShift))/SQRT(SUM(INDEX($FO353:$IH353,1+SwaptionShift):INDEX($FO353:$IH353,SwaptionMonthsToGo+SwaptionShift))*SUM(INDEX($FO$325:$IH$396,FP$169,1+SwaptionShift):INDEX($FO$325:$IH$396,FP$169,SwaptionMonthsToGo+SwaptionShift))))))</f>
        <v/>
      </c>
      <c r="FQ198" s="469" t="str">
        <f ca="1">IF(OR(FQ$169&lt;SwaptionFirstMonthPosition+1,$FN198&lt;SwaptionFirstMonthPosition+1,FQ$169&gt;SwaptionFirstMonthPosition+SwaptionNumOfMonths+1,$FN198&gt;SwaptionFirstMonthPosition+SwaptionNumOfMonths+1),"",IF($FN198=FQ$169,1,IF($FN198&lt;FQ$169,INDEX($FO$170:$IH$241,FQ$169,$FN198),SUMPRODUCT(INDEX($FO$325:$IH$396,FQ$169,1+SwaptionShift):INDEX($FO$325:$IH$396,FQ$169,SwaptionMonthsToGo+SwaptionShift),INDEX($FO$245:$IH$316,$FN198-FQ$169,73-FQ$169+SwaptionShift):INDEX($FO$245:$IH$316,$FN198-FQ$169,72-FQ$169+SwaptionMonthsToGo+SwaptionShift))/SQRT(SUM(INDEX($FO353:$IH353,1+SwaptionShift):INDEX($FO353:$IH353,SwaptionMonthsToGo+SwaptionShift))*SUM(INDEX($FO$325:$IH$396,FQ$169,1+SwaptionShift):INDEX($FO$325:$IH$396,FQ$169,SwaptionMonthsToGo+SwaptionShift))))))</f>
        <v/>
      </c>
      <c r="FR198" s="469" t="str">
        <f ca="1">IF(OR(FR$169&lt;SwaptionFirstMonthPosition+1,$FN198&lt;SwaptionFirstMonthPosition+1,FR$169&gt;SwaptionFirstMonthPosition+SwaptionNumOfMonths+1,$FN198&gt;SwaptionFirstMonthPosition+SwaptionNumOfMonths+1),"",IF($FN198=FR$169,1,IF($FN198&lt;FR$169,INDEX($FO$170:$IH$241,FR$169,$FN198),SUMPRODUCT(INDEX($FO$325:$IH$396,FR$169,1+SwaptionShift):INDEX($FO$325:$IH$396,FR$169,SwaptionMonthsToGo+SwaptionShift),INDEX($FO$245:$IH$316,$FN198-FR$169,73-FR$169+SwaptionShift):INDEX($FO$245:$IH$316,$FN198-FR$169,72-FR$169+SwaptionMonthsToGo+SwaptionShift))/SQRT(SUM(INDEX($FO353:$IH353,1+SwaptionShift):INDEX($FO353:$IH353,SwaptionMonthsToGo+SwaptionShift))*SUM(INDEX($FO$325:$IH$396,FR$169,1+SwaptionShift):INDEX($FO$325:$IH$396,FR$169,SwaptionMonthsToGo+SwaptionShift))))))</f>
        <v/>
      </c>
      <c r="FS198" s="469" t="str">
        <f ca="1">IF(OR(FS$169&lt;SwaptionFirstMonthPosition+1,$FN198&lt;SwaptionFirstMonthPosition+1,FS$169&gt;SwaptionFirstMonthPosition+SwaptionNumOfMonths+1,$FN198&gt;SwaptionFirstMonthPosition+SwaptionNumOfMonths+1),"",IF($FN198=FS$169,1,IF($FN198&lt;FS$169,INDEX($FO$170:$IH$241,FS$169,$FN198),SUMPRODUCT(INDEX($FO$325:$IH$396,FS$169,1+SwaptionShift):INDEX($FO$325:$IH$396,FS$169,SwaptionMonthsToGo+SwaptionShift),INDEX($FO$245:$IH$316,$FN198-FS$169,73-FS$169+SwaptionShift):INDEX($FO$245:$IH$316,$FN198-FS$169,72-FS$169+SwaptionMonthsToGo+SwaptionShift))/SQRT(SUM(INDEX($FO353:$IH353,1+SwaptionShift):INDEX($FO353:$IH353,SwaptionMonthsToGo+SwaptionShift))*SUM(INDEX($FO$325:$IH$396,FS$169,1+SwaptionShift):INDEX($FO$325:$IH$396,FS$169,SwaptionMonthsToGo+SwaptionShift))))))</f>
        <v/>
      </c>
      <c r="FT198" s="469" t="str">
        <f ca="1">IF(OR(FT$169&lt;SwaptionFirstMonthPosition+1,$FN198&lt;SwaptionFirstMonthPosition+1,FT$169&gt;SwaptionFirstMonthPosition+SwaptionNumOfMonths+1,$FN198&gt;SwaptionFirstMonthPosition+SwaptionNumOfMonths+1),"",IF($FN198=FT$169,1,IF($FN198&lt;FT$169,INDEX($FO$170:$IH$241,FT$169,$FN198),SUMPRODUCT(INDEX($FO$325:$IH$396,FT$169,1+SwaptionShift):INDEX($FO$325:$IH$396,FT$169,SwaptionMonthsToGo+SwaptionShift),INDEX($FO$245:$IH$316,$FN198-FT$169,73-FT$169+SwaptionShift):INDEX($FO$245:$IH$316,$FN198-FT$169,72-FT$169+SwaptionMonthsToGo+SwaptionShift))/SQRT(SUM(INDEX($FO353:$IH353,1+SwaptionShift):INDEX($FO353:$IH353,SwaptionMonthsToGo+SwaptionShift))*SUM(INDEX($FO$325:$IH$396,FT$169,1+SwaptionShift):INDEX($FO$325:$IH$396,FT$169,SwaptionMonthsToGo+SwaptionShift))))))</f>
        <v/>
      </c>
      <c r="FU198" s="469" t="str">
        <f ca="1">IF(OR(FU$169&lt;SwaptionFirstMonthPosition+1,$FN198&lt;SwaptionFirstMonthPosition+1,FU$169&gt;SwaptionFirstMonthPosition+SwaptionNumOfMonths+1,$FN198&gt;SwaptionFirstMonthPosition+SwaptionNumOfMonths+1),"",IF($FN198=FU$169,1,IF($FN198&lt;FU$169,INDEX($FO$170:$IH$241,FU$169,$FN198),SUMPRODUCT(INDEX($FO$325:$IH$396,FU$169,1+SwaptionShift):INDEX($FO$325:$IH$396,FU$169,SwaptionMonthsToGo+SwaptionShift),INDEX($FO$245:$IH$316,$FN198-FU$169,73-FU$169+SwaptionShift):INDEX($FO$245:$IH$316,$FN198-FU$169,72-FU$169+SwaptionMonthsToGo+SwaptionShift))/SQRT(SUM(INDEX($FO353:$IH353,1+SwaptionShift):INDEX($FO353:$IH353,SwaptionMonthsToGo+SwaptionShift))*SUM(INDEX($FO$325:$IH$396,FU$169,1+SwaptionShift):INDEX($FO$325:$IH$396,FU$169,SwaptionMonthsToGo+SwaptionShift))))))</f>
        <v/>
      </c>
      <c r="FV198" s="469" t="str">
        <f ca="1">IF(OR(FV$169&lt;SwaptionFirstMonthPosition+1,$FN198&lt;SwaptionFirstMonthPosition+1,FV$169&gt;SwaptionFirstMonthPosition+SwaptionNumOfMonths+1,$FN198&gt;SwaptionFirstMonthPosition+SwaptionNumOfMonths+1),"",IF($FN198=FV$169,1,IF($FN198&lt;FV$169,INDEX($FO$170:$IH$241,FV$169,$FN198),SUMPRODUCT(INDEX($FO$325:$IH$396,FV$169,1+SwaptionShift):INDEX($FO$325:$IH$396,FV$169,SwaptionMonthsToGo+SwaptionShift),INDEX($FO$245:$IH$316,$FN198-FV$169,73-FV$169+SwaptionShift):INDEX($FO$245:$IH$316,$FN198-FV$169,72-FV$169+SwaptionMonthsToGo+SwaptionShift))/SQRT(SUM(INDEX($FO353:$IH353,1+SwaptionShift):INDEX($FO353:$IH353,SwaptionMonthsToGo+SwaptionShift))*SUM(INDEX($FO$325:$IH$396,FV$169,1+SwaptionShift):INDEX($FO$325:$IH$396,FV$169,SwaptionMonthsToGo+SwaptionShift))))))</f>
        <v/>
      </c>
      <c r="FW198" s="469" t="str">
        <f ca="1">IF(OR(FW$169&lt;SwaptionFirstMonthPosition+1,$FN198&lt;SwaptionFirstMonthPosition+1,FW$169&gt;SwaptionFirstMonthPosition+SwaptionNumOfMonths+1,$FN198&gt;SwaptionFirstMonthPosition+SwaptionNumOfMonths+1),"",IF($FN198=FW$169,1,IF($FN198&lt;FW$169,INDEX($FO$170:$IH$241,FW$169,$FN198),SUMPRODUCT(INDEX($FO$325:$IH$396,FW$169,1+SwaptionShift):INDEX($FO$325:$IH$396,FW$169,SwaptionMonthsToGo+SwaptionShift),INDEX($FO$245:$IH$316,$FN198-FW$169,73-FW$169+SwaptionShift):INDEX($FO$245:$IH$316,$FN198-FW$169,72-FW$169+SwaptionMonthsToGo+SwaptionShift))/SQRT(SUM(INDEX($FO353:$IH353,1+SwaptionShift):INDEX($FO353:$IH353,SwaptionMonthsToGo+SwaptionShift))*SUM(INDEX($FO$325:$IH$396,FW$169,1+SwaptionShift):INDEX($FO$325:$IH$396,FW$169,SwaptionMonthsToGo+SwaptionShift))))))</f>
        <v/>
      </c>
      <c r="FX198" s="469" t="str">
        <f ca="1">IF(OR(FX$169&lt;SwaptionFirstMonthPosition+1,$FN198&lt;SwaptionFirstMonthPosition+1,FX$169&gt;SwaptionFirstMonthPosition+SwaptionNumOfMonths+1,$FN198&gt;SwaptionFirstMonthPosition+SwaptionNumOfMonths+1),"",IF($FN198=FX$169,1,IF($FN198&lt;FX$169,INDEX($FO$170:$IH$241,FX$169,$FN198),SUMPRODUCT(INDEX($FO$325:$IH$396,FX$169,1+SwaptionShift):INDEX($FO$325:$IH$396,FX$169,SwaptionMonthsToGo+SwaptionShift),INDEX($FO$245:$IH$316,$FN198-FX$169,73-FX$169+SwaptionShift):INDEX($FO$245:$IH$316,$FN198-FX$169,72-FX$169+SwaptionMonthsToGo+SwaptionShift))/SQRT(SUM(INDEX($FO353:$IH353,1+SwaptionShift):INDEX($FO353:$IH353,SwaptionMonthsToGo+SwaptionShift))*SUM(INDEX($FO$325:$IH$396,FX$169,1+SwaptionShift):INDEX($FO$325:$IH$396,FX$169,SwaptionMonthsToGo+SwaptionShift))))))</f>
        <v/>
      </c>
      <c r="FY198" s="469" t="str">
        <f ca="1">IF(OR(FY$169&lt;SwaptionFirstMonthPosition+1,$FN198&lt;SwaptionFirstMonthPosition+1,FY$169&gt;SwaptionFirstMonthPosition+SwaptionNumOfMonths+1,$FN198&gt;SwaptionFirstMonthPosition+SwaptionNumOfMonths+1),"",IF($FN198=FY$169,1,IF($FN198&lt;FY$169,INDEX($FO$170:$IH$241,FY$169,$FN198),SUMPRODUCT(INDEX($FO$325:$IH$396,FY$169,1+SwaptionShift):INDEX($FO$325:$IH$396,FY$169,SwaptionMonthsToGo+SwaptionShift),INDEX($FO$245:$IH$316,$FN198-FY$169,73-FY$169+SwaptionShift):INDEX($FO$245:$IH$316,$FN198-FY$169,72-FY$169+SwaptionMonthsToGo+SwaptionShift))/SQRT(SUM(INDEX($FO353:$IH353,1+SwaptionShift):INDEX($FO353:$IH353,SwaptionMonthsToGo+SwaptionShift))*SUM(INDEX($FO$325:$IH$396,FY$169,1+SwaptionShift):INDEX($FO$325:$IH$396,FY$169,SwaptionMonthsToGo+SwaptionShift))))))</f>
        <v/>
      </c>
      <c r="FZ198" s="469" t="str">
        <f ca="1">IF(OR(FZ$169&lt;SwaptionFirstMonthPosition+1,$FN198&lt;SwaptionFirstMonthPosition+1,FZ$169&gt;SwaptionFirstMonthPosition+SwaptionNumOfMonths+1,$FN198&gt;SwaptionFirstMonthPosition+SwaptionNumOfMonths+1),"",IF($FN198=FZ$169,1,IF($FN198&lt;FZ$169,INDEX($FO$170:$IH$241,FZ$169,$FN198),SUMPRODUCT(INDEX($FO$325:$IH$396,FZ$169,1+SwaptionShift):INDEX($FO$325:$IH$396,FZ$169,SwaptionMonthsToGo+SwaptionShift),INDEX($FO$245:$IH$316,$FN198-FZ$169,73-FZ$169+SwaptionShift):INDEX($FO$245:$IH$316,$FN198-FZ$169,72-FZ$169+SwaptionMonthsToGo+SwaptionShift))/SQRT(SUM(INDEX($FO353:$IH353,1+SwaptionShift):INDEX($FO353:$IH353,SwaptionMonthsToGo+SwaptionShift))*SUM(INDEX($FO$325:$IH$396,FZ$169,1+SwaptionShift):INDEX($FO$325:$IH$396,FZ$169,SwaptionMonthsToGo+SwaptionShift))))))</f>
        <v/>
      </c>
      <c r="GA198" s="469" t="str">
        <f ca="1">IF(OR(GA$169&lt;SwaptionFirstMonthPosition+1,$FN198&lt;SwaptionFirstMonthPosition+1,GA$169&gt;SwaptionFirstMonthPosition+SwaptionNumOfMonths+1,$FN198&gt;SwaptionFirstMonthPosition+SwaptionNumOfMonths+1),"",IF($FN198=GA$169,1,IF($FN198&lt;GA$169,INDEX($FO$170:$IH$241,GA$169,$FN198),SUMPRODUCT(INDEX($FO$325:$IH$396,GA$169,1+SwaptionShift):INDEX($FO$325:$IH$396,GA$169,SwaptionMonthsToGo+SwaptionShift),INDEX($FO$245:$IH$316,$FN198-GA$169,73-GA$169+SwaptionShift):INDEX($FO$245:$IH$316,$FN198-GA$169,72-GA$169+SwaptionMonthsToGo+SwaptionShift))/SQRT(SUM(INDEX($FO353:$IH353,1+SwaptionShift):INDEX($FO353:$IH353,SwaptionMonthsToGo+SwaptionShift))*SUM(INDEX($FO$325:$IH$396,GA$169,1+SwaptionShift):INDEX($FO$325:$IH$396,GA$169,SwaptionMonthsToGo+SwaptionShift))))))</f>
        <v/>
      </c>
      <c r="GB198" s="469" t="str">
        <f ca="1">IF(OR(GB$169&lt;SwaptionFirstMonthPosition+1,$FN198&lt;SwaptionFirstMonthPosition+1,GB$169&gt;SwaptionFirstMonthPosition+SwaptionNumOfMonths+1,$FN198&gt;SwaptionFirstMonthPosition+SwaptionNumOfMonths+1),"",IF($FN198=GB$169,1,IF($FN198&lt;GB$169,INDEX($FO$170:$IH$241,GB$169,$FN198),SUMPRODUCT(INDEX($FO$325:$IH$396,GB$169,1+SwaptionShift):INDEX($FO$325:$IH$396,GB$169,SwaptionMonthsToGo+SwaptionShift),INDEX($FO$245:$IH$316,$FN198-GB$169,73-GB$169+SwaptionShift):INDEX($FO$245:$IH$316,$FN198-GB$169,72-GB$169+SwaptionMonthsToGo+SwaptionShift))/SQRT(SUM(INDEX($FO353:$IH353,1+SwaptionShift):INDEX($FO353:$IH353,SwaptionMonthsToGo+SwaptionShift))*SUM(INDEX($FO$325:$IH$396,GB$169,1+SwaptionShift):INDEX($FO$325:$IH$396,GB$169,SwaptionMonthsToGo+SwaptionShift))))))</f>
        <v/>
      </c>
      <c r="GC198" s="469" t="str">
        <f ca="1">IF(OR(GC$169&lt;SwaptionFirstMonthPosition+1,$FN198&lt;SwaptionFirstMonthPosition+1,GC$169&gt;SwaptionFirstMonthPosition+SwaptionNumOfMonths+1,$FN198&gt;SwaptionFirstMonthPosition+SwaptionNumOfMonths+1),"",IF($FN198=GC$169,1,IF($FN198&lt;GC$169,INDEX($FO$170:$IH$241,GC$169,$FN198),SUMPRODUCT(INDEX($FO$325:$IH$396,GC$169,1+SwaptionShift):INDEX($FO$325:$IH$396,GC$169,SwaptionMonthsToGo+SwaptionShift),INDEX($FO$245:$IH$316,$FN198-GC$169,73-GC$169+SwaptionShift):INDEX($FO$245:$IH$316,$FN198-GC$169,72-GC$169+SwaptionMonthsToGo+SwaptionShift))/SQRT(SUM(INDEX($FO353:$IH353,1+SwaptionShift):INDEX($FO353:$IH353,SwaptionMonthsToGo+SwaptionShift))*SUM(INDEX($FO$325:$IH$396,GC$169,1+SwaptionShift):INDEX($FO$325:$IH$396,GC$169,SwaptionMonthsToGo+SwaptionShift))))))</f>
        <v/>
      </c>
      <c r="GD198" s="469" t="str">
        <f ca="1">IF(OR(GD$169&lt;SwaptionFirstMonthPosition+1,$FN198&lt;SwaptionFirstMonthPosition+1,GD$169&gt;SwaptionFirstMonthPosition+SwaptionNumOfMonths+1,$FN198&gt;SwaptionFirstMonthPosition+SwaptionNumOfMonths+1),"",IF($FN198=GD$169,1,IF($FN198&lt;GD$169,INDEX($FO$170:$IH$241,GD$169,$FN198),SUMPRODUCT(INDEX($FO$325:$IH$396,GD$169,1+SwaptionShift):INDEX($FO$325:$IH$396,GD$169,SwaptionMonthsToGo+SwaptionShift),INDEX($FO$245:$IH$316,$FN198-GD$169,73-GD$169+SwaptionShift):INDEX($FO$245:$IH$316,$FN198-GD$169,72-GD$169+SwaptionMonthsToGo+SwaptionShift))/SQRT(SUM(INDEX($FO353:$IH353,1+SwaptionShift):INDEX($FO353:$IH353,SwaptionMonthsToGo+SwaptionShift))*SUM(INDEX($FO$325:$IH$396,GD$169,1+SwaptionShift):INDEX($FO$325:$IH$396,GD$169,SwaptionMonthsToGo+SwaptionShift))))))</f>
        <v/>
      </c>
      <c r="GE198" s="469" t="str">
        <f ca="1">IF(OR(GE$169&lt;SwaptionFirstMonthPosition+1,$FN198&lt;SwaptionFirstMonthPosition+1,GE$169&gt;SwaptionFirstMonthPosition+SwaptionNumOfMonths+1,$FN198&gt;SwaptionFirstMonthPosition+SwaptionNumOfMonths+1),"",IF($FN198=GE$169,1,IF($FN198&lt;GE$169,INDEX($FO$170:$IH$241,GE$169,$FN198),SUMPRODUCT(INDEX($FO$325:$IH$396,GE$169,1+SwaptionShift):INDEX($FO$325:$IH$396,GE$169,SwaptionMonthsToGo+SwaptionShift),INDEX($FO$245:$IH$316,$FN198-GE$169,73-GE$169+SwaptionShift):INDEX($FO$245:$IH$316,$FN198-GE$169,72-GE$169+SwaptionMonthsToGo+SwaptionShift))/SQRT(SUM(INDEX($FO353:$IH353,1+SwaptionShift):INDEX($FO353:$IH353,SwaptionMonthsToGo+SwaptionShift))*SUM(INDEX($FO$325:$IH$396,GE$169,1+SwaptionShift):INDEX($FO$325:$IH$396,GE$169,SwaptionMonthsToGo+SwaptionShift))))))</f>
        <v/>
      </c>
      <c r="GF198" s="469" t="str">
        <f ca="1">IF(OR(GF$169&lt;SwaptionFirstMonthPosition+1,$FN198&lt;SwaptionFirstMonthPosition+1,GF$169&gt;SwaptionFirstMonthPosition+SwaptionNumOfMonths+1,$FN198&gt;SwaptionFirstMonthPosition+SwaptionNumOfMonths+1),"",IF($FN198=GF$169,1,IF($FN198&lt;GF$169,INDEX($FO$170:$IH$241,GF$169,$FN198),SUMPRODUCT(INDEX($FO$325:$IH$396,GF$169,1+SwaptionShift):INDEX($FO$325:$IH$396,GF$169,SwaptionMonthsToGo+SwaptionShift),INDEX($FO$245:$IH$316,$FN198-GF$169,73-GF$169+SwaptionShift):INDEX($FO$245:$IH$316,$FN198-GF$169,72-GF$169+SwaptionMonthsToGo+SwaptionShift))/SQRT(SUM(INDEX($FO353:$IH353,1+SwaptionShift):INDEX($FO353:$IH353,SwaptionMonthsToGo+SwaptionShift))*SUM(INDEX($FO$325:$IH$396,GF$169,1+SwaptionShift):INDEX($FO$325:$IH$396,GF$169,SwaptionMonthsToGo+SwaptionShift))))))</f>
        <v/>
      </c>
      <c r="GG198" s="469" t="str">
        <f ca="1">IF(OR(GG$169&lt;SwaptionFirstMonthPosition+1,$FN198&lt;SwaptionFirstMonthPosition+1,GG$169&gt;SwaptionFirstMonthPosition+SwaptionNumOfMonths+1,$FN198&gt;SwaptionFirstMonthPosition+SwaptionNumOfMonths+1),"",IF($FN198=GG$169,1,IF($FN198&lt;GG$169,INDEX($FO$170:$IH$241,GG$169,$FN198),SUMPRODUCT(INDEX($FO$325:$IH$396,GG$169,1+SwaptionShift):INDEX($FO$325:$IH$396,GG$169,SwaptionMonthsToGo+SwaptionShift),INDEX($FO$245:$IH$316,$FN198-GG$169,73-GG$169+SwaptionShift):INDEX($FO$245:$IH$316,$FN198-GG$169,72-GG$169+SwaptionMonthsToGo+SwaptionShift))/SQRT(SUM(INDEX($FO353:$IH353,1+SwaptionShift):INDEX($FO353:$IH353,SwaptionMonthsToGo+SwaptionShift))*SUM(INDEX($FO$325:$IH$396,GG$169,1+SwaptionShift):INDEX($FO$325:$IH$396,GG$169,SwaptionMonthsToGo+SwaptionShift))))))</f>
        <v/>
      </c>
      <c r="GH198" s="469" t="str">
        <f ca="1">IF(OR(GH$169&lt;SwaptionFirstMonthPosition+1,$FN198&lt;SwaptionFirstMonthPosition+1,GH$169&gt;SwaptionFirstMonthPosition+SwaptionNumOfMonths+1,$FN198&gt;SwaptionFirstMonthPosition+SwaptionNumOfMonths+1),"",IF($FN198=GH$169,1,IF($FN198&lt;GH$169,INDEX($FO$170:$IH$241,GH$169,$FN198),SUMPRODUCT(INDEX($FO$325:$IH$396,GH$169,1+SwaptionShift):INDEX($FO$325:$IH$396,GH$169,SwaptionMonthsToGo+SwaptionShift),INDEX($FO$245:$IH$316,$FN198-GH$169,73-GH$169+SwaptionShift):INDEX($FO$245:$IH$316,$FN198-GH$169,72-GH$169+SwaptionMonthsToGo+SwaptionShift))/SQRT(SUM(INDEX($FO353:$IH353,1+SwaptionShift):INDEX($FO353:$IH353,SwaptionMonthsToGo+SwaptionShift))*SUM(INDEX($FO$325:$IH$396,GH$169,1+SwaptionShift):INDEX($FO$325:$IH$396,GH$169,SwaptionMonthsToGo+SwaptionShift))))))</f>
        <v/>
      </c>
      <c r="GI198" s="469" t="str">
        <f ca="1">IF(OR(GI$169&lt;SwaptionFirstMonthPosition+1,$FN198&lt;SwaptionFirstMonthPosition+1,GI$169&gt;SwaptionFirstMonthPosition+SwaptionNumOfMonths+1,$FN198&gt;SwaptionFirstMonthPosition+SwaptionNumOfMonths+1),"",IF($FN198=GI$169,1,IF($FN198&lt;GI$169,INDEX($FO$170:$IH$241,GI$169,$FN198),SUMPRODUCT(INDEX($FO$325:$IH$396,GI$169,1+SwaptionShift):INDEX($FO$325:$IH$396,GI$169,SwaptionMonthsToGo+SwaptionShift),INDEX($FO$245:$IH$316,$FN198-GI$169,73-GI$169+SwaptionShift):INDEX($FO$245:$IH$316,$FN198-GI$169,72-GI$169+SwaptionMonthsToGo+SwaptionShift))/SQRT(SUM(INDEX($FO353:$IH353,1+SwaptionShift):INDEX($FO353:$IH353,SwaptionMonthsToGo+SwaptionShift))*SUM(INDEX($FO$325:$IH$396,GI$169,1+SwaptionShift):INDEX($FO$325:$IH$396,GI$169,SwaptionMonthsToGo+SwaptionShift))))))</f>
        <v/>
      </c>
      <c r="GJ198" s="469" t="str">
        <f ca="1">IF(OR(GJ$169&lt;SwaptionFirstMonthPosition+1,$FN198&lt;SwaptionFirstMonthPosition+1,GJ$169&gt;SwaptionFirstMonthPosition+SwaptionNumOfMonths+1,$FN198&gt;SwaptionFirstMonthPosition+SwaptionNumOfMonths+1),"",IF($FN198=GJ$169,1,IF($FN198&lt;GJ$169,INDEX($FO$170:$IH$241,GJ$169,$FN198),SUMPRODUCT(INDEX($FO$325:$IH$396,GJ$169,1+SwaptionShift):INDEX($FO$325:$IH$396,GJ$169,SwaptionMonthsToGo+SwaptionShift),INDEX($FO$245:$IH$316,$FN198-GJ$169,73-GJ$169+SwaptionShift):INDEX($FO$245:$IH$316,$FN198-GJ$169,72-GJ$169+SwaptionMonthsToGo+SwaptionShift))/SQRT(SUM(INDEX($FO353:$IH353,1+SwaptionShift):INDEX($FO353:$IH353,SwaptionMonthsToGo+SwaptionShift))*SUM(INDEX($FO$325:$IH$396,GJ$169,1+SwaptionShift):INDEX($FO$325:$IH$396,GJ$169,SwaptionMonthsToGo+SwaptionShift))))))</f>
        <v/>
      </c>
      <c r="GK198" s="469" t="str">
        <f ca="1">IF(OR(GK$169&lt;SwaptionFirstMonthPosition+1,$FN198&lt;SwaptionFirstMonthPosition+1,GK$169&gt;SwaptionFirstMonthPosition+SwaptionNumOfMonths+1,$FN198&gt;SwaptionFirstMonthPosition+SwaptionNumOfMonths+1),"",IF($FN198=GK$169,1,IF($FN198&lt;GK$169,INDEX($FO$170:$IH$241,GK$169,$FN198),SUMPRODUCT(INDEX($FO$325:$IH$396,GK$169,1+SwaptionShift):INDEX($FO$325:$IH$396,GK$169,SwaptionMonthsToGo+SwaptionShift),INDEX($FO$245:$IH$316,$FN198-GK$169,73-GK$169+SwaptionShift):INDEX($FO$245:$IH$316,$FN198-GK$169,72-GK$169+SwaptionMonthsToGo+SwaptionShift))/SQRT(SUM(INDEX($FO353:$IH353,1+SwaptionShift):INDEX($FO353:$IH353,SwaptionMonthsToGo+SwaptionShift))*SUM(INDEX($FO$325:$IH$396,GK$169,1+SwaptionShift):INDEX($FO$325:$IH$396,GK$169,SwaptionMonthsToGo+SwaptionShift))))))</f>
        <v/>
      </c>
      <c r="GL198" s="469" t="str">
        <f ca="1">IF(OR(GL$169&lt;SwaptionFirstMonthPosition+1,$FN198&lt;SwaptionFirstMonthPosition+1,GL$169&gt;SwaptionFirstMonthPosition+SwaptionNumOfMonths+1,$FN198&gt;SwaptionFirstMonthPosition+SwaptionNumOfMonths+1),"",IF($FN198=GL$169,1,IF($FN198&lt;GL$169,INDEX($FO$170:$IH$241,GL$169,$FN198),SUMPRODUCT(INDEX($FO$325:$IH$396,GL$169,1+SwaptionShift):INDEX($FO$325:$IH$396,GL$169,SwaptionMonthsToGo+SwaptionShift),INDEX($FO$245:$IH$316,$FN198-GL$169,73-GL$169+SwaptionShift):INDEX($FO$245:$IH$316,$FN198-GL$169,72-GL$169+SwaptionMonthsToGo+SwaptionShift))/SQRT(SUM(INDEX($FO353:$IH353,1+SwaptionShift):INDEX($FO353:$IH353,SwaptionMonthsToGo+SwaptionShift))*SUM(INDEX($FO$325:$IH$396,GL$169,1+SwaptionShift):INDEX($FO$325:$IH$396,GL$169,SwaptionMonthsToGo+SwaptionShift))))))</f>
        <v/>
      </c>
      <c r="GM198" s="469" t="str">
        <f ca="1">IF(OR(GM$169&lt;SwaptionFirstMonthPosition+1,$FN198&lt;SwaptionFirstMonthPosition+1,GM$169&gt;SwaptionFirstMonthPosition+SwaptionNumOfMonths+1,$FN198&gt;SwaptionFirstMonthPosition+SwaptionNumOfMonths+1),"",IF($FN198=GM$169,1,IF($FN198&lt;GM$169,INDEX($FO$170:$IH$241,GM$169,$FN198),SUMPRODUCT(INDEX($FO$325:$IH$396,GM$169,1+SwaptionShift):INDEX($FO$325:$IH$396,GM$169,SwaptionMonthsToGo+SwaptionShift),INDEX($FO$245:$IH$316,$FN198-GM$169,73-GM$169+SwaptionShift):INDEX($FO$245:$IH$316,$FN198-GM$169,72-GM$169+SwaptionMonthsToGo+SwaptionShift))/SQRT(SUM(INDEX($FO353:$IH353,1+SwaptionShift):INDEX($FO353:$IH353,SwaptionMonthsToGo+SwaptionShift))*SUM(INDEX($FO$325:$IH$396,GM$169,1+SwaptionShift):INDEX($FO$325:$IH$396,GM$169,SwaptionMonthsToGo+SwaptionShift))))))</f>
        <v/>
      </c>
      <c r="GN198" s="469" t="str">
        <f ca="1">IF(OR(GN$169&lt;SwaptionFirstMonthPosition+1,$FN198&lt;SwaptionFirstMonthPosition+1,GN$169&gt;SwaptionFirstMonthPosition+SwaptionNumOfMonths+1,$FN198&gt;SwaptionFirstMonthPosition+SwaptionNumOfMonths+1),"",IF($FN198=GN$169,1,IF($FN198&lt;GN$169,INDEX($FO$170:$IH$241,GN$169,$FN198),SUMPRODUCT(INDEX($FO$325:$IH$396,GN$169,1+SwaptionShift):INDEX($FO$325:$IH$396,GN$169,SwaptionMonthsToGo+SwaptionShift),INDEX($FO$245:$IH$316,$FN198-GN$169,73-GN$169+SwaptionShift):INDEX($FO$245:$IH$316,$FN198-GN$169,72-GN$169+SwaptionMonthsToGo+SwaptionShift))/SQRT(SUM(INDEX($FO353:$IH353,1+SwaptionShift):INDEX($FO353:$IH353,SwaptionMonthsToGo+SwaptionShift))*SUM(INDEX($FO$325:$IH$396,GN$169,1+SwaptionShift):INDEX($FO$325:$IH$396,GN$169,SwaptionMonthsToGo+SwaptionShift))))))</f>
        <v/>
      </c>
      <c r="GO198" s="469" t="str">
        <f ca="1">IF(OR(GO$169&lt;SwaptionFirstMonthPosition+1,$FN198&lt;SwaptionFirstMonthPosition+1,GO$169&gt;SwaptionFirstMonthPosition+SwaptionNumOfMonths+1,$FN198&gt;SwaptionFirstMonthPosition+SwaptionNumOfMonths+1),"",IF($FN198=GO$169,1,IF($FN198&lt;GO$169,INDEX($FO$170:$IH$241,GO$169,$FN198),SUMPRODUCT(INDEX($FO$325:$IH$396,GO$169,1+SwaptionShift):INDEX($FO$325:$IH$396,GO$169,SwaptionMonthsToGo+SwaptionShift),INDEX($FO$245:$IH$316,$FN198-GO$169,73-GO$169+SwaptionShift):INDEX($FO$245:$IH$316,$FN198-GO$169,72-GO$169+SwaptionMonthsToGo+SwaptionShift))/SQRT(SUM(INDEX($FO353:$IH353,1+SwaptionShift):INDEX($FO353:$IH353,SwaptionMonthsToGo+SwaptionShift))*SUM(INDEX($FO$325:$IH$396,GO$169,1+SwaptionShift):INDEX($FO$325:$IH$396,GO$169,SwaptionMonthsToGo+SwaptionShift))))))</f>
        <v/>
      </c>
      <c r="GP198" s="469" t="str">
        <f ca="1">IF(OR(GP$169&lt;SwaptionFirstMonthPosition+1,$FN198&lt;SwaptionFirstMonthPosition+1,GP$169&gt;SwaptionFirstMonthPosition+SwaptionNumOfMonths+1,$FN198&gt;SwaptionFirstMonthPosition+SwaptionNumOfMonths+1),"",IF($FN198=GP$169,1,IF($FN198&lt;GP$169,INDEX($FO$170:$IH$241,GP$169,$FN198),SUMPRODUCT(INDEX($FO$325:$IH$396,GP$169,1+SwaptionShift):INDEX($FO$325:$IH$396,GP$169,SwaptionMonthsToGo+SwaptionShift),INDEX($FO$245:$IH$316,$FN198-GP$169,73-GP$169+SwaptionShift):INDEX($FO$245:$IH$316,$FN198-GP$169,72-GP$169+SwaptionMonthsToGo+SwaptionShift))/SQRT(SUM(INDEX($FO353:$IH353,1+SwaptionShift):INDEX($FO353:$IH353,SwaptionMonthsToGo+SwaptionShift))*SUM(INDEX($FO$325:$IH$396,GP$169,1+SwaptionShift):INDEX($FO$325:$IH$396,GP$169,SwaptionMonthsToGo+SwaptionShift))))))</f>
        <v/>
      </c>
      <c r="GQ198" s="469" t="str">
        <f ca="1">IF(OR(GQ$169&lt;SwaptionFirstMonthPosition+1,$FN198&lt;SwaptionFirstMonthPosition+1,GQ$169&gt;SwaptionFirstMonthPosition+SwaptionNumOfMonths+1,$FN198&gt;SwaptionFirstMonthPosition+SwaptionNumOfMonths+1),"",IF($FN198=GQ$169,1,IF($FN198&lt;GQ$169,INDEX($FO$170:$IH$241,GQ$169,$FN198),SUMPRODUCT(INDEX($FO$325:$IH$396,GQ$169,1+SwaptionShift):INDEX($FO$325:$IH$396,GQ$169,SwaptionMonthsToGo+SwaptionShift),INDEX($FO$245:$IH$316,$FN198-GQ$169,73-GQ$169+SwaptionShift):INDEX($FO$245:$IH$316,$FN198-GQ$169,72-GQ$169+SwaptionMonthsToGo+SwaptionShift))/SQRT(SUM(INDEX($FO353:$IH353,1+SwaptionShift):INDEX($FO353:$IH353,SwaptionMonthsToGo+SwaptionShift))*SUM(INDEX($FO$325:$IH$396,GQ$169,1+SwaptionShift):INDEX($FO$325:$IH$396,GQ$169,SwaptionMonthsToGo+SwaptionShift))))))</f>
        <v/>
      </c>
      <c r="GR198" s="469" t="str">
        <f ca="1">IF(OR(GR$169&lt;SwaptionFirstMonthPosition+1,$FN198&lt;SwaptionFirstMonthPosition+1,GR$169&gt;SwaptionFirstMonthPosition+SwaptionNumOfMonths+1,$FN198&gt;SwaptionFirstMonthPosition+SwaptionNumOfMonths+1),"",IF($FN198=GR$169,1,IF($FN198&lt;GR$169,INDEX($FO$170:$IH$241,GR$169,$FN198),SUMPRODUCT(INDEX($FO$325:$IH$396,GR$169,1+SwaptionShift):INDEX($FO$325:$IH$396,GR$169,SwaptionMonthsToGo+SwaptionShift),INDEX($FO$245:$IH$316,$FN198-GR$169,73-GR$169+SwaptionShift):INDEX($FO$245:$IH$316,$FN198-GR$169,72-GR$169+SwaptionMonthsToGo+SwaptionShift))/SQRT(SUM(INDEX($FO353:$IH353,1+SwaptionShift):INDEX($FO353:$IH353,SwaptionMonthsToGo+SwaptionShift))*SUM(INDEX($FO$325:$IH$396,GR$169,1+SwaptionShift):INDEX($FO$325:$IH$396,GR$169,SwaptionMonthsToGo+SwaptionShift))))))</f>
        <v/>
      </c>
      <c r="GS198" s="469" t="str">
        <f ca="1">IF(OR(GS$169&lt;SwaptionFirstMonthPosition+1,$FN198&lt;SwaptionFirstMonthPosition+1,GS$169&gt;SwaptionFirstMonthPosition+SwaptionNumOfMonths+1,$FN198&gt;SwaptionFirstMonthPosition+SwaptionNumOfMonths+1),"",IF($FN198=GS$169,1,IF($FN198&lt;GS$169,INDEX($FO$170:$IH$241,GS$169,$FN198),SUMPRODUCT(INDEX($FO$325:$IH$396,GS$169,1+SwaptionShift):INDEX($FO$325:$IH$396,GS$169,SwaptionMonthsToGo+SwaptionShift),INDEX($FO$245:$IH$316,$FN198-GS$169,73-GS$169+SwaptionShift):INDEX($FO$245:$IH$316,$FN198-GS$169,72-GS$169+SwaptionMonthsToGo+SwaptionShift))/SQRT(SUM(INDEX($FO353:$IH353,1+SwaptionShift):INDEX($FO353:$IH353,SwaptionMonthsToGo+SwaptionShift))*SUM(INDEX($FO$325:$IH$396,GS$169,1+SwaptionShift):INDEX($FO$325:$IH$396,GS$169,SwaptionMonthsToGo+SwaptionShift))))))</f>
        <v/>
      </c>
      <c r="GT198" s="469" t="str">
        <f ca="1">IF(OR(GT$169&lt;SwaptionFirstMonthPosition+1,$FN198&lt;SwaptionFirstMonthPosition+1,GT$169&gt;SwaptionFirstMonthPosition+SwaptionNumOfMonths+1,$FN198&gt;SwaptionFirstMonthPosition+SwaptionNumOfMonths+1),"",IF($FN198=GT$169,1,IF($FN198&lt;GT$169,INDEX($FO$170:$IH$241,GT$169,$FN198),SUMPRODUCT(INDEX($FO$325:$IH$396,GT$169,1+SwaptionShift):INDEX($FO$325:$IH$396,GT$169,SwaptionMonthsToGo+SwaptionShift),INDEX($FO$245:$IH$316,$FN198-GT$169,73-GT$169+SwaptionShift):INDEX($FO$245:$IH$316,$FN198-GT$169,72-GT$169+SwaptionMonthsToGo+SwaptionShift))/SQRT(SUM(INDEX($FO353:$IH353,1+SwaptionShift):INDEX($FO353:$IH353,SwaptionMonthsToGo+SwaptionShift))*SUM(INDEX($FO$325:$IH$396,GT$169,1+SwaptionShift):INDEX($FO$325:$IH$396,GT$169,SwaptionMonthsToGo+SwaptionShift))))))</f>
        <v/>
      </c>
      <c r="GU198" s="469" t="str">
        <f ca="1">IF(OR(GU$169&lt;SwaptionFirstMonthPosition+1,$FN198&lt;SwaptionFirstMonthPosition+1,GU$169&gt;SwaptionFirstMonthPosition+SwaptionNumOfMonths+1,$FN198&gt;SwaptionFirstMonthPosition+SwaptionNumOfMonths+1),"",IF($FN198=GU$169,1,IF($FN198&lt;GU$169,INDEX($FO$170:$IH$241,GU$169,$FN198),SUMPRODUCT(INDEX($FO$325:$IH$396,GU$169,1+SwaptionShift):INDEX($FO$325:$IH$396,GU$169,SwaptionMonthsToGo+SwaptionShift),INDEX($FO$245:$IH$316,$FN198-GU$169,73-GU$169+SwaptionShift):INDEX($FO$245:$IH$316,$FN198-GU$169,72-GU$169+SwaptionMonthsToGo+SwaptionShift))/SQRT(SUM(INDEX($FO353:$IH353,1+SwaptionShift):INDEX($FO353:$IH353,SwaptionMonthsToGo+SwaptionShift))*SUM(INDEX($FO$325:$IH$396,GU$169,1+SwaptionShift):INDEX($FO$325:$IH$396,GU$169,SwaptionMonthsToGo+SwaptionShift))))))</f>
        <v/>
      </c>
      <c r="GV198" s="469" t="str">
        <f ca="1">IF(OR(GV$169&lt;SwaptionFirstMonthPosition+1,$FN198&lt;SwaptionFirstMonthPosition+1,GV$169&gt;SwaptionFirstMonthPosition+SwaptionNumOfMonths+1,$FN198&gt;SwaptionFirstMonthPosition+SwaptionNumOfMonths+1),"",IF($FN198=GV$169,1,IF($FN198&lt;GV$169,INDEX($FO$170:$IH$241,GV$169,$FN198),SUMPRODUCT(INDEX($FO$325:$IH$396,GV$169,1+SwaptionShift):INDEX($FO$325:$IH$396,GV$169,SwaptionMonthsToGo+SwaptionShift),INDEX($FO$245:$IH$316,$FN198-GV$169,73-GV$169+SwaptionShift):INDEX($FO$245:$IH$316,$FN198-GV$169,72-GV$169+SwaptionMonthsToGo+SwaptionShift))/SQRT(SUM(INDEX($FO353:$IH353,1+SwaptionShift):INDEX($FO353:$IH353,SwaptionMonthsToGo+SwaptionShift))*SUM(INDEX($FO$325:$IH$396,GV$169,1+SwaptionShift):INDEX($FO$325:$IH$396,GV$169,SwaptionMonthsToGo+SwaptionShift))))))</f>
        <v/>
      </c>
      <c r="GW198" s="469" t="str">
        <f ca="1">IF(OR(GW$169&lt;SwaptionFirstMonthPosition+1,$FN198&lt;SwaptionFirstMonthPosition+1,GW$169&gt;SwaptionFirstMonthPosition+SwaptionNumOfMonths+1,$FN198&gt;SwaptionFirstMonthPosition+SwaptionNumOfMonths+1),"",IF($FN198=GW$169,1,IF($FN198&lt;GW$169,INDEX($FO$170:$IH$241,GW$169,$FN198),SUMPRODUCT(INDEX($FO$325:$IH$396,GW$169,1+SwaptionShift):INDEX($FO$325:$IH$396,GW$169,SwaptionMonthsToGo+SwaptionShift),INDEX($FO$245:$IH$316,$FN198-GW$169,73-GW$169+SwaptionShift):INDEX($FO$245:$IH$316,$FN198-GW$169,72-GW$169+SwaptionMonthsToGo+SwaptionShift))/SQRT(SUM(INDEX($FO353:$IH353,1+SwaptionShift):INDEX($FO353:$IH353,SwaptionMonthsToGo+SwaptionShift))*SUM(INDEX($FO$325:$IH$396,GW$169,1+SwaptionShift):INDEX($FO$325:$IH$396,GW$169,SwaptionMonthsToGo+SwaptionShift))))))</f>
        <v/>
      </c>
      <c r="GX198" s="469" t="str">
        <f ca="1">IF(OR(GX$169&lt;SwaptionFirstMonthPosition+1,$FN198&lt;SwaptionFirstMonthPosition+1,GX$169&gt;SwaptionFirstMonthPosition+SwaptionNumOfMonths+1,$FN198&gt;SwaptionFirstMonthPosition+SwaptionNumOfMonths+1),"",IF($FN198=GX$169,1,IF($FN198&lt;GX$169,INDEX($FO$170:$IH$241,GX$169,$FN198),SUMPRODUCT(INDEX($FO$325:$IH$396,GX$169,1+SwaptionShift):INDEX($FO$325:$IH$396,GX$169,SwaptionMonthsToGo+SwaptionShift),INDEX($FO$245:$IH$316,$FN198-GX$169,73-GX$169+SwaptionShift):INDEX($FO$245:$IH$316,$FN198-GX$169,72-GX$169+SwaptionMonthsToGo+SwaptionShift))/SQRT(SUM(INDEX($FO353:$IH353,1+SwaptionShift):INDEX($FO353:$IH353,SwaptionMonthsToGo+SwaptionShift))*SUM(INDEX($FO$325:$IH$396,GX$169,1+SwaptionShift):INDEX($FO$325:$IH$396,GX$169,SwaptionMonthsToGo+SwaptionShift))))))</f>
        <v/>
      </c>
      <c r="GY198" s="469" t="str">
        <f ca="1">IF(OR(GY$169&lt;SwaptionFirstMonthPosition+1,$FN198&lt;SwaptionFirstMonthPosition+1,GY$169&gt;SwaptionFirstMonthPosition+SwaptionNumOfMonths+1,$FN198&gt;SwaptionFirstMonthPosition+SwaptionNumOfMonths+1),"",IF($FN198=GY$169,1,IF($FN198&lt;GY$169,INDEX($FO$170:$IH$241,GY$169,$FN198),SUMPRODUCT(INDEX($FO$325:$IH$396,GY$169,1+SwaptionShift):INDEX($FO$325:$IH$396,GY$169,SwaptionMonthsToGo+SwaptionShift),INDEX($FO$245:$IH$316,$FN198-GY$169,73-GY$169+SwaptionShift):INDEX($FO$245:$IH$316,$FN198-GY$169,72-GY$169+SwaptionMonthsToGo+SwaptionShift))/SQRT(SUM(INDEX($FO353:$IH353,1+SwaptionShift):INDEX($FO353:$IH353,SwaptionMonthsToGo+SwaptionShift))*SUM(INDEX($FO$325:$IH$396,GY$169,1+SwaptionShift):INDEX($FO$325:$IH$396,GY$169,SwaptionMonthsToGo+SwaptionShift))))))</f>
        <v/>
      </c>
      <c r="GZ198" s="469" t="str">
        <f ca="1">IF(OR(GZ$169&lt;SwaptionFirstMonthPosition+1,$FN198&lt;SwaptionFirstMonthPosition+1,GZ$169&gt;SwaptionFirstMonthPosition+SwaptionNumOfMonths+1,$FN198&gt;SwaptionFirstMonthPosition+SwaptionNumOfMonths+1),"",IF($FN198=GZ$169,1,IF($FN198&lt;GZ$169,INDEX($FO$170:$IH$241,GZ$169,$FN198),SUMPRODUCT(INDEX($FO$325:$IH$396,GZ$169,1+SwaptionShift):INDEX($FO$325:$IH$396,GZ$169,SwaptionMonthsToGo+SwaptionShift),INDEX($FO$245:$IH$316,$FN198-GZ$169,73-GZ$169+SwaptionShift):INDEX($FO$245:$IH$316,$FN198-GZ$169,72-GZ$169+SwaptionMonthsToGo+SwaptionShift))/SQRT(SUM(INDEX($FO353:$IH353,1+SwaptionShift):INDEX($FO353:$IH353,SwaptionMonthsToGo+SwaptionShift))*SUM(INDEX($FO$325:$IH$396,GZ$169,1+SwaptionShift):INDEX($FO$325:$IH$396,GZ$169,SwaptionMonthsToGo+SwaptionShift))))))</f>
        <v/>
      </c>
      <c r="HA198" s="469" t="str">
        <f ca="1">IF(OR(HA$169&lt;SwaptionFirstMonthPosition+1,$FN198&lt;SwaptionFirstMonthPosition+1,HA$169&gt;SwaptionFirstMonthPosition+SwaptionNumOfMonths+1,$FN198&gt;SwaptionFirstMonthPosition+SwaptionNumOfMonths+1),"",IF($FN198=HA$169,1,IF($FN198&lt;HA$169,INDEX($FO$170:$IH$241,HA$169,$FN198),SUMPRODUCT(INDEX($FO$325:$IH$396,HA$169,1+SwaptionShift):INDEX($FO$325:$IH$396,HA$169,SwaptionMonthsToGo+SwaptionShift),INDEX($FO$245:$IH$316,$FN198-HA$169,73-HA$169+SwaptionShift):INDEX($FO$245:$IH$316,$FN198-HA$169,72-HA$169+SwaptionMonthsToGo+SwaptionShift))/SQRT(SUM(INDEX($FO353:$IH353,1+SwaptionShift):INDEX($FO353:$IH353,SwaptionMonthsToGo+SwaptionShift))*SUM(INDEX($FO$325:$IH$396,HA$169,1+SwaptionShift):INDEX($FO$325:$IH$396,HA$169,SwaptionMonthsToGo+SwaptionShift))))))</f>
        <v/>
      </c>
      <c r="HB198" s="469" t="str">
        <f ca="1">IF(OR(HB$169&lt;SwaptionFirstMonthPosition+1,$FN198&lt;SwaptionFirstMonthPosition+1,HB$169&gt;SwaptionFirstMonthPosition+SwaptionNumOfMonths+1,$FN198&gt;SwaptionFirstMonthPosition+SwaptionNumOfMonths+1),"",IF($FN198=HB$169,1,IF($FN198&lt;HB$169,INDEX($FO$170:$IH$241,HB$169,$FN198),SUMPRODUCT(INDEX($FO$325:$IH$396,HB$169,1+SwaptionShift):INDEX($FO$325:$IH$396,HB$169,SwaptionMonthsToGo+SwaptionShift),INDEX($FO$245:$IH$316,$FN198-HB$169,73-HB$169+SwaptionShift):INDEX($FO$245:$IH$316,$FN198-HB$169,72-HB$169+SwaptionMonthsToGo+SwaptionShift))/SQRT(SUM(INDEX($FO353:$IH353,1+SwaptionShift):INDEX($FO353:$IH353,SwaptionMonthsToGo+SwaptionShift))*SUM(INDEX($FO$325:$IH$396,HB$169,1+SwaptionShift):INDEX($FO$325:$IH$396,HB$169,SwaptionMonthsToGo+SwaptionShift))))))</f>
        <v/>
      </c>
      <c r="HC198" s="469" t="str">
        <f ca="1">IF(OR(HC$169&lt;SwaptionFirstMonthPosition+1,$FN198&lt;SwaptionFirstMonthPosition+1,HC$169&gt;SwaptionFirstMonthPosition+SwaptionNumOfMonths+1,$FN198&gt;SwaptionFirstMonthPosition+SwaptionNumOfMonths+1),"",IF($FN198=HC$169,1,IF($FN198&lt;HC$169,INDEX($FO$170:$IH$241,HC$169,$FN198),SUMPRODUCT(INDEX($FO$325:$IH$396,HC$169,1+SwaptionShift):INDEX($FO$325:$IH$396,HC$169,SwaptionMonthsToGo+SwaptionShift),INDEX($FO$245:$IH$316,$FN198-HC$169,73-HC$169+SwaptionShift):INDEX($FO$245:$IH$316,$FN198-HC$169,72-HC$169+SwaptionMonthsToGo+SwaptionShift))/SQRT(SUM(INDEX($FO353:$IH353,1+SwaptionShift):INDEX($FO353:$IH353,SwaptionMonthsToGo+SwaptionShift))*SUM(INDEX($FO$325:$IH$396,HC$169,1+SwaptionShift):INDEX($FO$325:$IH$396,HC$169,SwaptionMonthsToGo+SwaptionShift))))))</f>
        <v/>
      </c>
      <c r="HD198" s="469" t="str">
        <f ca="1">IF(OR(HD$169&lt;SwaptionFirstMonthPosition+1,$FN198&lt;SwaptionFirstMonthPosition+1,HD$169&gt;SwaptionFirstMonthPosition+SwaptionNumOfMonths+1,$FN198&gt;SwaptionFirstMonthPosition+SwaptionNumOfMonths+1),"",IF($FN198=HD$169,1,IF($FN198&lt;HD$169,INDEX($FO$170:$IH$241,HD$169,$FN198),SUMPRODUCT(INDEX($FO$325:$IH$396,HD$169,1+SwaptionShift):INDEX($FO$325:$IH$396,HD$169,SwaptionMonthsToGo+SwaptionShift),INDEX($FO$245:$IH$316,$FN198-HD$169,73-HD$169+SwaptionShift):INDEX($FO$245:$IH$316,$FN198-HD$169,72-HD$169+SwaptionMonthsToGo+SwaptionShift))/SQRT(SUM(INDEX($FO353:$IH353,1+SwaptionShift):INDEX($FO353:$IH353,SwaptionMonthsToGo+SwaptionShift))*SUM(INDEX($FO$325:$IH$396,HD$169,1+SwaptionShift):INDEX($FO$325:$IH$396,HD$169,SwaptionMonthsToGo+SwaptionShift))))))</f>
        <v/>
      </c>
      <c r="HE198" s="469" t="str">
        <f ca="1">IF(OR(HE$169&lt;SwaptionFirstMonthPosition+1,$FN198&lt;SwaptionFirstMonthPosition+1,HE$169&gt;SwaptionFirstMonthPosition+SwaptionNumOfMonths+1,$FN198&gt;SwaptionFirstMonthPosition+SwaptionNumOfMonths+1),"",IF($FN198=HE$169,1,IF($FN198&lt;HE$169,INDEX($FO$170:$IH$241,HE$169,$FN198),SUMPRODUCT(INDEX($FO$325:$IH$396,HE$169,1+SwaptionShift):INDEX($FO$325:$IH$396,HE$169,SwaptionMonthsToGo+SwaptionShift),INDEX($FO$245:$IH$316,$FN198-HE$169,73-HE$169+SwaptionShift):INDEX($FO$245:$IH$316,$FN198-HE$169,72-HE$169+SwaptionMonthsToGo+SwaptionShift))/SQRT(SUM(INDEX($FO353:$IH353,1+SwaptionShift):INDEX($FO353:$IH353,SwaptionMonthsToGo+SwaptionShift))*SUM(INDEX($FO$325:$IH$396,HE$169,1+SwaptionShift):INDEX($FO$325:$IH$396,HE$169,SwaptionMonthsToGo+SwaptionShift))))))</f>
        <v/>
      </c>
      <c r="HF198" s="469" t="str">
        <f ca="1">IF(OR(HF$169&lt;SwaptionFirstMonthPosition+1,$FN198&lt;SwaptionFirstMonthPosition+1,HF$169&gt;SwaptionFirstMonthPosition+SwaptionNumOfMonths+1,$FN198&gt;SwaptionFirstMonthPosition+SwaptionNumOfMonths+1),"",IF($FN198=HF$169,1,IF($FN198&lt;HF$169,INDEX($FO$170:$IH$241,HF$169,$FN198),SUMPRODUCT(INDEX($FO$325:$IH$396,HF$169,1+SwaptionShift):INDEX($FO$325:$IH$396,HF$169,SwaptionMonthsToGo+SwaptionShift),INDEX($FO$245:$IH$316,$FN198-HF$169,73-HF$169+SwaptionShift):INDEX($FO$245:$IH$316,$FN198-HF$169,72-HF$169+SwaptionMonthsToGo+SwaptionShift))/SQRT(SUM(INDEX($FO353:$IH353,1+SwaptionShift):INDEX($FO353:$IH353,SwaptionMonthsToGo+SwaptionShift))*SUM(INDEX($FO$325:$IH$396,HF$169,1+SwaptionShift):INDEX($FO$325:$IH$396,HF$169,SwaptionMonthsToGo+SwaptionShift))))))</f>
        <v/>
      </c>
      <c r="HG198" s="469" t="str">
        <f ca="1">IF(OR(HG$169&lt;SwaptionFirstMonthPosition+1,$FN198&lt;SwaptionFirstMonthPosition+1,HG$169&gt;SwaptionFirstMonthPosition+SwaptionNumOfMonths+1,$FN198&gt;SwaptionFirstMonthPosition+SwaptionNumOfMonths+1),"",IF($FN198=HG$169,1,IF($FN198&lt;HG$169,INDEX($FO$170:$IH$241,HG$169,$FN198),SUMPRODUCT(INDEX($FO$325:$IH$396,HG$169,1+SwaptionShift):INDEX($FO$325:$IH$396,HG$169,SwaptionMonthsToGo+SwaptionShift),INDEX($FO$245:$IH$316,$FN198-HG$169,73-HG$169+SwaptionShift):INDEX($FO$245:$IH$316,$FN198-HG$169,72-HG$169+SwaptionMonthsToGo+SwaptionShift))/SQRT(SUM(INDEX($FO353:$IH353,1+SwaptionShift):INDEX($FO353:$IH353,SwaptionMonthsToGo+SwaptionShift))*SUM(INDEX($FO$325:$IH$396,HG$169,1+SwaptionShift):INDEX($FO$325:$IH$396,HG$169,SwaptionMonthsToGo+SwaptionShift))))))</f>
        <v/>
      </c>
      <c r="HH198" s="469" t="str">
        <f ca="1">IF(OR(HH$169&lt;SwaptionFirstMonthPosition+1,$FN198&lt;SwaptionFirstMonthPosition+1,HH$169&gt;SwaptionFirstMonthPosition+SwaptionNumOfMonths+1,$FN198&gt;SwaptionFirstMonthPosition+SwaptionNumOfMonths+1),"",IF($FN198=HH$169,1,IF($FN198&lt;HH$169,INDEX($FO$170:$IH$241,HH$169,$FN198),SUMPRODUCT(INDEX($FO$325:$IH$396,HH$169,1+SwaptionShift):INDEX($FO$325:$IH$396,HH$169,SwaptionMonthsToGo+SwaptionShift),INDEX($FO$245:$IH$316,$FN198-HH$169,73-HH$169+SwaptionShift):INDEX($FO$245:$IH$316,$FN198-HH$169,72-HH$169+SwaptionMonthsToGo+SwaptionShift))/SQRT(SUM(INDEX($FO353:$IH353,1+SwaptionShift):INDEX($FO353:$IH353,SwaptionMonthsToGo+SwaptionShift))*SUM(INDEX($FO$325:$IH$396,HH$169,1+SwaptionShift):INDEX($FO$325:$IH$396,HH$169,SwaptionMonthsToGo+SwaptionShift))))))</f>
        <v/>
      </c>
      <c r="HI198" s="469" t="str">
        <f ca="1">IF(OR(HI$169&lt;SwaptionFirstMonthPosition+1,$FN198&lt;SwaptionFirstMonthPosition+1,HI$169&gt;SwaptionFirstMonthPosition+SwaptionNumOfMonths+1,$FN198&gt;SwaptionFirstMonthPosition+SwaptionNumOfMonths+1),"",IF($FN198=HI$169,1,IF($FN198&lt;HI$169,INDEX($FO$170:$IH$241,HI$169,$FN198),SUMPRODUCT(INDEX($FO$325:$IH$396,HI$169,1+SwaptionShift):INDEX($FO$325:$IH$396,HI$169,SwaptionMonthsToGo+SwaptionShift),INDEX($FO$245:$IH$316,$FN198-HI$169,73-HI$169+SwaptionShift):INDEX($FO$245:$IH$316,$FN198-HI$169,72-HI$169+SwaptionMonthsToGo+SwaptionShift))/SQRT(SUM(INDEX($FO353:$IH353,1+SwaptionShift):INDEX($FO353:$IH353,SwaptionMonthsToGo+SwaptionShift))*SUM(INDEX($FO$325:$IH$396,HI$169,1+SwaptionShift):INDEX($FO$325:$IH$396,HI$169,SwaptionMonthsToGo+SwaptionShift))))))</f>
        <v/>
      </c>
      <c r="HJ198" s="469" t="str">
        <f ca="1">IF(OR(HJ$169&lt;SwaptionFirstMonthPosition+1,$FN198&lt;SwaptionFirstMonthPosition+1,HJ$169&gt;SwaptionFirstMonthPosition+SwaptionNumOfMonths+1,$FN198&gt;SwaptionFirstMonthPosition+SwaptionNumOfMonths+1),"",IF($FN198=HJ$169,1,IF($FN198&lt;HJ$169,INDEX($FO$170:$IH$241,HJ$169,$FN198),SUMPRODUCT(INDEX($FO$325:$IH$396,HJ$169,1+SwaptionShift):INDEX($FO$325:$IH$396,HJ$169,SwaptionMonthsToGo+SwaptionShift),INDEX($FO$245:$IH$316,$FN198-HJ$169,73-HJ$169+SwaptionShift):INDEX($FO$245:$IH$316,$FN198-HJ$169,72-HJ$169+SwaptionMonthsToGo+SwaptionShift))/SQRT(SUM(INDEX($FO353:$IH353,1+SwaptionShift):INDEX($FO353:$IH353,SwaptionMonthsToGo+SwaptionShift))*SUM(INDEX($FO$325:$IH$396,HJ$169,1+SwaptionShift):INDEX($FO$325:$IH$396,HJ$169,SwaptionMonthsToGo+SwaptionShift))))))</f>
        <v/>
      </c>
      <c r="HK198" s="469" t="str">
        <f ca="1">IF(OR(HK$169&lt;SwaptionFirstMonthPosition+1,$FN198&lt;SwaptionFirstMonthPosition+1,HK$169&gt;SwaptionFirstMonthPosition+SwaptionNumOfMonths+1,$FN198&gt;SwaptionFirstMonthPosition+SwaptionNumOfMonths+1),"",IF($FN198=HK$169,1,IF($FN198&lt;HK$169,INDEX($FO$170:$IH$241,HK$169,$FN198),SUMPRODUCT(INDEX($FO$325:$IH$396,HK$169,1+SwaptionShift):INDEX($FO$325:$IH$396,HK$169,SwaptionMonthsToGo+SwaptionShift),INDEX($FO$245:$IH$316,$FN198-HK$169,73-HK$169+SwaptionShift):INDEX($FO$245:$IH$316,$FN198-HK$169,72-HK$169+SwaptionMonthsToGo+SwaptionShift))/SQRT(SUM(INDEX($FO353:$IH353,1+SwaptionShift):INDEX($FO353:$IH353,SwaptionMonthsToGo+SwaptionShift))*SUM(INDEX($FO$325:$IH$396,HK$169,1+SwaptionShift):INDEX($FO$325:$IH$396,HK$169,SwaptionMonthsToGo+SwaptionShift))))))</f>
        <v/>
      </c>
      <c r="HL198" s="469" t="str">
        <f ca="1">IF(OR(HL$169&lt;SwaptionFirstMonthPosition+1,$FN198&lt;SwaptionFirstMonthPosition+1,HL$169&gt;SwaptionFirstMonthPosition+SwaptionNumOfMonths+1,$FN198&gt;SwaptionFirstMonthPosition+SwaptionNumOfMonths+1),"",IF($FN198=HL$169,1,IF($FN198&lt;HL$169,INDEX($FO$170:$IH$241,HL$169,$FN198),SUMPRODUCT(INDEX($FO$325:$IH$396,HL$169,1+SwaptionShift):INDEX($FO$325:$IH$396,HL$169,SwaptionMonthsToGo+SwaptionShift),INDEX($FO$245:$IH$316,$FN198-HL$169,73-HL$169+SwaptionShift):INDEX($FO$245:$IH$316,$FN198-HL$169,72-HL$169+SwaptionMonthsToGo+SwaptionShift))/SQRT(SUM(INDEX($FO353:$IH353,1+SwaptionShift):INDEX($FO353:$IH353,SwaptionMonthsToGo+SwaptionShift))*SUM(INDEX($FO$325:$IH$396,HL$169,1+SwaptionShift):INDEX($FO$325:$IH$396,HL$169,SwaptionMonthsToGo+SwaptionShift))))))</f>
        <v/>
      </c>
      <c r="HM198" s="469" t="str">
        <f ca="1">IF(OR(HM$169&lt;SwaptionFirstMonthPosition+1,$FN198&lt;SwaptionFirstMonthPosition+1,HM$169&gt;SwaptionFirstMonthPosition+SwaptionNumOfMonths+1,$FN198&gt;SwaptionFirstMonthPosition+SwaptionNumOfMonths+1),"",IF($FN198=HM$169,1,IF($FN198&lt;HM$169,INDEX($FO$170:$IH$241,HM$169,$FN198),SUMPRODUCT(INDEX($FO$325:$IH$396,HM$169,1+SwaptionShift):INDEX($FO$325:$IH$396,HM$169,SwaptionMonthsToGo+SwaptionShift),INDEX($FO$245:$IH$316,$FN198-HM$169,73-HM$169+SwaptionShift):INDEX($FO$245:$IH$316,$FN198-HM$169,72-HM$169+SwaptionMonthsToGo+SwaptionShift))/SQRT(SUM(INDEX($FO353:$IH353,1+SwaptionShift):INDEX($FO353:$IH353,SwaptionMonthsToGo+SwaptionShift))*SUM(INDEX($FO$325:$IH$396,HM$169,1+SwaptionShift):INDEX($FO$325:$IH$396,HM$169,SwaptionMonthsToGo+SwaptionShift))))))</f>
        <v/>
      </c>
      <c r="HN198" s="469" t="str">
        <f ca="1">IF(OR(HN$169&lt;SwaptionFirstMonthPosition+1,$FN198&lt;SwaptionFirstMonthPosition+1,HN$169&gt;SwaptionFirstMonthPosition+SwaptionNumOfMonths+1,$FN198&gt;SwaptionFirstMonthPosition+SwaptionNumOfMonths+1),"",IF($FN198=HN$169,1,IF($FN198&lt;HN$169,INDEX($FO$170:$IH$241,HN$169,$FN198),SUMPRODUCT(INDEX($FO$325:$IH$396,HN$169,1+SwaptionShift):INDEX($FO$325:$IH$396,HN$169,SwaptionMonthsToGo+SwaptionShift),INDEX($FO$245:$IH$316,$FN198-HN$169,73-HN$169+SwaptionShift):INDEX($FO$245:$IH$316,$FN198-HN$169,72-HN$169+SwaptionMonthsToGo+SwaptionShift))/SQRT(SUM(INDEX($FO353:$IH353,1+SwaptionShift):INDEX($FO353:$IH353,SwaptionMonthsToGo+SwaptionShift))*SUM(INDEX($FO$325:$IH$396,HN$169,1+SwaptionShift):INDEX($FO$325:$IH$396,HN$169,SwaptionMonthsToGo+SwaptionShift))))))</f>
        <v/>
      </c>
      <c r="HO198" s="469" t="str">
        <f ca="1">IF(OR(HO$169&lt;SwaptionFirstMonthPosition+1,$FN198&lt;SwaptionFirstMonthPosition+1,HO$169&gt;SwaptionFirstMonthPosition+SwaptionNumOfMonths+1,$FN198&gt;SwaptionFirstMonthPosition+SwaptionNumOfMonths+1),"",IF($FN198=HO$169,1,IF($FN198&lt;HO$169,INDEX($FO$170:$IH$241,HO$169,$FN198),SUMPRODUCT(INDEX($FO$325:$IH$396,HO$169,1+SwaptionShift):INDEX($FO$325:$IH$396,HO$169,SwaptionMonthsToGo+SwaptionShift),INDEX($FO$245:$IH$316,$FN198-HO$169,73-HO$169+SwaptionShift):INDEX($FO$245:$IH$316,$FN198-HO$169,72-HO$169+SwaptionMonthsToGo+SwaptionShift))/SQRT(SUM(INDEX($FO353:$IH353,1+SwaptionShift):INDEX($FO353:$IH353,SwaptionMonthsToGo+SwaptionShift))*SUM(INDEX($FO$325:$IH$396,HO$169,1+SwaptionShift):INDEX($FO$325:$IH$396,HO$169,SwaptionMonthsToGo+SwaptionShift))))))</f>
        <v/>
      </c>
      <c r="HP198" s="469" t="str">
        <f ca="1">IF(OR(HP$169&lt;SwaptionFirstMonthPosition+1,$FN198&lt;SwaptionFirstMonthPosition+1,HP$169&gt;SwaptionFirstMonthPosition+SwaptionNumOfMonths+1,$FN198&gt;SwaptionFirstMonthPosition+SwaptionNumOfMonths+1),"",IF($FN198=HP$169,1,IF($FN198&lt;HP$169,INDEX($FO$170:$IH$241,HP$169,$FN198),SUMPRODUCT(INDEX($FO$325:$IH$396,HP$169,1+SwaptionShift):INDEX($FO$325:$IH$396,HP$169,SwaptionMonthsToGo+SwaptionShift),INDEX($FO$245:$IH$316,$FN198-HP$169,73-HP$169+SwaptionShift):INDEX($FO$245:$IH$316,$FN198-HP$169,72-HP$169+SwaptionMonthsToGo+SwaptionShift))/SQRT(SUM(INDEX($FO353:$IH353,1+SwaptionShift):INDEX($FO353:$IH353,SwaptionMonthsToGo+SwaptionShift))*SUM(INDEX($FO$325:$IH$396,HP$169,1+SwaptionShift):INDEX($FO$325:$IH$396,HP$169,SwaptionMonthsToGo+SwaptionShift))))))</f>
        <v/>
      </c>
      <c r="HQ198" s="469" t="str">
        <f ca="1">IF(OR(HQ$169&lt;SwaptionFirstMonthPosition+1,$FN198&lt;SwaptionFirstMonthPosition+1,HQ$169&gt;SwaptionFirstMonthPosition+SwaptionNumOfMonths+1,$FN198&gt;SwaptionFirstMonthPosition+SwaptionNumOfMonths+1),"",IF($FN198=HQ$169,1,IF($FN198&lt;HQ$169,INDEX($FO$170:$IH$241,HQ$169,$FN198),SUMPRODUCT(INDEX($FO$325:$IH$396,HQ$169,1+SwaptionShift):INDEX($FO$325:$IH$396,HQ$169,SwaptionMonthsToGo+SwaptionShift),INDEX($FO$245:$IH$316,$FN198-HQ$169,73-HQ$169+SwaptionShift):INDEX($FO$245:$IH$316,$FN198-HQ$169,72-HQ$169+SwaptionMonthsToGo+SwaptionShift))/SQRT(SUM(INDEX($FO353:$IH353,1+SwaptionShift):INDEX($FO353:$IH353,SwaptionMonthsToGo+SwaptionShift))*SUM(INDEX($FO$325:$IH$396,HQ$169,1+SwaptionShift):INDEX($FO$325:$IH$396,HQ$169,SwaptionMonthsToGo+SwaptionShift))))))</f>
        <v/>
      </c>
      <c r="HR198" s="469" t="str">
        <f ca="1">IF(OR(HR$169&lt;SwaptionFirstMonthPosition+1,$FN198&lt;SwaptionFirstMonthPosition+1,HR$169&gt;SwaptionFirstMonthPosition+SwaptionNumOfMonths+1,$FN198&gt;SwaptionFirstMonthPosition+SwaptionNumOfMonths+1),"",IF($FN198=HR$169,1,IF($FN198&lt;HR$169,INDEX($FO$170:$IH$241,HR$169,$FN198),SUMPRODUCT(INDEX($FO$325:$IH$396,HR$169,1+SwaptionShift):INDEX($FO$325:$IH$396,HR$169,SwaptionMonthsToGo+SwaptionShift),INDEX($FO$245:$IH$316,$FN198-HR$169,73-HR$169+SwaptionShift):INDEX($FO$245:$IH$316,$FN198-HR$169,72-HR$169+SwaptionMonthsToGo+SwaptionShift))/SQRT(SUM(INDEX($FO353:$IH353,1+SwaptionShift):INDEX($FO353:$IH353,SwaptionMonthsToGo+SwaptionShift))*SUM(INDEX($FO$325:$IH$396,HR$169,1+SwaptionShift):INDEX($FO$325:$IH$396,HR$169,SwaptionMonthsToGo+SwaptionShift))))))</f>
        <v/>
      </c>
      <c r="HS198" s="469" t="str">
        <f ca="1">IF(OR(HS$169&lt;SwaptionFirstMonthPosition+1,$FN198&lt;SwaptionFirstMonthPosition+1,HS$169&gt;SwaptionFirstMonthPosition+SwaptionNumOfMonths+1,$FN198&gt;SwaptionFirstMonthPosition+SwaptionNumOfMonths+1),"",IF($FN198=HS$169,1,IF($FN198&lt;HS$169,INDEX($FO$170:$IH$241,HS$169,$FN198),SUMPRODUCT(INDEX($FO$325:$IH$396,HS$169,1+SwaptionShift):INDEX($FO$325:$IH$396,HS$169,SwaptionMonthsToGo+SwaptionShift),INDEX($FO$245:$IH$316,$FN198-HS$169,73-HS$169+SwaptionShift):INDEX($FO$245:$IH$316,$FN198-HS$169,72-HS$169+SwaptionMonthsToGo+SwaptionShift))/SQRT(SUM(INDEX($FO353:$IH353,1+SwaptionShift):INDEX($FO353:$IH353,SwaptionMonthsToGo+SwaptionShift))*SUM(INDEX($FO$325:$IH$396,HS$169,1+SwaptionShift):INDEX($FO$325:$IH$396,HS$169,SwaptionMonthsToGo+SwaptionShift))))))</f>
        <v/>
      </c>
      <c r="HT198" s="469" t="str">
        <f ca="1">IF(OR(HT$169&lt;SwaptionFirstMonthPosition+1,$FN198&lt;SwaptionFirstMonthPosition+1,HT$169&gt;SwaptionFirstMonthPosition+SwaptionNumOfMonths+1,$FN198&gt;SwaptionFirstMonthPosition+SwaptionNumOfMonths+1),"",IF($FN198=HT$169,1,IF($FN198&lt;HT$169,INDEX($FO$170:$IH$241,HT$169,$FN198),SUMPRODUCT(INDEX($FO$325:$IH$396,HT$169,1+SwaptionShift):INDEX($FO$325:$IH$396,HT$169,SwaptionMonthsToGo+SwaptionShift),INDEX($FO$245:$IH$316,$FN198-HT$169,73-HT$169+SwaptionShift):INDEX($FO$245:$IH$316,$FN198-HT$169,72-HT$169+SwaptionMonthsToGo+SwaptionShift))/SQRT(SUM(INDEX($FO353:$IH353,1+SwaptionShift):INDEX($FO353:$IH353,SwaptionMonthsToGo+SwaptionShift))*SUM(INDEX($FO$325:$IH$396,HT$169,1+SwaptionShift):INDEX($FO$325:$IH$396,HT$169,SwaptionMonthsToGo+SwaptionShift))))))</f>
        <v/>
      </c>
      <c r="HU198" s="469" t="str">
        <f ca="1">IF(OR(HU$169&lt;SwaptionFirstMonthPosition+1,$FN198&lt;SwaptionFirstMonthPosition+1,HU$169&gt;SwaptionFirstMonthPosition+SwaptionNumOfMonths+1,$FN198&gt;SwaptionFirstMonthPosition+SwaptionNumOfMonths+1),"",IF($FN198=HU$169,1,IF($FN198&lt;HU$169,INDEX($FO$170:$IH$241,HU$169,$FN198),SUMPRODUCT(INDEX($FO$325:$IH$396,HU$169,1+SwaptionShift):INDEX($FO$325:$IH$396,HU$169,SwaptionMonthsToGo+SwaptionShift),INDEX($FO$245:$IH$316,$FN198-HU$169,73-HU$169+SwaptionShift):INDEX($FO$245:$IH$316,$FN198-HU$169,72-HU$169+SwaptionMonthsToGo+SwaptionShift))/SQRT(SUM(INDEX($FO353:$IH353,1+SwaptionShift):INDEX($FO353:$IH353,SwaptionMonthsToGo+SwaptionShift))*SUM(INDEX($FO$325:$IH$396,HU$169,1+SwaptionShift):INDEX($FO$325:$IH$396,HU$169,SwaptionMonthsToGo+SwaptionShift))))))</f>
        <v/>
      </c>
      <c r="HV198" s="469" t="str">
        <f ca="1">IF(OR(HV$169&lt;SwaptionFirstMonthPosition+1,$FN198&lt;SwaptionFirstMonthPosition+1,HV$169&gt;SwaptionFirstMonthPosition+SwaptionNumOfMonths+1,$FN198&gt;SwaptionFirstMonthPosition+SwaptionNumOfMonths+1),"",IF($FN198=HV$169,1,IF($FN198&lt;HV$169,INDEX($FO$170:$IH$241,HV$169,$FN198),SUMPRODUCT(INDEX($FO$325:$IH$396,HV$169,1+SwaptionShift):INDEX($FO$325:$IH$396,HV$169,SwaptionMonthsToGo+SwaptionShift),INDEX($FO$245:$IH$316,$FN198-HV$169,73-HV$169+SwaptionShift):INDEX($FO$245:$IH$316,$FN198-HV$169,72-HV$169+SwaptionMonthsToGo+SwaptionShift))/SQRT(SUM(INDEX($FO353:$IH353,1+SwaptionShift):INDEX($FO353:$IH353,SwaptionMonthsToGo+SwaptionShift))*SUM(INDEX($FO$325:$IH$396,HV$169,1+SwaptionShift):INDEX($FO$325:$IH$396,HV$169,SwaptionMonthsToGo+SwaptionShift))))))</f>
        <v/>
      </c>
      <c r="HW198" s="469" t="str">
        <f ca="1">IF(OR(HW$169&lt;SwaptionFirstMonthPosition+1,$FN198&lt;SwaptionFirstMonthPosition+1,HW$169&gt;SwaptionFirstMonthPosition+SwaptionNumOfMonths+1,$FN198&gt;SwaptionFirstMonthPosition+SwaptionNumOfMonths+1),"",IF($FN198=HW$169,1,IF($FN198&lt;HW$169,INDEX($FO$170:$IH$241,HW$169,$FN198),SUMPRODUCT(INDEX($FO$325:$IH$396,HW$169,1+SwaptionShift):INDEX($FO$325:$IH$396,HW$169,SwaptionMonthsToGo+SwaptionShift),INDEX($FO$245:$IH$316,$FN198-HW$169,73-HW$169+SwaptionShift):INDEX($FO$245:$IH$316,$FN198-HW$169,72-HW$169+SwaptionMonthsToGo+SwaptionShift))/SQRT(SUM(INDEX($FO353:$IH353,1+SwaptionShift):INDEX($FO353:$IH353,SwaptionMonthsToGo+SwaptionShift))*SUM(INDEX($FO$325:$IH$396,HW$169,1+SwaptionShift):INDEX($FO$325:$IH$396,HW$169,SwaptionMonthsToGo+SwaptionShift))))))</f>
        <v/>
      </c>
      <c r="HX198" s="469" t="str">
        <f ca="1">IF(OR(HX$169&lt;SwaptionFirstMonthPosition+1,$FN198&lt;SwaptionFirstMonthPosition+1,HX$169&gt;SwaptionFirstMonthPosition+SwaptionNumOfMonths+1,$FN198&gt;SwaptionFirstMonthPosition+SwaptionNumOfMonths+1),"",IF($FN198=HX$169,1,IF($FN198&lt;HX$169,INDEX($FO$170:$IH$241,HX$169,$FN198),SUMPRODUCT(INDEX($FO$325:$IH$396,HX$169,1+SwaptionShift):INDEX($FO$325:$IH$396,HX$169,SwaptionMonthsToGo+SwaptionShift),INDEX($FO$245:$IH$316,$FN198-HX$169,73-HX$169+SwaptionShift):INDEX($FO$245:$IH$316,$FN198-HX$169,72-HX$169+SwaptionMonthsToGo+SwaptionShift))/SQRT(SUM(INDEX($FO353:$IH353,1+SwaptionShift):INDEX($FO353:$IH353,SwaptionMonthsToGo+SwaptionShift))*SUM(INDEX($FO$325:$IH$396,HX$169,1+SwaptionShift):INDEX($FO$325:$IH$396,HX$169,SwaptionMonthsToGo+SwaptionShift))))))</f>
        <v/>
      </c>
      <c r="HY198" s="469" t="str">
        <f ca="1">IF(OR(HY$169&lt;SwaptionFirstMonthPosition+1,$FN198&lt;SwaptionFirstMonthPosition+1,HY$169&gt;SwaptionFirstMonthPosition+SwaptionNumOfMonths+1,$FN198&gt;SwaptionFirstMonthPosition+SwaptionNumOfMonths+1),"",IF($FN198=HY$169,1,IF($FN198&lt;HY$169,INDEX($FO$170:$IH$241,HY$169,$FN198),SUMPRODUCT(INDEX($FO$325:$IH$396,HY$169,1+SwaptionShift):INDEX($FO$325:$IH$396,HY$169,SwaptionMonthsToGo+SwaptionShift),INDEX($FO$245:$IH$316,$FN198-HY$169,73-HY$169+SwaptionShift):INDEX($FO$245:$IH$316,$FN198-HY$169,72-HY$169+SwaptionMonthsToGo+SwaptionShift))/SQRT(SUM(INDEX($FO353:$IH353,1+SwaptionShift):INDEX($FO353:$IH353,SwaptionMonthsToGo+SwaptionShift))*SUM(INDEX($FO$325:$IH$396,HY$169,1+SwaptionShift):INDEX($FO$325:$IH$396,HY$169,SwaptionMonthsToGo+SwaptionShift))))))</f>
        <v/>
      </c>
      <c r="HZ198" s="469" t="str">
        <f ca="1">IF(OR(HZ$169&lt;SwaptionFirstMonthPosition+1,$FN198&lt;SwaptionFirstMonthPosition+1,HZ$169&gt;SwaptionFirstMonthPosition+SwaptionNumOfMonths+1,$FN198&gt;SwaptionFirstMonthPosition+SwaptionNumOfMonths+1),"",IF($FN198=HZ$169,1,IF($FN198&lt;HZ$169,INDEX($FO$170:$IH$241,HZ$169,$FN198),SUMPRODUCT(INDEX($FO$325:$IH$396,HZ$169,1+SwaptionShift):INDEX($FO$325:$IH$396,HZ$169,SwaptionMonthsToGo+SwaptionShift),INDEX($FO$245:$IH$316,$FN198-HZ$169,73-HZ$169+SwaptionShift):INDEX($FO$245:$IH$316,$FN198-HZ$169,72-HZ$169+SwaptionMonthsToGo+SwaptionShift))/SQRT(SUM(INDEX($FO353:$IH353,1+SwaptionShift):INDEX($FO353:$IH353,SwaptionMonthsToGo+SwaptionShift))*SUM(INDEX($FO$325:$IH$396,HZ$169,1+SwaptionShift):INDEX($FO$325:$IH$396,HZ$169,SwaptionMonthsToGo+SwaptionShift))))))</f>
        <v/>
      </c>
      <c r="IA198" s="469" t="str">
        <f ca="1">IF(OR(IA$169&lt;SwaptionFirstMonthPosition+1,$FN198&lt;SwaptionFirstMonthPosition+1,IA$169&gt;SwaptionFirstMonthPosition+SwaptionNumOfMonths+1,$FN198&gt;SwaptionFirstMonthPosition+SwaptionNumOfMonths+1),"",IF($FN198=IA$169,1,IF($FN198&lt;IA$169,INDEX($FO$170:$IH$241,IA$169,$FN198),SUMPRODUCT(INDEX($FO$325:$IH$396,IA$169,1+SwaptionShift):INDEX($FO$325:$IH$396,IA$169,SwaptionMonthsToGo+SwaptionShift),INDEX($FO$245:$IH$316,$FN198-IA$169,73-IA$169+SwaptionShift):INDEX($FO$245:$IH$316,$FN198-IA$169,72-IA$169+SwaptionMonthsToGo+SwaptionShift))/SQRT(SUM(INDEX($FO353:$IH353,1+SwaptionShift):INDEX($FO353:$IH353,SwaptionMonthsToGo+SwaptionShift))*SUM(INDEX($FO$325:$IH$396,IA$169,1+SwaptionShift):INDEX($FO$325:$IH$396,IA$169,SwaptionMonthsToGo+SwaptionShift))))))</f>
        <v/>
      </c>
      <c r="IB198" s="469" t="str">
        <f ca="1">IF(OR(IB$169&lt;SwaptionFirstMonthPosition+1,$FN198&lt;SwaptionFirstMonthPosition+1,IB$169&gt;SwaptionFirstMonthPosition+SwaptionNumOfMonths+1,$FN198&gt;SwaptionFirstMonthPosition+SwaptionNumOfMonths+1),"",IF($FN198=IB$169,1,IF($FN198&lt;IB$169,INDEX($FO$170:$IH$241,IB$169,$FN198),SUMPRODUCT(INDEX($FO$325:$IH$396,IB$169,1+SwaptionShift):INDEX($FO$325:$IH$396,IB$169,SwaptionMonthsToGo+SwaptionShift),INDEX($FO$245:$IH$316,$FN198-IB$169,73-IB$169+SwaptionShift):INDEX($FO$245:$IH$316,$FN198-IB$169,72-IB$169+SwaptionMonthsToGo+SwaptionShift))/SQRT(SUM(INDEX($FO353:$IH353,1+SwaptionShift):INDEX($FO353:$IH353,SwaptionMonthsToGo+SwaptionShift))*SUM(INDEX($FO$325:$IH$396,IB$169,1+SwaptionShift):INDEX($FO$325:$IH$396,IB$169,SwaptionMonthsToGo+SwaptionShift))))))</f>
        <v/>
      </c>
      <c r="IC198" s="469" t="str">
        <f ca="1">IF(OR(IC$169&lt;SwaptionFirstMonthPosition+1,$FN198&lt;SwaptionFirstMonthPosition+1,IC$169&gt;SwaptionFirstMonthPosition+SwaptionNumOfMonths+1,$FN198&gt;SwaptionFirstMonthPosition+SwaptionNumOfMonths+1),"",IF($FN198=IC$169,1,IF($FN198&lt;IC$169,INDEX($FO$170:$IH$241,IC$169,$FN198),SUMPRODUCT(INDEX($FO$325:$IH$396,IC$169,1+SwaptionShift):INDEX($FO$325:$IH$396,IC$169,SwaptionMonthsToGo+SwaptionShift),INDEX($FO$245:$IH$316,$FN198-IC$169,73-IC$169+SwaptionShift):INDEX($FO$245:$IH$316,$FN198-IC$169,72-IC$169+SwaptionMonthsToGo+SwaptionShift))/SQRT(SUM(INDEX($FO353:$IH353,1+SwaptionShift):INDEX($FO353:$IH353,SwaptionMonthsToGo+SwaptionShift))*SUM(INDEX($FO$325:$IH$396,IC$169,1+SwaptionShift):INDEX($FO$325:$IH$396,IC$169,SwaptionMonthsToGo+SwaptionShift))))))</f>
        <v/>
      </c>
      <c r="ID198" s="469" t="str">
        <f ca="1">IF(OR(ID$169&lt;SwaptionFirstMonthPosition+1,$FN198&lt;SwaptionFirstMonthPosition+1,ID$169&gt;SwaptionFirstMonthPosition+SwaptionNumOfMonths+1,$FN198&gt;SwaptionFirstMonthPosition+SwaptionNumOfMonths+1),"",IF($FN198=ID$169,1,IF($FN198&lt;ID$169,INDEX($FO$170:$IH$241,ID$169,$FN198),SUMPRODUCT(INDEX($FO$325:$IH$396,ID$169,1+SwaptionShift):INDEX($FO$325:$IH$396,ID$169,SwaptionMonthsToGo+SwaptionShift),INDEX($FO$245:$IH$316,$FN198-ID$169,73-ID$169+SwaptionShift):INDEX($FO$245:$IH$316,$FN198-ID$169,72-ID$169+SwaptionMonthsToGo+SwaptionShift))/SQRT(SUM(INDEX($FO353:$IH353,1+SwaptionShift):INDEX($FO353:$IH353,SwaptionMonthsToGo+SwaptionShift))*SUM(INDEX($FO$325:$IH$396,ID$169,1+SwaptionShift):INDEX($FO$325:$IH$396,ID$169,SwaptionMonthsToGo+SwaptionShift))))))</f>
        <v/>
      </c>
      <c r="IE198" s="469" t="str">
        <f ca="1">IF(OR(IE$169&lt;SwaptionFirstMonthPosition+1,$FN198&lt;SwaptionFirstMonthPosition+1,IE$169&gt;SwaptionFirstMonthPosition+SwaptionNumOfMonths+1,$FN198&gt;SwaptionFirstMonthPosition+SwaptionNumOfMonths+1),"",IF($FN198=IE$169,1,IF($FN198&lt;IE$169,INDEX($FO$170:$IH$241,IE$169,$FN198),SUMPRODUCT(INDEX($FO$325:$IH$396,IE$169,1+SwaptionShift):INDEX($FO$325:$IH$396,IE$169,SwaptionMonthsToGo+SwaptionShift),INDEX($FO$245:$IH$316,$FN198-IE$169,73-IE$169+SwaptionShift):INDEX($FO$245:$IH$316,$FN198-IE$169,72-IE$169+SwaptionMonthsToGo+SwaptionShift))/SQRT(SUM(INDEX($FO353:$IH353,1+SwaptionShift):INDEX($FO353:$IH353,SwaptionMonthsToGo+SwaptionShift))*SUM(INDEX($FO$325:$IH$396,IE$169,1+SwaptionShift):INDEX($FO$325:$IH$396,IE$169,SwaptionMonthsToGo+SwaptionShift))))))</f>
        <v/>
      </c>
      <c r="IF198" s="469" t="str">
        <f ca="1">IF(OR(IF$169&lt;SwaptionFirstMonthPosition+1,$FN198&lt;SwaptionFirstMonthPosition+1,IF$169&gt;SwaptionFirstMonthPosition+SwaptionNumOfMonths+1,$FN198&gt;SwaptionFirstMonthPosition+SwaptionNumOfMonths+1),"",IF($FN198=IF$169,1,IF($FN198&lt;IF$169,INDEX($FO$170:$IH$241,IF$169,$FN198),SUMPRODUCT(INDEX($FO$325:$IH$396,IF$169,1+SwaptionShift):INDEX($FO$325:$IH$396,IF$169,SwaptionMonthsToGo+SwaptionShift),INDEX($FO$245:$IH$316,$FN198-IF$169,73-IF$169+SwaptionShift):INDEX($FO$245:$IH$316,$FN198-IF$169,72-IF$169+SwaptionMonthsToGo+SwaptionShift))/SQRT(SUM(INDEX($FO353:$IH353,1+SwaptionShift):INDEX($FO353:$IH353,SwaptionMonthsToGo+SwaptionShift))*SUM(INDEX($FO$325:$IH$396,IF$169,1+SwaptionShift):INDEX($FO$325:$IH$396,IF$169,SwaptionMonthsToGo+SwaptionShift))))))</f>
        <v/>
      </c>
      <c r="IG198" s="469" t="str">
        <f ca="1">IF(OR(IG$169&lt;SwaptionFirstMonthPosition+1,$FN198&lt;SwaptionFirstMonthPosition+1,IG$169&gt;SwaptionFirstMonthPosition+SwaptionNumOfMonths+1,$FN198&gt;SwaptionFirstMonthPosition+SwaptionNumOfMonths+1),"",IF($FN198=IG$169,1,IF($FN198&lt;IG$169,INDEX($FO$170:$IH$241,IG$169,$FN198),SUMPRODUCT(INDEX($FO$325:$IH$396,IG$169,1+SwaptionShift):INDEX($FO$325:$IH$396,IG$169,SwaptionMonthsToGo+SwaptionShift),INDEX($FO$245:$IH$316,$FN198-IG$169,73-IG$169+SwaptionShift):INDEX($FO$245:$IH$316,$FN198-IG$169,72-IG$169+SwaptionMonthsToGo+SwaptionShift))/SQRT(SUM(INDEX($FO353:$IH353,1+SwaptionShift):INDEX($FO353:$IH353,SwaptionMonthsToGo+SwaptionShift))*SUM(INDEX($FO$325:$IH$396,IG$169,1+SwaptionShift):INDEX($FO$325:$IH$396,IG$169,SwaptionMonthsToGo+SwaptionShift))))))</f>
        <v/>
      </c>
      <c r="IH198" s="662" t="str">
        <f ca="1">IF(OR(IH$169&lt;SwaptionFirstMonthPosition+1,$FN198&lt;SwaptionFirstMonthPosition+1,IH$169&gt;SwaptionFirstMonthPosition+SwaptionNumOfMonths+1,$FN198&gt;SwaptionFirstMonthPosition+SwaptionNumOfMonths+1),"",IF($FN198=IH$169,1,IF($FN198&lt;IH$169,INDEX($FO$170:$IH$241,IH$169,$FN198),SUMPRODUCT(INDEX($FO$325:$IH$396,IH$169,1+SwaptionShift):INDEX($FO$325:$IH$396,IH$169,SwaptionMonthsToGo+SwaptionShift),INDEX($FO$245:$IH$316,$FN198-IH$169,73-IH$169+SwaptionShift):INDEX($FO$245:$IH$316,$FN198-IH$169,72-IH$169+SwaptionMonthsToGo+SwaptionShift))/SQRT(SUM(INDEX($FO353:$IH353,1+SwaptionShift):INDEX($FO353:$IH353,SwaptionMonthsToGo+SwaptionShift))*SUM(INDEX($FO$325:$IH$396,IH$169,1+SwaptionShift):INDEX($FO$325:$IH$396,IH$169,SwaptionMonthsToGo+SwaptionShift))))))</f>
        <v/>
      </c>
      <c r="II198" s="242"/>
    </row>
    <row r="199" spans="8:243">
      <c r="H199" s="49" t="e">
        <f t="shared" ca="1" si="529"/>
        <v>#N/A</v>
      </c>
      <c r="I199" s="369">
        <f t="shared" si="530"/>
        <v>42461</v>
      </c>
      <c r="J199" s="367">
        <v>23.8599999999999</v>
      </c>
      <c r="K199" s="101" t="s">
        <v>267</v>
      </c>
      <c r="L199" s="382">
        <f t="shared" si="531"/>
        <v>23.859999999999875</v>
      </c>
      <c r="M199" s="163">
        <v>0.13950000000000001</v>
      </c>
      <c r="N199" s="372">
        <v>0</v>
      </c>
      <c r="O199" s="163">
        <f t="shared" si="595"/>
        <v>0.13950000000000001</v>
      </c>
      <c r="P199" s="367">
        <v>22.6239963659465</v>
      </c>
      <c r="Q199" s="101" t="s">
        <v>267</v>
      </c>
      <c r="R199" s="367">
        <f t="shared" ca="1" si="596"/>
        <v>22.623996365946486</v>
      </c>
      <c r="S199" s="814">
        <f t="shared" si="594"/>
        <v>0.34835669675074443</v>
      </c>
      <c r="T199" s="813">
        <f t="shared" si="550"/>
        <v>0.99999999949667906</v>
      </c>
      <c r="U199" s="532">
        <f t="shared" si="551"/>
        <v>0.99999999999999978</v>
      </c>
      <c r="V199" s="379">
        <v>0</v>
      </c>
      <c r="W199" s="424">
        <f t="shared" si="597"/>
        <v>23.893333333333235</v>
      </c>
      <c r="X199" s="405">
        <f t="shared" si="598"/>
        <v>23.893333333333207</v>
      </c>
      <c r="Y199" s="313">
        <f t="shared" si="599"/>
        <v>22.549333333333234</v>
      </c>
      <c r="Z199" s="313">
        <f t="shared" ca="1" si="600"/>
        <v>22.549333333333205</v>
      </c>
      <c r="AA199" s="419">
        <f t="shared" si="493"/>
        <v>1.3440000000000001</v>
      </c>
      <c r="AB199" s="423">
        <f t="shared" ca="1" si="494"/>
        <v>1.3440000000000001</v>
      </c>
      <c r="AC199" s="221">
        <v>42449</v>
      </c>
      <c r="AD199" s="221">
        <v>42445</v>
      </c>
      <c r="AE199" s="221">
        <v>42444</v>
      </c>
      <c r="AF199" s="221">
        <v>42440</v>
      </c>
      <c r="AG199" s="241" t="s">
        <v>497</v>
      </c>
      <c r="AH199" s="239" t="s">
        <v>497</v>
      </c>
      <c r="AI199" s="141">
        <v>21</v>
      </c>
      <c r="AJ199" s="41">
        <v>14</v>
      </c>
      <c r="AK199" s="41">
        <v>7</v>
      </c>
      <c r="AL199" s="285">
        <v>21</v>
      </c>
      <c r="AM199" s="41">
        <v>10</v>
      </c>
      <c r="AN199" s="142">
        <v>11</v>
      </c>
      <c r="AO199" s="364">
        <v>6.1947593590338607E-2</v>
      </c>
      <c r="AP199" s="145">
        <f t="shared" ca="1" si="532"/>
        <v>0.39905219285872512</v>
      </c>
      <c r="AQ199" s="364">
        <v>5.6260255572644795E-2</v>
      </c>
      <c r="AR199" s="145">
        <f t="shared" ca="1" si="552"/>
        <v>0.43664074384558049</v>
      </c>
      <c r="AS199" s="264">
        <f t="shared" si="601"/>
        <v>0.13896666666666668</v>
      </c>
      <c r="AT199" s="149">
        <f t="shared" si="533"/>
        <v>0.13950000000000001</v>
      </c>
      <c r="AU199" s="149">
        <f t="shared" si="496"/>
        <v>0.1388904761904762</v>
      </c>
      <c r="AV199" s="263">
        <f t="shared" ca="1" si="560"/>
        <v>0.137534263058772</v>
      </c>
      <c r="AW199" s="150" t="str">
        <f t="shared" ca="1" si="581"/>
        <v/>
      </c>
      <c r="AX199" s="149">
        <f t="shared" ca="1" si="553"/>
        <v>5.1940903948992723E-3</v>
      </c>
      <c r="AY199" s="149">
        <f t="shared" ca="1" si="554"/>
        <v>1.7468793356386989E-3</v>
      </c>
      <c r="AZ199" s="149">
        <f t="shared" ca="1" si="555"/>
        <v>1.8385523865935701E-3</v>
      </c>
      <c r="BA199" s="149">
        <f t="shared" ca="1" si="556"/>
        <v>1.0000000000000906E-4</v>
      </c>
      <c r="BB199" s="149">
        <f t="shared" ca="1" si="557"/>
        <v>1.0000000000000906E-4</v>
      </c>
      <c r="BC199" s="149">
        <f t="shared" ca="1" si="558"/>
        <v>1.0000000000000906E-4</v>
      </c>
      <c r="BD199" s="143">
        <f t="shared" ca="1" si="602"/>
        <v>0</v>
      </c>
      <c r="BE199" s="144">
        <f t="shared" ca="1" si="603"/>
        <v>0</v>
      </c>
      <c r="BF199" s="40">
        <f t="shared" si="604"/>
        <v>2016</v>
      </c>
      <c r="BG199" s="139">
        <f t="shared" si="605"/>
        <v>4</v>
      </c>
      <c r="BH199" s="140">
        <f t="shared" ca="1" si="606"/>
        <v>5455</v>
      </c>
      <c r="BI199" s="304">
        <f t="shared" ca="1" si="607"/>
        <v>14.978781656399725</v>
      </c>
      <c r="BJ199" s="42">
        <f t="shared" ca="1" si="503"/>
        <v>15.03171343828428</v>
      </c>
      <c r="BK199" s="42">
        <f t="shared" ca="1" si="504"/>
        <v>15.034451289071413</v>
      </c>
      <c r="BL199" s="42">
        <f t="shared" ca="1" si="608"/>
        <v>15.058179329226558</v>
      </c>
      <c r="BM199" s="285">
        <f t="shared" si="609"/>
        <v>21</v>
      </c>
      <c r="BN199" s="41">
        <f t="shared" si="610"/>
        <v>14</v>
      </c>
      <c r="BO199" s="41">
        <f t="shared" si="611"/>
        <v>7</v>
      </c>
      <c r="BP199" s="297" t="str">
        <f t="shared" ca="1" si="505"/>
        <v/>
      </c>
      <c r="BQ199" s="297" t="str">
        <f t="shared" ca="1" si="506"/>
        <v/>
      </c>
      <c r="BR199" s="299" t="str">
        <f t="shared" ca="1" si="507"/>
        <v/>
      </c>
      <c r="BS199" s="153" t="str">
        <f t="shared" ca="1" si="508"/>
        <v/>
      </c>
      <c r="BT199" s="153" t="str">
        <f t="shared" ca="1" si="509"/>
        <v/>
      </c>
      <c r="BU199" s="300" t="str">
        <f t="shared" ca="1" si="510"/>
        <v/>
      </c>
      <c r="BV199" s="301" t="str">
        <f t="shared" ca="1" si="511"/>
        <v/>
      </c>
      <c r="BW199" s="300" t="str">
        <f t="shared" ca="1" si="512"/>
        <v/>
      </c>
      <c r="BX199" s="301" t="str">
        <f t="shared" ca="1" si="513"/>
        <v/>
      </c>
      <c r="BY199" s="146" t="str">
        <f t="shared" ca="1" si="514"/>
        <v/>
      </c>
      <c r="BZ199" s="146" t="str">
        <f t="shared" ca="1" si="515"/>
        <v/>
      </c>
      <c r="CA199" s="146" t="str">
        <f t="shared" ca="1" si="516"/>
        <v/>
      </c>
      <c r="CB199" s="146" t="str">
        <f t="shared" ca="1" si="517"/>
        <v/>
      </c>
      <c r="CC199" s="302">
        <v>1</v>
      </c>
      <c r="CD199" s="154">
        <f ca="1">IF(BD199,_xll.xCrudeAPO(BS199,BT199,BY199,BZ199,S200,S201,BI199,BL199,BN199,BO199,0,Strike1,AO199,CC199,0,BL199,IF(OptControl=4,0,1),0,1),0)</f>
        <v>0</v>
      </c>
      <c r="CE199" s="155">
        <f ca="1">IF(BD199,_xll.xCrudeAPO(BS199,BT199,BY199,BZ199,S200,S201,BI199,BL199,BN199,BO199,0,Strike1,AO199,CC199,0,BL199,IF(OptControl=4,0,1),1,1)+_xll.xCrudeAPO(BS199,BT199,BY199,BZ199,S200,S201,BI199,BL199,BN199,BO199,0,Strike1,AO199,CC199,0,BL199,IF(OptControl=4,0,1),1,2)+IF(OR(VolSkewFlag=2,ABS(BQ199)&lt;0.0001),0,IF(BQ199&gt;0,-1,1)*CF199*Strike1/BP199^2*BW199/10%),0)</f>
        <v>0</v>
      </c>
      <c r="CF199" s="155">
        <f ca="1">IF(BD199,(_xll.xCrudeAPO(BS199,BT199,BY199,BZ199,S200,S201,BI199,BL199,BN199,BO199,0,Strike1,AO199,CC199,0,BL199,IF(OptControl=4,0,1),3,1)+_xll.xCrudeAPO(BS199,BT199,BY199,BZ199,S200,S201,BI199,BL199,BN199,BO199,0,Strike1,AO199,CC199,0,BL199,IF(OptControl=4,0,1),3,2))/100,0)</f>
        <v>0</v>
      </c>
      <c r="CG199" s="155">
        <f ca="1">IF(BD199,_xll.xCrudeAPO(BS199,BT199,BY199,BZ199,S200,S201,BI199-DaysForThetaCalculation/365.25,BL199-DaysForThetaCalculation/365.25,BN199,BO199,0,Strike1,AO199,CC199,0,BL199,IF(OptControl=4,0,1),0,1)-_xll.xCrudeAPO(BS199,BT199,BY199,BZ199,S200,S201,BI199,BL199,BN199,BO199,0,Strike1,AO199,CC199,0,BL199,IF(OptControl=4,0,1),0,1),0)</f>
        <v>0</v>
      </c>
      <c r="CH199" s="303">
        <f ca="1">IF(BD199,_xll.xCrudeAPO(BS199,BT199,CA199,CB199,S200,S201,BI199,BL199,BN199,BO199,0,Strike2,AO199,CC199,0,BL199,IF(OptControl=3,1,0),0,1),0)</f>
        <v>0</v>
      </c>
      <c r="CI199" s="155">
        <f ca="1">IF(BD199,_xll.xCrudeAPO(BS199,BT199,CA199,CB199,S200,S201,BI199,BL199,BN199,BO199,0,Strike2,AO199,CC199,0,BL199,IF(OptControl=3,1,0),1,1)+_xll.xCrudeAPO(BS199,BT199,CA199,CB199,S200,S201,BI199,BL199,BN199,BO199,0,Strike2,AO199,CC199,0,BL199,IF(OptControl=3,1,0),1,2)+IF(OR(VolSkewFlag=2,ABS(BR199)&lt;0.0001),0,IF(BR199&gt;0,-1,1)*CJ199*Strike2/BP199^2*BX199/10%),0)</f>
        <v>0</v>
      </c>
      <c r="CJ199" s="155">
        <f ca="1">IF(BD199,(_xll.xCrudeAPO(BS199,BT199,CA199,CB199,S200,S201,BI199,BL199,BN199,BO199,0,Strike2,AO199,CC199,0,BL199,IF(OptControl=3,1,0),3,1)+_xll.xCrudeAPO(BS199,BT199,CA199,CB199,S200,S201,BI199,BL199,BN199,BO199,0,Strike2,AO199,CC199,0,BL199,IF(OptControl=3,1,0),3,2))/100,0)</f>
        <v>0</v>
      </c>
      <c r="CK199" s="156">
        <f ca="1">IF(BD199,_xll.xCrudeAPO(BS199,BT199,CA199,CB199,S200,S201,BI199-DaysForThetaCalculation/365.25,BL199-DaysForThetaCalculation/365.25,BN199,BO199,0,Strike2,AO199,CC199,0,BL199,IF(OptControl=3,1,0),0,1)-_xll.xCrudeAPO(BS199,BT199,CA199,CB199,S200,S201,BI199,BL199,BN199,BO199,0,Strike2,AO199,CC199,0,BL199,IF(OptControl=3,1,0),0,1),0)</f>
        <v>0</v>
      </c>
      <c r="CL199" s="51"/>
      <c r="CM199" s="779" t="str">
        <f t="shared" ca="1" si="534"/>
        <v/>
      </c>
      <c r="CN199" s="783" t="str">
        <f t="shared" ca="1" si="535"/>
        <v/>
      </c>
      <c r="CO199" s="780" t="str">
        <f t="shared" ca="1" si="536"/>
        <v/>
      </c>
      <c r="CP199" s="780" t="str">
        <f t="shared" ca="1" si="537"/>
        <v/>
      </c>
      <c r="CQ199" s="780" t="str">
        <f t="shared" ca="1" si="538"/>
        <v/>
      </c>
      <c r="CR199" s="780" t="str">
        <f t="shared" ca="1" si="539"/>
        <v/>
      </c>
      <c r="CS199" s="781" t="str">
        <f t="shared" ca="1" si="540"/>
        <v/>
      </c>
      <c r="CT199" s="782" t="str">
        <f t="shared" ca="1" si="541"/>
        <v/>
      </c>
      <c r="CU199" s="782" t="str">
        <f t="shared" ca="1" si="542"/>
        <v/>
      </c>
      <c r="CV199" s="155">
        <f ca="1">IF(BD199,_xll.EURO(CN199,Strike1,AO199,AO199,CT199,CM199,IF(OptControl=4,0,1),0),0)</f>
        <v>0</v>
      </c>
      <c r="CW199" s="155">
        <f ca="1">IF(BD199,_xll.EURO(CN199,Strike1,AO199,AO199,CT199,CM199,IF(OptControl=4,0,1),1)+IF(OR(VolSkewFlag=2,ABS(CO199)&lt;0.0001),0,IF(CO199&gt;0,-1,1)*CX199*100*Strike1/CN199^2*CQ199/10%),0)</f>
        <v>0</v>
      </c>
      <c r="CX199" s="155">
        <f ca="1">IF(BD199,_xll.EURO(CN199,Strike1,AO199,AO199,CT199,CM199,IF(OptControl=4,0,1),3)/100,0)</f>
        <v>0</v>
      </c>
      <c r="CY199" s="155">
        <f ca="1">IF(BD199,_xll.EURO(CN199,Strike1,AO199,AO199,CT199,CM199,IF(OptControl=4,0,1),0)-_xll.EURO(CN199,Strike1,AO199,AO199,CT199,CM199-1,IF(OptControl=4,0,1),0),0)</f>
        <v>0</v>
      </c>
      <c r="CZ199" s="155">
        <f ca="1">IF(BD199,_xll.EURO(CN199,Strike2,AO199,AO199,CU199,CM199,IF(OptControl=3,1,0),0),0)</f>
        <v>0</v>
      </c>
      <c r="DA199" s="155">
        <f ca="1">IF(BD199,_xll.EURO(CN199,Strike2,AO199,AO199,CU199,CM199,IF(OptControl=3,1,0),1)+IF(OR(VolSkewFlag=2,ABS(CP199)&lt;0.0001),0,IF(CP199&gt;0,-1,1)*DB199*100*Strike2/CN199^2*CR199/10%),0)</f>
        <v>0</v>
      </c>
      <c r="DB199" s="155">
        <f ca="1">IF(BD199,_xll.EURO(CN199,Strike2,AO199,AO199,CU199,CM199,IF(OptControl=3,1,0),3)/100,0)</f>
        <v>0</v>
      </c>
      <c r="DC199" s="156">
        <f ca="1">IF(BD199,_xll.EURO(CN199,Strike2,AO199,AO199,CU199,CM199,IF(OptControl=3,1,0),0)-_xll.EURO(CN199,Strike2,AO199,AO199,CU199,CM199-1,IF(OptControl=3,1,0),0),0)</f>
        <v>0</v>
      </c>
      <c r="DE199" s="651">
        <f t="shared" ca="1" si="543"/>
        <v>42370</v>
      </c>
      <c r="DF199" s="465">
        <v>1E-4</v>
      </c>
      <c r="DG199" s="649">
        <v>1E-4</v>
      </c>
      <c r="DH199" s="650">
        <f t="shared" ca="1" si="612"/>
        <v>42370</v>
      </c>
      <c r="DI199" s="465">
        <v>1E-4</v>
      </c>
      <c r="DJ199" s="649">
        <v>1E-4</v>
      </c>
      <c r="DK199" s="651">
        <f t="shared" ca="1" si="613"/>
        <v>42370</v>
      </c>
      <c r="DL199" s="652">
        <f t="shared" si="614"/>
        <v>5.0100000000000006E-2</v>
      </c>
      <c r="DM199" s="651">
        <f t="shared" ca="1" si="615"/>
        <v>42370</v>
      </c>
      <c r="DN199" s="563">
        <f t="shared" si="616"/>
        <v>-0.12990000000000002</v>
      </c>
      <c r="DO199" s="803">
        <v>-0.13</v>
      </c>
      <c r="DP199" s="650">
        <f t="shared" ca="1" si="617"/>
        <v>42370</v>
      </c>
      <c r="DQ199" s="653">
        <v>1E-4</v>
      </c>
      <c r="DR199" s="590">
        <v>1E-4</v>
      </c>
      <c r="DS199" s="650">
        <f t="shared" ca="1" si="618"/>
        <v>42370</v>
      </c>
      <c r="DT199" s="653">
        <v>1E-4</v>
      </c>
      <c r="DU199" s="590">
        <v>1E-4</v>
      </c>
      <c r="DV199" s="651">
        <f t="shared" ca="1" si="619"/>
        <v>42370</v>
      </c>
      <c r="DW199" s="590">
        <v>1E-4</v>
      </c>
      <c r="DX199" s="651">
        <f t="shared" ca="1" si="620"/>
        <v>42370</v>
      </c>
      <c r="DY199" s="590">
        <f t="shared" si="621"/>
        <v>1E-4</v>
      </c>
      <c r="DZ199" s="1"/>
      <c r="EA199" s="857"/>
      <c r="EB199" s="857"/>
      <c r="EC199" s="857"/>
      <c r="ED199" s="868" t="e">
        <f t="shared" ca="1" si="566"/>
        <v>#NAME?</v>
      </c>
      <c r="EE199" s="863" t="e">
        <f t="shared" ca="1" si="524"/>
        <v>#NAME?</v>
      </c>
      <c r="EF199" s="590" t="e">
        <f t="shared" ca="1" si="525"/>
        <v>#NAME?</v>
      </c>
      <c r="EG199" s="862" t="str">
        <f t="shared" ca="1" si="622"/>
        <v/>
      </c>
      <c r="EH199" s="114" t="str">
        <f t="shared" ca="1" si="527"/>
        <v/>
      </c>
      <c r="EI199" s="109" t="str">
        <f t="shared" ca="1" si="528"/>
        <v/>
      </c>
      <c r="EJ199" s="115">
        <f ca="1">IF(BD199,_xll.xASN(BP199,Strike1,AO199,EH199,0,BM199,0,BI199,BL199,IF(OptControl=4,0,1),0),0)</f>
        <v>0</v>
      </c>
      <c r="EK199" s="108">
        <f ca="1">IF(BD199,_xll.xASN(BP199,Strike2,AO199,EI199,0,BM199,0,BI199,BL199,IF(OptControl=3,1,0),0),0)</f>
        <v>0</v>
      </c>
      <c r="EP199" s="53"/>
      <c r="EQ199" s="1"/>
      <c r="ER199" s="103"/>
      <c r="ES199" s="103"/>
      <c r="ET199" s="1"/>
      <c r="EU199" s="667" t="s">
        <v>412</v>
      </c>
      <c r="EW199" s="445"/>
      <c r="EX199" s="36"/>
      <c r="EY199" s="104"/>
      <c r="EZ199" s="465"/>
      <c r="FA199" s="446"/>
      <c r="FB199" s="446"/>
      <c r="FC199" s="242"/>
      <c r="FD199" s="242"/>
      <c r="FE199" s="242"/>
      <c r="FF199" s="242"/>
      <c r="FG199" s="242"/>
      <c r="FH199" s="242"/>
      <c r="FI199" s="242"/>
      <c r="FJ199" s="242"/>
      <c r="FK199" s="242"/>
      <c r="FL199" s="242"/>
      <c r="FM199" s="242"/>
      <c r="FN199" s="657">
        <v>30</v>
      </c>
      <c r="FO199" s="469" t="str">
        <f ca="1">IF(OR(FO$169&lt;SwaptionFirstMonthPosition+1,$FN199&lt;SwaptionFirstMonthPosition+1,FO$169&gt;SwaptionFirstMonthPosition+SwaptionNumOfMonths+1,$FN199&gt;SwaptionFirstMonthPosition+SwaptionNumOfMonths+1),"",IF($FN199=FO$169,1,IF($FN199&lt;FO$169,INDEX($FO$170:$IH$241,FO$169,$FN199),SUMPRODUCT(INDEX($FO$325:$IH$396,FO$169,1+SwaptionShift):INDEX($FO$325:$IH$396,FO$169,SwaptionMonthsToGo+SwaptionShift),INDEX($FO$245:$IH$316,$FN199-FO$169,73-FO$169+SwaptionShift):INDEX($FO$245:$IH$316,$FN199-FO$169,72-FO$169+SwaptionMonthsToGo+SwaptionShift))/SQRT(SUM(INDEX($FO354:$IH354,1+SwaptionShift):INDEX($FO354:$IH354,SwaptionMonthsToGo+SwaptionShift))*SUM(INDEX($FO$325:$IH$396,FO$169,1+SwaptionShift):INDEX($FO$325:$IH$396,FO$169,SwaptionMonthsToGo+SwaptionShift))))))</f>
        <v/>
      </c>
      <c r="FP199" s="469" t="str">
        <f ca="1">IF(OR(FP$169&lt;SwaptionFirstMonthPosition+1,$FN199&lt;SwaptionFirstMonthPosition+1,FP$169&gt;SwaptionFirstMonthPosition+SwaptionNumOfMonths+1,$FN199&gt;SwaptionFirstMonthPosition+SwaptionNumOfMonths+1),"",IF($FN199=FP$169,1,IF($FN199&lt;FP$169,INDEX($FO$170:$IH$241,FP$169,$FN199),SUMPRODUCT(INDEX($FO$325:$IH$396,FP$169,1+SwaptionShift):INDEX($FO$325:$IH$396,FP$169,SwaptionMonthsToGo+SwaptionShift),INDEX($FO$245:$IH$316,$FN199-FP$169,73-FP$169+SwaptionShift):INDEX($FO$245:$IH$316,$FN199-FP$169,72-FP$169+SwaptionMonthsToGo+SwaptionShift))/SQRT(SUM(INDEX($FO354:$IH354,1+SwaptionShift):INDEX($FO354:$IH354,SwaptionMonthsToGo+SwaptionShift))*SUM(INDEX($FO$325:$IH$396,FP$169,1+SwaptionShift):INDEX($FO$325:$IH$396,FP$169,SwaptionMonthsToGo+SwaptionShift))))))</f>
        <v/>
      </c>
      <c r="FQ199" s="469" t="str">
        <f ca="1">IF(OR(FQ$169&lt;SwaptionFirstMonthPosition+1,$FN199&lt;SwaptionFirstMonthPosition+1,FQ$169&gt;SwaptionFirstMonthPosition+SwaptionNumOfMonths+1,$FN199&gt;SwaptionFirstMonthPosition+SwaptionNumOfMonths+1),"",IF($FN199=FQ$169,1,IF($FN199&lt;FQ$169,INDEX($FO$170:$IH$241,FQ$169,$FN199),SUMPRODUCT(INDEX($FO$325:$IH$396,FQ$169,1+SwaptionShift):INDEX($FO$325:$IH$396,FQ$169,SwaptionMonthsToGo+SwaptionShift),INDEX($FO$245:$IH$316,$FN199-FQ$169,73-FQ$169+SwaptionShift):INDEX($FO$245:$IH$316,$FN199-FQ$169,72-FQ$169+SwaptionMonthsToGo+SwaptionShift))/SQRT(SUM(INDEX($FO354:$IH354,1+SwaptionShift):INDEX($FO354:$IH354,SwaptionMonthsToGo+SwaptionShift))*SUM(INDEX($FO$325:$IH$396,FQ$169,1+SwaptionShift):INDEX($FO$325:$IH$396,FQ$169,SwaptionMonthsToGo+SwaptionShift))))))</f>
        <v/>
      </c>
      <c r="FR199" s="469" t="str">
        <f ca="1">IF(OR(FR$169&lt;SwaptionFirstMonthPosition+1,$FN199&lt;SwaptionFirstMonthPosition+1,FR$169&gt;SwaptionFirstMonthPosition+SwaptionNumOfMonths+1,$FN199&gt;SwaptionFirstMonthPosition+SwaptionNumOfMonths+1),"",IF($FN199=FR$169,1,IF($FN199&lt;FR$169,INDEX($FO$170:$IH$241,FR$169,$FN199),SUMPRODUCT(INDEX($FO$325:$IH$396,FR$169,1+SwaptionShift):INDEX($FO$325:$IH$396,FR$169,SwaptionMonthsToGo+SwaptionShift),INDEX($FO$245:$IH$316,$FN199-FR$169,73-FR$169+SwaptionShift):INDEX($FO$245:$IH$316,$FN199-FR$169,72-FR$169+SwaptionMonthsToGo+SwaptionShift))/SQRT(SUM(INDEX($FO354:$IH354,1+SwaptionShift):INDEX($FO354:$IH354,SwaptionMonthsToGo+SwaptionShift))*SUM(INDEX($FO$325:$IH$396,FR$169,1+SwaptionShift):INDEX($FO$325:$IH$396,FR$169,SwaptionMonthsToGo+SwaptionShift))))))</f>
        <v/>
      </c>
      <c r="FS199" s="469" t="str">
        <f ca="1">IF(OR(FS$169&lt;SwaptionFirstMonthPosition+1,$FN199&lt;SwaptionFirstMonthPosition+1,FS$169&gt;SwaptionFirstMonthPosition+SwaptionNumOfMonths+1,$FN199&gt;SwaptionFirstMonthPosition+SwaptionNumOfMonths+1),"",IF($FN199=FS$169,1,IF($FN199&lt;FS$169,INDEX($FO$170:$IH$241,FS$169,$FN199),SUMPRODUCT(INDEX($FO$325:$IH$396,FS$169,1+SwaptionShift):INDEX($FO$325:$IH$396,FS$169,SwaptionMonthsToGo+SwaptionShift),INDEX($FO$245:$IH$316,$FN199-FS$169,73-FS$169+SwaptionShift):INDEX($FO$245:$IH$316,$FN199-FS$169,72-FS$169+SwaptionMonthsToGo+SwaptionShift))/SQRT(SUM(INDEX($FO354:$IH354,1+SwaptionShift):INDEX($FO354:$IH354,SwaptionMonthsToGo+SwaptionShift))*SUM(INDEX($FO$325:$IH$396,FS$169,1+SwaptionShift):INDEX($FO$325:$IH$396,FS$169,SwaptionMonthsToGo+SwaptionShift))))))</f>
        <v/>
      </c>
      <c r="FT199" s="469" t="str">
        <f ca="1">IF(OR(FT$169&lt;SwaptionFirstMonthPosition+1,$FN199&lt;SwaptionFirstMonthPosition+1,FT$169&gt;SwaptionFirstMonthPosition+SwaptionNumOfMonths+1,$FN199&gt;SwaptionFirstMonthPosition+SwaptionNumOfMonths+1),"",IF($FN199=FT$169,1,IF($FN199&lt;FT$169,INDEX($FO$170:$IH$241,FT$169,$FN199),SUMPRODUCT(INDEX($FO$325:$IH$396,FT$169,1+SwaptionShift):INDEX($FO$325:$IH$396,FT$169,SwaptionMonthsToGo+SwaptionShift),INDEX($FO$245:$IH$316,$FN199-FT$169,73-FT$169+SwaptionShift):INDEX($FO$245:$IH$316,$FN199-FT$169,72-FT$169+SwaptionMonthsToGo+SwaptionShift))/SQRT(SUM(INDEX($FO354:$IH354,1+SwaptionShift):INDEX($FO354:$IH354,SwaptionMonthsToGo+SwaptionShift))*SUM(INDEX($FO$325:$IH$396,FT$169,1+SwaptionShift):INDEX($FO$325:$IH$396,FT$169,SwaptionMonthsToGo+SwaptionShift))))))</f>
        <v/>
      </c>
      <c r="FU199" s="469" t="str">
        <f ca="1">IF(OR(FU$169&lt;SwaptionFirstMonthPosition+1,$FN199&lt;SwaptionFirstMonthPosition+1,FU$169&gt;SwaptionFirstMonthPosition+SwaptionNumOfMonths+1,$FN199&gt;SwaptionFirstMonthPosition+SwaptionNumOfMonths+1),"",IF($FN199=FU$169,1,IF($FN199&lt;FU$169,INDEX($FO$170:$IH$241,FU$169,$FN199),SUMPRODUCT(INDEX($FO$325:$IH$396,FU$169,1+SwaptionShift):INDEX($FO$325:$IH$396,FU$169,SwaptionMonthsToGo+SwaptionShift),INDEX($FO$245:$IH$316,$FN199-FU$169,73-FU$169+SwaptionShift):INDEX($FO$245:$IH$316,$FN199-FU$169,72-FU$169+SwaptionMonthsToGo+SwaptionShift))/SQRT(SUM(INDEX($FO354:$IH354,1+SwaptionShift):INDEX($FO354:$IH354,SwaptionMonthsToGo+SwaptionShift))*SUM(INDEX($FO$325:$IH$396,FU$169,1+SwaptionShift):INDEX($FO$325:$IH$396,FU$169,SwaptionMonthsToGo+SwaptionShift))))))</f>
        <v/>
      </c>
      <c r="FV199" s="469" t="str">
        <f ca="1">IF(OR(FV$169&lt;SwaptionFirstMonthPosition+1,$FN199&lt;SwaptionFirstMonthPosition+1,FV$169&gt;SwaptionFirstMonthPosition+SwaptionNumOfMonths+1,$FN199&gt;SwaptionFirstMonthPosition+SwaptionNumOfMonths+1),"",IF($FN199=FV$169,1,IF($FN199&lt;FV$169,INDEX($FO$170:$IH$241,FV$169,$FN199),SUMPRODUCT(INDEX($FO$325:$IH$396,FV$169,1+SwaptionShift):INDEX($FO$325:$IH$396,FV$169,SwaptionMonthsToGo+SwaptionShift),INDEX($FO$245:$IH$316,$FN199-FV$169,73-FV$169+SwaptionShift):INDEX($FO$245:$IH$316,$FN199-FV$169,72-FV$169+SwaptionMonthsToGo+SwaptionShift))/SQRT(SUM(INDEX($FO354:$IH354,1+SwaptionShift):INDEX($FO354:$IH354,SwaptionMonthsToGo+SwaptionShift))*SUM(INDEX($FO$325:$IH$396,FV$169,1+SwaptionShift):INDEX($FO$325:$IH$396,FV$169,SwaptionMonthsToGo+SwaptionShift))))))</f>
        <v/>
      </c>
      <c r="FW199" s="469" t="str">
        <f ca="1">IF(OR(FW$169&lt;SwaptionFirstMonthPosition+1,$FN199&lt;SwaptionFirstMonthPosition+1,FW$169&gt;SwaptionFirstMonthPosition+SwaptionNumOfMonths+1,$FN199&gt;SwaptionFirstMonthPosition+SwaptionNumOfMonths+1),"",IF($FN199=FW$169,1,IF($FN199&lt;FW$169,INDEX($FO$170:$IH$241,FW$169,$FN199),SUMPRODUCT(INDEX($FO$325:$IH$396,FW$169,1+SwaptionShift):INDEX($FO$325:$IH$396,FW$169,SwaptionMonthsToGo+SwaptionShift),INDEX($FO$245:$IH$316,$FN199-FW$169,73-FW$169+SwaptionShift):INDEX($FO$245:$IH$316,$FN199-FW$169,72-FW$169+SwaptionMonthsToGo+SwaptionShift))/SQRT(SUM(INDEX($FO354:$IH354,1+SwaptionShift):INDEX($FO354:$IH354,SwaptionMonthsToGo+SwaptionShift))*SUM(INDEX($FO$325:$IH$396,FW$169,1+SwaptionShift):INDEX($FO$325:$IH$396,FW$169,SwaptionMonthsToGo+SwaptionShift))))))</f>
        <v/>
      </c>
      <c r="FX199" s="469" t="str">
        <f ca="1">IF(OR(FX$169&lt;SwaptionFirstMonthPosition+1,$FN199&lt;SwaptionFirstMonthPosition+1,FX$169&gt;SwaptionFirstMonthPosition+SwaptionNumOfMonths+1,$FN199&gt;SwaptionFirstMonthPosition+SwaptionNumOfMonths+1),"",IF($FN199=FX$169,1,IF($FN199&lt;FX$169,INDEX($FO$170:$IH$241,FX$169,$FN199),SUMPRODUCT(INDEX($FO$325:$IH$396,FX$169,1+SwaptionShift):INDEX($FO$325:$IH$396,FX$169,SwaptionMonthsToGo+SwaptionShift),INDEX($FO$245:$IH$316,$FN199-FX$169,73-FX$169+SwaptionShift):INDEX($FO$245:$IH$316,$FN199-FX$169,72-FX$169+SwaptionMonthsToGo+SwaptionShift))/SQRT(SUM(INDEX($FO354:$IH354,1+SwaptionShift):INDEX($FO354:$IH354,SwaptionMonthsToGo+SwaptionShift))*SUM(INDEX($FO$325:$IH$396,FX$169,1+SwaptionShift):INDEX($FO$325:$IH$396,FX$169,SwaptionMonthsToGo+SwaptionShift))))))</f>
        <v/>
      </c>
      <c r="FY199" s="469" t="str">
        <f ca="1">IF(OR(FY$169&lt;SwaptionFirstMonthPosition+1,$FN199&lt;SwaptionFirstMonthPosition+1,FY$169&gt;SwaptionFirstMonthPosition+SwaptionNumOfMonths+1,$FN199&gt;SwaptionFirstMonthPosition+SwaptionNumOfMonths+1),"",IF($FN199=FY$169,1,IF($FN199&lt;FY$169,INDEX($FO$170:$IH$241,FY$169,$FN199),SUMPRODUCT(INDEX($FO$325:$IH$396,FY$169,1+SwaptionShift):INDEX($FO$325:$IH$396,FY$169,SwaptionMonthsToGo+SwaptionShift),INDEX($FO$245:$IH$316,$FN199-FY$169,73-FY$169+SwaptionShift):INDEX($FO$245:$IH$316,$FN199-FY$169,72-FY$169+SwaptionMonthsToGo+SwaptionShift))/SQRT(SUM(INDEX($FO354:$IH354,1+SwaptionShift):INDEX($FO354:$IH354,SwaptionMonthsToGo+SwaptionShift))*SUM(INDEX($FO$325:$IH$396,FY$169,1+SwaptionShift):INDEX($FO$325:$IH$396,FY$169,SwaptionMonthsToGo+SwaptionShift))))))</f>
        <v/>
      </c>
      <c r="FZ199" s="469" t="str">
        <f ca="1">IF(OR(FZ$169&lt;SwaptionFirstMonthPosition+1,$FN199&lt;SwaptionFirstMonthPosition+1,FZ$169&gt;SwaptionFirstMonthPosition+SwaptionNumOfMonths+1,$FN199&gt;SwaptionFirstMonthPosition+SwaptionNumOfMonths+1),"",IF($FN199=FZ$169,1,IF($FN199&lt;FZ$169,INDEX($FO$170:$IH$241,FZ$169,$FN199),SUMPRODUCT(INDEX($FO$325:$IH$396,FZ$169,1+SwaptionShift):INDEX($FO$325:$IH$396,FZ$169,SwaptionMonthsToGo+SwaptionShift),INDEX($FO$245:$IH$316,$FN199-FZ$169,73-FZ$169+SwaptionShift):INDEX($FO$245:$IH$316,$FN199-FZ$169,72-FZ$169+SwaptionMonthsToGo+SwaptionShift))/SQRT(SUM(INDEX($FO354:$IH354,1+SwaptionShift):INDEX($FO354:$IH354,SwaptionMonthsToGo+SwaptionShift))*SUM(INDEX($FO$325:$IH$396,FZ$169,1+SwaptionShift):INDEX($FO$325:$IH$396,FZ$169,SwaptionMonthsToGo+SwaptionShift))))))</f>
        <v/>
      </c>
      <c r="GA199" s="469" t="str">
        <f ca="1">IF(OR(GA$169&lt;SwaptionFirstMonthPosition+1,$FN199&lt;SwaptionFirstMonthPosition+1,GA$169&gt;SwaptionFirstMonthPosition+SwaptionNumOfMonths+1,$FN199&gt;SwaptionFirstMonthPosition+SwaptionNumOfMonths+1),"",IF($FN199=GA$169,1,IF($FN199&lt;GA$169,INDEX($FO$170:$IH$241,GA$169,$FN199),SUMPRODUCT(INDEX($FO$325:$IH$396,GA$169,1+SwaptionShift):INDEX($FO$325:$IH$396,GA$169,SwaptionMonthsToGo+SwaptionShift),INDEX($FO$245:$IH$316,$FN199-GA$169,73-GA$169+SwaptionShift):INDEX($FO$245:$IH$316,$FN199-GA$169,72-GA$169+SwaptionMonthsToGo+SwaptionShift))/SQRT(SUM(INDEX($FO354:$IH354,1+SwaptionShift):INDEX($FO354:$IH354,SwaptionMonthsToGo+SwaptionShift))*SUM(INDEX($FO$325:$IH$396,GA$169,1+SwaptionShift):INDEX($FO$325:$IH$396,GA$169,SwaptionMonthsToGo+SwaptionShift))))))</f>
        <v/>
      </c>
      <c r="GB199" s="469" t="str">
        <f ca="1">IF(OR(GB$169&lt;SwaptionFirstMonthPosition+1,$FN199&lt;SwaptionFirstMonthPosition+1,GB$169&gt;SwaptionFirstMonthPosition+SwaptionNumOfMonths+1,$FN199&gt;SwaptionFirstMonthPosition+SwaptionNumOfMonths+1),"",IF($FN199=GB$169,1,IF($FN199&lt;GB$169,INDEX($FO$170:$IH$241,GB$169,$FN199),SUMPRODUCT(INDEX($FO$325:$IH$396,GB$169,1+SwaptionShift):INDEX($FO$325:$IH$396,GB$169,SwaptionMonthsToGo+SwaptionShift),INDEX($FO$245:$IH$316,$FN199-GB$169,73-GB$169+SwaptionShift):INDEX($FO$245:$IH$316,$FN199-GB$169,72-GB$169+SwaptionMonthsToGo+SwaptionShift))/SQRT(SUM(INDEX($FO354:$IH354,1+SwaptionShift):INDEX($FO354:$IH354,SwaptionMonthsToGo+SwaptionShift))*SUM(INDEX($FO$325:$IH$396,GB$169,1+SwaptionShift):INDEX($FO$325:$IH$396,GB$169,SwaptionMonthsToGo+SwaptionShift))))))</f>
        <v/>
      </c>
      <c r="GC199" s="469" t="str">
        <f ca="1">IF(OR(GC$169&lt;SwaptionFirstMonthPosition+1,$FN199&lt;SwaptionFirstMonthPosition+1,GC$169&gt;SwaptionFirstMonthPosition+SwaptionNumOfMonths+1,$FN199&gt;SwaptionFirstMonthPosition+SwaptionNumOfMonths+1),"",IF($FN199=GC$169,1,IF($FN199&lt;GC$169,INDEX($FO$170:$IH$241,GC$169,$FN199),SUMPRODUCT(INDEX($FO$325:$IH$396,GC$169,1+SwaptionShift):INDEX($FO$325:$IH$396,GC$169,SwaptionMonthsToGo+SwaptionShift),INDEX($FO$245:$IH$316,$FN199-GC$169,73-GC$169+SwaptionShift):INDEX($FO$245:$IH$316,$FN199-GC$169,72-GC$169+SwaptionMonthsToGo+SwaptionShift))/SQRT(SUM(INDEX($FO354:$IH354,1+SwaptionShift):INDEX($FO354:$IH354,SwaptionMonthsToGo+SwaptionShift))*SUM(INDEX($FO$325:$IH$396,GC$169,1+SwaptionShift):INDEX($FO$325:$IH$396,GC$169,SwaptionMonthsToGo+SwaptionShift))))))</f>
        <v/>
      </c>
      <c r="GD199" s="469" t="str">
        <f ca="1">IF(OR(GD$169&lt;SwaptionFirstMonthPosition+1,$FN199&lt;SwaptionFirstMonthPosition+1,GD$169&gt;SwaptionFirstMonthPosition+SwaptionNumOfMonths+1,$FN199&gt;SwaptionFirstMonthPosition+SwaptionNumOfMonths+1),"",IF($FN199=GD$169,1,IF($FN199&lt;GD$169,INDEX($FO$170:$IH$241,GD$169,$FN199),SUMPRODUCT(INDEX($FO$325:$IH$396,GD$169,1+SwaptionShift):INDEX($FO$325:$IH$396,GD$169,SwaptionMonthsToGo+SwaptionShift),INDEX($FO$245:$IH$316,$FN199-GD$169,73-GD$169+SwaptionShift):INDEX($FO$245:$IH$316,$FN199-GD$169,72-GD$169+SwaptionMonthsToGo+SwaptionShift))/SQRT(SUM(INDEX($FO354:$IH354,1+SwaptionShift):INDEX($FO354:$IH354,SwaptionMonthsToGo+SwaptionShift))*SUM(INDEX($FO$325:$IH$396,GD$169,1+SwaptionShift):INDEX($FO$325:$IH$396,GD$169,SwaptionMonthsToGo+SwaptionShift))))))</f>
        <v/>
      </c>
      <c r="GE199" s="469" t="str">
        <f ca="1">IF(OR(GE$169&lt;SwaptionFirstMonthPosition+1,$FN199&lt;SwaptionFirstMonthPosition+1,GE$169&gt;SwaptionFirstMonthPosition+SwaptionNumOfMonths+1,$FN199&gt;SwaptionFirstMonthPosition+SwaptionNumOfMonths+1),"",IF($FN199=GE$169,1,IF($FN199&lt;GE$169,INDEX($FO$170:$IH$241,GE$169,$FN199),SUMPRODUCT(INDEX($FO$325:$IH$396,GE$169,1+SwaptionShift):INDEX($FO$325:$IH$396,GE$169,SwaptionMonthsToGo+SwaptionShift),INDEX($FO$245:$IH$316,$FN199-GE$169,73-GE$169+SwaptionShift):INDEX($FO$245:$IH$316,$FN199-GE$169,72-GE$169+SwaptionMonthsToGo+SwaptionShift))/SQRT(SUM(INDEX($FO354:$IH354,1+SwaptionShift):INDEX($FO354:$IH354,SwaptionMonthsToGo+SwaptionShift))*SUM(INDEX($FO$325:$IH$396,GE$169,1+SwaptionShift):INDEX($FO$325:$IH$396,GE$169,SwaptionMonthsToGo+SwaptionShift))))))</f>
        <v/>
      </c>
      <c r="GF199" s="469" t="str">
        <f ca="1">IF(OR(GF$169&lt;SwaptionFirstMonthPosition+1,$FN199&lt;SwaptionFirstMonthPosition+1,GF$169&gt;SwaptionFirstMonthPosition+SwaptionNumOfMonths+1,$FN199&gt;SwaptionFirstMonthPosition+SwaptionNumOfMonths+1),"",IF($FN199=GF$169,1,IF($FN199&lt;GF$169,INDEX($FO$170:$IH$241,GF$169,$FN199),SUMPRODUCT(INDEX($FO$325:$IH$396,GF$169,1+SwaptionShift):INDEX($FO$325:$IH$396,GF$169,SwaptionMonthsToGo+SwaptionShift),INDEX($FO$245:$IH$316,$FN199-GF$169,73-GF$169+SwaptionShift):INDEX($FO$245:$IH$316,$FN199-GF$169,72-GF$169+SwaptionMonthsToGo+SwaptionShift))/SQRT(SUM(INDEX($FO354:$IH354,1+SwaptionShift):INDEX($FO354:$IH354,SwaptionMonthsToGo+SwaptionShift))*SUM(INDEX($FO$325:$IH$396,GF$169,1+SwaptionShift):INDEX($FO$325:$IH$396,GF$169,SwaptionMonthsToGo+SwaptionShift))))))</f>
        <v/>
      </c>
      <c r="GG199" s="469" t="str">
        <f ca="1">IF(OR(GG$169&lt;SwaptionFirstMonthPosition+1,$FN199&lt;SwaptionFirstMonthPosition+1,GG$169&gt;SwaptionFirstMonthPosition+SwaptionNumOfMonths+1,$FN199&gt;SwaptionFirstMonthPosition+SwaptionNumOfMonths+1),"",IF($FN199=GG$169,1,IF($FN199&lt;GG$169,INDEX($FO$170:$IH$241,GG$169,$FN199),SUMPRODUCT(INDEX($FO$325:$IH$396,GG$169,1+SwaptionShift):INDEX($FO$325:$IH$396,GG$169,SwaptionMonthsToGo+SwaptionShift),INDEX($FO$245:$IH$316,$FN199-GG$169,73-GG$169+SwaptionShift):INDEX($FO$245:$IH$316,$FN199-GG$169,72-GG$169+SwaptionMonthsToGo+SwaptionShift))/SQRT(SUM(INDEX($FO354:$IH354,1+SwaptionShift):INDEX($FO354:$IH354,SwaptionMonthsToGo+SwaptionShift))*SUM(INDEX($FO$325:$IH$396,GG$169,1+SwaptionShift):INDEX($FO$325:$IH$396,GG$169,SwaptionMonthsToGo+SwaptionShift))))))</f>
        <v/>
      </c>
      <c r="GH199" s="469" t="str">
        <f ca="1">IF(OR(GH$169&lt;SwaptionFirstMonthPosition+1,$FN199&lt;SwaptionFirstMonthPosition+1,GH$169&gt;SwaptionFirstMonthPosition+SwaptionNumOfMonths+1,$FN199&gt;SwaptionFirstMonthPosition+SwaptionNumOfMonths+1),"",IF($FN199=GH$169,1,IF($FN199&lt;GH$169,INDEX($FO$170:$IH$241,GH$169,$FN199),SUMPRODUCT(INDEX($FO$325:$IH$396,GH$169,1+SwaptionShift):INDEX($FO$325:$IH$396,GH$169,SwaptionMonthsToGo+SwaptionShift),INDEX($FO$245:$IH$316,$FN199-GH$169,73-GH$169+SwaptionShift):INDEX($FO$245:$IH$316,$FN199-GH$169,72-GH$169+SwaptionMonthsToGo+SwaptionShift))/SQRT(SUM(INDEX($FO354:$IH354,1+SwaptionShift):INDEX($FO354:$IH354,SwaptionMonthsToGo+SwaptionShift))*SUM(INDEX($FO$325:$IH$396,GH$169,1+SwaptionShift):INDEX($FO$325:$IH$396,GH$169,SwaptionMonthsToGo+SwaptionShift))))))</f>
        <v/>
      </c>
      <c r="GI199" s="469" t="str">
        <f ca="1">IF(OR(GI$169&lt;SwaptionFirstMonthPosition+1,$FN199&lt;SwaptionFirstMonthPosition+1,GI$169&gt;SwaptionFirstMonthPosition+SwaptionNumOfMonths+1,$FN199&gt;SwaptionFirstMonthPosition+SwaptionNumOfMonths+1),"",IF($FN199=GI$169,1,IF($FN199&lt;GI$169,INDEX($FO$170:$IH$241,GI$169,$FN199),SUMPRODUCT(INDEX($FO$325:$IH$396,GI$169,1+SwaptionShift):INDEX($FO$325:$IH$396,GI$169,SwaptionMonthsToGo+SwaptionShift),INDEX($FO$245:$IH$316,$FN199-GI$169,73-GI$169+SwaptionShift):INDEX($FO$245:$IH$316,$FN199-GI$169,72-GI$169+SwaptionMonthsToGo+SwaptionShift))/SQRT(SUM(INDEX($FO354:$IH354,1+SwaptionShift):INDEX($FO354:$IH354,SwaptionMonthsToGo+SwaptionShift))*SUM(INDEX($FO$325:$IH$396,GI$169,1+SwaptionShift):INDEX($FO$325:$IH$396,GI$169,SwaptionMonthsToGo+SwaptionShift))))))</f>
        <v/>
      </c>
      <c r="GJ199" s="469" t="str">
        <f ca="1">IF(OR(GJ$169&lt;SwaptionFirstMonthPosition+1,$FN199&lt;SwaptionFirstMonthPosition+1,GJ$169&gt;SwaptionFirstMonthPosition+SwaptionNumOfMonths+1,$FN199&gt;SwaptionFirstMonthPosition+SwaptionNumOfMonths+1),"",IF($FN199=GJ$169,1,IF($FN199&lt;GJ$169,INDEX($FO$170:$IH$241,GJ$169,$FN199),SUMPRODUCT(INDEX($FO$325:$IH$396,GJ$169,1+SwaptionShift):INDEX($FO$325:$IH$396,GJ$169,SwaptionMonthsToGo+SwaptionShift),INDEX($FO$245:$IH$316,$FN199-GJ$169,73-GJ$169+SwaptionShift):INDEX($FO$245:$IH$316,$FN199-GJ$169,72-GJ$169+SwaptionMonthsToGo+SwaptionShift))/SQRT(SUM(INDEX($FO354:$IH354,1+SwaptionShift):INDEX($FO354:$IH354,SwaptionMonthsToGo+SwaptionShift))*SUM(INDEX($FO$325:$IH$396,GJ$169,1+SwaptionShift):INDEX($FO$325:$IH$396,GJ$169,SwaptionMonthsToGo+SwaptionShift))))))</f>
        <v/>
      </c>
      <c r="GK199" s="469" t="str">
        <f ca="1">IF(OR(GK$169&lt;SwaptionFirstMonthPosition+1,$FN199&lt;SwaptionFirstMonthPosition+1,GK$169&gt;SwaptionFirstMonthPosition+SwaptionNumOfMonths+1,$FN199&gt;SwaptionFirstMonthPosition+SwaptionNumOfMonths+1),"",IF($FN199=GK$169,1,IF($FN199&lt;GK$169,INDEX($FO$170:$IH$241,GK$169,$FN199),SUMPRODUCT(INDEX($FO$325:$IH$396,GK$169,1+SwaptionShift):INDEX($FO$325:$IH$396,GK$169,SwaptionMonthsToGo+SwaptionShift),INDEX($FO$245:$IH$316,$FN199-GK$169,73-GK$169+SwaptionShift):INDEX($FO$245:$IH$316,$FN199-GK$169,72-GK$169+SwaptionMonthsToGo+SwaptionShift))/SQRT(SUM(INDEX($FO354:$IH354,1+SwaptionShift):INDEX($FO354:$IH354,SwaptionMonthsToGo+SwaptionShift))*SUM(INDEX($FO$325:$IH$396,GK$169,1+SwaptionShift):INDEX($FO$325:$IH$396,GK$169,SwaptionMonthsToGo+SwaptionShift))))))</f>
        <v/>
      </c>
      <c r="GL199" s="469" t="str">
        <f ca="1">IF(OR(GL$169&lt;SwaptionFirstMonthPosition+1,$FN199&lt;SwaptionFirstMonthPosition+1,GL$169&gt;SwaptionFirstMonthPosition+SwaptionNumOfMonths+1,$FN199&gt;SwaptionFirstMonthPosition+SwaptionNumOfMonths+1),"",IF($FN199=GL$169,1,IF($FN199&lt;GL$169,INDEX($FO$170:$IH$241,GL$169,$FN199),SUMPRODUCT(INDEX($FO$325:$IH$396,GL$169,1+SwaptionShift):INDEX($FO$325:$IH$396,GL$169,SwaptionMonthsToGo+SwaptionShift),INDEX($FO$245:$IH$316,$FN199-GL$169,73-GL$169+SwaptionShift):INDEX($FO$245:$IH$316,$FN199-GL$169,72-GL$169+SwaptionMonthsToGo+SwaptionShift))/SQRT(SUM(INDEX($FO354:$IH354,1+SwaptionShift):INDEX($FO354:$IH354,SwaptionMonthsToGo+SwaptionShift))*SUM(INDEX($FO$325:$IH$396,GL$169,1+SwaptionShift):INDEX($FO$325:$IH$396,GL$169,SwaptionMonthsToGo+SwaptionShift))))))</f>
        <v/>
      </c>
      <c r="GM199" s="469" t="str">
        <f ca="1">IF(OR(GM$169&lt;SwaptionFirstMonthPosition+1,$FN199&lt;SwaptionFirstMonthPosition+1,GM$169&gt;SwaptionFirstMonthPosition+SwaptionNumOfMonths+1,$FN199&gt;SwaptionFirstMonthPosition+SwaptionNumOfMonths+1),"",IF($FN199=GM$169,1,IF($FN199&lt;GM$169,INDEX($FO$170:$IH$241,GM$169,$FN199),SUMPRODUCT(INDEX($FO$325:$IH$396,GM$169,1+SwaptionShift):INDEX($FO$325:$IH$396,GM$169,SwaptionMonthsToGo+SwaptionShift),INDEX($FO$245:$IH$316,$FN199-GM$169,73-GM$169+SwaptionShift):INDEX($FO$245:$IH$316,$FN199-GM$169,72-GM$169+SwaptionMonthsToGo+SwaptionShift))/SQRT(SUM(INDEX($FO354:$IH354,1+SwaptionShift):INDEX($FO354:$IH354,SwaptionMonthsToGo+SwaptionShift))*SUM(INDEX($FO$325:$IH$396,GM$169,1+SwaptionShift):INDEX($FO$325:$IH$396,GM$169,SwaptionMonthsToGo+SwaptionShift))))))</f>
        <v/>
      </c>
      <c r="GN199" s="469" t="str">
        <f ca="1">IF(OR(GN$169&lt;SwaptionFirstMonthPosition+1,$FN199&lt;SwaptionFirstMonthPosition+1,GN$169&gt;SwaptionFirstMonthPosition+SwaptionNumOfMonths+1,$FN199&gt;SwaptionFirstMonthPosition+SwaptionNumOfMonths+1),"",IF($FN199=GN$169,1,IF($FN199&lt;GN$169,INDEX($FO$170:$IH$241,GN$169,$FN199),SUMPRODUCT(INDEX($FO$325:$IH$396,GN$169,1+SwaptionShift):INDEX($FO$325:$IH$396,GN$169,SwaptionMonthsToGo+SwaptionShift),INDEX($FO$245:$IH$316,$FN199-GN$169,73-GN$169+SwaptionShift):INDEX($FO$245:$IH$316,$FN199-GN$169,72-GN$169+SwaptionMonthsToGo+SwaptionShift))/SQRT(SUM(INDEX($FO354:$IH354,1+SwaptionShift):INDEX($FO354:$IH354,SwaptionMonthsToGo+SwaptionShift))*SUM(INDEX($FO$325:$IH$396,GN$169,1+SwaptionShift):INDEX($FO$325:$IH$396,GN$169,SwaptionMonthsToGo+SwaptionShift))))))</f>
        <v/>
      </c>
      <c r="GO199" s="469" t="str">
        <f ca="1">IF(OR(GO$169&lt;SwaptionFirstMonthPosition+1,$FN199&lt;SwaptionFirstMonthPosition+1,GO$169&gt;SwaptionFirstMonthPosition+SwaptionNumOfMonths+1,$FN199&gt;SwaptionFirstMonthPosition+SwaptionNumOfMonths+1),"",IF($FN199=GO$169,1,IF($FN199&lt;GO$169,INDEX($FO$170:$IH$241,GO$169,$FN199),SUMPRODUCT(INDEX($FO$325:$IH$396,GO$169,1+SwaptionShift):INDEX($FO$325:$IH$396,GO$169,SwaptionMonthsToGo+SwaptionShift),INDEX($FO$245:$IH$316,$FN199-GO$169,73-GO$169+SwaptionShift):INDEX($FO$245:$IH$316,$FN199-GO$169,72-GO$169+SwaptionMonthsToGo+SwaptionShift))/SQRT(SUM(INDEX($FO354:$IH354,1+SwaptionShift):INDEX($FO354:$IH354,SwaptionMonthsToGo+SwaptionShift))*SUM(INDEX($FO$325:$IH$396,GO$169,1+SwaptionShift):INDEX($FO$325:$IH$396,GO$169,SwaptionMonthsToGo+SwaptionShift))))))</f>
        <v/>
      </c>
      <c r="GP199" s="469" t="str">
        <f ca="1">IF(OR(GP$169&lt;SwaptionFirstMonthPosition+1,$FN199&lt;SwaptionFirstMonthPosition+1,GP$169&gt;SwaptionFirstMonthPosition+SwaptionNumOfMonths+1,$FN199&gt;SwaptionFirstMonthPosition+SwaptionNumOfMonths+1),"",IF($FN199=GP$169,1,IF($FN199&lt;GP$169,INDEX($FO$170:$IH$241,GP$169,$FN199),SUMPRODUCT(INDEX($FO$325:$IH$396,GP$169,1+SwaptionShift):INDEX($FO$325:$IH$396,GP$169,SwaptionMonthsToGo+SwaptionShift),INDEX($FO$245:$IH$316,$FN199-GP$169,73-GP$169+SwaptionShift):INDEX($FO$245:$IH$316,$FN199-GP$169,72-GP$169+SwaptionMonthsToGo+SwaptionShift))/SQRT(SUM(INDEX($FO354:$IH354,1+SwaptionShift):INDEX($FO354:$IH354,SwaptionMonthsToGo+SwaptionShift))*SUM(INDEX($FO$325:$IH$396,GP$169,1+SwaptionShift):INDEX($FO$325:$IH$396,GP$169,SwaptionMonthsToGo+SwaptionShift))))))</f>
        <v/>
      </c>
      <c r="GQ199" s="469" t="str">
        <f ca="1">IF(OR(GQ$169&lt;SwaptionFirstMonthPosition+1,$FN199&lt;SwaptionFirstMonthPosition+1,GQ$169&gt;SwaptionFirstMonthPosition+SwaptionNumOfMonths+1,$FN199&gt;SwaptionFirstMonthPosition+SwaptionNumOfMonths+1),"",IF($FN199=GQ$169,1,IF($FN199&lt;GQ$169,INDEX($FO$170:$IH$241,GQ$169,$FN199),SUMPRODUCT(INDEX($FO$325:$IH$396,GQ$169,1+SwaptionShift):INDEX($FO$325:$IH$396,GQ$169,SwaptionMonthsToGo+SwaptionShift),INDEX($FO$245:$IH$316,$FN199-GQ$169,73-GQ$169+SwaptionShift):INDEX($FO$245:$IH$316,$FN199-GQ$169,72-GQ$169+SwaptionMonthsToGo+SwaptionShift))/SQRT(SUM(INDEX($FO354:$IH354,1+SwaptionShift):INDEX($FO354:$IH354,SwaptionMonthsToGo+SwaptionShift))*SUM(INDEX($FO$325:$IH$396,GQ$169,1+SwaptionShift):INDEX($FO$325:$IH$396,GQ$169,SwaptionMonthsToGo+SwaptionShift))))))</f>
        <v/>
      </c>
      <c r="GR199" s="469" t="str">
        <f ca="1">IF(OR(GR$169&lt;SwaptionFirstMonthPosition+1,$FN199&lt;SwaptionFirstMonthPosition+1,GR$169&gt;SwaptionFirstMonthPosition+SwaptionNumOfMonths+1,$FN199&gt;SwaptionFirstMonthPosition+SwaptionNumOfMonths+1),"",IF($FN199=GR$169,1,IF($FN199&lt;GR$169,INDEX($FO$170:$IH$241,GR$169,$FN199),SUMPRODUCT(INDEX($FO$325:$IH$396,GR$169,1+SwaptionShift):INDEX($FO$325:$IH$396,GR$169,SwaptionMonthsToGo+SwaptionShift),INDEX($FO$245:$IH$316,$FN199-GR$169,73-GR$169+SwaptionShift):INDEX($FO$245:$IH$316,$FN199-GR$169,72-GR$169+SwaptionMonthsToGo+SwaptionShift))/SQRT(SUM(INDEX($FO354:$IH354,1+SwaptionShift):INDEX($FO354:$IH354,SwaptionMonthsToGo+SwaptionShift))*SUM(INDEX($FO$325:$IH$396,GR$169,1+SwaptionShift):INDEX($FO$325:$IH$396,GR$169,SwaptionMonthsToGo+SwaptionShift))))))</f>
        <v/>
      </c>
      <c r="GS199" s="469" t="str">
        <f ca="1">IF(OR(GS$169&lt;SwaptionFirstMonthPosition+1,$FN199&lt;SwaptionFirstMonthPosition+1,GS$169&gt;SwaptionFirstMonthPosition+SwaptionNumOfMonths+1,$FN199&gt;SwaptionFirstMonthPosition+SwaptionNumOfMonths+1),"",IF($FN199=GS$169,1,IF($FN199&lt;GS$169,INDEX($FO$170:$IH$241,GS$169,$FN199),SUMPRODUCT(INDEX($FO$325:$IH$396,GS$169,1+SwaptionShift):INDEX($FO$325:$IH$396,GS$169,SwaptionMonthsToGo+SwaptionShift),INDEX($FO$245:$IH$316,$FN199-GS$169,73-GS$169+SwaptionShift):INDEX($FO$245:$IH$316,$FN199-GS$169,72-GS$169+SwaptionMonthsToGo+SwaptionShift))/SQRT(SUM(INDEX($FO354:$IH354,1+SwaptionShift):INDEX($FO354:$IH354,SwaptionMonthsToGo+SwaptionShift))*SUM(INDEX($FO$325:$IH$396,GS$169,1+SwaptionShift):INDEX($FO$325:$IH$396,GS$169,SwaptionMonthsToGo+SwaptionShift))))))</f>
        <v/>
      </c>
      <c r="GT199" s="469" t="str">
        <f ca="1">IF(OR(GT$169&lt;SwaptionFirstMonthPosition+1,$FN199&lt;SwaptionFirstMonthPosition+1,GT$169&gt;SwaptionFirstMonthPosition+SwaptionNumOfMonths+1,$FN199&gt;SwaptionFirstMonthPosition+SwaptionNumOfMonths+1),"",IF($FN199=GT$169,1,IF($FN199&lt;GT$169,INDEX($FO$170:$IH$241,GT$169,$FN199),SUMPRODUCT(INDEX($FO$325:$IH$396,GT$169,1+SwaptionShift):INDEX($FO$325:$IH$396,GT$169,SwaptionMonthsToGo+SwaptionShift),INDEX($FO$245:$IH$316,$FN199-GT$169,73-GT$169+SwaptionShift):INDEX($FO$245:$IH$316,$FN199-GT$169,72-GT$169+SwaptionMonthsToGo+SwaptionShift))/SQRT(SUM(INDEX($FO354:$IH354,1+SwaptionShift):INDEX($FO354:$IH354,SwaptionMonthsToGo+SwaptionShift))*SUM(INDEX($FO$325:$IH$396,GT$169,1+SwaptionShift):INDEX($FO$325:$IH$396,GT$169,SwaptionMonthsToGo+SwaptionShift))))))</f>
        <v/>
      </c>
      <c r="GU199" s="469" t="str">
        <f ca="1">IF(OR(GU$169&lt;SwaptionFirstMonthPosition+1,$FN199&lt;SwaptionFirstMonthPosition+1,GU$169&gt;SwaptionFirstMonthPosition+SwaptionNumOfMonths+1,$FN199&gt;SwaptionFirstMonthPosition+SwaptionNumOfMonths+1),"",IF($FN199=GU$169,1,IF($FN199&lt;GU$169,INDEX($FO$170:$IH$241,GU$169,$FN199),SUMPRODUCT(INDEX($FO$325:$IH$396,GU$169,1+SwaptionShift):INDEX($FO$325:$IH$396,GU$169,SwaptionMonthsToGo+SwaptionShift),INDEX($FO$245:$IH$316,$FN199-GU$169,73-GU$169+SwaptionShift):INDEX($FO$245:$IH$316,$FN199-GU$169,72-GU$169+SwaptionMonthsToGo+SwaptionShift))/SQRT(SUM(INDEX($FO354:$IH354,1+SwaptionShift):INDEX($FO354:$IH354,SwaptionMonthsToGo+SwaptionShift))*SUM(INDEX($FO$325:$IH$396,GU$169,1+SwaptionShift):INDEX($FO$325:$IH$396,GU$169,SwaptionMonthsToGo+SwaptionShift))))))</f>
        <v/>
      </c>
      <c r="GV199" s="469" t="str">
        <f ca="1">IF(OR(GV$169&lt;SwaptionFirstMonthPosition+1,$FN199&lt;SwaptionFirstMonthPosition+1,GV$169&gt;SwaptionFirstMonthPosition+SwaptionNumOfMonths+1,$FN199&gt;SwaptionFirstMonthPosition+SwaptionNumOfMonths+1),"",IF($FN199=GV$169,1,IF($FN199&lt;GV$169,INDEX($FO$170:$IH$241,GV$169,$FN199),SUMPRODUCT(INDEX($FO$325:$IH$396,GV$169,1+SwaptionShift):INDEX($FO$325:$IH$396,GV$169,SwaptionMonthsToGo+SwaptionShift),INDEX($FO$245:$IH$316,$FN199-GV$169,73-GV$169+SwaptionShift):INDEX($FO$245:$IH$316,$FN199-GV$169,72-GV$169+SwaptionMonthsToGo+SwaptionShift))/SQRT(SUM(INDEX($FO354:$IH354,1+SwaptionShift):INDEX($FO354:$IH354,SwaptionMonthsToGo+SwaptionShift))*SUM(INDEX($FO$325:$IH$396,GV$169,1+SwaptionShift):INDEX($FO$325:$IH$396,GV$169,SwaptionMonthsToGo+SwaptionShift))))))</f>
        <v/>
      </c>
      <c r="GW199" s="469" t="str">
        <f ca="1">IF(OR(GW$169&lt;SwaptionFirstMonthPosition+1,$FN199&lt;SwaptionFirstMonthPosition+1,GW$169&gt;SwaptionFirstMonthPosition+SwaptionNumOfMonths+1,$FN199&gt;SwaptionFirstMonthPosition+SwaptionNumOfMonths+1),"",IF($FN199=GW$169,1,IF($FN199&lt;GW$169,INDEX($FO$170:$IH$241,GW$169,$FN199),SUMPRODUCT(INDEX($FO$325:$IH$396,GW$169,1+SwaptionShift):INDEX($FO$325:$IH$396,GW$169,SwaptionMonthsToGo+SwaptionShift),INDEX($FO$245:$IH$316,$FN199-GW$169,73-GW$169+SwaptionShift):INDEX($FO$245:$IH$316,$FN199-GW$169,72-GW$169+SwaptionMonthsToGo+SwaptionShift))/SQRT(SUM(INDEX($FO354:$IH354,1+SwaptionShift):INDEX($FO354:$IH354,SwaptionMonthsToGo+SwaptionShift))*SUM(INDEX($FO$325:$IH$396,GW$169,1+SwaptionShift):INDEX($FO$325:$IH$396,GW$169,SwaptionMonthsToGo+SwaptionShift))))))</f>
        <v/>
      </c>
      <c r="GX199" s="469" t="str">
        <f ca="1">IF(OR(GX$169&lt;SwaptionFirstMonthPosition+1,$FN199&lt;SwaptionFirstMonthPosition+1,GX$169&gt;SwaptionFirstMonthPosition+SwaptionNumOfMonths+1,$FN199&gt;SwaptionFirstMonthPosition+SwaptionNumOfMonths+1),"",IF($FN199=GX$169,1,IF($FN199&lt;GX$169,INDEX($FO$170:$IH$241,GX$169,$FN199),SUMPRODUCT(INDEX($FO$325:$IH$396,GX$169,1+SwaptionShift):INDEX($FO$325:$IH$396,GX$169,SwaptionMonthsToGo+SwaptionShift),INDEX($FO$245:$IH$316,$FN199-GX$169,73-GX$169+SwaptionShift):INDEX($FO$245:$IH$316,$FN199-GX$169,72-GX$169+SwaptionMonthsToGo+SwaptionShift))/SQRT(SUM(INDEX($FO354:$IH354,1+SwaptionShift):INDEX($FO354:$IH354,SwaptionMonthsToGo+SwaptionShift))*SUM(INDEX($FO$325:$IH$396,GX$169,1+SwaptionShift):INDEX($FO$325:$IH$396,GX$169,SwaptionMonthsToGo+SwaptionShift))))))</f>
        <v/>
      </c>
      <c r="GY199" s="469" t="str">
        <f ca="1">IF(OR(GY$169&lt;SwaptionFirstMonthPosition+1,$FN199&lt;SwaptionFirstMonthPosition+1,GY$169&gt;SwaptionFirstMonthPosition+SwaptionNumOfMonths+1,$FN199&gt;SwaptionFirstMonthPosition+SwaptionNumOfMonths+1),"",IF($FN199=GY$169,1,IF($FN199&lt;GY$169,INDEX($FO$170:$IH$241,GY$169,$FN199),SUMPRODUCT(INDEX($FO$325:$IH$396,GY$169,1+SwaptionShift):INDEX($FO$325:$IH$396,GY$169,SwaptionMonthsToGo+SwaptionShift),INDEX($FO$245:$IH$316,$FN199-GY$169,73-GY$169+SwaptionShift):INDEX($FO$245:$IH$316,$FN199-GY$169,72-GY$169+SwaptionMonthsToGo+SwaptionShift))/SQRT(SUM(INDEX($FO354:$IH354,1+SwaptionShift):INDEX($FO354:$IH354,SwaptionMonthsToGo+SwaptionShift))*SUM(INDEX($FO$325:$IH$396,GY$169,1+SwaptionShift):INDEX($FO$325:$IH$396,GY$169,SwaptionMonthsToGo+SwaptionShift))))))</f>
        <v/>
      </c>
      <c r="GZ199" s="469" t="str">
        <f ca="1">IF(OR(GZ$169&lt;SwaptionFirstMonthPosition+1,$FN199&lt;SwaptionFirstMonthPosition+1,GZ$169&gt;SwaptionFirstMonthPosition+SwaptionNumOfMonths+1,$FN199&gt;SwaptionFirstMonthPosition+SwaptionNumOfMonths+1),"",IF($FN199=GZ$169,1,IF($FN199&lt;GZ$169,INDEX($FO$170:$IH$241,GZ$169,$FN199),SUMPRODUCT(INDEX($FO$325:$IH$396,GZ$169,1+SwaptionShift):INDEX($FO$325:$IH$396,GZ$169,SwaptionMonthsToGo+SwaptionShift),INDEX($FO$245:$IH$316,$FN199-GZ$169,73-GZ$169+SwaptionShift):INDEX($FO$245:$IH$316,$FN199-GZ$169,72-GZ$169+SwaptionMonthsToGo+SwaptionShift))/SQRT(SUM(INDEX($FO354:$IH354,1+SwaptionShift):INDEX($FO354:$IH354,SwaptionMonthsToGo+SwaptionShift))*SUM(INDEX($FO$325:$IH$396,GZ$169,1+SwaptionShift):INDEX($FO$325:$IH$396,GZ$169,SwaptionMonthsToGo+SwaptionShift))))))</f>
        <v/>
      </c>
      <c r="HA199" s="469" t="str">
        <f ca="1">IF(OR(HA$169&lt;SwaptionFirstMonthPosition+1,$FN199&lt;SwaptionFirstMonthPosition+1,HA$169&gt;SwaptionFirstMonthPosition+SwaptionNumOfMonths+1,$FN199&gt;SwaptionFirstMonthPosition+SwaptionNumOfMonths+1),"",IF($FN199=HA$169,1,IF($FN199&lt;HA$169,INDEX($FO$170:$IH$241,HA$169,$FN199),SUMPRODUCT(INDEX($FO$325:$IH$396,HA$169,1+SwaptionShift):INDEX($FO$325:$IH$396,HA$169,SwaptionMonthsToGo+SwaptionShift),INDEX($FO$245:$IH$316,$FN199-HA$169,73-HA$169+SwaptionShift):INDEX($FO$245:$IH$316,$FN199-HA$169,72-HA$169+SwaptionMonthsToGo+SwaptionShift))/SQRT(SUM(INDEX($FO354:$IH354,1+SwaptionShift):INDEX($FO354:$IH354,SwaptionMonthsToGo+SwaptionShift))*SUM(INDEX($FO$325:$IH$396,HA$169,1+SwaptionShift):INDEX($FO$325:$IH$396,HA$169,SwaptionMonthsToGo+SwaptionShift))))))</f>
        <v/>
      </c>
      <c r="HB199" s="469" t="str">
        <f ca="1">IF(OR(HB$169&lt;SwaptionFirstMonthPosition+1,$FN199&lt;SwaptionFirstMonthPosition+1,HB$169&gt;SwaptionFirstMonthPosition+SwaptionNumOfMonths+1,$FN199&gt;SwaptionFirstMonthPosition+SwaptionNumOfMonths+1),"",IF($FN199=HB$169,1,IF($FN199&lt;HB$169,INDEX($FO$170:$IH$241,HB$169,$FN199),SUMPRODUCT(INDEX($FO$325:$IH$396,HB$169,1+SwaptionShift):INDEX($FO$325:$IH$396,HB$169,SwaptionMonthsToGo+SwaptionShift),INDEX($FO$245:$IH$316,$FN199-HB$169,73-HB$169+SwaptionShift):INDEX($FO$245:$IH$316,$FN199-HB$169,72-HB$169+SwaptionMonthsToGo+SwaptionShift))/SQRT(SUM(INDEX($FO354:$IH354,1+SwaptionShift):INDEX($FO354:$IH354,SwaptionMonthsToGo+SwaptionShift))*SUM(INDEX($FO$325:$IH$396,HB$169,1+SwaptionShift):INDEX($FO$325:$IH$396,HB$169,SwaptionMonthsToGo+SwaptionShift))))))</f>
        <v/>
      </c>
      <c r="HC199" s="469" t="str">
        <f ca="1">IF(OR(HC$169&lt;SwaptionFirstMonthPosition+1,$FN199&lt;SwaptionFirstMonthPosition+1,HC$169&gt;SwaptionFirstMonthPosition+SwaptionNumOfMonths+1,$FN199&gt;SwaptionFirstMonthPosition+SwaptionNumOfMonths+1),"",IF($FN199=HC$169,1,IF($FN199&lt;HC$169,INDEX($FO$170:$IH$241,HC$169,$FN199),SUMPRODUCT(INDEX($FO$325:$IH$396,HC$169,1+SwaptionShift):INDEX($FO$325:$IH$396,HC$169,SwaptionMonthsToGo+SwaptionShift),INDEX($FO$245:$IH$316,$FN199-HC$169,73-HC$169+SwaptionShift):INDEX($FO$245:$IH$316,$FN199-HC$169,72-HC$169+SwaptionMonthsToGo+SwaptionShift))/SQRT(SUM(INDEX($FO354:$IH354,1+SwaptionShift):INDEX($FO354:$IH354,SwaptionMonthsToGo+SwaptionShift))*SUM(INDEX($FO$325:$IH$396,HC$169,1+SwaptionShift):INDEX($FO$325:$IH$396,HC$169,SwaptionMonthsToGo+SwaptionShift))))))</f>
        <v/>
      </c>
      <c r="HD199" s="469" t="str">
        <f ca="1">IF(OR(HD$169&lt;SwaptionFirstMonthPosition+1,$FN199&lt;SwaptionFirstMonthPosition+1,HD$169&gt;SwaptionFirstMonthPosition+SwaptionNumOfMonths+1,$FN199&gt;SwaptionFirstMonthPosition+SwaptionNumOfMonths+1),"",IF($FN199=HD$169,1,IF($FN199&lt;HD$169,INDEX($FO$170:$IH$241,HD$169,$FN199),SUMPRODUCT(INDEX($FO$325:$IH$396,HD$169,1+SwaptionShift):INDEX($FO$325:$IH$396,HD$169,SwaptionMonthsToGo+SwaptionShift),INDEX($FO$245:$IH$316,$FN199-HD$169,73-HD$169+SwaptionShift):INDEX($FO$245:$IH$316,$FN199-HD$169,72-HD$169+SwaptionMonthsToGo+SwaptionShift))/SQRT(SUM(INDEX($FO354:$IH354,1+SwaptionShift):INDEX($FO354:$IH354,SwaptionMonthsToGo+SwaptionShift))*SUM(INDEX($FO$325:$IH$396,HD$169,1+SwaptionShift):INDEX($FO$325:$IH$396,HD$169,SwaptionMonthsToGo+SwaptionShift))))))</f>
        <v/>
      </c>
      <c r="HE199" s="469" t="str">
        <f ca="1">IF(OR(HE$169&lt;SwaptionFirstMonthPosition+1,$FN199&lt;SwaptionFirstMonthPosition+1,HE$169&gt;SwaptionFirstMonthPosition+SwaptionNumOfMonths+1,$FN199&gt;SwaptionFirstMonthPosition+SwaptionNumOfMonths+1),"",IF($FN199=HE$169,1,IF($FN199&lt;HE$169,INDEX($FO$170:$IH$241,HE$169,$FN199),SUMPRODUCT(INDEX($FO$325:$IH$396,HE$169,1+SwaptionShift):INDEX($FO$325:$IH$396,HE$169,SwaptionMonthsToGo+SwaptionShift),INDEX($FO$245:$IH$316,$FN199-HE$169,73-HE$169+SwaptionShift):INDEX($FO$245:$IH$316,$FN199-HE$169,72-HE$169+SwaptionMonthsToGo+SwaptionShift))/SQRT(SUM(INDEX($FO354:$IH354,1+SwaptionShift):INDEX($FO354:$IH354,SwaptionMonthsToGo+SwaptionShift))*SUM(INDEX($FO$325:$IH$396,HE$169,1+SwaptionShift):INDEX($FO$325:$IH$396,HE$169,SwaptionMonthsToGo+SwaptionShift))))))</f>
        <v/>
      </c>
      <c r="HF199" s="469" t="str">
        <f ca="1">IF(OR(HF$169&lt;SwaptionFirstMonthPosition+1,$FN199&lt;SwaptionFirstMonthPosition+1,HF$169&gt;SwaptionFirstMonthPosition+SwaptionNumOfMonths+1,$FN199&gt;SwaptionFirstMonthPosition+SwaptionNumOfMonths+1),"",IF($FN199=HF$169,1,IF($FN199&lt;HF$169,INDEX($FO$170:$IH$241,HF$169,$FN199),SUMPRODUCT(INDEX($FO$325:$IH$396,HF$169,1+SwaptionShift):INDEX($FO$325:$IH$396,HF$169,SwaptionMonthsToGo+SwaptionShift),INDEX($FO$245:$IH$316,$FN199-HF$169,73-HF$169+SwaptionShift):INDEX($FO$245:$IH$316,$FN199-HF$169,72-HF$169+SwaptionMonthsToGo+SwaptionShift))/SQRT(SUM(INDEX($FO354:$IH354,1+SwaptionShift):INDEX($FO354:$IH354,SwaptionMonthsToGo+SwaptionShift))*SUM(INDEX($FO$325:$IH$396,HF$169,1+SwaptionShift):INDEX($FO$325:$IH$396,HF$169,SwaptionMonthsToGo+SwaptionShift))))))</f>
        <v/>
      </c>
      <c r="HG199" s="469" t="str">
        <f ca="1">IF(OR(HG$169&lt;SwaptionFirstMonthPosition+1,$FN199&lt;SwaptionFirstMonthPosition+1,HG$169&gt;SwaptionFirstMonthPosition+SwaptionNumOfMonths+1,$FN199&gt;SwaptionFirstMonthPosition+SwaptionNumOfMonths+1),"",IF($FN199=HG$169,1,IF($FN199&lt;HG$169,INDEX($FO$170:$IH$241,HG$169,$FN199),SUMPRODUCT(INDEX($FO$325:$IH$396,HG$169,1+SwaptionShift):INDEX($FO$325:$IH$396,HG$169,SwaptionMonthsToGo+SwaptionShift),INDEX($FO$245:$IH$316,$FN199-HG$169,73-HG$169+SwaptionShift):INDEX($FO$245:$IH$316,$FN199-HG$169,72-HG$169+SwaptionMonthsToGo+SwaptionShift))/SQRT(SUM(INDEX($FO354:$IH354,1+SwaptionShift):INDEX($FO354:$IH354,SwaptionMonthsToGo+SwaptionShift))*SUM(INDEX($FO$325:$IH$396,HG$169,1+SwaptionShift):INDEX($FO$325:$IH$396,HG$169,SwaptionMonthsToGo+SwaptionShift))))))</f>
        <v/>
      </c>
      <c r="HH199" s="469" t="str">
        <f ca="1">IF(OR(HH$169&lt;SwaptionFirstMonthPosition+1,$FN199&lt;SwaptionFirstMonthPosition+1,HH$169&gt;SwaptionFirstMonthPosition+SwaptionNumOfMonths+1,$FN199&gt;SwaptionFirstMonthPosition+SwaptionNumOfMonths+1),"",IF($FN199=HH$169,1,IF($FN199&lt;HH$169,INDEX($FO$170:$IH$241,HH$169,$FN199),SUMPRODUCT(INDEX($FO$325:$IH$396,HH$169,1+SwaptionShift):INDEX($FO$325:$IH$396,HH$169,SwaptionMonthsToGo+SwaptionShift),INDEX($FO$245:$IH$316,$FN199-HH$169,73-HH$169+SwaptionShift):INDEX($FO$245:$IH$316,$FN199-HH$169,72-HH$169+SwaptionMonthsToGo+SwaptionShift))/SQRT(SUM(INDEX($FO354:$IH354,1+SwaptionShift):INDEX($FO354:$IH354,SwaptionMonthsToGo+SwaptionShift))*SUM(INDEX($FO$325:$IH$396,HH$169,1+SwaptionShift):INDEX($FO$325:$IH$396,HH$169,SwaptionMonthsToGo+SwaptionShift))))))</f>
        <v/>
      </c>
      <c r="HI199" s="469" t="str">
        <f ca="1">IF(OR(HI$169&lt;SwaptionFirstMonthPosition+1,$FN199&lt;SwaptionFirstMonthPosition+1,HI$169&gt;SwaptionFirstMonthPosition+SwaptionNumOfMonths+1,$FN199&gt;SwaptionFirstMonthPosition+SwaptionNumOfMonths+1),"",IF($FN199=HI$169,1,IF($FN199&lt;HI$169,INDEX($FO$170:$IH$241,HI$169,$FN199),SUMPRODUCT(INDEX($FO$325:$IH$396,HI$169,1+SwaptionShift):INDEX($FO$325:$IH$396,HI$169,SwaptionMonthsToGo+SwaptionShift),INDEX($FO$245:$IH$316,$FN199-HI$169,73-HI$169+SwaptionShift):INDEX($FO$245:$IH$316,$FN199-HI$169,72-HI$169+SwaptionMonthsToGo+SwaptionShift))/SQRT(SUM(INDEX($FO354:$IH354,1+SwaptionShift):INDEX($FO354:$IH354,SwaptionMonthsToGo+SwaptionShift))*SUM(INDEX($FO$325:$IH$396,HI$169,1+SwaptionShift):INDEX($FO$325:$IH$396,HI$169,SwaptionMonthsToGo+SwaptionShift))))))</f>
        <v/>
      </c>
      <c r="HJ199" s="469" t="str">
        <f ca="1">IF(OR(HJ$169&lt;SwaptionFirstMonthPosition+1,$FN199&lt;SwaptionFirstMonthPosition+1,HJ$169&gt;SwaptionFirstMonthPosition+SwaptionNumOfMonths+1,$FN199&gt;SwaptionFirstMonthPosition+SwaptionNumOfMonths+1),"",IF($FN199=HJ$169,1,IF($FN199&lt;HJ$169,INDEX($FO$170:$IH$241,HJ$169,$FN199),SUMPRODUCT(INDEX($FO$325:$IH$396,HJ$169,1+SwaptionShift):INDEX($FO$325:$IH$396,HJ$169,SwaptionMonthsToGo+SwaptionShift),INDEX($FO$245:$IH$316,$FN199-HJ$169,73-HJ$169+SwaptionShift):INDEX($FO$245:$IH$316,$FN199-HJ$169,72-HJ$169+SwaptionMonthsToGo+SwaptionShift))/SQRT(SUM(INDEX($FO354:$IH354,1+SwaptionShift):INDEX($FO354:$IH354,SwaptionMonthsToGo+SwaptionShift))*SUM(INDEX($FO$325:$IH$396,HJ$169,1+SwaptionShift):INDEX($FO$325:$IH$396,HJ$169,SwaptionMonthsToGo+SwaptionShift))))))</f>
        <v/>
      </c>
      <c r="HK199" s="469" t="str">
        <f ca="1">IF(OR(HK$169&lt;SwaptionFirstMonthPosition+1,$FN199&lt;SwaptionFirstMonthPosition+1,HK$169&gt;SwaptionFirstMonthPosition+SwaptionNumOfMonths+1,$FN199&gt;SwaptionFirstMonthPosition+SwaptionNumOfMonths+1),"",IF($FN199=HK$169,1,IF($FN199&lt;HK$169,INDEX($FO$170:$IH$241,HK$169,$FN199),SUMPRODUCT(INDEX($FO$325:$IH$396,HK$169,1+SwaptionShift):INDEX($FO$325:$IH$396,HK$169,SwaptionMonthsToGo+SwaptionShift),INDEX($FO$245:$IH$316,$FN199-HK$169,73-HK$169+SwaptionShift):INDEX($FO$245:$IH$316,$FN199-HK$169,72-HK$169+SwaptionMonthsToGo+SwaptionShift))/SQRT(SUM(INDEX($FO354:$IH354,1+SwaptionShift):INDEX($FO354:$IH354,SwaptionMonthsToGo+SwaptionShift))*SUM(INDEX($FO$325:$IH$396,HK$169,1+SwaptionShift):INDEX($FO$325:$IH$396,HK$169,SwaptionMonthsToGo+SwaptionShift))))))</f>
        <v/>
      </c>
      <c r="HL199" s="469" t="str">
        <f ca="1">IF(OR(HL$169&lt;SwaptionFirstMonthPosition+1,$FN199&lt;SwaptionFirstMonthPosition+1,HL$169&gt;SwaptionFirstMonthPosition+SwaptionNumOfMonths+1,$FN199&gt;SwaptionFirstMonthPosition+SwaptionNumOfMonths+1),"",IF($FN199=HL$169,1,IF($FN199&lt;HL$169,INDEX($FO$170:$IH$241,HL$169,$FN199),SUMPRODUCT(INDEX($FO$325:$IH$396,HL$169,1+SwaptionShift):INDEX($FO$325:$IH$396,HL$169,SwaptionMonthsToGo+SwaptionShift),INDEX($FO$245:$IH$316,$FN199-HL$169,73-HL$169+SwaptionShift):INDEX($FO$245:$IH$316,$FN199-HL$169,72-HL$169+SwaptionMonthsToGo+SwaptionShift))/SQRT(SUM(INDEX($FO354:$IH354,1+SwaptionShift):INDEX($FO354:$IH354,SwaptionMonthsToGo+SwaptionShift))*SUM(INDEX($FO$325:$IH$396,HL$169,1+SwaptionShift):INDEX($FO$325:$IH$396,HL$169,SwaptionMonthsToGo+SwaptionShift))))))</f>
        <v/>
      </c>
      <c r="HM199" s="469" t="str">
        <f ca="1">IF(OR(HM$169&lt;SwaptionFirstMonthPosition+1,$FN199&lt;SwaptionFirstMonthPosition+1,HM$169&gt;SwaptionFirstMonthPosition+SwaptionNumOfMonths+1,$FN199&gt;SwaptionFirstMonthPosition+SwaptionNumOfMonths+1),"",IF($FN199=HM$169,1,IF($FN199&lt;HM$169,INDEX($FO$170:$IH$241,HM$169,$FN199),SUMPRODUCT(INDEX($FO$325:$IH$396,HM$169,1+SwaptionShift):INDEX($FO$325:$IH$396,HM$169,SwaptionMonthsToGo+SwaptionShift),INDEX($FO$245:$IH$316,$FN199-HM$169,73-HM$169+SwaptionShift):INDEX($FO$245:$IH$316,$FN199-HM$169,72-HM$169+SwaptionMonthsToGo+SwaptionShift))/SQRT(SUM(INDEX($FO354:$IH354,1+SwaptionShift):INDEX($FO354:$IH354,SwaptionMonthsToGo+SwaptionShift))*SUM(INDEX($FO$325:$IH$396,HM$169,1+SwaptionShift):INDEX($FO$325:$IH$396,HM$169,SwaptionMonthsToGo+SwaptionShift))))))</f>
        <v/>
      </c>
      <c r="HN199" s="469" t="str">
        <f ca="1">IF(OR(HN$169&lt;SwaptionFirstMonthPosition+1,$FN199&lt;SwaptionFirstMonthPosition+1,HN$169&gt;SwaptionFirstMonthPosition+SwaptionNumOfMonths+1,$FN199&gt;SwaptionFirstMonthPosition+SwaptionNumOfMonths+1),"",IF($FN199=HN$169,1,IF($FN199&lt;HN$169,INDEX($FO$170:$IH$241,HN$169,$FN199),SUMPRODUCT(INDEX($FO$325:$IH$396,HN$169,1+SwaptionShift):INDEX($FO$325:$IH$396,HN$169,SwaptionMonthsToGo+SwaptionShift),INDEX($FO$245:$IH$316,$FN199-HN$169,73-HN$169+SwaptionShift):INDEX($FO$245:$IH$316,$FN199-HN$169,72-HN$169+SwaptionMonthsToGo+SwaptionShift))/SQRT(SUM(INDEX($FO354:$IH354,1+SwaptionShift):INDEX($FO354:$IH354,SwaptionMonthsToGo+SwaptionShift))*SUM(INDEX($FO$325:$IH$396,HN$169,1+SwaptionShift):INDEX($FO$325:$IH$396,HN$169,SwaptionMonthsToGo+SwaptionShift))))))</f>
        <v/>
      </c>
      <c r="HO199" s="469" t="str">
        <f ca="1">IF(OR(HO$169&lt;SwaptionFirstMonthPosition+1,$FN199&lt;SwaptionFirstMonthPosition+1,HO$169&gt;SwaptionFirstMonthPosition+SwaptionNumOfMonths+1,$FN199&gt;SwaptionFirstMonthPosition+SwaptionNumOfMonths+1),"",IF($FN199=HO$169,1,IF($FN199&lt;HO$169,INDEX($FO$170:$IH$241,HO$169,$FN199),SUMPRODUCT(INDEX($FO$325:$IH$396,HO$169,1+SwaptionShift):INDEX($FO$325:$IH$396,HO$169,SwaptionMonthsToGo+SwaptionShift),INDEX($FO$245:$IH$316,$FN199-HO$169,73-HO$169+SwaptionShift):INDEX($FO$245:$IH$316,$FN199-HO$169,72-HO$169+SwaptionMonthsToGo+SwaptionShift))/SQRT(SUM(INDEX($FO354:$IH354,1+SwaptionShift):INDEX($FO354:$IH354,SwaptionMonthsToGo+SwaptionShift))*SUM(INDEX($FO$325:$IH$396,HO$169,1+SwaptionShift):INDEX($FO$325:$IH$396,HO$169,SwaptionMonthsToGo+SwaptionShift))))))</f>
        <v/>
      </c>
      <c r="HP199" s="469" t="str">
        <f ca="1">IF(OR(HP$169&lt;SwaptionFirstMonthPosition+1,$FN199&lt;SwaptionFirstMonthPosition+1,HP$169&gt;SwaptionFirstMonthPosition+SwaptionNumOfMonths+1,$FN199&gt;SwaptionFirstMonthPosition+SwaptionNumOfMonths+1),"",IF($FN199=HP$169,1,IF($FN199&lt;HP$169,INDEX($FO$170:$IH$241,HP$169,$FN199),SUMPRODUCT(INDEX($FO$325:$IH$396,HP$169,1+SwaptionShift):INDEX($FO$325:$IH$396,HP$169,SwaptionMonthsToGo+SwaptionShift),INDEX($FO$245:$IH$316,$FN199-HP$169,73-HP$169+SwaptionShift):INDEX($FO$245:$IH$316,$FN199-HP$169,72-HP$169+SwaptionMonthsToGo+SwaptionShift))/SQRT(SUM(INDEX($FO354:$IH354,1+SwaptionShift):INDEX($FO354:$IH354,SwaptionMonthsToGo+SwaptionShift))*SUM(INDEX($FO$325:$IH$396,HP$169,1+SwaptionShift):INDEX($FO$325:$IH$396,HP$169,SwaptionMonthsToGo+SwaptionShift))))))</f>
        <v/>
      </c>
      <c r="HQ199" s="469" t="str">
        <f ca="1">IF(OR(HQ$169&lt;SwaptionFirstMonthPosition+1,$FN199&lt;SwaptionFirstMonthPosition+1,HQ$169&gt;SwaptionFirstMonthPosition+SwaptionNumOfMonths+1,$FN199&gt;SwaptionFirstMonthPosition+SwaptionNumOfMonths+1),"",IF($FN199=HQ$169,1,IF($FN199&lt;HQ$169,INDEX($FO$170:$IH$241,HQ$169,$FN199),SUMPRODUCT(INDEX($FO$325:$IH$396,HQ$169,1+SwaptionShift):INDEX($FO$325:$IH$396,HQ$169,SwaptionMonthsToGo+SwaptionShift),INDEX($FO$245:$IH$316,$FN199-HQ$169,73-HQ$169+SwaptionShift):INDEX($FO$245:$IH$316,$FN199-HQ$169,72-HQ$169+SwaptionMonthsToGo+SwaptionShift))/SQRT(SUM(INDEX($FO354:$IH354,1+SwaptionShift):INDEX($FO354:$IH354,SwaptionMonthsToGo+SwaptionShift))*SUM(INDEX($FO$325:$IH$396,HQ$169,1+SwaptionShift):INDEX($FO$325:$IH$396,HQ$169,SwaptionMonthsToGo+SwaptionShift))))))</f>
        <v/>
      </c>
      <c r="HR199" s="469" t="str">
        <f ca="1">IF(OR(HR$169&lt;SwaptionFirstMonthPosition+1,$FN199&lt;SwaptionFirstMonthPosition+1,HR$169&gt;SwaptionFirstMonthPosition+SwaptionNumOfMonths+1,$FN199&gt;SwaptionFirstMonthPosition+SwaptionNumOfMonths+1),"",IF($FN199=HR$169,1,IF($FN199&lt;HR$169,INDEX($FO$170:$IH$241,HR$169,$FN199),SUMPRODUCT(INDEX($FO$325:$IH$396,HR$169,1+SwaptionShift):INDEX($FO$325:$IH$396,HR$169,SwaptionMonthsToGo+SwaptionShift),INDEX($FO$245:$IH$316,$FN199-HR$169,73-HR$169+SwaptionShift):INDEX($FO$245:$IH$316,$FN199-HR$169,72-HR$169+SwaptionMonthsToGo+SwaptionShift))/SQRT(SUM(INDEX($FO354:$IH354,1+SwaptionShift):INDEX($FO354:$IH354,SwaptionMonthsToGo+SwaptionShift))*SUM(INDEX($FO$325:$IH$396,HR$169,1+SwaptionShift):INDEX($FO$325:$IH$396,HR$169,SwaptionMonthsToGo+SwaptionShift))))))</f>
        <v/>
      </c>
      <c r="HS199" s="469" t="str">
        <f ca="1">IF(OR(HS$169&lt;SwaptionFirstMonthPosition+1,$FN199&lt;SwaptionFirstMonthPosition+1,HS$169&gt;SwaptionFirstMonthPosition+SwaptionNumOfMonths+1,$FN199&gt;SwaptionFirstMonthPosition+SwaptionNumOfMonths+1),"",IF($FN199=HS$169,1,IF($FN199&lt;HS$169,INDEX($FO$170:$IH$241,HS$169,$FN199),SUMPRODUCT(INDEX($FO$325:$IH$396,HS$169,1+SwaptionShift):INDEX($FO$325:$IH$396,HS$169,SwaptionMonthsToGo+SwaptionShift),INDEX($FO$245:$IH$316,$FN199-HS$169,73-HS$169+SwaptionShift):INDEX($FO$245:$IH$316,$FN199-HS$169,72-HS$169+SwaptionMonthsToGo+SwaptionShift))/SQRT(SUM(INDEX($FO354:$IH354,1+SwaptionShift):INDEX($FO354:$IH354,SwaptionMonthsToGo+SwaptionShift))*SUM(INDEX($FO$325:$IH$396,HS$169,1+SwaptionShift):INDEX($FO$325:$IH$396,HS$169,SwaptionMonthsToGo+SwaptionShift))))))</f>
        <v/>
      </c>
      <c r="HT199" s="469" t="str">
        <f ca="1">IF(OR(HT$169&lt;SwaptionFirstMonthPosition+1,$FN199&lt;SwaptionFirstMonthPosition+1,HT$169&gt;SwaptionFirstMonthPosition+SwaptionNumOfMonths+1,$FN199&gt;SwaptionFirstMonthPosition+SwaptionNumOfMonths+1),"",IF($FN199=HT$169,1,IF($FN199&lt;HT$169,INDEX($FO$170:$IH$241,HT$169,$FN199),SUMPRODUCT(INDEX($FO$325:$IH$396,HT$169,1+SwaptionShift):INDEX($FO$325:$IH$396,HT$169,SwaptionMonthsToGo+SwaptionShift),INDEX($FO$245:$IH$316,$FN199-HT$169,73-HT$169+SwaptionShift):INDEX($FO$245:$IH$316,$FN199-HT$169,72-HT$169+SwaptionMonthsToGo+SwaptionShift))/SQRT(SUM(INDEX($FO354:$IH354,1+SwaptionShift):INDEX($FO354:$IH354,SwaptionMonthsToGo+SwaptionShift))*SUM(INDEX($FO$325:$IH$396,HT$169,1+SwaptionShift):INDEX($FO$325:$IH$396,HT$169,SwaptionMonthsToGo+SwaptionShift))))))</f>
        <v/>
      </c>
      <c r="HU199" s="469" t="str">
        <f ca="1">IF(OR(HU$169&lt;SwaptionFirstMonthPosition+1,$FN199&lt;SwaptionFirstMonthPosition+1,HU$169&gt;SwaptionFirstMonthPosition+SwaptionNumOfMonths+1,$FN199&gt;SwaptionFirstMonthPosition+SwaptionNumOfMonths+1),"",IF($FN199=HU$169,1,IF($FN199&lt;HU$169,INDEX($FO$170:$IH$241,HU$169,$FN199),SUMPRODUCT(INDEX($FO$325:$IH$396,HU$169,1+SwaptionShift):INDEX($FO$325:$IH$396,HU$169,SwaptionMonthsToGo+SwaptionShift),INDEX($FO$245:$IH$316,$FN199-HU$169,73-HU$169+SwaptionShift):INDEX($FO$245:$IH$316,$FN199-HU$169,72-HU$169+SwaptionMonthsToGo+SwaptionShift))/SQRT(SUM(INDEX($FO354:$IH354,1+SwaptionShift):INDEX($FO354:$IH354,SwaptionMonthsToGo+SwaptionShift))*SUM(INDEX($FO$325:$IH$396,HU$169,1+SwaptionShift):INDEX($FO$325:$IH$396,HU$169,SwaptionMonthsToGo+SwaptionShift))))))</f>
        <v/>
      </c>
      <c r="HV199" s="469" t="str">
        <f ca="1">IF(OR(HV$169&lt;SwaptionFirstMonthPosition+1,$FN199&lt;SwaptionFirstMonthPosition+1,HV$169&gt;SwaptionFirstMonthPosition+SwaptionNumOfMonths+1,$FN199&gt;SwaptionFirstMonthPosition+SwaptionNumOfMonths+1),"",IF($FN199=HV$169,1,IF($FN199&lt;HV$169,INDEX($FO$170:$IH$241,HV$169,$FN199),SUMPRODUCT(INDEX($FO$325:$IH$396,HV$169,1+SwaptionShift):INDEX($FO$325:$IH$396,HV$169,SwaptionMonthsToGo+SwaptionShift),INDEX($FO$245:$IH$316,$FN199-HV$169,73-HV$169+SwaptionShift):INDEX($FO$245:$IH$316,$FN199-HV$169,72-HV$169+SwaptionMonthsToGo+SwaptionShift))/SQRT(SUM(INDEX($FO354:$IH354,1+SwaptionShift):INDEX($FO354:$IH354,SwaptionMonthsToGo+SwaptionShift))*SUM(INDEX($FO$325:$IH$396,HV$169,1+SwaptionShift):INDEX($FO$325:$IH$396,HV$169,SwaptionMonthsToGo+SwaptionShift))))))</f>
        <v/>
      </c>
      <c r="HW199" s="469" t="str">
        <f ca="1">IF(OR(HW$169&lt;SwaptionFirstMonthPosition+1,$FN199&lt;SwaptionFirstMonthPosition+1,HW$169&gt;SwaptionFirstMonthPosition+SwaptionNumOfMonths+1,$FN199&gt;SwaptionFirstMonthPosition+SwaptionNumOfMonths+1),"",IF($FN199=HW$169,1,IF($FN199&lt;HW$169,INDEX($FO$170:$IH$241,HW$169,$FN199),SUMPRODUCT(INDEX($FO$325:$IH$396,HW$169,1+SwaptionShift):INDEX($FO$325:$IH$396,HW$169,SwaptionMonthsToGo+SwaptionShift),INDEX($FO$245:$IH$316,$FN199-HW$169,73-HW$169+SwaptionShift):INDEX($FO$245:$IH$316,$FN199-HW$169,72-HW$169+SwaptionMonthsToGo+SwaptionShift))/SQRT(SUM(INDEX($FO354:$IH354,1+SwaptionShift):INDEX($FO354:$IH354,SwaptionMonthsToGo+SwaptionShift))*SUM(INDEX($FO$325:$IH$396,HW$169,1+SwaptionShift):INDEX($FO$325:$IH$396,HW$169,SwaptionMonthsToGo+SwaptionShift))))))</f>
        <v/>
      </c>
      <c r="HX199" s="469" t="str">
        <f ca="1">IF(OR(HX$169&lt;SwaptionFirstMonthPosition+1,$FN199&lt;SwaptionFirstMonthPosition+1,HX$169&gt;SwaptionFirstMonthPosition+SwaptionNumOfMonths+1,$FN199&gt;SwaptionFirstMonthPosition+SwaptionNumOfMonths+1),"",IF($FN199=HX$169,1,IF($FN199&lt;HX$169,INDEX($FO$170:$IH$241,HX$169,$FN199),SUMPRODUCT(INDEX($FO$325:$IH$396,HX$169,1+SwaptionShift):INDEX($FO$325:$IH$396,HX$169,SwaptionMonthsToGo+SwaptionShift),INDEX($FO$245:$IH$316,$FN199-HX$169,73-HX$169+SwaptionShift):INDEX($FO$245:$IH$316,$FN199-HX$169,72-HX$169+SwaptionMonthsToGo+SwaptionShift))/SQRT(SUM(INDEX($FO354:$IH354,1+SwaptionShift):INDEX($FO354:$IH354,SwaptionMonthsToGo+SwaptionShift))*SUM(INDEX($FO$325:$IH$396,HX$169,1+SwaptionShift):INDEX($FO$325:$IH$396,HX$169,SwaptionMonthsToGo+SwaptionShift))))))</f>
        <v/>
      </c>
      <c r="HY199" s="469" t="str">
        <f ca="1">IF(OR(HY$169&lt;SwaptionFirstMonthPosition+1,$FN199&lt;SwaptionFirstMonthPosition+1,HY$169&gt;SwaptionFirstMonthPosition+SwaptionNumOfMonths+1,$FN199&gt;SwaptionFirstMonthPosition+SwaptionNumOfMonths+1),"",IF($FN199=HY$169,1,IF($FN199&lt;HY$169,INDEX($FO$170:$IH$241,HY$169,$FN199),SUMPRODUCT(INDEX($FO$325:$IH$396,HY$169,1+SwaptionShift):INDEX($FO$325:$IH$396,HY$169,SwaptionMonthsToGo+SwaptionShift),INDEX($FO$245:$IH$316,$FN199-HY$169,73-HY$169+SwaptionShift):INDEX($FO$245:$IH$316,$FN199-HY$169,72-HY$169+SwaptionMonthsToGo+SwaptionShift))/SQRT(SUM(INDEX($FO354:$IH354,1+SwaptionShift):INDEX($FO354:$IH354,SwaptionMonthsToGo+SwaptionShift))*SUM(INDEX($FO$325:$IH$396,HY$169,1+SwaptionShift):INDEX($FO$325:$IH$396,HY$169,SwaptionMonthsToGo+SwaptionShift))))))</f>
        <v/>
      </c>
      <c r="HZ199" s="469" t="str">
        <f ca="1">IF(OR(HZ$169&lt;SwaptionFirstMonthPosition+1,$FN199&lt;SwaptionFirstMonthPosition+1,HZ$169&gt;SwaptionFirstMonthPosition+SwaptionNumOfMonths+1,$FN199&gt;SwaptionFirstMonthPosition+SwaptionNumOfMonths+1),"",IF($FN199=HZ$169,1,IF($FN199&lt;HZ$169,INDEX($FO$170:$IH$241,HZ$169,$FN199),SUMPRODUCT(INDEX($FO$325:$IH$396,HZ$169,1+SwaptionShift):INDEX($FO$325:$IH$396,HZ$169,SwaptionMonthsToGo+SwaptionShift),INDEX($FO$245:$IH$316,$FN199-HZ$169,73-HZ$169+SwaptionShift):INDEX($FO$245:$IH$316,$FN199-HZ$169,72-HZ$169+SwaptionMonthsToGo+SwaptionShift))/SQRT(SUM(INDEX($FO354:$IH354,1+SwaptionShift):INDEX($FO354:$IH354,SwaptionMonthsToGo+SwaptionShift))*SUM(INDEX($FO$325:$IH$396,HZ$169,1+SwaptionShift):INDEX($FO$325:$IH$396,HZ$169,SwaptionMonthsToGo+SwaptionShift))))))</f>
        <v/>
      </c>
      <c r="IA199" s="469" t="str">
        <f ca="1">IF(OR(IA$169&lt;SwaptionFirstMonthPosition+1,$FN199&lt;SwaptionFirstMonthPosition+1,IA$169&gt;SwaptionFirstMonthPosition+SwaptionNumOfMonths+1,$FN199&gt;SwaptionFirstMonthPosition+SwaptionNumOfMonths+1),"",IF($FN199=IA$169,1,IF($FN199&lt;IA$169,INDEX($FO$170:$IH$241,IA$169,$FN199),SUMPRODUCT(INDEX($FO$325:$IH$396,IA$169,1+SwaptionShift):INDEX($FO$325:$IH$396,IA$169,SwaptionMonthsToGo+SwaptionShift),INDEX($FO$245:$IH$316,$FN199-IA$169,73-IA$169+SwaptionShift):INDEX($FO$245:$IH$316,$FN199-IA$169,72-IA$169+SwaptionMonthsToGo+SwaptionShift))/SQRT(SUM(INDEX($FO354:$IH354,1+SwaptionShift):INDEX($FO354:$IH354,SwaptionMonthsToGo+SwaptionShift))*SUM(INDEX($FO$325:$IH$396,IA$169,1+SwaptionShift):INDEX($FO$325:$IH$396,IA$169,SwaptionMonthsToGo+SwaptionShift))))))</f>
        <v/>
      </c>
      <c r="IB199" s="469" t="str">
        <f ca="1">IF(OR(IB$169&lt;SwaptionFirstMonthPosition+1,$FN199&lt;SwaptionFirstMonthPosition+1,IB$169&gt;SwaptionFirstMonthPosition+SwaptionNumOfMonths+1,$FN199&gt;SwaptionFirstMonthPosition+SwaptionNumOfMonths+1),"",IF($FN199=IB$169,1,IF($FN199&lt;IB$169,INDEX($FO$170:$IH$241,IB$169,$FN199),SUMPRODUCT(INDEX($FO$325:$IH$396,IB$169,1+SwaptionShift):INDEX($FO$325:$IH$396,IB$169,SwaptionMonthsToGo+SwaptionShift),INDEX($FO$245:$IH$316,$FN199-IB$169,73-IB$169+SwaptionShift):INDEX($FO$245:$IH$316,$FN199-IB$169,72-IB$169+SwaptionMonthsToGo+SwaptionShift))/SQRT(SUM(INDEX($FO354:$IH354,1+SwaptionShift):INDEX($FO354:$IH354,SwaptionMonthsToGo+SwaptionShift))*SUM(INDEX($FO$325:$IH$396,IB$169,1+SwaptionShift):INDEX($FO$325:$IH$396,IB$169,SwaptionMonthsToGo+SwaptionShift))))))</f>
        <v/>
      </c>
      <c r="IC199" s="469" t="str">
        <f ca="1">IF(OR(IC$169&lt;SwaptionFirstMonthPosition+1,$FN199&lt;SwaptionFirstMonthPosition+1,IC$169&gt;SwaptionFirstMonthPosition+SwaptionNumOfMonths+1,$FN199&gt;SwaptionFirstMonthPosition+SwaptionNumOfMonths+1),"",IF($FN199=IC$169,1,IF($FN199&lt;IC$169,INDEX($FO$170:$IH$241,IC$169,$FN199),SUMPRODUCT(INDEX($FO$325:$IH$396,IC$169,1+SwaptionShift):INDEX($FO$325:$IH$396,IC$169,SwaptionMonthsToGo+SwaptionShift),INDEX($FO$245:$IH$316,$FN199-IC$169,73-IC$169+SwaptionShift):INDEX($FO$245:$IH$316,$FN199-IC$169,72-IC$169+SwaptionMonthsToGo+SwaptionShift))/SQRT(SUM(INDEX($FO354:$IH354,1+SwaptionShift):INDEX($FO354:$IH354,SwaptionMonthsToGo+SwaptionShift))*SUM(INDEX($FO$325:$IH$396,IC$169,1+SwaptionShift):INDEX($FO$325:$IH$396,IC$169,SwaptionMonthsToGo+SwaptionShift))))))</f>
        <v/>
      </c>
      <c r="ID199" s="469" t="str">
        <f ca="1">IF(OR(ID$169&lt;SwaptionFirstMonthPosition+1,$FN199&lt;SwaptionFirstMonthPosition+1,ID$169&gt;SwaptionFirstMonthPosition+SwaptionNumOfMonths+1,$FN199&gt;SwaptionFirstMonthPosition+SwaptionNumOfMonths+1),"",IF($FN199=ID$169,1,IF($FN199&lt;ID$169,INDEX($FO$170:$IH$241,ID$169,$FN199),SUMPRODUCT(INDEX($FO$325:$IH$396,ID$169,1+SwaptionShift):INDEX($FO$325:$IH$396,ID$169,SwaptionMonthsToGo+SwaptionShift),INDEX($FO$245:$IH$316,$FN199-ID$169,73-ID$169+SwaptionShift):INDEX($FO$245:$IH$316,$FN199-ID$169,72-ID$169+SwaptionMonthsToGo+SwaptionShift))/SQRT(SUM(INDEX($FO354:$IH354,1+SwaptionShift):INDEX($FO354:$IH354,SwaptionMonthsToGo+SwaptionShift))*SUM(INDEX($FO$325:$IH$396,ID$169,1+SwaptionShift):INDEX($FO$325:$IH$396,ID$169,SwaptionMonthsToGo+SwaptionShift))))))</f>
        <v/>
      </c>
      <c r="IE199" s="469" t="str">
        <f ca="1">IF(OR(IE$169&lt;SwaptionFirstMonthPosition+1,$FN199&lt;SwaptionFirstMonthPosition+1,IE$169&gt;SwaptionFirstMonthPosition+SwaptionNumOfMonths+1,$FN199&gt;SwaptionFirstMonthPosition+SwaptionNumOfMonths+1),"",IF($FN199=IE$169,1,IF($FN199&lt;IE$169,INDEX($FO$170:$IH$241,IE$169,$FN199),SUMPRODUCT(INDEX($FO$325:$IH$396,IE$169,1+SwaptionShift):INDEX($FO$325:$IH$396,IE$169,SwaptionMonthsToGo+SwaptionShift),INDEX($FO$245:$IH$316,$FN199-IE$169,73-IE$169+SwaptionShift):INDEX($FO$245:$IH$316,$FN199-IE$169,72-IE$169+SwaptionMonthsToGo+SwaptionShift))/SQRT(SUM(INDEX($FO354:$IH354,1+SwaptionShift):INDEX($FO354:$IH354,SwaptionMonthsToGo+SwaptionShift))*SUM(INDEX($FO$325:$IH$396,IE$169,1+SwaptionShift):INDEX($FO$325:$IH$396,IE$169,SwaptionMonthsToGo+SwaptionShift))))))</f>
        <v/>
      </c>
      <c r="IF199" s="469" t="str">
        <f ca="1">IF(OR(IF$169&lt;SwaptionFirstMonthPosition+1,$FN199&lt;SwaptionFirstMonthPosition+1,IF$169&gt;SwaptionFirstMonthPosition+SwaptionNumOfMonths+1,$FN199&gt;SwaptionFirstMonthPosition+SwaptionNumOfMonths+1),"",IF($FN199=IF$169,1,IF($FN199&lt;IF$169,INDEX($FO$170:$IH$241,IF$169,$FN199),SUMPRODUCT(INDEX($FO$325:$IH$396,IF$169,1+SwaptionShift):INDEX($FO$325:$IH$396,IF$169,SwaptionMonthsToGo+SwaptionShift),INDEX($FO$245:$IH$316,$FN199-IF$169,73-IF$169+SwaptionShift):INDEX($FO$245:$IH$316,$FN199-IF$169,72-IF$169+SwaptionMonthsToGo+SwaptionShift))/SQRT(SUM(INDEX($FO354:$IH354,1+SwaptionShift):INDEX($FO354:$IH354,SwaptionMonthsToGo+SwaptionShift))*SUM(INDEX($FO$325:$IH$396,IF$169,1+SwaptionShift):INDEX($FO$325:$IH$396,IF$169,SwaptionMonthsToGo+SwaptionShift))))))</f>
        <v/>
      </c>
      <c r="IG199" s="469" t="str">
        <f ca="1">IF(OR(IG$169&lt;SwaptionFirstMonthPosition+1,$FN199&lt;SwaptionFirstMonthPosition+1,IG$169&gt;SwaptionFirstMonthPosition+SwaptionNumOfMonths+1,$FN199&gt;SwaptionFirstMonthPosition+SwaptionNumOfMonths+1),"",IF($FN199=IG$169,1,IF($FN199&lt;IG$169,INDEX($FO$170:$IH$241,IG$169,$FN199),SUMPRODUCT(INDEX($FO$325:$IH$396,IG$169,1+SwaptionShift):INDEX($FO$325:$IH$396,IG$169,SwaptionMonthsToGo+SwaptionShift),INDEX($FO$245:$IH$316,$FN199-IG$169,73-IG$169+SwaptionShift):INDEX($FO$245:$IH$316,$FN199-IG$169,72-IG$169+SwaptionMonthsToGo+SwaptionShift))/SQRT(SUM(INDEX($FO354:$IH354,1+SwaptionShift):INDEX($FO354:$IH354,SwaptionMonthsToGo+SwaptionShift))*SUM(INDEX($FO$325:$IH$396,IG$169,1+SwaptionShift):INDEX($FO$325:$IH$396,IG$169,SwaptionMonthsToGo+SwaptionShift))))))</f>
        <v/>
      </c>
      <c r="IH199" s="662" t="str">
        <f ca="1">IF(OR(IH$169&lt;SwaptionFirstMonthPosition+1,$FN199&lt;SwaptionFirstMonthPosition+1,IH$169&gt;SwaptionFirstMonthPosition+SwaptionNumOfMonths+1,$FN199&gt;SwaptionFirstMonthPosition+SwaptionNumOfMonths+1),"",IF($FN199=IH$169,1,IF($FN199&lt;IH$169,INDEX($FO$170:$IH$241,IH$169,$FN199),SUMPRODUCT(INDEX($FO$325:$IH$396,IH$169,1+SwaptionShift):INDEX($FO$325:$IH$396,IH$169,SwaptionMonthsToGo+SwaptionShift),INDEX($FO$245:$IH$316,$FN199-IH$169,73-IH$169+SwaptionShift):INDEX($FO$245:$IH$316,$FN199-IH$169,72-IH$169+SwaptionMonthsToGo+SwaptionShift))/SQRT(SUM(INDEX($FO354:$IH354,1+SwaptionShift):INDEX($FO354:$IH354,SwaptionMonthsToGo+SwaptionShift))*SUM(INDEX($FO$325:$IH$396,IH$169,1+SwaptionShift):INDEX($FO$325:$IH$396,IH$169,SwaptionMonthsToGo+SwaptionShift))))))</f>
        <v/>
      </c>
      <c r="II199" s="242"/>
    </row>
    <row r="200" spans="8:243">
      <c r="H200" s="49" t="e">
        <f t="shared" ca="1" si="529"/>
        <v>#N/A</v>
      </c>
      <c r="I200" s="369">
        <f t="shared" si="530"/>
        <v>42491</v>
      </c>
      <c r="J200" s="367">
        <v>23.884999999999902</v>
      </c>
      <c r="K200" s="101" t="s">
        <v>267</v>
      </c>
      <c r="L200" s="382">
        <f t="shared" si="531"/>
        <v>23.884999999999874</v>
      </c>
      <c r="M200" s="163">
        <v>0.1391</v>
      </c>
      <c r="N200" s="372">
        <v>0</v>
      </c>
      <c r="O200" s="163">
        <f t="shared" si="595"/>
        <v>0.1391</v>
      </c>
      <c r="P200" s="367">
        <v>22.6766951031179</v>
      </c>
      <c r="Q200" s="101" t="s">
        <v>267</v>
      </c>
      <c r="R200" s="367">
        <f t="shared" ca="1" si="596"/>
        <v>22.676695103117865</v>
      </c>
      <c r="S200" s="814">
        <f t="shared" si="594"/>
        <v>0.34827312978323699</v>
      </c>
      <c r="T200" s="813">
        <f t="shared" si="550"/>
        <v>0.99999999954701113</v>
      </c>
      <c r="U200" s="532">
        <f t="shared" si="551"/>
        <v>0.99999999999999978</v>
      </c>
      <c r="V200" s="379">
        <v>0</v>
      </c>
      <c r="W200" s="424">
        <f t="shared" si="597"/>
        <v>23.917954545454446</v>
      </c>
      <c r="X200" s="405">
        <f t="shared" si="598"/>
        <v>23.917954545454418</v>
      </c>
      <c r="Y200" s="313">
        <f t="shared" si="599"/>
        <v>22.573954545454445</v>
      </c>
      <c r="Z200" s="313">
        <f t="shared" ca="1" si="600"/>
        <v>22.573954545454416</v>
      </c>
      <c r="AA200" s="419">
        <f t="shared" si="493"/>
        <v>1.3440000000000001</v>
      </c>
      <c r="AB200" s="423">
        <f t="shared" ca="1" si="494"/>
        <v>1.3440000000000001</v>
      </c>
      <c r="AC200" s="221">
        <v>42480</v>
      </c>
      <c r="AD200" s="221">
        <v>42476</v>
      </c>
      <c r="AE200" s="221">
        <v>42475</v>
      </c>
      <c r="AF200" s="221">
        <v>42471</v>
      </c>
      <c r="AG200" s="241" t="s">
        <v>497</v>
      </c>
      <c r="AH200" s="239" t="s">
        <v>497</v>
      </c>
      <c r="AI200" s="141">
        <v>22</v>
      </c>
      <c r="AJ200" s="41">
        <v>15</v>
      </c>
      <c r="AK200" s="41">
        <v>7</v>
      </c>
      <c r="AL200" s="285">
        <v>22</v>
      </c>
      <c r="AM200" s="41">
        <v>10</v>
      </c>
      <c r="AN200" s="142">
        <v>12</v>
      </c>
      <c r="AO200" s="364">
        <v>6.1991454141360404E-2</v>
      </c>
      <c r="AP200" s="145">
        <f t="shared" ca="1" si="532"/>
        <v>0.39673560515592343</v>
      </c>
      <c r="AQ200" s="364">
        <v>5.6363833754052205E-2</v>
      </c>
      <c r="AR200" s="145">
        <f t="shared" ca="1" si="552"/>
        <v>0.43393231461573578</v>
      </c>
      <c r="AS200" s="264">
        <f t="shared" si="601"/>
        <v>0.13857272727272729</v>
      </c>
      <c r="AT200" s="149">
        <f t="shared" si="533"/>
        <v>0.1391</v>
      </c>
      <c r="AU200" s="149">
        <f t="shared" si="496"/>
        <v>0.13848181818181821</v>
      </c>
      <c r="AV200" s="263">
        <f t="shared" ca="1" si="560"/>
        <v>0.13700171093501057</v>
      </c>
      <c r="AW200" s="150" t="str">
        <f t="shared" ca="1" si="581"/>
        <v/>
      </c>
      <c r="AX200" s="149">
        <f t="shared" ca="1" si="553"/>
        <v>5.1211227028908511E-3</v>
      </c>
      <c r="AY200" s="149">
        <f t="shared" ca="1" si="554"/>
        <v>1.7168227595232223E-3</v>
      </c>
      <c r="AZ200" s="149">
        <f t="shared" ca="1" si="555"/>
        <v>1.8166406853036864E-3</v>
      </c>
      <c r="BA200" s="149">
        <f t="shared" ca="1" si="556"/>
        <v>1.0000000000000913E-4</v>
      </c>
      <c r="BB200" s="149">
        <f t="shared" ca="1" si="557"/>
        <v>1.0000000000000913E-4</v>
      </c>
      <c r="BC200" s="149">
        <f t="shared" ca="1" si="558"/>
        <v>1.0000000000000913E-4</v>
      </c>
      <c r="BD200" s="143">
        <f t="shared" ca="1" si="602"/>
        <v>0</v>
      </c>
      <c r="BE200" s="144">
        <f t="shared" ca="1" si="603"/>
        <v>0</v>
      </c>
      <c r="BF200" s="40">
        <f t="shared" si="604"/>
        <v>2016</v>
      </c>
      <c r="BG200" s="139">
        <f t="shared" si="605"/>
        <v>5</v>
      </c>
      <c r="BH200" s="140">
        <f t="shared" ca="1" si="606"/>
        <v>5486</v>
      </c>
      <c r="BI200" s="304">
        <f t="shared" ca="1" si="607"/>
        <v>15.060917180013689</v>
      </c>
      <c r="BJ200" s="42">
        <f t="shared" ca="1" si="503"/>
        <v>15.116918673386847</v>
      </c>
      <c r="BK200" s="42">
        <f t="shared" ca="1" si="504"/>
        <v>15.11965652417398</v>
      </c>
      <c r="BL200" s="42">
        <f t="shared" ca="1" si="608"/>
        <v>15.143052703627653</v>
      </c>
      <c r="BM200" s="285">
        <f t="shared" si="609"/>
        <v>22</v>
      </c>
      <c r="BN200" s="41">
        <f t="shared" si="610"/>
        <v>15</v>
      </c>
      <c r="BO200" s="41">
        <f t="shared" si="611"/>
        <v>7</v>
      </c>
      <c r="BP200" s="297" t="str">
        <f t="shared" ca="1" si="505"/>
        <v/>
      </c>
      <c r="BQ200" s="297" t="str">
        <f t="shared" ca="1" si="506"/>
        <v/>
      </c>
      <c r="BR200" s="299" t="str">
        <f t="shared" ca="1" si="507"/>
        <v/>
      </c>
      <c r="BS200" s="153" t="str">
        <f t="shared" ca="1" si="508"/>
        <v/>
      </c>
      <c r="BT200" s="153" t="str">
        <f t="shared" ca="1" si="509"/>
        <v/>
      </c>
      <c r="BU200" s="300" t="str">
        <f t="shared" ca="1" si="510"/>
        <v/>
      </c>
      <c r="BV200" s="301" t="str">
        <f t="shared" ca="1" si="511"/>
        <v/>
      </c>
      <c r="BW200" s="300" t="str">
        <f t="shared" ca="1" si="512"/>
        <v/>
      </c>
      <c r="BX200" s="301" t="str">
        <f t="shared" ca="1" si="513"/>
        <v/>
      </c>
      <c r="BY200" s="146" t="str">
        <f t="shared" ca="1" si="514"/>
        <v/>
      </c>
      <c r="BZ200" s="146" t="str">
        <f t="shared" ca="1" si="515"/>
        <v/>
      </c>
      <c r="CA200" s="146" t="str">
        <f t="shared" ca="1" si="516"/>
        <v/>
      </c>
      <c r="CB200" s="146" t="str">
        <f t="shared" ca="1" si="517"/>
        <v/>
      </c>
      <c r="CC200" s="302">
        <v>1</v>
      </c>
      <c r="CD200" s="154">
        <f ca="1">IF(BD200,_xll.xCrudeAPO(BS200,BT200,BY200,BZ200,S201,S202,BI200,BL200,BN200,BO200,0,Strike1,AO200,CC200,0,BL200,IF(OptControl=4,0,1),0,1),0)</f>
        <v>0</v>
      </c>
      <c r="CE200" s="155">
        <f ca="1">IF(BD200,_xll.xCrudeAPO(BS200,BT200,BY200,BZ200,S201,S202,BI200,BL200,BN200,BO200,0,Strike1,AO200,CC200,0,BL200,IF(OptControl=4,0,1),1,1)+_xll.xCrudeAPO(BS200,BT200,BY200,BZ200,S201,S202,BI200,BL200,BN200,BO200,0,Strike1,AO200,CC200,0,BL200,IF(OptControl=4,0,1),1,2)+IF(OR(VolSkewFlag=2,ABS(BQ200)&lt;0.0001),0,IF(BQ200&gt;0,-1,1)*CF200*Strike1/BP200^2*BW200/10%),0)</f>
        <v>0</v>
      </c>
      <c r="CF200" s="155">
        <f ca="1">IF(BD200,(_xll.xCrudeAPO(BS200,BT200,BY200,BZ200,S201,S202,BI200,BL200,BN200,BO200,0,Strike1,AO200,CC200,0,BL200,IF(OptControl=4,0,1),3,1)+_xll.xCrudeAPO(BS200,BT200,BY200,BZ200,S201,S202,BI200,BL200,BN200,BO200,0,Strike1,AO200,CC200,0,BL200,IF(OptControl=4,0,1),3,2))/100,0)</f>
        <v>0</v>
      </c>
      <c r="CG200" s="155">
        <f ca="1">IF(BD200,_xll.xCrudeAPO(BS200,BT200,BY200,BZ200,S201,S202,BI200-DaysForThetaCalculation/365.25,BL200-DaysForThetaCalculation/365.25,BN200,BO200,0,Strike1,AO200,CC200,0,BL200,IF(OptControl=4,0,1),0,1)-_xll.xCrudeAPO(BS200,BT200,BY200,BZ200,S201,S202,BI200,BL200,BN200,BO200,0,Strike1,AO200,CC200,0,BL200,IF(OptControl=4,0,1),0,1),0)</f>
        <v>0</v>
      </c>
      <c r="CH200" s="303">
        <f ca="1">IF(BD200,_xll.xCrudeAPO(BS200,BT200,CA200,CB200,S201,S202,BI200,BL200,BN200,BO200,0,Strike2,AO200,CC200,0,BL200,IF(OptControl=3,1,0),0,1),0)</f>
        <v>0</v>
      </c>
      <c r="CI200" s="155">
        <f ca="1">IF(BD200,_xll.xCrudeAPO(BS200,BT200,CA200,CB200,S201,S202,BI200,BL200,BN200,BO200,0,Strike2,AO200,CC200,0,BL200,IF(OptControl=3,1,0),1,1)+_xll.xCrudeAPO(BS200,BT200,CA200,CB200,S201,S202,BI200,BL200,BN200,BO200,0,Strike2,AO200,CC200,0,BL200,IF(OptControl=3,1,0),1,2)+IF(OR(VolSkewFlag=2,ABS(BR200)&lt;0.0001),0,IF(BR200&gt;0,-1,1)*CJ200*Strike2/BP200^2*BX200/10%),0)</f>
        <v>0</v>
      </c>
      <c r="CJ200" s="155">
        <f ca="1">IF(BD200,(_xll.xCrudeAPO(BS200,BT200,CA200,CB200,S201,S202,BI200,BL200,BN200,BO200,0,Strike2,AO200,CC200,0,BL200,IF(OptControl=3,1,0),3,1)+_xll.xCrudeAPO(BS200,BT200,CA200,CB200,S201,S202,BI200,BL200,BN200,BO200,0,Strike2,AO200,CC200,0,BL200,IF(OptControl=3,1,0),3,2))/100,0)</f>
        <v>0</v>
      </c>
      <c r="CK200" s="156">
        <f ca="1">IF(BD200,_xll.xCrudeAPO(BS200,BT200,CA200,CB200,S201,S202,BI200-DaysForThetaCalculation/365.25,BL200-DaysForThetaCalculation/365.25,BN200,BO200,0,Strike2,AO200,CC200,0,BL200,IF(OptControl=3,1,0),0,1)-_xll.xCrudeAPO(BS200,BT200,CA200,CB200,S201,S202,BI200,BL200,BN200,BO200,0,Strike2,AO200,CC200,0,BL200,IF(OptControl=3,1,0),0,1),0)</f>
        <v>0</v>
      </c>
      <c r="CL200" s="51"/>
      <c r="CM200" s="779" t="str">
        <f t="shared" ca="1" si="534"/>
        <v/>
      </c>
      <c r="CN200" s="783" t="str">
        <f t="shared" ca="1" si="535"/>
        <v/>
      </c>
      <c r="CO200" s="780" t="str">
        <f t="shared" ca="1" si="536"/>
        <v/>
      </c>
      <c r="CP200" s="780" t="str">
        <f t="shared" ca="1" si="537"/>
        <v/>
      </c>
      <c r="CQ200" s="780" t="str">
        <f t="shared" ca="1" si="538"/>
        <v/>
      </c>
      <c r="CR200" s="780" t="str">
        <f t="shared" ca="1" si="539"/>
        <v/>
      </c>
      <c r="CS200" s="781" t="str">
        <f t="shared" ca="1" si="540"/>
        <v/>
      </c>
      <c r="CT200" s="782" t="str">
        <f t="shared" ca="1" si="541"/>
        <v/>
      </c>
      <c r="CU200" s="782" t="str">
        <f t="shared" ca="1" si="542"/>
        <v/>
      </c>
      <c r="CV200" s="155">
        <f ca="1">IF(BD200,_xll.EURO(CN200,Strike1,AO200,AO200,CT200,CM200,IF(OptControl=4,0,1),0),0)</f>
        <v>0</v>
      </c>
      <c r="CW200" s="155">
        <f ca="1">IF(BD200,_xll.EURO(CN200,Strike1,AO200,AO200,CT200,CM200,IF(OptControl=4,0,1),1)+IF(OR(VolSkewFlag=2,ABS(CO200)&lt;0.0001),0,IF(CO200&gt;0,-1,1)*CX200*100*Strike1/CN200^2*CQ200/10%),0)</f>
        <v>0</v>
      </c>
      <c r="CX200" s="155">
        <f ca="1">IF(BD200,_xll.EURO(CN200,Strike1,AO200,AO200,CT200,CM200,IF(OptControl=4,0,1),3)/100,0)</f>
        <v>0</v>
      </c>
      <c r="CY200" s="155">
        <f ca="1">IF(BD200,_xll.EURO(CN200,Strike1,AO200,AO200,CT200,CM200,IF(OptControl=4,0,1),0)-_xll.EURO(CN200,Strike1,AO200,AO200,CT200,CM200-1,IF(OptControl=4,0,1),0),0)</f>
        <v>0</v>
      </c>
      <c r="CZ200" s="155">
        <f ca="1">IF(BD200,_xll.EURO(CN200,Strike2,AO200,AO200,CU200,CM200,IF(OptControl=3,1,0),0),0)</f>
        <v>0</v>
      </c>
      <c r="DA200" s="155">
        <f ca="1">IF(BD200,_xll.EURO(CN200,Strike2,AO200,AO200,CU200,CM200,IF(OptControl=3,1,0),1)+IF(OR(VolSkewFlag=2,ABS(CP200)&lt;0.0001),0,IF(CP200&gt;0,-1,1)*DB200*100*Strike2/CN200^2*CR200/10%),0)</f>
        <v>0</v>
      </c>
      <c r="DB200" s="155">
        <f ca="1">IF(BD200,_xll.EURO(CN200,Strike2,AO200,AO200,CU200,CM200,IF(OptControl=3,1,0),3)/100,0)</f>
        <v>0</v>
      </c>
      <c r="DC200" s="156">
        <f ca="1">IF(BD200,_xll.EURO(CN200,Strike2,AO200,AO200,CU200,CM200,IF(OptControl=3,1,0),0)-_xll.EURO(CN200,Strike2,AO200,AO200,CU200,CM200-1,IF(OptControl=3,1,0),0),0)</f>
        <v>0</v>
      </c>
      <c r="DE200" s="651">
        <f t="shared" ca="1" si="543"/>
        <v>42401</v>
      </c>
      <c r="DF200" s="465">
        <v>1E-4</v>
      </c>
      <c r="DG200" s="649">
        <v>1E-4</v>
      </c>
      <c r="DH200" s="650">
        <f t="shared" ca="1" si="612"/>
        <v>42401</v>
      </c>
      <c r="DI200" s="465">
        <v>1E-4</v>
      </c>
      <c r="DJ200" s="649">
        <v>1E-4</v>
      </c>
      <c r="DK200" s="651">
        <f t="shared" ca="1" si="613"/>
        <v>42401</v>
      </c>
      <c r="DL200" s="652">
        <f t="shared" si="614"/>
        <v>5.0100000000000006E-2</v>
      </c>
      <c r="DM200" s="651">
        <f t="shared" ca="1" si="615"/>
        <v>42401</v>
      </c>
      <c r="DN200" s="563">
        <f t="shared" si="616"/>
        <v>-0.12990000000000002</v>
      </c>
      <c r="DO200" s="803">
        <v>-0.13</v>
      </c>
      <c r="DP200" s="650">
        <f t="shared" ca="1" si="617"/>
        <v>42401</v>
      </c>
      <c r="DQ200" s="653">
        <v>1E-4</v>
      </c>
      <c r="DR200" s="590">
        <v>1E-4</v>
      </c>
      <c r="DS200" s="650">
        <f t="shared" ca="1" si="618"/>
        <v>42401</v>
      </c>
      <c r="DT200" s="653">
        <v>1E-4</v>
      </c>
      <c r="DU200" s="590">
        <v>1E-4</v>
      </c>
      <c r="DV200" s="651">
        <f t="shared" ca="1" si="619"/>
        <v>42401</v>
      </c>
      <c r="DW200" s="590">
        <v>1E-4</v>
      </c>
      <c r="DX200" s="651">
        <f t="shared" ca="1" si="620"/>
        <v>42401</v>
      </c>
      <c r="DY200" s="590">
        <f t="shared" si="621"/>
        <v>1E-4</v>
      </c>
      <c r="DZ200" s="1"/>
      <c r="EA200" s="857"/>
      <c r="EB200" s="857"/>
      <c r="EC200" s="857"/>
      <c r="ED200" s="868" t="e">
        <f t="shared" ca="1" si="566"/>
        <v>#NAME?</v>
      </c>
      <c r="EE200" s="863" t="e">
        <f t="shared" ca="1" si="524"/>
        <v>#NAME?</v>
      </c>
      <c r="EF200" s="590" t="e">
        <f t="shared" ca="1" si="525"/>
        <v>#NAME?</v>
      </c>
      <c r="EG200" s="862" t="str">
        <f t="shared" ca="1" si="622"/>
        <v/>
      </c>
      <c r="EH200" s="114" t="str">
        <f t="shared" ca="1" si="527"/>
        <v/>
      </c>
      <c r="EI200" s="109" t="str">
        <f t="shared" ca="1" si="528"/>
        <v/>
      </c>
      <c r="EJ200" s="115">
        <f ca="1">IF(BD200,_xll.xASN(BP200,Strike1,AO200,EH200,0,BM200,0,BI200,BL200,IF(OptControl=4,0,1),0),0)</f>
        <v>0</v>
      </c>
      <c r="EK200" s="108">
        <f ca="1">IF(BD200,_xll.xASN(BP200,Strike2,AO200,EI200,0,BM200,0,BI200,BL200,IF(OptControl=3,1,0),0),0)</f>
        <v>0</v>
      </c>
      <c r="EP200" s="53"/>
      <c r="EQ200" s="1"/>
      <c r="ER200" s="103"/>
      <c r="ES200" s="103"/>
      <c r="ET200" s="1"/>
      <c r="EU200" s="667" t="s">
        <v>413</v>
      </c>
      <c r="EW200" s="445"/>
      <c r="EX200" s="36"/>
      <c r="EY200" s="104"/>
      <c r="EZ200" s="465"/>
      <c r="FA200" s="446"/>
      <c r="FB200" s="446"/>
      <c r="FC200" s="242"/>
      <c r="FD200" s="242"/>
      <c r="FE200" s="242"/>
      <c r="FF200" s="242"/>
      <c r="FG200" s="242"/>
      <c r="FH200" s="242"/>
      <c r="FI200" s="242"/>
      <c r="FJ200" s="242"/>
      <c r="FK200" s="242"/>
      <c r="FL200" s="242"/>
      <c r="FM200" s="242"/>
      <c r="FN200" s="657">
        <v>31</v>
      </c>
      <c r="FO200" s="469" t="str">
        <f ca="1">IF(OR(FO$169&lt;SwaptionFirstMonthPosition+1,$FN200&lt;SwaptionFirstMonthPosition+1,FO$169&gt;SwaptionFirstMonthPosition+SwaptionNumOfMonths+1,$FN200&gt;SwaptionFirstMonthPosition+SwaptionNumOfMonths+1),"",IF($FN200=FO$169,1,IF($FN200&lt;FO$169,INDEX($FO$170:$IH$241,FO$169,$FN200),SUMPRODUCT(INDEX($FO$325:$IH$396,FO$169,1+SwaptionShift):INDEX($FO$325:$IH$396,FO$169,SwaptionMonthsToGo+SwaptionShift),INDEX($FO$245:$IH$316,$FN200-FO$169,73-FO$169+SwaptionShift):INDEX($FO$245:$IH$316,$FN200-FO$169,72-FO$169+SwaptionMonthsToGo+SwaptionShift))/SQRT(SUM(INDEX($FO355:$IH355,1+SwaptionShift):INDEX($FO355:$IH355,SwaptionMonthsToGo+SwaptionShift))*SUM(INDEX($FO$325:$IH$396,FO$169,1+SwaptionShift):INDEX($FO$325:$IH$396,FO$169,SwaptionMonthsToGo+SwaptionShift))))))</f>
        <v/>
      </c>
      <c r="FP200" s="469" t="str">
        <f ca="1">IF(OR(FP$169&lt;SwaptionFirstMonthPosition+1,$FN200&lt;SwaptionFirstMonthPosition+1,FP$169&gt;SwaptionFirstMonthPosition+SwaptionNumOfMonths+1,$FN200&gt;SwaptionFirstMonthPosition+SwaptionNumOfMonths+1),"",IF($FN200=FP$169,1,IF($FN200&lt;FP$169,INDEX($FO$170:$IH$241,FP$169,$FN200),SUMPRODUCT(INDEX($FO$325:$IH$396,FP$169,1+SwaptionShift):INDEX($FO$325:$IH$396,FP$169,SwaptionMonthsToGo+SwaptionShift),INDEX($FO$245:$IH$316,$FN200-FP$169,73-FP$169+SwaptionShift):INDEX($FO$245:$IH$316,$FN200-FP$169,72-FP$169+SwaptionMonthsToGo+SwaptionShift))/SQRT(SUM(INDEX($FO355:$IH355,1+SwaptionShift):INDEX($FO355:$IH355,SwaptionMonthsToGo+SwaptionShift))*SUM(INDEX($FO$325:$IH$396,FP$169,1+SwaptionShift):INDEX($FO$325:$IH$396,FP$169,SwaptionMonthsToGo+SwaptionShift))))))</f>
        <v/>
      </c>
      <c r="FQ200" s="469" t="str">
        <f ca="1">IF(OR(FQ$169&lt;SwaptionFirstMonthPosition+1,$FN200&lt;SwaptionFirstMonthPosition+1,FQ$169&gt;SwaptionFirstMonthPosition+SwaptionNumOfMonths+1,$FN200&gt;SwaptionFirstMonthPosition+SwaptionNumOfMonths+1),"",IF($FN200=FQ$169,1,IF($FN200&lt;FQ$169,INDEX($FO$170:$IH$241,FQ$169,$FN200),SUMPRODUCT(INDEX($FO$325:$IH$396,FQ$169,1+SwaptionShift):INDEX($FO$325:$IH$396,FQ$169,SwaptionMonthsToGo+SwaptionShift),INDEX($FO$245:$IH$316,$FN200-FQ$169,73-FQ$169+SwaptionShift):INDEX($FO$245:$IH$316,$FN200-FQ$169,72-FQ$169+SwaptionMonthsToGo+SwaptionShift))/SQRT(SUM(INDEX($FO355:$IH355,1+SwaptionShift):INDEX($FO355:$IH355,SwaptionMonthsToGo+SwaptionShift))*SUM(INDEX($FO$325:$IH$396,FQ$169,1+SwaptionShift):INDEX($FO$325:$IH$396,FQ$169,SwaptionMonthsToGo+SwaptionShift))))))</f>
        <v/>
      </c>
      <c r="FR200" s="469" t="str">
        <f ca="1">IF(OR(FR$169&lt;SwaptionFirstMonthPosition+1,$FN200&lt;SwaptionFirstMonthPosition+1,FR$169&gt;SwaptionFirstMonthPosition+SwaptionNumOfMonths+1,$FN200&gt;SwaptionFirstMonthPosition+SwaptionNumOfMonths+1),"",IF($FN200=FR$169,1,IF($FN200&lt;FR$169,INDEX($FO$170:$IH$241,FR$169,$FN200),SUMPRODUCT(INDEX($FO$325:$IH$396,FR$169,1+SwaptionShift):INDEX($FO$325:$IH$396,FR$169,SwaptionMonthsToGo+SwaptionShift),INDEX($FO$245:$IH$316,$FN200-FR$169,73-FR$169+SwaptionShift):INDEX($FO$245:$IH$316,$FN200-FR$169,72-FR$169+SwaptionMonthsToGo+SwaptionShift))/SQRT(SUM(INDEX($FO355:$IH355,1+SwaptionShift):INDEX($FO355:$IH355,SwaptionMonthsToGo+SwaptionShift))*SUM(INDEX($FO$325:$IH$396,FR$169,1+SwaptionShift):INDEX($FO$325:$IH$396,FR$169,SwaptionMonthsToGo+SwaptionShift))))))</f>
        <v/>
      </c>
      <c r="FS200" s="469" t="str">
        <f ca="1">IF(OR(FS$169&lt;SwaptionFirstMonthPosition+1,$FN200&lt;SwaptionFirstMonthPosition+1,FS$169&gt;SwaptionFirstMonthPosition+SwaptionNumOfMonths+1,$FN200&gt;SwaptionFirstMonthPosition+SwaptionNumOfMonths+1),"",IF($FN200=FS$169,1,IF($FN200&lt;FS$169,INDEX($FO$170:$IH$241,FS$169,$FN200),SUMPRODUCT(INDEX($FO$325:$IH$396,FS$169,1+SwaptionShift):INDEX($FO$325:$IH$396,FS$169,SwaptionMonthsToGo+SwaptionShift),INDEX($FO$245:$IH$316,$FN200-FS$169,73-FS$169+SwaptionShift):INDEX($FO$245:$IH$316,$FN200-FS$169,72-FS$169+SwaptionMonthsToGo+SwaptionShift))/SQRT(SUM(INDEX($FO355:$IH355,1+SwaptionShift):INDEX($FO355:$IH355,SwaptionMonthsToGo+SwaptionShift))*SUM(INDEX($FO$325:$IH$396,FS$169,1+SwaptionShift):INDEX($FO$325:$IH$396,FS$169,SwaptionMonthsToGo+SwaptionShift))))))</f>
        <v/>
      </c>
      <c r="FT200" s="469" t="str">
        <f ca="1">IF(OR(FT$169&lt;SwaptionFirstMonthPosition+1,$FN200&lt;SwaptionFirstMonthPosition+1,FT$169&gt;SwaptionFirstMonthPosition+SwaptionNumOfMonths+1,$FN200&gt;SwaptionFirstMonthPosition+SwaptionNumOfMonths+1),"",IF($FN200=FT$169,1,IF($FN200&lt;FT$169,INDEX($FO$170:$IH$241,FT$169,$FN200),SUMPRODUCT(INDEX($FO$325:$IH$396,FT$169,1+SwaptionShift):INDEX($FO$325:$IH$396,FT$169,SwaptionMonthsToGo+SwaptionShift),INDEX($FO$245:$IH$316,$FN200-FT$169,73-FT$169+SwaptionShift):INDEX($FO$245:$IH$316,$FN200-FT$169,72-FT$169+SwaptionMonthsToGo+SwaptionShift))/SQRT(SUM(INDEX($FO355:$IH355,1+SwaptionShift):INDEX($FO355:$IH355,SwaptionMonthsToGo+SwaptionShift))*SUM(INDEX($FO$325:$IH$396,FT$169,1+SwaptionShift):INDEX($FO$325:$IH$396,FT$169,SwaptionMonthsToGo+SwaptionShift))))))</f>
        <v/>
      </c>
      <c r="FU200" s="469" t="str">
        <f ca="1">IF(OR(FU$169&lt;SwaptionFirstMonthPosition+1,$FN200&lt;SwaptionFirstMonthPosition+1,FU$169&gt;SwaptionFirstMonthPosition+SwaptionNumOfMonths+1,$FN200&gt;SwaptionFirstMonthPosition+SwaptionNumOfMonths+1),"",IF($FN200=FU$169,1,IF($FN200&lt;FU$169,INDEX($FO$170:$IH$241,FU$169,$FN200),SUMPRODUCT(INDEX($FO$325:$IH$396,FU$169,1+SwaptionShift):INDEX($FO$325:$IH$396,FU$169,SwaptionMonthsToGo+SwaptionShift),INDEX($FO$245:$IH$316,$FN200-FU$169,73-FU$169+SwaptionShift):INDEX($FO$245:$IH$316,$FN200-FU$169,72-FU$169+SwaptionMonthsToGo+SwaptionShift))/SQRT(SUM(INDEX($FO355:$IH355,1+SwaptionShift):INDEX($FO355:$IH355,SwaptionMonthsToGo+SwaptionShift))*SUM(INDEX($FO$325:$IH$396,FU$169,1+SwaptionShift):INDEX($FO$325:$IH$396,FU$169,SwaptionMonthsToGo+SwaptionShift))))))</f>
        <v/>
      </c>
      <c r="FV200" s="469" t="str">
        <f ca="1">IF(OR(FV$169&lt;SwaptionFirstMonthPosition+1,$FN200&lt;SwaptionFirstMonthPosition+1,FV$169&gt;SwaptionFirstMonthPosition+SwaptionNumOfMonths+1,$FN200&gt;SwaptionFirstMonthPosition+SwaptionNumOfMonths+1),"",IF($FN200=FV$169,1,IF($FN200&lt;FV$169,INDEX($FO$170:$IH$241,FV$169,$FN200),SUMPRODUCT(INDEX($FO$325:$IH$396,FV$169,1+SwaptionShift):INDEX($FO$325:$IH$396,FV$169,SwaptionMonthsToGo+SwaptionShift),INDEX($FO$245:$IH$316,$FN200-FV$169,73-FV$169+SwaptionShift):INDEX($FO$245:$IH$316,$FN200-FV$169,72-FV$169+SwaptionMonthsToGo+SwaptionShift))/SQRT(SUM(INDEX($FO355:$IH355,1+SwaptionShift):INDEX($FO355:$IH355,SwaptionMonthsToGo+SwaptionShift))*SUM(INDEX($FO$325:$IH$396,FV$169,1+SwaptionShift):INDEX($FO$325:$IH$396,FV$169,SwaptionMonthsToGo+SwaptionShift))))))</f>
        <v/>
      </c>
      <c r="FW200" s="469" t="str">
        <f ca="1">IF(OR(FW$169&lt;SwaptionFirstMonthPosition+1,$FN200&lt;SwaptionFirstMonthPosition+1,FW$169&gt;SwaptionFirstMonthPosition+SwaptionNumOfMonths+1,$FN200&gt;SwaptionFirstMonthPosition+SwaptionNumOfMonths+1),"",IF($FN200=FW$169,1,IF($FN200&lt;FW$169,INDEX($FO$170:$IH$241,FW$169,$FN200),SUMPRODUCT(INDEX($FO$325:$IH$396,FW$169,1+SwaptionShift):INDEX($FO$325:$IH$396,FW$169,SwaptionMonthsToGo+SwaptionShift),INDEX($FO$245:$IH$316,$FN200-FW$169,73-FW$169+SwaptionShift):INDEX($FO$245:$IH$316,$FN200-FW$169,72-FW$169+SwaptionMonthsToGo+SwaptionShift))/SQRT(SUM(INDEX($FO355:$IH355,1+SwaptionShift):INDEX($FO355:$IH355,SwaptionMonthsToGo+SwaptionShift))*SUM(INDEX($FO$325:$IH$396,FW$169,1+SwaptionShift):INDEX($FO$325:$IH$396,FW$169,SwaptionMonthsToGo+SwaptionShift))))))</f>
        <v/>
      </c>
      <c r="FX200" s="469" t="str">
        <f ca="1">IF(OR(FX$169&lt;SwaptionFirstMonthPosition+1,$FN200&lt;SwaptionFirstMonthPosition+1,FX$169&gt;SwaptionFirstMonthPosition+SwaptionNumOfMonths+1,$FN200&gt;SwaptionFirstMonthPosition+SwaptionNumOfMonths+1),"",IF($FN200=FX$169,1,IF($FN200&lt;FX$169,INDEX($FO$170:$IH$241,FX$169,$FN200),SUMPRODUCT(INDEX($FO$325:$IH$396,FX$169,1+SwaptionShift):INDEX($FO$325:$IH$396,FX$169,SwaptionMonthsToGo+SwaptionShift),INDEX($FO$245:$IH$316,$FN200-FX$169,73-FX$169+SwaptionShift):INDEX($FO$245:$IH$316,$FN200-FX$169,72-FX$169+SwaptionMonthsToGo+SwaptionShift))/SQRT(SUM(INDEX($FO355:$IH355,1+SwaptionShift):INDEX($FO355:$IH355,SwaptionMonthsToGo+SwaptionShift))*SUM(INDEX($FO$325:$IH$396,FX$169,1+SwaptionShift):INDEX($FO$325:$IH$396,FX$169,SwaptionMonthsToGo+SwaptionShift))))))</f>
        <v/>
      </c>
      <c r="FY200" s="469" t="str">
        <f ca="1">IF(OR(FY$169&lt;SwaptionFirstMonthPosition+1,$FN200&lt;SwaptionFirstMonthPosition+1,FY$169&gt;SwaptionFirstMonthPosition+SwaptionNumOfMonths+1,$FN200&gt;SwaptionFirstMonthPosition+SwaptionNumOfMonths+1),"",IF($FN200=FY$169,1,IF($FN200&lt;FY$169,INDEX($FO$170:$IH$241,FY$169,$FN200),SUMPRODUCT(INDEX($FO$325:$IH$396,FY$169,1+SwaptionShift):INDEX($FO$325:$IH$396,FY$169,SwaptionMonthsToGo+SwaptionShift),INDEX($FO$245:$IH$316,$FN200-FY$169,73-FY$169+SwaptionShift):INDEX($FO$245:$IH$316,$FN200-FY$169,72-FY$169+SwaptionMonthsToGo+SwaptionShift))/SQRT(SUM(INDEX($FO355:$IH355,1+SwaptionShift):INDEX($FO355:$IH355,SwaptionMonthsToGo+SwaptionShift))*SUM(INDEX($FO$325:$IH$396,FY$169,1+SwaptionShift):INDEX($FO$325:$IH$396,FY$169,SwaptionMonthsToGo+SwaptionShift))))))</f>
        <v/>
      </c>
      <c r="FZ200" s="469" t="str">
        <f ca="1">IF(OR(FZ$169&lt;SwaptionFirstMonthPosition+1,$FN200&lt;SwaptionFirstMonthPosition+1,FZ$169&gt;SwaptionFirstMonthPosition+SwaptionNumOfMonths+1,$FN200&gt;SwaptionFirstMonthPosition+SwaptionNumOfMonths+1),"",IF($FN200=FZ$169,1,IF($FN200&lt;FZ$169,INDEX($FO$170:$IH$241,FZ$169,$FN200),SUMPRODUCT(INDEX($FO$325:$IH$396,FZ$169,1+SwaptionShift):INDEX($FO$325:$IH$396,FZ$169,SwaptionMonthsToGo+SwaptionShift),INDEX($FO$245:$IH$316,$FN200-FZ$169,73-FZ$169+SwaptionShift):INDEX($FO$245:$IH$316,$FN200-FZ$169,72-FZ$169+SwaptionMonthsToGo+SwaptionShift))/SQRT(SUM(INDEX($FO355:$IH355,1+SwaptionShift):INDEX($FO355:$IH355,SwaptionMonthsToGo+SwaptionShift))*SUM(INDEX($FO$325:$IH$396,FZ$169,1+SwaptionShift):INDEX($FO$325:$IH$396,FZ$169,SwaptionMonthsToGo+SwaptionShift))))))</f>
        <v/>
      </c>
      <c r="GA200" s="469" t="str">
        <f ca="1">IF(OR(GA$169&lt;SwaptionFirstMonthPosition+1,$FN200&lt;SwaptionFirstMonthPosition+1,GA$169&gt;SwaptionFirstMonthPosition+SwaptionNumOfMonths+1,$FN200&gt;SwaptionFirstMonthPosition+SwaptionNumOfMonths+1),"",IF($FN200=GA$169,1,IF($FN200&lt;GA$169,INDEX($FO$170:$IH$241,GA$169,$FN200),SUMPRODUCT(INDEX($FO$325:$IH$396,GA$169,1+SwaptionShift):INDEX($FO$325:$IH$396,GA$169,SwaptionMonthsToGo+SwaptionShift),INDEX($FO$245:$IH$316,$FN200-GA$169,73-GA$169+SwaptionShift):INDEX($FO$245:$IH$316,$FN200-GA$169,72-GA$169+SwaptionMonthsToGo+SwaptionShift))/SQRT(SUM(INDEX($FO355:$IH355,1+SwaptionShift):INDEX($FO355:$IH355,SwaptionMonthsToGo+SwaptionShift))*SUM(INDEX($FO$325:$IH$396,GA$169,1+SwaptionShift):INDEX($FO$325:$IH$396,GA$169,SwaptionMonthsToGo+SwaptionShift))))))</f>
        <v/>
      </c>
      <c r="GB200" s="469" t="str">
        <f ca="1">IF(OR(GB$169&lt;SwaptionFirstMonthPosition+1,$FN200&lt;SwaptionFirstMonthPosition+1,GB$169&gt;SwaptionFirstMonthPosition+SwaptionNumOfMonths+1,$FN200&gt;SwaptionFirstMonthPosition+SwaptionNumOfMonths+1),"",IF($FN200=GB$169,1,IF($FN200&lt;GB$169,INDEX($FO$170:$IH$241,GB$169,$FN200),SUMPRODUCT(INDEX($FO$325:$IH$396,GB$169,1+SwaptionShift):INDEX($FO$325:$IH$396,GB$169,SwaptionMonthsToGo+SwaptionShift),INDEX($FO$245:$IH$316,$FN200-GB$169,73-GB$169+SwaptionShift):INDEX($FO$245:$IH$316,$FN200-GB$169,72-GB$169+SwaptionMonthsToGo+SwaptionShift))/SQRT(SUM(INDEX($FO355:$IH355,1+SwaptionShift):INDEX($FO355:$IH355,SwaptionMonthsToGo+SwaptionShift))*SUM(INDEX($FO$325:$IH$396,GB$169,1+SwaptionShift):INDEX($FO$325:$IH$396,GB$169,SwaptionMonthsToGo+SwaptionShift))))))</f>
        <v/>
      </c>
      <c r="GC200" s="469" t="str">
        <f ca="1">IF(OR(GC$169&lt;SwaptionFirstMonthPosition+1,$FN200&lt;SwaptionFirstMonthPosition+1,GC$169&gt;SwaptionFirstMonthPosition+SwaptionNumOfMonths+1,$FN200&gt;SwaptionFirstMonthPosition+SwaptionNumOfMonths+1),"",IF($FN200=GC$169,1,IF($FN200&lt;GC$169,INDEX($FO$170:$IH$241,GC$169,$FN200),SUMPRODUCT(INDEX($FO$325:$IH$396,GC$169,1+SwaptionShift):INDEX($FO$325:$IH$396,GC$169,SwaptionMonthsToGo+SwaptionShift),INDEX($FO$245:$IH$316,$FN200-GC$169,73-GC$169+SwaptionShift):INDEX($FO$245:$IH$316,$FN200-GC$169,72-GC$169+SwaptionMonthsToGo+SwaptionShift))/SQRT(SUM(INDEX($FO355:$IH355,1+SwaptionShift):INDEX($FO355:$IH355,SwaptionMonthsToGo+SwaptionShift))*SUM(INDEX($FO$325:$IH$396,GC$169,1+SwaptionShift):INDEX($FO$325:$IH$396,GC$169,SwaptionMonthsToGo+SwaptionShift))))))</f>
        <v/>
      </c>
      <c r="GD200" s="469" t="str">
        <f ca="1">IF(OR(GD$169&lt;SwaptionFirstMonthPosition+1,$FN200&lt;SwaptionFirstMonthPosition+1,GD$169&gt;SwaptionFirstMonthPosition+SwaptionNumOfMonths+1,$FN200&gt;SwaptionFirstMonthPosition+SwaptionNumOfMonths+1),"",IF($FN200=GD$169,1,IF($FN200&lt;GD$169,INDEX($FO$170:$IH$241,GD$169,$FN200),SUMPRODUCT(INDEX($FO$325:$IH$396,GD$169,1+SwaptionShift):INDEX($FO$325:$IH$396,GD$169,SwaptionMonthsToGo+SwaptionShift),INDEX($FO$245:$IH$316,$FN200-GD$169,73-GD$169+SwaptionShift):INDEX($FO$245:$IH$316,$FN200-GD$169,72-GD$169+SwaptionMonthsToGo+SwaptionShift))/SQRT(SUM(INDEX($FO355:$IH355,1+SwaptionShift):INDEX($FO355:$IH355,SwaptionMonthsToGo+SwaptionShift))*SUM(INDEX($FO$325:$IH$396,GD$169,1+SwaptionShift):INDEX($FO$325:$IH$396,GD$169,SwaptionMonthsToGo+SwaptionShift))))))</f>
        <v/>
      </c>
      <c r="GE200" s="469" t="str">
        <f ca="1">IF(OR(GE$169&lt;SwaptionFirstMonthPosition+1,$FN200&lt;SwaptionFirstMonthPosition+1,GE$169&gt;SwaptionFirstMonthPosition+SwaptionNumOfMonths+1,$FN200&gt;SwaptionFirstMonthPosition+SwaptionNumOfMonths+1),"",IF($FN200=GE$169,1,IF($FN200&lt;GE$169,INDEX($FO$170:$IH$241,GE$169,$FN200),SUMPRODUCT(INDEX($FO$325:$IH$396,GE$169,1+SwaptionShift):INDEX($FO$325:$IH$396,GE$169,SwaptionMonthsToGo+SwaptionShift),INDEX($FO$245:$IH$316,$FN200-GE$169,73-GE$169+SwaptionShift):INDEX($FO$245:$IH$316,$FN200-GE$169,72-GE$169+SwaptionMonthsToGo+SwaptionShift))/SQRT(SUM(INDEX($FO355:$IH355,1+SwaptionShift):INDEX($FO355:$IH355,SwaptionMonthsToGo+SwaptionShift))*SUM(INDEX($FO$325:$IH$396,GE$169,1+SwaptionShift):INDEX($FO$325:$IH$396,GE$169,SwaptionMonthsToGo+SwaptionShift))))))</f>
        <v/>
      </c>
      <c r="GF200" s="469" t="str">
        <f ca="1">IF(OR(GF$169&lt;SwaptionFirstMonthPosition+1,$FN200&lt;SwaptionFirstMonthPosition+1,GF$169&gt;SwaptionFirstMonthPosition+SwaptionNumOfMonths+1,$FN200&gt;SwaptionFirstMonthPosition+SwaptionNumOfMonths+1),"",IF($FN200=GF$169,1,IF($FN200&lt;GF$169,INDEX($FO$170:$IH$241,GF$169,$FN200),SUMPRODUCT(INDEX($FO$325:$IH$396,GF$169,1+SwaptionShift):INDEX($FO$325:$IH$396,GF$169,SwaptionMonthsToGo+SwaptionShift),INDEX($FO$245:$IH$316,$FN200-GF$169,73-GF$169+SwaptionShift):INDEX($FO$245:$IH$316,$FN200-GF$169,72-GF$169+SwaptionMonthsToGo+SwaptionShift))/SQRT(SUM(INDEX($FO355:$IH355,1+SwaptionShift):INDEX($FO355:$IH355,SwaptionMonthsToGo+SwaptionShift))*SUM(INDEX($FO$325:$IH$396,GF$169,1+SwaptionShift):INDEX($FO$325:$IH$396,GF$169,SwaptionMonthsToGo+SwaptionShift))))))</f>
        <v/>
      </c>
      <c r="GG200" s="469" t="str">
        <f ca="1">IF(OR(GG$169&lt;SwaptionFirstMonthPosition+1,$FN200&lt;SwaptionFirstMonthPosition+1,GG$169&gt;SwaptionFirstMonthPosition+SwaptionNumOfMonths+1,$FN200&gt;SwaptionFirstMonthPosition+SwaptionNumOfMonths+1),"",IF($FN200=GG$169,1,IF($FN200&lt;GG$169,INDEX($FO$170:$IH$241,GG$169,$FN200),SUMPRODUCT(INDEX($FO$325:$IH$396,GG$169,1+SwaptionShift):INDEX($FO$325:$IH$396,GG$169,SwaptionMonthsToGo+SwaptionShift),INDEX($FO$245:$IH$316,$FN200-GG$169,73-GG$169+SwaptionShift):INDEX($FO$245:$IH$316,$FN200-GG$169,72-GG$169+SwaptionMonthsToGo+SwaptionShift))/SQRT(SUM(INDEX($FO355:$IH355,1+SwaptionShift):INDEX($FO355:$IH355,SwaptionMonthsToGo+SwaptionShift))*SUM(INDEX($FO$325:$IH$396,GG$169,1+SwaptionShift):INDEX($FO$325:$IH$396,GG$169,SwaptionMonthsToGo+SwaptionShift))))))</f>
        <v/>
      </c>
      <c r="GH200" s="469" t="str">
        <f ca="1">IF(OR(GH$169&lt;SwaptionFirstMonthPosition+1,$FN200&lt;SwaptionFirstMonthPosition+1,GH$169&gt;SwaptionFirstMonthPosition+SwaptionNumOfMonths+1,$FN200&gt;SwaptionFirstMonthPosition+SwaptionNumOfMonths+1),"",IF($FN200=GH$169,1,IF($FN200&lt;GH$169,INDEX($FO$170:$IH$241,GH$169,$FN200),SUMPRODUCT(INDEX($FO$325:$IH$396,GH$169,1+SwaptionShift):INDEX($FO$325:$IH$396,GH$169,SwaptionMonthsToGo+SwaptionShift),INDEX($FO$245:$IH$316,$FN200-GH$169,73-GH$169+SwaptionShift):INDEX($FO$245:$IH$316,$FN200-GH$169,72-GH$169+SwaptionMonthsToGo+SwaptionShift))/SQRT(SUM(INDEX($FO355:$IH355,1+SwaptionShift):INDEX($FO355:$IH355,SwaptionMonthsToGo+SwaptionShift))*SUM(INDEX($FO$325:$IH$396,GH$169,1+SwaptionShift):INDEX($FO$325:$IH$396,GH$169,SwaptionMonthsToGo+SwaptionShift))))))</f>
        <v/>
      </c>
      <c r="GI200" s="469" t="str">
        <f ca="1">IF(OR(GI$169&lt;SwaptionFirstMonthPosition+1,$FN200&lt;SwaptionFirstMonthPosition+1,GI$169&gt;SwaptionFirstMonthPosition+SwaptionNumOfMonths+1,$FN200&gt;SwaptionFirstMonthPosition+SwaptionNumOfMonths+1),"",IF($FN200=GI$169,1,IF($FN200&lt;GI$169,INDEX($FO$170:$IH$241,GI$169,$FN200),SUMPRODUCT(INDEX($FO$325:$IH$396,GI$169,1+SwaptionShift):INDEX($FO$325:$IH$396,GI$169,SwaptionMonthsToGo+SwaptionShift),INDEX($FO$245:$IH$316,$FN200-GI$169,73-GI$169+SwaptionShift):INDEX($FO$245:$IH$316,$FN200-GI$169,72-GI$169+SwaptionMonthsToGo+SwaptionShift))/SQRT(SUM(INDEX($FO355:$IH355,1+SwaptionShift):INDEX($FO355:$IH355,SwaptionMonthsToGo+SwaptionShift))*SUM(INDEX($FO$325:$IH$396,GI$169,1+SwaptionShift):INDEX($FO$325:$IH$396,GI$169,SwaptionMonthsToGo+SwaptionShift))))))</f>
        <v/>
      </c>
      <c r="GJ200" s="469" t="str">
        <f ca="1">IF(OR(GJ$169&lt;SwaptionFirstMonthPosition+1,$FN200&lt;SwaptionFirstMonthPosition+1,GJ$169&gt;SwaptionFirstMonthPosition+SwaptionNumOfMonths+1,$FN200&gt;SwaptionFirstMonthPosition+SwaptionNumOfMonths+1),"",IF($FN200=GJ$169,1,IF($FN200&lt;GJ$169,INDEX($FO$170:$IH$241,GJ$169,$FN200),SUMPRODUCT(INDEX($FO$325:$IH$396,GJ$169,1+SwaptionShift):INDEX($FO$325:$IH$396,GJ$169,SwaptionMonthsToGo+SwaptionShift),INDEX($FO$245:$IH$316,$FN200-GJ$169,73-GJ$169+SwaptionShift):INDEX($FO$245:$IH$316,$FN200-GJ$169,72-GJ$169+SwaptionMonthsToGo+SwaptionShift))/SQRT(SUM(INDEX($FO355:$IH355,1+SwaptionShift):INDEX($FO355:$IH355,SwaptionMonthsToGo+SwaptionShift))*SUM(INDEX($FO$325:$IH$396,GJ$169,1+SwaptionShift):INDEX($FO$325:$IH$396,GJ$169,SwaptionMonthsToGo+SwaptionShift))))))</f>
        <v/>
      </c>
      <c r="GK200" s="469" t="str">
        <f ca="1">IF(OR(GK$169&lt;SwaptionFirstMonthPosition+1,$FN200&lt;SwaptionFirstMonthPosition+1,GK$169&gt;SwaptionFirstMonthPosition+SwaptionNumOfMonths+1,$FN200&gt;SwaptionFirstMonthPosition+SwaptionNumOfMonths+1),"",IF($FN200=GK$169,1,IF($FN200&lt;GK$169,INDEX($FO$170:$IH$241,GK$169,$FN200),SUMPRODUCT(INDEX($FO$325:$IH$396,GK$169,1+SwaptionShift):INDEX($FO$325:$IH$396,GK$169,SwaptionMonthsToGo+SwaptionShift),INDEX($FO$245:$IH$316,$FN200-GK$169,73-GK$169+SwaptionShift):INDEX($FO$245:$IH$316,$FN200-GK$169,72-GK$169+SwaptionMonthsToGo+SwaptionShift))/SQRT(SUM(INDEX($FO355:$IH355,1+SwaptionShift):INDEX($FO355:$IH355,SwaptionMonthsToGo+SwaptionShift))*SUM(INDEX($FO$325:$IH$396,GK$169,1+SwaptionShift):INDEX($FO$325:$IH$396,GK$169,SwaptionMonthsToGo+SwaptionShift))))))</f>
        <v/>
      </c>
      <c r="GL200" s="469" t="str">
        <f ca="1">IF(OR(GL$169&lt;SwaptionFirstMonthPosition+1,$FN200&lt;SwaptionFirstMonthPosition+1,GL$169&gt;SwaptionFirstMonthPosition+SwaptionNumOfMonths+1,$FN200&gt;SwaptionFirstMonthPosition+SwaptionNumOfMonths+1),"",IF($FN200=GL$169,1,IF($FN200&lt;GL$169,INDEX($FO$170:$IH$241,GL$169,$FN200),SUMPRODUCT(INDEX($FO$325:$IH$396,GL$169,1+SwaptionShift):INDEX($FO$325:$IH$396,GL$169,SwaptionMonthsToGo+SwaptionShift),INDEX($FO$245:$IH$316,$FN200-GL$169,73-GL$169+SwaptionShift):INDEX($FO$245:$IH$316,$FN200-GL$169,72-GL$169+SwaptionMonthsToGo+SwaptionShift))/SQRT(SUM(INDEX($FO355:$IH355,1+SwaptionShift):INDEX($FO355:$IH355,SwaptionMonthsToGo+SwaptionShift))*SUM(INDEX($FO$325:$IH$396,GL$169,1+SwaptionShift):INDEX($FO$325:$IH$396,GL$169,SwaptionMonthsToGo+SwaptionShift))))))</f>
        <v/>
      </c>
      <c r="GM200" s="469" t="str">
        <f ca="1">IF(OR(GM$169&lt;SwaptionFirstMonthPosition+1,$FN200&lt;SwaptionFirstMonthPosition+1,GM$169&gt;SwaptionFirstMonthPosition+SwaptionNumOfMonths+1,$FN200&gt;SwaptionFirstMonthPosition+SwaptionNumOfMonths+1),"",IF($FN200=GM$169,1,IF($FN200&lt;GM$169,INDEX($FO$170:$IH$241,GM$169,$FN200),SUMPRODUCT(INDEX($FO$325:$IH$396,GM$169,1+SwaptionShift):INDEX($FO$325:$IH$396,GM$169,SwaptionMonthsToGo+SwaptionShift),INDEX($FO$245:$IH$316,$FN200-GM$169,73-GM$169+SwaptionShift):INDEX($FO$245:$IH$316,$FN200-GM$169,72-GM$169+SwaptionMonthsToGo+SwaptionShift))/SQRT(SUM(INDEX($FO355:$IH355,1+SwaptionShift):INDEX($FO355:$IH355,SwaptionMonthsToGo+SwaptionShift))*SUM(INDEX($FO$325:$IH$396,GM$169,1+SwaptionShift):INDEX($FO$325:$IH$396,GM$169,SwaptionMonthsToGo+SwaptionShift))))))</f>
        <v/>
      </c>
      <c r="GN200" s="469" t="str">
        <f ca="1">IF(OR(GN$169&lt;SwaptionFirstMonthPosition+1,$FN200&lt;SwaptionFirstMonthPosition+1,GN$169&gt;SwaptionFirstMonthPosition+SwaptionNumOfMonths+1,$FN200&gt;SwaptionFirstMonthPosition+SwaptionNumOfMonths+1),"",IF($FN200=GN$169,1,IF($FN200&lt;GN$169,INDEX($FO$170:$IH$241,GN$169,$FN200),SUMPRODUCT(INDEX($FO$325:$IH$396,GN$169,1+SwaptionShift):INDEX($FO$325:$IH$396,GN$169,SwaptionMonthsToGo+SwaptionShift),INDEX($FO$245:$IH$316,$FN200-GN$169,73-GN$169+SwaptionShift):INDEX($FO$245:$IH$316,$FN200-GN$169,72-GN$169+SwaptionMonthsToGo+SwaptionShift))/SQRT(SUM(INDEX($FO355:$IH355,1+SwaptionShift):INDEX($FO355:$IH355,SwaptionMonthsToGo+SwaptionShift))*SUM(INDEX($FO$325:$IH$396,GN$169,1+SwaptionShift):INDEX($FO$325:$IH$396,GN$169,SwaptionMonthsToGo+SwaptionShift))))))</f>
        <v/>
      </c>
      <c r="GO200" s="469" t="str">
        <f ca="1">IF(OR(GO$169&lt;SwaptionFirstMonthPosition+1,$FN200&lt;SwaptionFirstMonthPosition+1,GO$169&gt;SwaptionFirstMonthPosition+SwaptionNumOfMonths+1,$FN200&gt;SwaptionFirstMonthPosition+SwaptionNumOfMonths+1),"",IF($FN200=GO$169,1,IF($FN200&lt;GO$169,INDEX($FO$170:$IH$241,GO$169,$FN200),SUMPRODUCT(INDEX($FO$325:$IH$396,GO$169,1+SwaptionShift):INDEX($FO$325:$IH$396,GO$169,SwaptionMonthsToGo+SwaptionShift),INDEX($FO$245:$IH$316,$FN200-GO$169,73-GO$169+SwaptionShift):INDEX($FO$245:$IH$316,$FN200-GO$169,72-GO$169+SwaptionMonthsToGo+SwaptionShift))/SQRT(SUM(INDEX($FO355:$IH355,1+SwaptionShift):INDEX($FO355:$IH355,SwaptionMonthsToGo+SwaptionShift))*SUM(INDEX($FO$325:$IH$396,GO$169,1+SwaptionShift):INDEX($FO$325:$IH$396,GO$169,SwaptionMonthsToGo+SwaptionShift))))))</f>
        <v/>
      </c>
      <c r="GP200" s="469" t="str">
        <f ca="1">IF(OR(GP$169&lt;SwaptionFirstMonthPosition+1,$FN200&lt;SwaptionFirstMonthPosition+1,GP$169&gt;SwaptionFirstMonthPosition+SwaptionNumOfMonths+1,$FN200&gt;SwaptionFirstMonthPosition+SwaptionNumOfMonths+1),"",IF($FN200=GP$169,1,IF($FN200&lt;GP$169,INDEX($FO$170:$IH$241,GP$169,$FN200),SUMPRODUCT(INDEX($FO$325:$IH$396,GP$169,1+SwaptionShift):INDEX($FO$325:$IH$396,GP$169,SwaptionMonthsToGo+SwaptionShift),INDEX($FO$245:$IH$316,$FN200-GP$169,73-GP$169+SwaptionShift):INDEX($FO$245:$IH$316,$FN200-GP$169,72-GP$169+SwaptionMonthsToGo+SwaptionShift))/SQRT(SUM(INDEX($FO355:$IH355,1+SwaptionShift):INDEX($FO355:$IH355,SwaptionMonthsToGo+SwaptionShift))*SUM(INDEX($FO$325:$IH$396,GP$169,1+SwaptionShift):INDEX($FO$325:$IH$396,GP$169,SwaptionMonthsToGo+SwaptionShift))))))</f>
        <v/>
      </c>
      <c r="GQ200" s="469" t="str">
        <f ca="1">IF(OR(GQ$169&lt;SwaptionFirstMonthPosition+1,$FN200&lt;SwaptionFirstMonthPosition+1,GQ$169&gt;SwaptionFirstMonthPosition+SwaptionNumOfMonths+1,$FN200&gt;SwaptionFirstMonthPosition+SwaptionNumOfMonths+1),"",IF($FN200=GQ$169,1,IF($FN200&lt;GQ$169,INDEX($FO$170:$IH$241,GQ$169,$FN200),SUMPRODUCT(INDEX($FO$325:$IH$396,GQ$169,1+SwaptionShift):INDEX($FO$325:$IH$396,GQ$169,SwaptionMonthsToGo+SwaptionShift),INDEX($FO$245:$IH$316,$FN200-GQ$169,73-GQ$169+SwaptionShift):INDEX($FO$245:$IH$316,$FN200-GQ$169,72-GQ$169+SwaptionMonthsToGo+SwaptionShift))/SQRT(SUM(INDEX($FO355:$IH355,1+SwaptionShift):INDEX($FO355:$IH355,SwaptionMonthsToGo+SwaptionShift))*SUM(INDEX($FO$325:$IH$396,GQ$169,1+SwaptionShift):INDEX($FO$325:$IH$396,GQ$169,SwaptionMonthsToGo+SwaptionShift))))))</f>
        <v/>
      </c>
      <c r="GR200" s="469" t="str">
        <f ca="1">IF(OR(GR$169&lt;SwaptionFirstMonthPosition+1,$FN200&lt;SwaptionFirstMonthPosition+1,GR$169&gt;SwaptionFirstMonthPosition+SwaptionNumOfMonths+1,$FN200&gt;SwaptionFirstMonthPosition+SwaptionNumOfMonths+1),"",IF($FN200=GR$169,1,IF($FN200&lt;GR$169,INDEX($FO$170:$IH$241,GR$169,$FN200),SUMPRODUCT(INDEX($FO$325:$IH$396,GR$169,1+SwaptionShift):INDEX($FO$325:$IH$396,GR$169,SwaptionMonthsToGo+SwaptionShift),INDEX($FO$245:$IH$316,$FN200-GR$169,73-GR$169+SwaptionShift):INDEX($FO$245:$IH$316,$FN200-GR$169,72-GR$169+SwaptionMonthsToGo+SwaptionShift))/SQRT(SUM(INDEX($FO355:$IH355,1+SwaptionShift):INDEX($FO355:$IH355,SwaptionMonthsToGo+SwaptionShift))*SUM(INDEX($FO$325:$IH$396,GR$169,1+SwaptionShift):INDEX($FO$325:$IH$396,GR$169,SwaptionMonthsToGo+SwaptionShift))))))</f>
        <v/>
      </c>
      <c r="GS200" s="469" t="str">
        <f ca="1">IF(OR(GS$169&lt;SwaptionFirstMonthPosition+1,$FN200&lt;SwaptionFirstMonthPosition+1,GS$169&gt;SwaptionFirstMonthPosition+SwaptionNumOfMonths+1,$FN200&gt;SwaptionFirstMonthPosition+SwaptionNumOfMonths+1),"",IF($FN200=GS$169,1,IF($FN200&lt;GS$169,INDEX($FO$170:$IH$241,GS$169,$FN200),SUMPRODUCT(INDEX($FO$325:$IH$396,GS$169,1+SwaptionShift):INDEX($FO$325:$IH$396,GS$169,SwaptionMonthsToGo+SwaptionShift),INDEX($FO$245:$IH$316,$FN200-GS$169,73-GS$169+SwaptionShift):INDEX($FO$245:$IH$316,$FN200-GS$169,72-GS$169+SwaptionMonthsToGo+SwaptionShift))/SQRT(SUM(INDEX($FO355:$IH355,1+SwaptionShift):INDEX($FO355:$IH355,SwaptionMonthsToGo+SwaptionShift))*SUM(INDEX($FO$325:$IH$396,GS$169,1+SwaptionShift):INDEX($FO$325:$IH$396,GS$169,SwaptionMonthsToGo+SwaptionShift))))))</f>
        <v/>
      </c>
      <c r="GT200" s="469" t="str">
        <f ca="1">IF(OR(GT$169&lt;SwaptionFirstMonthPosition+1,$FN200&lt;SwaptionFirstMonthPosition+1,GT$169&gt;SwaptionFirstMonthPosition+SwaptionNumOfMonths+1,$FN200&gt;SwaptionFirstMonthPosition+SwaptionNumOfMonths+1),"",IF($FN200=GT$169,1,IF($FN200&lt;GT$169,INDEX($FO$170:$IH$241,GT$169,$FN200),SUMPRODUCT(INDEX($FO$325:$IH$396,GT$169,1+SwaptionShift):INDEX($FO$325:$IH$396,GT$169,SwaptionMonthsToGo+SwaptionShift),INDEX($FO$245:$IH$316,$FN200-GT$169,73-GT$169+SwaptionShift):INDEX($FO$245:$IH$316,$FN200-GT$169,72-GT$169+SwaptionMonthsToGo+SwaptionShift))/SQRT(SUM(INDEX($FO355:$IH355,1+SwaptionShift):INDEX($FO355:$IH355,SwaptionMonthsToGo+SwaptionShift))*SUM(INDEX($FO$325:$IH$396,GT$169,1+SwaptionShift):INDEX($FO$325:$IH$396,GT$169,SwaptionMonthsToGo+SwaptionShift))))))</f>
        <v/>
      </c>
      <c r="GU200" s="469" t="str">
        <f ca="1">IF(OR(GU$169&lt;SwaptionFirstMonthPosition+1,$FN200&lt;SwaptionFirstMonthPosition+1,GU$169&gt;SwaptionFirstMonthPosition+SwaptionNumOfMonths+1,$FN200&gt;SwaptionFirstMonthPosition+SwaptionNumOfMonths+1),"",IF($FN200=GU$169,1,IF($FN200&lt;GU$169,INDEX($FO$170:$IH$241,GU$169,$FN200),SUMPRODUCT(INDEX($FO$325:$IH$396,GU$169,1+SwaptionShift):INDEX($FO$325:$IH$396,GU$169,SwaptionMonthsToGo+SwaptionShift),INDEX($FO$245:$IH$316,$FN200-GU$169,73-GU$169+SwaptionShift):INDEX($FO$245:$IH$316,$FN200-GU$169,72-GU$169+SwaptionMonthsToGo+SwaptionShift))/SQRT(SUM(INDEX($FO355:$IH355,1+SwaptionShift):INDEX($FO355:$IH355,SwaptionMonthsToGo+SwaptionShift))*SUM(INDEX($FO$325:$IH$396,GU$169,1+SwaptionShift):INDEX($FO$325:$IH$396,GU$169,SwaptionMonthsToGo+SwaptionShift))))))</f>
        <v/>
      </c>
      <c r="GV200" s="469" t="str">
        <f ca="1">IF(OR(GV$169&lt;SwaptionFirstMonthPosition+1,$FN200&lt;SwaptionFirstMonthPosition+1,GV$169&gt;SwaptionFirstMonthPosition+SwaptionNumOfMonths+1,$FN200&gt;SwaptionFirstMonthPosition+SwaptionNumOfMonths+1),"",IF($FN200=GV$169,1,IF($FN200&lt;GV$169,INDEX($FO$170:$IH$241,GV$169,$FN200),SUMPRODUCT(INDEX($FO$325:$IH$396,GV$169,1+SwaptionShift):INDEX($FO$325:$IH$396,GV$169,SwaptionMonthsToGo+SwaptionShift),INDEX($FO$245:$IH$316,$FN200-GV$169,73-GV$169+SwaptionShift):INDEX($FO$245:$IH$316,$FN200-GV$169,72-GV$169+SwaptionMonthsToGo+SwaptionShift))/SQRT(SUM(INDEX($FO355:$IH355,1+SwaptionShift):INDEX($FO355:$IH355,SwaptionMonthsToGo+SwaptionShift))*SUM(INDEX($FO$325:$IH$396,GV$169,1+SwaptionShift):INDEX($FO$325:$IH$396,GV$169,SwaptionMonthsToGo+SwaptionShift))))))</f>
        <v/>
      </c>
      <c r="GW200" s="469" t="str">
        <f ca="1">IF(OR(GW$169&lt;SwaptionFirstMonthPosition+1,$FN200&lt;SwaptionFirstMonthPosition+1,GW$169&gt;SwaptionFirstMonthPosition+SwaptionNumOfMonths+1,$FN200&gt;SwaptionFirstMonthPosition+SwaptionNumOfMonths+1),"",IF($FN200=GW$169,1,IF($FN200&lt;GW$169,INDEX($FO$170:$IH$241,GW$169,$FN200),SUMPRODUCT(INDEX($FO$325:$IH$396,GW$169,1+SwaptionShift):INDEX($FO$325:$IH$396,GW$169,SwaptionMonthsToGo+SwaptionShift),INDEX($FO$245:$IH$316,$FN200-GW$169,73-GW$169+SwaptionShift):INDEX($FO$245:$IH$316,$FN200-GW$169,72-GW$169+SwaptionMonthsToGo+SwaptionShift))/SQRT(SUM(INDEX($FO355:$IH355,1+SwaptionShift):INDEX($FO355:$IH355,SwaptionMonthsToGo+SwaptionShift))*SUM(INDEX($FO$325:$IH$396,GW$169,1+SwaptionShift):INDEX($FO$325:$IH$396,GW$169,SwaptionMonthsToGo+SwaptionShift))))))</f>
        <v/>
      </c>
      <c r="GX200" s="469" t="str">
        <f ca="1">IF(OR(GX$169&lt;SwaptionFirstMonthPosition+1,$FN200&lt;SwaptionFirstMonthPosition+1,GX$169&gt;SwaptionFirstMonthPosition+SwaptionNumOfMonths+1,$FN200&gt;SwaptionFirstMonthPosition+SwaptionNumOfMonths+1),"",IF($FN200=GX$169,1,IF($FN200&lt;GX$169,INDEX($FO$170:$IH$241,GX$169,$FN200),SUMPRODUCT(INDEX($FO$325:$IH$396,GX$169,1+SwaptionShift):INDEX($FO$325:$IH$396,GX$169,SwaptionMonthsToGo+SwaptionShift),INDEX($FO$245:$IH$316,$FN200-GX$169,73-GX$169+SwaptionShift):INDEX($FO$245:$IH$316,$FN200-GX$169,72-GX$169+SwaptionMonthsToGo+SwaptionShift))/SQRT(SUM(INDEX($FO355:$IH355,1+SwaptionShift):INDEX($FO355:$IH355,SwaptionMonthsToGo+SwaptionShift))*SUM(INDEX($FO$325:$IH$396,GX$169,1+SwaptionShift):INDEX($FO$325:$IH$396,GX$169,SwaptionMonthsToGo+SwaptionShift))))))</f>
        <v/>
      </c>
      <c r="GY200" s="469" t="str">
        <f ca="1">IF(OR(GY$169&lt;SwaptionFirstMonthPosition+1,$FN200&lt;SwaptionFirstMonthPosition+1,GY$169&gt;SwaptionFirstMonthPosition+SwaptionNumOfMonths+1,$FN200&gt;SwaptionFirstMonthPosition+SwaptionNumOfMonths+1),"",IF($FN200=GY$169,1,IF($FN200&lt;GY$169,INDEX($FO$170:$IH$241,GY$169,$FN200),SUMPRODUCT(INDEX($FO$325:$IH$396,GY$169,1+SwaptionShift):INDEX($FO$325:$IH$396,GY$169,SwaptionMonthsToGo+SwaptionShift),INDEX($FO$245:$IH$316,$FN200-GY$169,73-GY$169+SwaptionShift):INDEX($FO$245:$IH$316,$FN200-GY$169,72-GY$169+SwaptionMonthsToGo+SwaptionShift))/SQRT(SUM(INDEX($FO355:$IH355,1+SwaptionShift):INDEX($FO355:$IH355,SwaptionMonthsToGo+SwaptionShift))*SUM(INDEX($FO$325:$IH$396,GY$169,1+SwaptionShift):INDEX($FO$325:$IH$396,GY$169,SwaptionMonthsToGo+SwaptionShift))))))</f>
        <v/>
      </c>
      <c r="GZ200" s="469" t="str">
        <f ca="1">IF(OR(GZ$169&lt;SwaptionFirstMonthPosition+1,$FN200&lt;SwaptionFirstMonthPosition+1,GZ$169&gt;SwaptionFirstMonthPosition+SwaptionNumOfMonths+1,$FN200&gt;SwaptionFirstMonthPosition+SwaptionNumOfMonths+1),"",IF($FN200=GZ$169,1,IF($FN200&lt;GZ$169,INDEX($FO$170:$IH$241,GZ$169,$FN200),SUMPRODUCT(INDEX($FO$325:$IH$396,GZ$169,1+SwaptionShift):INDEX($FO$325:$IH$396,GZ$169,SwaptionMonthsToGo+SwaptionShift),INDEX($FO$245:$IH$316,$FN200-GZ$169,73-GZ$169+SwaptionShift):INDEX($FO$245:$IH$316,$FN200-GZ$169,72-GZ$169+SwaptionMonthsToGo+SwaptionShift))/SQRT(SUM(INDEX($FO355:$IH355,1+SwaptionShift):INDEX($FO355:$IH355,SwaptionMonthsToGo+SwaptionShift))*SUM(INDEX($FO$325:$IH$396,GZ$169,1+SwaptionShift):INDEX($FO$325:$IH$396,GZ$169,SwaptionMonthsToGo+SwaptionShift))))))</f>
        <v/>
      </c>
      <c r="HA200" s="469" t="str">
        <f ca="1">IF(OR(HA$169&lt;SwaptionFirstMonthPosition+1,$FN200&lt;SwaptionFirstMonthPosition+1,HA$169&gt;SwaptionFirstMonthPosition+SwaptionNumOfMonths+1,$FN200&gt;SwaptionFirstMonthPosition+SwaptionNumOfMonths+1),"",IF($FN200=HA$169,1,IF($FN200&lt;HA$169,INDEX($FO$170:$IH$241,HA$169,$FN200),SUMPRODUCT(INDEX($FO$325:$IH$396,HA$169,1+SwaptionShift):INDEX($FO$325:$IH$396,HA$169,SwaptionMonthsToGo+SwaptionShift),INDEX($FO$245:$IH$316,$FN200-HA$169,73-HA$169+SwaptionShift):INDEX($FO$245:$IH$316,$FN200-HA$169,72-HA$169+SwaptionMonthsToGo+SwaptionShift))/SQRT(SUM(INDEX($FO355:$IH355,1+SwaptionShift):INDEX($FO355:$IH355,SwaptionMonthsToGo+SwaptionShift))*SUM(INDEX($FO$325:$IH$396,HA$169,1+SwaptionShift):INDEX($FO$325:$IH$396,HA$169,SwaptionMonthsToGo+SwaptionShift))))))</f>
        <v/>
      </c>
      <c r="HB200" s="469" t="str">
        <f ca="1">IF(OR(HB$169&lt;SwaptionFirstMonthPosition+1,$FN200&lt;SwaptionFirstMonthPosition+1,HB$169&gt;SwaptionFirstMonthPosition+SwaptionNumOfMonths+1,$FN200&gt;SwaptionFirstMonthPosition+SwaptionNumOfMonths+1),"",IF($FN200=HB$169,1,IF($FN200&lt;HB$169,INDEX($FO$170:$IH$241,HB$169,$FN200),SUMPRODUCT(INDEX($FO$325:$IH$396,HB$169,1+SwaptionShift):INDEX($FO$325:$IH$396,HB$169,SwaptionMonthsToGo+SwaptionShift),INDEX($FO$245:$IH$316,$FN200-HB$169,73-HB$169+SwaptionShift):INDEX($FO$245:$IH$316,$FN200-HB$169,72-HB$169+SwaptionMonthsToGo+SwaptionShift))/SQRT(SUM(INDEX($FO355:$IH355,1+SwaptionShift):INDEX($FO355:$IH355,SwaptionMonthsToGo+SwaptionShift))*SUM(INDEX($FO$325:$IH$396,HB$169,1+SwaptionShift):INDEX($FO$325:$IH$396,HB$169,SwaptionMonthsToGo+SwaptionShift))))))</f>
        <v/>
      </c>
      <c r="HC200" s="469" t="str">
        <f ca="1">IF(OR(HC$169&lt;SwaptionFirstMonthPosition+1,$FN200&lt;SwaptionFirstMonthPosition+1,HC$169&gt;SwaptionFirstMonthPosition+SwaptionNumOfMonths+1,$FN200&gt;SwaptionFirstMonthPosition+SwaptionNumOfMonths+1),"",IF($FN200=HC$169,1,IF($FN200&lt;HC$169,INDEX($FO$170:$IH$241,HC$169,$FN200),SUMPRODUCT(INDEX($FO$325:$IH$396,HC$169,1+SwaptionShift):INDEX($FO$325:$IH$396,HC$169,SwaptionMonthsToGo+SwaptionShift),INDEX($FO$245:$IH$316,$FN200-HC$169,73-HC$169+SwaptionShift):INDEX($FO$245:$IH$316,$FN200-HC$169,72-HC$169+SwaptionMonthsToGo+SwaptionShift))/SQRT(SUM(INDEX($FO355:$IH355,1+SwaptionShift):INDEX($FO355:$IH355,SwaptionMonthsToGo+SwaptionShift))*SUM(INDEX($FO$325:$IH$396,HC$169,1+SwaptionShift):INDEX($FO$325:$IH$396,HC$169,SwaptionMonthsToGo+SwaptionShift))))))</f>
        <v/>
      </c>
      <c r="HD200" s="469" t="str">
        <f ca="1">IF(OR(HD$169&lt;SwaptionFirstMonthPosition+1,$FN200&lt;SwaptionFirstMonthPosition+1,HD$169&gt;SwaptionFirstMonthPosition+SwaptionNumOfMonths+1,$FN200&gt;SwaptionFirstMonthPosition+SwaptionNumOfMonths+1),"",IF($FN200=HD$169,1,IF($FN200&lt;HD$169,INDEX($FO$170:$IH$241,HD$169,$FN200),SUMPRODUCT(INDEX($FO$325:$IH$396,HD$169,1+SwaptionShift):INDEX($FO$325:$IH$396,HD$169,SwaptionMonthsToGo+SwaptionShift),INDEX($FO$245:$IH$316,$FN200-HD$169,73-HD$169+SwaptionShift):INDEX($FO$245:$IH$316,$FN200-HD$169,72-HD$169+SwaptionMonthsToGo+SwaptionShift))/SQRT(SUM(INDEX($FO355:$IH355,1+SwaptionShift):INDEX($FO355:$IH355,SwaptionMonthsToGo+SwaptionShift))*SUM(INDEX($FO$325:$IH$396,HD$169,1+SwaptionShift):INDEX($FO$325:$IH$396,HD$169,SwaptionMonthsToGo+SwaptionShift))))))</f>
        <v/>
      </c>
      <c r="HE200" s="469" t="str">
        <f ca="1">IF(OR(HE$169&lt;SwaptionFirstMonthPosition+1,$FN200&lt;SwaptionFirstMonthPosition+1,HE$169&gt;SwaptionFirstMonthPosition+SwaptionNumOfMonths+1,$FN200&gt;SwaptionFirstMonthPosition+SwaptionNumOfMonths+1),"",IF($FN200=HE$169,1,IF($FN200&lt;HE$169,INDEX($FO$170:$IH$241,HE$169,$FN200),SUMPRODUCT(INDEX($FO$325:$IH$396,HE$169,1+SwaptionShift):INDEX($FO$325:$IH$396,HE$169,SwaptionMonthsToGo+SwaptionShift),INDEX($FO$245:$IH$316,$FN200-HE$169,73-HE$169+SwaptionShift):INDEX($FO$245:$IH$316,$FN200-HE$169,72-HE$169+SwaptionMonthsToGo+SwaptionShift))/SQRT(SUM(INDEX($FO355:$IH355,1+SwaptionShift):INDEX($FO355:$IH355,SwaptionMonthsToGo+SwaptionShift))*SUM(INDEX($FO$325:$IH$396,HE$169,1+SwaptionShift):INDEX($FO$325:$IH$396,HE$169,SwaptionMonthsToGo+SwaptionShift))))))</f>
        <v/>
      </c>
      <c r="HF200" s="469" t="str">
        <f ca="1">IF(OR(HF$169&lt;SwaptionFirstMonthPosition+1,$FN200&lt;SwaptionFirstMonthPosition+1,HF$169&gt;SwaptionFirstMonthPosition+SwaptionNumOfMonths+1,$FN200&gt;SwaptionFirstMonthPosition+SwaptionNumOfMonths+1),"",IF($FN200=HF$169,1,IF($FN200&lt;HF$169,INDEX($FO$170:$IH$241,HF$169,$FN200),SUMPRODUCT(INDEX($FO$325:$IH$396,HF$169,1+SwaptionShift):INDEX($FO$325:$IH$396,HF$169,SwaptionMonthsToGo+SwaptionShift),INDEX($FO$245:$IH$316,$FN200-HF$169,73-HF$169+SwaptionShift):INDEX($FO$245:$IH$316,$FN200-HF$169,72-HF$169+SwaptionMonthsToGo+SwaptionShift))/SQRT(SUM(INDEX($FO355:$IH355,1+SwaptionShift):INDEX($FO355:$IH355,SwaptionMonthsToGo+SwaptionShift))*SUM(INDEX($FO$325:$IH$396,HF$169,1+SwaptionShift):INDEX($FO$325:$IH$396,HF$169,SwaptionMonthsToGo+SwaptionShift))))))</f>
        <v/>
      </c>
      <c r="HG200" s="469" t="str">
        <f ca="1">IF(OR(HG$169&lt;SwaptionFirstMonthPosition+1,$FN200&lt;SwaptionFirstMonthPosition+1,HG$169&gt;SwaptionFirstMonthPosition+SwaptionNumOfMonths+1,$FN200&gt;SwaptionFirstMonthPosition+SwaptionNumOfMonths+1),"",IF($FN200=HG$169,1,IF($FN200&lt;HG$169,INDEX($FO$170:$IH$241,HG$169,$FN200),SUMPRODUCT(INDEX($FO$325:$IH$396,HG$169,1+SwaptionShift):INDEX($FO$325:$IH$396,HG$169,SwaptionMonthsToGo+SwaptionShift),INDEX($FO$245:$IH$316,$FN200-HG$169,73-HG$169+SwaptionShift):INDEX($FO$245:$IH$316,$FN200-HG$169,72-HG$169+SwaptionMonthsToGo+SwaptionShift))/SQRT(SUM(INDEX($FO355:$IH355,1+SwaptionShift):INDEX($FO355:$IH355,SwaptionMonthsToGo+SwaptionShift))*SUM(INDEX($FO$325:$IH$396,HG$169,1+SwaptionShift):INDEX($FO$325:$IH$396,HG$169,SwaptionMonthsToGo+SwaptionShift))))))</f>
        <v/>
      </c>
      <c r="HH200" s="469" t="str">
        <f ca="1">IF(OR(HH$169&lt;SwaptionFirstMonthPosition+1,$FN200&lt;SwaptionFirstMonthPosition+1,HH$169&gt;SwaptionFirstMonthPosition+SwaptionNumOfMonths+1,$FN200&gt;SwaptionFirstMonthPosition+SwaptionNumOfMonths+1),"",IF($FN200=HH$169,1,IF($FN200&lt;HH$169,INDEX($FO$170:$IH$241,HH$169,$FN200),SUMPRODUCT(INDEX($FO$325:$IH$396,HH$169,1+SwaptionShift):INDEX($FO$325:$IH$396,HH$169,SwaptionMonthsToGo+SwaptionShift),INDEX($FO$245:$IH$316,$FN200-HH$169,73-HH$169+SwaptionShift):INDEX($FO$245:$IH$316,$FN200-HH$169,72-HH$169+SwaptionMonthsToGo+SwaptionShift))/SQRT(SUM(INDEX($FO355:$IH355,1+SwaptionShift):INDEX($FO355:$IH355,SwaptionMonthsToGo+SwaptionShift))*SUM(INDEX($FO$325:$IH$396,HH$169,1+SwaptionShift):INDEX($FO$325:$IH$396,HH$169,SwaptionMonthsToGo+SwaptionShift))))))</f>
        <v/>
      </c>
      <c r="HI200" s="469" t="str">
        <f ca="1">IF(OR(HI$169&lt;SwaptionFirstMonthPosition+1,$FN200&lt;SwaptionFirstMonthPosition+1,HI$169&gt;SwaptionFirstMonthPosition+SwaptionNumOfMonths+1,$FN200&gt;SwaptionFirstMonthPosition+SwaptionNumOfMonths+1),"",IF($FN200=HI$169,1,IF($FN200&lt;HI$169,INDEX($FO$170:$IH$241,HI$169,$FN200),SUMPRODUCT(INDEX($FO$325:$IH$396,HI$169,1+SwaptionShift):INDEX($FO$325:$IH$396,HI$169,SwaptionMonthsToGo+SwaptionShift),INDEX($FO$245:$IH$316,$FN200-HI$169,73-HI$169+SwaptionShift):INDEX($FO$245:$IH$316,$FN200-HI$169,72-HI$169+SwaptionMonthsToGo+SwaptionShift))/SQRT(SUM(INDEX($FO355:$IH355,1+SwaptionShift):INDEX($FO355:$IH355,SwaptionMonthsToGo+SwaptionShift))*SUM(INDEX($FO$325:$IH$396,HI$169,1+SwaptionShift):INDEX($FO$325:$IH$396,HI$169,SwaptionMonthsToGo+SwaptionShift))))))</f>
        <v/>
      </c>
      <c r="HJ200" s="469" t="str">
        <f ca="1">IF(OR(HJ$169&lt;SwaptionFirstMonthPosition+1,$FN200&lt;SwaptionFirstMonthPosition+1,HJ$169&gt;SwaptionFirstMonthPosition+SwaptionNumOfMonths+1,$FN200&gt;SwaptionFirstMonthPosition+SwaptionNumOfMonths+1),"",IF($FN200=HJ$169,1,IF($FN200&lt;HJ$169,INDEX($FO$170:$IH$241,HJ$169,$FN200),SUMPRODUCT(INDEX($FO$325:$IH$396,HJ$169,1+SwaptionShift):INDEX($FO$325:$IH$396,HJ$169,SwaptionMonthsToGo+SwaptionShift),INDEX($FO$245:$IH$316,$FN200-HJ$169,73-HJ$169+SwaptionShift):INDEX($FO$245:$IH$316,$FN200-HJ$169,72-HJ$169+SwaptionMonthsToGo+SwaptionShift))/SQRT(SUM(INDEX($FO355:$IH355,1+SwaptionShift):INDEX($FO355:$IH355,SwaptionMonthsToGo+SwaptionShift))*SUM(INDEX($FO$325:$IH$396,HJ$169,1+SwaptionShift):INDEX($FO$325:$IH$396,HJ$169,SwaptionMonthsToGo+SwaptionShift))))))</f>
        <v/>
      </c>
      <c r="HK200" s="469" t="str">
        <f ca="1">IF(OR(HK$169&lt;SwaptionFirstMonthPosition+1,$FN200&lt;SwaptionFirstMonthPosition+1,HK$169&gt;SwaptionFirstMonthPosition+SwaptionNumOfMonths+1,$FN200&gt;SwaptionFirstMonthPosition+SwaptionNumOfMonths+1),"",IF($FN200=HK$169,1,IF($FN200&lt;HK$169,INDEX($FO$170:$IH$241,HK$169,$FN200),SUMPRODUCT(INDEX($FO$325:$IH$396,HK$169,1+SwaptionShift):INDEX($FO$325:$IH$396,HK$169,SwaptionMonthsToGo+SwaptionShift),INDEX($FO$245:$IH$316,$FN200-HK$169,73-HK$169+SwaptionShift):INDEX($FO$245:$IH$316,$FN200-HK$169,72-HK$169+SwaptionMonthsToGo+SwaptionShift))/SQRT(SUM(INDEX($FO355:$IH355,1+SwaptionShift):INDEX($FO355:$IH355,SwaptionMonthsToGo+SwaptionShift))*SUM(INDEX($FO$325:$IH$396,HK$169,1+SwaptionShift):INDEX($FO$325:$IH$396,HK$169,SwaptionMonthsToGo+SwaptionShift))))))</f>
        <v/>
      </c>
      <c r="HL200" s="469" t="str">
        <f ca="1">IF(OR(HL$169&lt;SwaptionFirstMonthPosition+1,$FN200&lt;SwaptionFirstMonthPosition+1,HL$169&gt;SwaptionFirstMonthPosition+SwaptionNumOfMonths+1,$FN200&gt;SwaptionFirstMonthPosition+SwaptionNumOfMonths+1),"",IF($FN200=HL$169,1,IF($FN200&lt;HL$169,INDEX($FO$170:$IH$241,HL$169,$FN200),SUMPRODUCT(INDEX($FO$325:$IH$396,HL$169,1+SwaptionShift):INDEX($FO$325:$IH$396,HL$169,SwaptionMonthsToGo+SwaptionShift),INDEX($FO$245:$IH$316,$FN200-HL$169,73-HL$169+SwaptionShift):INDEX($FO$245:$IH$316,$FN200-HL$169,72-HL$169+SwaptionMonthsToGo+SwaptionShift))/SQRT(SUM(INDEX($FO355:$IH355,1+SwaptionShift):INDEX($FO355:$IH355,SwaptionMonthsToGo+SwaptionShift))*SUM(INDEX($FO$325:$IH$396,HL$169,1+SwaptionShift):INDEX($FO$325:$IH$396,HL$169,SwaptionMonthsToGo+SwaptionShift))))))</f>
        <v/>
      </c>
      <c r="HM200" s="469" t="str">
        <f ca="1">IF(OR(HM$169&lt;SwaptionFirstMonthPosition+1,$FN200&lt;SwaptionFirstMonthPosition+1,HM$169&gt;SwaptionFirstMonthPosition+SwaptionNumOfMonths+1,$FN200&gt;SwaptionFirstMonthPosition+SwaptionNumOfMonths+1),"",IF($FN200=HM$169,1,IF($FN200&lt;HM$169,INDEX($FO$170:$IH$241,HM$169,$FN200),SUMPRODUCT(INDEX($FO$325:$IH$396,HM$169,1+SwaptionShift):INDEX($FO$325:$IH$396,HM$169,SwaptionMonthsToGo+SwaptionShift),INDEX($FO$245:$IH$316,$FN200-HM$169,73-HM$169+SwaptionShift):INDEX($FO$245:$IH$316,$FN200-HM$169,72-HM$169+SwaptionMonthsToGo+SwaptionShift))/SQRT(SUM(INDEX($FO355:$IH355,1+SwaptionShift):INDEX($FO355:$IH355,SwaptionMonthsToGo+SwaptionShift))*SUM(INDEX($FO$325:$IH$396,HM$169,1+SwaptionShift):INDEX($FO$325:$IH$396,HM$169,SwaptionMonthsToGo+SwaptionShift))))))</f>
        <v/>
      </c>
      <c r="HN200" s="469" t="str">
        <f ca="1">IF(OR(HN$169&lt;SwaptionFirstMonthPosition+1,$FN200&lt;SwaptionFirstMonthPosition+1,HN$169&gt;SwaptionFirstMonthPosition+SwaptionNumOfMonths+1,$FN200&gt;SwaptionFirstMonthPosition+SwaptionNumOfMonths+1),"",IF($FN200=HN$169,1,IF($FN200&lt;HN$169,INDEX($FO$170:$IH$241,HN$169,$FN200),SUMPRODUCT(INDEX($FO$325:$IH$396,HN$169,1+SwaptionShift):INDEX($FO$325:$IH$396,HN$169,SwaptionMonthsToGo+SwaptionShift),INDEX($FO$245:$IH$316,$FN200-HN$169,73-HN$169+SwaptionShift):INDEX($FO$245:$IH$316,$FN200-HN$169,72-HN$169+SwaptionMonthsToGo+SwaptionShift))/SQRT(SUM(INDEX($FO355:$IH355,1+SwaptionShift):INDEX($FO355:$IH355,SwaptionMonthsToGo+SwaptionShift))*SUM(INDEX($FO$325:$IH$396,HN$169,1+SwaptionShift):INDEX($FO$325:$IH$396,HN$169,SwaptionMonthsToGo+SwaptionShift))))))</f>
        <v/>
      </c>
      <c r="HO200" s="469" t="str">
        <f ca="1">IF(OR(HO$169&lt;SwaptionFirstMonthPosition+1,$FN200&lt;SwaptionFirstMonthPosition+1,HO$169&gt;SwaptionFirstMonthPosition+SwaptionNumOfMonths+1,$FN200&gt;SwaptionFirstMonthPosition+SwaptionNumOfMonths+1),"",IF($FN200=HO$169,1,IF($FN200&lt;HO$169,INDEX($FO$170:$IH$241,HO$169,$FN200),SUMPRODUCT(INDEX($FO$325:$IH$396,HO$169,1+SwaptionShift):INDEX($FO$325:$IH$396,HO$169,SwaptionMonthsToGo+SwaptionShift),INDEX($FO$245:$IH$316,$FN200-HO$169,73-HO$169+SwaptionShift):INDEX($FO$245:$IH$316,$FN200-HO$169,72-HO$169+SwaptionMonthsToGo+SwaptionShift))/SQRT(SUM(INDEX($FO355:$IH355,1+SwaptionShift):INDEX($FO355:$IH355,SwaptionMonthsToGo+SwaptionShift))*SUM(INDEX($FO$325:$IH$396,HO$169,1+SwaptionShift):INDEX($FO$325:$IH$396,HO$169,SwaptionMonthsToGo+SwaptionShift))))))</f>
        <v/>
      </c>
      <c r="HP200" s="469" t="str">
        <f ca="1">IF(OR(HP$169&lt;SwaptionFirstMonthPosition+1,$FN200&lt;SwaptionFirstMonthPosition+1,HP$169&gt;SwaptionFirstMonthPosition+SwaptionNumOfMonths+1,$FN200&gt;SwaptionFirstMonthPosition+SwaptionNumOfMonths+1),"",IF($FN200=HP$169,1,IF($FN200&lt;HP$169,INDEX($FO$170:$IH$241,HP$169,$FN200),SUMPRODUCT(INDEX($FO$325:$IH$396,HP$169,1+SwaptionShift):INDEX($FO$325:$IH$396,HP$169,SwaptionMonthsToGo+SwaptionShift),INDEX($FO$245:$IH$316,$FN200-HP$169,73-HP$169+SwaptionShift):INDEX($FO$245:$IH$316,$FN200-HP$169,72-HP$169+SwaptionMonthsToGo+SwaptionShift))/SQRT(SUM(INDEX($FO355:$IH355,1+SwaptionShift):INDEX($FO355:$IH355,SwaptionMonthsToGo+SwaptionShift))*SUM(INDEX($FO$325:$IH$396,HP$169,1+SwaptionShift):INDEX($FO$325:$IH$396,HP$169,SwaptionMonthsToGo+SwaptionShift))))))</f>
        <v/>
      </c>
      <c r="HQ200" s="469" t="str">
        <f ca="1">IF(OR(HQ$169&lt;SwaptionFirstMonthPosition+1,$FN200&lt;SwaptionFirstMonthPosition+1,HQ$169&gt;SwaptionFirstMonthPosition+SwaptionNumOfMonths+1,$FN200&gt;SwaptionFirstMonthPosition+SwaptionNumOfMonths+1),"",IF($FN200=HQ$169,1,IF($FN200&lt;HQ$169,INDEX($FO$170:$IH$241,HQ$169,$FN200),SUMPRODUCT(INDEX($FO$325:$IH$396,HQ$169,1+SwaptionShift):INDEX($FO$325:$IH$396,HQ$169,SwaptionMonthsToGo+SwaptionShift),INDEX($FO$245:$IH$316,$FN200-HQ$169,73-HQ$169+SwaptionShift):INDEX($FO$245:$IH$316,$FN200-HQ$169,72-HQ$169+SwaptionMonthsToGo+SwaptionShift))/SQRT(SUM(INDEX($FO355:$IH355,1+SwaptionShift):INDEX($FO355:$IH355,SwaptionMonthsToGo+SwaptionShift))*SUM(INDEX($FO$325:$IH$396,HQ$169,1+SwaptionShift):INDEX($FO$325:$IH$396,HQ$169,SwaptionMonthsToGo+SwaptionShift))))))</f>
        <v/>
      </c>
      <c r="HR200" s="469" t="str">
        <f ca="1">IF(OR(HR$169&lt;SwaptionFirstMonthPosition+1,$FN200&lt;SwaptionFirstMonthPosition+1,HR$169&gt;SwaptionFirstMonthPosition+SwaptionNumOfMonths+1,$FN200&gt;SwaptionFirstMonthPosition+SwaptionNumOfMonths+1),"",IF($FN200=HR$169,1,IF($FN200&lt;HR$169,INDEX($FO$170:$IH$241,HR$169,$FN200),SUMPRODUCT(INDEX($FO$325:$IH$396,HR$169,1+SwaptionShift):INDEX($FO$325:$IH$396,HR$169,SwaptionMonthsToGo+SwaptionShift),INDEX($FO$245:$IH$316,$FN200-HR$169,73-HR$169+SwaptionShift):INDEX($FO$245:$IH$316,$FN200-HR$169,72-HR$169+SwaptionMonthsToGo+SwaptionShift))/SQRT(SUM(INDEX($FO355:$IH355,1+SwaptionShift):INDEX($FO355:$IH355,SwaptionMonthsToGo+SwaptionShift))*SUM(INDEX($FO$325:$IH$396,HR$169,1+SwaptionShift):INDEX($FO$325:$IH$396,HR$169,SwaptionMonthsToGo+SwaptionShift))))))</f>
        <v/>
      </c>
      <c r="HS200" s="469" t="str">
        <f ca="1">IF(OR(HS$169&lt;SwaptionFirstMonthPosition+1,$FN200&lt;SwaptionFirstMonthPosition+1,HS$169&gt;SwaptionFirstMonthPosition+SwaptionNumOfMonths+1,$FN200&gt;SwaptionFirstMonthPosition+SwaptionNumOfMonths+1),"",IF($FN200=HS$169,1,IF($FN200&lt;HS$169,INDEX($FO$170:$IH$241,HS$169,$FN200),SUMPRODUCT(INDEX($FO$325:$IH$396,HS$169,1+SwaptionShift):INDEX($FO$325:$IH$396,HS$169,SwaptionMonthsToGo+SwaptionShift),INDEX($FO$245:$IH$316,$FN200-HS$169,73-HS$169+SwaptionShift):INDEX($FO$245:$IH$316,$FN200-HS$169,72-HS$169+SwaptionMonthsToGo+SwaptionShift))/SQRT(SUM(INDEX($FO355:$IH355,1+SwaptionShift):INDEX($FO355:$IH355,SwaptionMonthsToGo+SwaptionShift))*SUM(INDEX($FO$325:$IH$396,HS$169,1+SwaptionShift):INDEX($FO$325:$IH$396,HS$169,SwaptionMonthsToGo+SwaptionShift))))))</f>
        <v/>
      </c>
      <c r="HT200" s="469" t="str">
        <f ca="1">IF(OR(HT$169&lt;SwaptionFirstMonthPosition+1,$FN200&lt;SwaptionFirstMonthPosition+1,HT$169&gt;SwaptionFirstMonthPosition+SwaptionNumOfMonths+1,$FN200&gt;SwaptionFirstMonthPosition+SwaptionNumOfMonths+1),"",IF($FN200=HT$169,1,IF($FN200&lt;HT$169,INDEX($FO$170:$IH$241,HT$169,$FN200),SUMPRODUCT(INDEX($FO$325:$IH$396,HT$169,1+SwaptionShift):INDEX($FO$325:$IH$396,HT$169,SwaptionMonthsToGo+SwaptionShift),INDEX($FO$245:$IH$316,$FN200-HT$169,73-HT$169+SwaptionShift):INDEX($FO$245:$IH$316,$FN200-HT$169,72-HT$169+SwaptionMonthsToGo+SwaptionShift))/SQRT(SUM(INDEX($FO355:$IH355,1+SwaptionShift):INDEX($FO355:$IH355,SwaptionMonthsToGo+SwaptionShift))*SUM(INDEX($FO$325:$IH$396,HT$169,1+SwaptionShift):INDEX($FO$325:$IH$396,HT$169,SwaptionMonthsToGo+SwaptionShift))))))</f>
        <v/>
      </c>
      <c r="HU200" s="469" t="str">
        <f ca="1">IF(OR(HU$169&lt;SwaptionFirstMonthPosition+1,$FN200&lt;SwaptionFirstMonthPosition+1,HU$169&gt;SwaptionFirstMonthPosition+SwaptionNumOfMonths+1,$FN200&gt;SwaptionFirstMonthPosition+SwaptionNumOfMonths+1),"",IF($FN200=HU$169,1,IF($FN200&lt;HU$169,INDEX($FO$170:$IH$241,HU$169,$FN200),SUMPRODUCT(INDEX($FO$325:$IH$396,HU$169,1+SwaptionShift):INDEX($FO$325:$IH$396,HU$169,SwaptionMonthsToGo+SwaptionShift),INDEX($FO$245:$IH$316,$FN200-HU$169,73-HU$169+SwaptionShift):INDEX($FO$245:$IH$316,$FN200-HU$169,72-HU$169+SwaptionMonthsToGo+SwaptionShift))/SQRT(SUM(INDEX($FO355:$IH355,1+SwaptionShift):INDEX($FO355:$IH355,SwaptionMonthsToGo+SwaptionShift))*SUM(INDEX($FO$325:$IH$396,HU$169,1+SwaptionShift):INDEX($FO$325:$IH$396,HU$169,SwaptionMonthsToGo+SwaptionShift))))))</f>
        <v/>
      </c>
      <c r="HV200" s="469" t="str">
        <f ca="1">IF(OR(HV$169&lt;SwaptionFirstMonthPosition+1,$FN200&lt;SwaptionFirstMonthPosition+1,HV$169&gt;SwaptionFirstMonthPosition+SwaptionNumOfMonths+1,$FN200&gt;SwaptionFirstMonthPosition+SwaptionNumOfMonths+1),"",IF($FN200=HV$169,1,IF($FN200&lt;HV$169,INDEX($FO$170:$IH$241,HV$169,$FN200),SUMPRODUCT(INDEX($FO$325:$IH$396,HV$169,1+SwaptionShift):INDEX($FO$325:$IH$396,HV$169,SwaptionMonthsToGo+SwaptionShift),INDEX($FO$245:$IH$316,$FN200-HV$169,73-HV$169+SwaptionShift):INDEX($FO$245:$IH$316,$FN200-HV$169,72-HV$169+SwaptionMonthsToGo+SwaptionShift))/SQRT(SUM(INDEX($FO355:$IH355,1+SwaptionShift):INDEX($FO355:$IH355,SwaptionMonthsToGo+SwaptionShift))*SUM(INDEX($FO$325:$IH$396,HV$169,1+SwaptionShift):INDEX($FO$325:$IH$396,HV$169,SwaptionMonthsToGo+SwaptionShift))))))</f>
        <v/>
      </c>
      <c r="HW200" s="469" t="str">
        <f ca="1">IF(OR(HW$169&lt;SwaptionFirstMonthPosition+1,$FN200&lt;SwaptionFirstMonthPosition+1,HW$169&gt;SwaptionFirstMonthPosition+SwaptionNumOfMonths+1,$FN200&gt;SwaptionFirstMonthPosition+SwaptionNumOfMonths+1),"",IF($FN200=HW$169,1,IF($FN200&lt;HW$169,INDEX($FO$170:$IH$241,HW$169,$FN200),SUMPRODUCT(INDEX($FO$325:$IH$396,HW$169,1+SwaptionShift):INDEX($FO$325:$IH$396,HW$169,SwaptionMonthsToGo+SwaptionShift),INDEX($FO$245:$IH$316,$FN200-HW$169,73-HW$169+SwaptionShift):INDEX($FO$245:$IH$316,$FN200-HW$169,72-HW$169+SwaptionMonthsToGo+SwaptionShift))/SQRT(SUM(INDEX($FO355:$IH355,1+SwaptionShift):INDEX($FO355:$IH355,SwaptionMonthsToGo+SwaptionShift))*SUM(INDEX($FO$325:$IH$396,HW$169,1+SwaptionShift):INDEX($FO$325:$IH$396,HW$169,SwaptionMonthsToGo+SwaptionShift))))))</f>
        <v/>
      </c>
      <c r="HX200" s="469" t="str">
        <f ca="1">IF(OR(HX$169&lt;SwaptionFirstMonthPosition+1,$FN200&lt;SwaptionFirstMonthPosition+1,HX$169&gt;SwaptionFirstMonthPosition+SwaptionNumOfMonths+1,$FN200&gt;SwaptionFirstMonthPosition+SwaptionNumOfMonths+1),"",IF($FN200=HX$169,1,IF($FN200&lt;HX$169,INDEX($FO$170:$IH$241,HX$169,$FN200),SUMPRODUCT(INDEX($FO$325:$IH$396,HX$169,1+SwaptionShift):INDEX($FO$325:$IH$396,HX$169,SwaptionMonthsToGo+SwaptionShift),INDEX($FO$245:$IH$316,$FN200-HX$169,73-HX$169+SwaptionShift):INDEX($FO$245:$IH$316,$FN200-HX$169,72-HX$169+SwaptionMonthsToGo+SwaptionShift))/SQRT(SUM(INDEX($FO355:$IH355,1+SwaptionShift):INDEX($FO355:$IH355,SwaptionMonthsToGo+SwaptionShift))*SUM(INDEX($FO$325:$IH$396,HX$169,1+SwaptionShift):INDEX($FO$325:$IH$396,HX$169,SwaptionMonthsToGo+SwaptionShift))))))</f>
        <v/>
      </c>
      <c r="HY200" s="469" t="str">
        <f ca="1">IF(OR(HY$169&lt;SwaptionFirstMonthPosition+1,$FN200&lt;SwaptionFirstMonthPosition+1,HY$169&gt;SwaptionFirstMonthPosition+SwaptionNumOfMonths+1,$FN200&gt;SwaptionFirstMonthPosition+SwaptionNumOfMonths+1),"",IF($FN200=HY$169,1,IF($FN200&lt;HY$169,INDEX($FO$170:$IH$241,HY$169,$FN200),SUMPRODUCT(INDEX($FO$325:$IH$396,HY$169,1+SwaptionShift):INDEX($FO$325:$IH$396,HY$169,SwaptionMonthsToGo+SwaptionShift),INDEX($FO$245:$IH$316,$FN200-HY$169,73-HY$169+SwaptionShift):INDEX($FO$245:$IH$316,$FN200-HY$169,72-HY$169+SwaptionMonthsToGo+SwaptionShift))/SQRT(SUM(INDEX($FO355:$IH355,1+SwaptionShift):INDEX($FO355:$IH355,SwaptionMonthsToGo+SwaptionShift))*SUM(INDEX($FO$325:$IH$396,HY$169,1+SwaptionShift):INDEX($FO$325:$IH$396,HY$169,SwaptionMonthsToGo+SwaptionShift))))))</f>
        <v/>
      </c>
      <c r="HZ200" s="469" t="str">
        <f ca="1">IF(OR(HZ$169&lt;SwaptionFirstMonthPosition+1,$FN200&lt;SwaptionFirstMonthPosition+1,HZ$169&gt;SwaptionFirstMonthPosition+SwaptionNumOfMonths+1,$FN200&gt;SwaptionFirstMonthPosition+SwaptionNumOfMonths+1),"",IF($FN200=HZ$169,1,IF($FN200&lt;HZ$169,INDEX($FO$170:$IH$241,HZ$169,$FN200),SUMPRODUCT(INDEX($FO$325:$IH$396,HZ$169,1+SwaptionShift):INDEX($FO$325:$IH$396,HZ$169,SwaptionMonthsToGo+SwaptionShift),INDEX($FO$245:$IH$316,$FN200-HZ$169,73-HZ$169+SwaptionShift):INDEX($FO$245:$IH$316,$FN200-HZ$169,72-HZ$169+SwaptionMonthsToGo+SwaptionShift))/SQRT(SUM(INDEX($FO355:$IH355,1+SwaptionShift):INDEX($FO355:$IH355,SwaptionMonthsToGo+SwaptionShift))*SUM(INDEX($FO$325:$IH$396,HZ$169,1+SwaptionShift):INDEX($FO$325:$IH$396,HZ$169,SwaptionMonthsToGo+SwaptionShift))))))</f>
        <v/>
      </c>
      <c r="IA200" s="469" t="str">
        <f ca="1">IF(OR(IA$169&lt;SwaptionFirstMonthPosition+1,$FN200&lt;SwaptionFirstMonthPosition+1,IA$169&gt;SwaptionFirstMonthPosition+SwaptionNumOfMonths+1,$FN200&gt;SwaptionFirstMonthPosition+SwaptionNumOfMonths+1),"",IF($FN200=IA$169,1,IF($FN200&lt;IA$169,INDEX($FO$170:$IH$241,IA$169,$FN200),SUMPRODUCT(INDEX($FO$325:$IH$396,IA$169,1+SwaptionShift):INDEX($FO$325:$IH$396,IA$169,SwaptionMonthsToGo+SwaptionShift),INDEX($FO$245:$IH$316,$FN200-IA$169,73-IA$169+SwaptionShift):INDEX($FO$245:$IH$316,$FN200-IA$169,72-IA$169+SwaptionMonthsToGo+SwaptionShift))/SQRT(SUM(INDEX($FO355:$IH355,1+SwaptionShift):INDEX($FO355:$IH355,SwaptionMonthsToGo+SwaptionShift))*SUM(INDEX($FO$325:$IH$396,IA$169,1+SwaptionShift):INDEX($FO$325:$IH$396,IA$169,SwaptionMonthsToGo+SwaptionShift))))))</f>
        <v/>
      </c>
      <c r="IB200" s="469" t="str">
        <f ca="1">IF(OR(IB$169&lt;SwaptionFirstMonthPosition+1,$FN200&lt;SwaptionFirstMonthPosition+1,IB$169&gt;SwaptionFirstMonthPosition+SwaptionNumOfMonths+1,$FN200&gt;SwaptionFirstMonthPosition+SwaptionNumOfMonths+1),"",IF($FN200=IB$169,1,IF($FN200&lt;IB$169,INDEX($FO$170:$IH$241,IB$169,$FN200),SUMPRODUCT(INDEX($FO$325:$IH$396,IB$169,1+SwaptionShift):INDEX($FO$325:$IH$396,IB$169,SwaptionMonthsToGo+SwaptionShift),INDEX($FO$245:$IH$316,$FN200-IB$169,73-IB$169+SwaptionShift):INDEX($FO$245:$IH$316,$FN200-IB$169,72-IB$169+SwaptionMonthsToGo+SwaptionShift))/SQRT(SUM(INDEX($FO355:$IH355,1+SwaptionShift):INDEX($FO355:$IH355,SwaptionMonthsToGo+SwaptionShift))*SUM(INDEX($FO$325:$IH$396,IB$169,1+SwaptionShift):INDEX($FO$325:$IH$396,IB$169,SwaptionMonthsToGo+SwaptionShift))))))</f>
        <v/>
      </c>
      <c r="IC200" s="469" t="str">
        <f ca="1">IF(OR(IC$169&lt;SwaptionFirstMonthPosition+1,$FN200&lt;SwaptionFirstMonthPosition+1,IC$169&gt;SwaptionFirstMonthPosition+SwaptionNumOfMonths+1,$FN200&gt;SwaptionFirstMonthPosition+SwaptionNumOfMonths+1),"",IF($FN200=IC$169,1,IF($FN200&lt;IC$169,INDEX($FO$170:$IH$241,IC$169,$FN200),SUMPRODUCT(INDEX($FO$325:$IH$396,IC$169,1+SwaptionShift):INDEX($FO$325:$IH$396,IC$169,SwaptionMonthsToGo+SwaptionShift),INDEX($FO$245:$IH$316,$FN200-IC$169,73-IC$169+SwaptionShift):INDEX($FO$245:$IH$316,$FN200-IC$169,72-IC$169+SwaptionMonthsToGo+SwaptionShift))/SQRT(SUM(INDEX($FO355:$IH355,1+SwaptionShift):INDEX($FO355:$IH355,SwaptionMonthsToGo+SwaptionShift))*SUM(INDEX($FO$325:$IH$396,IC$169,1+SwaptionShift):INDEX($FO$325:$IH$396,IC$169,SwaptionMonthsToGo+SwaptionShift))))))</f>
        <v/>
      </c>
      <c r="ID200" s="469" t="str">
        <f ca="1">IF(OR(ID$169&lt;SwaptionFirstMonthPosition+1,$FN200&lt;SwaptionFirstMonthPosition+1,ID$169&gt;SwaptionFirstMonthPosition+SwaptionNumOfMonths+1,$FN200&gt;SwaptionFirstMonthPosition+SwaptionNumOfMonths+1),"",IF($FN200=ID$169,1,IF($FN200&lt;ID$169,INDEX($FO$170:$IH$241,ID$169,$FN200),SUMPRODUCT(INDEX($FO$325:$IH$396,ID$169,1+SwaptionShift):INDEX($FO$325:$IH$396,ID$169,SwaptionMonthsToGo+SwaptionShift),INDEX($FO$245:$IH$316,$FN200-ID$169,73-ID$169+SwaptionShift):INDEX($FO$245:$IH$316,$FN200-ID$169,72-ID$169+SwaptionMonthsToGo+SwaptionShift))/SQRT(SUM(INDEX($FO355:$IH355,1+SwaptionShift):INDEX($FO355:$IH355,SwaptionMonthsToGo+SwaptionShift))*SUM(INDEX($FO$325:$IH$396,ID$169,1+SwaptionShift):INDEX($FO$325:$IH$396,ID$169,SwaptionMonthsToGo+SwaptionShift))))))</f>
        <v/>
      </c>
      <c r="IE200" s="469" t="str">
        <f ca="1">IF(OR(IE$169&lt;SwaptionFirstMonthPosition+1,$FN200&lt;SwaptionFirstMonthPosition+1,IE$169&gt;SwaptionFirstMonthPosition+SwaptionNumOfMonths+1,$FN200&gt;SwaptionFirstMonthPosition+SwaptionNumOfMonths+1),"",IF($FN200=IE$169,1,IF($FN200&lt;IE$169,INDEX($FO$170:$IH$241,IE$169,$FN200),SUMPRODUCT(INDEX($FO$325:$IH$396,IE$169,1+SwaptionShift):INDEX($FO$325:$IH$396,IE$169,SwaptionMonthsToGo+SwaptionShift),INDEX($FO$245:$IH$316,$FN200-IE$169,73-IE$169+SwaptionShift):INDEX($FO$245:$IH$316,$FN200-IE$169,72-IE$169+SwaptionMonthsToGo+SwaptionShift))/SQRT(SUM(INDEX($FO355:$IH355,1+SwaptionShift):INDEX($FO355:$IH355,SwaptionMonthsToGo+SwaptionShift))*SUM(INDEX($FO$325:$IH$396,IE$169,1+SwaptionShift):INDEX($FO$325:$IH$396,IE$169,SwaptionMonthsToGo+SwaptionShift))))))</f>
        <v/>
      </c>
      <c r="IF200" s="469" t="str">
        <f ca="1">IF(OR(IF$169&lt;SwaptionFirstMonthPosition+1,$FN200&lt;SwaptionFirstMonthPosition+1,IF$169&gt;SwaptionFirstMonthPosition+SwaptionNumOfMonths+1,$FN200&gt;SwaptionFirstMonthPosition+SwaptionNumOfMonths+1),"",IF($FN200=IF$169,1,IF($FN200&lt;IF$169,INDEX($FO$170:$IH$241,IF$169,$FN200),SUMPRODUCT(INDEX($FO$325:$IH$396,IF$169,1+SwaptionShift):INDEX($FO$325:$IH$396,IF$169,SwaptionMonthsToGo+SwaptionShift),INDEX($FO$245:$IH$316,$FN200-IF$169,73-IF$169+SwaptionShift):INDEX($FO$245:$IH$316,$FN200-IF$169,72-IF$169+SwaptionMonthsToGo+SwaptionShift))/SQRT(SUM(INDEX($FO355:$IH355,1+SwaptionShift):INDEX($FO355:$IH355,SwaptionMonthsToGo+SwaptionShift))*SUM(INDEX($FO$325:$IH$396,IF$169,1+SwaptionShift):INDEX($FO$325:$IH$396,IF$169,SwaptionMonthsToGo+SwaptionShift))))))</f>
        <v/>
      </c>
      <c r="IG200" s="469" t="str">
        <f ca="1">IF(OR(IG$169&lt;SwaptionFirstMonthPosition+1,$FN200&lt;SwaptionFirstMonthPosition+1,IG$169&gt;SwaptionFirstMonthPosition+SwaptionNumOfMonths+1,$FN200&gt;SwaptionFirstMonthPosition+SwaptionNumOfMonths+1),"",IF($FN200=IG$169,1,IF($FN200&lt;IG$169,INDEX($FO$170:$IH$241,IG$169,$FN200),SUMPRODUCT(INDEX($FO$325:$IH$396,IG$169,1+SwaptionShift):INDEX($FO$325:$IH$396,IG$169,SwaptionMonthsToGo+SwaptionShift),INDEX($FO$245:$IH$316,$FN200-IG$169,73-IG$169+SwaptionShift):INDEX($FO$245:$IH$316,$FN200-IG$169,72-IG$169+SwaptionMonthsToGo+SwaptionShift))/SQRT(SUM(INDEX($FO355:$IH355,1+SwaptionShift):INDEX($FO355:$IH355,SwaptionMonthsToGo+SwaptionShift))*SUM(INDEX($FO$325:$IH$396,IG$169,1+SwaptionShift):INDEX($FO$325:$IH$396,IG$169,SwaptionMonthsToGo+SwaptionShift))))))</f>
        <v/>
      </c>
      <c r="IH200" s="662" t="str">
        <f ca="1">IF(OR(IH$169&lt;SwaptionFirstMonthPosition+1,$FN200&lt;SwaptionFirstMonthPosition+1,IH$169&gt;SwaptionFirstMonthPosition+SwaptionNumOfMonths+1,$FN200&gt;SwaptionFirstMonthPosition+SwaptionNumOfMonths+1),"",IF($FN200=IH$169,1,IF($FN200&lt;IH$169,INDEX($FO$170:$IH$241,IH$169,$FN200),SUMPRODUCT(INDEX($FO$325:$IH$396,IH$169,1+SwaptionShift):INDEX($FO$325:$IH$396,IH$169,SwaptionMonthsToGo+SwaptionShift),INDEX($FO$245:$IH$316,$FN200-IH$169,73-IH$169+SwaptionShift):INDEX($FO$245:$IH$316,$FN200-IH$169,72-IH$169+SwaptionMonthsToGo+SwaptionShift))/SQRT(SUM(INDEX($FO355:$IH355,1+SwaptionShift):INDEX($FO355:$IH355,SwaptionMonthsToGo+SwaptionShift))*SUM(INDEX($FO$325:$IH$396,IH$169,1+SwaptionShift):INDEX($FO$325:$IH$396,IH$169,SwaptionMonthsToGo+SwaptionShift))))))</f>
        <v/>
      </c>
      <c r="II200" s="242"/>
    </row>
    <row r="201" spans="8:243">
      <c r="H201" s="49" t="e">
        <f t="shared" ca="1" si="529"/>
        <v>#N/A</v>
      </c>
      <c r="I201" s="369">
        <f t="shared" si="530"/>
        <v>42522</v>
      </c>
      <c r="J201" s="367">
        <v>23.909999999999901</v>
      </c>
      <c r="K201" s="101" t="s">
        <v>267</v>
      </c>
      <c r="L201" s="382">
        <f t="shared" si="531"/>
        <v>23.909999999999872</v>
      </c>
      <c r="M201" s="163">
        <v>0.13870000000000002</v>
      </c>
      <c r="N201" s="372">
        <v>0</v>
      </c>
      <c r="O201" s="163">
        <f t="shared" si="595"/>
        <v>0.13870000000000002</v>
      </c>
      <c r="P201" s="367">
        <v>22.4335499062562</v>
      </c>
      <c r="Q201" s="101" t="s">
        <v>267</v>
      </c>
      <c r="R201" s="367">
        <f t="shared" ca="1" si="596"/>
        <v>22.433549906256243</v>
      </c>
      <c r="S201" s="814">
        <f t="shared" si="594"/>
        <v>0.34819039848540462</v>
      </c>
      <c r="T201" s="813">
        <f t="shared" si="550"/>
        <v>0.99999999959231001</v>
      </c>
      <c r="U201" s="532">
        <f t="shared" si="551"/>
        <v>0.99999999999999978</v>
      </c>
      <c r="V201" s="379">
        <v>0</v>
      </c>
      <c r="W201" s="424">
        <f t="shared" si="597"/>
        <v>23.944090909090811</v>
      </c>
      <c r="X201" s="405">
        <f t="shared" si="598"/>
        <v>23.944090909090779</v>
      </c>
      <c r="Y201" s="313">
        <f t="shared" si="599"/>
        <v>22.60009090909081</v>
      </c>
      <c r="Z201" s="313">
        <f t="shared" ca="1" si="600"/>
        <v>22.600090909090778</v>
      </c>
      <c r="AA201" s="419">
        <f t="shared" si="493"/>
        <v>1.3440000000000001</v>
      </c>
      <c r="AB201" s="423">
        <f t="shared" ca="1" si="494"/>
        <v>1.3440000000000001</v>
      </c>
      <c r="AC201" s="221">
        <v>42510</v>
      </c>
      <c r="AD201" s="221">
        <v>42506</v>
      </c>
      <c r="AE201" s="221">
        <v>42505</v>
      </c>
      <c r="AF201" s="221">
        <v>42501</v>
      </c>
      <c r="AG201" s="241" t="s">
        <v>497</v>
      </c>
      <c r="AH201" s="239" t="s">
        <v>497</v>
      </c>
      <c r="AI201" s="141">
        <v>22</v>
      </c>
      <c r="AJ201" s="41">
        <v>14</v>
      </c>
      <c r="AK201" s="41">
        <v>8</v>
      </c>
      <c r="AL201" s="285">
        <v>22</v>
      </c>
      <c r="AM201" s="41">
        <v>10</v>
      </c>
      <c r="AN201" s="142">
        <v>12</v>
      </c>
      <c r="AO201" s="364">
        <v>6.2036776711420501E-2</v>
      </c>
      <c r="AP201" s="145">
        <f t="shared" ca="1" si="532"/>
        <v>0.39448708467847377</v>
      </c>
      <c r="AQ201" s="364">
        <v>5.6470864620287796E-2</v>
      </c>
      <c r="AR201" s="145">
        <f t="shared" ca="1" si="552"/>
        <v>0.43127722281603459</v>
      </c>
      <c r="AS201" s="264">
        <f t="shared" si="601"/>
        <v>0.13815454545454545</v>
      </c>
      <c r="AT201" s="149">
        <f t="shared" si="533"/>
        <v>0.13870000000000002</v>
      </c>
      <c r="AU201" s="149">
        <f t="shared" si="496"/>
        <v>0.13808181818181817</v>
      </c>
      <c r="AV201" s="263">
        <f t="shared" ca="1" si="560"/>
        <v>0.13667447737452379</v>
      </c>
      <c r="AW201" s="150" t="str">
        <f t="shared" ca="1" si="581"/>
        <v/>
      </c>
      <c r="AX201" s="149">
        <f t="shared" ca="1" si="553"/>
        <v>5.0491800766152605E-3</v>
      </c>
      <c r="AY201" s="149">
        <f t="shared" ca="1" si="554"/>
        <v>1.6872833329036239E-3</v>
      </c>
      <c r="AZ201" s="149">
        <f t="shared" ca="1" si="555"/>
        <v>1.7949901256907644E-3</v>
      </c>
      <c r="BA201" s="149">
        <f t="shared" ca="1" si="556"/>
        <v>1.0000000000000919E-4</v>
      </c>
      <c r="BB201" s="149">
        <f t="shared" ca="1" si="557"/>
        <v>1.0000000000000919E-4</v>
      </c>
      <c r="BC201" s="149">
        <f t="shared" ca="1" si="558"/>
        <v>1.0000000000000919E-4</v>
      </c>
      <c r="BD201" s="143">
        <f t="shared" ca="1" si="602"/>
        <v>0</v>
      </c>
      <c r="BE201" s="144">
        <f t="shared" ca="1" si="603"/>
        <v>0</v>
      </c>
      <c r="BF201" s="40">
        <f t="shared" si="604"/>
        <v>2016</v>
      </c>
      <c r="BG201" s="139">
        <f t="shared" si="605"/>
        <v>6</v>
      </c>
      <c r="BH201" s="140">
        <f t="shared" ca="1" si="606"/>
        <v>5516</v>
      </c>
      <c r="BI201" s="304">
        <f t="shared" ca="1" si="607"/>
        <v>15.145790554414784</v>
      </c>
      <c r="BJ201" s="42">
        <f t="shared" ca="1" si="503"/>
        <v>15.196316346213676</v>
      </c>
      <c r="BK201" s="42">
        <f t="shared" ca="1" si="504"/>
        <v>15.199054197000809</v>
      </c>
      <c r="BL201" s="42">
        <f t="shared" ca="1" si="608"/>
        <v>15.225188227241615</v>
      </c>
      <c r="BM201" s="285">
        <f t="shared" si="609"/>
        <v>22</v>
      </c>
      <c r="BN201" s="41">
        <f t="shared" si="610"/>
        <v>14</v>
      </c>
      <c r="BO201" s="41">
        <f t="shared" si="611"/>
        <v>8</v>
      </c>
      <c r="BP201" s="297" t="str">
        <f t="shared" ca="1" si="505"/>
        <v/>
      </c>
      <c r="BQ201" s="297" t="str">
        <f t="shared" ca="1" si="506"/>
        <v/>
      </c>
      <c r="BR201" s="299" t="str">
        <f t="shared" ca="1" si="507"/>
        <v/>
      </c>
      <c r="BS201" s="153" t="str">
        <f t="shared" ca="1" si="508"/>
        <v/>
      </c>
      <c r="BT201" s="153" t="str">
        <f t="shared" ca="1" si="509"/>
        <v/>
      </c>
      <c r="BU201" s="300" t="str">
        <f t="shared" ca="1" si="510"/>
        <v/>
      </c>
      <c r="BV201" s="301" t="str">
        <f t="shared" ca="1" si="511"/>
        <v/>
      </c>
      <c r="BW201" s="300" t="str">
        <f t="shared" ca="1" si="512"/>
        <v/>
      </c>
      <c r="BX201" s="301" t="str">
        <f t="shared" ca="1" si="513"/>
        <v/>
      </c>
      <c r="BY201" s="146" t="str">
        <f t="shared" ca="1" si="514"/>
        <v/>
      </c>
      <c r="BZ201" s="146" t="str">
        <f t="shared" ca="1" si="515"/>
        <v/>
      </c>
      <c r="CA201" s="146" t="str">
        <f t="shared" ca="1" si="516"/>
        <v/>
      </c>
      <c r="CB201" s="146" t="str">
        <f t="shared" ca="1" si="517"/>
        <v/>
      </c>
      <c r="CC201" s="302">
        <v>1</v>
      </c>
      <c r="CD201" s="154">
        <f ca="1">IF(BD201,_xll.xCrudeAPO(BS201,BT201,BY201,BZ201,S202,S203,BI201,BL201,BN201,BO201,0,Strike1,AO201,CC201,0,BL201,IF(OptControl=4,0,1),0,1),0)</f>
        <v>0</v>
      </c>
      <c r="CE201" s="155">
        <f ca="1">IF(BD201,_xll.xCrudeAPO(BS201,BT201,BY201,BZ201,S202,S203,BI201,BL201,BN201,BO201,0,Strike1,AO201,CC201,0,BL201,IF(OptControl=4,0,1),1,1)+_xll.xCrudeAPO(BS201,BT201,BY201,BZ201,S202,S203,BI201,BL201,BN201,BO201,0,Strike1,AO201,CC201,0,BL201,IF(OptControl=4,0,1),1,2)+IF(OR(VolSkewFlag=2,ABS(BQ201)&lt;0.0001),0,IF(BQ201&gt;0,-1,1)*CF201*Strike1/BP201^2*BW201/10%),0)</f>
        <v>0</v>
      </c>
      <c r="CF201" s="155">
        <f ca="1">IF(BD201,(_xll.xCrudeAPO(BS201,BT201,BY201,BZ201,S202,S203,BI201,BL201,BN201,BO201,0,Strike1,AO201,CC201,0,BL201,IF(OptControl=4,0,1),3,1)+_xll.xCrudeAPO(BS201,BT201,BY201,BZ201,S202,S203,BI201,BL201,BN201,BO201,0,Strike1,AO201,CC201,0,BL201,IF(OptControl=4,0,1),3,2))/100,0)</f>
        <v>0</v>
      </c>
      <c r="CG201" s="155">
        <f ca="1">IF(BD201,_xll.xCrudeAPO(BS201,BT201,BY201,BZ201,S202,S203,BI201-DaysForThetaCalculation/365.25,BL201-DaysForThetaCalculation/365.25,BN201,BO201,0,Strike1,AO201,CC201,0,BL201,IF(OptControl=4,0,1),0,1)-_xll.xCrudeAPO(BS201,BT201,BY201,BZ201,S202,S203,BI201,BL201,BN201,BO201,0,Strike1,AO201,CC201,0,BL201,IF(OptControl=4,0,1),0,1),0)</f>
        <v>0</v>
      </c>
      <c r="CH201" s="303">
        <f ca="1">IF(BD201,_xll.xCrudeAPO(BS201,BT201,CA201,CB201,S202,S203,BI201,BL201,BN201,BO201,0,Strike2,AO201,CC201,0,BL201,IF(OptControl=3,1,0),0,1),0)</f>
        <v>0</v>
      </c>
      <c r="CI201" s="155">
        <f ca="1">IF(BD201,_xll.xCrudeAPO(BS201,BT201,CA201,CB201,S202,S203,BI201,BL201,BN201,BO201,0,Strike2,AO201,CC201,0,BL201,IF(OptControl=3,1,0),1,1)+_xll.xCrudeAPO(BS201,BT201,CA201,CB201,S202,S203,BI201,BL201,BN201,BO201,0,Strike2,AO201,CC201,0,BL201,IF(OptControl=3,1,0),1,2)+IF(OR(VolSkewFlag=2,ABS(BR201)&lt;0.0001),0,IF(BR201&gt;0,-1,1)*CJ201*Strike2/BP201^2*BX201/10%),0)</f>
        <v>0</v>
      </c>
      <c r="CJ201" s="155">
        <f ca="1">IF(BD201,(_xll.xCrudeAPO(BS201,BT201,CA201,CB201,S202,S203,BI201,BL201,BN201,BO201,0,Strike2,AO201,CC201,0,BL201,IF(OptControl=3,1,0),3,1)+_xll.xCrudeAPO(BS201,BT201,CA201,CB201,S202,S203,BI201,BL201,BN201,BO201,0,Strike2,AO201,CC201,0,BL201,IF(OptControl=3,1,0),3,2))/100,0)</f>
        <v>0</v>
      </c>
      <c r="CK201" s="156">
        <f ca="1">IF(BD201,_xll.xCrudeAPO(BS201,BT201,CA201,CB201,S202,S203,BI201-DaysForThetaCalculation/365.25,BL201-DaysForThetaCalculation/365.25,BN201,BO201,0,Strike2,AO201,CC201,0,BL201,IF(OptControl=3,1,0),0,1)-_xll.xCrudeAPO(BS201,BT201,CA201,CB201,S202,S203,BI201,BL201,BN201,BO201,0,Strike2,AO201,CC201,0,BL201,IF(OptControl=3,1,0),0,1),0)</f>
        <v>0</v>
      </c>
      <c r="CL201" s="51"/>
      <c r="CM201" s="779" t="str">
        <f t="shared" ca="1" si="534"/>
        <v/>
      </c>
      <c r="CN201" s="783" t="str">
        <f t="shared" ca="1" si="535"/>
        <v/>
      </c>
      <c r="CO201" s="780" t="str">
        <f t="shared" ca="1" si="536"/>
        <v/>
      </c>
      <c r="CP201" s="780" t="str">
        <f t="shared" ca="1" si="537"/>
        <v/>
      </c>
      <c r="CQ201" s="780" t="str">
        <f t="shared" ca="1" si="538"/>
        <v/>
      </c>
      <c r="CR201" s="780" t="str">
        <f t="shared" ca="1" si="539"/>
        <v/>
      </c>
      <c r="CS201" s="781" t="str">
        <f t="shared" ca="1" si="540"/>
        <v/>
      </c>
      <c r="CT201" s="782" t="str">
        <f t="shared" ca="1" si="541"/>
        <v/>
      </c>
      <c r="CU201" s="782" t="str">
        <f t="shared" ca="1" si="542"/>
        <v/>
      </c>
      <c r="CV201" s="155">
        <f ca="1">IF(BD201,_xll.EURO(CN201,Strike1,AO201,AO201,CT201,CM201,IF(OptControl=4,0,1),0),0)</f>
        <v>0</v>
      </c>
      <c r="CW201" s="155">
        <f ca="1">IF(BD201,_xll.EURO(CN201,Strike1,AO201,AO201,CT201,CM201,IF(OptControl=4,0,1),1)+IF(OR(VolSkewFlag=2,ABS(CO201)&lt;0.0001),0,IF(CO201&gt;0,-1,1)*CX201*100*Strike1/CN201^2*CQ201/10%),0)</f>
        <v>0</v>
      </c>
      <c r="CX201" s="155">
        <f ca="1">IF(BD201,_xll.EURO(CN201,Strike1,AO201,AO201,CT201,CM201,IF(OptControl=4,0,1),3)/100,0)</f>
        <v>0</v>
      </c>
      <c r="CY201" s="155">
        <f ca="1">IF(BD201,_xll.EURO(CN201,Strike1,AO201,AO201,CT201,CM201,IF(OptControl=4,0,1),0)-_xll.EURO(CN201,Strike1,AO201,AO201,CT201,CM201-1,IF(OptControl=4,0,1),0),0)</f>
        <v>0</v>
      </c>
      <c r="CZ201" s="155">
        <f ca="1">IF(BD201,_xll.EURO(CN201,Strike2,AO201,AO201,CU201,CM201,IF(OptControl=3,1,0),0),0)</f>
        <v>0</v>
      </c>
      <c r="DA201" s="155">
        <f ca="1">IF(BD201,_xll.EURO(CN201,Strike2,AO201,AO201,CU201,CM201,IF(OptControl=3,1,0),1)+IF(OR(VolSkewFlag=2,ABS(CP201)&lt;0.0001),0,IF(CP201&gt;0,-1,1)*DB201*100*Strike2/CN201^2*CR201/10%),0)</f>
        <v>0</v>
      </c>
      <c r="DB201" s="155">
        <f ca="1">IF(BD201,_xll.EURO(CN201,Strike2,AO201,AO201,CU201,CM201,IF(OptControl=3,1,0),3)/100,0)</f>
        <v>0</v>
      </c>
      <c r="DC201" s="156">
        <f ca="1">IF(BD201,_xll.EURO(CN201,Strike2,AO201,AO201,CU201,CM201,IF(OptControl=3,1,0),0)-_xll.EURO(CN201,Strike2,AO201,AO201,CU201,CM201-1,IF(OptControl=3,1,0),0),0)</f>
        <v>0</v>
      </c>
      <c r="DE201" s="651">
        <f t="shared" ca="1" si="543"/>
        <v>42430</v>
      </c>
      <c r="DF201" s="465">
        <v>1E-4</v>
      </c>
      <c r="DG201" s="649">
        <v>1E-4</v>
      </c>
      <c r="DH201" s="650">
        <f t="shared" ca="1" si="612"/>
        <v>42430</v>
      </c>
      <c r="DI201" s="465">
        <v>1E-4</v>
      </c>
      <c r="DJ201" s="649">
        <v>1E-4</v>
      </c>
      <c r="DK201" s="651">
        <f t="shared" ca="1" si="613"/>
        <v>42430</v>
      </c>
      <c r="DL201" s="652">
        <f t="shared" si="614"/>
        <v>5.0100000000000006E-2</v>
      </c>
      <c r="DM201" s="651">
        <f t="shared" ca="1" si="615"/>
        <v>42430</v>
      </c>
      <c r="DN201" s="563">
        <f t="shared" si="616"/>
        <v>-0.12990000000000002</v>
      </c>
      <c r="DO201" s="803">
        <v>-0.13</v>
      </c>
      <c r="DP201" s="650">
        <f t="shared" ca="1" si="617"/>
        <v>42430</v>
      </c>
      <c r="DQ201" s="653">
        <v>1E-4</v>
      </c>
      <c r="DR201" s="590">
        <v>1E-4</v>
      </c>
      <c r="DS201" s="650">
        <f t="shared" ca="1" si="618"/>
        <v>42430</v>
      </c>
      <c r="DT201" s="653">
        <v>1E-4</v>
      </c>
      <c r="DU201" s="590">
        <v>1E-4</v>
      </c>
      <c r="DV201" s="651">
        <f t="shared" ca="1" si="619"/>
        <v>42430</v>
      </c>
      <c r="DW201" s="590">
        <v>1E-4</v>
      </c>
      <c r="DX201" s="651">
        <f t="shared" ca="1" si="620"/>
        <v>42430</v>
      </c>
      <c r="DY201" s="590">
        <f t="shared" si="621"/>
        <v>1E-4</v>
      </c>
      <c r="DZ201" s="1"/>
      <c r="EA201" s="857"/>
      <c r="EB201" s="857"/>
      <c r="EC201" s="857"/>
      <c r="ED201" s="868" t="e">
        <f t="shared" ca="1" si="566"/>
        <v>#NAME?</v>
      </c>
      <c r="EE201" s="863" t="e">
        <f t="shared" ca="1" si="524"/>
        <v>#NAME?</v>
      </c>
      <c r="EF201" s="590" t="e">
        <f t="shared" ca="1" si="525"/>
        <v>#NAME?</v>
      </c>
      <c r="EG201" s="862" t="str">
        <f t="shared" ca="1" si="622"/>
        <v/>
      </c>
      <c r="EH201" s="114" t="str">
        <f t="shared" ca="1" si="527"/>
        <v/>
      </c>
      <c r="EI201" s="109" t="str">
        <f t="shared" ca="1" si="528"/>
        <v/>
      </c>
      <c r="EJ201" s="115">
        <f ca="1">IF(BD201,_xll.xASN(BP201,Strike1,AO201,EH201,0,BM201,0,BI201,BL201,IF(OptControl=4,0,1),0),0)</f>
        <v>0</v>
      </c>
      <c r="EK201" s="108">
        <f ca="1">IF(BD201,_xll.xASN(BP201,Strike2,AO201,EI201,0,BM201,0,BI201,BL201,IF(OptControl=3,1,0),0),0)</f>
        <v>0</v>
      </c>
      <c r="EP201" s="53"/>
      <c r="EQ201" s="1"/>
      <c r="ER201" s="103"/>
      <c r="ES201" s="103"/>
      <c r="ET201" s="1"/>
      <c r="EU201" s="667" t="s">
        <v>414</v>
      </c>
      <c r="EW201" s="445"/>
      <c r="EX201" s="36"/>
      <c r="EY201" s="104"/>
      <c r="EZ201" s="465"/>
      <c r="FA201" s="446"/>
      <c r="FB201" s="446"/>
      <c r="FC201" s="242"/>
      <c r="FD201" s="242"/>
      <c r="FE201" s="242"/>
      <c r="FF201" s="242"/>
      <c r="FG201" s="242"/>
      <c r="FH201" s="242"/>
      <c r="FI201" s="242"/>
      <c r="FJ201" s="242"/>
      <c r="FK201" s="242"/>
      <c r="FL201" s="242"/>
      <c r="FM201" s="242"/>
      <c r="FN201" s="657">
        <v>32</v>
      </c>
      <c r="FO201" s="469" t="str">
        <f ca="1">IF(OR(FO$169&lt;SwaptionFirstMonthPosition+1,$FN201&lt;SwaptionFirstMonthPosition+1,FO$169&gt;SwaptionFirstMonthPosition+SwaptionNumOfMonths+1,$FN201&gt;SwaptionFirstMonthPosition+SwaptionNumOfMonths+1),"",IF($FN201=FO$169,1,IF($FN201&lt;FO$169,INDEX($FO$170:$IH$241,FO$169,$FN201),SUMPRODUCT(INDEX($FO$325:$IH$396,FO$169,1+SwaptionShift):INDEX($FO$325:$IH$396,FO$169,SwaptionMonthsToGo+SwaptionShift),INDEX($FO$245:$IH$316,$FN201-FO$169,73-FO$169+SwaptionShift):INDEX($FO$245:$IH$316,$FN201-FO$169,72-FO$169+SwaptionMonthsToGo+SwaptionShift))/SQRT(SUM(INDEX($FO356:$IH356,1+SwaptionShift):INDEX($FO356:$IH356,SwaptionMonthsToGo+SwaptionShift))*SUM(INDEX($FO$325:$IH$396,FO$169,1+SwaptionShift):INDEX($FO$325:$IH$396,FO$169,SwaptionMonthsToGo+SwaptionShift))))))</f>
        <v/>
      </c>
      <c r="FP201" s="469" t="str">
        <f ca="1">IF(OR(FP$169&lt;SwaptionFirstMonthPosition+1,$FN201&lt;SwaptionFirstMonthPosition+1,FP$169&gt;SwaptionFirstMonthPosition+SwaptionNumOfMonths+1,$FN201&gt;SwaptionFirstMonthPosition+SwaptionNumOfMonths+1),"",IF($FN201=FP$169,1,IF($FN201&lt;FP$169,INDEX($FO$170:$IH$241,FP$169,$FN201),SUMPRODUCT(INDEX($FO$325:$IH$396,FP$169,1+SwaptionShift):INDEX($FO$325:$IH$396,FP$169,SwaptionMonthsToGo+SwaptionShift),INDEX($FO$245:$IH$316,$FN201-FP$169,73-FP$169+SwaptionShift):INDEX($FO$245:$IH$316,$FN201-FP$169,72-FP$169+SwaptionMonthsToGo+SwaptionShift))/SQRT(SUM(INDEX($FO356:$IH356,1+SwaptionShift):INDEX($FO356:$IH356,SwaptionMonthsToGo+SwaptionShift))*SUM(INDEX($FO$325:$IH$396,FP$169,1+SwaptionShift):INDEX($FO$325:$IH$396,FP$169,SwaptionMonthsToGo+SwaptionShift))))))</f>
        <v/>
      </c>
      <c r="FQ201" s="469" t="str">
        <f ca="1">IF(OR(FQ$169&lt;SwaptionFirstMonthPosition+1,$FN201&lt;SwaptionFirstMonthPosition+1,FQ$169&gt;SwaptionFirstMonthPosition+SwaptionNumOfMonths+1,$FN201&gt;SwaptionFirstMonthPosition+SwaptionNumOfMonths+1),"",IF($FN201=FQ$169,1,IF($FN201&lt;FQ$169,INDEX($FO$170:$IH$241,FQ$169,$FN201),SUMPRODUCT(INDEX($FO$325:$IH$396,FQ$169,1+SwaptionShift):INDEX($FO$325:$IH$396,FQ$169,SwaptionMonthsToGo+SwaptionShift),INDEX($FO$245:$IH$316,$FN201-FQ$169,73-FQ$169+SwaptionShift):INDEX($FO$245:$IH$316,$FN201-FQ$169,72-FQ$169+SwaptionMonthsToGo+SwaptionShift))/SQRT(SUM(INDEX($FO356:$IH356,1+SwaptionShift):INDEX($FO356:$IH356,SwaptionMonthsToGo+SwaptionShift))*SUM(INDEX($FO$325:$IH$396,FQ$169,1+SwaptionShift):INDEX($FO$325:$IH$396,FQ$169,SwaptionMonthsToGo+SwaptionShift))))))</f>
        <v/>
      </c>
      <c r="FR201" s="469" t="str">
        <f ca="1">IF(OR(FR$169&lt;SwaptionFirstMonthPosition+1,$FN201&lt;SwaptionFirstMonthPosition+1,FR$169&gt;SwaptionFirstMonthPosition+SwaptionNumOfMonths+1,$FN201&gt;SwaptionFirstMonthPosition+SwaptionNumOfMonths+1),"",IF($FN201=FR$169,1,IF($FN201&lt;FR$169,INDEX($FO$170:$IH$241,FR$169,$FN201),SUMPRODUCT(INDEX($FO$325:$IH$396,FR$169,1+SwaptionShift):INDEX($FO$325:$IH$396,FR$169,SwaptionMonthsToGo+SwaptionShift),INDEX($FO$245:$IH$316,$FN201-FR$169,73-FR$169+SwaptionShift):INDEX($FO$245:$IH$316,$FN201-FR$169,72-FR$169+SwaptionMonthsToGo+SwaptionShift))/SQRT(SUM(INDEX($FO356:$IH356,1+SwaptionShift):INDEX($FO356:$IH356,SwaptionMonthsToGo+SwaptionShift))*SUM(INDEX($FO$325:$IH$396,FR$169,1+SwaptionShift):INDEX($FO$325:$IH$396,FR$169,SwaptionMonthsToGo+SwaptionShift))))))</f>
        <v/>
      </c>
      <c r="FS201" s="469" t="str">
        <f ca="1">IF(OR(FS$169&lt;SwaptionFirstMonthPosition+1,$FN201&lt;SwaptionFirstMonthPosition+1,FS$169&gt;SwaptionFirstMonthPosition+SwaptionNumOfMonths+1,$FN201&gt;SwaptionFirstMonthPosition+SwaptionNumOfMonths+1),"",IF($FN201=FS$169,1,IF($FN201&lt;FS$169,INDEX($FO$170:$IH$241,FS$169,$FN201),SUMPRODUCT(INDEX($FO$325:$IH$396,FS$169,1+SwaptionShift):INDEX($FO$325:$IH$396,FS$169,SwaptionMonthsToGo+SwaptionShift),INDEX($FO$245:$IH$316,$FN201-FS$169,73-FS$169+SwaptionShift):INDEX($FO$245:$IH$316,$FN201-FS$169,72-FS$169+SwaptionMonthsToGo+SwaptionShift))/SQRT(SUM(INDEX($FO356:$IH356,1+SwaptionShift):INDEX($FO356:$IH356,SwaptionMonthsToGo+SwaptionShift))*SUM(INDEX($FO$325:$IH$396,FS$169,1+SwaptionShift):INDEX($FO$325:$IH$396,FS$169,SwaptionMonthsToGo+SwaptionShift))))))</f>
        <v/>
      </c>
      <c r="FT201" s="469" t="str">
        <f ca="1">IF(OR(FT$169&lt;SwaptionFirstMonthPosition+1,$FN201&lt;SwaptionFirstMonthPosition+1,FT$169&gt;SwaptionFirstMonthPosition+SwaptionNumOfMonths+1,$FN201&gt;SwaptionFirstMonthPosition+SwaptionNumOfMonths+1),"",IF($FN201=FT$169,1,IF($FN201&lt;FT$169,INDEX($FO$170:$IH$241,FT$169,$FN201),SUMPRODUCT(INDEX($FO$325:$IH$396,FT$169,1+SwaptionShift):INDEX($FO$325:$IH$396,FT$169,SwaptionMonthsToGo+SwaptionShift),INDEX($FO$245:$IH$316,$FN201-FT$169,73-FT$169+SwaptionShift):INDEX($FO$245:$IH$316,$FN201-FT$169,72-FT$169+SwaptionMonthsToGo+SwaptionShift))/SQRT(SUM(INDEX($FO356:$IH356,1+SwaptionShift):INDEX($FO356:$IH356,SwaptionMonthsToGo+SwaptionShift))*SUM(INDEX($FO$325:$IH$396,FT$169,1+SwaptionShift):INDEX($FO$325:$IH$396,FT$169,SwaptionMonthsToGo+SwaptionShift))))))</f>
        <v/>
      </c>
      <c r="FU201" s="469" t="str">
        <f ca="1">IF(OR(FU$169&lt;SwaptionFirstMonthPosition+1,$FN201&lt;SwaptionFirstMonthPosition+1,FU$169&gt;SwaptionFirstMonthPosition+SwaptionNumOfMonths+1,$FN201&gt;SwaptionFirstMonthPosition+SwaptionNumOfMonths+1),"",IF($FN201=FU$169,1,IF($FN201&lt;FU$169,INDEX($FO$170:$IH$241,FU$169,$FN201),SUMPRODUCT(INDEX($FO$325:$IH$396,FU$169,1+SwaptionShift):INDEX($FO$325:$IH$396,FU$169,SwaptionMonthsToGo+SwaptionShift),INDEX($FO$245:$IH$316,$FN201-FU$169,73-FU$169+SwaptionShift):INDEX($FO$245:$IH$316,$FN201-FU$169,72-FU$169+SwaptionMonthsToGo+SwaptionShift))/SQRT(SUM(INDEX($FO356:$IH356,1+SwaptionShift):INDEX($FO356:$IH356,SwaptionMonthsToGo+SwaptionShift))*SUM(INDEX($FO$325:$IH$396,FU$169,1+SwaptionShift):INDEX($FO$325:$IH$396,FU$169,SwaptionMonthsToGo+SwaptionShift))))))</f>
        <v/>
      </c>
      <c r="FV201" s="469" t="str">
        <f ca="1">IF(OR(FV$169&lt;SwaptionFirstMonthPosition+1,$FN201&lt;SwaptionFirstMonthPosition+1,FV$169&gt;SwaptionFirstMonthPosition+SwaptionNumOfMonths+1,$FN201&gt;SwaptionFirstMonthPosition+SwaptionNumOfMonths+1),"",IF($FN201=FV$169,1,IF($FN201&lt;FV$169,INDEX($FO$170:$IH$241,FV$169,$FN201),SUMPRODUCT(INDEX($FO$325:$IH$396,FV$169,1+SwaptionShift):INDEX($FO$325:$IH$396,FV$169,SwaptionMonthsToGo+SwaptionShift),INDEX($FO$245:$IH$316,$FN201-FV$169,73-FV$169+SwaptionShift):INDEX($FO$245:$IH$316,$FN201-FV$169,72-FV$169+SwaptionMonthsToGo+SwaptionShift))/SQRT(SUM(INDEX($FO356:$IH356,1+SwaptionShift):INDEX($FO356:$IH356,SwaptionMonthsToGo+SwaptionShift))*SUM(INDEX($FO$325:$IH$396,FV$169,1+SwaptionShift):INDEX($FO$325:$IH$396,FV$169,SwaptionMonthsToGo+SwaptionShift))))))</f>
        <v/>
      </c>
      <c r="FW201" s="469" t="str">
        <f ca="1">IF(OR(FW$169&lt;SwaptionFirstMonthPosition+1,$FN201&lt;SwaptionFirstMonthPosition+1,FW$169&gt;SwaptionFirstMonthPosition+SwaptionNumOfMonths+1,$FN201&gt;SwaptionFirstMonthPosition+SwaptionNumOfMonths+1),"",IF($FN201=FW$169,1,IF($FN201&lt;FW$169,INDEX($FO$170:$IH$241,FW$169,$FN201),SUMPRODUCT(INDEX($FO$325:$IH$396,FW$169,1+SwaptionShift):INDEX($FO$325:$IH$396,FW$169,SwaptionMonthsToGo+SwaptionShift),INDEX($FO$245:$IH$316,$FN201-FW$169,73-FW$169+SwaptionShift):INDEX($FO$245:$IH$316,$FN201-FW$169,72-FW$169+SwaptionMonthsToGo+SwaptionShift))/SQRT(SUM(INDEX($FO356:$IH356,1+SwaptionShift):INDEX($FO356:$IH356,SwaptionMonthsToGo+SwaptionShift))*SUM(INDEX($FO$325:$IH$396,FW$169,1+SwaptionShift):INDEX($FO$325:$IH$396,FW$169,SwaptionMonthsToGo+SwaptionShift))))))</f>
        <v/>
      </c>
      <c r="FX201" s="469" t="str">
        <f ca="1">IF(OR(FX$169&lt;SwaptionFirstMonthPosition+1,$FN201&lt;SwaptionFirstMonthPosition+1,FX$169&gt;SwaptionFirstMonthPosition+SwaptionNumOfMonths+1,$FN201&gt;SwaptionFirstMonthPosition+SwaptionNumOfMonths+1),"",IF($FN201=FX$169,1,IF($FN201&lt;FX$169,INDEX($FO$170:$IH$241,FX$169,$FN201),SUMPRODUCT(INDEX($FO$325:$IH$396,FX$169,1+SwaptionShift):INDEX($FO$325:$IH$396,FX$169,SwaptionMonthsToGo+SwaptionShift),INDEX($FO$245:$IH$316,$FN201-FX$169,73-FX$169+SwaptionShift):INDEX($FO$245:$IH$316,$FN201-FX$169,72-FX$169+SwaptionMonthsToGo+SwaptionShift))/SQRT(SUM(INDEX($FO356:$IH356,1+SwaptionShift):INDEX($FO356:$IH356,SwaptionMonthsToGo+SwaptionShift))*SUM(INDEX($FO$325:$IH$396,FX$169,1+SwaptionShift):INDEX($FO$325:$IH$396,FX$169,SwaptionMonthsToGo+SwaptionShift))))))</f>
        <v/>
      </c>
      <c r="FY201" s="469" t="str">
        <f ca="1">IF(OR(FY$169&lt;SwaptionFirstMonthPosition+1,$FN201&lt;SwaptionFirstMonthPosition+1,FY$169&gt;SwaptionFirstMonthPosition+SwaptionNumOfMonths+1,$FN201&gt;SwaptionFirstMonthPosition+SwaptionNumOfMonths+1),"",IF($FN201=FY$169,1,IF($FN201&lt;FY$169,INDEX($FO$170:$IH$241,FY$169,$FN201),SUMPRODUCT(INDEX($FO$325:$IH$396,FY$169,1+SwaptionShift):INDEX($FO$325:$IH$396,FY$169,SwaptionMonthsToGo+SwaptionShift),INDEX($FO$245:$IH$316,$FN201-FY$169,73-FY$169+SwaptionShift):INDEX($FO$245:$IH$316,$FN201-FY$169,72-FY$169+SwaptionMonthsToGo+SwaptionShift))/SQRT(SUM(INDEX($FO356:$IH356,1+SwaptionShift):INDEX($FO356:$IH356,SwaptionMonthsToGo+SwaptionShift))*SUM(INDEX($FO$325:$IH$396,FY$169,1+SwaptionShift):INDEX($FO$325:$IH$396,FY$169,SwaptionMonthsToGo+SwaptionShift))))))</f>
        <v/>
      </c>
      <c r="FZ201" s="469" t="str">
        <f ca="1">IF(OR(FZ$169&lt;SwaptionFirstMonthPosition+1,$FN201&lt;SwaptionFirstMonthPosition+1,FZ$169&gt;SwaptionFirstMonthPosition+SwaptionNumOfMonths+1,$FN201&gt;SwaptionFirstMonthPosition+SwaptionNumOfMonths+1),"",IF($FN201=FZ$169,1,IF($FN201&lt;FZ$169,INDEX($FO$170:$IH$241,FZ$169,$FN201),SUMPRODUCT(INDEX($FO$325:$IH$396,FZ$169,1+SwaptionShift):INDEX($FO$325:$IH$396,FZ$169,SwaptionMonthsToGo+SwaptionShift),INDEX($FO$245:$IH$316,$FN201-FZ$169,73-FZ$169+SwaptionShift):INDEX($FO$245:$IH$316,$FN201-FZ$169,72-FZ$169+SwaptionMonthsToGo+SwaptionShift))/SQRT(SUM(INDEX($FO356:$IH356,1+SwaptionShift):INDEX($FO356:$IH356,SwaptionMonthsToGo+SwaptionShift))*SUM(INDEX($FO$325:$IH$396,FZ$169,1+SwaptionShift):INDEX($FO$325:$IH$396,FZ$169,SwaptionMonthsToGo+SwaptionShift))))))</f>
        <v/>
      </c>
      <c r="GA201" s="469" t="str">
        <f ca="1">IF(OR(GA$169&lt;SwaptionFirstMonthPosition+1,$FN201&lt;SwaptionFirstMonthPosition+1,GA$169&gt;SwaptionFirstMonthPosition+SwaptionNumOfMonths+1,$FN201&gt;SwaptionFirstMonthPosition+SwaptionNumOfMonths+1),"",IF($FN201=GA$169,1,IF($FN201&lt;GA$169,INDEX($FO$170:$IH$241,GA$169,$FN201),SUMPRODUCT(INDEX($FO$325:$IH$396,GA$169,1+SwaptionShift):INDEX($FO$325:$IH$396,GA$169,SwaptionMonthsToGo+SwaptionShift),INDEX($FO$245:$IH$316,$FN201-GA$169,73-GA$169+SwaptionShift):INDEX($FO$245:$IH$316,$FN201-GA$169,72-GA$169+SwaptionMonthsToGo+SwaptionShift))/SQRT(SUM(INDEX($FO356:$IH356,1+SwaptionShift):INDEX($FO356:$IH356,SwaptionMonthsToGo+SwaptionShift))*SUM(INDEX($FO$325:$IH$396,GA$169,1+SwaptionShift):INDEX($FO$325:$IH$396,GA$169,SwaptionMonthsToGo+SwaptionShift))))))</f>
        <v/>
      </c>
      <c r="GB201" s="469" t="str">
        <f ca="1">IF(OR(GB$169&lt;SwaptionFirstMonthPosition+1,$FN201&lt;SwaptionFirstMonthPosition+1,GB$169&gt;SwaptionFirstMonthPosition+SwaptionNumOfMonths+1,$FN201&gt;SwaptionFirstMonthPosition+SwaptionNumOfMonths+1),"",IF($FN201=GB$169,1,IF($FN201&lt;GB$169,INDEX($FO$170:$IH$241,GB$169,$FN201),SUMPRODUCT(INDEX($FO$325:$IH$396,GB$169,1+SwaptionShift):INDEX($FO$325:$IH$396,GB$169,SwaptionMonthsToGo+SwaptionShift),INDEX($FO$245:$IH$316,$FN201-GB$169,73-GB$169+SwaptionShift):INDEX($FO$245:$IH$316,$FN201-GB$169,72-GB$169+SwaptionMonthsToGo+SwaptionShift))/SQRT(SUM(INDEX($FO356:$IH356,1+SwaptionShift):INDEX($FO356:$IH356,SwaptionMonthsToGo+SwaptionShift))*SUM(INDEX($FO$325:$IH$396,GB$169,1+SwaptionShift):INDEX($FO$325:$IH$396,GB$169,SwaptionMonthsToGo+SwaptionShift))))))</f>
        <v/>
      </c>
      <c r="GC201" s="469" t="str">
        <f ca="1">IF(OR(GC$169&lt;SwaptionFirstMonthPosition+1,$FN201&lt;SwaptionFirstMonthPosition+1,GC$169&gt;SwaptionFirstMonthPosition+SwaptionNumOfMonths+1,$FN201&gt;SwaptionFirstMonthPosition+SwaptionNumOfMonths+1),"",IF($FN201=GC$169,1,IF($FN201&lt;GC$169,INDEX($FO$170:$IH$241,GC$169,$FN201),SUMPRODUCT(INDEX($FO$325:$IH$396,GC$169,1+SwaptionShift):INDEX($FO$325:$IH$396,GC$169,SwaptionMonthsToGo+SwaptionShift),INDEX($FO$245:$IH$316,$FN201-GC$169,73-GC$169+SwaptionShift):INDEX($FO$245:$IH$316,$FN201-GC$169,72-GC$169+SwaptionMonthsToGo+SwaptionShift))/SQRT(SUM(INDEX($FO356:$IH356,1+SwaptionShift):INDEX($FO356:$IH356,SwaptionMonthsToGo+SwaptionShift))*SUM(INDEX($FO$325:$IH$396,GC$169,1+SwaptionShift):INDEX($FO$325:$IH$396,GC$169,SwaptionMonthsToGo+SwaptionShift))))))</f>
        <v/>
      </c>
      <c r="GD201" s="469" t="str">
        <f ca="1">IF(OR(GD$169&lt;SwaptionFirstMonthPosition+1,$FN201&lt;SwaptionFirstMonthPosition+1,GD$169&gt;SwaptionFirstMonthPosition+SwaptionNumOfMonths+1,$FN201&gt;SwaptionFirstMonthPosition+SwaptionNumOfMonths+1),"",IF($FN201=GD$169,1,IF($FN201&lt;GD$169,INDEX($FO$170:$IH$241,GD$169,$FN201),SUMPRODUCT(INDEX($FO$325:$IH$396,GD$169,1+SwaptionShift):INDEX($FO$325:$IH$396,GD$169,SwaptionMonthsToGo+SwaptionShift),INDEX($FO$245:$IH$316,$FN201-GD$169,73-GD$169+SwaptionShift):INDEX($FO$245:$IH$316,$FN201-GD$169,72-GD$169+SwaptionMonthsToGo+SwaptionShift))/SQRT(SUM(INDEX($FO356:$IH356,1+SwaptionShift):INDEX($FO356:$IH356,SwaptionMonthsToGo+SwaptionShift))*SUM(INDEX($FO$325:$IH$396,GD$169,1+SwaptionShift):INDEX($FO$325:$IH$396,GD$169,SwaptionMonthsToGo+SwaptionShift))))))</f>
        <v/>
      </c>
      <c r="GE201" s="469" t="str">
        <f ca="1">IF(OR(GE$169&lt;SwaptionFirstMonthPosition+1,$FN201&lt;SwaptionFirstMonthPosition+1,GE$169&gt;SwaptionFirstMonthPosition+SwaptionNumOfMonths+1,$FN201&gt;SwaptionFirstMonthPosition+SwaptionNumOfMonths+1),"",IF($FN201=GE$169,1,IF($FN201&lt;GE$169,INDEX($FO$170:$IH$241,GE$169,$FN201),SUMPRODUCT(INDEX($FO$325:$IH$396,GE$169,1+SwaptionShift):INDEX($FO$325:$IH$396,GE$169,SwaptionMonthsToGo+SwaptionShift),INDEX($FO$245:$IH$316,$FN201-GE$169,73-GE$169+SwaptionShift):INDEX($FO$245:$IH$316,$FN201-GE$169,72-GE$169+SwaptionMonthsToGo+SwaptionShift))/SQRT(SUM(INDEX($FO356:$IH356,1+SwaptionShift):INDEX($FO356:$IH356,SwaptionMonthsToGo+SwaptionShift))*SUM(INDEX($FO$325:$IH$396,GE$169,1+SwaptionShift):INDEX($FO$325:$IH$396,GE$169,SwaptionMonthsToGo+SwaptionShift))))))</f>
        <v/>
      </c>
      <c r="GF201" s="469" t="str">
        <f ca="1">IF(OR(GF$169&lt;SwaptionFirstMonthPosition+1,$FN201&lt;SwaptionFirstMonthPosition+1,GF$169&gt;SwaptionFirstMonthPosition+SwaptionNumOfMonths+1,$FN201&gt;SwaptionFirstMonthPosition+SwaptionNumOfMonths+1),"",IF($FN201=GF$169,1,IF($FN201&lt;GF$169,INDEX($FO$170:$IH$241,GF$169,$FN201),SUMPRODUCT(INDEX($FO$325:$IH$396,GF$169,1+SwaptionShift):INDEX($FO$325:$IH$396,GF$169,SwaptionMonthsToGo+SwaptionShift),INDEX($FO$245:$IH$316,$FN201-GF$169,73-GF$169+SwaptionShift):INDEX($FO$245:$IH$316,$FN201-GF$169,72-GF$169+SwaptionMonthsToGo+SwaptionShift))/SQRT(SUM(INDEX($FO356:$IH356,1+SwaptionShift):INDEX($FO356:$IH356,SwaptionMonthsToGo+SwaptionShift))*SUM(INDEX($FO$325:$IH$396,GF$169,1+SwaptionShift):INDEX($FO$325:$IH$396,GF$169,SwaptionMonthsToGo+SwaptionShift))))))</f>
        <v/>
      </c>
      <c r="GG201" s="469" t="str">
        <f ca="1">IF(OR(GG$169&lt;SwaptionFirstMonthPosition+1,$FN201&lt;SwaptionFirstMonthPosition+1,GG$169&gt;SwaptionFirstMonthPosition+SwaptionNumOfMonths+1,$FN201&gt;SwaptionFirstMonthPosition+SwaptionNumOfMonths+1),"",IF($FN201=GG$169,1,IF($FN201&lt;GG$169,INDEX($FO$170:$IH$241,GG$169,$FN201),SUMPRODUCT(INDEX($FO$325:$IH$396,GG$169,1+SwaptionShift):INDEX($FO$325:$IH$396,GG$169,SwaptionMonthsToGo+SwaptionShift),INDEX($FO$245:$IH$316,$FN201-GG$169,73-GG$169+SwaptionShift):INDEX($FO$245:$IH$316,$FN201-GG$169,72-GG$169+SwaptionMonthsToGo+SwaptionShift))/SQRT(SUM(INDEX($FO356:$IH356,1+SwaptionShift):INDEX($FO356:$IH356,SwaptionMonthsToGo+SwaptionShift))*SUM(INDEX($FO$325:$IH$396,GG$169,1+SwaptionShift):INDEX($FO$325:$IH$396,GG$169,SwaptionMonthsToGo+SwaptionShift))))))</f>
        <v/>
      </c>
      <c r="GH201" s="469" t="str">
        <f ca="1">IF(OR(GH$169&lt;SwaptionFirstMonthPosition+1,$FN201&lt;SwaptionFirstMonthPosition+1,GH$169&gt;SwaptionFirstMonthPosition+SwaptionNumOfMonths+1,$FN201&gt;SwaptionFirstMonthPosition+SwaptionNumOfMonths+1),"",IF($FN201=GH$169,1,IF($FN201&lt;GH$169,INDEX($FO$170:$IH$241,GH$169,$FN201),SUMPRODUCT(INDEX($FO$325:$IH$396,GH$169,1+SwaptionShift):INDEX($FO$325:$IH$396,GH$169,SwaptionMonthsToGo+SwaptionShift),INDEX($FO$245:$IH$316,$FN201-GH$169,73-GH$169+SwaptionShift):INDEX($FO$245:$IH$316,$FN201-GH$169,72-GH$169+SwaptionMonthsToGo+SwaptionShift))/SQRT(SUM(INDEX($FO356:$IH356,1+SwaptionShift):INDEX($FO356:$IH356,SwaptionMonthsToGo+SwaptionShift))*SUM(INDEX($FO$325:$IH$396,GH$169,1+SwaptionShift):INDEX($FO$325:$IH$396,GH$169,SwaptionMonthsToGo+SwaptionShift))))))</f>
        <v/>
      </c>
      <c r="GI201" s="469" t="str">
        <f ca="1">IF(OR(GI$169&lt;SwaptionFirstMonthPosition+1,$FN201&lt;SwaptionFirstMonthPosition+1,GI$169&gt;SwaptionFirstMonthPosition+SwaptionNumOfMonths+1,$FN201&gt;SwaptionFirstMonthPosition+SwaptionNumOfMonths+1),"",IF($FN201=GI$169,1,IF($FN201&lt;GI$169,INDEX($FO$170:$IH$241,GI$169,$FN201),SUMPRODUCT(INDEX($FO$325:$IH$396,GI$169,1+SwaptionShift):INDEX($FO$325:$IH$396,GI$169,SwaptionMonthsToGo+SwaptionShift),INDEX($FO$245:$IH$316,$FN201-GI$169,73-GI$169+SwaptionShift):INDEX($FO$245:$IH$316,$FN201-GI$169,72-GI$169+SwaptionMonthsToGo+SwaptionShift))/SQRT(SUM(INDEX($FO356:$IH356,1+SwaptionShift):INDEX($FO356:$IH356,SwaptionMonthsToGo+SwaptionShift))*SUM(INDEX($FO$325:$IH$396,GI$169,1+SwaptionShift):INDEX($FO$325:$IH$396,GI$169,SwaptionMonthsToGo+SwaptionShift))))))</f>
        <v/>
      </c>
      <c r="GJ201" s="469" t="str">
        <f ca="1">IF(OR(GJ$169&lt;SwaptionFirstMonthPosition+1,$FN201&lt;SwaptionFirstMonthPosition+1,GJ$169&gt;SwaptionFirstMonthPosition+SwaptionNumOfMonths+1,$FN201&gt;SwaptionFirstMonthPosition+SwaptionNumOfMonths+1),"",IF($FN201=GJ$169,1,IF($FN201&lt;GJ$169,INDEX($FO$170:$IH$241,GJ$169,$FN201),SUMPRODUCT(INDEX($FO$325:$IH$396,GJ$169,1+SwaptionShift):INDEX($FO$325:$IH$396,GJ$169,SwaptionMonthsToGo+SwaptionShift),INDEX($FO$245:$IH$316,$FN201-GJ$169,73-GJ$169+SwaptionShift):INDEX($FO$245:$IH$316,$FN201-GJ$169,72-GJ$169+SwaptionMonthsToGo+SwaptionShift))/SQRT(SUM(INDEX($FO356:$IH356,1+SwaptionShift):INDEX($FO356:$IH356,SwaptionMonthsToGo+SwaptionShift))*SUM(INDEX($FO$325:$IH$396,GJ$169,1+SwaptionShift):INDEX($FO$325:$IH$396,GJ$169,SwaptionMonthsToGo+SwaptionShift))))))</f>
        <v/>
      </c>
      <c r="GK201" s="469" t="str">
        <f ca="1">IF(OR(GK$169&lt;SwaptionFirstMonthPosition+1,$FN201&lt;SwaptionFirstMonthPosition+1,GK$169&gt;SwaptionFirstMonthPosition+SwaptionNumOfMonths+1,$FN201&gt;SwaptionFirstMonthPosition+SwaptionNumOfMonths+1),"",IF($FN201=GK$169,1,IF($FN201&lt;GK$169,INDEX($FO$170:$IH$241,GK$169,$FN201),SUMPRODUCT(INDEX($FO$325:$IH$396,GK$169,1+SwaptionShift):INDEX($FO$325:$IH$396,GK$169,SwaptionMonthsToGo+SwaptionShift),INDEX($FO$245:$IH$316,$FN201-GK$169,73-GK$169+SwaptionShift):INDEX($FO$245:$IH$316,$FN201-GK$169,72-GK$169+SwaptionMonthsToGo+SwaptionShift))/SQRT(SUM(INDEX($FO356:$IH356,1+SwaptionShift):INDEX($FO356:$IH356,SwaptionMonthsToGo+SwaptionShift))*SUM(INDEX($FO$325:$IH$396,GK$169,1+SwaptionShift):INDEX($FO$325:$IH$396,GK$169,SwaptionMonthsToGo+SwaptionShift))))))</f>
        <v/>
      </c>
      <c r="GL201" s="469" t="str">
        <f ca="1">IF(OR(GL$169&lt;SwaptionFirstMonthPosition+1,$FN201&lt;SwaptionFirstMonthPosition+1,GL$169&gt;SwaptionFirstMonthPosition+SwaptionNumOfMonths+1,$FN201&gt;SwaptionFirstMonthPosition+SwaptionNumOfMonths+1),"",IF($FN201=GL$169,1,IF($FN201&lt;GL$169,INDEX($FO$170:$IH$241,GL$169,$FN201),SUMPRODUCT(INDEX($FO$325:$IH$396,GL$169,1+SwaptionShift):INDEX($FO$325:$IH$396,GL$169,SwaptionMonthsToGo+SwaptionShift),INDEX($FO$245:$IH$316,$FN201-GL$169,73-GL$169+SwaptionShift):INDEX($FO$245:$IH$316,$FN201-GL$169,72-GL$169+SwaptionMonthsToGo+SwaptionShift))/SQRT(SUM(INDEX($FO356:$IH356,1+SwaptionShift):INDEX($FO356:$IH356,SwaptionMonthsToGo+SwaptionShift))*SUM(INDEX($FO$325:$IH$396,GL$169,1+SwaptionShift):INDEX($FO$325:$IH$396,GL$169,SwaptionMonthsToGo+SwaptionShift))))))</f>
        <v/>
      </c>
      <c r="GM201" s="469" t="str">
        <f ca="1">IF(OR(GM$169&lt;SwaptionFirstMonthPosition+1,$FN201&lt;SwaptionFirstMonthPosition+1,GM$169&gt;SwaptionFirstMonthPosition+SwaptionNumOfMonths+1,$FN201&gt;SwaptionFirstMonthPosition+SwaptionNumOfMonths+1),"",IF($FN201=GM$169,1,IF($FN201&lt;GM$169,INDEX($FO$170:$IH$241,GM$169,$FN201),SUMPRODUCT(INDEX($FO$325:$IH$396,GM$169,1+SwaptionShift):INDEX($FO$325:$IH$396,GM$169,SwaptionMonthsToGo+SwaptionShift),INDEX($FO$245:$IH$316,$FN201-GM$169,73-GM$169+SwaptionShift):INDEX($FO$245:$IH$316,$FN201-GM$169,72-GM$169+SwaptionMonthsToGo+SwaptionShift))/SQRT(SUM(INDEX($FO356:$IH356,1+SwaptionShift):INDEX($FO356:$IH356,SwaptionMonthsToGo+SwaptionShift))*SUM(INDEX($FO$325:$IH$396,GM$169,1+SwaptionShift):INDEX($FO$325:$IH$396,GM$169,SwaptionMonthsToGo+SwaptionShift))))))</f>
        <v/>
      </c>
      <c r="GN201" s="469" t="str">
        <f ca="1">IF(OR(GN$169&lt;SwaptionFirstMonthPosition+1,$FN201&lt;SwaptionFirstMonthPosition+1,GN$169&gt;SwaptionFirstMonthPosition+SwaptionNumOfMonths+1,$FN201&gt;SwaptionFirstMonthPosition+SwaptionNumOfMonths+1),"",IF($FN201=GN$169,1,IF($FN201&lt;GN$169,INDEX($FO$170:$IH$241,GN$169,$FN201),SUMPRODUCT(INDEX($FO$325:$IH$396,GN$169,1+SwaptionShift):INDEX($FO$325:$IH$396,GN$169,SwaptionMonthsToGo+SwaptionShift),INDEX($FO$245:$IH$316,$FN201-GN$169,73-GN$169+SwaptionShift):INDEX($FO$245:$IH$316,$FN201-GN$169,72-GN$169+SwaptionMonthsToGo+SwaptionShift))/SQRT(SUM(INDEX($FO356:$IH356,1+SwaptionShift):INDEX($FO356:$IH356,SwaptionMonthsToGo+SwaptionShift))*SUM(INDEX($FO$325:$IH$396,GN$169,1+SwaptionShift):INDEX($FO$325:$IH$396,GN$169,SwaptionMonthsToGo+SwaptionShift))))))</f>
        <v/>
      </c>
      <c r="GO201" s="469" t="str">
        <f ca="1">IF(OR(GO$169&lt;SwaptionFirstMonthPosition+1,$FN201&lt;SwaptionFirstMonthPosition+1,GO$169&gt;SwaptionFirstMonthPosition+SwaptionNumOfMonths+1,$FN201&gt;SwaptionFirstMonthPosition+SwaptionNumOfMonths+1),"",IF($FN201=GO$169,1,IF($FN201&lt;GO$169,INDEX($FO$170:$IH$241,GO$169,$FN201),SUMPRODUCT(INDEX($FO$325:$IH$396,GO$169,1+SwaptionShift):INDEX($FO$325:$IH$396,GO$169,SwaptionMonthsToGo+SwaptionShift),INDEX($FO$245:$IH$316,$FN201-GO$169,73-GO$169+SwaptionShift):INDEX($FO$245:$IH$316,$FN201-GO$169,72-GO$169+SwaptionMonthsToGo+SwaptionShift))/SQRT(SUM(INDEX($FO356:$IH356,1+SwaptionShift):INDEX($FO356:$IH356,SwaptionMonthsToGo+SwaptionShift))*SUM(INDEX($FO$325:$IH$396,GO$169,1+SwaptionShift):INDEX($FO$325:$IH$396,GO$169,SwaptionMonthsToGo+SwaptionShift))))))</f>
        <v/>
      </c>
      <c r="GP201" s="469" t="str">
        <f ca="1">IF(OR(GP$169&lt;SwaptionFirstMonthPosition+1,$FN201&lt;SwaptionFirstMonthPosition+1,GP$169&gt;SwaptionFirstMonthPosition+SwaptionNumOfMonths+1,$FN201&gt;SwaptionFirstMonthPosition+SwaptionNumOfMonths+1),"",IF($FN201=GP$169,1,IF($FN201&lt;GP$169,INDEX($FO$170:$IH$241,GP$169,$FN201),SUMPRODUCT(INDEX($FO$325:$IH$396,GP$169,1+SwaptionShift):INDEX($FO$325:$IH$396,GP$169,SwaptionMonthsToGo+SwaptionShift),INDEX($FO$245:$IH$316,$FN201-GP$169,73-GP$169+SwaptionShift):INDEX($FO$245:$IH$316,$FN201-GP$169,72-GP$169+SwaptionMonthsToGo+SwaptionShift))/SQRT(SUM(INDEX($FO356:$IH356,1+SwaptionShift):INDEX($FO356:$IH356,SwaptionMonthsToGo+SwaptionShift))*SUM(INDEX($FO$325:$IH$396,GP$169,1+SwaptionShift):INDEX($FO$325:$IH$396,GP$169,SwaptionMonthsToGo+SwaptionShift))))))</f>
        <v/>
      </c>
      <c r="GQ201" s="469" t="str">
        <f ca="1">IF(OR(GQ$169&lt;SwaptionFirstMonthPosition+1,$FN201&lt;SwaptionFirstMonthPosition+1,GQ$169&gt;SwaptionFirstMonthPosition+SwaptionNumOfMonths+1,$FN201&gt;SwaptionFirstMonthPosition+SwaptionNumOfMonths+1),"",IF($FN201=GQ$169,1,IF($FN201&lt;GQ$169,INDEX($FO$170:$IH$241,GQ$169,$FN201),SUMPRODUCT(INDEX($FO$325:$IH$396,GQ$169,1+SwaptionShift):INDEX($FO$325:$IH$396,GQ$169,SwaptionMonthsToGo+SwaptionShift),INDEX($FO$245:$IH$316,$FN201-GQ$169,73-GQ$169+SwaptionShift):INDEX($FO$245:$IH$316,$FN201-GQ$169,72-GQ$169+SwaptionMonthsToGo+SwaptionShift))/SQRT(SUM(INDEX($FO356:$IH356,1+SwaptionShift):INDEX($FO356:$IH356,SwaptionMonthsToGo+SwaptionShift))*SUM(INDEX($FO$325:$IH$396,GQ$169,1+SwaptionShift):INDEX($FO$325:$IH$396,GQ$169,SwaptionMonthsToGo+SwaptionShift))))))</f>
        <v/>
      </c>
      <c r="GR201" s="469" t="str">
        <f ca="1">IF(OR(GR$169&lt;SwaptionFirstMonthPosition+1,$FN201&lt;SwaptionFirstMonthPosition+1,GR$169&gt;SwaptionFirstMonthPosition+SwaptionNumOfMonths+1,$FN201&gt;SwaptionFirstMonthPosition+SwaptionNumOfMonths+1),"",IF($FN201=GR$169,1,IF($FN201&lt;GR$169,INDEX($FO$170:$IH$241,GR$169,$FN201),SUMPRODUCT(INDEX($FO$325:$IH$396,GR$169,1+SwaptionShift):INDEX($FO$325:$IH$396,GR$169,SwaptionMonthsToGo+SwaptionShift),INDEX($FO$245:$IH$316,$FN201-GR$169,73-GR$169+SwaptionShift):INDEX($FO$245:$IH$316,$FN201-GR$169,72-GR$169+SwaptionMonthsToGo+SwaptionShift))/SQRT(SUM(INDEX($FO356:$IH356,1+SwaptionShift):INDEX($FO356:$IH356,SwaptionMonthsToGo+SwaptionShift))*SUM(INDEX($FO$325:$IH$396,GR$169,1+SwaptionShift):INDEX($FO$325:$IH$396,GR$169,SwaptionMonthsToGo+SwaptionShift))))))</f>
        <v/>
      </c>
      <c r="GS201" s="469" t="str">
        <f ca="1">IF(OR(GS$169&lt;SwaptionFirstMonthPosition+1,$FN201&lt;SwaptionFirstMonthPosition+1,GS$169&gt;SwaptionFirstMonthPosition+SwaptionNumOfMonths+1,$FN201&gt;SwaptionFirstMonthPosition+SwaptionNumOfMonths+1),"",IF($FN201=GS$169,1,IF($FN201&lt;GS$169,INDEX($FO$170:$IH$241,GS$169,$FN201),SUMPRODUCT(INDEX($FO$325:$IH$396,GS$169,1+SwaptionShift):INDEX($FO$325:$IH$396,GS$169,SwaptionMonthsToGo+SwaptionShift),INDEX($FO$245:$IH$316,$FN201-GS$169,73-GS$169+SwaptionShift):INDEX($FO$245:$IH$316,$FN201-GS$169,72-GS$169+SwaptionMonthsToGo+SwaptionShift))/SQRT(SUM(INDEX($FO356:$IH356,1+SwaptionShift):INDEX($FO356:$IH356,SwaptionMonthsToGo+SwaptionShift))*SUM(INDEX($FO$325:$IH$396,GS$169,1+SwaptionShift):INDEX($FO$325:$IH$396,GS$169,SwaptionMonthsToGo+SwaptionShift))))))</f>
        <v/>
      </c>
      <c r="GT201" s="469" t="str">
        <f ca="1">IF(OR(GT$169&lt;SwaptionFirstMonthPosition+1,$FN201&lt;SwaptionFirstMonthPosition+1,GT$169&gt;SwaptionFirstMonthPosition+SwaptionNumOfMonths+1,$FN201&gt;SwaptionFirstMonthPosition+SwaptionNumOfMonths+1),"",IF($FN201=GT$169,1,IF($FN201&lt;GT$169,INDEX($FO$170:$IH$241,GT$169,$FN201),SUMPRODUCT(INDEX($FO$325:$IH$396,GT$169,1+SwaptionShift):INDEX($FO$325:$IH$396,GT$169,SwaptionMonthsToGo+SwaptionShift),INDEX($FO$245:$IH$316,$FN201-GT$169,73-GT$169+SwaptionShift):INDEX($FO$245:$IH$316,$FN201-GT$169,72-GT$169+SwaptionMonthsToGo+SwaptionShift))/SQRT(SUM(INDEX($FO356:$IH356,1+SwaptionShift):INDEX($FO356:$IH356,SwaptionMonthsToGo+SwaptionShift))*SUM(INDEX($FO$325:$IH$396,GT$169,1+SwaptionShift):INDEX($FO$325:$IH$396,GT$169,SwaptionMonthsToGo+SwaptionShift))))))</f>
        <v/>
      </c>
      <c r="GU201" s="469" t="str">
        <f ca="1">IF(OR(GU$169&lt;SwaptionFirstMonthPosition+1,$FN201&lt;SwaptionFirstMonthPosition+1,GU$169&gt;SwaptionFirstMonthPosition+SwaptionNumOfMonths+1,$FN201&gt;SwaptionFirstMonthPosition+SwaptionNumOfMonths+1),"",IF($FN201=GU$169,1,IF($FN201&lt;GU$169,INDEX($FO$170:$IH$241,GU$169,$FN201),SUMPRODUCT(INDEX($FO$325:$IH$396,GU$169,1+SwaptionShift):INDEX($FO$325:$IH$396,GU$169,SwaptionMonthsToGo+SwaptionShift),INDEX($FO$245:$IH$316,$FN201-GU$169,73-GU$169+SwaptionShift):INDEX($FO$245:$IH$316,$FN201-GU$169,72-GU$169+SwaptionMonthsToGo+SwaptionShift))/SQRT(SUM(INDEX($FO356:$IH356,1+SwaptionShift):INDEX($FO356:$IH356,SwaptionMonthsToGo+SwaptionShift))*SUM(INDEX($FO$325:$IH$396,GU$169,1+SwaptionShift):INDEX($FO$325:$IH$396,GU$169,SwaptionMonthsToGo+SwaptionShift))))))</f>
        <v/>
      </c>
      <c r="GV201" s="469" t="str">
        <f ca="1">IF(OR(GV$169&lt;SwaptionFirstMonthPosition+1,$FN201&lt;SwaptionFirstMonthPosition+1,GV$169&gt;SwaptionFirstMonthPosition+SwaptionNumOfMonths+1,$FN201&gt;SwaptionFirstMonthPosition+SwaptionNumOfMonths+1),"",IF($FN201=GV$169,1,IF($FN201&lt;GV$169,INDEX($FO$170:$IH$241,GV$169,$FN201),SUMPRODUCT(INDEX($FO$325:$IH$396,GV$169,1+SwaptionShift):INDEX($FO$325:$IH$396,GV$169,SwaptionMonthsToGo+SwaptionShift),INDEX($FO$245:$IH$316,$FN201-GV$169,73-GV$169+SwaptionShift):INDEX($FO$245:$IH$316,$FN201-GV$169,72-GV$169+SwaptionMonthsToGo+SwaptionShift))/SQRT(SUM(INDEX($FO356:$IH356,1+SwaptionShift):INDEX($FO356:$IH356,SwaptionMonthsToGo+SwaptionShift))*SUM(INDEX($FO$325:$IH$396,GV$169,1+SwaptionShift):INDEX($FO$325:$IH$396,GV$169,SwaptionMonthsToGo+SwaptionShift))))))</f>
        <v/>
      </c>
      <c r="GW201" s="469" t="str">
        <f ca="1">IF(OR(GW$169&lt;SwaptionFirstMonthPosition+1,$FN201&lt;SwaptionFirstMonthPosition+1,GW$169&gt;SwaptionFirstMonthPosition+SwaptionNumOfMonths+1,$FN201&gt;SwaptionFirstMonthPosition+SwaptionNumOfMonths+1),"",IF($FN201=GW$169,1,IF($FN201&lt;GW$169,INDEX($FO$170:$IH$241,GW$169,$FN201),SUMPRODUCT(INDEX($FO$325:$IH$396,GW$169,1+SwaptionShift):INDEX($FO$325:$IH$396,GW$169,SwaptionMonthsToGo+SwaptionShift),INDEX($FO$245:$IH$316,$FN201-GW$169,73-GW$169+SwaptionShift):INDEX($FO$245:$IH$316,$FN201-GW$169,72-GW$169+SwaptionMonthsToGo+SwaptionShift))/SQRT(SUM(INDEX($FO356:$IH356,1+SwaptionShift):INDEX($FO356:$IH356,SwaptionMonthsToGo+SwaptionShift))*SUM(INDEX($FO$325:$IH$396,GW$169,1+SwaptionShift):INDEX($FO$325:$IH$396,GW$169,SwaptionMonthsToGo+SwaptionShift))))))</f>
        <v/>
      </c>
      <c r="GX201" s="469" t="str">
        <f ca="1">IF(OR(GX$169&lt;SwaptionFirstMonthPosition+1,$FN201&lt;SwaptionFirstMonthPosition+1,GX$169&gt;SwaptionFirstMonthPosition+SwaptionNumOfMonths+1,$FN201&gt;SwaptionFirstMonthPosition+SwaptionNumOfMonths+1),"",IF($FN201=GX$169,1,IF($FN201&lt;GX$169,INDEX($FO$170:$IH$241,GX$169,$FN201),SUMPRODUCT(INDEX($FO$325:$IH$396,GX$169,1+SwaptionShift):INDEX($FO$325:$IH$396,GX$169,SwaptionMonthsToGo+SwaptionShift),INDEX($FO$245:$IH$316,$FN201-GX$169,73-GX$169+SwaptionShift):INDEX($FO$245:$IH$316,$FN201-GX$169,72-GX$169+SwaptionMonthsToGo+SwaptionShift))/SQRT(SUM(INDEX($FO356:$IH356,1+SwaptionShift):INDEX($FO356:$IH356,SwaptionMonthsToGo+SwaptionShift))*SUM(INDEX($FO$325:$IH$396,GX$169,1+SwaptionShift):INDEX($FO$325:$IH$396,GX$169,SwaptionMonthsToGo+SwaptionShift))))))</f>
        <v/>
      </c>
      <c r="GY201" s="469" t="str">
        <f ca="1">IF(OR(GY$169&lt;SwaptionFirstMonthPosition+1,$FN201&lt;SwaptionFirstMonthPosition+1,GY$169&gt;SwaptionFirstMonthPosition+SwaptionNumOfMonths+1,$FN201&gt;SwaptionFirstMonthPosition+SwaptionNumOfMonths+1),"",IF($FN201=GY$169,1,IF($FN201&lt;GY$169,INDEX($FO$170:$IH$241,GY$169,$FN201),SUMPRODUCT(INDEX($FO$325:$IH$396,GY$169,1+SwaptionShift):INDEX($FO$325:$IH$396,GY$169,SwaptionMonthsToGo+SwaptionShift),INDEX($FO$245:$IH$316,$FN201-GY$169,73-GY$169+SwaptionShift):INDEX($FO$245:$IH$316,$FN201-GY$169,72-GY$169+SwaptionMonthsToGo+SwaptionShift))/SQRT(SUM(INDEX($FO356:$IH356,1+SwaptionShift):INDEX($FO356:$IH356,SwaptionMonthsToGo+SwaptionShift))*SUM(INDEX($FO$325:$IH$396,GY$169,1+SwaptionShift):INDEX($FO$325:$IH$396,GY$169,SwaptionMonthsToGo+SwaptionShift))))))</f>
        <v/>
      </c>
      <c r="GZ201" s="469" t="str">
        <f ca="1">IF(OR(GZ$169&lt;SwaptionFirstMonthPosition+1,$FN201&lt;SwaptionFirstMonthPosition+1,GZ$169&gt;SwaptionFirstMonthPosition+SwaptionNumOfMonths+1,$FN201&gt;SwaptionFirstMonthPosition+SwaptionNumOfMonths+1),"",IF($FN201=GZ$169,1,IF($FN201&lt;GZ$169,INDEX($FO$170:$IH$241,GZ$169,$FN201),SUMPRODUCT(INDEX($FO$325:$IH$396,GZ$169,1+SwaptionShift):INDEX($FO$325:$IH$396,GZ$169,SwaptionMonthsToGo+SwaptionShift),INDEX($FO$245:$IH$316,$FN201-GZ$169,73-GZ$169+SwaptionShift):INDEX($FO$245:$IH$316,$FN201-GZ$169,72-GZ$169+SwaptionMonthsToGo+SwaptionShift))/SQRT(SUM(INDEX($FO356:$IH356,1+SwaptionShift):INDEX($FO356:$IH356,SwaptionMonthsToGo+SwaptionShift))*SUM(INDEX($FO$325:$IH$396,GZ$169,1+SwaptionShift):INDEX($FO$325:$IH$396,GZ$169,SwaptionMonthsToGo+SwaptionShift))))))</f>
        <v/>
      </c>
      <c r="HA201" s="469" t="str">
        <f ca="1">IF(OR(HA$169&lt;SwaptionFirstMonthPosition+1,$FN201&lt;SwaptionFirstMonthPosition+1,HA$169&gt;SwaptionFirstMonthPosition+SwaptionNumOfMonths+1,$FN201&gt;SwaptionFirstMonthPosition+SwaptionNumOfMonths+1),"",IF($FN201=HA$169,1,IF($FN201&lt;HA$169,INDEX($FO$170:$IH$241,HA$169,$FN201),SUMPRODUCT(INDEX($FO$325:$IH$396,HA$169,1+SwaptionShift):INDEX($FO$325:$IH$396,HA$169,SwaptionMonthsToGo+SwaptionShift),INDEX($FO$245:$IH$316,$FN201-HA$169,73-HA$169+SwaptionShift):INDEX($FO$245:$IH$316,$FN201-HA$169,72-HA$169+SwaptionMonthsToGo+SwaptionShift))/SQRT(SUM(INDEX($FO356:$IH356,1+SwaptionShift):INDEX($FO356:$IH356,SwaptionMonthsToGo+SwaptionShift))*SUM(INDEX($FO$325:$IH$396,HA$169,1+SwaptionShift):INDEX($FO$325:$IH$396,HA$169,SwaptionMonthsToGo+SwaptionShift))))))</f>
        <v/>
      </c>
      <c r="HB201" s="469" t="str">
        <f ca="1">IF(OR(HB$169&lt;SwaptionFirstMonthPosition+1,$FN201&lt;SwaptionFirstMonthPosition+1,HB$169&gt;SwaptionFirstMonthPosition+SwaptionNumOfMonths+1,$FN201&gt;SwaptionFirstMonthPosition+SwaptionNumOfMonths+1),"",IF($FN201=HB$169,1,IF($FN201&lt;HB$169,INDEX($FO$170:$IH$241,HB$169,$FN201),SUMPRODUCT(INDEX($FO$325:$IH$396,HB$169,1+SwaptionShift):INDEX($FO$325:$IH$396,HB$169,SwaptionMonthsToGo+SwaptionShift),INDEX($FO$245:$IH$316,$FN201-HB$169,73-HB$169+SwaptionShift):INDEX($FO$245:$IH$316,$FN201-HB$169,72-HB$169+SwaptionMonthsToGo+SwaptionShift))/SQRT(SUM(INDEX($FO356:$IH356,1+SwaptionShift):INDEX($FO356:$IH356,SwaptionMonthsToGo+SwaptionShift))*SUM(INDEX($FO$325:$IH$396,HB$169,1+SwaptionShift):INDEX($FO$325:$IH$396,HB$169,SwaptionMonthsToGo+SwaptionShift))))))</f>
        <v/>
      </c>
      <c r="HC201" s="469" t="str">
        <f ca="1">IF(OR(HC$169&lt;SwaptionFirstMonthPosition+1,$FN201&lt;SwaptionFirstMonthPosition+1,HC$169&gt;SwaptionFirstMonthPosition+SwaptionNumOfMonths+1,$FN201&gt;SwaptionFirstMonthPosition+SwaptionNumOfMonths+1),"",IF($FN201=HC$169,1,IF($FN201&lt;HC$169,INDEX($FO$170:$IH$241,HC$169,$FN201),SUMPRODUCT(INDEX($FO$325:$IH$396,HC$169,1+SwaptionShift):INDEX($FO$325:$IH$396,HC$169,SwaptionMonthsToGo+SwaptionShift),INDEX($FO$245:$IH$316,$FN201-HC$169,73-HC$169+SwaptionShift):INDEX($FO$245:$IH$316,$FN201-HC$169,72-HC$169+SwaptionMonthsToGo+SwaptionShift))/SQRT(SUM(INDEX($FO356:$IH356,1+SwaptionShift):INDEX($FO356:$IH356,SwaptionMonthsToGo+SwaptionShift))*SUM(INDEX($FO$325:$IH$396,HC$169,1+SwaptionShift):INDEX($FO$325:$IH$396,HC$169,SwaptionMonthsToGo+SwaptionShift))))))</f>
        <v/>
      </c>
      <c r="HD201" s="469" t="str">
        <f ca="1">IF(OR(HD$169&lt;SwaptionFirstMonthPosition+1,$FN201&lt;SwaptionFirstMonthPosition+1,HD$169&gt;SwaptionFirstMonthPosition+SwaptionNumOfMonths+1,$FN201&gt;SwaptionFirstMonthPosition+SwaptionNumOfMonths+1),"",IF($FN201=HD$169,1,IF($FN201&lt;HD$169,INDEX($FO$170:$IH$241,HD$169,$FN201),SUMPRODUCT(INDEX($FO$325:$IH$396,HD$169,1+SwaptionShift):INDEX($FO$325:$IH$396,HD$169,SwaptionMonthsToGo+SwaptionShift),INDEX($FO$245:$IH$316,$FN201-HD$169,73-HD$169+SwaptionShift):INDEX($FO$245:$IH$316,$FN201-HD$169,72-HD$169+SwaptionMonthsToGo+SwaptionShift))/SQRT(SUM(INDEX($FO356:$IH356,1+SwaptionShift):INDEX($FO356:$IH356,SwaptionMonthsToGo+SwaptionShift))*SUM(INDEX($FO$325:$IH$396,HD$169,1+SwaptionShift):INDEX($FO$325:$IH$396,HD$169,SwaptionMonthsToGo+SwaptionShift))))))</f>
        <v/>
      </c>
      <c r="HE201" s="469" t="str">
        <f ca="1">IF(OR(HE$169&lt;SwaptionFirstMonthPosition+1,$FN201&lt;SwaptionFirstMonthPosition+1,HE$169&gt;SwaptionFirstMonthPosition+SwaptionNumOfMonths+1,$FN201&gt;SwaptionFirstMonthPosition+SwaptionNumOfMonths+1),"",IF($FN201=HE$169,1,IF($FN201&lt;HE$169,INDEX($FO$170:$IH$241,HE$169,$FN201),SUMPRODUCT(INDEX($FO$325:$IH$396,HE$169,1+SwaptionShift):INDEX($FO$325:$IH$396,HE$169,SwaptionMonthsToGo+SwaptionShift),INDEX($FO$245:$IH$316,$FN201-HE$169,73-HE$169+SwaptionShift):INDEX($FO$245:$IH$316,$FN201-HE$169,72-HE$169+SwaptionMonthsToGo+SwaptionShift))/SQRT(SUM(INDEX($FO356:$IH356,1+SwaptionShift):INDEX($FO356:$IH356,SwaptionMonthsToGo+SwaptionShift))*SUM(INDEX($FO$325:$IH$396,HE$169,1+SwaptionShift):INDEX($FO$325:$IH$396,HE$169,SwaptionMonthsToGo+SwaptionShift))))))</f>
        <v/>
      </c>
      <c r="HF201" s="469" t="str">
        <f ca="1">IF(OR(HF$169&lt;SwaptionFirstMonthPosition+1,$FN201&lt;SwaptionFirstMonthPosition+1,HF$169&gt;SwaptionFirstMonthPosition+SwaptionNumOfMonths+1,$FN201&gt;SwaptionFirstMonthPosition+SwaptionNumOfMonths+1),"",IF($FN201=HF$169,1,IF($FN201&lt;HF$169,INDEX($FO$170:$IH$241,HF$169,$FN201),SUMPRODUCT(INDEX($FO$325:$IH$396,HF$169,1+SwaptionShift):INDEX($FO$325:$IH$396,HF$169,SwaptionMonthsToGo+SwaptionShift),INDEX($FO$245:$IH$316,$FN201-HF$169,73-HF$169+SwaptionShift):INDEX($FO$245:$IH$316,$FN201-HF$169,72-HF$169+SwaptionMonthsToGo+SwaptionShift))/SQRT(SUM(INDEX($FO356:$IH356,1+SwaptionShift):INDEX($FO356:$IH356,SwaptionMonthsToGo+SwaptionShift))*SUM(INDEX($FO$325:$IH$396,HF$169,1+SwaptionShift):INDEX($FO$325:$IH$396,HF$169,SwaptionMonthsToGo+SwaptionShift))))))</f>
        <v/>
      </c>
      <c r="HG201" s="469" t="str">
        <f ca="1">IF(OR(HG$169&lt;SwaptionFirstMonthPosition+1,$FN201&lt;SwaptionFirstMonthPosition+1,HG$169&gt;SwaptionFirstMonthPosition+SwaptionNumOfMonths+1,$FN201&gt;SwaptionFirstMonthPosition+SwaptionNumOfMonths+1),"",IF($FN201=HG$169,1,IF($FN201&lt;HG$169,INDEX($FO$170:$IH$241,HG$169,$FN201),SUMPRODUCT(INDEX($FO$325:$IH$396,HG$169,1+SwaptionShift):INDEX($FO$325:$IH$396,HG$169,SwaptionMonthsToGo+SwaptionShift),INDEX($FO$245:$IH$316,$FN201-HG$169,73-HG$169+SwaptionShift):INDEX($FO$245:$IH$316,$FN201-HG$169,72-HG$169+SwaptionMonthsToGo+SwaptionShift))/SQRT(SUM(INDEX($FO356:$IH356,1+SwaptionShift):INDEX($FO356:$IH356,SwaptionMonthsToGo+SwaptionShift))*SUM(INDEX($FO$325:$IH$396,HG$169,1+SwaptionShift):INDEX($FO$325:$IH$396,HG$169,SwaptionMonthsToGo+SwaptionShift))))))</f>
        <v/>
      </c>
      <c r="HH201" s="469" t="str">
        <f ca="1">IF(OR(HH$169&lt;SwaptionFirstMonthPosition+1,$FN201&lt;SwaptionFirstMonthPosition+1,HH$169&gt;SwaptionFirstMonthPosition+SwaptionNumOfMonths+1,$FN201&gt;SwaptionFirstMonthPosition+SwaptionNumOfMonths+1),"",IF($FN201=HH$169,1,IF($FN201&lt;HH$169,INDEX($FO$170:$IH$241,HH$169,$FN201),SUMPRODUCT(INDEX($FO$325:$IH$396,HH$169,1+SwaptionShift):INDEX($FO$325:$IH$396,HH$169,SwaptionMonthsToGo+SwaptionShift),INDEX($FO$245:$IH$316,$FN201-HH$169,73-HH$169+SwaptionShift):INDEX($FO$245:$IH$316,$FN201-HH$169,72-HH$169+SwaptionMonthsToGo+SwaptionShift))/SQRT(SUM(INDEX($FO356:$IH356,1+SwaptionShift):INDEX($FO356:$IH356,SwaptionMonthsToGo+SwaptionShift))*SUM(INDEX($FO$325:$IH$396,HH$169,1+SwaptionShift):INDEX($FO$325:$IH$396,HH$169,SwaptionMonthsToGo+SwaptionShift))))))</f>
        <v/>
      </c>
      <c r="HI201" s="469" t="str">
        <f ca="1">IF(OR(HI$169&lt;SwaptionFirstMonthPosition+1,$FN201&lt;SwaptionFirstMonthPosition+1,HI$169&gt;SwaptionFirstMonthPosition+SwaptionNumOfMonths+1,$FN201&gt;SwaptionFirstMonthPosition+SwaptionNumOfMonths+1),"",IF($FN201=HI$169,1,IF($FN201&lt;HI$169,INDEX($FO$170:$IH$241,HI$169,$FN201),SUMPRODUCT(INDEX($FO$325:$IH$396,HI$169,1+SwaptionShift):INDEX($FO$325:$IH$396,HI$169,SwaptionMonthsToGo+SwaptionShift),INDEX($FO$245:$IH$316,$FN201-HI$169,73-HI$169+SwaptionShift):INDEX($FO$245:$IH$316,$FN201-HI$169,72-HI$169+SwaptionMonthsToGo+SwaptionShift))/SQRT(SUM(INDEX($FO356:$IH356,1+SwaptionShift):INDEX($FO356:$IH356,SwaptionMonthsToGo+SwaptionShift))*SUM(INDEX($FO$325:$IH$396,HI$169,1+SwaptionShift):INDEX($FO$325:$IH$396,HI$169,SwaptionMonthsToGo+SwaptionShift))))))</f>
        <v/>
      </c>
      <c r="HJ201" s="469" t="str">
        <f ca="1">IF(OR(HJ$169&lt;SwaptionFirstMonthPosition+1,$FN201&lt;SwaptionFirstMonthPosition+1,HJ$169&gt;SwaptionFirstMonthPosition+SwaptionNumOfMonths+1,$FN201&gt;SwaptionFirstMonthPosition+SwaptionNumOfMonths+1),"",IF($FN201=HJ$169,1,IF($FN201&lt;HJ$169,INDEX($FO$170:$IH$241,HJ$169,$FN201),SUMPRODUCT(INDEX($FO$325:$IH$396,HJ$169,1+SwaptionShift):INDEX($FO$325:$IH$396,HJ$169,SwaptionMonthsToGo+SwaptionShift),INDEX($FO$245:$IH$316,$FN201-HJ$169,73-HJ$169+SwaptionShift):INDEX($FO$245:$IH$316,$FN201-HJ$169,72-HJ$169+SwaptionMonthsToGo+SwaptionShift))/SQRT(SUM(INDEX($FO356:$IH356,1+SwaptionShift):INDEX($FO356:$IH356,SwaptionMonthsToGo+SwaptionShift))*SUM(INDEX($FO$325:$IH$396,HJ$169,1+SwaptionShift):INDEX($FO$325:$IH$396,HJ$169,SwaptionMonthsToGo+SwaptionShift))))))</f>
        <v/>
      </c>
      <c r="HK201" s="469" t="str">
        <f ca="1">IF(OR(HK$169&lt;SwaptionFirstMonthPosition+1,$FN201&lt;SwaptionFirstMonthPosition+1,HK$169&gt;SwaptionFirstMonthPosition+SwaptionNumOfMonths+1,$FN201&gt;SwaptionFirstMonthPosition+SwaptionNumOfMonths+1),"",IF($FN201=HK$169,1,IF($FN201&lt;HK$169,INDEX($FO$170:$IH$241,HK$169,$FN201),SUMPRODUCT(INDEX($FO$325:$IH$396,HK$169,1+SwaptionShift):INDEX($FO$325:$IH$396,HK$169,SwaptionMonthsToGo+SwaptionShift),INDEX($FO$245:$IH$316,$FN201-HK$169,73-HK$169+SwaptionShift):INDEX($FO$245:$IH$316,$FN201-HK$169,72-HK$169+SwaptionMonthsToGo+SwaptionShift))/SQRT(SUM(INDEX($FO356:$IH356,1+SwaptionShift):INDEX($FO356:$IH356,SwaptionMonthsToGo+SwaptionShift))*SUM(INDEX($FO$325:$IH$396,HK$169,1+SwaptionShift):INDEX($FO$325:$IH$396,HK$169,SwaptionMonthsToGo+SwaptionShift))))))</f>
        <v/>
      </c>
      <c r="HL201" s="469" t="str">
        <f ca="1">IF(OR(HL$169&lt;SwaptionFirstMonthPosition+1,$FN201&lt;SwaptionFirstMonthPosition+1,HL$169&gt;SwaptionFirstMonthPosition+SwaptionNumOfMonths+1,$FN201&gt;SwaptionFirstMonthPosition+SwaptionNumOfMonths+1),"",IF($FN201=HL$169,1,IF($FN201&lt;HL$169,INDEX($FO$170:$IH$241,HL$169,$FN201),SUMPRODUCT(INDEX($FO$325:$IH$396,HL$169,1+SwaptionShift):INDEX($FO$325:$IH$396,HL$169,SwaptionMonthsToGo+SwaptionShift),INDEX($FO$245:$IH$316,$FN201-HL$169,73-HL$169+SwaptionShift):INDEX($FO$245:$IH$316,$FN201-HL$169,72-HL$169+SwaptionMonthsToGo+SwaptionShift))/SQRT(SUM(INDEX($FO356:$IH356,1+SwaptionShift):INDEX($FO356:$IH356,SwaptionMonthsToGo+SwaptionShift))*SUM(INDEX($FO$325:$IH$396,HL$169,1+SwaptionShift):INDEX($FO$325:$IH$396,HL$169,SwaptionMonthsToGo+SwaptionShift))))))</f>
        <v/>
      </c>
      <c r="HM201" s="469" t="str">
        <f ca="1">IF(OR(HM$169&lt;SwaptionFirstMonthPosition+1,$FN201&lt;SwaptionFirstMonthPosition+1,HM$169&gt;SwaptionFirstMonthPosition+SwaptionNumOfMonths+1,$FN201&gt;SwaptionFirstMonthPosition+SwaptionNumOfMonths+1),"",IF($FN201=HM$169,1,IF($FN201&lt;HM$169,INDEX($FO$170:$IH$241,HM$169,$FN201),SUMPRODUCT(INDEX($FO$325:$IH$396,HM$169,1+SwaptionShift):INDEX($FO$325:$IH$396,HM$169,SwaptionMonthsToGo+SwaptionShift),INDEX($FO$245:$IH$316,$FN201-HM$169,73-HM$169+SwaptionShift):INDEX($FO$245:$IH$316,$FN201-HM$169,72-HM$169+SwaptionMonthsToGo+SwaptionShift))/SQRT(SUM(INDEX($FO356:$IH356,1+SwaptionShift):INDEX($FO356:$IH356,SwaptionMonthsToGo+SwaptionShift))*SUM(INDEX($FO$325:$IH$396,HM$169,1+SwaptionShift):INDEX($FO$325:$IH$396,HM$169,SwaptionMonthsToGo+SwaptionShift))))))</f>
        <v/>
      </c>
      <c r="HN201" s="469" t="str">
        <f ca="1">IF(OR(HN$169&lt;SwaptionFirstMonthPosition+1,$FN201&lt;SwaptionFirstMonthPosition+1,HN$169&gt;SwaptionFirstMonthPosition+SwaptionNumOfMonths+1,$FN201&gt;SwaptionFirstMonthPosition+SwaptionNumOfMonths+1),"",IF($FN201=HN$169,1,IF($FN201&lt;HN$169,INDEX($FO$170:$IH$241,HN$169,$FN201),SUMPRODUCT(INDEX($FO$325:$IH$396,HN$169,1+SwaptionShift):INDEX($FO$325:$IH$396,HN$169,SwaptionMonthsToGo+SwaptionShift),INDEX($FO$245:$IH$316,$FN201-HN$169,73-HN$169+SwaptionShift):INDEX($FO$245:$IH$316,$FN201-HN$169,72-HN$169+SwaptionMonthsToGo+SwaptionShift))/SQRT(SUM(INDEX($FO356:$IH356,1+SwaptionShift):INDEX($FO356:$IH356,SwaptionMonthsToGo+SwaptionShift))*SUM(INDEX($FO$325:$IH$396,HN$169,1+SwaptionShift):INDEX($FO$325:$IH$396,HN$169,SwaptionMonthsToGo+SwaptionShift))))))</f>
        <v/>
      </c>
      <c r="HO201" s="469" t="str">
        <f ca="1">IF(OR(HO$169&lt;SwaptionFirstMonthPosition+1,$FN201&lt;SwaptionFirstMonthPosition+1,HO$169&gt;SwaptionFirstMonthPosition+SwaptionNumOfMonths+1,$FN201&gt;SwaptionFirstMonthPosition+SwaptionNumOfMonths+1),"",IF($FN201=HO$169,1,IF($FN201&lt;HO$169,INDEX($FO$170:$IH$241,HO$169,$FN201),SUMPRODUCT(INDEX($FO$325:$IH$396,HO$169,1+SwaptionShift):INDEX($FO$325:$IH$396,HO$169,SwaptionMonthsToGo+SwaptionShift),INDEX($FO$245:$IH$316,$FN201-HO$169,73-HO$169+SwaptionShift):INDEX($FO$245:$IH$316,$FN201-HO$169,72-HO$169+SwaptionMonthsToGo+SwaptionShift))/SQRT(SUM(INDEX($FO356:$IH356,1+SwaptionShift):INDEX($FO356:$IH356,SwaptionMonthsToGo+SwaptionShift))*SUM(INDEX($FO$325:$IH$396,HO$169,1+SwaptionShift):INDEX($FO$325:$IH$396,HO$169,SwaptionMonthsToGo+SwaptionShift))))))</f>
        <v/>
      </c>
      <c r="HP201" s="469" t="str">
        <f ca="1">IF(OR(HP$169&lt;SwaptionFirstMonthPosition+1,$FN201&lt;SwaptionFirstMonthPosition+1,HP$169&gt;SwaptionFirstMonthPosition+SwaptionNumOfMonths+1,$FN201&gt;SwaptionFirstMonthPosition+SwaptionNumOfMonths+1),"",IF($FN201=HP$169,1,IF($FN201&lt;HP$169,INDEX($FO$170:$IH$241,HP$169,$FN201),SUMPRODUCT(INDEX($FO$325:$IH$396,HP$169,1+SwaptionShift):INDEX($FO$325:$IH$396,HP$169,SwaptionMonthsToGo+SwaptionShift),INDEX($FO$245:$IH$316,$FN201-HP$169,73-HP$169+SwaptionShift):INDEX($FO$245:$IH$316,$FN201-HP$169,72-HP$169+SwaptionMonthsToGo+SwaptionShift))/SQRT(SUM(INDEX($FO356:$IH356,1+SwaptionShift):INDEX($FO356:$IH356,SwaptionMonthsToGo+SwaptionShift))*SUM(INDEX($FO$325:$IH$396,HP$169,1+SwaptionShift):INDEX($FO$325:$IH$396,HP$169,SwaptionMonthsToGo+SwaptionShift))))))</f>
        <v/>
      </c>
      <c r="HQ201" s="469" t="str">
        <f ca="1">IF(OR(HQ$169&lt;SwaptionFirstMonthPosition+1,$FN201&lt;SwaptionFirstMonthPosition+1,HQ$169&gt;SwaptionFirstMonthPosition+SwaptionNumOfMonths+1,$FN201&gt;SwaptionFirstMonthPosition+SwaptionNumOfMonths+1),"",IF($FN201=HQ$169,1,IF($FN201&lt;HQ$169,INDEX($FO$170:$IH$241,HQ$169,$FN201),SUMPRODUCT(INDEX($FO$325:$IH$396,HQ$169,1+SwaptionShift):INDEX($FO$325:$IH$396,HQ$169,SwaptionMonthsToGo+SwaptionShift),INDEX($FO$245:$IH$316,$FN201-HQ$169,73-HQ$169+SwaptionShift):INDEX($FO$245:$IH$316,$FN201-HQ$169,72-HQ$169+SwaptionMonthsToGo+SwaptionShift))/SQRT(SUM(INDEX($FO356:$IH356,1+SwaptionShift):INDEX($FO356:$IH356,SwaptionMonthsToGo+SwaptionShift))*SUM(INDEX($FO$325:$IH$396,HQ$169,1+SwaptionShift):INDEX($FO$325:$IH$396,HQ$169,SwaptionMonthsToGo+SwaptionShift))))))</f>
        <v/>
      </c>
      <c r="HR201" s="469" t="str">
        <f ca="1">IF(OR(HR$169&lt;SwaptionFirstMonthPosition+1,$FN201&lt;SwaptionFirstMonthPosition+1,HR$169&gt;SwaptionFirstMonthPosition+SwaptionNumOfMonths+1,$FN201&gt;SwaptionFirstMonthPosition+SwaptionNumOfMonths+1),"",IF($FN201=HR$169,1,IF($FN201&lt;HR$169,INDEX($FO$170:$IH$241,HR$169,$FN201),SUMPRODUCT(INDEX($FO$325:$IH$396,HR$169,1+SwaptionShift):INDEX($FO$325:$IH$396,HR$169,SwaptionMonthsToGo+SwaptionShift),INDEX($FO$245:$IH$316,$FN201-HR$169,73-HR$169+SwaptionShift):INDEX($FO$245:$IH$316,$FN201-HR$169,72-HR$169+SwaptionMonthsToGo+SwaptionShift))/SQRT(SUM(INDEX($FO356:$IH356,1+SwaptionShift):INDEX($FO356:$IH356,SwaptionMonthsToGo+SwaptionShift))*SUM(INDEX($FO$325:$IH$396,HR$169,1+SwaptionShift):INDEX($FO$325:$IH$396,HR$169,SwaptionMonthsToGo+SwaptionShift))))))</f>
        <v/>
      </c>
      <c r="HS201" s="469" t="str">
        <f ca="1">IF(OR(HS$169&lt;SwaptionFirstMonthPosition+1,$FN201&lt;SwaptionFirstMonthPosition+1,HS$169&gt;SwaptionFirstMonthPosition+SwaptionNumOfMonths+1,$FN201&gt;SwaptionFirstMonthPosition+SwaptionNumOfMonths+1),"",IF($FN201=HS$169,1,IF($FN201&lt;HS$169,INDEX($FO$170:$IH$241,HS$169,$FN201),SUMPRODUCT(INDEX($FO$325:$IH$396,HS$169,1+SwaptionShift):INDEX($FO$325:$IH$396,HS$169,SwaptionMonthsToGo+SwaptionShift),INDEX($FO$245:$IH$316,$FN201-HS$169,73-HS$169+SwaptionShift):INDEX($FO$245:$IH$316,$FN201-HS$169,72-HS$169+SwaptionMonthsToGo+SwaptionShift))/SQRT(SUM(INDEX($FO356:$IH356,1+SwaptionShift):INDEX($FO356:$IH356,SwaptionMonthsToGo+SwaptionShift))*SUM(INDEX($FO$325:$IH$396,HS$169,1+SwaptionShift):INDEX($FO$325:$IH$396,HS$169,SwaptionMonthsToGo+SwaptionShift))))))</f>
        <v/>
      </c>
      <c r="HT201" s="469" t="str">
        <f ca="1">IF(OR(HT$169&lt;SwaptionFirstMonthPosition+1,$FN201&lt;SwaptionFirstMonthPosition+1,HT$169&gt;SwaptionFirstMonthPosition+SwaptionNumOfMonths+1,$FN201&gt;SwaptionFirstMonthPosition+SwaptionNumOfMonths+1),"",IF($FN201=HT$169,1,IF($FN201&lt;HT$169,INDEX($FO$170:$IH$241,HT$169,$FN201),SUMPRODUCT(INDEX($FO$325:$IH$396,HT$169,1+SwaptionShift):INDEX($FO$325:$IH$396,HT$169,SwaptionMonthsToGo+SwaptionShift),INDEX($FO$245:$IH$316,$FN201-HT$169,73-HT$169+SwaptionShift):INDEX($FO$245:$IH$316,$FN201-HT$169,72-HT$169+SwaptionMonthsToGo+SwaptionShift))/SQRT(SUM(INDEX($FO356:$IH356,1+SwaptionShift):INDEX($FO356:$IH356,SwaptionMonthsToGo+SwaptionShift))*SUM(INDEX($FO$325:$IH$396,HT$169,1+SwaptionShift):INDEX($FO$325:$IH$396,HT$169,SwaptionMonthsToGo+SwaptionShift))))))</f>
        <v/>
      </c>
      <c r="HU201" s="469" t="str">
        <f ca="1">IF(OR(HU$169&lt;SwaptionFirstMonthPosition+1,$FN201&lt;SwaptionFirstMonthPosition+1,HU$169&gt;SwaptionFirstMonthPosition+SwaptionNumOfMonths+1,$FN201&gt;SwaptionFirstMonthPosition+SwaptionNumOfMonths+1),"",IF($FN201=HU$169,1,IF($FN201&lt;HU$169,INDEX($FO$170:$IH$241,HU$169,$FN201),SUMPRODUCT(INDEX($FO$325:$IH$396,HU$169,1+SwaptionShift):INDEX($FO$325:$IH$396,HU$169,SwaptionMonthsToGo+SwaptionShift),INDEX($FO$245:$IH$316,$FN201-HU$169,73-HU$169+SwaptionShift):INDEX($FO$245:$IH$316,$FN201-HU$169,72-HU$169+SwaptionMonthsToGo+SwaptionShift))/SQRT(SUM(INDEX($FO356:$IH356,1+SwaptionShift):INDEX($FO356:$IH356,SwaptionMonthsToGo+SwaptionShift))*SUM(INDEX($FO$325:$IH$396,HU$169,1+SwaptionShift):INDEX($FO$325:$IH$396,HU$169,SwaptionMonthsToGo+SwaptionShift))))))</f>
        <v/>
      </c>
      <c r="HV201" s="469" t="str">
        <f ca="1">IF(OR(HV$169&lt;SwaptionFirstMonthPosition+1,$FN201&lt;SwaptionFirstMonthPosition+1,HV$169&gt;SwaptionFirstMonthPosition+SwaptionNumOfMonths+1,$FN201&gt;SwaptionFirstMonthPosition+SwaptionNumOfMonths+1),"",IF($FN201=HV$169,1,IF($FN201&lt;HV$169,INDEX($FO$170:$IH$241,HV$169,$FN201),SUMPRODUCT(INDEX($FO$325:$IH$396,HV$169,1+SwaptionShift):INDEX($FO$325:$IH$396,HV$169,SwaptionMonthsToGo+SwaptionShift),INDEX($FO$245:$IH$316,$FN201-HV$169,73-HV$169+SwaptionShift):INDEX($FO$245:$IH$316,$FN201-HV$169,72-HV$169+SwaptionMonthsToGo+SwaptionShift))/SQRT(SUM(INDEX($FO356:$IH356,1+SwaptionShift):INDEX($FO356:$IH356,SwaptionMonthsToGo+SwaptionShift))*SUM(INDEX($FO$325:$IH$396,HV$169,1+SwaptionShift):INDEX($FO$325:$IH$396,HV$169,SwaptionMonthsToGo+SwaptionShift))))))</f>
        <v/>
      </c>
      <c r="HW201" s="469" t="str">
        <f ca="1">IF(OR(HW$169&lt;SwaptionFirstMonthPosition+1,$FN201&lt;SwaptionFirstMonthPosition+1,HW$169&gt;SwaptionFirstMonthPosition+SwaptionNumOfMonths+1,$FN201&gt;SwaptionFirstMonthPosition+SwaptionNumOfMonths+1),"",IF($FN201=HW$169,1,IF($FN201&lt;HW$169,INDEX($FO$170:$IH$241,HW$169,$FN201),SUMPRODUCT(INDEX($FO$325:$IH$396,HW$169,1+SwaptionShift):INDEX($FO$325:$IH$396,HW$169,SwaptionMonthsToGo+SwaptionShift),INDEX($FO$245:$IH$316,$FN201-HW$169,73-HW$169+SwaptionShift):INDEX($FO$245:$IH$316,$FN201-HW$169,72-HW$169+SwaptionMonthsToGo+SwaptionShift))/SQRT(SUM(INDEX($FO356:$IH356,1+SwaptionShift):INDEX($FO356:$IH356,SwaptionMonthsToGo+SwaptionShift))*SUM(INDEX($FO$325:$IH$396,HW$169,1+SwaptionShift):INDEX($FO$325:$IH$396,HW$169,SwaptionMonthsToGo+SwaptionShift))))))</f>
        <v/>
      </c>
      <c r="HX201" s="469" t="str">
        <f ca="1">IF(OR(HX$169&lt;SwaptionFirstMonthPosition+1,$FN201&lt;SwaptionFirstMonthPosition+1,HX$169&gt;SwaptionFirstMonthPosition+SwaptionNumOfMonths+1,$FN201&gt;SwaptionFirstMonthPosition+SwaptionNumOfMonths+1),"",IF($FN201=HX$169,1,IF($FN201&lt;HX$169,INDEX($FO$170:$IH$241,HX$169,$FN201),SUMPRODUCT(INDEX($FO$325:$IH$396,HX$169,1+SwaptionShift):INDEX($FO$325:$IH$396,HX$169,SwaptionMonthsToGo+SwaptionShift),INDEX($FO$245:$IH$316,$FN201-HX$169,73-HX$169+SwaptionShift):INDEX($FO$245:$IH$316,$FN201-HX$169,72-HX$169+SwaptionMonthsToGo+SwaptionShift))/SQRT(SUM(INDEX($FO356:$IH356,1+SwaptionShift):INDEX($FO356:$IH356,SwaptionMonthsToGo+SwaptionShift))*SUM(INDEX($FO$325:$IH$396,HX$169,1+SwaptionShift):INDEX($FO$325:$IH$396,HX$169,SwaptionMonthsToGo+SwaptionShift))))))</f>
        <v/>
      </c>
      <c r="HY201" s="469" t="str">
        <f ca="1">IF(OR(HY$169&lt;SwaptionFirstMonthPosition+1,$FN201&lt;SwaptionFirstMonthPosition+1,HY$169&gt;SwaptionFirstMonthPosition+SwaptionNumOfMonths+1,$FN201&gt;SwaptionFirstMonthPosition+SwaptionNumOfMonths+1),"",IF($FN201=HY$169,1,IF($FN201&lt;HY$169,INDEX($FO$170:$IH$241,HY$169,$FN201),SUMPRODUCT(INDEX($FO$325:$IH$396,HY$169,1+SwaptionShift):INDEX($FO$325:$IH$396,HY$169,SwaptionMonthsToGo+SwaptionShift),INDEX($FO$245:$IH$316,$FN201-HY$169,73-HY$169+SwaptionShift):INDEX($FO$245:$IH$316,$FN201-HY$169,72-HY$169+SwaptionMonthsToGo+SwaptionShift))/SQRT(SUM(INDEX($FO356:$IH356,1+SwaptionShift):INDEX($FO356:$IH356,SwaptionMonthsToGo+SwaptionShift))*SUM(INDEX($FO$325:$IH$396,HY$169,1+SwaptionShift):INDEX($FO$325:$IH$396,HY$169,SwaptionMonthsToGo+SwaptionShift))))))</f>
        <v/>
      </c>
      <c r="HZ201" s="469" t="str">
        <f ca="1">IF(OR(HZ$169&lt;SwaptionFirstMonthPosition+1,$FN201&lt;SwaptionFirstMonthPosition+1,HZ$169&gt;SwaptionFirstMonthPosition+SwaptionNumOfMonths+1,$FN201&gt;SwaptionFirstMonthPosition+SwaptionNumOfMonths+1),"",IF($FN201=HZ$169,1,IF($FN201&lt;HZ$169,INDEX($FO$170:$IH$241,HZ$169,$FN201),SUMPRODUCT(INDEX($FO$325:$IH$396,HZ$169,1+SwaptionShift):INDEX($FO$325:$IH$396,HZ$169,SwaptionMonthsToGo+SwaptionShift),INDEX($FO$245:$IH$316,$FN201-HZ$169,73-HZ$169+SwaptionShift):INDEX($FO$245:$IH$316,$FN201-HZ$169,72-HZ$169+SwaptionMonthsToGo+SwaptionShift))/SQRT(SUM(INDEX($FO356:$IH356,1+SwaptionShift):INDEX($FO356:$IH356,SwaptionMonthsToGo+SwaptionShift))*SUM(INDEX($FO$325:$IH$396,HZ$169,1+SwaptionShift):INDEX($FO$325:$IH$396,HZ$169,SwaptionMonthsToGo+SwaptionShift))))))</f>
        <v/>
      </c>
      <c r="IA201" s="469" t="str">
        <f ca="1">IF(OR(IA$169&lt;SwaptionFirstMonthPosition+1,$FN201&lt;SwaptionFirstMonthPosition+1,IA$169&gt;SwaptionFirstMonthPosition+SwaptionNumOfMonths+1,$FN201&gt;SwaptionFirstMonthPosition+SwaptionNumOfMonths+1),"",IF($FN201=IA$169,1,IF($FN201&lt;IA$169,INDEX($FO$170:$IH$241,IA$169,$FN201),SUMPRODUCT(INDEX($FO$325:$IH$396,IA$169,1+SwaptionShift):INDEX($FO$325:$IH$396,IA$169,SwaptionMonthsToGo+SwaptionShift),INDEX($FO$245:$IH$316,$FN201-IA$169,73-IA$169+SwaptionShift):INDEX($FO$245:$IH$316,$FN201-IA$169,72-IA$169+SwaptionMonthsToGo+SwaptionShift))/SQRT(SUM(INDEX($FO356:$IH356,1+SwaptionShift):INDEX($FO356:$IH356,SwaptionMonthsToGo+SwaptionShift))*SUM(INDEX($FO$325:$IH$396,IA$169,1+SwaptionShift):INDEX($FO$325:$IH$396,IA$169,SwaptionMonthsToGo+SwaptionShift))))))</f>
        <v/>
      </c>
      <c r="IB201" s="469" t="str">
        <f ca="1">IF(OR(IB$169&lt;SwaptionFirstMonthPosition+1,$FN201&lt;SwaptionFirstMonthPosition+1,IB$169&gt;SwaptionFirstMonthPosition+SwaptionNumOfMonths+1,$FN201&gt;SwaptionFirstMonthPosition+SwaptionNumOfMonths+1),"",IF($FN201=IB$169,1,IF($FN201&lt;IB$169,INDEX($FO$170:$IH$241,IB$169,$FN201),SUMPRODUCT(INDEX($FO$325:$IH$396,IB$169,1+SwaptionShift):INDEX($FO$325:$IH$396,IB$169,SwaptionMonthsToGo+SwaptionShift),INDEX($FO$245:$IH$316,$FN201-IB$169,73-IB$169+SwaptionShift):INDEX($FO$245:$IH$316,$FN201-IB$169,72-IB$169+SwaptionMonthsToGo+SwaptionShift))/SQRT(SUM(INDEX($FO356:$IH356,1+SwaptionShift):INDEX($FO356:$IH356,SwaptionMonthsToGo+SwaptionShift))*SUM(INDEX($FO$325:$IH$396,IB$169,1+SwaptionShift):INDEX($FO$325:$IH$396,IB$169,SwaptionMonthsToGo+SwaptionShift))))))</f>
        <v/>
      </c>
      <c r="IC201" s="469" t="str">
        <f ca="1">IF(OR(IC$169&lt;SwaptionFirstMonthPosition+1,$FN201&lt;SwaptionFirstMonthPosition+1,IC$169&gt;SwaptionFirstMonthPosition+SwaptionNumOfMonths+1,$FN201&gt;SwaptionFirstMonthPosition+SwaptionNumOfMonths+1),"",IF($FN201=IC$169,1,IF($FN201&lt;IC$169,INDEX($FO$170:$IH$241,IC$169,$FN201),SUMPRODUCT(INDEX($FO$325:$IH$396,IC$169,1+SwaptionShift):INDEX($FO$325:$IH$396,IC$169,SwaptionMonthsToGo+SwaptionShift),INDEX($FO$245:$IH$316,$FN201-IC$169,73-IC$169+SwaptionShift):INDEX($FO$245:$IH$316,$FN201-IC$169,72-IC$169+SwaptionMonthsToGo+SwaptionShift))/SQRT(SUM(INDEX($FO356:$IH356,1+SwaptionShift):INDEX($FO356:$IH356,SwaptionMonthsToGo+SwaptionShift))*SUM(INDEX($FO$325:$IH$396,IC$169,1+SwaptionShift):INDEX($FO$325:$IH$396,IC$169,SwaptionMonthsToGo+SwaptionShift))))))</f>
        <v/>
      </c>
      <c r="ID201" s="469" t="str">
        <f ca="1">IF(OR(ID$169&lt;SwaptionFirstMonthPosition+1,$FN201&lt;SwaptionFirstMonthPosition+1,ID$169&gt;SwaptionFirstMonthPosition+SwaptionNumOfMonths+1,$FN201&gt;SwaptionFirstMonthPosition+SwaptionNumOfMonths+1),"",IF($FN201=ID$169,1,IF($FN201&lt;ID$169,INDEX($FO$170:$IH$241,ID$169,$FN201),SUMPRODUCT(INDEX($FO$325:$IH$396,ID$169,1+SwaptionShift):INDEX($FO$325:$IH$396,ID$169,SwaptionMonthsToGo+SwaptionShift),INDEX($FO$245:$IH$316,$FN201-ID$169,73-ID$169+SwaptionShift):INDEX($FO$245:$IH$316,$FN201-ID$169,72-ID$169+SwaptionMonthsToGo+SwaptionShift))/SQRT(SUM(INDEX($FO356:$IH356,1+SwaptionShift):INDEX($FO356:$IH356,SwaptionMonthsToGo+SwaptionShift))*SUM(INDEX($FO$325:$IH$396,ID$169,1+SwaptionShift):INDEX($FO$325:$IH$396,ID$169,SwaptionMonthsToGo+SwaptionShift))))))</f>
        <v/>
      </c>
      <c r="IE201" s="469" t="str">
        <f ca="1">IF(OR(IE$169&lt;SwaptionFirstMonthPosition+1,$FN201&lt;SwaptionFirstMonthPosition+1,IE$169&gt;SwaptionFirstMonthPosition+SwaptionNumOfMonths+1,$FN201&gt;SwaptionFirstMonthPosition+SwaptionNumOfMonths+1),"",IF($FN201=IE$169,1,IF($FN201&lt;IE$169,INDEX($FO$170:$IH$241,IE$169,$FN201),SUMPRODUCT(INDEX($FO$325:$IH$396,IE$169,1+SwaptionShift):INDEX($FO$325:$IH$396,IE$169,SwaptionMonthsToGo+SwaptionShift),INDEX($FO$245:$IH$316,$FN201-IE$169,73-IE$169+SwaptionShift):INDEX($FO$245:$IH$316,$FN201-IE$169,72-IE$169+SwaptionMonthsToGo+SwaptionShift))/SQRT(SUM(INDEX($FO356:$IH356,1+SwaptionShift):INDEX($FO356:$IH356,SwaptionMonthsToGo+SwaptionShift))*SUM(INDEX($FO$325:$IH$396,IE$169,1+SwaptionShift):INDEX($FO$325:$IH$396,IE$169,SwaptionMonthsToGo+SwaptionShift))))))</f>
        <v/>
      </c>
      <c r="IF201" s="469" t="str">
        <f ca="1">IF(OR(IF$169&lt;SwaptionFirstMonthPosition+1,$FN201&lt;SwaptionFirstMonthPosition+1,IF$169&gt;SwaptionFirstMonthPosition+SwaptionNumOfMonths+1,$FN201&gt;SwaptionFirstMonthPosition+SwaptionNumOfMonths+1),"",IF($FN201=IF$169,1,IF($FN201&lt;IF$169,INDEX($FO$170:$IH$241,IF$169,$FN201),SUMPRODUCT(INDEX($FO$325:$IH$396,IF$169,1+SwaptionShift):INDEX($FO$325:$IH$396,IF$169,SwaptionMonthsToGo+SwaptionShift),INDEX($FO$245:$IH$316,$FN201-IF$169,73-IF$169+SwaptionShift):INDEX($FO$245:$IH$316,$FN201-IF$169,72-IF$169+SwaptionMonthsToGo+SwaptionShift))/SQRT(SUM(INDEX($FO356:$IH356,1+SwaptionShift):INDEX($FO356:$IH356,SwaptionMonthsToGo+SwaptionShift))*SUM(INDEX($FO$325:$IH$396,IF$169,1+SwaptionShift):INDEX($FO$325:$IH$396,IF$169,SwaptionMonthsToGo+SwaptionShift))))))</f>
        <v/>
      </c>
      <c r="IG201" s="469" t="str">
        <f ca="1">IF(OR(IG$169&lt;SwaptionFirstMonthPosition+1,$FN201&lt;SwaptionFirstMonthPosition+1,IG$169&gt;SwaptionFirstMonthPosition+SwaptionNumOfMonths+1,$FN201&gt;SwaptionFirstMonthPosition+SwaptionNumOfMonths+1),"",IF($FN201=IG$169,1,IF($FN201&lt;IG$169,INDEX($FO$170:$IH$241,IG$169,$FN201),SUMPRODUCT(INDEX($FO$325:$IH$396,IG$169,1+SwaptionShift):INDEX($FO$325:$IH$396,IG$169,SwaptionMonthsToGo+SwaptionShift),INDEX($FO$245:$IH$316,$FN201-IG$169,73-IG$169+SwaptionShift):INDEX($FO$245:$IH$316,$FN201-IG$169,72-IG$169+SwaptionMonthsToGo+SwaptionShift))/SQRT(SUM(INDEX($FO356:$IH356,1+SwaptionShift):INDEX($FO356:$IH356,SwaptionMonthsToGo+SwaptionShift))*SUM(INDEX($FO$325:$IH$396,IG$169,1+SwaptionShift):INDEX($FO$325:$IH$396,IG$169,SwaptionMonthsToGo+SwaptionShift))))))</f>
        <v/>
      </c>
      <c r="IH201" s="662" t="str">
        <f ca="1">IF(OR(IH$169&lt;SwaptionFirstMonthPosition+1,$FN201&lt;SwaptionFirstMonthPosition+1,IH$169&gt;SwaptionFirstMonthPosition+SwaptionNumOfMonths+1,$FN201&gt;SwaptionFirstMonthPosition+SwaptionNumOfMonths+1),"",IF($FN201=IH$169,1,IF($FN201&lt;IH$169,INDEX($FO$170:$IH$241,IH$169,$FN201),SUMPRODUCT(INDEX($FO$325:$IH$396,IH$169,1+SwaptionShift):INDEX($FO$325:$IH$396,IH$169,SwaptionMonthsToGo+SwaptionShift),INDEX($FO$245:$IH$316,$FN201-IH$169,73-IH$169+SwaptionShift):INDEX($FO$245:$IH$316,$FN201-IH$169,72-IH$169+SwaptionMonthsToGo+SwaptionShift))/SQRT(SUM(INDEX($FO356:$IH356,1+SwaptionShift):INDEX($FO356:$IH356,SwaptionMonthsToGo+SwaptionShift))*SUM(INDEX($FO$325:$IH$396,IH$169,1+SwaptionShift):INDEX($FO$325:$IH$396,IH$169,SwaptionMonthsToGo+SwaptionShift))))))</f>
        <v/>
      </c>
      <c r="II201" s="242"/>
    </row>
    <row r="202" spans="8:243">
      <c r="H202" s="49" t="e">
        <f t="shared" ca="1" si="529"/>
        <v>#N/A</v>
      </c>
      <c r="I202" s="369">
        <f t="shared" si="530"/>
        <v>42552</v>
      </c>
      <c r="J202" s="367">
        <v>23.934999999999899</v>
      </c>
      <c r="K202" s="101" t="s">
        <v>267</v>
      </c>
      <c r="L202" s="382">
        <f t="shared" si="531"/>
        <v>23.934999999999871</v>
      </c>
      <c r="M202" s="163">
        <v>0.13830000000000001</v>
      </c>
      <c r="N202" s="372">
        <v>0</v>
      </c>
      <c r="O202" s="163">
        <f t="shared" si="595"/>
        <v>0.13830000000000001</v>
      </c>
      <c r="P202" s="367">
        <v>22.690958411452897</v>
      </c>
      <c r="Q202" s="101" t="s">
        <v>267</v>
      </c>
      <c r="R202" s="367">
        <f t="shared" ca="1" si="596"/>
        <v>22.690958411452897</v>
      </c>
      <c r="S202" s="814">
        <f t="shared" si="594"/>
        <v>0.34810849450055059</v>
      </c>
      <c r="T202" s="813">
        <f t="shared" si="550"/>
        <v>0.99999999963307895</v>
      </c>
      <c r="U202" s="532">
        <f t="shared" si="551"/>
        <v>0.99999999999999978</v>
      </c>
      <c r="V202" s="379">
        <v>0</v>
      </c>
      <c r="W202" s="424">
        <f t="shared" si="597"/>
        <v>23.968749999999901</v>
      </c>
      <c r="X202" s="405">
        <f t="shared" si="598"/>
        <v>23.968749999999869</v>
      </c>
      <c r="Y202" s="313">
        <f t="shared" si="599"/>
        <v>22.6503499999999</v>
      </c>
      <c r="Z202" s="313">
        <f t="shared" ca="1" si="600"/>
        <v>22.650349999999868</v>
      </c>
      <c r="AA202" s="419">
        <f t="shared" si="493"/>
        <v>1.3184</v>
      </c>
      <c r="AB202" s="423">
        <f t="shared" ca="1" si="494"/>
        <v>1.3184</v>
      </c>
      <c r="AC202" s="221">
        <v>42541</v>
      </c>
      <c r="AD202" s="221">
        <v>42537</v>
      </c>
      <c r="AE202" s="221">
        <v>42536</v>
      </c>
      <c r="AF202" s="221">
        <v>42532</v>
      </c>
      <c r="AG202" s="241" t="s">
        <v>497</v>
      </c>
      <c r="AH202" s="239" t="s">
        <v>497</v>
      </c>
      <c r="AI202" s="141">
        <v>20</v>
      </c>
      <c r="AJ202" s="41">
        <v>13</v>
      </c>
      <c r="AK202" s="41">
        <v>7</v>
      </c>
      <c r="AL202" s="285">
        <v>21</v>
      </c>
      <c r="AM202" s="41">
        <v>10</v>
      </c>
      <c r="AN202" s="142">
        <v>11</v>
      </c>
      <c r="AO202" s="364">
        <v>6.2080637263741204E-2</v>
      </c>
      <c r="AP202" s="145">
        <f t="shared" ca="1" si="532"/>
        <v>0.39219134359763735</v>
      </c>
      <c r="AQ202" s="364">
        <v>5.6574442954171904E-2</v>
      </c>
      <c r="AR202" s="145">
        <f t="shared" ca="1" si="552"/>
        <v>0.42858746685706711</v>
      </c>
      <c r="AS202" s="264">
        <f t="shared" si="601"/>
        <v>0.13776000000000002</v>
      </c>
      <c r="AT202" s="149">
        <f t="shared" si="533"/>
        <v>0.13830000000000001</v>
      </c>
      <c r="AU202" s="149">
        <f t="shared" si="496"/>
        <v>0.1376904761904762</v>
      </c>
      <c r="AV202" s="263">
        <f t="shared" ca="1" si="560"/>
        <v>0.13621069237450359</v>
      </c>
      <c r="AW202" s="150" t="str">
        <f t="shared" ca="1" si="581"/>
        <v/>
      </c>
      <c r="AX202" s="149">
        <f t="shared" ca="1" si="553"/>
        <v>4.978248115729997E-3</v>
      </c>
      <c r="AY202" s="149">
        <f t="shared" ca="1" si="554"/>
        <v>1.6582521577736882E-3</v>
      </c>
      <c r="AZ202" s="149">
        <f t="shared" ca="1" si="555"/>
        <v>1.7735975954918837E-3</v>
      </c>
      <c r="BA202" s="149">
        <f t="shared" ca="1" si="556"/>
        <v>1.0000000000000926E-4</v>
      </c>
      <c r="BB202" s="149">
        <f t="shared" ca="1" si="557"/>
        <v>1.0000000000000926E-4</v>
      </c>
      <c r="BC202" s="149">
        <f t="shared" ca="1" si="558"/>
        <v>1.0000000000000926E-4</v>
      </c>
      <c r="BD202" s="143">
        <f t="shared" ca="1" si="602"/>
        <v>0</v>
      </c>
      <c r="BE202" s="144">
        <f t="shared" ca="1" si="603"/>
        <v>0</v>
      </c>
      <c r="BF202" s="40">
        <f t="shared" si="604"/>
        <v>2016</v>
      </c>
      <c r="BG202" s="139">
        <f t="shared" si="605"/>
        <v>7</v>
      </c>
      <c r="BH202" s="140">
        <f t="shared" ca="1" si="606"/>
        <v>5547</v>
      </c>
      <c r="BI202" s="304">
        <f t="shared" ca="1" si="607"/>
        <v>15.227926078028748</v>
      </c>
      <c r="BJ202" s="42">
        <f t="shared" ca="1" si="503"/>
        <v>15.281314168377824</v>
      </c>
      <c r="BK202" s="42">
        <f t="shared" ca="1" si="504"/>
        <v>15.284052019164957</v>
      </c>
      <c r="BL202" s="42">
        <f t="shared" ca="1" si="608"/>
        <v>15.31006160164271</v>
      </c>
      <c r="BM202" s="285">
        <f t="shared" si="609"/>
        <v>20</v>
      </c>
      <c r="BN202" s="41">
        <f t="shared" si="610"/>
        <v>13</v>
      </c>
      <c r="BO202" s="41">
        <f t="shared" si="611"/>
        <v>7</v>
      </c>
      <c r="BP202" s="297" t="str">
        <f t="shared" ca="1" si="505"/>
        <v/>
      </c>
      <c r="BQ202" s="297" t="str">
        <f t="shared" ca="1" si="506"/>
        <v/>
      </c>
      <c r="BR202" s="299" t="str">
        <f t="shared" ca="1" si="507"/>
        <v/>
      </c>
      <c r="BS202" s="153" t="str">
        <f t="shared" ca="1" si="508"/>
        <v/>
      </c>
      <c r="BT202" s="153" t="str">
        <f t="shared" ca="1" si="509"/>
        <v/>
      </c>
      <c r="BU202" s="300" t="str">
        <f t="shared" ca="1" si="510"/>
        <v/>
      </c>
      <c r="BV202" s="301" t="str">
        <f t="shared" ca="1" si="511"/>
        <v/>
      </c>
      <c r="BW202" s="300" t="str">
        <f t="shared" ca="1" si="512"/>
        <v/>
      </c>
      <c r="BX202" s="301" t="str">
        <f t="shared" ca="1" si="513"/>
        <v/>
      </c>
      <c r="BY202" s="146" t="str">
        <f t="shared" ca="1" si="514"/>
        <v/>
      </c>
      <c r="BZ202" s="146" t="str">
        <f t="shared" ca="1" si="515"/>
        <v/>
      </c>
      <c r="CA202" s="146" t="str">
        <f t="shared" ca="1" si="516"/>
        <v/>
      </c>
      <c r="CB202" s="146" t="str">
        <f t="shared" ca="1" si="517"/>
        <v/>
      </c>
      <c r="CC202" s="302">
        <v>1</v>
      </c>
      <c r="CD202" s="154">
        <f ca="1">IF(BD202,_xll.xCrudeAPO(BS202,BT202,BY202,BZ202,S203,S204,BI202,BL202,BN202,BO202,0,Strike1,AO202,CC202,0,BL202,IF(OptControl=4,0,1),0,1),0)</f>
        <v>0</v>
      </c>
      <c r="CE202" s="155">
        <f ca="1">IF(BD202,_xll.xCrudeAPO(BS202,BT202,BY202,BZ202,S203,S204,BI202,BL202,BN202,BO202,0,Strike1,AO202,CC202,0,BL202,IF(OptControl=4,0,1),1,1)+_xll.xCrudeAPO(BS202,BT202,BY202,BZ202,S203,S204,BI202,BL202,BN202,BO202,0,Strike1,AO202,CC202,0,BL202,IF(OptControl=4,0,1),1,2)+IF(OR(VolSkewFlag=2,ABS(BQ202)&lt;0.0001),0,IF(BQ202&gt;0,-1,1)*CF202*Strike1/BP202^2*BW202/10%),0)</f>
        <v>0</v>
      </c>
      <c r="CF202" s="155">
        <f ca="1">IF(BD202,(_xll.xCrudeAPO(BS202,BT202,BY202,BZ202,S203,S204,BI202,BL202,BN202,BO202,0,Strike1,AO202,CC202,0,BL202,IF(OptControl=4,0,1),3,1)+_xll.xCrudeAPO(BS202,BT202,BY202,BZ202,S203,S204,BI202,BL202,BN202,BO202,0,Strike1,AO202,CC202,0,BL202,IF(OptControl=4,0,1),3,2))/100,0)</f>
        <v>0</v>
      </c>
      <c r="CG202" s="155">
        <f ca="1">IF(BD202,_xll.xCrudeAPO(BS202,BT202,BY202,BZ202,S203,S204,BI202-DaysForThetaCalculation/365.25,BL202-DaysForThetaCalculation/365.25,BN202,BO202,0,Strike1,AO202,CC202,0,BL202,IF(OptControl=4,0,1),0,1)-_xll.xCrudeAPO(BS202,BT202,BY202,BZ202,S203,S204,BI202,BL202,BN202,BO202,0,Strike1,AO202,CC202,0,BL202,IF(OptControl=4,0,1),0,1),0)</f>
        <v>0</v>
      </c>
      <c r="CH202" s="303">
        <f ca="1">IF(BD202,_xll.xCrudeAPO(BS202,BT202,CA202,CB202,S203,S204,BI202,BL202,BN202,BO202,0,Strike2,AO202,CC202,0,BL202,IF(OptControl=3,1,0),0,1),0)</f>
        <v>0</v>
      </c>
      <c r="CI202" s="155">
        <f ca="1">IF(BD202,_xll.xCrudeAPO(BS202,BT202,CA202,CB202,S203,S204,BI202,BL202,BN202,BO202,0,Strike2,AO202,CC202,0,BL202,IF(OptControl=3,1,0),1,1)+_xll.xCrudeAPO(BS202,BT202,CA202,CB202,S203,S204,BI202,BL202,BN202,BO202,0,Strike2,AO202,CC202,0,BL202,IF(OptControl=3,1,0),1,2)+IF(OR(VolSkewFlag=2,ABS(BR202)&lt;0.0001),0,IF(BR202&gt;0,-1,1)*CJ202*Strike2/BP202^2*BX202/10%),0)</f>
        <v>0</v>
      </c>
      <c r="CJ202" s="155">
        <f ca="1">IF(BD202,(_xll.xCrudeAPO(BS202,BT202,CA202,CB202,S203,S204,BI202,BL202,BN202,BO202,0,Strike2,AO202,CC202,0,BL202,IF(OptControl=3,1,0),3,1)+_xll.xCrudeAPO(BS202,BT202,CA202,CB202,S203,S204,BI202,BL202,BN202,BO202,0,Strike2,AO202,CC202,0,BL202,IF(OptControl=3,1,0),3,2))/100,0)</f>
        <v>0</v>
      </c>
      <c r="CK202" s="156">
        <f ca="1">IF(BD202,_xll.xCrudeAPO(BS202,BT202,CA202,CB202,S203,S204,BI202-DaysForThetaCalculation/365.25,BL202-DaysForThetaCalculation/365.25,BN202,BO202,0,Strike2,AO202,CC202,0,BL202,IF(OptControl=3,1,0),0,1)-_xll.xCrudeAPO(BS202,BT202,CA202,CB202,S203,S204,BI202,BL202,BN202,BO202,0,Strike2,AO202,CC202,0,BL202,IF(OptControl=3,1,0),0,1),0)</f>
        <v>0</v>
      </c>
      <c r="CL202" s="51"/>
      <c r="CM202" s="779" t="str">
        <f t="shared" ca="1" si="534"/>
        <v/>
      </c>
      <c r="CN202" s="783" t="str">
        <f t="shared" ca="1" si="535"/>
        <v/>
      </c>
      <c r="CO202" s="780" t="str">
        <f t="shared" ca="1" si="536"/>
        <v/>
      </c>
      <c r="CP202" s="780" t="str">
        <f t="shared" ca="1" si="537"/>
        <v/>
      </c>
      <c r="CQ202" s="780" t="str">
        <f t="shared" ca="1" si="538"/>
        <v/>
      </c>
      <c r="CR202" s="780" t="str">
        <f t="shared" ca="1" si="539"/>
        <v/>
      </c>
      <c r="CS202" s="781" t="str">
        <f t="shared" ca="1" si="540"/>
        <v/>
      </c>
      <c r="CT202" s="782" t="str">
        <f t="shared" ca="1" si="541"/>
        <v/>
      </c>
      <c r="CU202" s="782" t="str">
        <f t="shared" ca="1" si="542"/>
        <v/>
      </c>
      <c r="CV202" s="155">
        <f ca="1">IF(BD202,_xll.EURO(CN202,Strike1,AO202,AO202,CT202,CM202,IF(OptControl=4,0,1),0),0)</f>
        <v>0</v>
      </c>
      <c r="CW202" s="155">
        <f ca="1">IF(BD202,_xll.EURO(CN202,Strike1,AO202,AO202,CT202,CM202,IF(OptControl=4,0,1),1)+IF(OR(VolSkewFlag=2,ABS(CO202)&lt;0.0001),0,IF(CO202&gt;0,-1,1)*CX202*100*Strike1/CN202^2*CQ202/10%),0)</f>
        <v>0</v>
      </c>
      <c r="CX202" s="155">
        <f ca="1">IF(BD202,_xll.EURO(CN202,Strike1,AO202,AO202,CT202,CM202,IF(OptControl=4,0,1),3)/100,0)</f>
        <v>0</v>
      </c>
      <c r="CY202" s="155">
        <f ca="1">IF(BD202,_xll.EURO(CN202,Strike1,AO202,AO202,CT202,CM202,IF(OptControl=4,0,1),0)-_xll.EURO(CN202,Strike1,AO202,AO202,CT202,CM202-1,IF(OptControl=4,0,1),0),0)</f>
        <v>0</v>
      </c>
      <c r="CZ202" s="155">
        <f ca="1">IF(BD202,_xll.EURO(CN202,Strike2,AO202,AO202,CU202,CM202,IF(OptControl=3,1,0),0),0)</f>
        <v>0</v>
      </c>
      <c r="DA202" s="155">
        <f ca="1">IF(BD202,_xll.EURO(CN202,Strike2,AO202,AO202,CU202,CM202,IF(OptControl=3,1,0),1)+IF(OR(VolSkewFlag=2,ABS(CP202)&lt;0.0001),0,IF(CP202&gt;0,-1,1)*DB202*100*Strike2/CN202^2*CR202/10%),0)</f>
        <v>0</v>
      </c>
      <c r="DB202" s="155">
        <f ca="1">IF(BD202,_xll.EURO(CN202,Strike2,AO202,AO202,CU202,CM202,IF(OptControl=3,1,0),3)/100,0)</f>
        <v>0</v>
      </c>
      <c r="DC202" s="156">
        <f ca="1">IF(BD202,_xll.EURO(CN202,Strike2,AO202,AO202,CU202,CM202,IF(OptControl=3,1,0),0)-_xll.EURO(CN202,Strike2,AO202,AO202,CU202,CM202-1,IF(OptControl=3,1,0),0),0)</f>
        <v>0</v>
      </c>
      <c r="DE202" s="651">
        <f t="shared" ca="1" si="543"/>
        <v>42461</v>
      </c>
      <c r="DF202" s="465">
        <v>1E-4</v>
      </c>
      <c r="DG202" s="649">
        <v>1E-4</v>
      </c>
      <c r="DH202" s="650">
        <f t="shared" ca="1" si="612"/>
        <v>42461</v>
      </c>
      <c r="DI202" s="465">
        <v>1E-4</v>
      </c>
      <c r="DJ202" s="649">
        <v>1E-4</v>
      </c>
      <c r="DK202" s="651">
        <f t="shared" ca="1" si="613"/>
        <v>42461</v>
      </c>
      <c r="DL202" s="652">
        <f t="shared" si="614"/>
        <v>5.0100000000000006E-2</v>
      </c>
      <c r="DM202" s="651">
        <f t="shared" ca="1" si="615"/>
        <v>42461</v>
      </c>
      <c r="DN202" s="563">
        <f t="shared" si="616"/>
        <v>-0.12990000000000002</v>
      </c>
      <c r="DO202" s="803">
        <v>-0.13</v>
      </c>
      <c r="DP202" s="650">
        <f t="shared" ca="1" si="617"/>
        <v>42461</v>
      </c>
      <c r="DQ202" s="653">
        <v>1E-4</v>
      </c>
      <c r="DR202" s="590">
        <v>1E-4</v>
      </c>
      <c r="DS202" s="650">
        <f t="shared" ca="1" si="618"/>
        <v>42461</v>
      </c>
      <c r="DT202" s="653">
        <v>1E-4</v>
      </c>
      <c r="DU202" s="590">
        <v>1E-4</v>
      </c>
      <c r="DV202" s="651">
        <f t="shared" ca="1" si="619"/>
        <v>42461</v>
      </c>
      <c r="DW202" s="590">
        <v>1E-4</v>
      </c>
      <c r="DX202" s="651">
        <f t="shared" ca="1" si="620"/>
        <v>42461</v>
      </c>
      <c r="DY202" s="590">
        <f t="shared" si="621"/>
        <v>1E-4</v>
      </c>
      <c r="DZ202" s="1"/>
      <c r="EA202" s="857"/>
      <c r="EB202" s="857"/>
      <c r="EC202" s="857"/>
      <c r="ED202" s="868" t="e">
        <f t="shared" ca="1" si="566"/>
        <v>#NAME?</v>
      </c>
      <c r="EE202" s="863" t="e">
        <f t="shared" ca="1" si="524"/>
        <v>#NAME?</v>
      </c>
      <c r="EF202" s="590" t="e">
        <f t="shared" ca="1" si="525"/>
        <v>#NAME?</v>
      </c>
      <c r="EG202" s="862" t="str">
        <f t="shared" ca="1" si="622"/>
        <v/>
      </c>
      <c r="EH202" s="114" t="str">
        <f t="shared" ca="1" si="527"/>
        <v/>
      </c>
      <c r="EI202" s="109" t="str">
        <f t="shared" ca="1" si="528"/>
        <v/>
      </c>
      <c r="EJ202" s="115">
        <f ca="1">IF(BD202,_xll.xASN(BP202,Strike1,AO202,EH202,0,BM202,0,BI202,BL202,IF(OptControl=4,0,1),0),0)</f>
        <v>0</v>
      </c>
      <c r="EK202" s="108">
        <f ca="1">IF(BD202,_xll.xASN(BP202,Strike2,AO202,EI202,0,BM202,0,BI202,BL202,IF(OptControl=3,1,0),0),0)</f>
        <v>0</v>
      </c>
      <c r="EP202" s="53"/>
      <c r="EQ202" s="1"/>
      <c r="ER202" s="103"/>
      <c r="ES202" s="103"/>
      <c r="ET202" s="1"/>
      <c r="EU202" s="667" t="s">
        <v>415</v>
      </c>
      <c r="EW202" s="445"/>
      <c r="EX202" s="36"/>
      <c r="EY202" s="104"/>
      <c r="EZ202" s="465"/>
      <c r="FA202" s="446"/>
      <c r="FB202" s="446"/>
      <c r="FC202" s="242"/>
      <c r="FD202" s="242"/>
      <c r="FE202" s="242"/>
      <c r="FF202" s="242"/>
      <c r="FG202" s="242"/>
      <c r="FH202" s="242"/>
      <c r="FI202" s="242"/>
      <c r="FJ202" s="242"/>
      <c r="FK202" s="242"/>
      <c r="FL202" s="242"/>
      <c r="FM202" s="242"/>
      <c r="FN202" s="657">
        <v>33</v>
      </c>
      <c r="FO202" s="469" t="str">
        <f ca="1">IF(OR(FO$169&lt;SwaptionFirstMonthPosition+1,$FN202&lt;SwaptionFirstMonthPosition+1,FO$169&gt;SwaptionFirstMonthPosition+SwaptionNumOfMonths+1,$FN202&gt;SwaptionFirstMonthPosition+SwaptionNumOfMonths+1),"",IF($FN202=FO$169,1,IF($FN202&lt;FO$169,INDEX($FO$170:$IH$241,FO$169,$FN202),SUMPRODUCT(INDEX($FO$325:$IH$396,FO$169,1+SwaptionShift):INDEX($FO$325:$IH$396,FO$169,SwaptionMonthsToGo+SwaptionShift),INDEX($FO$245:$IH$316,$FN202-FO$169,73-FO$169+SwaptionShift):INDEX($FO$245:$IH$316,$FN202-FO$169,72-FO$169+SwaptionMonthsToGo+SwaptionShift))/SQRT(SUM(INDEX($FO357:$IH357,1+SwaptionShift):INDEX($FO357:$IH357,SwaptionMonthsToGo+SwaptionShift))*SUM(INDEX($FO$325:$IH$396,FO$169,1+SwaptionShift):INDEX($FO$325:$IH$396,FO$169,SwaptionMonthsToGo+SwaptionShift))))))</f>
        <v/>
      </c>
      <c r="FP202" s="469" t="str">
        <f ca="1">IF(OR(FP$169&lt;SwaptionFirstMonthPosition+1,$FN202&lt;SwaptionFirstMonthPosition+1,FP$169&gt;SwaptionFirstMonthPosition+SwaptionNumOfMonths+1,$FN202&gt;SwaptionFirstMonthPosition+SwaptionNumOfMonths+1),"",IF($FN202=FP$169,1,IF($FN202&lt;FP$169,INDEX($FO$170:$IH$241,FP$169,$FN202),SUMPRODUCT(INDEX($FO$325:$IH$396,FP$169,1+SwaptionShift):INDEX($FO$325:$IH$396,FP$169,SwaptionMonthsToGo+SwaptionShift),INDEX($FO$245:$IH$316,$FN202-FP$169,73-FP$169+SwaptionShift):INDEX($FO$245:$IH$316,$FN202-FP$169,72-FP$169+SwaptionMonthsToGo+SwaptionShift))/SQRT(SUM(INDEX($FO357:$IH357,1+SwaptionShift):INDEX($FO357:$IH357,SwaptionMonthsToGo+SwaptionShift))*SUM(INDEX($FO$325:$IH$396,FP$169,1+SwaptionShift):INDEX($FO$325:$IH$396,FP$169,SwaptionMonthsToGo+SwaptionShift))))))</f>
        <v/>
      </c>
      <c r="FQ202" s="469" t="str">
        <f ca="1">IF(OR(FQ$169&lt;SwaptionFirstMonthPosition+1,$FN202&lt;SwaptionFirstMonthPosition+1,FQ$169&gt;SwaptionFirstMonthPosition+SwaptionNumOfMonths+1,$FN202&gt;SwaptionFirstMonthPosition+SwaptionNumOfMonths+1),"",IF($FN202=FQ$169,1,IF($FN202&lt;FQ$169,INDEX($FO$170:$IH$241,FQ$169,$FN202),SUMPRODUCT(INDEX($FO$325:$IH$396,FQ$169,1+SwaptionShift):INDEX($FO$325:$IH$396,FQ$169,SwaptionMonthsToGo+SwaptionShift),INDEX($FO$245:$IH$316,$FN202-FQ$169,73-FQ$169+SwaptionShift):INDEX($FO$245:$IH$316,$FN202-FQ$169,72-FQ$169+SwaptionMonthsToGo+SwaptionShift))/SQRT(SUM(INDEX($FO357:$IH357,1+SwaptionShift):INDEX($FO357:$IH357,SwaptionMonthsToGo+SwaptionShift))*SUM(INDEX($FO$325:$IH$396,FQ$169,1+SwaptionShift):INDEX($FO$325:$IH$396,FQ$169,SwaptionMonthsToGo+SwaptionShift))))))</f>
        <v/>
      </c>
      <c r="FR202" s="469" t="str">
        <f ca="1">IF(OR(FR$169&lt;SwaptionFirstMonthPosition+1,$FN202&lt;SwaptionFirstMonthPosition+1,FR$169&gt;SwaptionFirstMonthPosition+SwaptionNumOfMonths+1,$FN202&gt;SwaptionFirstMonthPosition+SwaptionNumOfMonths+1),"",IF($FN202=FR$169,1,IF($FN202&lt;FR$169,INDEX($FO$170:$IH$241,FR$169,$FN202),SUMPRODUCT(INDEX($FO$325:$IH$396,FR$169,1+SwaptionShift):INDEX($FO$325:$IH$396,FR$169,SwaptionMonthsToGo+SwaptionShift),INDEX($FO$245:$IH$316,$FN202-FR$169,73-FR$169+SwaptionShift):INDEX($FO$245:$IH$316,$FN202-FR$169,72-FR$169+SwaptionMonthsToGo+SwaptionShift))/SQRT(SUM(INDEX($FO357:$IH357,1+SwaptionShift):INDEX($FO357:$IH357,SwaptionMonthsToGo+SwaptionShift))*SUM(INDEX($FO$325:$IH$396,FR$169,1+SwaptionShift):INDEX($FO$325:$IH$396,FR$169,SwaptionMonthsToGo+SwaptionShift))))))</f>
        <v/>
      </c>
      <c r="FS202" s="469" t="str">
        <f ca="1">IF(OR(FS$169&lt;SwaptionFirstMonthPosition+1,$FN202&lt;SwaptionFirstMonthPosition+1,FS$169&gt;SwaptionFirstMonthPosition+SwaptionNumOfMonths+1,$FN202&gt;SwaptionFirstMonthPosition+SwaptionNumOfMonths+1),"",IF($FN202=FS$169,1,IF($FN202&lt;FS$169,INDEX($FO$170:$IH$241,FS$169,$FN202),SUMPRODUCT(INDEX($FO$325:$IH$396,FS$169,1+SwaptionShift):INDEX($FO$325:$IH$396,FS$169,SwaptionMonthsToGo+SwaptionShift),INDEX($FO$245:$IH$316,$FN202-FS$169,73-FS$169+SwaptionShift):INDEX($FO$245:$IH$316,$FN202-FS$169,72-FS$169+SwaptionMonthsToGo+SwaptionShift))/SQRT(SUM(INDEX($FO357:$IH357,1+SwaptionShift):INDEX($FO357:$IH357,SwaptionMonthsToGo+SwaptionShift))*SUM(INDEX($FO$325:$IH$396,FS$169,1+SwaptionShift):INDEX($FO$325:$IH$396,FS$169,SwaptionMonthsToGo+SwaptionShift))))))</f>
        <v/>
      </c>
      <c r="FT202" s="469" t="str">
        <f ca="1">IF(OR(FT$169&lt;SwaptionFirstMonthPosition+1,$FN202&lt;SwaptionFirstMonthPosition+1,FT$169&gt;SwaptionFirstMonthPosition+SwaptionNumOfMonths+1,$FN202&gt;SwaptionFirstMonthPosition+SwaptionNumOfMonths+1),"",IF($FN202=FT$169,1,IF($FN202&lt;FT$169,INDEX($FO$170:$IH$241,FT$169,$FN202),SUMPRODUCT(INDEX($FO$325:$IH$396,FT$169,1+SwaptionShift):INDEX($FO$325:$IH$396,FT$169,SwaptionMonthsToGo+SwaptionShift),INDEX($FO$245:$IH$316,$FN202-FT$169,73-FT$169+SwaptionShift):INDEX($FO$245:$IH$316,$FN202-FT$169,72-FT$169+SwaptionMonthsToGo+SwaptionShift))/SQRT(SUM(INDEX($FO357:$IH357,1+SwaptionShift):INDEX($FO357:$IH357,SwaptionMonthsToGo+SwaptionShift))*SUM(INDEX($FO$325:$IH$396,FT$169,1+SwaptionShift):INDEX($FO$325:$IH$396,FT$169,SwaptionMonthsToGo+SwaptionShift))))))</f>
        <v/>
      </c>
      <c r="FU202" s="469" t="str">
        <f ca="1">IF(OR(FU$169&lt;SwaptionFirstMonthPosition+1,$FN202&lt;SwaptionFirstMonthPosition+1,FU$169&gt;SwaptionFirstMonthPosition+SwaptionNumOfMonths+1,$FN202&gt;SwaptionFirstMonthPosition+SwaptionNumOfMonths+1),"",IF($FN202=FU$169,1,IF($FN202&lt;FU$169,INDEX($FO$170:$IH$241,FU$169,$FN202),SUMPRODUCT(INDEX($FO$325:$IH$396,FU$169,1+SwaptionShift):INDEX($FO$325:$IH$396,FU$169,SwaptionMonthsToGo+SwaptionShift),INDEX($FO$245:$IH$316,$FN202-FU$169,73-FU$169+SwaptionShift):INDEX($FO$245:$IH$316,$FN202-FU$169,72-FU$169+SwaptionMonthsToGo+SwaptionShift))/SQRT(SUM(INDEX($FO357:$IH357,1+SwaptionShift):INDEX($FO357:$IH357,SwaptionMonthsToGo+SwaptionShift))*SUM(INDEX($FO$325:$IH$396,FU$169,1+SwaptionShift):INDEX($FO$325:$IH$396,FU$169,SwaptionMonthsToGo+SwaptionShift))))))</f>
        <v/>
      </c>
      <c r="FV202" s="469" t="str">
        <f ca="1">IF(OR(FV$169&lt;SwaptionFirstMonthPosition+1,$FN202&lt;SwaptionFirstMonthPosition+1,FV$169&gt;SwaptionFirstMonthPosition+SwaptionNumOfMonths+1,$FN202&gt;SwaptionFirstMonthPosition+SwaptionNumOfMonths+1),"",IF($FN202=FV$169,1,IF($FN202&lt;FV$169,INDEX($FO$170:$IH$241,FV$169,$FN202),SUMPRODUCT(INDEX($FO$325:$IH$396,FV$169,1+SwaptionShift):INDEX($FO$325:$IH$396,FV$169,SwaptionMonthsToGo+SwaptionShift),INDEX($FO$245:$IH$316,$FN202-FV$169,73-FV$169+SwaptionShift):INDEX($FO$245:$IH$316,$FN202-FV$169,72-FV$169+SwaptionMonthsToGo+SwaptionShift))/SQRT(SUM(INDEX($FO357:$IH357,1+SwaptionShift):INDEX($FO357:$IH357,SwaptionMonthsToGo+SwaptionShift))*SUM(INDEX($FO$325:$IH$396,FV$169,1+SwaptionShift):INDEX($FO$325:$IH$396,FV$169,SwaptionMonthsToGo+SwaptionShift))))))</f>
        <v/>
      </c>
      <c r="FW202" s="469" t="str">
        <f ca="1">IF(OR(FW$169&lt;SwaptionFirstMonthPosition+1,$FN202&lt;SwaptionFirstMonthPosition+1,FW$169&gt;SwaptionFirstMonthPosition+SwaptionNumOfMonths+1,$FN202&gt;SwaptionFirstMonthPosition+SwaptionNumOfMonths+1),"",IF($FN202=FW$169,1,IF($FN202&lt;FW$169,INDEX($FO$170:$IH$241,FW$169,$FN202),SUMPRODUCT(INDEX($FO$325:$IH$396,FW$169,1+SwaptionShift):INDEX($FO$325:$IH$396,FW$169,SwaptionMonthsToGo+SwaptionShift),INDEX($FO$245:$IH$316,$FN202-FW$169,73-FW$169+SwaptionShift):INDEX($FO$245:$IH$316,$FN202-FW$169,72-FW$169+SwaptionMonthsToGo+SwaptionShift))/SQRT(SUM(INDEX($FO357:$IH357,1+SwaptionShift):INDEX($FO357:$IH357,SwaptionMonthsToGo+SwaptionShift))*SUM(INDEX($FO$325:$IH$396,FW$169,1+SwaptionShift):INDEX($FO$325:$IH$396,FW$169,SwaptionMonthsToGo+SwaptionShift))))))</f>
        <v/>
      </c>
      <c r="FX202" s="469" t="str">
        <f ca="1">IF(OR(FX$169&lt;SwaptionFirstMonthPosition+1,$FN202&lt;SwaptionFirstMonthPosition+1,FX$169&gt;SwaptionFirstMonthPosition+SwaptionNumOfMonths+1,$FN202&gt;SwaptionFirstMonthPosition+SwaptionNumOfMonths+1),"",IF($FN202=FX$169,1,IF($FN202&lt;FX$169,INDEX($FO$170:$IH$241,FX$169,$FN202),SUMPRODUCT(INDEX($FO$325:$IH$396,FX$169,1+SwaptionShift):INDEX($FO$325:$IH$396,FX$169,SwaptionMonthsToGo+SwaptionShift),INDEX($FO$245:$IH$316,$FN202-FX$169,73-FX$169+SwaptionShift):INDEX($FO$245:$IH$316,$FN202-FX$169,72-FX$169+SwaptionMonthsToGo+SwaptionShift))/SQRT(SUM(INDEX($FO357:$IH357,1+SwaptionShift):INDEX($FO357:$IH357,SwaptionMonthsToGo+SwaptionShift))*SUM(INDEX($FO$325:$IH$396,FX$169,1+SwaptionShift):INDEX($FO$325:$IH$396,FX$169,SwaptionMonthsToGo+SwaptionShift))))))</f>
        <v/>
      </c>
      <c r="FY202" s="469" t="str">
        <f ca="1">IF(OR(FY$169&lt;SwaptionFirstMonthPosition+1,$FN202&lt;SwaptionFirstMonthPosition+1,FY$169&gt;SwaptionFirstMonthPosition+SwaptionNumOfMonths+1,$FN202&gt;SwaptionFirstMonthPosition+SwaptionNumOfMonths+1),"",IF($FN202=FY$169,1,IF($FN202&lt;FY$169,INDEX($FO$170:$IH$241,FY$169,$FN202),SUMPRODUCT(INDEX($FO$325:$IH$396,FY$169,1+SwaptionShift):INDEX($FO$325:$IH$396,FY$169,SwaptionMonthsToGo+SwaptionShift),INDEX($FO$245:$IH$316,$FN202-FY$169,73-FY$169+SwaptionShift):INDEX($FO$245:$IH$316,$FN202-FY$169,72-FY$169+SwaptionMonthsToGo+SwaptionShift))/SQRT(SUM(INDEX($FO357:$IH357,1+SwaptionShift):INDEX($FO357:$IH357,SwaptionMonthsToGo+SwaptionShift))*SUM(INDEX($FO$325:$IH$396,FY$169,1+SwaptionShift):INDEX($FO$325:$IH$396,FY$169,SwaptionMonthsToGo+SwaptionShift))))))</f>
        <v/>
      </c>
      <c r="FZ202" s="469" t="str">
        <f ca="1">IF(OR(FZ$169&lt;SwaptionFirstMonthPosition+1,$FN202&lt;SwaptionFirstMonthPosition+1,FZ$169&gt;SwaptionFirstMonthPosition+SwaptionNumOfMonths+1,$FN202&gt;SwaptionFirstMonthPosition+SwaptionNumOfMonths+1),"",IF($FN202=FZ$169,1,IF($FN202&lt;FZ$169,INDEX($FO$170:$IH$241,FZ$169,$FN202),SUMPRODUCT(INDEX($FO$325:$IH$396,FZ$169,1+SwaptionShift):INDEX($FO$325:$IH$396,FZ$169,SwaptionMonthsToGo+SwaptionShift),INDEX($FO$245:$IH$316,$FN202-FZ$169,73-FZ$169+SwaptionShift):INDEX($FO$245:$IH$316,$FN202-FZ$169,72-FZ$169+SwaptionMonthsToGo+SwaptionShift))/SQRT(SUM(INDEX($FO357:$IH357,1+SwaptionShift):INDEX($FO357:$IH357,SwaptionMonthsToGo+SwaptionShift))*SUM(INDEX($FO$325:$IH$396,FZ$169,1+SwaptionShift):INDEX($FO$325:$IH$396,FZ$169,SwaptionMonthsToGo+SwaptionShift))))))</f>
        <v/>
      </c>
      <c r="GA202" s="469" t="str">
        <f ca="1">IF(OR(GA$169&lt;SwaptionFirstMonthPosition+1,$FN202&lt;SwaptionFirstMonthPosition+1,GA$169&gt;SwaptionFirstMonthPosition+SwaptionNumOfMonths+1,$FN202&gt;SwaptionFirstMonthPosition+SwaptionNumOfMonths+1),"",IF($FN202=GA$169,1,IF($FN202&lt;GA$169,INDEX($FO$170:$IH$241,GA$169,$FN202),SUMPRODUCT(INDEX($FO$325:$IH$396,GA$169,1+SwaptionShift):INDEX($FO$325:$IH$396,GA$169,SwaptionMonthsToGo+SwaptionShift),INDEX($FO$245:$IH$316,$FN202-GA$169,73-GA$169+SwaptionShift):INDEX($FO$245:$IH$316,$FN202-GA$169,72-GA$169+SwaptionMonthsToGo+SwaptionShift))/SQRT(SUM(INDEX($FO357:$IH357,1+SwaptionShift):INDEX($FO357:$IH357,SwaptionMonthsToGo+SwaptionShift))*SUM(INDEX($FO$325:$IH$396,GA$169,1+SwaptionShift):INDEX($FO$325:$IH$396,GA$169,SwaptionMonthsToGo+SwaptionShift))))))</f>
        <v/>
      </c>
      <c r="GB202" s="469" t="str">
        <f ca="1">IF(OR(GB$169&lt;SwaptionFirstMonthPosition+1,$FN202&lt;SwaptionFirstMonthPosition+1,GB$169&gt;SwaptionFirstMonthPosition+SwaptionNumOfMonths+1,$FN202&gt;SwaptionFirstMonthPosition+SwaptionNumOfMonths+1),"",IF($FN202=GB$169,1,IF($FN202&lt;GB$169,INDEX($FO$170:$IH$241,GB$169,$FN202),SUMPRODUCT(INDEX($FO$325:$IH$396,GB$169,1+SwaptionShift):INDEX($FO$325:$IH$396,GB$169,SwaptionMonthsToGo+SwaptionShift),INDEX($FO$245:$IH$316,$FN202-GB$169,73-GB$169+SwaptionShift):INDEX($FO$245:$IH$316,$FN202-GB$169,72-GB$169+SwaptionMonthsToGo+SwaptionShift))/SQRT(SUM(INDEX($FO357:$IH357,1+SwaptionShift):INDEX($FO357:$IH357,SwaptionMonthsToGo+SwaptionShift))*SUM(INDEX($FO$325:$IH$396,GB$169,1+SwaptionShift):INDEX($FO$325:$IH$396,GB$169,SwaptionMonthsToGo+SwaptionShift))))))</f>
        <v/>
      </c>
      <c r="GC202" s="469" t="str">
        <f ca="1">IF(OR(GC$169&lt;SwaptionFirstMonthPosition+1,$FN202&lt;SwaptionFirstMonthPosition+1,GC$169&gt;SwaptionFirstMonthPosition+SwaptionNumOfMonths+1,$FN202&gt;SwaptionFirstMonthPosition+SwaptionNumOfMonths+1),"",IF($FN202=GC$169,1,IF($FN202&lt;GC$169,INDEX($FO$170:$IH$241,GC$169,$FN202),SUMPRODUCT(INDEX($FO$325:$IH$396,GC$169,1+SwaptionShift):INDEX($FO$325:$IH$396,GC$169,SwaptionMonthsToGo+SwaptionShift),INDEX($FO$245:$IH$316,$FN202-GC$169,73-GC$169+SwaptionShift):INDEX($FO$245:$IH$316,$FN202-GC$169,72-GC$169+SwaptionMonthsToGo+SwaptionShift))/SQRT(SUM(INDEX($FO357:$IH357,1+SwaptionShift):INDEX($FO357:$IH357,SwaptionMonthsToGo+SwaptionShift))*SUM(INDEX($FO$325:$IH$396,GC$169,1+SwaptionShift):INDEX($FO$325:$IH$396,GC$169,SwaptionMonthsToGo+SwaptionShift))))))</f>
        <v/>
      </c>
      <c r="GD202" s="469" t="str">
        <f ca="1">IF(OR(GD$169&lt;SwaptionFirstMonthPosition+1,$FN202&lt;SwaptionFirstMonthPosition+1,GD$169&gt;SwaptionFirstMonthPosition+SwaptionNumOfMonths+1,$FN202&gt;SwaptionFirstMonthPosition+SwaptionNumOfMonths+1),"",IF($FN202=GD$169,1,IF($FN202&lt;GD$169,INDEX($FO$170:$IH$241,GD$169,$FN202),SUMPRODUCT(INDEX($FO$325:$IH$396,GD$169,1+SwaptionShift):INDEX($FO$325:$IH$396,GD$169,SwaptionMonthsToGo+SwaptionShift),INDEX($FO$245:$IH$316,$FN202-GD$169,73-GD$169+SwaptionShift):INDEX($FO$245:$IH$316,$FN202-GD$169,72-GD$169+SwaptionMonthsToGo+SwaptionShift))/SQRT(SUM(INDEX($FO357:$IH357,1+SwaptionShift):INDEX($FO357:$IH357,SwaptionMonthsToGo+SwaptionShift))*SUM(INDEX($FO$325:$IH$396,GD$169,1+SwaptionShift):INDEX($FO$325:$IH$396,GD$169,SwaptionMonthsToGo+SwaptionShift))))))</f>
        <v/>
      </c>
      <c r="GE202" s="469" t="str">
        <f ca="1">IF(OR(GE$169&lt;SwaptionFirstMonthPosition+1,$FN202&lt;SwaptionFirstMonthPosition+1,GE$169&gt;SwaptionFirstMonthPosition+SwaptionNumOfMonths+1,$FN202&gt;SwaptionFirstMonthPosition+SwaptionNumOfMonths+1),"",IF($FN202=GE$169,1,IF($FN202&lt;GE$169,INDEX($FO$170:$IH$241,GE$169,$FN202),SUMPRODUCT(INDEX($FO$325:$IH$396,GE$169,1+SwaptionShift):INDEX($FO$325:$IH$396,GE$169,SwaptionMonthsToGo+SwaptionShift),INDEX($FO$245:$IH$316,$FN202-GE$169,73-GE$169+SwaptionShift):INDEX($FO$245:$IH$316,$FN202-GE$169,72-GE$169+SwaptionMonthsToGo+SwaptionShift))/SQRT(SUM(INDEX($FO357:$IH357,1+SwaptionShift):INDEX($FO357:$IH357,SwaptionMonthsToGo+SwaptionShift))*SUM(INDEX($FO$325:$IH$396,GE$169,1+SwaptionShift):INDEX($FO$325:$IH$396,GE$169,SwaptionMonthsToGo+SwaptionShift))))))</f>
        <v/>
      </c>
      <c r="GF202" s="469" t="str">
        <f ca="1">IF(OR(GF$169&lt;SwaptionFirstMonthPosition+1,$FN202&lt;SwaptionFirstMonthPosition+1,GF$169&gt;SwaptionFirstMonthPosition+SwaptionNumOfMonths+1,$FN202&gt;SwaptionFirstMonthPosition+SwaptionNumOfMonths+1),"",IF($FN202=GF$169,1,IF($FN202&lt;GF$169,INDEX($FO$170:$IH$241,GF$169,$FN202),SUMPRODUCT(INDEX($FO$325:$IH$396,GF$169,1+SwaptionShift):INDEX($FO$325:$IH$396,GF$169,SwaptionMonthsToGo+SwaptionShift),INDEX($FO$245:$IH$316,$FN202-GF$169,73-GF$169+SwaptionShift):INDEX($FO$245:$IH$316,$FN202-GF$169,72-GF$169+SwaptionMonthsToGo+SwaptionShift))/SQRT(SUM(INDEX($FO357:$IH357,1+SwaptionShift):INDEX($FO357:$IH357,SwaptionMonthsToGo+SwaptionShift))*SUM(INDEX($FO$325:$IH$396,GF$169,1+SwaptionShift):INDEX($FO$325:$IH$396,GF$169,SwaptionMonthsToGo+SwaptionShift))))))</f>
        <v/>
      </c>
      <c r="GG202" s="469" t="str">
        <f ca="1">IF(OR(GG$169&lt;SwaptionFirstMonthPosition+1,$FN202&lt;SwaptionFirstMonthPosition+1,GG$169&gt;SwaptionFirstMonthPosition+SwaptionNumOfMonths+1,$FN202&gt;SwaptionFirstMonthPosition+SwaptionNumOfMonths+1),"",IF($FN202=GG$169,1,IF($FN202&lt;GG$169,INDEX($FO$170:$IH$241,GG$169,$FN202),SUMPRODUCT(INDEX($FO$325:$IH$396,GG$169,1+SwaptionShift):INDEX($FO$325:$IH$396,GG$169,SwaptionMonthsToGo+SwaptionShift),INDEX($FO$245:$IH$316,$FN202-GG$169,73-GG$169+SwaptionShift):INDEX($FO$245:$IH$316,$FN202-GG$169,72-GG$169+SwaptionMonthsToGo+SwaptionShift))/SQRT(SUM(INDEX($FO357:$IH357,1+SwaptionShift):INDEX($FO357:$IH357,SwaptionMonthsToGo+SwaptionShift))*SUM(INDEX($FO$325:$IH$396,GG$169,1+SwaptionShift):INDEX($FO$325:$IH$396,GG$169,SwaptionMonthsToGo+SwaptionShift))))))</f>
        <v/>
      </c>
      <c r="GH202" s="469" t="str">
        <f ca="1">IF(OR(GH$169&lt;SwaptionFirstMonthPosition+1,$FN202&lt;SwaptionFirstMonthPosition+1,GH$169&gt;SwaptionFirstMonthPosition+SwaptionNumOfMonths+1,$FN202&gt;SwaptionFirstMonthPosition+SwaptionNumOfMonths+1),"",IF($FN202=GH$169,1,IF($FN202&lt;GH$169,INDEX($FO$170:$IH$241,GH$169,$FN202),SUMPRODUCT(INDEX($FO$325:$IH$396,GH$169,1+SwaptionShift):INDEX($FO$325:$IH$396,GH$169,SwaptionMonthsToGo+SwaptionShift),INDEX($FO$245:$IH$316,$FN202-GH$169,73-GH$169+SwaptionShift):INDEX($FO$245:$IH$316,$FN202-GH$169,72-GH$169+SwaptionMonthsToGo+SwaptionShift))/SQRT(SUM(INDEX($FO357:$IH357,1+SwaptionShift):INDEX($FO357:$IH357,SwaptionMonthsToGo+SwaptionShift))*SUM(INDEX($FO$325:$IH$396,GH$169,1+SwaptionShift):INDEX($FO$325:$IH$396,GH$169,SwaptionMonthsToGo+SwaptionShift))))))</f>
        <v/>
      </c>
      <c r="GI202" s="469" t="str">
        <f ca="1">IF(OR(GI$169&lt;SwaptionFirstMonthPosition+1,$FN202&lt;SwaptionFirstMonthPosition+1,GI$169&gt;SwaptionFirstMonthPosition+SwaptionNumOfMonths+1,$FN202&gt;SwaptionFirstMonthPosition+SwaptionNumOfMonths+1),"",IF($FN202=GI$169,1,IF($FN202&lt;GI$169,INDEX($FO$170:$IH$241,GI$169,$FN202),SUMPRODUCT(INDEX($FO$325:$IH$396,GI$169,1+SwaptionShift):INDEX($FO$325:$IH$396,GI$169,SwaptionMonthsToGo+SwaptionShift),INDEX($FO$245:$IH$316,$FN202-GI$169,73-GI$169+SwaptionShift):INDEX($FO$245:$IH$316,$FN202-GI$169,72-GI$169+SwaptionMonthsToGo+SwaptionShift))/SQRT(SUM(INDEX($FO357:$IH357,1+SwaptionShift):INDEX($FO357:$IH357,SwaptionMonthsToGo+SwaptionShift))*SUM(INDEX($FO$325:$IH$396,GI$169,1+SwaptionShift):INDEX($FO$325:$IH$396,GI$169,SwaptionMonthsToGo+SwaptionShift))))))</f>
        <v/>
      </c>
      <c r="GJ202" s="469" t="str">
        <f ca="1">IF(OR(GJ$169&lt;SwaptionFirstMonthPosition+1,$FN202&lt;SwaptionFirstMonthPosition+1,GJ$169&gt;SwaptionFirstMonthPosition+SwaptionNumOfMonths+1,$FN202&gt;SwaptionFirstMonthPosition+SwaptionNumOfMonths+1),"",IF($FN202=GJ$169,1,IF($FN202&lt;GJ$169,INDEX($FO$170:$IH$241,GJ$169,$FN202),SUMPRODUCT(INDEX($FO$325:$IH$396,GJ$169,1+SwaptionShift):INDEX($FO$325:$IH$396,GJ$169,SwaptionMonthsToGo+SwaptionShift),INDEX($FO$245:$IH$316,$FN202-GJ$169,73-GJ$169+SwaptionShift):INDEX($FO$245:$IH$316,$FN202-GJ$169,72-GJ$169+SwaptionMonthsToGo+SwaptionShift))/SQRT(SUM(INDEX($FO357:$IH357,1+SwaptionShift):INDEX($FO357:$IH357,SwaptionMonthsToGo+SwaptionShift))*SUM(INDEX($FO$325:$IH$396,GJ$169,1+SwaptionShift):INDEX($FO$325:$IH$396,GJ$169,SwaptionMonthsToGo+SwaptionShift))))))</f>
        <v/>
      </c>
      <c r="GK202" s="469" t="str">
        <f ca="1">IF(OR(GK$169&lt;SwaptionFirstMonthPosition+1,$FN202&lt;SwaptionFirstMonthPosition+1,GK$169&gt;SwaptionFirstMonthPosition+SwaptionNumOfMonths+1,$FN202&gt;SwaptionFirstMonthPosition+SwaptionNumOfMonths+1),"",IF($FN202=GK$169,1,IF($FN202&lt;GK$169,INDEX($FO$170:$IH$241,GK$169,$FN202),SUMPRODUCT(INDEX($FO$325:$IH$396,GK$169,1+SwaptionShift):INDEX($FO$325:$IH$396,GK$169,SwaptionMonthsToGo+SwaptionShift),INDEX($FO$245:$IH$316,$FN202-GK$169,73-GK$169+SwaptionShift):INDEX($FO$245:$IH$316,$FN202-GK$169,72-GK$169+SwaptionMonthsToGo+SwaptionShift))/SQRT(SUM(INDEX($FO357:$IH357,1+SwaptionShift):INDEX($FO357:$IH357,SwaptionMonthsToGo+SwaptionShift))*SUM(INDEX($FO$325:$IH$396,GK$169,1+SwaptionShift):INDEX($FO$325:$IH$396,GK$169,SwaptionMonthsToGo+SwaptionShift))))))</f>
        <v/>
      </c>
      <c r="GL202" s="469" t="str">
        <f ca="1">IF(OR(GL$169&lt;SwaptionFirstMonthPosition+1,$FN202&lt;SwaptionFirstMonthPosition+1,GL$169&gt;SwaptionFirstMonthPosition+SwaptionNumOfMonths+1,$FN202&gt;SwaptionFirstMonthPosition+SwaptionNumOfMonths+1),"",IF($FN202=GL$169,1,IF($FN202&lt;GL$169,INDEX($FO$170:$IH$241,GL$169,$FN202),SUMPRODUCT(INDEX($FO$325:$IH$396,GL$169,1+SwaptionShift):INDEX($FO$325:$IH$396,GL$169,SwaptionMonthsToGo+SwaptionShift),INDEX($FO$245:$IH$316,$FN202-GL$169,73-GL$169+SwaptionShift):INDEX($FO$245:$IH$316,$FN202-GL$169,72-GL$169+SwaptionMonthsToGo+SwaptionShift))/SQRT(SUM(INDEX($FO357:$IH357,1+SwaptionShift):INDEX($FO357:$IH357,SwaptionMonthsToGo+SwaptionShift))*SUM(INDEX($FO$325:$IH$396,GL$169,1+SwaptionShift):INDEX($FO$325:$IH$396,GL$169,SwaptionMonthsToGo+SwaptionShift))))))</f>
        <v/>
      </c>
      <c r="GM202" s="469" t="str">
        <f ca="1">IF(OR(GM$169&lt;SwaptionFirstMonthPosition+1,$FN202&lt;SwaptionFirstMonthPosition+1,GM$169&gt;SwaptionFirstMonthPosition+SwaptionNumOfMonths+1,$FN202&gt;SwaptionFirstMonthPosition+SwaptionNumOfMonths+1),"",IF($FN202=GM$169,1,IF($FN202&lt;GM$169,INDEX($FO$170:$IH$241,GM$169,$FN202),SUMPRODUCT(INDEX($FO$325:$IH$396,GM$169,1+SwaptionShift):INDEX($FO$325:$IH$396,GM$169,SwaptionMonthsToGo+SwaptionShift),INDEX($FO$245:$IH$316,$FN202-GM$169,73-GM$169+SwaptionShift):INDEX($FO$245:$IH$316,$FN202-GM$169,72-GM$169+SwaptionMonthsToGo+SwaptionShift))/SQRT(SUM(INDEX($FO357:$IH357,1+SwaptionShift):INDEX($FO357:$IH357,SwaptionMonthsToGo+SwaptionShift))*SUM(INDEX($FO$325:$IH$396,GM$169,1+SwaptionShift):INDEX($FO$325:$IH$396,GM$169,SwaptionMonthsToGo+SwaptionShift))))))</f>
        <v/>
      </c>
      <c r="GN202" s="469" t="str">
        <f ca="1">IF(OR(GN$169&lt;SwaptionFirstMonthPosition+1,$FN202&lt;SwaptionFirstMonthPosition+1,GN$169&gt;SwaptionFirstMonthPosition+SwaptionNumOfMonths+1,$FN202&gt;SwaptionFirstMonthPosition+SwaptionNumOfMonths+1),"",IF($FN202=GN$169,1,IF($FN202&lt;GN$169,INDEX($FO$170:$IH$241,GN$169,$FN202),SUMPRODUCT(INDEX($FO$325:$IH$396,GN$169,1+SwaptionShift):INDEX($FO$325:$IH$396,GN$169,SwaptionMonthsToGo+SwaptionShift),INDEX($FO$245:$IH$316,$FN202-GN$169,73-GN$169+SwaptionShift):INDEX($FO$245:$IH$316,$FN202-GN$169,72-GN$169+SwaptionMonthsToGo+SwaptionShift))/SQRT(SUM(INDEX($FO357:$IH357,1+SwaptionShift):INDEX($FO357:$IH357,SwaptionMonthsToGo+SwaptionShift))*SUM(INDEX($FO$325:$IH$396,GN$169,1+SwaptionShift):INDEX($FO$325:$IH$396,GN$169,SwaptionMonthsToGo+SwaptionShift))))))</f>
        <v/>
      </c>
      <c r="GO202" s="469" t="str">
        <f ca="1">IF(OR(GO$169&lt;SwaptionFirstMonthPosition+1,$FN202&lt;SwaptionFirstMonthPosition+1,GO$169&gt;SwaptionFirstMonthPosition+SwaptionNumOfMonths+1,$FN202&gt;SwaptionFirstMonthPosition+SwaptionNumOfMonths+1),"",IF($FN202=GO$169,1,IF($FN202&lt;GO$169,INDEX($FO$170:$IH$241,GO$169,$FN202),SUMPRODUCT(INDEX($FO$325:$IH$396,GO$169,1+SwaptionShift):INDEX($FO$325:$IH$396,GO$169,SwaptionMonthsToGo+SwaptionShift),INDEX($FO$245:$IH$316,$FN202-GO$169,73-GO$169+SwaptionShift):INDEX($FO$245:$IH$316,$FN202-GO$169,72-GO$169+SwaptionMonthsToGo+SwaptionShift))/SQRT(SUM(INDEX($FO357:$IH357,1+SwaptionShift):INDEX($FO357:$IH357,SwaptionMonthsToGo+SwaptionShift))*SUM(INDEX($FO$325:$IH$396,GO$169,1+SwaptionShift):INDEX($FO$325:$IH$396,GO$169,SwaptionMonthsToGo+SwaptionShift))))))</f>
        <v/>
      </c>
      <c r="GP202" s="469" t="str">
        <f ca="1">IF(OR(GP$169&lt;SwaptionFirstMonthPosition+1,$FN202&lt;SwaptionFirstMonthPosition+1,GP$169&gt;SwaptionFirstMonthPosition+SwaptionNumOfMonths+1,$FN202&gt;SwaptionFirstMonthPosition+SwaptionNumOfMonths+1),"",IF($FN202=GP$169,1,IF($FN202&lt;GP$169,INDEX($FO$170:$IH$241,GP$169,$FN202),SUMPRODUCT(INDEX($FO$325:$IH$396,GP$169,1+SwaptionShift):INDEX($FO$325:$IH$396,GP$169,SwaptionMonthsToGo+SwaptionShift),INDEX($FO$245:$IH$316,$FN202-GP$169,73-GP$169+SwaptionShift):INDEX($FO$245:$IH$316,$FN202-GP$169,72-GP$169+SwaptionMonthsToGo+SwaptionShift))/SQRT(SUM(INDEX($FO357:$IH357,1+SwaptionShift):INDEX($FO357:$IH357,SwaptionMonthsToGo+SwaptionShift))*SUM(INDEX($FO$325:$IH$396,GP$169,1+SwaptionShift):INDEX($FO$325:$IH$396,GP$169,SwaptionMonthsToGo+SwaptionShift))))))</f>
        <v/>
      </c>
      <c r="GQ202" s="469" t="str">
        <f ca="1">IF(OR(GQ$169&lt;SwaptionFirstMonthPosition+1,$FN202&lt;SwaptionFirstMonthPosition+1,GQ$169&gt;SwaptionFirstMonthPosition+SwaptionNumOfMonths+1,$FN202&gt;SwaptionFirstMonthPosition+SwaptionNumOfMonths+1),"",IF($FN202=GQ$169,1,IF($FN202&lt;GQ$169,INDEX($FO$170:$IH$241,GQ$169,$FN202),SUMPRODUCT(INDEX($FO$325:$IH$396,GQ$169,1+SwaptionShift):INDEX($FO$325:$IH$396,GQ$169,SwaptionMonthsToGo+SwaptionShift),INDEX($FO$245:$IH$316,$FN202-GQ$169,73-GQ$169+SwaptionShift):INDEX($FO$245:$IH$316,$FN202-GQ$169,72-GQ$169+SwaptionMonthsToGo+SwaptionShift))/SQRT(SUM(INDEX($FO357:$IH357,1+SwaptionShift):INDEX($FO357:$IH357,SwaptionMonthsToGo+SwaptionShift))*SUM(INDEX($FO$325:$IH$396,GQ$169,1+SwaptionShift):INDEX($FO$325:$IH$396,GQ$169,SwaptionMonthsToGo+SwaptionShift))))))</f>
        <v/>
      </c>
      <c r="GR202" s="469" t="str">
        <f ca="1">IF(OR(GR$169&lt;SwaptionFirstMonthPosition+1,$FN202&lt;SwaptionFirstMonthPosition+1,GR$169&gt;SwaptionFirstMonthPosition+SwaptionNumOfMonths+1,$FN202&gt;SwaptionFirstMonthPosition+SwaptionNumOfMonths+1),"",IF($FN202=GR$169,1,IF($FN202&lt;GR$169,INDEX($FO$170:$IH$241,GR$169,$FN202),SUMPRODUCT(INDEX($FO$325:$IH$396,GR$169,1+SwaptionShift):INDEX($FO$325:$IH$396,GR$169,SwaptionMonthsToGo+SwaptionShift),INDEX($FO$245:$IH$316,$FN202-GR$169,73-GR$169+SwaptionShift):INDEX($FO$245:$IH$316,$FN202-GR$169,72-GR$169+SwaptionMonthsToGo+SwaptionShift))/SQRT(SUM(INDEX($FO357:$IH357,1+SwaptionShift):INDEX($FO357:$IH357,SwaptionMonthsToGo+SwaptionShift))*SUM(INDEX($FO$325:$IH$396,GR$169,1+SwaptionShift):INDEX($FO$325:$IH$396,GR$169,SwaptionMonthsToGo+SwaptionShift))))))</f>
        <v/>
      </c>
      <c r="GS202" s="469" t="str">
        <f ca="1">IF(OR(GS$169&lt;SwaptionFirstMonthPosition+1,$FN202&lt;SwaptionFirstMonthPosition+1,GS$169&gt;SwaptionFirstMonthPosition+SwaptionNumOfMonths+1,$FN202&gt;SwaptionFirstMonthPosition+SwaptionNumOfMonths+1),"",IF($FN202=GS$169,1,IF($FN202&lt;GS$169,INDEX($FO$170:$IH$241,GS$169,$FN202),SUMPRODUCT(INDEX($FO$325:$IH$396,GS$169,1+SwaptionShift):INDEX($FO$325:$IH$396,GS$169,SwaptionMonthsToGo+SwaptionShift),INDEX($FO$245:$IH$316,$FN202-GS$169,73-GS$169+SwaptionShift):INDEX($FO$245:$IH$316,$FN202-GS$169,72-GS$169+SwaptionMonthsToGo+SwaptionShift))/SQRT(SUM(INDEX($FO357:$IH357,1+SwaptionShift):INDEX($FO357:$IH357,SwaptionMonthsToGo+SwaptionShift))*SUM(INDEX($FO$325:$IH$396,GS$169,1+SwaptionShift):INDEX($FO$325:$IH$396,GS$169,SwaptionMonthsToGo+SwaptionShift))))))</f>
        <v/>
      </c>
      <c r="GT202" s="469" t="str">
        <f ca="1">IF(OR(GT$169&lt;SwaptionFirstMonthPosition+1,$FN202&lt;SwaptionFirstMonthPosition+1,GT$169&gt;SwaptionFirstMonthPosition+SwaptionNumOfMonths+1,$FN202&gt;SwaptionFirstMonthPosition+SwaptionNumOfMonths+1),"",IF($FN202=GT$169,1,IF($FN202&lt;GT$169,INDEX($FO$170:$IH$241,GT$169,$FN202),SUMPRODUCT(INDEX($FO$325:$IH$396,GT$169,1+SwaptionShift):INDEX($FO$325:$IH$396,GT$169,SwaptionMonthsToGo+SwaptionShift),INDEX($FO$245:$IH$316,$FN202-GT$169,73-GT$169+SwaptionShift):INDEX($FO$245:$IH$316,$FN202-GT$169,72-GT$169+SwaptionMonthsToGo+SwaptionShift))/SQRT(SUM(INDEX($FO357:$IH357,1+SwaptionShift):INDEX($FO357:$IH357,SwaptionMonthsToGo+SwaptionShift))*SUM(INDEX($FO$325:$IH$396,GT$169,1+SwaptionShift):INDEX($FO$325:$IH$396,GT$169,SwaptionMonthsToGo+SwaptionShift))))))</f>
        <v/>
      </c>
      <c r="GU202" s="469" t="str">
        <f ca="1">IF(OR(GU$169&lt;SwaptionFirstMonthPosition+1,$FN202&lt;SwaptionFirstMonthPosition+1,GU$169&gt;SwaptionFirstMonthPosition+SwaptionNumOfMonths+1,$FN202&gt;SwaptionFirstMonthPosition+SwaptionNumOfMonths+1),"",IF($FN202=GU$169,1,IF($FN202&lt;GU$169,INDEX($FO$170:$IH$241,GU$169,$FN202),SUMPRODUCT(INDEX($FO$325:$IH$396,GU$169,1+SwaptionShift):INDEX($FO$325:$IH$396,GU$169,SwaptionMonthsToGo+SwaptionShift),INDEX($FO$245:$IH$316,$FN202-GU$169,73-GU$169+SwaptionShift):INDEX($FO$245:$IH$316,$FN202-GU$169,72-GU$169+SwaptionMonthsToGo+SwaptionShift))/SQRT(SUM(INDEX($FO357:$IH357,1+SwaptionShift):INDEX($FO357:$IH357,SwaptionMonthsToGo+SwaptionShift))*SUM(INDEX($FO$325:$IH$396,GU$169,1+SwaptionShift):INDEX($FO$325:$IH$396,GU$169,SwaptionMonthsToGo+SwaptionShift))))))</f>
        <v/>
      </c>
      <c r="GV202" s="469" t="str">
        <f ca="1">IF(OR(GV$169&lt;SwaptionFirstMonthPosition+1,$FN202&lt;SwaptionFirstMonthPosition+1,GV$169&gt;SwaptionFirstMonthPosition+SwaptionNumOfMonths+1,$FN202&gt;SwaptionFirstMonthPosition+SwaptionNumOfMonths+1),"",IF($FN202=GV$169,1,IF($FN202&lt;GV$169,INDEX($FO$170:$IH$241,GV$169,$FN202),SUMPRODUCT(INDEX($FO$325:$IH$396,GV$169,1+SwaptionShift):INDEX($FO$325:$IH$396,GV$169,SwaptionMonthsToGo+SwaptionShift),INDEX($FO$245:$IH$316,$FN202-GV$169,73-GV$169+SwaptionShift):INDEX($FO$245:$IH$316,$FN202-GV$169,72-GV$169+SwaptionMonthsToGo+SwaptionShift))/SQRT(SUM(INDEX($FO357:$IH357,1+SwaptionShift):INDEX($FO357:$IH357,SwaptionMonthsToGo+SwaptionShift))*SUM(INDEX($FO$325:$IH$396,GV$169,1+SwaptionShift):INDEX($FO$325:$IH$396,GV$169,SwaptionMonthsToGo+SwaptionShift))))))</f>
        <v/>
      </c>
      <c r="GW202" s="469" t="str">
        <f ca="1">IF(OR(GW$169&lt;SwaptionFirstMonthPosition+1,$FN202&lt;SwaptionFirstMonthPosition+1,GW$169&gt;SwaptionFirstMonthPosition+SwaptionNumOfMonths+1,$FN202&gt;SwaptionFirstMonthPosition+SwaptionNumOfMonths+1),"",IF($FN202=GW$169,1,IF($FN202&lt;GW$169,INDEX($FO$170:$IH$241,GW$169,$FN202),SUMPRODUCT(INDEX($FO$325:$IH$396,GW$169,1+SwaptionShift):INDEX($FO$325:$IH$396,GW$169,SwaptionMonthsToGo+SwaptionShift),INDEX($FO$245:$IH$316,$FN202-GW$169,73-GW$169+SwaptionShift):INDEX($FO$245:$IH$316,$FN202-GW$169,72-GW$169+SwaptionMonthsToGo+SwaptionShift))/SQRT(SUM(INDEX($FO357:$IH357,1+SwaptionShift):INDEX($FO357:$IH357,SwaptionMonthsToGo+SwaptionShift))*SUM(INDEX($FO$325:$IH$396,GW$169,1+SwaptionShift):INDEX($FO$325:$IH$396,GW$169,SwaptionMonthsToGo+SwaptionShift))))))</f>
        <v/>
      </c>
      <c r="GX202" s="469" t="str">
        <f ca="1">IF(OR(GX$169&lt;SwaptionFirstMonthPosition+1,$FN202&lt;SwaptionFirstMonthPosition+1,GX$169&gt;SwaptionFirstMonthPosition+SwaptionNumOfMonths+1,$FN202&gt;SwaptionFirstMonthPosition+SwaptionNumOfMonths+1),"",IF($FN202=GX$169,1,IF($FN202&lt;GX$169,INDEX($FO$170:$IH$241,GX$169,$FN202),SUMPRODUCT(INDEX($FO$325:$IH$396,GX$169,1+SwaptionShift):INDEX($FO$325:$IH$396,GX$169,SwaptionMonthsToGo+SwaptionShift),INDEX($FO$245:$IH$316,$FN202-GX$169,73-GX$169+SwaptionShift):INDEX($FO$245:$IH$316,$FN202-GX$169,72-GX$169+SwaptionMonthsToGo+SwaptionShift))/SQRT(SUM(INDEX($FO357:$IH357,1+SwaptionShift):INDEX($FO357:$IH357,SwaptionMonthsToGo+SwaptionShift))*SUM(INDEX($FO$325:$IH$396,GX$169,1+SwaptionShift):INDEX($FO$325:$IH$396,GX$169,SwaptionMonthsToGo+SwaptionShift))))))</f>
        <v/>
      </c>
      <c r="GY202" s="469" t="str">
        <f ca="1">IF(OR(GY$169&lt;SwaptionFirstMonthPosition+1,$FN202&lt;SwaptionFirstMonthPosition+1,GY$169&gt;SwaptionFirstMonthPosition+SwaptionNumOfMonths+1,$FN202&gt;SwaptionFirstMonthPosition+SwaptionNumOfMonths+1),"",IF($FN202=GY$169,1,IF($FN202&lt;GY$169,INDEX($FO$170:$IH$241,GY$169,$FN202),SUMPRODUCT(INDEX($FO$325:$IH$396,GY$169,1+SwaptionShift):INDEX($FO$325:$IH$396,GY$169,SwaptionMonthsToGo+SwaptionShift),INDEX($FO$245:$IH$316,$FN202-GY$169,73-GY$169+SwaptionShift):INDEX($FO$245:$IH$316,$FN202-GY$169,72-GY$169+SwaptionMonthsToGo+SwaptionShift))/SQRT(SUM(INDEX($FO357:$IH357,1+SwaptionShift):INDEX($FO357:$IH357,SwaptionMonthsToGo+SwaptionShift))*SUM(INDEX($FO$325:$IH$396,GY$169,1+SwaptionShift):INDEX($FO$325:$IH$396,GY$169,SwaptionMonthsToGo+SwaptionShift))))))</f>
        <v/>
      </c>
      <c r="GZ202" s="469" t="str">
        <f ca="1">IF(OR(GZ$169&lt;SwaptionFirstMonthPosition+1,$FN202&lt;SwaptionFirstMonthPosition+1,GZ$169&gt;SwaptionFirstMonthPosition+SwaptionNumOfMonths+1,$FN202&gt;SwaptionFirstMonthPosition+SwaptionNumOfMonths+1),"",IF($FN202=GZ$169,1,IF($FN202&lt;GZ$169,INDEX($FO$170:$IH$241,GZ$169,$FN202),SUMPRODUCT(INDEX($FO$325:$IH$396,GZ$169,1+SwaptionShift):INDEX($FO$325:$IH$396,GZ$169,SwaptionMonthsToGo+SwaptionShift),INDEX($FO$245:$IH$316,$FN202-GZ$169,73-GZ$169+SwaptionShift):INDEX($FO$245:$IH$316,$FN202-GZ$169,72-GZ$169+SwaptionMonthsToGo+SwaptionShift))/SQRT(SUM(INDEX($FO357:$IH357,1+SwaptionShift):INDEX($FO357:$IH357,SwaptionMonthsToGo+SwaptionShift))*SUM(INDEX($FO$325:$IH$396,GZ$169,1+SwaptionShift):INDEX($FO$325:$IH$396,GZ$169,SwaptionMonthsToGo+SwaptionShift))))))</f>
        <v/>
      </c>
      <c r="HA202" s="469" t="str">
        <f ca="1">IF(OR(HA$169&lt;SwaptionFirstMonthPosition+1,$FN202&lt;SwaptionFirstMonthPosition+1,HA$169&gt;SwaptionFirstMonthPosition+SwaptionNumOfMonths+1,$FN202&gt;SwaptionFirstMonthPosition+SwaptionNumOfMonths+1),"",IF($FN202=HA$169,1,IF($FN202&lt;HA$169,INDEX($FO$170:$IH$241,HA$169,$FN202),SUMPRODUCT(INDEX($FO$325:$IH$396,HA$169,1+SwaptionShift):INDEX($FO$325:$IH$396,HA$169,SwaptionMonthsToGo+SwaptionShift),INDEX($FO$245:$IH$316,$FN202-HA$169,73-HA$169+SwaptionShift):INDEX($FO$245:$IH$316,$FN202-HA$169,72-HA$169+SwaptionMonthsToGo+SwaptionShift))/SQRT(SUM(INDEX($FO357:$IH357,1+SwaptionShift):INDEX($FO357:$IH357,SwaptionMonthsToGo+SwaptionShift))*SUM(INDEX($FO$325:$IH$396,HA$169,1+SwaptionShift):INDEX($FO$325:$IH$396,HA$169,SwaptionMonthsToGo+SwaptionShift))))))</f>
        <v/>
      </c>
      <c r="HB202" s="469" t="str">
        <f ca="1">IF(OR(HB$169&lt;SwaptionFirstMonthPosition+1,$FN202&lt;SwaptionFirstMonthPosition+1,HB$169&gt;SwaptionFirstMonthPosition+SwaptionNumOfMonths+1,$FN202&gt;SwaptionFirstMonthPosition+SwaptionNumOfMonths+1),"",IF($FN202=HB$169,1,IF($FN202&lt;HB$169,INDEX($FO$170:$IH$241,HB$169,$FN202),SUMPRODUCT(INDEX($FO$325:$IH$396,HB$169,1+SwaptionShift):INDEX($FO$325:$IH$396,HB$169,SwaptionMonthsToGo+SwaptionShift),INDEX($FO$245:$IH$316,$FN202-HB$169,73-HB$169+SwaptionShift):INDEX($FO$245:$IH$316,$FN202-HB$169,72-HB$169+SwaptionMonthsToGo+SwaptionShift))/SQRT(SUM(INDEX($FO357:$IH357,1+SwaptionShift):INDEX($FO357:$IH357,SwaptionMonthsToGo+SwaptionShift))*SUM(INDEX($FO$325:$IH$396,HB$169,1+SwaptionShift):INDEX($FO$325:$IH$396,HB$169,SwaptionMonthsToGo+SwaptionShift))))))</f>
        <v/>
      </c>
      <c r="HC202" s="469" t="str">
        <f ca="1">IF(OR(HC$169&lt;SwaptionFirstMonthPosition+1,$FN202&lt;SwaptionFirstMonthPosition+1,HC$169&gt;SwaptionFirstMonthPosition+SwaptionNumOfMonths+1,$FN202&gt;SwaptionFirstMonthPosition+SwaptionNumOfMonths+1),"",IF($FN202=HC$169,1,IF($FN202&lt;HC$169,INDEX($FO$170:$IH$241,HC$169,$FN202),SUMPRODUCT(INDEX($FO$325:$IH$396,HC$169,1+SwaptionShift):INDEX($FO$325:$IH$396,HC$169,SwaptionMonthsToGo+SwaptionShift),INDEX($FO$245:$IH$316,$FN202-HC$169,73-HC$169+SwaptionShift):INDEX($FO$245:$IH$316,$FN202-HC$169,72-HC$169+SwaptionMonthsToGo+SwaptionShift))/SQRT(SUM(INDEX($FO357:$IH357,1+SwaptionShift):INDEX($FO357:$IH357,SwaptionMonthsToGo+SwaptionShift))*SUM(INDEX($FO$325:$IH$396,HC$169,1+SwaptionShift):INDEX($FO$325:$IH$396,HC$169,SwaptionMonthsToGo+SwaptionShift))))))</f>
        <v/>
      </c>
      <c r="HD202" s="469" t="str">
        <f ca="1">IF(OR(HD$169&lt;SwaptionFirstMonthPosition+1,$FN202&lt;SwaptionFirstMonthPosition+1,HD$169&gt;SwaptionFirstMonthPosition+SwaptionNumOfMonths+1,$FN202&gt;SwaptionFirstMonthPosition+SwaptionNumOfMonths+1),"",IF($FN202=HD$169,1,IF($FN202&lt;HD$169,INDEX($FO$170:$IH$241,HD$169,$FN202),SUMPRODUCT(INDEX($FO$325:$IH$396,HD$169,1+SwaptionShift):INDEX($FO$325:$IH$396,HD$169,SwaptionMonthsToGo+SwaptionShift),INDEX($FO$245:$IH$316,$FN202-HD$169,73-HD$169+SwaptionShift):INDEX($FO$245:$IH$316,$FN202-HD$169,72-HD$169+SwaptionMonthsToGo+SwaptionShift))/SQRT(SUM(INDEX($FO357:$IH357,1+SwaptionShift):INDEX($FO357:$IH357,SwaptionMonthsToGo+SwaptionShift))*SUM(INDEX($FO$325:$IH$396,HD$169,1+SwaptionShift):INDEX($FO$325:$IH$396,HD$169,SwaptionMonthsToGo+SwaptionShift))))))</f>
        <v/>
      </c>
      <c r="HE202" s="469" t="str">
        <f ca="1">IF(OR(HE$169&lt;SwaptionFirstMonthPosition+1,$FN202&lt;SwaptionFirstMonthPosition+1,HE$169&gt;SwaptionFirstMonthPosition+SwaptionNumOfMonths+1,$FN202&gt;SwaptionFirstMonthPosition+SwaptionNumOfMonths+1),"",IF($FN202=HE$169,1,IF($FN202&lt;HE$169,INDEX($FO$170:$IH$241,HE$169,$FN202),SUMPRODUCT(INDEX($FO$325:$IH$396,HE$169,1+SwaptionShift):INDEX($FO$325:$IH$396,HE$169,SwaptionMonthsToGo+SwaptionShift),INDEX($FO$245:$IH$316,$FN202-HE$169,73-HE$169+SwaptionShift):INDEX($FO$245:$IH$316,$FN202-HE$169,72-HE$169+SwaptionMonthsToGo+SwaptionShift))/SQRT(SUM(INDEX($FO357:$IH357,1+SwaptionShift):INDEX($FO357:$IH357,SwaptionMonthsToGo+SwaptionShift))*SUM(INDEX($FO$325:$IH$396,HE$169,1+SwaptionShift):INDEX($FO$325:$IH$396,HE$169,SwaptionMonthsToGo+SwaptionShift))))))</f>
        <v/>
      </c>
      <c r="HF202" s="469" t="str">
        <f ca="1">IF(OR(HF$169&lt;SwaptionFirstMonthPosition+1,$FN202&lt;SwaptionFirstMonthPosition+1,HF$169&gt;SwaptionFirstMonthPosition+SwaptionNumOfMonths+1,$FN202&gt;SwaptionFirstMonthPosition+SwaptionNumOfMonths+1),"",IF($FN202=HF$169,1,IF($FN202&lt;HF$169,INDEX($FO$170:$IH$241,HF$169,$FN202),SUMPRODUCT(INDEX($FO$325:$IH$396,HF$169,1+SwaptionShift):INDEX($FO$325:$IH$396,HF$169,SwaptionMonthsToGo+SwaptionShift),INDEX($FO$245:$IH$316,$FN202-HF$169,73-HF$169+SwaptionShift):INDEX($FO$245:$IH$316,$FN202-HF$169,72-HF$169+SwaptionMonthsToGo+SwaptionShift))/SQRT(SUM(INDEX($FO357:$IH357,1+SwaptionShift):INDEX($FO357:$IH357,SwaptionMonthsToGo+SwaptionShift))*SUM(INDEX($FO$325:$IH$396,HF$169,1+SwaptionShift):INDEX($FO$325:$IH$396,HF$169,SwaptionMonthsToGo+SwaptionShift))))))</f>
        <v/>
      </c>
      <c r="HG202" s="469" t="str">
        <f ca="1">IF(OR(HG$169&lt;SwaptionFirstMonthPosition+1,$FN202&lt;SwaptionFirstMonthPosition+1,HG$169&gt;SwaptionFirstMonthPosition+SwaptionNumOfMonths+1,$FN202&gt;SwaptionFirstMonthPosition+SwaptionNumOfMonths+1),"",IF($FN202=HG$169,1,IF($FN202&lt;HG$169,INDEX($FO$170:$IH$241,HG$169,$FN202),SUMPRODUCT(INDEX($FO$325:$IH$396,HG$169,1+SwaptionShift):INDEX($FO$325:$IH$396,HG$169,SwaptionMonthsToGo+SwaptionShift),INDEX($FO$245:$IH$316,$FN202-HG$169,73-HG$169+SwaptionShift):INDEX($FO$245:$IH$316,$FN202-HG$169,72-HG$169+SwaptionMonthsToGo+SwaptionShift))/SQRT(SUM(INDEX($FO357:$IH357,1+SwaptionShift):INDEX($FO357:$IH357,SwaptionMonthsToGo+SwaptionShift))*SUM(INDEX($FO$325:$IH$396,HG$169,1+SwaptionShift):INDEX($FO$325:$IH$396,HG$169,SwaptionMonthsToGo+SwaptionShift))))))</f>
        <v/>
      </c>
      <c r="HH202" s="469" t="str">
        <f ca="1">IF(OR(HH$169&lt;SwaptionFirstMonthPosition+1,$FN202&lt;SwaptionFirstMonthPosition+1,HH$169&gt;SwaptionFirstMonthPosition+SwaptionNumOfMonths+1,$FN202&gt;SwaptionFirstMonthPosition+SwaptionNumOfMonths+1),"",IF($FN202=HH$169,1,IF($FN202&lt;HH$169,INDEX($FO$170:$IH$241,HH$169,$FN202),SUMPRODUCT(INDEX($FO$325:$IH$396,HH$169,1+SwaptionShift):INDEX($FO$325:$IH$396,HH$169,SwaptionMonthsToGo+SwaptionShift),INDEX($FO$245:$IH$316,$FN202-HH$169,73-HH$169+SwaptionShift):INDEX($FO$245:$IH$316,$FN202-HH$169,72-HH$169+SwaptionMonthsToGo+SwaptionShift))/SQRT(SUM(INDEX($FO357:$IH357,1+SwaptionShift):INDEX($FO357:$IH357,SwaptionMonthsToGo+SwaptionShift))*SUM(INDEX($FO$325:$IH$396,HH$169,1+SwaptionShift):INDEX($FO$325:$IH$396,HH$169,SwaptionMonthsToGo+SwaptionShift))))))</f>
        <v/>
      </c>
      <c r="HI202" s="469" t="str">
        <f ca="1">IF(OR(HI$169&lt;SwaptionFirstMonthPosition+1,$FN202&lt;SwaptionFirstMonthPosition+1,HI$169&gt;SwaptionFirstMonthPosition+SwaptionNumOfMonths+1,$FN202&gt;SwaptionFirstMonthPosition+SwaptionNumOfMonths+1),"",IF($FN202=HI$169,1,IF($FN202&lt;HI$169,INDEX($FO$170:$IH$241,HI$169,$FN202),SUMPRODUCT(INDEX($FO$325:$IH$396,HI$169,1+SwaptionShift):INDEX($FO$325:$IH$396,HI$169,SwaptionMonthsToGo+SwaptionShift),INDEX($FO$245:$IH$316,$FN202-HI$169,73-HI$169+SwaptionShift):INDEX($FO$245:$IH$316,$FN202-HI$169,72-HI$169+SwaptionMonthsToGo+SwaptionShift))/SQRT(SUM(INDEX($FO357:$IH357,1+SwaptionShift):INDEX($FO357:$IH357,SwaptionMonthsToGo+SwaptionShift))*SUM(INDEX($FO$325:$IH$396,HI$169,1+SwaptionShift):INDEX($FO$325:$IH$396,HI$169,SwaptionMonthsToGo+SwaptionShift))))))</f>
        <v/>
      </c>
      <c r="HJ202" s="469" t="str">
        <f ca="1">IF(OR(HJ$169&lt;SwaptionFirstMonthPosition+1,$FN202&lt;SwaptionFirstMonthPosition+1,HJ$169&gt;SwaptionFirstMonthPosition+SwaptionNumOfMonths+1,$FN202&gt;SwaptionFirstMonthPosition+SwaptionNumOfMonths+1),"",IF($FN202=HJ$169,1,IF($FN202&lt;HJ$169,INDEX($FO$170:$IH$241,HJ$169,$FN202),SUMPRODUCT(INDEX($FO$325:$IH$396,HJ$169,1+SwaptionShift):INDEX($FO$325:$IH$396,HJ$169,SwaptionMonthsToGo+SwaptionShift),INDEX($FO$245:$IH$316,$FN202-HJ$169,73-HJ$169+SwaptionShift):INDEX($FO$245:$IH$316,$FN202-HJ$169,72-HJ$169+SwaptionMonthsToGo+SwaptionShift))/SQRT(SUM(INDEX($FO357:$IH357,1+SwaptionShift):INDEX($FO357:$IH357,SwaptionMonthsToGo+SwaptionShift))*SUM(INDEX($FO$325:$IH$396,HJ$169,1+SwaptionShift):INDEX($FO$325:$IH$396,HJ$169,SwaptionMonthsToGo+SwaptionShift))))))</f>
        <v/>
      </c>
      <c r="HK202" s="469" t="str">
        <f ca="1">IF(OR(HK$169&lt;SwaptionFirstMonthPosition+1,$FN202&lt;SwaptionFirstMonthPosition+1,HK$169&gt;SwaptionFirstMonthPosition+SwaptionNumOfMonths+1,$FN202&gt;SwaptionFirstMonthPosition+SwaptionNumOfMonths+1),"",IF($FN202=HK$169,1,IF($FN202&lt;HK$169,INDEX($FO$170:$IH$241,HK$169,$FN202),SUMPRODUCT(INDEX($FO$325:$IH$396,HK$169,1+SwaptionShift):INDEX($FO$325:$IH$396,HK$169,SwaptionMonthsToGo+SwaptionShift),INDEX($FO$245:$IH$316,$FN202-HK$169,73-HK$169+SwaptionShift):INDEX($FO$245:$IH$316,$FN202-HK$169,72-HK$169+SwaptionMonthsToGo+SwaptionShift))/SQRT(SUM(INDEX($FO357:$IH357,1+SwaptionShift):INDEX($FO357:$IH357,SwaptionMonthsToGo+SwaptionShift))*SUM(INDEX($FO$325:$IH$396,HK$169,1+SwaptionShift):INDEX($FO$325:$IH$396,HK$169,SwaptionMonthsToGo+SwaptionShift))))))</f>
        <v/>
      </c>
      <c r="HL202" s="469" t="str">
        <f ca="1">IF(OR(HL$169&lt;SwaptionFirstMonthPosition+1,$FN202&lt;SwaptionFirstMonthPosition+1,HL$169&gt;SwaptionFirstMonthPosition+SwaptionNumOfMonths+1,$FN202&gt;SwaptionFirstMonthPosition+SwaptionNumOfMonths+1),"",IF($FN202=HL$169,1,IF($FN202&lt;HL$169,INDEX($FO$170:$IH$241,HL$169,$FN202),SUMPRODUCT(INDEX($FO$325:$IH$396,HL$169,1+SwaptionShift):INDEX($FO$325:$IH$396,HL$169,SwaptionMonthsToGo+SwaptionShift),INDEX($FO$245:$IH$316,$FN202-HL$169,73-HL$169+SwaptionShift):INDEX($FO$245:$IH$316,$FN202-HL$169,72-HL$169+SwaptionMonthsToGo+SwaptionShift))/SQRT(SUM(INDEX($FO357:$IH357,1+SwaptionShift):INDEX($FO357:$IH357,SwaptionMonthsToGo+SwaptionShift))*SUM(INDEX($FO$325:$IH$396,HL$169,1+SwaptionShift):INDEX($FO$325:$IH$396,HL$169,SwaptionMonthsToGo+SwaptionShift))))))</f>
        <v/>
      </c>
      <c r="HM202" s="469" t="str">
        <f ca="1">IF(OR(HM$169&lt;SwaptionFirstMonthPosition+1,$FN202&lt;SwaptionFirstMonthPosition+1,HM$169&gt;SwaptionFirstMonthPosition+SwaptionNumOfMonths+1,$FN202&gt;SwaptionFirstMonthPosition+SwaptionNumOfMonths+1),"",IF($FN202=HM$169,1,IF($FN202&lt;HM$169,INDEX($FO$170:$IH$241,HM$169,$FN202),SUMPRODUCT(INDEX($FO$325:$IH$396,HM$169,1+SwaptionShift):INDEX($FO$325:$IH$396,HM$169,SwaptionMonthsToGo+SwaptionShift),INDEX($FO$245:$IH$316,$FN202-HM$169,73-HM$169+SwaptionShift):INDEX($FO$245:$IH$316,$FN202-HM$169,72-HM$169+SwaptionMonthsToGo+SwaptionShift))/SQRT(SUM(INDEX($FO357:$IH357,1+SwaptionShift):INDEX($FO357:$IH357,SwaptionMonthsToGo+SwaptionShift))*SUM(INDEX($FO$325:$IH$396,HM$169,1+SwaptionShift):INDEX($FO$325:$IH$396,HM$169,SwaptionMonthsToGo+SwaptionShift))))))</f>
        <v/>
      </c>
      <c r="HN202" s="469" t="str">
        <f ca="1">IF(OR(HN$169&lt;SwaptionFirstMonthPosition+1,$FN202&lt;SwaptionFirstMonthPosition+1,HN$169&gt;SwaptionFirstMonthPosition+SwaptionNumOfMonths+1,$FN202&gt;SwaptionFirstMonthPosition+SwaptionNumOfMonths+1),"",IF($FN202=HN$169,1,IF($FN202&lt;HN$169,INDEX($FO$170:$IH$241,HN$169,$FN202),SUMPRODUCT(INDEX($FO$325:$IH$396,HN$169,1+SwaptionShift):INDEX($FO$325:$IH$396,HN$169,SwaptionMonthsToGo+SwaptionShift),INDEX($FO$245:$IH$316,$FN202-HN$169,73-HN$169+SwaptionShift):INDEX($FO$245:$IH$316,$FN202-HN$169,72-HN$169+SwaptionMonthsToGo+SwaptionShift))/SQRT(SUM(INDEX($FO357:$IH357,1+SwaptionShift):INDEX($FO357:$IH357,SwaptionMonthsToGo+SwaptionShift))*SUM(INDEX($FO$325:$IH$396,HN$169,1+SwaptionShift):INDEX($FO$325:$IH$396,HN$169,SwaptionMonthsToGo+SwaptionShift))))))</f>
        <v/>
      </c>
      <c r="HO202" s="469" t="str">
        <f ca="1">IF(OR(HO$169&lt;SwaptionFirstMonthPosition+1,$FN202&lt;SwaptionFirstMonthPosition+1,HO$169&gt;SwaptionFirstMonthPosition+SwaptionNumOfMonths+1,$FN202&gt;SwaptionFirstMonthPosition+SwaptionNumOfMonths+1),"",IF($FN202=HO$169,1,IF($FN202&lt;HO$169,INDEX($FO$170:$IH$241,HO$169,$FN202),SUMPRODUCT(INDEX($FO$325:$IH$396,HO$169,1+SwaptionShift):INDEX($FO$325:$IH$396,HO$169,SwaptionMonthsToGo+SwaptionShift),INDEX($FO$245:$IH$316,$FN202-HO$169,73-HO$169+SwaptionShift):INDEX($FO$245:$IH$316,$FN202-HO$169,72-HO$169+SwaptionMonthsToGo+SwaptionShift))/SQRT(SUM(INDEX($FO357:$IH357,1+SwaptionShift):INDEX($FO357:$IH357,SwaptionMonthsToGo+SwaptionShift))*SUM(INDEX($FO$325:$IH$396,HO$169,1+SwaptionShift):INDEX($FO$325:$IH$396,HO$169,SwaptionMonthsToGo+SwaptionShift))))))</f>
        <v/>
      </c>
      <c r="HP202" s="469" t="str">
        <f ca="1">IF(OR(HP$169&lt;SwaptionFirstMonthPosition+1,$FN202&lt;SwaptionFirstMonthPosition+1,HP$169&gt;SwaptionFirstMonthPosition+SwaptionNumOfMonths+1,$FN202&gt;SwaptionFirstMonthPosition+SwaptionNumOfMonths+1),"",IF($FN202=HP$169,1,IF($FN202&lt;HP$169,INDEX($FO$170:$IH$241,HP$169,$FN202),SUMPRODUCT(INDEX($FO$325:$IH$396,HP$169,1+SwaptionShift):INDEX($FO$325:$IH$396,HP$169,SwaptionMonthsToGo+SwaptionShift),INDEX($FO$245:$IH$316,$FN202-HP$169,73-HP$169+SwaptionShift):INDEX($FO$245:$IH$316,$FN202-HP$169,72-HP$169+SwaptionMonthsToGo+SwaptionShift))/SQRT(SUM(INDEX($FO357:$IH357,1+SwaptionShift):INDEX($FO357:$IH357,SwaptionMonthsToGo+SwaptionShift))*SUM(INDEX($FO$325:$IH$396,HP$169,1+SwaptionShift):INDEX($FO$325:$IH$396,HP$169,SwaptionMonthsToGo+SwaptionShift))))))</f>
        <v/>
      </c>
      <c r="HQ202" s="469" t="str">
        <f ca="1">IF(OR(HQ$169&lt;SwaptionFirstMonthPosition+1,$FN202&lt;SwaptionFirstMonthPosition+1,HQ$169&gt;SwaptionFirstMonthPosition+SwaptionNumOfMonths+1,$FN202&gt;SwaptionFirstMonthPosition+SwaptionNumOfMonths+1),"",IF($FN202=HQ$169,1,IF($FN202&lt;HQ$169,INDEX($FO$170:$IH$241,HQ$169,$FN202),SUMPRODUCT(INDEX($FO$325:$IH$396,HQ$169,1+SwaptionShift):INDEX($FO$325:$IH$396,HQ$169,SwaptionMonthsToGo+SwaptionShift),INDEX($FO$245:$IH$316,$FN202-HQ$169,73-HQ$169+SwaptionShift):INDEX($FO$245:$IH$316,$FN202-HQ$169,72-HQ$169+SwaptionMonthsToGo+SwaptionShift))/SQRT(SUM(INDEX($FO357:$IH357,1+SwaptionShift):INDEX($FO357:$IH357,SwaptionMonthsToGo+SwaptionShift))*SUM(INDEX($FO$325:$IH$396,HQ$169,1+SwaptionShift):INDEX($FO$325:$IH$396,HQ$169,SwaptionMonthsToGo+SwaptionShift))))))</f>
        <v/>
      </c>
      <c r="HR202" s="469" t="str">
        <f ca="1">IF(OR(HR$169&lt;SwaptionFirstMonthPosition+1,$FN202&lt;SwaptionFirstMonthPosition+1,HR$169&gt;SwaptionFirstMonthPosition+SwaptionNumOfMonths+1,$FN202&gt;SwaptionFirstMonthPosition+SwaptionNumOfMonths+1),"",IF($FN202=HR$169,1,IF($FN202&lt;HR$169,INDEX($FO$170:$IH$241,HR$169,$FN202),SUMPRODUCT(INDEX($FO$325:$IH$396,HR$169,1+SwaptionShift):INDEX($FO$325:$IH$396,HR$169,SwaptionMonthsToGo+SwaptionShift),INDEX($FO$245:$IH$316,$FN202-HR$169,73-HR$169+SwaptionShift):INDEX($FO$245:$IH$316,$FN202-HR$169,72-HR$169+SwaptionMonthsToGo+SwaptionShift))/SQRT(SUM(INDEX($FO357:$IH357,1+SwaptionShift):INDEX($FO357:$IH357,SwaptionMonthsToGo+SwaptionShift))*SUM(INDEX($FO$325:$IH$396,HR$169,1+SwaptionShift):INDEX($FO$325:$IH$396,HR$169,SwaptionMonthsToGo+SwaptionShift))))))</f>
        <v/>
      </c>
      <c r="HS202" s="469" t="str">
        <f ca="1">IF(OR(HS$169&lt;SwaptionFirstMonthPosition+1,$FN202&lt;SwaptionFirstMonthPosition+1,HS$169&gt;SwaptionFirstMonthPosition+SwaptionNumOfMonths+1,$FN202&gt;SwaptionFirstMonthPosition+SwaptionNumOfMonths+1),"",IF($FN202=HS$169,1,IF($FN202&lt;HS$169,INDEX($FO$170:$IH$241,HS$169,$FN202),SUMPRODUCT(INDEX($FO$325:$IH$396,HS$169,1+SwaptionShift):INDEX($FO$325:$IH$396,HS$169,SwaptionMonthsToGo+SwaptionShift),INDEX($FO$245:$IH$316,$FN202-HS$169,73-HS$169+SwaptionShift):INDEX($FO$245:$IH$316,$FN202-HS$169,72-HS$169+SwaptionMonthsToGo+SwaptionShift))/SQRT(SUM(INDEX($FO357:$IH357,1+SwaptionShift):INDEX($FO357:$IH357,SwaptionMonthsToGo+SwaptionShift))*SUM(INDEX($FO$325:$IH$396,HS$169,1+SwaptionShift):INDEX($FO$325:$IH$396,HS$169,SwaptionMonthsToGo+SwaptionShift))))))</f>
        <v/>
      </c>
      <c r="HT202" s="469" t="str">
        <f ca="1">IF(OR(HT$169&lt;SwaptionFirstMonthPosition+1,$FN202&lt;SwaptionFirstMonthPosition+1,HT$169&gt;SwaptionFirstMonthPosition+SwaptionNumOfMonths+1,$FN202&gt;SwaptionFirstMonthPosition+SwaptionNumOfMonths+1),"",IF($FN202=HT$169,1,IF($FN202&lt;HT$169,INDEX($FO$170:$IH$241,HT$169,$FN202),SUMPRODUCT(INDEX($FO$325:$IH$396,HT$169,1+SwaptionShift):INDEX($FO$325:$IH$396,HT$169,SwaptionMonthsToGo+SwaptionShift),INDEX($FO$245:$IH$316,$FN202-HT$169,73-HT$169+SwaptionShift):INDEX($FO$245:$IH$316,$FN202-HT$169,72-HT$169+SwaptionMonthsToGo+SwaptionShift))/SQRT(SUM(INDEX($FO357:$IH357,1+SwaptionShift):INDEX($FO357:$IH357,SwaptionMonthsToGo+SwaptionShift))*SUM(INDEX($FO$325:$IH$396,HT$169,1+SwaptionShift):INDEX($FO$325:$IH$396,HT$169,SwaptionMonthsToGo+SwaptionShift))))))</f>
        <v/>
      </c>
      <c r="HU202" s="469" t="str">
        <f ca="1">IF(OR(HU$169&lt;SwaptionFirstMonthPosition+1,$FN202&lt;SwaptionFirstMonthPosition+1,HU$169&gt;SwaptionFirstMonthPosition+SwaptionNumOfMonths+1,$FN202&gt;SwaptionFirstMonthPosition+SwaptionNumOfMonths+1),"",IF($FN202=HU$169,1,IF($FN202&lt;HU$169,INDEX($FO$170:$IH$241,HU$169,$FN202),SUMPRODUCT(INDEX($FO$325:$IH$396,HU$169,1+SwaptionShift):INDEX($FO$325:$IH$396,HU$169,SwaptionMonthsToGo+SwaptionShift),INDEX($FO$245:$IH$316,$FN202-HU$169,73-HU$169+SwaptionShift):INDEX($FO$245:$IH$316,$FN202-HU$169,72-HU$169+SwaptionMonthsToGo+SwaptionShift))/SQRT(SUM(INDEX($FO357:$IH357,1+SwaptionShift):INDEX($FO357:$IH357,SwaptionMonthsToGo+SwaptionShift))*SUM(INDEX($FO$325:$IH$396,HU$169,1+SwaptionShift):INDEX($FO$325:$IH$396,HU$169,SwaptionMonthsToGo+SwaptionShift))))))</f>
        <v/>
      </c>
      <c r="HV202" s="469" t="str">
        <f ca="1">IF(OR(HV$169&lt;SwaptionFirstMonthPosition+1,$FN202&lt;SwaptionFirstMonthPosition+1,HV$169&gt;SwaptionFirstMonthPosition+SwaptionNumOfMonths+1,$FN202&gt;SwaptionFirstMonthPosition+SwaptionNumOfMonths+1),"",IF($FN202=HV$169,1,IF($FN202&lt;HV$169,INDEX($FO$170:$IH$241,HV$169,$FN202),SUMPRODUCT(INDEX($FO$325:$IH$396,HV$169,1+SwaptionShift):INDEX($FO$325:$IH$396,HV$169,SwaptionMonthsToGo+SwaptionShift),INDEX($FO$245:$IH$316,$FN202-HV$169,73-HV$169+SwaptionShift):INDEX($FO$245:$IH$316,$FN202-HV$169,72-HV$169+SwaptionMonthsToGo+SwaptionShift))/SQRT(SUM(INDEX($FO357:$IH357,1+SwaptionShift):INDEX($FO357:$IH357,SwaptionMonthsToGo+SwaptionShift))*SUM(INDEX($FO$325:$IH$396,HV$169,1+SwaptionShift):INDEX($FO$325:$IH$396,HV$169,SwaptionMonthsToGo+SwaptionShift))))))</f>
        <v/>
      </c>
      <c r="HW202" s="469" t="str">
        <f ca="1">IF(OR(HW$169&lt;SwaptionFirstMonthPosition+1,$FN202&lt;SwaptionFirstMonthPosition+1,HW$169&gt;SwaptionFirstMonthPosition+SwaptionNumOfMonths+1,$FN202&gt;SwaptionFirstMonthPosition+SwaptionNumOfMonths+1),"",IF($FN202=HW$169,1,IF($FN202&lt;HW$169,INDEX($FO$170:$IH$241,HW$169,$FN202),SUMPRODUCT(INDEX($FO$325:$IH$396,HW$169,1+SwaptionShift):INDEX($FO$325:$IH$396,HW$169,SwaptionMonthsToGo+SwaptionShift),INDEX($FO$245:$IH$316,$FN202-HW$169,73-HW$169+SwaptionShift):INDEX($FO$245:$IH$316,$FN202-HW$169,72-HW$169+SwaptionMonthsToGo+SwaptionShift))/SQRT(SUM(INDEX($FO357:$IH357,1+SwaptionShift):INDEX($FO357:$IH357,SwaptionMonthsToGo+SwaptionShift))*SUM(INDEX($FO$325:$IH$396,HW$169,1+SwaptionShift):INDEX($FO$325:$IH$396,HW$169,SwaptionMonthsToGo+SwaptionShift))))))</f>
        <v/>
      </c>
      <c r="HX202" s="469" t="str">
        <f ca="1">IF(OR(HX$169&lt;SwaptionFirstMonthPosition+1,$FN202&lt;SwaptionFirstMonthPosition+1,HX$169&gt;SwaptionFirstMonthPosition+SwaptionNumOfMonths+1,$FN202&gt;SwaptionFirstMonthPosition+SwaptionNumOfMonths+1),"",IF($FN202=HX$169,1,IF($FN202&lt;HX$169,INDEX($FO$170:$IH$241,HX$169,$FN202),SUMPRODUCT(INDEX($FO$325:$IH$396,HX$169,1+SwaptionShift):INDEX($FO$325:$IH$396,HX$169,SwaptionMonthsToGo+SwaptionShift),INDEX($FO$245:$IH$316,$FN202-HX$169,73-HX$169+SwaptionShift):INDEX($FO$245:$IH$316,$FN202-HX$169,72-HX$169+SwaptionMonthsToGo+SwaptionShift))/SQRT(SUM(INDEX($FO357:$IH357,1+SwaptionShift):INDEX($FO357:$IH357,SwaptionMonthsToGo+SwaptionShift))*SUM(INDEX($FO$325:$IH$396,HX$169,1+SwaptionShift):INDEX($FO$325:$IH$396,HX$169,SwaptionMonthsToGo+SwaptionShift))))))</f>
        <v/>
      </c>
      <c r="HY202" s="469" t="str">
        <f ca="1">IF(OR(HY$169&lt;SwaptionFirstMonthPosition+1,$FN202&lt;SwaptionFirstMonthPosition+1,HY$169&gt;SwaptionFirstMonthPosition+SwaptionNumOfMonths+1,$FN202&gt;SwaptionFirstMonthPosition+SwaptionNumOfMonths+1),"",IF($FN202=HY$169,1,IF($FN202&lt;HY$169,INDEX($FO$170:$IH$241,HY$169,$FN202),SUMPRODUCT(INDEX($FO$325:$IH$396,HY$169,1+SwaptionShift):INDEX($FO$325:$IH$396,HY$169,SwaptionMonthsToGo+SwaptionShift),INDEX($FO$245:$IH$316,$FN202-HY$169,73-HY$169+SwaptionShift):INDEX($FO$245:$IH$316,$FN202-HY$169,72-HY$169+SwaptionMonthsToGo+SwaptionShift))/SQRT(SUM(INDEX($FO357:$IH357,1+SwaptionShift):INDEX($FO357:$IH357,SwaptionMonthsToGo+SwaptionShift))*SUM(INDEX($FO$325:$IH$396,HY$169,1+SwaptionShift):INDEX($FO$325:$IH$396,HY$169,SwaptionMonthsToGo+SwaptionShift))))))</f>
        <v/>
      </c>
      <c r="HZ202" s="469" t="str">
        <f ca="1">IF(OR(HZ$169&lt;SwaptionFirstMonthPosition+1,$FN202&lt;SwaptionFirstMonthPosition+1,HZ$169&gt;SwaptionFirstMonthPosition+SwaptionNumOfMonths+1,$FN202&gt;SwaptionFirstMonthPosition+SwaptionNumOfMonths+1),"",IF($FN202=HZ$169,1,IF($FN202&lt;HZ$169,INDEX($FO$170:$IH$241,HZ$169,$FN202),SUMPRODUCT(INDEX($FO$325:$IH$396,HZ$169,1+SwaptionShift):INDEX($FO$325:$IH$396,HZ$169,SwaptionMonthsToGo+SwaptionShift),INDEX($FO$245:$IH$316,$FN202-HZ$169,73-HZ$169+SwaptionShift):INDEX($FO$245:$IH$316,$FN202-HZ$169,72-HZ$169+SwaptionMonthsToGo+SwaptionShift))/SQRT(SUM(INDEX($FO357:$IH357,1+SwaptionShift):INDEX($FO357:$IH357,SwaptionMonthsToGo+SwaptionShift))*SUM(INDEX($FO$325:$IH$396,HZ$169,1+SwaptionShift):INDEX($FO$325:$IH$396,HZ$169,SwaptionMonthsToGo+SwaptionShift))))))</f>
        <v/>
      </c>
      <c r="IA202" s="469" t="str">
        <f ca="1">IF(OR(IA$169&lt;SwaptionFirstMonthPosition+1,$FN202&lt;SwaptionFirstMonthPosition+1,IA$169&gt;SwaptionFirstMonthPosition+SwaptionNumOfMonths+1,$FN202&gt;SwaptionFirstMonthPosition+SwaptionNumOfMonths+1),"",IF($FN202=IA$169,1,IF($FN202&lt;IA$169,INDEX($FO$170:$IH$241,IA$169,$FN202),SUMPRODUCT(INDEX($FO$325:$IH$396,IA$169,1+SwaptionShift):INDEX($FO$325:$IH$396,IA$169,SwaptionMonthsToGo+SwaptionShift),INDEX($FO$245:$IH$316,$FN202-IA$169,73-IA$169+SwaptionShift):INDEX($FO$245:$IH$316,$FN202-IA$169,72-IA$169+SwaptionMonthsToGo+SwaptionShift))/SQRT(SUM(INDEX($FO357:$IH357,1+SwaptionShift):INDEX($FO357:$IH357,SwaptionMonthsToGo+SwaptionShift))*SUM(INDEX($FO$325:$IH$396,IA$169,1+SwaptionShift):INDEX($FO$325:$IH$396,IA$169,SwaptionMonthsToGo+SwaptionShift))))))</f>
        <v/>
      </c>
      <c r="IB202" s="469" t="str">
        <f ca="1">IF(OR(IB$169&lt;SwaptionFirstMonthPosition+1,$FN202&lt;SwaptionFirstMonthPosition+1,IB$169&gt;SwaptionFirstMonthPosition+SwaptionNumOfMonths+1,$FN202&gt;SwaptionFirstMonthPosition+SwaptionNumOfMonths+1),"",IF($FN202=IB$169,1,IF($FN202&lt;IB$169,INDEX($FO$170:$IH$241,IB$169,$FN202),SUMPRODUCT(INDEX($FO$325:$IH$396,IB$169,1+SwaptionShift):INDEX($FO$325:$IH$396,IB$169,SwaptionMonthsToGo+SwaptionShift),INDEX($FO$245:$IH$316,$FN202-IB$169,73-IB$169+SwaptionShift):INDEX($FO$245:$IH$316,$FN202-IB$169,72-IB$169+SwaptionMonthsToGo+SwaptionShift))/SQRT(SUM(INDEX($FO357:$IH357,1+SwaptionShift):INDEX($FO357:$IH357,SwaptionMonthsToGo+SwaptionShift))*SUM(INDEX($FO$325:$IH$396,IB$169,1+SwaptionShift):INDEX($FO$325:$IH$396,IB$169,SwaptionMonthsToGo+SwaptionShift))))))</f>
        <v/>
      </c>
      <c r="IC202" s="469" t="str">
        <f ca="1">IF(OR(IC$169&lt;SwaptionFirstMonthPosition+1,$FN202&lt;SwaptionFirstMonthPosition+1,IC$169&gt;SwaptionFirstMonthPosition+SwaptionNumOfMonths+1,$FN202&gt;SwaptionFirstMonthPosition+SwaptionNumOfMonths+1),"",IF($FN202=IC$169,1,IF($FN202&lt;IC$169,INDEX($FO$170:$IH$241,IC$169,$FN202),SUMPRODUCT(INDEX($FO$325:$IH$396,IC$169,1+SwaptionShift):INDEX($FO$325:$IH$396,IC$169,SwaptionMonthsToGo+SwaptionShift),INDEX($FO$245:$IH$316,$FN202-IC$169,73-IC$169+SwaptionShift):INDEX($FO$245:$IH$316,$FN202-IC$169,72-IC$169+SwaptionMonthsToGo+SwaptionShift))/SQRT(SUM(INDEX($FO357:$IH357,1+SwaptionShift):INDEX($FO357:$IH357,SwaptionMonthsToGo+SwaptionShift))*SUM(INDEX($FO$325:$IH$396,IC$169,1+SwaptionShift):INDEX($FO$325:$IH$396,IC$169,SwaptionMonthsToGo+SwaptionShift))))))</f>
        <v/>
      </c>
      <c r="ID202" s="469" t="str">
        <f ca="1">IF(OR(ID$169&lt;SwaptionFirstMonthPosition+1,$FN202&lt;SwaptionFirstMonthPosition+1,ID$169&gt;SwaptionFirstMonthPosition+SwaptionNumOfMonths+1,$FN202&gt;SwaptionFirstMonthPosition+SwaptionNumOfMonths+1),"",IF($FN202=ID$169,1,IF($FN202&lt;ID$169,INDEX($FO$170:$IH$241,ID$169,$FN202),SUMPRODUCT(INDEX($FO$325:$IH$396,ID$169,1+SwaptionShift):INDEX($FO$325:$IH$396,ID$169,SwaptionMonthsToGo+SwaptionShift),INDEX($FO$245:$IH$316,$FN202-ID$169,73-ID$169+SwaptionShift):INDEX($FO$245:$IH$316,$FN202-ID$169,72-ID$169+SwaptionMonthsToGo+SwaptionShift))/SQRT(SUM(INDEX($FO357:$IH357,1+SwaptionShift):INDEX($FO357:$IH357,SwaptionMonthsToGo+SwaptionShift))*SUM(INDEX($FO$325:$IH$396,ID$169,1+SwaptionShift):INDEX($FO$325:$IH$396,ID$169,SwaptionMonthsToGo+SwaptionShift))))))</f>
        <v/>
      </c>
      <c r="IE202" s="469" t="str">
        <f ca="1">IF(OR(IE$169&lt;SwaptionFirstMonthPosition+1,$FN202&lt;SwaptionFirstMonthPosition+1,IE$169&gt;SwaptionFirstMonthPosition+SwaptionNumOfMonths+1,$FN202&gt;SwaptionFirstMonthPosition+SwaptionNumOfMonths+1),"",IF($FN202=IE$169,1,IF($FN202&lt;IE$169,INDEX($FO$170:$IH$241,IE$169,$FN202),SUMPRODUCT(INDEX($FO$325:$IH$396,IE$169,1+SwaptionShift):INDEX($FO$325:$IH$396,IE$169,SwaptionMonthsToGo+SwaptionShift),INDEX($FO$245:$IH$316,$FN202-IE$169,73-IE$169+SwaptionShift):INDEX($FO$245:$IH$316,$FN202-IE$169,72-IE$169+SwaptionMonthsToGo+SwaptionShift))/SQRT(SUM(INDEX($FO357:$IH357,1+SwaptionShift):INDEX($FO357:$IH357,SwaptionMonthsToGo+SwaptionShift))*SUM(INDEX($FO$325:$IH$396,IE$169,1+SwaptionShift):INDEX($FO$325:$IH$396,IE$169,SwaptionMonthsToGo+SwaptionShift))))))</f>
        <v/>
      </c>
      <c r="IF202" s="469" t="str">
        <f ca="1">IF(OR(IF$169&lt;SwaptionFirstMonthPosition+1,$FN202&lt;SwaptionFirstMonthPosition+1,IF$169&gt;SwaptionFirstMonthPosition+SwaptionNumOfMonths+1,$FN202&gt;SwaptionFirstMonthPosition+SwaptionNumOfMonths+1),"",IF($FN202=IF$169,1,IF($FN202&lt;IF$169,INDEX($FO$170:$IH$241,IF$169,$FN202),SUMPRODUCT(INDEX($FO$325:$IH$396,IF$169,1+SwaptionShift):INDEX($FO$325:$IH$396,IF$169,SwaptionMonthsToGo+SwaptionShift),INDEX($FO$245:$IH$316,$FN202-IF$169,73-IF$169+SwaptionShift):INDEX($FO$245:$IH$316,$FN202-IF$169,72-IF$169+SwaptionMonthsToGo+SwaptionShift))/SQRT(SUM(INDEX($FO357:$IH357,1+SwaptionShift):INDEX($FO357:$IH357,SwaptionMonthsToGo+SwaptionShift))*SUM(INDEX($FO$325:$IH$396,IF$169,1+SwaptionShift):INDEX($FO$325:$IH$396,IF$169,SwaptionMonthsToGo+SwaptionShift))))))</f>
        <v/>
      </c>
      <c r="IG202" s="469" t="str">
        <f ca="1">IF(OR(IG$169&lt;SwaptionFirstMonthPosition+1,$FN202&lt;SwaptionFirstMonthPosition+1,IG$169&gt;SwaptionFirstMonthPosition+SwaptionNumOfMonths+1,$FN202&gt;SwaptionFirstMonthPosition+SwaptionNumOfMonths+1),"",IF($FN202=IG$169,1,IF($FN202&lt;IG$169,INDEX($FO$170:$IH$241,IG$169,$FN202),SUMPRODUCT(INDEX($FO$325:$IH$396,IG$169,1+SwaptionShift):INDEX($FO$325:$IH$396,IG$169,SwaptionMonthsToGo+SwaptionShift),INDEX($FO$245:$IH$316,$FN202-IG$169,73-IG$169+SwaptionShift):INDEX($FO$245:$IH$316,$FN202-IG$169,72-IG$169+SwaptionMonthsToGo+SwaptionShift))/SQRT(SUM(INDEX($FO357:$IH357,1+SwaptionShift):INDEX($FO357:$IH357,SwaptionMonthsToGo+SwaptionShift))*SUM(INDEX($FO$325:$IH$396,IG$169,1+SwaptionShift):INDEX($FO$325:$IH$396,IG$169,SwaptionMonthsToGo+SwaptionShift))))))</f>
        <v/>
      </c>
      <c r="IH202" s="662" t="str">
        <f ca="1">IF(OR(IH$169&lt;SwaptionFirstMonthPosition+1,$FN202&lt;SwaptionFirstMonthPosition+1,IH$169&gt;SwaptionFirstMonthPosition+SwaptionNumOfMonths+1,$FN202&gt;SwaptionFirstMonthPosition+SwaptionNumOfMonths+1),"",IF($FN202=IH$169,1,IF($FN202&lt;IH$169,INDEX($FO$170:$IH$241,IH$169,$FN202),SUMPRODUCT(INDEX($FO$325:$IH$396,IH$169,1+SwaptionShift):INDEX($FO$325:$IH$396,IH$169,SwaptionMonthsToGo+SwaptionShift),INDEX($FO$245:$IH$316,$FN202-IH$169,73-IH$169+SwaptionShift):INDEX($FO$245:$IH$316,$FN202-IH$169,72-IH$169+SwaptionMonthsToGo+SwaptionShift))/SQRT(SUM(INDEX($FO357:$IH357,1+SwaptionShift):INDEX($FO357:$IH357,SwaptionMonthsToGo+SwaptionShift))*SUM(INDEX($FO$325:$IH$396,IH$169,1+SwaptionShift):INDEX($FO$325:$IH$396,IH$169,SwaptionMonthsToGo+SwaptionShift))))))</f>
        <v/>
      </c>
      <c r="II202" s="242"/>
    </row>
    <row r="203" spans="8:243">
      <c r="H203" s="49" t="e">
        <f t="shared" ca="1" si="529"/>
        <v>#N/A</v>
      </c>
      <c r="I203" s="369">
        <f t="shared" si="530"/>
        <v>42583</v>
      </c>
      <c r="J203" s="367">
        <v>23.959999999999901</v>
      </c>
      <c r="K203" s="101" t="s">
        <v>267</v>
      </c>
      <c r="L203" s="382">
        <f t="shared" si="531"/>
        <v>23.959999999999869</v>
      </c>
      <c r="M203" s="163">
        <v>0.13789999999999999</v>
      </c>
      <c r="N203" s="372">
        <v>0</v>
      </c>
      <c r="O203" s="163">
        <f t="shared" si="595"/>
        <v>0.13789999999999999</v>
      </c>
      <c r="P203" s="367">
        <v>22.524367990455698</v>
      </c>
      <c r="Q203" s="101" t="s">
        <v>267</v>
      </c>
      <c r="R203" s="367">
        <f t="shared" ca="1" si="596"/>
        <v>22.524367990455676</v>
      </c>
      <c r="S203" s="814">
        <f t="shared" si="594"/>
        <v>0.34802740955554506</v>
      </c>
      <c r="T203" s="813">
        <f t="shared" si="550"/>
        <v>0.99999999966977104</v>
      </c>
      <c r="U203" s="532">
        <f t="shared" si="551"/>
        <v>0.99999999999999978</v>
      </c>
      <c r="V203" s="379">
        <v>0</v>
      </c>
      <c r="W203" s="424">
        <f t="shared" si="597"/>
        <v>23.993695652173816</v>
      </c>
      <c r="X203" s="405">
        <f t="shared" si="598"/>
        <v>23.993695652173781</v>
      </c>
      <c r="Y203" s="313">
        <f t="shared" si="599"/>
        <v>22.675295652173816</v>
      </c>
      <c r="Z203" s="313">
        <f t="shared" ca="1" si="600"/>
        <v>22.67529565217378</v>
      </c>
      <c r="AA203" s="419">
        <f t="shared" si="493"/>
        <v>1.3184</v>
      </c>
      <c r="AB203" s="423">
        <f t="shared" ca="1" si="494"/>
        <v>1.3184</v>
      </c>
      <c r="AC203" s="221">
        <v>42571</v>
      </c>
      <c r="AD203" s="221">
        <v>42567</v>
      </c>
      <c r="AE203" s="221">
        <v>42566</v>
      </c>
      <c r="AF203" s="221">
        <v>42562</v>
      </c>
      <c r="AG203" s="241" t="s">
        <v>497</v>
      </c>
      <c r="AH203" s="239" t="s">
        <v>497</v>
      </c>
      <c r="AI203" s="141">
        <v>23</v>
      </c>
      <c r="AJ203" s="41">
        <v>15</v>
      </c>
      <c r="AK203" s="41">
        <v>8</v>
      </c>
      <c r="AL203" s="285">
        <v>23</v>
      </c>
      <c r="AM203" s="41">
        <v>10</v>
      </c>
      <c r="AN203" s="142">
        <v>13</v>
      </c>
      <c r="AO203" s="364">
        <v>6.21259598351434E-2</v>
      </c>
      <c r="AP203" s="145">
        <f t="shared" ca="1" si="532"/>
        <v>0.38989764117694842</v>
      </c>
      <c r="AQ203" s="364">
        <v>5.6681473977959307E-2</v>
      </c>
      <c r="AR203" s="145">
        <f t="shared" ca="1" si="552"/>
        <v>0.42595057553965671</v>
      </c>
      <c r="AS203" s="264">
        <f t="shared" si="601"/>
        <v>0.1373608695652174</v>
      </c>
      <c r="AT203" s="149">
        <f t="shared" si="533"/>
        <v>0.13789999999999999</v>
      </c>
      <c r="AU203" s="149">
        <f t="shared" si="496"/>
        <v>0.13727391304347827</v>
      </c>
      <c r="AV203" s="263">
        <f t="shared" ca="1" si="560"/>
        <v>0.1358829774664945</v>
      </c>
      <c r="AW203" s="150" t="str">
        <f t="shared" ca="1" si="581"/>
        <v/>
      </c>
      <c r="AX203" s="149">
        <f t="shared" ca="1" si="553"/>
        <v>4.908312622191646E-3</v>
      </c>
      <c r="AY203" s="149">
        <f t="shared" ca="1" si="554"/>
        <v>1.6297204892251249E-3</v>
      </c>
      <c r="AZ203" s="149">
        <f t="shared" ca="1" si="555"/>
        <v>1.7524600195357924E-3</v>
      </c>
      <c r="BA203" s="149">
        <f t="shared" ca="1" si="556"/>
        <v>1.0000000000000932E-4</v>
      </c>
      <c r="BB203" s="149">
        <f t="shared" ca="1" si="557"/>
        <v>1.0000000000000932E-4</v>
      </c>
      <c r="BC203" s="149">
        <f t="shared" ca="1" si="558"/>
        <v>1.0000000000000932E-4</v>
      </c>
      <c r="BD203" s="143">
        <f t="shared" ca="1" si="602"/>
        <v>0</v>
      </c>
      <c r="BE203" s="144">
        <f t="shared" ca="1" si="603"/>
        <v>0</v>
      </c>
      <c r="BF203" s="40">
        <f t="shared" si="604"/>
        <v>2016</v>
      </c>
      <c r="BG203" s="139">
        <f t="shared" si="605"/>
        <v>8</v>
      </c>
      <c r="BH203" s="140">
        <f t="shared" ca="1" si="606"/>
        <v>5577</v>
      </c>
      <c r="BI203" s="304">
        <f t="shared" ca="1" si="607"/>
        <v>15.312799452429843</v>
      </c>
      <c r="BJ203" s="42">
        <f t="shared" ca="1" si="503"/>
        <v>15.366366098265036</v>
      </c>
      <c r="BK203" s="42">
        <f t="shared" ca="1" si="504"/>
        <v>15.369103949052169</v>
      </c>
      <c r="BL203" s="42">
        <f t="shared" ca="1" si="608"/>
        <v>15.394934976043805</v>
      </c>
      <c r="BM203" s="285">
        <f t="shared" si="609"/>
        <v>23</v>
      </c>
      <c r="BN203" s="41">
        <f t="shared" si="610"/>
        <v>15</v>
      </c>
      <c r="BO203" s="41">
        <f t="shared" si="611"/>
        <v>8</v>
      </c>
      <c r="BP203" s="297" t="str">
        <f t="shared" ca="1" si="505"/>
        <v/>
      </c>
      <c r="BQ203" s="297" t="str">
        <f t="shared" ca="1" si="506"/>
        <v/>
      </c>
      <c r="BR203" s="299" t="str">
        <f t="shared" ca="1" si="507"/>
        <v/>
      </c>
      <c r="BS203" s="153" t="str">
        <f t="shared" ca="1" si="508"/>
        <v/>
      </c>
      <c r="BT203" s="153" t="str">
        <f t="shared" ca="1" si="509"/>
        <v/>
      </c>
      <c r="BU203" s="300" t="str">
        <f t="shared" ca="1" si="510"/>
        <v/>
      </c>
      <c r="BV203" s="301" t="str">
        <f t="shared" ca="1" si="511"/>
        <v/>
      </c>
      <c r="BW203" s="300" t="str">
        <f t="shared" ca="1" si="512"/>
        <v/>
      </c>
      <c r="BX203" s="301" t="str">
        <f t="shared" ca="1" si="513"/>
        <v/>
      </c>
      <c r="BY203" s="146" t="str">
        <f t="shared" ca="1" si="514"/>
        <v/>
      </c>
      <c r="BZ203" s="146" t="str">
        <f t="shared" ca="1" si="515"/>
        <v/>
      </c>
      <c r="CA203" s="146" t="str">
        <f t="shared" ca="1" si="516"/>
        <v/>
      </c>
      <c r="CB203" s="146" t="str">
        <f t="shared" ca="1" si="517"/>
        <v/>
      </c>
      <c r="CC203" s="302">
        <v>1</v>
      </c>
      <c r="CD203" s="154">
        <f ca="1">IF(BD203,_xll.xCrudeAPO(BS203,BT203,BY203,BZ203,S204,S205,BI203,BL203,BN203,BO203,0,Strike1,AO203,CC203,0,BL203,IF(OptControl=4,0,1),0,1),0)</f>
        <v>0</v>
      </c>
      <c r="CE203" s="155">
        <f ca="1">IF(BD203,_xll.xCrudeAPO(BS203,BT203,BY203,BZ203,S204,S205,BI203,BL203,BN203,BO203,0,Strike1,AO203,CC203,0,BL203,IF(OptControl=4,0,1),1,1)+_xll.xCrudeAPO(BS203,BT203,BY203,BZ203,S204,S205,BI203,BL203,BN203,BO203,0,Strike1,AO203,CC203,0,BL203,IF(OptControl=4,0,1),1,2)+IF(OR(VolSkewFlag=2,ABS(BQ203)&lt;0.0001),0,IF(BQ203&gt;0,-1,1)*CF203*Strike1/BP203^2*BW203/10%),0)</f>
        <v>0</v>
      </c>
      <c r="CF203" s="155">
        <f ca="1">IF(BD203,(_xll.xCrudeAPO(BS203,BT203,BY203,BZ203,S204,S205,BI203,BL203,BN203,BO203,0,Strike1,AO203,CC203,0,BL203,IF(OptControl=4,0,1),3,1)+_xll.xCrudeAPO(BS203,BT203,BY203,BZ203,S204,S205,BI203,BL203,BN203,BO203,0,Strike1,AO203,CC203,0,BL203,IF(OptControl=4,0,1),3,2))/100,0)</f>
        <v>0</v>
      </c>
      <c r="CG203" s="155">
        <f ca="1">IF(BD203,_xll.xCrudeAPO(BS203,BT203,BY203,BZ203,S204,S205,BI203-DaysForThetaCalculation/365.25,BL203-DaysForThetaCalculation/365.25,BN203,BO203,0,Strike1,AO203,CC203,0,BL203,IF(OptControl=4,0,1),0,1)-_xll.xCrudeAPO(BS203,BT203,BY203,BZ203,S204,S205,BI203,BL203,BN203,BO203,0,Strike1,AO203,CC203,0,BL203,IF(OptControl=4,0,1),0,1),0)</f>
        <v>0</v>
      </c>
      <c r="CH203" s="303">
        <f ca="1">IF(BD203,_xll.xCrudeAPO(BS203,BT203,CA203,CB203,S204,S205,BI203,BL203,BN203,BO203,0,Strike2,AO203,CC203,0,BL203,IF(OptControl=3,1,0),0,1),0)</f>
        <v>0</v>
      </c>
      <c r="CI203" s="155">
        <f ca="1">IF(BD203,_xll.xCrudeAPO(BS203,BT203,CA203,CB203,S204,S205,BI203,BL203,BN203,BO203,0,Strike2,AO203,CC203,0,BL203,IF(OptControl=3,1,0),1,1)+_xll.xCrudeAPO(BS203,BT203,CA203,CB203,S204,S205,BI203,BL203,BN203,BO203,0,Strike2,AO203,CC203,0,BL203,IF(OptControl=3,1,0),1,2)+IF(OR(VolSkewFlag=2,ABS(BR203)&lt;0.0001),0,IF(BR203&gt;0,-1,1)*CJ203*Strike2/BP203^2*BX203/10%),0)</f>
        <v>0</v>
      </c>
      <c r="CJ203" s="155">
        <f ca="1">IF(BD203,(_xll.xCrudeAPO(BS203,BT203,CA203,CB203,S204,S205,BI203,BL203,BN203,BO203,0,Strike2,AO203,CC203,0,BL203,IF(OptControl=3,1,0),3,1)+_xll.xCrudeAPO(BS203,BT203,CA203,CB203,S204,S205,BI203,BL203,BN203,BO203,0,Strike2,AO203,CC203,0,BL203,IF(OptControl=3,1,0),3,2))/100,0)</f>
        <v>0</v>
      </c>
      <c r="CK203" s="156">
        <f ca="1">IF(BD203,_xll.xCrudeAPO(BS203,BT203,CA203,CB203,S204,S205,BI203-DaysForThetaCalculation/365.25,BL203-DaysForThetaCalculation/365.25,BN203,BO203,0,Strike2,AO203,CC203,0,BL203,IF(OptControl=3,1,0),0,1)-_xll.xCrudeAPO(BS203,BT203,CA203,CB203,S204,S205,BI203,BL203,BN203,BO203,0,Strike2,AO203,CC203,0,BL203,IF(OptControl=3,1,0),0,1),0)</f>
        <v>0</v>
      </c>
      <c r="CL203" s="51"/>
      <c r="CM203" s="779" t="str">
        <f t="shared" ca="1" si="534"/>
        <v/>
      </c>
      <c r="CN203" s="783" t="str">
        <f t="shared" ca="1" si="535"/>
        <v/>
      </c>
      <c r="CO203" s="780" t="str">
        <f t="shared" ca="1" si="536"/>
        <v/>
      </c>
      <c r="CP203" s="780" t="str">
        <f t="shared" ca="1" si="537"/>
        <v/>
      </c>
      <c r="CQ203" s="780" t="str">
        <f t="shared" ca="1" si="538"/>
        <v/>
      </c>
      <c r="CR203" s="780" t="str">
        <f t="shared" ca="1" si="539"/>
        <v/>
      </c>
      <c r="CS203" s="781" t="str">
        <f t="shared" ca="1" si="540"/>
        <v/>
      </c>
      <c r="CT203" s="782" t="str">
        <f t="shared" ca="1" si="541"/>
        <v/>
      </c>
      <c r="CU203" s="782" t="str">
        <f t="shared" ca="1" si="542"/>
        <v/>
      </c>
      <c r="CV203" s="155">
        <f ca="1">IF(BD203,_xll.EURO(CN203,Strike1,AO203,AO203,CT203,CM203,IF(OptControl=4,0,1),0),0)</f>
        <v>0</v>
      </c>
      <c r="CW203" s="155">
        <f ca="1">IF(BD203,_xll.EURO(CN203,Strike1,AO203,AO203,CT203,CM203,IF(OptControl=4,0,1),1)+IF(OR(VolSkewFlag=2,ABS(CO203)&lt;0.0001),0,IF(CO203&gt;0,-1,1)*CX203*100*Strike1/CN203^2*CQ203/10%),0)</f>
        <v>0</v>
      </c>
      <c r="CX203" s="155">
        <f ca="1">IF(BD203,_xll.EURO(CN203,Strike1,AO203,AO203,CT203,CM203,IF(OptControl=4,0,1),3)/100,0)</f>
        <v>0</v>
      </c>
      <c r="CY203" s="155">
        <f ca="1">IF(BD203,_xll.EURO(CN203,Strike1,AO203,AO203,CT203,CM203,IF(OptControl=4,0,1),0)-_xll.EURO(CN203,Strike1,AO203,AO203,CT203,CM203-1,IF(OptControl=4,0,1),0),0)</f>
        <v>0</v>
      </c>
      <c r="CZ203" s="155">
        <f ca="1">IF(BD203,_xll.EURO(CN203,Strike2,AO203,AO203,CU203,CM203,IF(OptControl=3,1,0),0),0)</f>
        <v>0</v>
      </c>
      <c r="DA203" s="155">
        <f ca="1">IF(BD203,_xll.EURO(CN203,Strike2,AO203,AO203,CU203,CM203,IF(OptControl=3,1,0),1)+IF(OR(VolSkewFlag=2,ABS(CP203)&lt;0.0001),0,IF(CP203&gt;0,-1,1)*DB203*100*Strike2/CN203^2*CR203/10%),0)</f>
        <v>0</v>
      </c>
      <c r="DB203" s="155">
        <f ca="1">IF(BD203,_xll.EURO(CN203,Strike2,AO203,AO203,CU203,CM203,IF(OptControl=3,1,0),3)/100,0)</f>
        <v>0</v>
      </c>
      <c r="DC203" s="156">
        <f ca="1">IF(BD203,_xll.EURO(CN203,Strike2,AO203,AO203,CU203,CM203,IF(OptControl=3,1,0),0)-_xll.EURO(CN203,Strike2,AO203,AO203,CU203,CM203-1,IF(OptControl=3,1,0),0),0)</f>
        <v>0</v>
      </c>
      <c r="DE203" s="651">
        <f t="shared" ca="1" si="543"/>
        <v>42491</v>
      </c>
      <c r="DF203" s="465">
        <v>1E-4</v>
      </c>
      <c r="DG203" s="649">
        <v>1E-4</v>
      </c>
      <c r="DH203" s="650">
        <f t="shared" ca="1" si="612"/>
        <v>42491</v>
      </c>
      <c r="DI203" s="465">
        <v>1E-4</v>
      </c>
      <c r="DJ203" s="649">
        <v>1E-4</v>
      </c>
      <c r="DK203" s="651">
        <f t="shared" ca="1" si="613"/>
        <v>42491</v>
      </c>
      <c r="DL203" s="652">
        <f t="shared" si="614"/>
        <v>5.0100000000000006E-2</v>
      </c>
      <c r="DM203" s="651">
        <f t="shared" ca="1" si="615"/>
        <v>42491</v>
      </c>
      <c r="DN203" s="563">
        <f t="shared" si="616"/>
        <v>-0.12990000000000002</v>
      </c>
      <c r="DO203" s="803">
        <v>-0.13</v>
      </c>
      <c r="DP203" s="650">
        <f t="shared" ca="1" si="617"/>
        <v>42491</v>
      </c>
      <c r="DQ203" s="653">
        <v>1E-4</v>
      </c>
      <c r="DR203" s="590">
        <v>1E-4</v>
      </c>
      <c r="DS203" s="650">
        <f t="shared" ca="1" si="618"/>
        <v>42491</v>
      </c>
      <c r="DT203" s="653">
        <v>1E-4</v>
      </c>
      <c r="DU203" s="590">
        <v>1E-4</v>
      </c>
      <c r="DV203" s="651">
        <f t="shared" ca="1" si="619"/>
        <v>42491</v>
      </c>
      <c r="DW203" s="590">
        <v>1E-4</v>
      </c>
      <c r="DX203" s="651">
        <f t="shared" ca="1" si="620"/>
        <v>42491</v>
      </c>
      <c r="DY203" s="590">
        <f t="shared" si="621"/>
        <v>1E-4</v>
      </c>
      <c r="DZ203" s="1"/>
      <c r="EA203" s="857"/>
      <c r="EB203" s="857"/>
      <c r="EC203" s="857"/>
      <c r="ED203" s="868" t="e">
        <f t="shared" ca="1" si="566"/>
        <v>#NAME?</v>
      </c>
      <c r="EE203" s="863" t="e">
        <f t="shared" ca="1" si="524"/>
        <v>#NAME?</v>
      </c>
      <c r="EF203" s="590" t="e">
        <f t="shared" ca="1" si="525"/>
        <v>#NAME?</v>
      </c>
      <c r="EG203" s="862" t="str">
        <f t="shared" ca="1" si="622"/>
        <v/>
      </c>
      <c r="EH203" s="114" t="str">
        <f t="shared" ca="1" si="527"/>
        <v/>
      </c>
      <c r="EI203" s="109" t="str">
        <f t="shared" ca="1" si="528"/>
        <v/>
      </c>
      <c r="EJ203" s="115">
        <f ca="1">IF(BD203,_xll.xASN(BP203,Strike1,AO203,EH203,0,BM203,0,BI203,BL203,IF(OptControl=4,0,1),0),0)</f>
        <v>0</v>
      </c>
      <c r="EK203" s="108">
        <f ca="1">IF(BD203,_xll.xASN(BP203,Strike2,AO203,EI203,0,BM203,0,BI203,BL203,IF(OptControl=3,1,0),0),0)</f>
        <v>0</v>
      </c>
      <c r="EP203" s="53"/>
      <c r="EQ203" s="1"/>
      <c r="ER203" s="103"/>
      <c r="ES203" s="103"/>
      <c r="ET203" s="1"/>
      <c r="EU203" s="667" t="s">
        <v>416</v>
      </c>
      <c r="EW203" s="445"/>
      <c r="EX203" s="36"/>
      <c r="EY203" s="104"/>
      <c r="EZ203" s="465"/>
      <c r="FA203" s="446"/>
      <c r="FB203" s="446"/>
      <c r="FC203" s="242"/>
      <c r="FD203" s="242"/>
      <c r="FE203" s="242"/>
      <c r="FF203" s="242"/>
      <c r="FG203" s="242"/>
      <c r="FH203" s="242"/>
      <c r="FI203" s="242"/>
      <c r="FJ203" s="242"/>
      <c r="FK203" s="242"/>
      <c r="FL203" s="242"/>
      <c r="FM203" s="242"/>
      <c r="FN203" s="657">
        <v>34</v>
      </c>
      <c r="FO203" s="469" t="str">
        <f ca="1">IF(OR(FO$169&lt;SwaptionFirstMonthPosition+1,$FN203&lt;SwaptionFirstMonthPosition+1,FO$169&gt;SwaptionFirstMonthPosition+SwaptionNumOfMonths+1,$FN203&gt;SwaptionFirstMonthPosition+SwaptionNumOfMonths+1),"",IF($FN203=FO$169,1,IF($FN203&lt;FO$169,INDEX($FO$170:$IH$241,FO$169,$FN203),SUMPRODUCT(INDEX($FO$325:$IH$396,FO$169,1+SwaptionShift):INDEX($FO$325:$IH$396,FO$169,SwaptionMonthsToGo+SwaptionShift),INDEX($FO$245:$IH$316,$FN203-FO$169,73-FO$169+SwaptionShift):INDEX($FO$245:$IH$316,$FN203-FO$169,72-FO$169+SwaptionMonthsToGo+SwaptionShift))/SQRT(SUM(INDEX($FO358:$IH358,1+SwaptionShift):INDEX($FO358:$IH358,SwaptionMonthsToGo+SwaptionShift))*SUM(INDEX($FO$325:$IH$396,FO$169,1+SwaptionShift):INDEX($FO$325:$IH$396,FO$169,SwaptionMonthsToGo+SwaptionShift))))))</f>
        <v/>
      </c>
      <c r="FP203" s="469" t="str">
        <f ca="1">IF(OR(FP$169&lt;SwaptionFirstMonthPosition+1,$FN203&lt;SwaptionFirstMonthPosition+1,FP$169&gt;SwaptionFirstMonthPosition+SwaptionNumOfMonths+1,$FN203&gt;SwaptionFirstMonthPosition+SwaptionNumOfMonths+1),"",IF($FN203=FP$169,1,IF($FN203&lt;FP$169,INDEX($FO$170:$IH$241,FP$169,$FN203),SUMPRODUCT(INDEX($FO$325:$IH$396,FP$169,1+SwaptionShift):INDEX($FO$325:$IH$396,FP$169,SwaptionMonthsToGo+SwaptionShift),INDEX($FO$245:$IH$316,$FN203-FP$169,73-FP$169+SwaptionShift):INDEX($FO$245:$IH$316,$FN203-FP$169,72-FP$169+SwaptionMonthsToGo+SwaptionShift))/SQRT(SUM(INDEX($FO358:$IH358,1+SwaptionShift):INDEX($FO358:$IH358,SwaptionMonthsToGo+SwaptionShift))*SUM(INDEX($FO$325:$IH$396,FP$169,1+SwaptionShift):INDEX($FO$325:$IH$396,FP$169,SwaptionMonthsToGo+SwaptionShift))))))</f>
        <v/>
      </c>
      <c r="FQ203" s="469" t="str">
        <f ca="1">IF(OR(FQ$169&lt;SwaptionFirstMonthPosition+1,$FN203&lt;SwaptionFirstMonthPosition+1,FQ$169&gt;SwaptionFirstMonthPosition+SwaptionNumOfMonths+1,$FN203&gt;SwaptionFirstMonthPosition+SwaptionNumOfMonths+1),"",IF($FN203=FQ$169,1,IF($FN203&lt;FQ$169,INDEX($FO$170:$IH$241,FQ$169,$FN203),SUMPRODUCT(INDEX($FO$325:$IH$396,FQ$169,1+SwaptionShift):INDEX($FO$325:$IH$396,FQ$169,SwaptionMonthsToGo+SwaptionShift),INDEX($FO$245:$IH$316,$FN203-FQ$169,73-FQ$169+SwaptionShift):INDEX($FO$245:$IH$316,$FN203-FQ$169,72-FQ$169+SwaptionMonthsToGo+SwaptionShift))/SQRT(SUM(INDEX($FO358:$IH358,1+SwaptionShift):INDEX($FO358:$IH358,SwaptionMonthsToGo+SwaptionShift))*SUM(INDEX($FO$325:$IH$396,FQ$169,1+SwaptionShift):INDEX($FO$325:$IH$396,FQ$169,SwaptionMonthsToGo+SwaptionShift))))))</f>
        <v/>
      </c>
      <c r="FR203" s="469" t="str">
        <f ca="1">IF(OR(FR$169&lt;SwaptionFirstMonthPosition+1,$FN203&lt;SwaptionFirstMonthPosition+1,FR$169&gt;SwaptionFirstMonthPosition+SwaptionNumOfMonths+1,$FN203&gt;SwaptionFirstMonthPosition+SwaptionNumOfMonths+1),"",IF($FN203=FR$169,1,IF($FN203&lt;FR$169,INDEX($FO$170:$IH$241,FR$169,$FN203),SUMPRODUCT(INDEX($FO$325:$IH$396,FR$169,1+SwaptionShift):INDEX($FO$325:$IH$396,FR$169,SwaptionMonthsToGo+SwaptionShift),INDEX($FO$245:$IH$316,$FN203-FR$169,73-FR$169+SwaptionShift):INDEX($FO$245:$IH$316,$FN203-FR$169,72-FR$169+SwaptionMonthsToGo+SwaptionShift))/SQRT(SUM(INDEX($FO358:$IH358,1+SwaptionShift):INDEX($FO358:$IH358,SwaptionMonthsToGo+SwaptionShift))*SUM(INDEX($FO$325:$IH$396,FR$169,1+SwaptionShift):INDEX($FO$325:$IH$396,FR$169,SwaptionMonthsToGo+SwaptionShift))))))</f>
        <v/>
      </c>
      <c r="FS203" s="469" t="str">
        <f ca="1">IF(OR(FS$169&lt;SwaptionFirstMonthPosition+1,$FN203&lt;SwaptionFirstMonthPosition+1,FS$169&gt;SwaptionFirstMonthPosition+SwaptionNumOfMonths+1,$FN203&gt;SwaptionFirstMonthPosition+SwaptionNumOfMonths+1),"",IF($FN203=FS$169,1,IF($FN203&lt;FS$169,INDEX($FO$170:$IH$241,FS$169,$FN203),SUMPRODUCT(INDEX($FO$325:$IH$396,FS$169,1+SwaptionShift):INDEX($FO$325:$IH$396,FS$169,SwaptionMonthsToGo+SwaptionShift),INDEX($FO$245:$IH$316,$FN203-FS$169,73-FS$169+SwaptionShift):INDEX($FO$245:$IH$316,$FN203-FS$169,72-FS$169+SwaptionMonthsToGo+SwaptionShift))/SQRT(SUM(INDEX($FO358:$IH358,1+SwaptionShift):INDEX($FO358:$IH358,SwaptionMonthsToGo+SwaptionShift))*SUM(INDEX($FO$325:$IH$396,FS$169,1+SwaptionShift):INDEX($FO$325:$IH$396,FS$169,SwaptionMonthsToGo+SwaptionShift))))))</f>
        <v/>
      </c>
      <c r="FT203" s="469" t="str">
        <f ca="1">IF(OR(FT$169&lt;SwaptionFirstMonthPosition+1,$FN203&lt;SwaptionFirstMonthPosition+1,FT$169&gt;SwaptionFirstMonthPosition+SwaptionNumOfMonths+1,$FN203&gt;SwaptionFirstMonthPosition+SwaptionNumOfMonths+1),"",IF($FN203=FT$169,1,IF($FN203&lt;FT$169,INDEX($FO$170:$IH$241,FT$169,$FN203),SUMPRODUCT(INDEX($FO$325:$IH$396,FT$169,1+SwaptionShift):INDEX($FO$325:$IH$396,FT$169,SwaptionMonthsToGo+SwaptionShift),INDEX($FO$245:$IH$316,$FN203-FT$169,73-FT$169+SwaptionShift):INDEX($FO$245:$IH$316,$FN203-FT$169,72-FT$169+SwaptionMonthsToGo+SwaptionShift))/SQRT(SUM(INDEX($FO358:$IH358,1+SwaptionShift):INDEX($FO358:$IH358,SwaptionMonthsToGo+SwaptionShift))*SUM(INDEX($FO$325:$IH$396,FT$169,1+SwaptionShift):INDEX($FO$325:$IH$396,FT$169,SwaptionMonthsToGo+SwaptionShift))))))</f>
        <v/>
      </c>
      <c r="FU203" s="469" t="str">
        <f ca="1">IF(OR(FU$169&lt;SwaptionFirstMonthPosition+1,$FN203&lt;SwaptionFirstMonthPosition+1,FU$169&gt;SwaptionFirstMonthPosition+SwaptionNumOfMonths+1,$FN203&gt;SwaptionFirstMonthPosition+SwaptionNumOfMonths+1),"",IF($FN203=FU$169,1,IF($FN203&lt;FU$169,INDEX($FO$170:$IH$241,FU$169,$FN203),SUMPRODUCT(INDEX($FO$325:$IH$396,FU$169,1+SwaptionShift):INDEX($FO$325:$IH$396,FU$169,SwaptionMonthsToGo+SwaptionShift),INDEX($FO$245:$IH$316,$FN203-FU$169,73-FU$169+SwaptionShift):INDEX($FO$245:$IH$316,$FN203-FU$169,72-FU$169+SwaptionMonthsToGo+SwaptionShift))/SQRT(SUM(INDEX($FO358:$IH358,1+SwaptionShift):INDEX($FO358:$IH358,SwaptionMonthsToGo+SwaptionShift))*SUM(INDEX($FO$325:$IH$396,FU$169,1+SwaptionShift):INDEX($FO$325:$IH$396,FU$169,SwaptionMonthsToGo+SwaptionShift))))))</f>
        <v/>
      </c>
      <c r="FV203" s="469" t="str">
        <f ca="1">IF(OR(FV$169&lt;SwaptionFirstMonthPosition+1,$FN203&lt;SwaptionFirstMonthPosition+1,FV$169&gt;SwaptionFirstMonthPosition+SwaptionNumOfMonths+1,$FN203&gt;SwaptionFirstMonthPosition+SwaptionNumOfMonths+1),"",IF($FN203=FV$169,1,IF($FN203&lt;FV$169,INDEX($FO$170:$IH$241,FV$169,$FN203),SUMPRODUCT(INDEX($FO$325:$IH$396,FV$169,1+SwaptionShift):INDEX($FO$325:$IH$396,FV$169,SwaptionMonthsToGo+SwaptionShift),INDEX($FO$245:$IH$316,$FN203-FV$169,73-FV$169+SwaptionShift):INDEX($FO$245:$IH$316,$FN203-FV$169,72-FV$169+SwaptionMonthsToGo+SwaptionShift))/SQRT(SUM(INDEX($FO358:$IH358,1+SwaptionShift):INDEX($FO358:$IH358,SwaptionMonthsToGo+SwaptionShift))*SUM(INDEX($FO$325:$IH$396,FV$169,1+SwaptionShift):INDEX($FO$325:$IH$396,FV$169,SwaptionMonthsToGo+SwaptionShift))))))</f>
        <v/>
      </c>
      <c r="FW203" s="469" t="str">
        <f ca="1">IF(OR(FW$169&lt;SwaptionFirstMonthPosition+1,$FN203&lt;SwaptionFirstMonthPosition+1,FW$169&gt;SwaptionFirstMonthPosition+SwaptionNumOfMonths+1,$FN203&gt;SwaptionFirstMonthPosition+SwaptionNumOfMonths+1),"",IF($FN203=FW$169,1,IF($FN203&lt;FW$169,INDEX($FO$170:$IH$241,FW$169,$FN203),SUMPRODUCT(INDEX($FO$325:$IH$396,FW$169,1+SwaptionShift):INDEX($FO$325:$IH$396,FW$169,SwaptionMonthsToGo+SwaptionShift),INDEX($FO$245:$IH$316,$FN203-FW$169,73-FW$169+SwaptionShift):INDEX($FO$245:$IH$316,$FN203-FW$169,72-FW$169+SwaptionMonthsToGo+SwaptionShift))/SQRT(SUM(INDEX($FO358:$IH358,1+SwaptionShift):INDEX($FO358:$IH358,SwaptionMonthsToGo+SwaptionShift))*SUM(INDEX($FO$325:$IH$396,FW$169,1+SwaptionShift):INDEX($FO$325:$IH$396,FW$169,SwaptionMonthsToGo+SwaptionShift))))))</f>
        <v/>
      </c>
      <c r="FX203" s="469" t="str">
        <f ca="1">IF(OR(FX$169&lt;SwaptionFirstMonthPosition+1,$FN203&lt;SwaptionFirstMonthPosition+1,FX$169&gt;SwaptionFirstMonthPosition+SwaptionNumOfMonths+1,$FN203&gt;SwaptionFirstMonthPosition+SwaptionNumOfMonths+1),"",IF($FN203=FX$169,1,IF($FN203&lt;FX$169,INDEX($FO$170:$IH$241,FX$169,$FN203),SUMPRODUCT(INDEX($FO$325:$IH$396,FX$169,1+SwaptionShift):INDEX($FO$325:$IH$396,FX$169,SwaptionMonthsToGo+SwaptionShift),INDEX($FO$245:$IH$316,$FN203-FX$169,73-FX$169+SwaptionShift):INDEX($FO$245:$IH$316,$FN203-FX$169,72-FX$169+SwaptionMonthsToGo+SwaptionShift))/SQRT(SUM(INDEX($FO358:$IH358,1+SwaptionShift):INDEX($FO358:$IH358,SwaptionMonthsToGo+SwaptionShift))*SUM(INDEX($FO$325:$IH$396,FX$169,1+SwaptionShift):INDEX($FO$325:$IH$396,FX$169,SwaptionMonthsToGo+SwaptionShift))))))</f>
        <v/>
      </c>
      <c r="FY203" s="469" t="str">
        <f ca="1">IF(OR(FY$169&lt;SwaptionFirstMonthPosition+1,$FN203&lt;SwaptionFirstMonthPosition+1,FY$169&gt;SwaptionFirstMonthPosition+SwaptionNumOfMonths+1,$FN203&gt;SwaptionFirstMonthPosition+SwaptionNumOfMonths+1),"",IF($FN203=FY$169,1,IF($FN203&lt;FY$169,INDEX($FO$170:$IH$241,FY$169,$FN203),SUMPRODUCT(INDEX($FO$325:$IH$396,FY$169,1+SwaptionShift):INDEX($FO$325:$IH$396,FY$169,SwaptionMonthsToGo+SwaptionShift),INDEX($FO$245:$IH$316,$FN203-FY$169,73-FY$169+SwaptionShift):INDEX($FO$245:$IH$316,$FN203-FY$169,72-FY$169+SwaptionMonthsToGo+SwaptionShift))/SQRT(SUM(INDEX($FO358:$IH358,1+SwaptionShift):INDEX($FO358:$IH358,SwaptionMonthsToGo+SwaptionShift))*SUM(INDEX($FO$325:$IH$396,FY$169,1+SwaptionShift):INDEX($FO$325:$IH$396,FY$169,SwaptionMonthsToGo+SwaptionShift))))))</f>
        <v/>
      </c>
      <c r="FZ203" s="469" t="str">
        <f ca="1">IF(OR(FZ$169&lt;SwaptionFirstMonthPosition+1,$FN203&lt;SwaptionFirstMonthPosition+1,FZ$169&gt;SwaptionFirstMonthPosition+SwaptionNumOfMonths+1,$FN203&gt;SwaptionFirstMonthPosition+SwaptionNumOfMonths+1),"",IF($FN203=FZ$169,1,IF($FN203&lt;FZ$169,INDEX($FO$170:$IH$241,FZ$169,$FN203),SUMPRODUCT(INDEX($FO$325:$IH$396,FZ$169,1+SwaptionShift):INDEX($FO$325:$IH$396,FZ$169,SwaptionMonthsToGo+SwaptionShift),INDEX($FO$245:$IH$316,$FN203-FZ$169,73-FZ$169+SwaptionShift):INDEX($FO$245:$IH$316,$FN203-FZ$169,72-FZ$169+SwaptionMonthsToGo+SwaptionShift))/SQRT(SUM(INDEX($FO358:$IH358,1+SwaptionShift):INDEX($FO358:$IH358,SwaptionMonthsToGo+SwaptionShift))*SUM(INDEX($FO$325:$IH$396,FZ$169,1+SwaptionShift):INDEX($FO$325:$IH$396,FZ$169,SwaptionMonthsToGo+SwaptionShift))))))</f>
        <v/>
      </c>
      <c r="GA203" s="469" t="str">
        <f ca="1">IF(OR(GA$169&lt;SwaptionFirstMonthPosition+1,$FN203&lt;SwaptionFirstMonthPosition+1,GA$169&gt;SwaptionFirstMonthPosition+SwaptionNumOfMonths+1,$FN203&gt;SwaptionFirstMonthPosition+SwaptionNumOfMonths+1),"",IF($FN203=GA$169,1,IF($FN203&lt;GA$169,INDEX($FO$170:$IH$241,GA$169,$FN203),SUMPRODUCT(INDEX($FO$325:$IH$396,GA$169,1+SwaptionShift):INDEX($FO$325:$IH$396,GA$169,SwaptionMonthsToGo+SwaptionShift),INDEX($FO$245:$IH$316,$FN203-GA$169,73-GA$169+SwaptionShift):INDEX($FO$245:$IH$316,$FN203-GA$169,72-GA$169+SwaptionMonthsToGo+SwaptionShift))/SQRT(SUM(INDEX($FO358:$IH358,1+SwaptionShift):INDEX($FO358:$IH358,SwaptionMonthsToGo+SwaptionShift))*SUM(INDEX($FO$325:$IH$396,GA$169,1+SwaptionShift):INDEX($FO$325:$IH$396,GA$169,SwaptionMonthsToGo+SwaptionShift))))))</f>
        <v/>
      </c>
      <c r="GB203" s="469" t="str">
        <f ca="1">IF(OR(GB$169&lt;SwaptionFirstMonthPosition+1,$FN203&lt;SwaptionFirstMonthPosition+1,GB$169&gt;SwaptionFirstMonthPosition+SwaptionNumOfMonths+1,$FN203&gt;SwaptionFirstMonthPosition+SwaptionNumOfMonths+1),"",IF($FN203=GB$169,1,IF($FN203&lt;GB$169,INDEX($FO$170:$IH$241,GB$169,$FN203),SUMPRODUCT(INDEX($FO$325:$IH$396,GB$169,1+SwaptionShift):INDEX($FO$325:$IH$396,GB$169,SwaptionMonthsToGo+SwaptionShift),INDEX($FO$245:$IH$316,$FN203-GB$169,73-GB$169+SwaptionShift):INDEX($FO$245:$IH$316,$FN203-GB$169,72-GB$169+SwaptionMonthsToGo+SwaptionShift))/SQRT(SUM(INDEX($FO358:$IH358,1+SwaptionShift):INDEX($FO358:$IH358,SwaptionMonthsToGo+SwaptionShift))*SUM(INDEX($FO$325:$IH$396,GB$169,1+SwaptionShift):INDEX($FO$325:$IH$396,GB$169,SwaptionMonthsToGo+SwaptionShift))))))</f>
        <v/>
      </c>
      <c r="GC203" s="469" t="str">
        <f ca="1">IF(OR(GC$169&lt;SwaptionFirstMonthPosition+1,$FN203&lt;SwaptionFirstMonthPosition+1,GC$169&gt;SwaptionFirstMonthPosition+SwaptionNumOfMonths+1,$FN203&gt;SwaptionFirstMonthPosition+SwaptionNumOfMonths+1),"",IF($FN203=GC$169,1,IF($FN203&lt;GC$169,INDEX($FO$170:$IH$241,GC$169,$FN203),SUMPRODUCT(INDEX($FO$325:$IH$396,GC$169,1+SwaptionShift):INDEX($FO$325:$IH$396,GC$169,SwaptionMonthsToGo+SwaptionShift),INDEX($FO$245:$IH$316,$FN203-GC$169,73-GC$169+SwaptionShift):INDEX($FO$245:$IH$316,$FN203-GC$169,72-GC$169+SwaptionMonthsToGo+SwaptionShift))/SQRT(SUM(INDEX($FO358:$IH358,1+SwaptionShift):INDEX($FO358:$IH358,SwaptionMonthsToGo+SwaptionShift))*SUM(INDEX($FO$325:$IH$396,GC$169,1+SwaptionShift):INDEX($FO$325:$IH$396,GC$169,SwaptionMonthsToGo+SwaptionShift))))))</f>
        <v/>
      </c>
      <c r="GD203" s="469" t="str">
        <f ca="1">IF(OR(GD$169&lt;SwaptionFirstMonthPosition+1,$FN203&lt;SwaptionFirstMonthPosition+1,GD$169&gt;SwaptionFirstMonthPosition+SwaptionNumOfMonths+1,$FN203&gt;SwaptionFirstMonthPosition+SwaptionNumOfMonths+1),"",IF($FN203=GD$169,1,IF($FN203&lt;GD$169,INDEX($FO$170:$IH$241,GD$169,$FN203),SUMPRODUCT(INDEX($FO$325:$IH$396,GD$169,1+SwaptionShift):INDEX($FO$325:$IH$396,GD$169,SwaptionMonthsToGo+SwaptionShift),INDEX($FO$245:$IH$316,$FN203-GD$169,73-GD$169+SwaptionShift):INDEX($FO$245:$IH$316,$FN203-GD$169,72-GD$169+SwaptionMonthsToGo+SwaptionShift))/SQRT(SUM(INDEX($FO358:$IH358,1+SwaptionShift):INDEX($FO358:$IH358,SwaptionMonthsToGo+SwaptionShift))*SUM(INDEX($FO$325:$IH$396,GD$169,1+SwaptionShift):INDEX($FO$325:$IH$396,GD$169,SwaptionMonthsToGo+SwaptionShift))))))</f>
        <v/>
      </c>
      <c r="GE203" s="469" t="str">
        <f ca="1">IF(OR(GE$169&lt;SwaptionFirstMonthPosition+1,$FN203&lt;SwaptionFirstMonthPosition+1,GE$169&gt;SwaptionFirstMonthPosition+SwaptionNumOfMonths+1,$FN203&gt;SwaptionFirstMonthPosition+SwaptionNumOfMonths+1),"",IF($FN203=GE$169,1,IF($FN203&lt;GE$169,INDEX($FO$170:$IH$241,GE$169,$FN203),SUMPRODUCT(INDEX($FO$325:$IH$396,GE$169,1+SwaptionShift):INDEX($FO$325:$IH$396,GE$169,SwaptionMonthsToGo+SwaptionShift),INDEX($FO$245:$IH$316,$FN203-GE$169,73-GE$169+SwaptionShift):INDEX($FO$245:$IH$316,$FN203-GE$169,72-GE$169+SwaptionMonthsToGo+SwaptionShift))/SQRT(SUM(INDEX($FO358:$IH358,1+SwaptionShift):INDEX($FO358:$IH358,SwaptionMonthsToGo+SwaptionShift))*SUM(INDEX($FO$325:$IH$396,GE$169,1+SwaptionShift):INDEX($FO$325:$IH$396,GE$169,SwaptionMonthsToGo+SwaptionShift))))))</f>
        <v/>
      </c>
      <c r="GF203" s="469" t="str">
        <f ca="1">IF(OR(GF$169&lt;SwaptionFirstMonthPosition+1,$FN203&lt;SwaptionFirstMonthPosition+1,GF$169&gt;SwaptionFirstMonthPosition+SwaptionNumOfMonths+1,$FN203&gt;SwaptionFirstMonthPosition+SwaptionNumOfMonths+1),"",IF($FN203=GF$169,1,IF($FN203&lt;GF$169,INDEX($FO$170:$IH$241,GF$169,$FN203),SUMPRODUCT(INDEX($FO$325:$IH$396,GF$169,1+SwaptionShift):INDEX($FO$325:$IH$396,GF$169,SwaptionMonthsToGo+SwaptionShift),INDEX($FO$245:$IH$316,$FN203-GF$169,73-GF$169+SwaptionShift):INDEX($FO$245:$IH$316,$FN203-GF$169,72-GF$169+SwaptionMonthsToGo+SwaptionShift))/SQRT(SUM(INDEX($FO358:$IH358,1+SwaptionShift):INDEX($FO358:$IH358,SwaptionMonthsToGo+SwaptionShift))*SUM(INDEX($FO$325:$IH$396,GF$169,1+SwaptionShift):INDEX($FO$325:$IH$396,GF$169,SwaptionMonthsToGo+SwaptionShift))))))</f>
        <v/>
      </c>
      <c r="GG203" s="469" t="str">
        <f ca="1">IF(OR(GG$169&lt;SwaptionFirstMonthPosition+1,$FN203&lt;SwaptionFirstMonthPosition+1,GG$169&gt;SwaptionFirstMonthPosition+SwaptionNumOfMonths+1,$FN203&gt;SwaptionFirstMonthPosition+SwaptionNumOfMonths+1),"",IF($FN203=GG$169,1,IF($FN203&lt;GG$169,INDEX($FO$170:$IH$241,GG$169,$FN203),SUMPRODUCT(INDEX($FO$325:$IH$396,GG$169,1+SwaptionShift):INDEX($FO$325:$IH$396,GG$169,SwaptionMonthsToGo+SwaptionShift),INDEX($FO$245:$IH$316,$FN203-GG$169,73-GG$169+SwaptionShift):INDEX($FO$245:$IH$316,$FN203-GG$169,72-GG$169+SwaptionMonthsToGo+SwaptionShift))/SQRT(SUM(INDEX($FO358:$IH358,1+SwaptionShift):INDEX($FO358:$IH358,SwaptionMonthsToGo+SwaptionShift))*SUM(INDEX($FO$325:$IH$396,GG$169,1+SwaptionShift):INDEX($FO$325:$IH$396,GG$169,SwaptionMonthsToGo+SwaptionShift))))))</f>
        <v/>
      </c>
      <c r="GH203" s="469" t="str">
        <f ca="1">IF(OR(GH$169&lt;SwaptionFirstMonthPosition+1,$FN203&lt;SwaptionFirstMonthPosition+1,GH$169&gt;SwaptionFirstMonthPosition+SwaptionNumOfMonths+1,$FN203&gt;SwaptionFirstMonthPosition+SwaptionNumOfMonths+1),"",IF($FN203=GH$169,1,IF($FN203&lt;GH$169,INDEX($FO$170:$IH$241,GH$169,$FN203),SUMPRODUCT(INDEX($FO$325:$IH$396,GH$169,1+SwaptionShift):INDEX($FO$325:$IH$396,GH$169,SwaptionMonthsToGo+SwaptionShift),INDEX($FO$245:$IH$316,$FN203-GH$169,73-GH$169+SwaptionShift):INDEX($FO$245:$IH$316,$FN203-GH$169,72-GH$169+SwaptionMonthsToGo+SwaptionShift))/SQRT(SUM(INDEX($FO358:$IH358,1+SwaptionShift):INDEX($FO358:$IH358,SwaptionMonthsToGo+SwaptionShift))*SUM(INDEX($FO$325:$IH$396,GH$169,1+SwaptionShift):INDEX($FO$325:$IH$396,GH$169,SwaptionMonthsToGo+SwaptionShift))))))</f>
        <v/>
      </c>
      <c r="GI203" s="469" t="str">
        <f ca="1">IF(OR(GI$169&lt;SwaptionFirstMonthPosition+1,$FN203&lt;SwaptionFirstMonthPosition+1,GI$169&gt;SwaptionFirstMonthPosition+SwaptionNumOfMonths+1,$FN203&gt;SwaptionFirstMonthPosition+SwaptionNumOfMonths+1),"",IF($FN203=GI$169,1,IF($FN203&lt;GI$169,INDEX($FO$170:$IH$241,GI$169,$FN203),SUMPRODUCT(INDEX($FO$325:$IH$396,GI$169,1+SwaptionShift):INDEX($FO$325:$IH$396,GI$169,SwaptionMonthsToGo+SwaptionShift),INDEX($FO$245:$IH$316,$FN203-GI$169,73-GI$169+SwaptionShift):INDEX($FO$245:$IH$316,$FN203-GI$169,72-GI$169+SwaptionMonthsToGo+SwaptionShift))/SQRT(SUM(INDEX($FO358:$IH358,1+SwaptionShift):INDEX($FO358:$IH358,SwaptionMonthsToGo+SwaptionShift))*SUM(INDEX($FO$325:$IH$396,GI$169,1+SwaptionShift):INDEX($FO$325:$IH$396,GI$169,SwaptionMonthsToGo+SwaptionShift))))))</f>
        <v/>
      </c>
      <c r="GJ203" s="469" t="str">
        <f ca="1">IF(OR(GJ$169&lt;SwaptionFirstMonthPosition+1,$FN203&lt;SwaptionFirstMonthPosition+1,GJ$169&gt;SwaptionFirstMonthPosition+SwaptionNumOfMonths+1,$FN203&gt;SwaptionFirstMonthPosition+SwaptionNumOfMonths+1),"",IF($FN203=GJ$169,1,IF($FN203&lt;GJ$169,INDEX($FO$170:$IH$241,GJ$169,$FN203),SUMPRODUCT(INDEX($FO$325:$IH$396,GJ$169,1+SwaptionShift):INDEX($FO$325:$IH$396,GJ$169,SwaptionMonthsToGo+SwaptionShift),INDEX($FO$245:$IH$316,$FN203-GJ$169,73-GJ$169+SwaptionShift):INDEX($FO$245:$IH$316,$FN203-GJ$169,72-GJ$169+SwaptionMonthsToGo+SwaptionShift))/SQRT(SUM(INDEX($FO358:$IH358,1+SwaptionShift):INDEX($FO358:$IH358,SwaptionMonthsToGo+SwaptionShift))*SUM(INDEX($FO$325:$IH$396,GJ$169,1+SwaptionShift):INDEX($FO$325:$IH$396,GJ$169,SwaptionMonthsToGo+SwaptionShift))))))</f>
        <v/>
      </c>
      <c r="GK203" s="469" t="str">
        <f ca="1">IF(OR(GK$169&lt;SwaptionFirstMonthPosition+1,$FN203&lt;SwaptionFirstMonthPosition+1,GK$169&gt;SwaptionFirstMonthPosition+SwaptionNumOfMonths+1,$FN203&gt;SwaptionFirstMonthPosition+SwaptionNumOfMonths+1),"",IF($FN203=GK$169,1,IF($FN203&lt;GK$169,INDEX($FO$170:$IH$241,GK$169,$FN203),SUMPRODUCT(INDEX($FO$325:$IH$396,GK$169,1+SwaptionShift):INDEX($FO$325:$IH$396,GK$169,SwaptionMonthsToGo+SwaptionShift),INDEX($FO$245:$IH$316,$FN203-GK$169,73-GK$169+SwaptionShift):INDEX($FO$245:$IH$316,$FN203-GK$169,72-GK$169+SwaptionMonthsToGo+SwaptionShift))/SQRT(SUM(INDEX($FO358:$IH358,1+SwaptionShift):INDEX($FO358:$IH358,SwaptionMonthsToGo+SwaptionShift))*SUM(INDEX($FO$325:$IH$396,GK$169,1+SwaptionShift):INDEX($FO$325:$IH$396,GK$169,SwaptionMonthsToGo+SwaptionShift))))))</f>
        <v/>
      </c>
      <c r="GL203" s="469" t="str">
        <f ca="1">IF(OR(GL$169&lt;SwaptionFirstMonthPosition+1,$FN203&lt;SwaptionFirstMonthPosition+1,GL$169&gt;SwaptionFirstMonthPosition+SwaptionNumOfMonths+1,$FN203&gt;SwaptionFirstMonthPosition+SwaptionNumOfMonths+1),"",IF($FN203=GL$169,1,IF($FN203&lt;GL$169,INDEX($FO$170:$IH$241,GL$169,$FN203),SUMPRODUCT(INDEX($FO$325:$IH$396,GL$169,1+SwaptionShift):INDEX($FO$325:$IH$396,GL$169,SwaptionMonthsToGo+SwaptionShift),INDEX($FO$245:$IH$316,$FN203-GL$169,73-GL$169+SwaptionShift):INDEX($FO$245:$IH$316,$FN203-GL$169,72-GL$169+SwaptionMonthsToGo+SwaptionShift))/SQRT(SUM(INDEX($FO358:$IH358,1+SwaptionShift):INDEX($FO358:$IH358,SwaptionMonthsToGo+SwaptionShift))*SUM(INDEX($FO$325:$IH$396,GL$169,1+SwaptionShift):INDEX($FO$325:$IH$396,GL$169,SwaptionMonthsToGo+SwaptionShift))))))</f>
        <v/>
      </c>
      <c r="GM203" s="469" t="str">
        <f ca="1">IF(OR(GM$169&lt;SwaptionFirstMonthPosition+1,$FN203&lt;SwaptionFirstMonthPosition+1,GM$169&gt;SwaptionFirstMonthPosition+SwaptionNumOfMonths+1,$FN203&gt;SwaptionFirstMonthPosition+SwaptionNumOfMonths+1),"",IF($FN203=GM$169,1,IF($FN203&lt;GM$169,INDEX($FO$170:$IH$241,GM$169,$FN203),SUMPRODUCT(INDEX($FO$325:$IH$396,GM$169,1+SwaptionShift):INDEX($FO$325:$IH$396,GM$169,SwaptionMonthsToGo+SwaptionShift),INDEX($FO$245:$IH$316,$FN203-GM$169,73-GM$169+SwaptionShift):INDEX($FO$245:$IH$316,$FN203-GM$169,72-GM$169+SwaptionMonthsToGo+SwaptionShift))/SQRT(SUM(INDEX($FO358:$IH358,1+SwaptionShift):INDEX($FO358:$IH358,SwaptionMonthsToGo+SwaptionShift))*SUM(INDEX($FO$325:$IH$396,GM$169,1+SwaptionShift):INDEX($FO$325:$IH$396,GM$169,SwaptionMonthsToGo+SwaptionShift))))))</f>
        <v/>
      </c>
      <c r="GN203" s="469" t="str">
        <f ca="1">IF(OR(GN$169&lt;SwaptionFirstMonthPosition+1,$FN203&lt;SwaptionFirstMonthPosition+1,GN$169&gt;SwaptionFirstMonthPosition+SwaptionNumOfMonths+1,$FN203&gt;SwaptionFirstMonthPosition+SwaptionNumOfMonths+1),"",IF($FN203=GN$169,1,IF($FN203&lt;GN$169,INDEX($FO$170:$IH$241,GN$169,$FN203),SUMPRODUCT(INDEX($FO$325:$IH$396,GN$169,1+SwaptionShift):INDEX($FO$325:$IH$396,GN$169,SwaptionMonthsToGo+SwaptionShift),INDEX($FO$245:$IH$316,$FN203-GN$169,73-GN$169+SwaptionShift):INDEX($FO$245:$IH$316,$FN203-GN$169,72-GN$169+SwaptionMonthsToGo+SwaptionShift))/SQRT(SUM(INDEX($FO358:$IH358,1+SwaptionShift):INDEX($FO358:$IH358,SwaptionMonthsToGo+SwaptionShift))*SUM(INDEX($FO$325:$IH$396,GN$169,1+SwaptionShift):INDEX($FO$325:$IH$396,GN$169,SwaptionMonthsToGo+SwaptionShift))))))</f>
        <v/>
      </c>
      <c r="GO203" s="469" t="str">
        <f ca="1">IF(OR(GO$169&lt;SwaptionFirstMonthPosition+1,$FN203&lt;SwaptionFirstMonthPosition+1,GO$169&gt;SwaptionFirstMonthPosition+SwaptionNumOfMonths+1,$FN203&gt;SwaptionFirstMonthPosition+SwaptionNumOfMonths+1),"",IF($FN203=GO$169,1,IF($FN203&lt;GO$169,INDEX($FO$170:$IH$241,GO$169,$FN203),SUMPRODUCT(INDEX($FO$325:$IH$396,GO$169,1+SwaptionShift):INDEX($FO$325:$IH$396,GO$169,SwaptionMonthsToGo+SwaptionShift),INDEX($FO$245:$IH$316,$FN203-GO$169,73-GO$169+SwaptionShift):INDEX($FO$245:$IH$316,$FN203-GO$169,72-GO$169+SwaptionMonthsToGo+SwaptionShift))/SQRT(SUM(INDEX($FO358:$IH358,1+SwaptionShift):INDEX($FO358:$IH358,SwaptionMonthsToGo+SwaptionShift))*SUM(INDEX($FO$325:$IH$396,GO$169,1+SwaptionShift):INDEX($FO$325:$IH$396,GO$169,SwaptionMonthsToGo+SwaptionShift))))))</f>
        <v/>
      </c>
      <c r="GP203" s="469" t="str">
        <f ca="1">IF(OR(GP$169&lt;SwaptionFirstMonthPosition+1,$FN203&lt;SwaptionFirstMonthPosition+1,GP$169&gt;SwaptionFirstMonthPosition+SwaptionNumOfMonths+1,$FN203&gt;SwaptionFirstMonthPosition+SwaptionNumOfMonths+1),"",IF($FN203=GP$169,1,IF($FN203&lt;GP$169,INDEX($FO$170:$IH$241,GP$169,$FN203),SUMPRODUCT(INDEX($FO$325:$IH$396,GP$169,1+SwaptionShift):INDEX($FO$325:$IH$396,GP$169,SwaptionMonthsToGo+SwaptionShift),INDEX($FO$245:$IH$316,$FN203-GP$169,73-GP$169+SwaptionShift):INDEX($FO$245:$IH$316,$FN203-GP$169,72-GP$169+SwaptionMonthsToGo+SwaptionShift))/SQRT(SUM(INDEX($FO358:$IH358,1+SwaptionShift):INDEX($FO358:$IH358,SwaptionMonthsToGo+SwaptionShift))*SUM(INDEX($FO$325:$IH$396,GP$169,1+SwaptionShift):INDEX($FO$325:$IH$396,GP$169,SwaptionMonthsToGo+SwaptionShift))))))</f>
        <v/>
      </c>
      <c r="GQ203" s="469" t="str">
        <f ca="1">IF(OR(GQ$169&lt;SwaptionFirstMonthPosition+1,$FN203&lt;SwaptionFirstMonthPosition+1,GQ$169&gt;SwaptionFirstMonthPosition+SwaptionNumOfMonths+1,$FN203&gt;SwaptionFirstMonthPosition+SwaptionNumOfMonths+1),"",IF($FN203=GQ$169,1,IF($FN203&lt;GQ$169,INDEX($FO$170:$IH$241,GQ$169,$FN203),SUMPRODUCT(INDEX($FO$325:$IH$396,GQ$169,1+SwaptionShift):INDEX($FO$325:$IH$396,GQ$169,SwaptionMonthsToGo+SwaptionShift),INDEX($FO$245:$IH$316,$FN203-GQ$169,73-GQ$169+SwaptionShift):INDEX($FO$245:$IH$316,$FN203-GQ$169,72-GQ$169+SwaptionMonthsToGo+SwaptionShift))/SQRT(SUM(INDEX($FO358:$IH358,1+SwaptionShift):INDEX($FO358:$IH358,SwaptionMonthsToGo+SwaptionShift))*SUM(INDEX($FO$325:$IH$396,GQ$169,1+SwaptionShift):INDEX($FO$325:$IH$396,GQ$169,SwaptionMonthsToGo+SwaptionShift))))))</f>
        <v/>
      </c>
      <c r="GR203" s="469" t="str">
        <f ca="1">IF(OR(GR$169&lt;SwaptionFirstMonthPosition+1,$FN203&lt;SwaptionFirstMonthPosition+1,GR$169&gt;SwaptionFirstMonthPosition+SwaptionNumOfMonths+1,$FN203&gt;SwaptionFirstMonthPosition+SwaptionNumOfMonths+1),"",IF($FN203=GR$169,1,IF($FN203&lt;GR$169,INDEX($FO$170:$IH$241,GR$169,$FN203),SUMPRODUCT(INDEX($FO$325:$IH$396,GR$169,1+SwaptionShift):INDEX($FO$325:$IH$396,GR$169,SwaptionMonthsToGo+SwaptionShift),INDEX($FO$245:$IH$316,$FN203-GR$169,73-GR$169+SwaptionShift):INDEX($FO$245:$IH$316,$FN203-GR$169,72-GR$169+SwaptionMonthsToGo+SwaptionShift))/SQRT(SUM(INDEX($FO358:$IH358,1+SwaptionShift):INDEX($FO358:$IH358,SwaptionMonthsToGo+SwaptionShift))*SUM(INDEX($FO$325:$IH$396,GR$169,1+SwaptionShift):INDEX($FO$325:$IH$396,GR$169,SwaptionMonthsToGo+SwaptionShift))))))</f>
        <v/>
      </c>
      <c r="GS203" s="469" t="str">
        <f ca="1">IF(OR(GS$169&lt;SwaptionFirstMonthPosition+1,$FN203&lt;SwaptionFirstMonthPosition+1,GS$169&gt;SwaptionFirstMonthPosition+SwaptionNumOfMonths+1,$FN203&gt;SwaptionFirstMonthPosition+SwaptionNumOfMonths+1),"",IF($FN203=GS$169,1,IF($FN203&lt;GS$169,INDEX($FO$170:$IH$241,GS$169,$FN203),SUMPRODUCT(INDEX($FO$325:$IH$396,GS$169,1+SwaptionShift):INDEX($FO$325:$IH$396,GS$169,SwaptionMonthsToGo+SwaptionShift),INDEX($FO$245:$IH$316,$FN203-GS$169,73-GS$169+SwaptionShift):INDEX($FO$245:$IH$316,$FN203-GS$169,72-GS$169+SwaptionMonthsToGo+SwaptionShift))/SQRT(SUM(INDEX($FO358:$IH358,1+SwaptionShift):INDEX($FO358:$IH358,SwaptionMonthsToGo+SwaptionShift))*SUM(INDEX($FO$325:$IH$396,GS$169,1+SwaptionShift):INDEX($FO$325:$IH$396,GS$169,SwaptionMonthsToGo+SwaptionShift))))))</f>
        <v/>
      </c>
      <c r="GT203" s="469" t="str">
        <f ca="1">IF(OR(GT$169&lt;SwaptionFirstMonthPosition+1,$FN203&lt;SwaptionFirstMonthPosition+1,GT$169&gt;SwaptionFirstMonthPosition+SwaptionNumOfMonths+1,$FN203&gt;SwaptionFirstMonthPosition+SwaptionNumOfMonths+1),"",IF($FN203=GT$169,1,IF($FN203&lt;GT$169,INDEX($FO$170:$IH$241,GT$169,$FN203),SUMPRODUCT(INDEX($FO$325:$IH$396,GT$169,1+SwaptionShift):INDEX($FO$325:$IH$396,GT$169,SwaptionMonthsToGo+SwaptionShift),INDEX($FO$245:$IH$316,$FN203-GT$169,73-GT$169+SwaptionShift):INDEX($FO$245:$IH$316,$FN203-GT$169,72-GT$169+SwaptionMonthsToGo+SwaptionShift))/SQRT(SUM(INDEX($FO358:$IH358,1+SwaptionShift):INDEX($FO358:$IH358,SwaptionMonthsToGo+SwaptionShift))*SUM(INDEX($FO$325:$IH$396,GT$169,1+SwaptionShift):INDEX($FO$325:$IH$396,GT$169,SwaptionMonthsToGo+SwaptionShift))))))</f>
        <v/>
      </c>
      <c r="GU203" s="469" t="str">
        <f ca="1">IF(OR(GU$169&lt;SwaptionFirstMonthPosition+1,$FN203&lt;SwaptionFirstMonthPosition+1,GU$169&gt;SwaptionFirstMonthPosition+SwaptionNumOfMonths+1,$FN203&gt;SwaptionFirstMonthPosition+SwaptionNumOfMonths+1),"",IF($FN203=GU$169,1,IF($FN203&lt;GU$169,INDEX($FO$170:$IH$241,GU$169,$FN203),SUMPRODUCT(INDEX($FO$325:$IH$396,GU$169,1+SwaptionShift):INDEX($FO$325:$IH$396,GU$169,SwaptionMonthsToGo+SwaptionShift),INDEX($FO$245:$IH$316,$FN203-GU$169,73-GU$169+SwaptionShift):INDEX($FO$245:$IH$316,$FN203-GU$169,72-GU$169+SwaptionMonthsToGo+SwaptionShift))/SQRT(SUM(INDEX($FO358:$IH358,1+SwaptionShift):INDEX($FO358:$IH358,SwaptionMonthsToGo+SwaptionShift))*SUM(INDEX($FO$325:$IH$396,GU$169,1+SwaptionShift):INDEX($FO$325:$IH$396,GU$169,SwaptionMonthsToGo+SwaptionShift))))))</f>
        <v/>
      </c>
      <c r="GV203" s="469" t="str">
        <f ca="1">IF(OR(GV$169&lt;SwaptionFirstMonthPosition+1,$FN203&lt;SwaptionFirstMonthPosition+1,GV$169&gt;SwaptionFirstMonthPosition+SwaptionNumOfMonths+1,$FN203&gt;SwaptionFirstMonthPosition+SwaptionNumOfMonths+1),"",IF($FN203=GV$169,1,IF($FN203&lt;GV$169,INDEX($FO$170:$IH$241,GV$169,$FN203),SUMPRODUCT(INDEX($FO$325:$IH$396,GV$169,1+SwaptionShift):INDEX($FO$325:$IH$396,GV$169,SwaptionMonthsToGo+SwaptionShift),INDEX($FO$245:$IH$316,$FN203-GV$169,73-GV$169+SwaptionShift):INDEX($FO$245:$IH$316,$FN203-GV$169,72-GV$169+SwaptionMonthsToGo+SwaptionShift))/SQRT(SUM(INDEX($FO358:$IH358,1+SwaptionShift):INDEX($FO358:$IH358,SwaptionMonthsToGo+SwaptionShift))*SUM(INDEX($FO$325:$IH$396,GV$169,1+SwaptionShift):INDEX($FO$325:$IH$396,GV$169,SwaptionMonthsToGo+SwaptionShift))))))</f>
        <v/>
      </c>
      <c r="GW203" s="469" t="str">
        <f ca="1">IF(OR(GW$169&lt;SwaptionFirstMonthPosition+1,$FN203&lt;SwaptionFirstMonthPosition+1,GW$169&gt;SwaptionFirstMonthPosition+SwaptionNumOfMonths+1,$FN203&gt;SwaptionFirstMonthPosition+SwaptionNumOfMonths+1),"",IF($FN203=GW$169,1,IF($FN203&lt;GW$169,INDEX($FO$170:$IH$241,GW$169,$FN203),SUMPRODUCT(INDEX($FO$325:$IH$396,GW$169,1+SwaptionShift):INDEX($FO$325:$IH$396,GW$169,SwaptionMonthsToGo+SwaptionShift),INDEX($FO$245:$IH$316,$FN203-GW$169,73-GW$169+SwaptionShift):INDEX($FO$245:$IH$316,$FN203-GW$169,72-GW$169+SwaptionMonthsToGo+SwaptionShift))/SQRT(SUM(INDEX($FO358:$IH358,1+SwaptionShift):INDEX($FO358:$IH358,SwaptionMonthsToGo+SwaptionShift))*SUM(INDEX($FO$325:$IH$396,GW$169,1+SwaptionShift):INDEX($FO$325:$IH$396,GW$169,SwaptionMonthsToGo+SwaptionShift))))))</f>
        <v/>
      </c>
      <c r="GX203" s="469" t="str">
        <f ca="1">IF(OR(GX$169&lt;SwaptionFirstMonthPosition+1,$FN203&lt;SwaptionFirstMonthPosition+1,GX$169&gt;SwaptionFirstMonthPosition+SwaptionNumOfMonths+1,$FN203&gt;SwaptionFirstMonthPosition+SwaptionNumOfMonths+1),"",IF($FN203=GX$169,1,IF($FN203&lt;GX$169,INDEX($FO$170:$IH$241,GX$169,$FN203),SUMPRODUCT(INDEX($FO$325:$IH$396,GX$169,1+SwaptionShift):INDEX($FO$325:$IH$396,GX$169,SwaptionMonthsToGo+SwaptionShift),INDEX($FO$245:$IH$316,$FN203-GX$169,73-GX$169+SwaptionShift):INDEX($FO$245:$IH$316,$FN203-GX$169,72-GX$169+SwaptionMonthsToGo+SwaptionShift))/SQRT(SUM(INDEX($FO358:$IH358,1+SwaptionShift):INDEX($FO358:$IH358,SwaptionMonthsToGo+SwaptionShift))*SUM(INDEX($FO$325:$IH$396,GX$169,1+SwaptionShift):INDEX($FO$325:$IH$396,GX$169,SwaptionMonthsToGo+SwaptionShift))))))</f>
        <v/>
      </c>
      <c r="GY203" s="469" t="str">
        <f ca="1">IF(OR(GY$169&lt;SwaptionFirstMonthPosition+1,$FN203&lt;SwaptionFirstMonthPosition+1,GY$169&gt;SwaptionFirstMonthPosition+SwaptionNumOfMonths+1,$FN203&gt;SwaptionFirstMonthPosition+SwaptionNumOfMonths+1),"",IF($FN203=GY$169,1,IF($FN203&lt;GY$169,INDEX($FO$170:$IH$241,GY$169,$FN203),SUMPRODUCT(INDEX($FO$325:$IH$396,GY$169,1+SwaptionShift):INDEX($FO$325:$IH$396,GY$169,SwaptionMonthsToGo+SwaptionShift),INDEX($FO$245:$IH$316,$FN203-GY$169,73-GY$169+SwaptionShift):INDEX($FO$245:$IH$316,$FN203-GY$169,72-GY$169+SwaptionMonthsToGo+SwaptionShift))/SQRT(SUM(INDEX($FO358:$IH358,1+SwaptionShift):INDEX($FO358:$IH358,SwaptionMonthsToGo+SwaptionShift))*SUM(INDEX($FO$325:$IH$396,GY$169,1+SwaptionShift):INDEX($FO$325:$IH$396,GY$169,SwaptionMonthsToGo+SwaptionShift))))))</f>
        <v/>
      </c>
      <c r="GZ203" s="469" t="str">
        <f ca="1">IF(OR(GZ$169&lt;SwaptionFirstMonthPosition+1,$FN203&lt;SwaptionFirstMonthPosition+1,GZ$169&gt;SwaptionFirstMonthPosition+SwaptionNumOfMonths+1,$FN203&gt;SwaptionFirstMonthPosition+SwaptionNumOfMonths+1),"",IF($FN203=GZ$169,1,IF($FN203&lt;GZ$169,INDEX($FO$170:$IH$241,GZ$169,$FN203),SUMPRODUCT(INDEX($FO$325:$IH$396,GZ$169,1+SwaptionShift):INDEX($FO$325:$IH$396,GZ$169,SwaptionMonthsToGo+SwaptionShift),INDEX($FO$245:$IH$316,$FN203-GZ$169,73-GZ$169+SwaptionShift):INDEX($FO$245:$IH$316,$FN203-GZ$169,72-GZ$169+SwaptionMonthsToGo+SwaptionShift))/SQRT(SUM(INDEX($FO358:$IH358,1+SwaptionShift):INDEX($FO358:$IH358,SwaptionMonthsToGo+SwaptionShift))*SUM(INDEX($FO$325:$IH$396,GZ$169,1+SwaptionShift):INDEX($FO$325:$IH$396,GZ$169,SwaptionMonthsToGo+SwaptionShift))))))</f>
        <v/>
      </c>
      <c r="HA203" s="469" t="str">
        <f ca="1">IF(OR(HA$169&lt;SwaptionFirstMonthPosition+1,$FN203&lt;SwaptionFirstMonthPosition+1,HA$169&gt;SwaptionFirstMonthPosition+SwaptionNumOfMonths+1,$FN203&gt;SwaptionFirstMonthPosition+SwaptionNumOfMonths+1),"",IF($FN203=HA$169,1,IF($FN203&lt;HA$169,INDEX($FO$170:$IH$241,HA$169,$FN203),SUMPRODUCT(INDEX($FO$325:$IH$396,HA$169,1+SwaptionShift):INDEX($FO$325:$IH$396,HA$169,SwaptionMonthsToGo+SwaptionShift),INDEX($FO$245:$IH$316,$FN203-HA$169,73-HA$169+SwaptionShift):INDEX($FO$245:$IH$316,$FN203-HA$169,72-HA$169+SwaptionMonthsToGo+SwaptionShift))/SQRT(SUM(INDEX($FO358:$IH358,1+SwaptionShift):INDEX($FO358:$IH358,SwaptionMonthsToGo+SwaptionShift))*SUM(INDEX($FO$325:$IH$396,HA$169,1+SwaptionShift):INDEX($FO$325:$IH$396,HA$169,SwaptionMonthsToGo+SwaptionShift))))))</f>
        <v/>
      </c>
      <c r="HB203" s="469" t="str">
        <f ca="1">IF(OR(HB$169&lt;SwaptionFirstMonthPosition+1,$FN203&lt;SwaptionFirstMonthPosition+1,HB$169&gt;SwaptionFirstMonthPosition+SwaptionNumOfMonths+1,$FN203&gt;SwaptionFirstMonthPosition+SwaptionNumOfMonths+1),"",IF($FN203=HB$169,1,IF($FN203&lt;HB$169,INDEX($FO$170:$IH$241,HB$169,$FN203),SUMPRODUCT(INDEX($FO$325:$IH$396,HB$169,1+SwaptionShift):INDEX($FO$325:$IH$396,HB$169,SwaptionMonthsToGo+SwaptionShift),INDEX($FO$245:$IH$316,$FN203-HB$169,73-HB$169+SwaptionShift):INDEX($FO$245:$IH$316,$FN203-HB$169,72-HB$169+SwaptionMonthsToGo+SwaptionShift))/SQRT(SUM(INDEX($FO358:$IH358,1+SwaptionShift):INDEX($FO358:$IH358,SwaptionMonthsToGo+SwaptionShift))*SUM(INDEX($FO$325:$IH$396,HB$169,1+SwaptionShift):INDEX($FO$325:$IH$396,HB$169,SwaptionMonthsToGo+SwaptionShift))))))</f>
        <v/>
      </c>
      <c r="HC203" s="469" t="str">
        <f ca="1">IF(OR(HC$169&lt;SwaptionFirstMonthPosition+1,$FN203&lt;SwaptionFirstMonthPosition+1,HC$169&gt;SwaptionFirstMonthPosition+SwaptionNumOfMonths+1,$FN203&gt;SwaptionFirstMonthPosition+SwaptionNumOfMonths+1),"",IF($FN203=HC$169,1,IF($FN203&lt;HC$169,INDEX($FO$170:$IH$241,HC$169,$FN203),SUMPRODUCT(INDEX($FO$325:$IH$396,HC$169,1+SwaptionShift):INDEX($FO$325:$IH$396,HC$169,SwaptionMonthsToGo+SwaptionShift),INDEX($FO$245:$IH$316,$FN203-HC$169,73-HC$169+SwaptionShift):INDEX($FO$245:$IH$316,$FN203-HC$169,72-HC$169+SwaptionMonthsToGo+SwaptionShift))/SQRT(SUM(INDEX($FO358:$IH358,1+SwaptionShift):INDEX($FO358:$IH358,SwaptionMonthsToGo+SwaptionShift))*SUM(INDEX($FO$325:$IH$396,HC$169,1+SwaptionShift):INDEX($FO$325:$IH$396,HC$169,SwaptionMonthsToGo+SwaptionShift))))))</f>
        <v/>
      </c>
      <c r="HD203" s="469" t="str">
        <f ca="1">IF(OR(HD$169&lt;SwaptionFirstMonthPosition+1,$FN203&lt;SwaptionFirstMonthPosition+1,HD$169&gt;SwaptionFirstMonthPosition+SwaptionNumOfMonths+1,$FN203&gt;SwaptionFirstMonthPosition+SwaptionNumOfMonths+1),"",IF($FN203=HD$169,1,IF($FN203&lt;HD$169,INDEX($FO$170:$IH$241,HD$169,$FN203),SUMPRODUCT(INDEX($FO$325:$IH$396,HD$169,1+SwaptionShift):INDEX($FO$325:$IH$396,HD$169,SwaptionMonthsToGo+SwaptionShift),INDEX($FO$245:$IH$316,$FN203-HD$169,73-HD$169+SwaptionShift):INDEX($FO$245:$IH$316,$FN203-HD$169,72-HD$169+SwaptionMonthsToGo+SwaptionShift))/SQRT(SUM(INDEX($FO358:$IH358,1+SwaptionShift):INDEX($FO358:$IH358,SwaptionMonthsToGo+SwaptionShift))*SUM(INDEX($FO$325:$IH$396,HD$169,1+SwaptionShift):INDEX($FO$325:$IH$396,HD$169,SwaptionMonthsToGo+SwaptionShift))))))</f>
        <v/>
      </c>
      <c r="HE203" s="469" t="str">
        <f ca="1">IF(OR(HE$169&lt;SwaptionFirstMonthPosition+1,$FN203&lt;SwaptionFirstMonthPosition+1,HE$169&gt;SwaptionFirstMonthPosition+SwaptionNumOfMonths+1,$FN203&gt;SwaptionFirstMonthPosition+SwaptionNumOfMonths+1),"",IF($FN203=HE$169,1,IF($FN203&lt;HE$169,INDEX($FO$170:$IH$241,HE$169,$FN203),SUMPRODUCT(INDEX($FO$325:$IH$396,HE$169,1+SwaptionShift):INDEX($FO$325:$IH$396,HE$169,SwaptionMonthsToGo+SwaptionShift),INDEX($FO$245:$IH$316,$FN203-HE$169,73-HE$169+SwaptionShift):INDEX($FO$245:$IH$316,$FN203-HE$169,72-HE$169+SwaptionMonthsToGo+SwaptionShift))/SQRT(SUM(INDEX($FO358:$IH358,1+SwaptionShift):INDEX($FO358:$IH358,SwaptionMonthsToGo+SwaptionShift))*SUM(INDEX($FO$325:$IH$396,HE$169,1+SwaptionShift):INDEX($FO$325:$IH$396,HE$169,SwaptionMonthsToGo+SwaptionShift))))))</f>
        <v/>
      </c>
      <c r="HF203" s="469" t="str">
        <f ca="1">IF(OR(HF$169&lt;SwaptionFirstMonthPosition+1,$FN203&lt;SwaptionFirstMonthPosition+1,HF$169&gt;SwaptionFirstMonthPosition+SwaptionNumOfMonths+1,$FN203&gt;SwaptionFirstMonthPosition+SwaptionNumOfMonths+1),"",IF($FN203=HF$169,1,IF($FN203&lt;HF$169,INDEX($FO$170:$IH$241,HF$169,$FN203),SUMPRODUCT(INDEX($FO$325:$IH$396,HF$169,1+SwaptionShift):INDEX($FO$325:$IH$396,HF$169,SwaptionMonthsToGo+SwaptionShift),INDEX($FO$245:$IH$316,$FN203-HF$169,73-HF$169+SwaptionShift):INDEX($FO$245:$IH$316,$FN203-HF$169,72-HF$169+SwaptionMonthsToGo+SwaptionShift))/SQRT(SUM(INDEX($FO358:$IH358,1+SwaptionShift):INDEX($FO358:$IH358,SwaptionMonthsToGo+SwaptionShift))*SUM(INDEX($FO$325:$IH$396,HF$169,1+SwaptionShift):INDEX($FO$325:$IH$396,HF$169,SwaptionMonthsToGo+SwaptionShift))))))</f>
        <v/>
      </c>
      <c r="HG203" s="469" t="str">
        <f ca="1">IF(OR(HG$169&lt;SwaptionFirstMonthPosition+1,$FN203&lt;SwaptionFirstMonthPosition+1,HG$169&gt;SwaptionFirstMonthPosition+SwaptionNumOfMonths+1,$FN203&gt;SwaptionFirstMonthPosition+SwaptionNumOfMonths+1),"",IF($FN203=HG$169,1,IF($FN203&lt;HG$169,INDEX($FO$170:$IH$241,HG$169,$FN203),SUMPRODUCT(INDEX($FO$325:$IH$396,HG$169,1+SwaptionShift):INDEX($FO$325:$IH$396,HG$169,SwaptionMonthsToGo+SwaptionShift),INDEX($FO$245:$IH$316,$FN203-HG$169,73-HG$169+SwaptionShift):INDEX($FO$245:$IH$316,$FN203-HG$169,72-HG$169+SwaptionMonthsToGo+SwaptionShift))/SQRT(SUM(INDEX($FO358:$IH358,1+SwaptionShift):INDEX($FO358:$IH358,SwaptionMonthsToGo+SwaptionShift))*SUM(INDEX($FO$325:$IH$396,HG$169,1+SwaptionShift):INDEX($FO$325:$IH$396,HG$169,SwaptionMonthsToGo+SwaptionShift))))))</f>
        <v/>
      </c>
      <c r="HH203" s="469" t="str">
        <f ca="1">IF(OR(HH$169&lt;SwaptionFirstMonthPosition+1,$FN203&lt;SwaptionFirstMonthPosition+1,HH$169&gt;SwaptionFirstMonthPosition+SwaptionNumOfMonths+1,$FN203&gt;SwaptionFirstMonthPosition+SwaptionNumOfMonths+1),"",IF($FN203=HH$169,1,IF($FN203&lt;HH$169,INDEX($FO$170:$IH$241,HH$169,$FN203),SUMPRODUCT(INDEX($FO$325:$IH$396,HH$169,1+SwaptionShift):INDEX($FO$325:$IH$396,HH$169,SwaptionMonthsToGo+SwaptionShift),INDEX($FO$245:$IH$316,$FN203-HH$169,73-HH$169+SwaptionShift):INDEX($FO$245:$IH$316,$FN203-HH$169,72-HH$169+SwaptionMonthsToGo+SwaptionShift))/SQRT(SUM(INDEX($FO358:$IH358,1+SwaptionShift):INDEX($FO358:$IH358,SwaptionMonthsToGo+SwaptionShift))*SUM(INDEX($FO$325:$IH$396,HH$169,1+SwaptionShift):INDEX($FO$325:$IH$396,HH$169,SwaptionMonthsToGo+SwaptionShift))))))</f>
        <v/>
      </c>
      <c r="HI203" s="469" t="str">
        <f ca="1">IF(OR(HI$169&lt;SwaptionFirstMonthPosition+1,$FN203&lt;SwaptionFirstMonthPosition+1,HI$169&gt;SwaptionFirstMonthPosition+SwaptionNumOfMonths+1,$FN203&gt;SwaptionFirstMonthPosition+SwaptionNumOfMonths+1),"",IF($FN203=HI$169,1,IF($FN203&lt;HI$169,INDEX($FO$170:$IH$241,HI$169,$FN203),SUMPRODUCT(INDEX($FO$325:$IH$396,HI$169,1+SwaptionShift):INDEX($FO$325:$IH$396,HI$169,SwaptionMonthsToGo+SwaptionShift),INDEX($FO$245:$IH$316,$FN203-HI$169,73-HI$169+SwaptionShift):INDEX($FO$245:$IH$316,$FN203-HI$169,72-HI$169+SwaptionMonthsToGo+SwaptionShift))/SQRT(SUM(INDEX($FO358:$IH358,1+SwaptionShift):INDEX($FO358:$IH358,SwaptionMonthsToGo+SwaptionShift))*SUM(INDEX($FO$325:$IH$396,HI$169,1+SwaptionShift):INDEX($FO$325:$IH$396,HI$169,SwaptionMonthsToGo+SwaptionShift))))))</f>
        <v/>
      </c>
      <c r="HJ203" s="469" t="str">
        <f ca="1">IF(OR(HJ$169&lt;SwaptionFirstMonthPosition+1,$FN203&lt;SwaptionFirstMonthPosition+1,HJ$169&gt;SwaptionFirstMonthPosition+SwaptionNumOfMonths+1,$FN203&gt;SwaptionFirstMonthPosition+SwaptionNumOfMonths+1),"",IF($FN203=HJ$169,1,IF($FN203&lt;HJ$169,INDEX($FO$170:$IH$241,HJ$169,$FN203),SUMPRODUCT(INDEX($FO$325:$IH$396,HJ$169,1+SwaptionShift):INDEX($FO$325:$IH$396,HJ$169,SwaptionMonthsToGo+SwaptionShift),INDEX($FO$245:$IH$316,$FN203-HJ$169,73-HJ$169+SwaptionShift):INDEX($FO$245:$IH$316,$FN203-HJ$169,72-HJ$169+SwaptionMonthsToGo+SwaptionShift))/SQRT(SUM(INDEX($FO358:$IH358,1+SwaptionShift):INDEX($FO358:$IH358,SwaptionMonthsToGo+SwaptionShift))*SUM(INDEX($FO$325:$IH$396,HJ$169,1+SwaptionShift):INDEX($FO$325:$IH$396,HJ$169,SwaptionMonthsToGo+SwaptionShift))))))</f>
        <v/>
      </c>
      <c r="HK203" s="469" t="str">
        <f ca="1">IF(OR(HK$169&lt;SwaptionFirstMonthPosition+1,$FN203&lt;SwaptionFirstMonthPosition+1,HK$169&gt;SwaptionFirstMonthPosition+SwaptionNumOfMonths+1,$FN203&gt;SwaptionFirstMonthPosition+SwaptionNumOfMonths+1),"",IF($FN203=HK$169,1,IF($FN203&lt;HK$169,INDEX($FO$170:$IH$241,HK$169,$FN203),SUMPRODUCT(INDEX($FO$325:$IH$396,HK$169,1+SwaptionShift):INDEX($FO$325:$IH$396,HK$169,SwaptionMonthsToGo+SwaptionShift),INDEX($FO$245:$IH$316,$FN203-HK$169,73-HK$169+SwaptionShift):INDEX($FO$245:$IH$316,$FN203-HK$169,72-HK$169+SwaptionMonthsToGo+SwaptionShift))/SQRT(SUM(INDEX($FO358:$IH358,1+SwaptionShift):INDEX($FO358:$IH358,SwaptionMonthsToGo+SwaptionShift))*SUM(INDEX($FO$325:$IH$396,HK$169,1+SwaptionShift):INDEX($FO$325:$IH$396,HK$169,SwaptionMonthsToGo+SwaptionShift))))))</f>
        <v/>
      </c>
      <c r="HL203" s="469" t="str">
        <f ca="1">IF(OR(HL$169&lt;SwaptionFirstMonthPosition+1,$FN203&lt;SwaptionFirstMonthPosition+1,HL$169&gt;SwaptionFirstMonthPosition+SwaptionNumOfMonths+1,$FN203&gt;SwaptionFirstMonthPosition+SwaptionNumOfMonths+1),"",IF($FN203=HL$169,1,IF($FN203&lt;HL$169,INDEX($FO$170:$IH$241,HL$169,$FN203),SUMPRODUCT(INDEX($FO$325:$IH$396,HL$169,1+SwaptionShift):INDEX($FO$325:$IH$396,HL$169,SwaptionMonthsToGo+SwaptionShift),INDEX($FO$245:$IH$316,$FN203-HL$169,73-HL$169+SwaptionShift):INDEX($FO$245:$IH$316,$FN203-HL$169,72-HL$169+SwaptionMonthsToGo+SwaptionShift))/SQRT(SUM(INDEX($FO358:$IH358,1+SwaptionShift):INDEX($FO358:$IH358,SwaptionMonthsToGo+SwaptionShift))*SUM(INDEX($FO$325:$IH$396,HL$169,1+SwaptionShift):INDEX($FO$325:$IH$396,HL$169,SwaptionMonthsToGo+SwaptionShift))))))</f>
        <v/>
      </c>
      <c r="HM203" s="469" t="str">
        <f ca="1">IF(OR(HM$169&lt;SwaptionFirstMonthPosition+1,$FN203&lt;SwaptionFirstMonthPosition+1,HM$169&gt;SwaptionFirstMonthPosition+SwaptionNumOfMonths+1,$FN203&gt;SwaptionFirstMonthPosition+SwaptionNumOfMonths+1),"",IF($FN203=HM$169,1,IF($FN203&lt;HM$169,INDEX($FO$170:$IH$241,HM$169,$FN203),SUMPRODUCT(INDEX($FO$325:$IH$396,HM$169,1+SwaptionShift):INDEX($FO$325:$IH$396,HM$169,SwaptionMonthsToGo+SwaptionShift),INDEX($FO$245:$IH$316,$FN203-HM$169,73-HM$169+SwaptionShift):INDEX($FO$245:$IH$316,$FN203-HM$169,72-HM$169+SwaptionMonthsToGo+SwaptionShift))/SQRT(SUM(INDEX($FO358:$IH358,1+SwaptionShift):INDEX($FO358:$IH358,SwaptionMonthsToGo+SwaptionShift))*SUM(INDEX($FO$325:$IH$396,HM$169,1+SwaptionShift):INDEX($FO$325:$IH$396,HM$169,SwaptionMonthsToGo+SwaptionShift))))))</f>
        <v/>
      </c>
      <c r="HN203" s="469" t="str">
        <f ca="1">IF(OR(HN$169&lt;SwaptionFirstMonthPosition+1,$FN203&lt;SwaptionFirstMonthPosition+1,HN$169&gt;SwaptionFirstMonthPosition+SwaptionNumOfMonths+1,$FN203&gt;SwaptionFirstMonthPosition+SwaptionNumOfMonths+1),"",IF($FN203=HN$169,1,IF($FN203&lt;HN$169,INDEX($FO$170:$IH$241,HN$169,$FN203),SUMPRODUCT(INDEX($FO$325:$IH$396,HN$169,1+SwaptionShift):INDEX($FO$325:$IH$396,HN$169,SwaptionMonthsToGo+SwaptionShift),INDEX($FO$245:$IH$316,$FN203-HN$169,73-HN$169+SwaptionShift):INDEX($FO$245:$IH$316,$FN203-HN$169,72-HN$169+SwaptionMonthsToGo+SwaptionShift))/SQRT(SUM(INDEX($FO358:$IH358,1+SwaptionShift):INDEX($FO358:$IH358,SwaptionMonthsToGo+SwaptionShift))*SUM(INDEX($FO$325:$IH$396,HN$169,1+SwaptionShift):INDEX($FO$325:$IH$396,HN$169,SwaptionMonthsToGo+SwaptionShift))))))</f>
        <v/>
      </c>
      <c r="HO203" s="469" t="str">
        <f ca="1">IF(OR(HO$169&lt;SwaptionFirstMonthPosition+1,$FN203&lt;SwaptionFirstMonthPosition+1,HO$169&gt;SwaptionFirstMonthPosition+SwaptionNumOfMonths+1,$FN203&gt;SwaptionFirstMonthPosition+SwaptionNumOfMonths+1),"",IF($FN203=HO$169,1,IF($FN203&lt;HO$169,INDEX($FO$170:$IH$241,HO$169,$FN203),SUMPRODUCT(INDEX($FO$325:$IH$396,HO$169,1+SwaptionShift):INDEX($FO$325:$IH$396,HO$169,SwaptionMonthsToGo+SwaptionShift),INDEX($FO$245:$IH$316,$FN203-HO$169,73-HO$169+SwaptionShift):INDEX($FO$245:$IH$316,$FN203-HO$169,72-HO$169+SwaptionMonthsToGo+SwaptionShift))/SQRT(SUM(INDEX($FO358:$IH358,1+SwaptionShift):INDEX($FO358:$IH358,SwaptionMonthsToGo+SwaptionShift))*SUM(INDEX($FO$325:$IH$396,HO$169,1+SwaptionShift):INDEX($FO$325:$IH$396,HO$169,SwaptionMonthsToGo+SwaptionShift))))))</f>
        <v/>
      </c>
      <c r="HP203" s="469" t="str">
        <f ca="1">IF(OR(HP$169&lt;SwaptionFirstMonthPosition+1,$FN203&lt;SwaptionFirstMonthPosition+1,HP$169&gt;SwaptionFirstMonthPosition+SwaptionNumOfMonths+1,$FN203&gt;SwaptionFirstMonthPosition+SwaptionNumOfMonths+1),"",IF($FN203=HP$169,1,IF($FN203&lt;HP$169,INDEX($FO$170:$IH$241,HP$169,$FN203),SUMPRODUCT(INDEX($FO$325:$IH$396,HP$169,1+SwaptionShift):INDEX($FO$325:$IH$396,HP$169,SwaptionMonthsToGo+SwaptionShift),INDEX($FO$245:$IH$316,$FN203-HP$169,73-HP$169+SwaptionShift):INDEX($FO$245:$IH$316,$FN203-HP$169,72-HP$169+SwaptionMonthsToGo+SwaptionShift))/SQRT(SUM(INDEX($FO358:$IH358,1+SwaptionShift):INDEX($FO358:$IH358,SwaptionMonthsToGo+SwaptionShift))*SUM(INDEX($FO$325:$IH$396,HP$169,1+SwaptionShift):INDEX($FO$325:$IH$396,HP$169,SwaptionMonthsToGo+SwaptionShift))))))</f>
        <v/>
      </c>
      <c r="HQ203" s="469" t="str">
        <f ca="1">IF(OR(HQ$169&lt;SwaptionFirstMonthPosition+1,$FN203&lt;SwaptionFirstMonthPosition+1,HQ$169&gt;SwaptionFirstMonthPosition+SwaptionNumOfMonths+1,$FN203&gt;SwaptionFirstMonthPosition+SwaptionNumOfMonths+1),"",IF($FN203=HQ$169,1,IF($FN203&lt;HQ$169,INDEX($FO$170:$IH$241,HQ$169,$FN203),SUMPRODUCT(INDEX($FO$325:$IH$396,HQ$169,1+SwaptionShift):INDEX($FO$325:$IH$396,HQ$169,SwaptionMonthsToGo+SwaptionShift),INDEX($FO$245:$IH$316,$FN203-HQ$169,73-HQ$169+SwaptionShift):INDEX($FO$245:$IH$316,$FN203-HQ$169,72-HQ$169+SwaptionMonthsToGo+SwaptionShift))/SQRT(SUM(INDEX($FO358:$IH358,1+SwaptionShift):INDEX($FO358:$IH358,SwaptionMonthsToGo+SwaptionShift))*SUM(INDEX($FO$325:$IH$396,HQ$169,1+SwaptionShift):INDEX($FO$325:$IH$396,HQ$169,SwaptionMonthsToGo+SwaptionShift))))))</f>
        <v/>
      </c>
      <c r="HR203" s="469" t="str">
        <f ca="1">IF(OR(HR$169&lt;SwaptionFirstMonthPosition+1,$FN203&lt;SwaptionFirstMonthPosition+1,HR$169&gt;SwaptionFirstMonthPosition+SwaptionNumOfMonths+1,$FN203&gt;SwaptionFirstMonthPosition+SwaptionNumOfMonths+1),"",IF($FN203=HR$169,1,IF($FN203&lt;HR$169,INDEX($FO$170:$IH$241,HR$169,$FN203),SUMPRODUCT(INDEX($FO$325:$IH$396,HR$169,1+SwaptionShift):INDEX($FO$325:$IH$396,HR$169,SwaptionMonthsToGo+SwaptionShift),INDEX($FO$245:$IH$316,$FN203-HR$169,73-HR$169+SwaptionShift):INDEX($FO$245:$IH$316,$FN203-HR$169,72-HR$169+SwaptionMonthsToGo+SwaptionShift))/SQRT(SUM(INDEX($FO358:$IH358,1+SwaptionShift):INDEX($FO358:$IH358,SwaptionMonthsToGo+SwaptionShift))*SUM(INDEX($FO$325:$IH$396,HR$169,1+SwaptionShift):INDEX($FO$325:$IH$396,HR$169,SwaptionMonthsToGo+SwaptionShift))))))</f>
        <v/>
      </c>
      <c r="HS203" s="469" t="str">
        <f ca="1">IF(OR(HS$169&lt;SwaptionFirstMonthPosition+1,$FN203&lt;SwaptionFirstMonthPosition+1,HS$169&gt;SwaptionFirstMonthPosition+SwaptionNumOfMonths+1,$FN203&gt;SwaptionFirstMonthPosition+SwaptionNumOfMonths+1),"",IF($FN203=HS$169,1,IF($FN203&lt;HS$169,INDEX($FO$170:$IH$241,HS$169,$FN203),SUMPRODUCT(INDEX($FO$325:$IH$396,HS$169,1+SwaptionShift):INDEX($FO$325:$IH$396,HS$169,SwaptionMonthsToGo+SwaptionShift),INDEX($FO$245:$IH$316,$FN203-HS$169,73-HS$169+SwaptionShift):INDEX($FO$245:$IH$316,$FN203-HS$169,72-HS$169+SwaptionMonthsToGo+SwaptionShift))/SQRT(SUM(INDEX($FO358:$IH358,1+SwaptionShift):INDEX($FO358:$IH358,SwaptionMonthsToGo+SwaptionShift))*SUM(INDEX($FO$325:$IH$396,HS$169,1+SwaptionShift):INDEX($FO$325:$IH$396,HS$169,SwaptionMonthsToGo+SwaptionShift))))))</f>
        <v/>
      </c>
      <c r="HT203" s="469" t="str">
        <f ca="1">IF(OR(HT$169&lt;SwaptionFirstMonthPosition+1,$FN203&lt;SwaptionFirstMonthPosition+1,HT$169&gt;SwaptionFirstMonthPosition+SwaptionNumOfMonths+1,$FN203&gt;SwaptionFirstMonthPosition+SwaptionNumOfMonths+1),"",IF($FN203=HT$169,1,IF($FN203&lt;HT$169,INDEX($FO$170:$IH$241,HT$169,$FN203),SUMPRODUCT(INDEX($FO$325:$IH$396,HT$169,1+SwaptionShift):INDEX($FO$325:$IH$396,HT$169,SwaptionMonthsToGo+SwaptionShift),INDEX($FO$245:$IH$316,$FN203-HT$169,73-HT$169+SwaptionShift):INDEX($FO$245:$IH$316,$FN203-HT$169,72-HT$169+SwaptionMonthsToGo+SwaptionShift))/SQRT(SUM(INDEX($FO358:$IH358,1+SwaptionShift):INDEX($FO358:$IH358,SwaptionMonthsToGo+SwaptionShift))*SUM(INDEX($FO$325:$IH$396,HT$169,1+SwaptionShift):INDEX($FO$325:$IH$396,HT$169,SwaptionMonthsToGo+SwaptionShift))))))</f>
        <v/>
      </c>
      <c r="HU203" s="469" t="str">
        <f ca="1">IF(OR(HU$169&lt;SwaptionFirstMonthPosition+1,$FN203&lt;SwaptionFirstMonthPosition+1,HU$169&gt;SwaptionFirstMonthPosition+SwaptionNumOfMonths+1,$FN203&gt;SwaptionFirstMonthPosition+SwaptionNumOfMonths+1),"",IF($FN203=HU$169,1,IF($FN203&lt;HU$169,INDEX($FO$170:$IH$241,HU$169,$FN203),SUMPRODUCT(INDEX($FO$325:$IH$396,HU$169,1+SwaptionShift):INDEX($FO$325:$IH$396,HU$169,SwaptionMonthsToGo+SwaptionShift),INDEX($FO$245:$IH$316,$FN203-HU$169,73-HU$169+SwaptionShift):INDEX($FO$245:$IH$316,$FN203-HU$169,72-HU$169+SwaptionMonthsToGo+SwaptionShift))/SQRT(SUM(INDEX($FO358:$IH358,1+SwaptionShift):INDEX($FO358:$IH358,SwaptionMonthsToGo+SwaptionShift))*SUM(INDEX($FO$325:$IH$396,HU$169,1+SwaptionShift):INDEX($FO$325:$IH$396,HU$169,SwaptionMonthsToGo+SwaptionShift))))))</f>
        <v/>
      </c>
      <c r="HV203" s="469" t="str">
        <f ca="1">IF(OR(HV$169&lt;SwaptionFirstMonthPosition+1,$FN203&lt;SwaptionFirstMonthPosition+1,HV$169&gt;SwaptionFirstMonthPosition+SwaptionNumOfMonths+1,$FN203&gt;SwaptionFirstMonthPosition+SwaptionNumOfMonths+1),"",IF($FN203=HV$169,1,IF($FN203&lt;HV$169,INDEX($FO$170:$IH$241,HV$169,$FN203),SUMPRODUCT(INDEX($FO$325:$IH$396,HV$169,1+SwaptionShift):INDEX($FO$325:$IH$396,HV$169,SwaptionMonthsToGo+SwaptionShift),INDEX($FO$245:$IH$316,$FN203-HV$169,73-HV$169+SwaptionShift):INDEX($FO$245:$IH$316,$FN203-HV$169,72-HV$169+SwaptionMonthsToGo+SwaptionShift))/SQRT(SUM(INDEX($FO358:$IH358,1+SwaptionShift):INDEX($FO358:$IH358,SwaptionMonthsToGo+SwaptionShift))*SUM(INDEX($FO$325:$IH$396,HV$169,1+SwaptionShift):INDEX($FO$325:$IH$396,HV$169,SwaptionMonthsToGo+SwaptionShift))))))</f>
        <v/>
      </c>
      <c r="HW203" s="469" t="str">
        <f ca="1">IF(OR(HW$169&lt;SwaptionFirstMonthPosition+1,$FN203&lt;SwaptionFirstMonthPosition+1,HW$169&gt;SwaptionFirstMonthPosition+SwaptionNumOfMonths+1,$FN203&gt;SwaptionFirstMonthPosition+SwaptionNumOfMonths+1),"",IF($FN203=HW$169,1,IF($FN203&lt;HW$169,INDEX($FO$170:$IH$241,HW$169,$FN203),SUMPRODUCT(INDEX($FO$325:$IH$396,HW$169,1+SwaptionShift):INDEX($FO$325:$IH$396,HW$169,SwaptionMonthsToGo+SwaptionShift),INDEX($FO$245:$IH$316,$FN203-HW$169,73-HW$169+SwaptionShift):INDEX($FO$245:$IH$316,$FN203-HW$169,72-HW$169+SwaptionMonthsToGo+SwaptionShift))/SQRT(SUM(INDEX($FO358:$IH358,1+SwaptionShift):INDEX($FO358:$IH358,SwaptionMonthsToGo+SwaptionShift))*SUM(INDEX($FO$325:$IH$396,HW$169,1+SwaptionShift):INDEX($FO$325:$IH$396,HW$169,SwaptionMonthsToGo+SwaptionShift))))))</f>
        <v/>
      </c>
      <c r="HX203" s="469" t="str">
        <f ca="1">IF(OR(HX$169&lt;SwaptionFirstMonthPosition+1,$FN203&lt;SwaptionFirstMonthPosition+1,HX$169&gt;SwaptionFirstMonthPosition+SwaptionNumOfMonths+1,$FN203&gt;SwaptionFirstMonthPosition+SwaptionNumOfMonths+1),"",IF($FN203=HX$169,1,IF($FN203&lt;HX$169,INDEX($FO$170:$IH$241,HX$169,$FN203),SUMPRODUCT(INDEX($FO$325:$IH$396,HX$169,1+SwaptionShift):INDEX($FO$325:$IH$396,HX$169,SwaptionMonthsToGo+SwaptionShift),INDEX($FO$245:$IH$316,$FN203-HX$169,73-HX$169+SwaptionShift):INDEX($FO$245:$IH$316,$FN203-HX$169,72-HX$169+SwaptionMonthsToGo+SwaptionShift))/SQRT(SUM(INDEX($FO358:$IH358,1+SwaptionShift):INDEX($FO358:$IH358,SwaptionMonthsToGo+SwaptionShift))*SUM(INDEX($FO$325:$IH$396,HX$169,1+SwaptionShift):INDEX($FO$325:$IH$396,HX$169,SwaptionMonthsToGo+SwaptionShift))))))</f>
        <v/>
      </c>
      <c r="HY203" s="469" t="str">
        <f ca="1">IF(OR(HY$169&lt;SwaptionFirstMonthPosition+1,$FN203&lt;SwaptionFirstMonthPosition+1,HY$169&gt;SwaptionFirstMonthPosition+SwaptionNumOfMonths+1,$FN203&gt;SwaptionFirstMonthPosition+SwaptionNumOfMonths+1),"",IF($FN203=HY$169,1,IF($FN203&lt;HY$169,INDEX($FO$170:$IH$241,HY$169,$FN203),SUMPRODUCT(INDEX($FO$325:$IH$396,HY$169,1+SwaptionShift):INDEX($FO$325:$IH$396,HY$169,SwaptionMonthsToGo+SwaptionShift),INDEX($FO$245:$IH$316,$FN203-HY$169,73-HY$169+SwaptionShift):INDEX($FO$245:$IH$316,$FN203-HY$169,72-HY$169+SwaptionMonthsToGo+SwaptionShift))/SQRT(SUM(INDEX($FO358:$IH358,1+SwaptionShift):INDEX($FO358:$IH358,SwaptionMonthsToGo+SwaptionShift))*SUM(INDEX($FO$325:$IH$396,HY$169,1+SwaptionShift):INDEX($FO$325:$IH$396,HY$169,SwaptionMonthsToGo+SwaptionShift))))))</f>
        <v/>
      </c>
      <c r="HZ203" s="469" t="str">
        <f ca="1">IF(OR(HZ$169&lt;SwaptionFirstMonthPosition+1,$FN203&lt;SwaptionFirstMonthPosition+1,HZ$169&gt;SwaptionFirstMonthPosition+SwaptionNumOfMonths+1,$FN203&gt;SwaptionFirstMonthPosition+SwaptionNumOfMonths+1),"",IF($FN203=HZ$169,1,IF($FN203&lt;HZ$169,INDEX($FO$170:$IH$241,HZ$169,$FN203),SUMPRODUCT(INDEX($FO$325:$IH$396,HZ$169,1+SwaptionShift):INDEX($FO$325:$IH$396,HZ$169,SwaptionMonthsToGo+SwaptionShift),INDEX($FO$245:$IH$316,$FN203-HZ$169,73-HZ$169+SwaptionShift):INDEX($FO$245:$IH$316,$FN203-HZ$169,72-HZ$169+SwaptionMonthsToGo+SwaptionShift))/SQRT(SUM(INDEX($FO358:$IH358,1+SwaptionShift):INDEX($FO358:$IH358,SwaptionMonthsToGo+SwaptionShift))*SUM(INDEX($FO$325:$IH$396,HZ$169,1+SwaptionShift):INDEX($FO$325:$IH$396,HZ$169,SwaptionMonthsToGo+SwaptionShift))))))</f>
        <v/>
      </c>
      <c r="IA203" s="469" t="str">
        <f ca="1">IF(OR(IA$169&lt;SwaptionFirstMonthPosition+1,$FN203&lt;SwaptionFirstMonthPosition+1,IA$169&gt;SwaptionFirstMonthPosition+SwaptionNumOfMonths+1,$FN203&gt;SwaptionFirstMonthPosition+SwaptionNumOfMonths+1),"",IF($FN203=IA$169,1,IF($FN203&lt;IA$169,INDEX($FO$170:$IH$241,IA$169,$FN203),SUMPRODUCT(INDEX($FO$325:$IH$396,IA$169,1+SwaptionShift):INDEX($FO$325:$IH$396,IA$169,SwaptionMonthsToGo+SwaptionShift),INDEX($FO$245:$IH$316,$FN203-IA$169,73-IA$169+SwaptionShift):INDEX($FO$245:$IH$316,$FN203-IA$169,72-IA$169+SwaptionMonthsToGo+SwaptionShift))/SQRT(SUM(INDEX($FO358:$IH358,1+SwaptionShift):INDEX($FO358:$IH358,SwaptionMonthsToGo+SwaptionShift))*SUM(INDEX($FO$325:$IH$396,IA$169,1+SwaptionShift):INDEX($FO$325:$IH$396,IA$169,SwaptionMonthsToGo+SwaptionShift))))))</f>
        <v/>
      </c>
      <c r="IB203" s="469" t="str">
        <f ca="1">IF(OR(IB$169&lt;SwaptionFirstMonthPosition+1,$FN203&lt;SwaptionFirstMonthPosition+1,IB$169&gt;SwaptionFirstMonthPosition+SwaptionNumOfMonths+1,$FN203&gt;SwaptionFirstMonthPosition+SwaptionNumOfMonths+1),"",IF($FN203=IB$169,1,IF($FN203&lt;IB$169,INDEX($FO$170:$IH$241,IB$169,$FN203),SUMPRODUCT(INDEX($FO$325:$IH$396,IB$169,1+SwaptionShift):INDEX($FO$325:$IH$396,IB$169,SwaptionMonthsToGo+SwaptionShift),INDEX($FO$245:$IH$316,$FN203-IB$169,73-IB$169+SwaptionShift):INDEX($FO$245:$IH$316,$FN203-IB$169,72-IB$169+SwaptionMonthsToGo+SwaptionShift))/SQRT(SUM(INDEX($FO358:$IH358,1+SwaptionShift):INDEX($FO358:$IH358,SwaptionMonthsToGo+SwaptionShift))*SUM(INDEX($FO$325:$IH$396,IB$169,1+SwaptionShift):INDEX($FO$325:$IH$396,IB$169,SwaptionMonthsToGo+SwaptionShift))))))</f>
        <v/>
      </c>
      <c r="IC203" s="469" t="str">
        <f ca="1">IF(OR(IC$169&lt;SwaptionFirstMonthPosition+1,$FN203&lt;SwaptionFirstMonthPosition+1,IC$169&gt;SwaptionFirstMonthPosition+SwaptionNumOfMonths+1,$FN203&gt;SwaptionFirstMonthPosition+SwaptionNumOfMonths+1),"",IF($FN203=IC$169,1,IF($FN203&lt;IC$169,INDEX($FO$170:$IH$241,IC$169,$FN203),SUMPRODUCT(INDEX($FO$325:$IH$396,IC$169,1+SwaptionShift):INDEX($FO$325:$IH$396,IC$169,SwaptionMonthsToGo+SwaptionShift),INDEX($FO$245:$IH$316,$FN203-IC$169,73-IC$169+SwaptionShift):INDEX($FO$245:$IH$316,$FN203-IC$169,72-IC$169+SwaptionMonthsToGo+SwaptionShift))/SQRT(SUM(INDEX($FO358:$IH358,1+SwaptionShift):INDEX($FO358:$IH358,SwaptionMonthsToGo+SwaptionShift))*SUM(INDEX($FO$325:$IH$396,IC$169,1+SwaptionShift):INDEX($FO$325:$IH$396,IC$169,SwaptionMonthsToGo+SwaptionShift))))))</f>
        <v/>
      </c>
      <c r="ID203" s="469" t="str">
        <f ca="1">IF(OR(ID$169&lt;SwaptionFirstMonthPosition+1,$FN203&lt;SwaptionFirstMonthPosition+1,ID$169&gt;SwaptionFirstMonthPosition+SwaptionNumOfMonths+1,$FN203&gt;SwaptionFirstMonthPosition+SwaptionNumOfMonths+1),"",IF($FN203=ID$169,1,IF($FN203&lt;ID$169,INDEX($FO$170:$IH$241,ID$169,$FN203),SUMPRODUCT(INDEX($FO$325:$IH$396,ID$169,1+SwaptionShift):INDEX($FO$325:$IH$396,ID$169,SwaptionMonthsToGo+SwaptionShift),INDEX($FO$245:$IH$316,$FN203-ID$169,73-ID$169+SwaptionShift):INDEX($FO$245:$IH$316,$FN203-ID$169,72-ID$169+SwaptionMonthsToGo+SwaptionShift))/SQRT(SUM(INDEX($FO358:$IH358,1+SwaptionShift):INDEX($FO358:$IH358,SwaptionMonthsToGo+SwaptionShift))*SUM(INDEX($FO$325:$IH$396,ID$169,1+SwaptionShift):INDEX($FO$325:$IH$396,ID$169,SwaptionMonthsToGo+SwaptionShift))))))</f>
        <v/>
      </c>
      <c r="IE203" s="469" t="str">
        <f ca="1">IF(OR(IE$169&lt;SwaptionFirstMonthPosition+1,$FN203&lt;SwaptionFirstMonthPosition+1,IE$169&gt;SwaptionFirstMonthPosition+SwaptionNumOfMonths+1,$FN203&gt;SwaptionFirstMonthPosition+SwaptionNumOfMonths+1),"",IF($FN203=IE$169,1,IF($FN203&lt;IE$169,INDEX($FO$170:$IH$241,IE$169,$FN203),SUMPRODUCT(INDEX($FO$325:$IH$396,IE$169,1+SwaptionShift):INDEX($FO$325:$IH$396,IE$169,SwaptionMonthsToGo+SwaptionShift),INDEX($FO$245:$IH$316,$FN203-IE$169,73-IE$169+SwaptionShift):INDEX($FO$245:$IH$316,$FN203-IE$169,72-IE$169+SwaptionMonthsToGo+SwaptionShift))/SQRT(SUM(INDEX($FO358:$IH358,1+SwaptionShift):INDEX($FO358:$IH358,SwaptionMonthsToGo+SwaptionShift))*SUM(INDEX($FO$325:$IH$396,IE$169,1+SwaptionShift):INDEX($FO$325:$IH$396,IE$169,SwaptionMonthsToGo+SwaptionShift))))))</f>
        <v/>
      </c>
      <c r="IF203" s="469" t="str">
        <f ca="1">IF(OR(IF$169&lt;SwaptionFirstMonthPosition+1,$FN203&lt;SwaptionFirstMonthPosition+1,IF$169&gt;SwaptionFirstMonthPosition+SwaptionNumOfMonths+1,$FN203&gt;SwaptionFirstMonthPosition+SwaptionNumOfMonths+1),"",IF($FN203=IF$169,1,IF($FN203&lt;IF$169,INDEX($FO$170:$IH$241,IF$169,$FN203),SUMPRODUCT(INDEX($FO$325:$IH$396,IF$169,1+SwaptionShift):INDEX($FO$325:$IH$396,IF$169,SwaptionMonthsToGo+SwaptionShift),INDEX($FO$245:$IH$316,$FN203-IF$169,73-IF$169+SwaptionShift):INDEX($FO$245:$IH$316,$FN203-IF$169,72-IF$169+SwaptionMonthsToGo+SwaptionShift))/SQRT(SUM(INDEX($FO358:$IH358,1+SwaptionShift):INDEX($FO358:$IH358,SwaptionMonthsToGo+SwaptionShift))*SUM(INDEX($FO$325:$IH$396,IF$169,1+SwaptionShift):INDEX($FO$325:$IH$396,IF$169,SwaptionMonthsToGo+SwaptionShift))))))</f>
        <v/>
      </c>
      <c r="IG203" s="469" t="str">
        <f ca="1">IF(OR(IG$169&lt;SwaptionFirstMonthPosition+1,$FN203&lt;SwaptionFirstMonthPosition+1,IG$169&gt;SwaptionFirstMonthPosition+SwaptionNumOfMonths+1,$FN203&gt;SwaptionFirstMonthPosition+SwaptionNumOfMonths+1),"",IF($FN203=IG$169,1,IF($FN203&lt;IG$169,INDEX($FO$170:$IH$241,IG$169,$FN203),SUMPRODUCT(INDEX($FO$325:$IH$396,IG$169,1+SwaptionShift):INDEX($FO$325:$IH$396,IG$169,SwaptionMonthsToGo+SwaptionShift),INDEX($FO$245:$IH$316,$FN203-IG$169,73-IG$169+SwaptionShift):INDEX($FO$245:$IH$316,$FN203-IG$169,72-IG$169+SwaptionMonthsToGo+SwaptionShift))/SQRT(SUM(INDEX($FO358:$IH358,1+SwaptionShift):INDEX($FO358:$IH358,SwaptionMonthsToGo+SwaptionShift))*SUM(INDEX($FO$325:$IH$396,IG$169,1+SwaptionShift):INDEX($FO$325:$IH$396,IG$169,SwaptionMonthsToGo+SwaptionShift))))))</f>
        <v/>
      </c>
      <c r="IH203" s="662" t="str">
        <f ca="1">IF(OR(IH$169&lt;SwaptionFirstMonthPosition+1,$FN203&lt;SwaptionFirstMonthPosition+1,IH$169&gt;SwaptionFirstMonthPosition+SwaptionNumOfMonths+1,$FN203&gt;SwaptionFirstMonthPosition+SwaptionNumOfMonths+1),"",IF($FN203=IH$169,1,IF($FN203&lt;IH$169,INDEX($FO$170:$IH$241,IH$169,$FN203),SUMPRODUCT(INDEX($FO$325:$IH$396,IH$169,1+SwaptionShift):INDEX($FO$325:$IH$396,IH$169,SwaptionMonthsToGo+SwaptionShift),INDEX($FO$245:$IH$316,$FN203-IH$169,73-IH$169+SwaptionShift):INDEX($FO$245:$IH$316,$FN203-IH$169,72-IH$169+SwaptionMonthsToGo+SwaptionShift))/SQRT(SUM(INDEX($FO358:$IH358,1+SwaptionShift):INDEX($FO358:$IH358,SwaptionMonthsToGo+SwaptionShift))*SUM(INDEX($FO$325:$IH$396,IH$169,1+SwaptionShift):INDEX($FO$325:$IH$396,IH$169,SwaptionMonthsToGo+SwaptionShift))))))</f>
        <v/>
      </c>
      <c r="II203" s="242"/>
    </row>
    <row r="204" spans="8:243">
      <c r="H204" s="49" t="e">
        <f t="shared" ca="1" si="529"/>
        <v>#N/A</v>
      </c>
      <c r="I204" s="369">
        <f t="shared" si="530"/>
        <v>42614</v>
      </c>
      <c r="J204" s="367">
        <v>23.9849999999999</v>
      </c>
      <c r="K204" s="101" t="s">
        <v>267</v>
      </c>
      <c r="L204" s="382">
        <f t="shared" si="531"/>
        <v>23.984999999999868</v>
      </c>
      <c r="M204" s="163">
        <v>0.13750000000000001</v>
      </c>
      <c r="N204" s="372">
        <v>0</v>
      </c>
      <c r="O204" s="163">
        <f t="shared" si="595"/>
        <v>0.13750000000000001</v>
      </c>
      <c r="P204" s="367">
        <v>22.764879099585499</v>
      </c>
      <c r="Q204" s="101" t="s">
        <v>267</v>
      </c>
      <c r="R204" s="367">
        <f t="shared" ca="1" si="596"/>
        <v>22.764879099585496</v>
      </c>
      <c r="S204" s="814">
        <f t="shared" si="594"/>
        <v>0.34794713545998962</v>
      </c>
      <c r="T204" s="813">
        <f t="shared" si="550"/>
        <v>0.99999999970279385</v>
      </c>
      <c r="U204" s="532">
        <f t="shared" si="551"/>
        <v>0.99999999999999978</v>
      </c>
      <c r="V204" s="379">
        <v>0</v>
      </c>
      <c r="W204" s="424">
        <f t="shared" si="597"/>
        <v>24.01909090909081</v>
      </c>
      <c r="X204" s="405">
        <f t="shared" si="598"/>
        <v>24.019090909090774</v>
      </c>
      <c r="Y204" s="313">
        <f t="shared" si="599"/>
        <v>22.70069090909081</v>
      </c>
      <c r="Z204" s="313">
        <f t="shared" ca="1" si="600"/>
        <v>22.700690909090774</v>
      </c>
      <c r="AA204" s="419">
        <f t="shared" si="493"/>
        <v>1.3184</v>
      </c>
      <c r="AB204" s="423">
        <f t="shared" ca="1" si="494"/>
        <v>1.3184</v>
      </c>
      <c r="AC204" s="221">
        <v>42602</v>
      </c>
      <c r="AD204" s="221">
        <v>42598</v>
      </c>
      <c r="AE204" s="221">
        <v>42597</v>
      </c>
      <c r="AF204" s="221">
        <v>42593</v>
      </c>
      <c r="AG204" s="241" t="s">
        <v>497</v>
      </c>
      <c r="AH204" s="239" t="s">
        <v>497</v>
      </c>
      <c r="AI204" s="141">
        <v>22</v>
      </c>
      <c r="AJ204" s="41">
        <v>14</v>
      </c>
      <c r="AK204" s="41">
        <v>8</v>
      </c>
      <c r="AL204" s="285">
        <v>22</v>
      </c>
      <c r="AM204" s="41">
        <v>10</v>
      </c>
      <c r="AN204" s="142">
        <v>12</v>
      </c>
      <c r="AO204" s="364">
        <v>6.2171282407226705E-2</v>
      </c>
      <c r="AP204" s="145">
        <f t="shared" ca="1" si="532"/>
        <v>0.38767944563595086</v>
      </c>
      <c r="AQ204" s="364">
        <v>5.6788505081807598E-2</v>
      </c>
      <c r="AR204" s="145">
        <f t="shared" ca="1" si="552"/>
        <v>0.42325780892025822</v>
      </c>
      <c r="AS204" s="264">
        <f t="shared" si="601"/>
        <v>0.13695454545454544</v>
      </c>
      <c r="AT204" s="149">
        <f t="shared" si="533"/>
        <v>0.13750000000000001</v>
      </c>
      <c r="AU204" s="149">
        <f t="shared" si="496"/>
        <v>0.13688181818181819</v>
      </c>
      <c r="AV204" s="263">
        <f t="shared" ca="1" si="560"/>
        <v>0.13541928892092445</v>
      </c>
      <c r="AW204" s="150" t="str">
        <f t="shared" ca="1" si="581"/>
        <v/>
      </c>
      <c r="AX204" s="149">
        <f t="shared" ca="1" si="553"/>
        <v>4.8393595974139418E-3</v>
      </c>
      <c r="AY204" s="149">
        <f t="shared" ca="1" si="554"/>
        <v>1.601679732813385E-3</v>
      </c>
      <c r="AZ204" s="149">
        <f t="shared" ca="1" si="555"/>
        <v>1.7315743593008517E-3</v>
      </c>
      <c r="BA204" s="149">
        <f t="shared" ca="1" si="556"/>
        <v>1.0000000000000937E-4</v>
      </c>
      <c r="BB204" s="149">
        <f t="shared" ca="1" si="557"/>
        <v>1.0000000000000937E-4</v>
      </c>
      <c r="BC204" s="149">
        <f t="shared" ca="1" si="558"/>
        <v>1.0000000000000937E-4</v>
      </c>
      <c r="BD204" s="143">
        <f t="shared" ca="1" si="602"/>
        <v>0</v>
      </c>
      <c r="BE204" s="144">
        <f t="shared" ca="1" si="603"/>
        <v>0</v>
      </c>
      <c r="BF204" s="40">
        <f t="shared" si="604"/>
        <v>2016</v>
      </c>
      <c r="BG204" s="139">
        <f t="shared" si="605"/>
        <v>9</v>
      </c>
      <c r="BH204" s="140">
        <f t="shared" ca="1" si="606"/>
        <v>5608</v>
      </c>
      <c r="BI204" s="304">
        <f t="shared" ca="1" si="607"/>
        <v>15.397672826830938</v>
      </c>
      <c r="BJ204" s="42">
        <f t="shared" ca="1" si="503"/>
        <v>15.44819861862983</v>
      </c>
      <c r="BK204" s="42">
        <f t="shared" ca="1" si="504"/>
        <v>15.450936469416963</v>
      </c>
      <c r="BL204" s="42">
        <f t="shared" ca="1" si="608"/>
        <v>15.477070499657769</v>
      </c>
      <c r="BM204" s="285">
        <f t="shared" si="609"/>
        <v>22</v>
      </c>
      <c r="BN204" s="41">
        <f t="shared" si="610"/>
        <v>14</v>
      </c>
      <c r="BO204" s="41">
        <f t="shared" si="611"/>
        <v>8</v>
      </c>
      <c r="BP204" s="297" t="str">
        <f t="shared" ca="1" si="505"/>
        <v/>
      </c>
      <c r="BQ204" s="297" t="str">
        <f t="shared" ca="1" si="506"/>
        <v/>
      </c>
      <c r="BR204" s="299" t="str">
        <f t="shared" ca="1" si="507"/>
        <v/>
      </c>
      <c r="BS204" s="153" t="str">
        <f t="shared" ca="1" si="508"/>
        <v/>
      </c>
      <c r="BT204" s="153" t="str">
        <f t="shared" ca="1" si="509"/>
        <v/>
      </c>
      <c r="BU204" s="300" t="str">
        <f t="shared" ca="1" si="510"/>
        <v/>
      </c>
      <c r="BV204" s="301" t="str">
        <f t="shared" ca="1" si="511"/>
        <v/>
      </c>
      <c r="BW204" s="300" t="str">
        <f t="shared" ca="1" si="512"/>
        <v/>
      </c>
      <c r="BX204" s="301" t="str">
        <f t="shared" ca="1" si="513"/>
        <v/>
      </c>
      <c r="BY204" s="146" t="str">
        <f t="shared" ca="1" si="514"/>
        <v/>
      </c>
      <c r="BZ204" s="146" t="str">
        <f t="shared" ca="1" si="515"/>
        <v/>
      </c>
      <c r="CA204" s="146" t="str">
        <f t="shared" ca="1" si="516"/>
        <v/>
      </c>
      <c r="CB204" s="146" t="str">
        <f t="shared" ca="1" si="517"/>
        <v/>
      </c>
      <c r="CC204" s="302">
        <v>1</v>
      </c>
      <c r="CD204" s="154">
        <f ca="1">IF(BD204,_xll.xCrudeAPO(BS204,BT204,BY204,BZ204,S205,S206,BI204,BL204,BN204,BO204,0,Strike1,AO204,CC204,0,BL204,IF(OptControl=4,0,1),0,1),0)</f>
        <v>0</v>
      </c>
      <c r="CE204" s="155">
        <f ca="1">IF(BD204,_xll.xCrudeAPO(BS204,BT204,BY204,BZ204,S205,S206,BI204,BL204,BN204,BO204,0,Strike1,AO204,CC204,0,BL204,IF(OptControl=4,0,1),1,1)+_xll.xCrudeAPO(BS204,BT204,BY204,BZ204,S205,S206,BI204,BL204,BN204,BO204,0,Strike1,AO204,CC204,0,BL204,IF(OptControl=4,0,1),1,2)+IF(OR(VolSkewFlag=2,ABS(BQ204)&lt;0.0001),0,IF(BQ204&gt;0,-1,1)*CF204*Strike1/BP204^2*BW204/10%),0)</f>
        <v>0</v>
      </c>
      <c r="CF204" s="155">
        <f ca="1">IF(BD204,(_xll.xCrudeAPO(BS204,BT204,BY204,BZ204,S205,S206,BI204,BL204,BN204,BO204,0,Strike1,AO204,CC204,0,BL204,IF(OptControl=4,0,1),3,1)+_xll.xCrudeAPO(BS204,BT204,BY204,BZ204,S205,S206,BI204,BL204,BN204,BO204,0,Strike1,AO204,CC204,0,BL204,IF(OptControl=4,0,1),3,2))/100,0)</f>
        <v>0</v>
      </c>
      <c r="CG204" s="155">
        <f ca="1">IF(BD204,_xll.xCrudeAPO(BS204,BT204,BY204,BZ204,S205,S206,BI204-DaysForThetaCalculation/365.25,BL204-DaysForThetaCalculation/365.25,BN204,BO204,0,Strike1,AO204,CC204,0,BL204,IF(OptControl=4,0,1),0,1)-_xll.xCrudeAPO(BS204,BT204,BY204,BZ204,S205,S206,BI204,BL204,BN204,BO204,0,Strike1,AO204,CC204,0,BL204,IF(OptControl=4,0,1),0,1),0)</f>
        <v>0</v>
      </c>
      <c r="CH204" s="303">
        <f ca="1">IF(BD204,_xll.xCrudeAPO(BS204,BT204,CA204,CB204,S205,S206,BI204,BL204,BN204,BO204,0,Strike2,AO204,CC204,0,BL204,IF(OptControl=3,1,0),0,1),0)</f>
        <v>0</v>
      </c>
      <c r="CI204" s="155">
        <f ca="1">IF(BD204,_xll.xCrudeAPO(BS204,BT204,CA204,CB204,S205,S206,BI204,BL204,BN204,BO204,0,Strike2,AO204,CC204,0,BL204,IF(OptControl=3,1,0),1,1)+_xll.xCrudeAPO(BS204,BT204,CA204,CB204,S205,S206,BI204,BL204,BN204,BO204,0,Strike2,AO204,CC204,0,BL204,IF(OptControl=3,1,0),1,2)+IF(OR(VolSkewFlag=2,ABS(BR204)&lt;0.0001),0,IF(BR204&gt;0,-1,1)*CJ204*Strike2/BP204^2*BX204/10%),0)</f>
        <v>0</v>
      </c>
      <c r="CJ204" s="155">
        <f ca="1">IF(BD204,(_xll.xCrudeAPO(BS204,BT204,CA204,CB204,S205,S206,BI204,BL204,BN204,BO204,0,Strike2,AO204,CC204,0,BL204,IF(OptControl=3,1,0),3,1)+_xll.xCrudeAPO(BS204,BT204,CA204,CB204,S205,S206,BI204,BL204,BN204,BO204,0,Strike2,AO204,CC204,0,BL204,IF(OptControl=3,1,0),3,2))/100,0)</f>
        <v>0</v>
      </c>
      <c r="CK204" s="156">
        <f ca="1">IF(BD204,_xll.xCrudeAPO(BS204,BT204,CA204,CB204,S205,S206,BI204-DaysForThetaCalculation/365.25,BL204-DaysForThetaCalculation/365.25,BN204,BO204,0,Strike2,AO204,CC204,0,BL204,IF(OptControl=3,1,0),0,1)-_xll.xCrudeAPO(BS204,BT204,CA204,CB204,S205,S206,BI204,BL204,BN204,BO204,0,Strike2,AO204,CC204,0,BL204,IF(OptControl=3,1,0),0,1),0)</f>
        <v>0</v>
      </c>
      <c r="CL204" s="51"/>
      <c r="CM204" s="779" t="str">
        <f t="shared" ca="1" si="534"/>
        <v/>
      </c>
      <c r="CN204" s="783" t="str">
        <f t="shared" ca="1" si="535"/>
        <v/>
      </c>
      <c r="CO204" s="780" t="str">
        <f t="shared" ca="1" si="536"/>
        <v/>
      </c>
      <c r="CP204" s="780" t="str">
        <f t="shared" ca="1" si="537"/>
        <v/>
      </c>
      <c r="CQ204" s="780" t="str">
        <f t="shared" ca="1" si="538"/>
        <v/>
      </c>
      <c r="CR204" s="780" t="str">
        <f t="shared" ca="1" si="539"/>
        <v/>
      </c>
      <c r="CS204" s="781" t="str">
        <f t="shared" ca="1" si="540"/>
        <v/>
      </c>
      <c r="CT204" s="782" t="str">
        <f t="shared" ca="1" si="541"/>
        <v/>
      </c>
      <c r="CU204" s="782" t="str">
        <f t="shared" ca="1" si="542"/>
        <v/>
      </c>
      <c r="CV204" s="155">
        <f ca="1">IF(BD204,_xll.EURO(CN204,Strike1,AO204,AO204,CT204,CM204,IF(OptControl=4,0,1),0),0)</f>
        <v>0</v>
      </c>
      <c r="CW204" s="155">
        <f ca="1">IF(BD204,_xll.EURO(CN204,Strike1,AO204,AO204,CT204,CM204,IF(OptControl=4,0,1),1)+IF(OR(VolSkewFlag=2,ABS(CO204)&lt;0.0001),0,IF(CO204&gt;0,-1,1)*CX204*100*Strike1/CN204^2*CQ204/10%),0)</f>
        <v>0</v>
      </c>
      <c r="CX204" s="155">
        <f ca="1">IF(BD204,_xll.EURO(CN204,Strike1,AO204,AO204,CT204,CM204,IF(OptControl=4,0,1),3)/100,0)</f>
        <v>0</v>
      </c>
      <c r="CY204" s="155">
        <f ca="1">IF(BD204,_xll.EURO(CN204,Strike1,AO204,AO204,CT204,CM204,IF(OptControl=4,0,1),0)-_xll.EURO(CN204,Strike1,AO204,AO204,CT204,CM204-1,IF(OptControl=4,0,1),0),0)</f>
        <v>0</v>
      </c>
      <c r="CZ204" s="155">
        <f ca="1">IF(BD204,_xll.EURO(CN204,Strike2,AO204,AO204,CU204,CM204,IF(OptControl=3,1,0),0),0)</f>
        <v>0</v>
      </c>
      <c r="DA204" s="155">
        <f ca="1">IF(BD204,_xll.EURO(CN204,Strike2,AO204,AO204,CU204,CM204,IF(OptControl=3,1,0),1)+IF(OR(VolSkewFlag=2,ABS(CP204)&lt;0.0001),0,IF(CP204&gt;0,-1,1)*DB204*100*Strike2/CN204^2*CR204/10%),0)</f>
        <v>0</v>
      </c>
      <c r="DB204" s="155">
        <f ca="1">IF(BD204,_xll.EURO(CN204,Strike2,AO204,AO204,CU204,CM204,IF(OptControl=3,1,0),3)/100,0)</f>
        <v>0</v>
      </c>
      <c r="DC204" s="156">
        <f ca="1">IF(BD204,_xll.EURO(CN204,Strike2,AO204,AO204,CU204,CM204,IF(OptControl=3,1,0),0)-_xll.EURO(CN204,Strike2,AO204,AO204,CU204,CM204-1,IF(OptControl=3,1,0),0),0)</f>
        <v>0</v>
      </c>
      <c r="DE204" s="651">
        <f t="shared" ca="1" si="543"/>
        <v>42522</v>
      </c>
      <c r="DF204" s="465">
        <v>1E-4</v>
      </c>
      <c r="DG204" s="649">
        <v>1E-4</v>
      </c>
      <c r="DH204" s="650">
        <f t="shared" ca="1" si="612"/>
        <v>42522</v>
      </c>
      <c r="DI204" s="465">
        <v>1E-4</v>
      </c>
      <c r="DJ204" s="649">
        <v>1E-4</v>
      </c>
      <c r="DK204" s="651">
        <f t="shared" ca="1" si="613"/>
        <v>42522</v>
      </c>
      <c r="DL204" s="652">
        <f t="shared" si="614"/>
        <v>5.0100000000000006E-2</v>
      </c>
      <c r="DM204" s="651">
        <f t="shared" ca="1" si="615"/>
        <v>42522</v>
      </c>
      <c r="DN204" s="563">
        <f t="shared" si="616"/>
        <v>-0.12990000000000002</v>
      </c>
      <c r="DO204" s="803">
        <v>-0.13</v>
      </c>
      <c r="DP204" s="650">
        <f t="shared" ca="1" si="617"/>
        <v>42522</v>
      </c>
      <c r="DQ204" s="653">
        <v>1E-4</v>
      </c>
      <c r="DR204" s="590">
        <v>1E-4</v>
      </c>
      <c r="DS204" s="650">
        <f t="shared" ca="1" si="618"/>
        <v>42522</v>
      </c>
      <c r="DT204" s="653">
        <v>1E-4</v>
      </c>
      <c r="DU204" s="590">
        <v>1E-4</v>
      </c>
      <c r="DV204" s="651">
        <f t="shared" ca="1" si="619"/>
        <v>42522</v>
      </c>
      <c r="DW204" s="590">
        <v>1E-4</v>
      </c>
      <c r="DX204" s="651">
        <f t="shared" ca="1" si="620"/>
        <v>42522</v>
      </c>
      <c r="DY204" s="590">
        <f t="shared" si="621"/>
        <v>1E-4</v>
      </c>
      <c r="DZ204" s="1"/>
      <c r="EA204" s="857"/>
      <c r="EB204" s="857"/>
      <c r="EC204" s="857"/>
      <c r="ED204" s="868" t="e">
        <f t="shared" ca="1" si="566"/>
        <v>#NAME?</v>
      </c>
      <c r="EE204" s="863" t="e">
        <f t="shared" ca="1" si="524"/>
        <v>#NAME?</v>
      </c>
      <c r="EF204" s="590" t="e">
        <f t="shared" ca="1" si="525"/>
        <v>#NAME?</v>
      </c>
      <c r="EG204" s="862" t="str">
        <f t="shared" ca="1" si="622"/>
        <v/>
      </c>
      <c r="EH204" s="114" t="str">
        <f t="shared" ca="1" si="527"/>
        <v/>
      </c>
      <c r="EI204" s="109" t="str">
        <f t="shared" ca="1" si="528"/>
        <v/>
      </c>
      <c r="EJ204" s="115">
        <f ca="1">IF(BD204,_xll.xASN(BP204,Strike1,AO204,EH204,0,BM204,0,BI204,BL204,IF(OptControl=4,0,1),0),0)</f>
        <v>0</v>
      </c>
      <c r="EK204" s="108">
        <f ca="1">IF(BD204,_xll.xASN(BP204,Strike2,AO204,EI204,0,BM204,0,BI204,BL204,IF(OptControl=3,1,0),0),0)</f>
        <v>0</v>
      </c>
      <c r="EP204" s="53"/>
      <c r="EQ204" s="1"/>
      <c r="ER204" s="103"/>
      <c r="ES204" s="103"/>
      <c r="ET204" s="1"/>
      <c r="EU204" s="667" t="s">
        <v>417</v>
      </c>
      <c r="EW204" s="445"/>
      <c r="EX204" s="36"/>
      <c r="EY204" s="104"/>
      <c r="EZ204" s="465"/>
      <c r="FA204" s="446"/>
      <c r="FB204" s="446"/>
      <c r="FC204" s="242"/>
      <c r="FD204" s="242"/>
      <c r="FE204" s="242"/>
      <c r="FF204" s="242"/>
      <c r="FG204" s="242"/>
      <c r="FH204" s="242"/>
      <c r="FI204" s="242"/>
      <c r="FJ204" s="242"/>
      <c r="FK204" s="242"/>
      <c r="FL204" s="242"/>
      <c r="FM204" s="242"/>
      <c r="FN204" s="657">
        <v>35</v>
      </c>
      <c r="FO204" s="469" t="str">
        <f ca="1">IF(OR(FO$169&lt;SwaptionFirstMonthPosition+1,$FN204&lt;SwaptionFirstMonthPosition+1,FO$169&gt;SwaptionFirstMonthPosition+SwaptionNumOfMonths+1,$FN204&gt;SwaptionFirstMonthPosition+SwaptionNumOfMonths+1),"",IF($FN204=FO$169,1,IF($FN204&lt;FO$169,INDEX($FO$170:$IH$241,FO$169,$FN204),SUMPRODUCT(INDEX($FO$325:$IH$396,FO$169,1+SwaptionShift):INDEX($FO$325:$IH$396,FO$169,SwaptionMonthsToGo+SwaptionShift),INDEX($FO$245:$IH$316,$FN204-FO$169,73-FO$169+SwaptionShift):INDEX($FO$245:$IH$316,$FN204-FO$169,72-FO$169+SwaptionMonthsToGo+SwaptionShift))/SQRT(SUM(INDEX($FO359:$IH359,1+SwaptionShift):INDEX($FO359:$IH359,SwaptionMonthsToGo+SwaptionShift))*SUM(INDEX($FO$325:$IH$396,FO$169,1+SwaptionShift):INDEX($FO$325:$IH$396,FO$169,SwaptionMonthsToGo+SwaptionShift))))))</f>
        <v/>
      </c>
      <c r="FP204" s="469" t="str">
        <f ca="1">IF(OR(FP$169&lt;SwaptionFirstMonthPosition+1,$FN204&lt;SwaptionFirstMonthPosition+1,FP$169&gt;SwaptionFirstMonthPosition+SwaptionNumOfMonths+1,$FN204&gt;SwaptionFirstMonthPosition+SwaptionNumOfMonths+1),"",IF($FN204=FP$169,1,IF($FN204&lt;FP$169,INDEX($FO$170:$IH$241,FP$169,$FN204),SUMPRODUCT(INDEX($FO$325:$IH$396,FP$169,1+SwaptionShift):INDEX($FO$325:$IH$396,FP$169,SwaptionMonthsToGo+SwaptionShift),INDEX($FO$245:$IH$316,$FN204-FP$169,73-FP$169+SwaptionShift):INDEX($FO$245:$IH$316,$FN204-FP$169,72-FP$169+SwaptionMonthsToGo+SwaptionShift))/SQRT(SUM(INDEX($FO359:$IH359,1+SwaptionShift):INDEX($FO359:$IH359,SwaptionMonthsToGo+SwaptionShift))*SUM(INDEX($FO$325:$IH$396,FP$169,1+SwaptionShift):INDEX($FO$325:$IH$396,FP$169,SwaptionMonthsToGo+SwaptionShift))))))</f>
        <v/>
      </c>
      <c r="FQ204" s="469" t="str">
        <f ca="1">IF(OR(FQ$169&lt;SwaptionFirstMonthPosition+1,$FN204&lt;SwaptionFirstMonthPosition+1,FQ$169&gt;SwaptionFirstMonthPosition+SwaptionNumOfMonths+1,$FN204&gt;SwaptionFirstMonthPosition+SwaptionNumOfMonths+1),"",IF($FN204=FQ$169,1,IF($FN204&lt;FQ$169,INDEX($FO$170:$IH$241,FQ$169,$FN204),SUMPRODUCT(INDEX($FO$325:$IH$396,FQ$169,1+SwaptionShift):INDEX($FO$325:$IH$396,FQ$169,SwaptionMonthsToGo+SwaptionShift),INDEX($FO$245:$IH$316,$FN204-FQ$169,73-FQ$169+SwaptionShift):INDEX($FO$245:$IH$316,$FN204-FQ$169,72-FQ$169+SwaptionMonthsToGo+SwaptionShift))/SQRT(SUM(INDEX($FO359:$IH359,1+SwaptionShift):INDEX($FO359:$IH359,SwaptionMonthsToGo+SwaptionShift))*SUM(INDEX($FO$325:$IH$396,FQ$169,1+SwaptionShift):INDEX($FO$325:$IH$396,FQ$169,SwaptionMonthsToGo+SwaptionShift))))))</f>
        <v/>
      </c>
      <c r="FR204" s="469" t="str">
        <f ca="1">IF(OR(FR$169&lt;SwaptionFirstMonthPosition+1,$FN204&lt;SwaptionFirstMonthPosition+1,FR$169&gt;SwaptionFirstMonthPosition+SwaptionNumOfMonths+1,$FN204&gt;SwaptionFirstMonthPosition+SwaptionNumOfMonths+1),"",IF($FN204=FR$169,1,IF($FN204&lt;FR$169,INDEX($FO$170:$IH$241,FR$169,$FN204),SUMPRODUCT(INDEX($FO$325:$IH$396,FR$169,1+SwaptionShift):INDEX($FO$325:$IH$396,FR$169,SwaptionMonthsToGo+SwaptionShift),INDEX($FO$245:$IH$316,$FN204-FR$169,73-FR$169+SwaptionShift):INDEX($FO$245:$IH$316,$FN204-FR$169,72-FR$169+SwaptionMonthsToGo+SwaptionShift))/SQRT(SUM(INDEX($FO359:$IH359,1+SwaptionShift):INDEX($FO359:$IH359,SwaptionMonthsToGo+SwaptionShift))*SUM(INDEX($FO$325:$IH$396,FR$169,1+SwaptionShift):INDEX($FO$325:$IH$396,FR$169,SwaptionMonthsToGo+SwaptionShift))))))</f>
        <v/>
      </c>
      <c r="FS204" s="469" t="str">
        <f ca="1">IF(OR(FS$169&lt;SwaptionFirstMonthPosition+1,$FN204&lt;SwaptionFirstMonthPosition+1,FS$169&gt;SwaptionFirstMonthPosition+SwaptionNumOfMonths+1,$FN204&gt;SwaptionFirstMonthPosition+SwaptionNumOfMonths+1),"",IF($FN204=FS$169,1,IF($FN204&lt;FS$169,INDEX($FO$170:$IH$241,FS$169,$FN204),SUMPRODUCT(INDEX($FO$325:$IH$396,FS$169,1+SwaptionShift):INDEX($FO$325:$IH$396,FS$169,SwaptionMonthsToGo+SwaptionShift),INDEX($FO$245:$IH$316,$FN204-FS$169,73-FS$169+SwaptionShift):INDEX($FO$245:$IH$316,$FN204-FS$169,72-FS$169+SwaptionMonthsToGo+SwaptionShift))/SQRT(SUM(INDEX($FO359:$IH359,1+SwaptionShift):INDEX($FO359:$IH359,SwaptionMonthsToGo+SwaptionShift))*SUM(INDEX($FO$325:$IH$396,FS$169,1+SwaptionShift):INDEX($FO$325:$IH$396,FS$169,SwaptionMonthsToGo+SwaptionShift))))))</f>
        <v/>
      </c>
      <c r="FT204" s="469" t="str">
        <f ca="1">IF(OR(FT$169&lt;SwaptionFirstMonthPosition+1,$FN204&lt;SwaptionFirstMonthPosition+1,FT$169&gt;SwaptionFirstMonthPosition+SwaptionNumOfMonths+1,$FN204&gt;SwaptionFirstMonthPosition+SwaptionNumOfMonths+1),"",IF($FN204=FT$169,1,IF($FN204&lt;FT$169,INDEX($FO$170:$IH$241,FT$169,$FN204),SUMPRODUCT(INDEX($FO$325:$IH$396,FT$169,1+SwaptionShift):INDEX($FO$325:$IH$396,FT$169,SwaptionMonthsToGo+SwaptionShift),INDEX($FO$245:$IH$316,$FN204-FT$169,73-FT$169+SwaptionShift):INDEX($FO$245:$IH$316,$FN204-FT$169,72-FT$169+SwaptionMonthsToGo+SwaptionShift))/SQRT(SUM(INDEX($FO359:$IH359,1+SwaptionShift):INDEX($FO359:$IH359,SwaptionMonthsToGo+SwaptionShift))*SUM(INDEX($FO$325:$IH$396,FT$169,1+SwaptionShift):INDEX($FO$325:$IH$396,FT$169,SwaptionMonthsToGo+SwaptionShift))))))</f>
        <v/>
      </c>
      <c r="FU204" s="469" t="str">
        <f ca="1">IF(OR(FU$169&lt;SwaptionFirstMonthPosition+1,$FN204&lt;SwaptionFirstMonthPosition+1,FU$169&gt;SwaptionFirstMonthPosition+SwaptionNumOfMonths+1,$FN204&gt;SwaptionFirstMonthPosition+SwaptionNumOfMonths+1),"",IF($FN204=FU$169,1,IF($FN204&lt;FU$169,INDEX($FO$170:$IH$241,FU$169,$FN204),SUMPRODUCT(INDEX($FO$325:$IH$396,FU$169,1+SwaptionShift):INDEX($FO$325:$IH$396,FU$169,SwaptionMonthsToGo+SwaptionShift),INDEX($FO$245:$IH$316,$FN204-FU$169,73-FU$169+SwaptionShift):INDEX($FO$245:$IH$316,$FN204-FU$169,72-FU$169+SwaptionMonthsToGo+SwaptionShift))/SQRT(SUM(INDEX($FO359:$IH359,1+SwaptionShift):INDEX($FO359:$IH359,SwaptionMonthsToGo+SwaptionShift))*SUM(INDEX($FO$325:$IH$396,FU$169,1+SwaptionShift):INDEX($FO$325:$IH$396,FU$169,SwaptionMonthsToGo+SwaptionShift))))))</f>
        <v/>
      </c>
      <c r="FV204" s="469" t="str">
        <f ca="1">IF(OR(FV$169&lt;SwaptionFirstMonthPosition+1,$FN204&lt;SwaptionFirstMonthPosition+1,FV$169&gt;SwaptionFirstMonthPosition+SwaptionNumOfMonths+1,$FN204&gt;SwaptionFirstMonthPosition+SwaptionNumOfMonths+1),"",IF($FN204=FV$169,1,IF($FN204&lt;FV$169,INDEX($FO$170:$IH$241,FV$169,$FN204),SUMPRODUCT(INDEX($FO$325:$IH$396,FV$169,1+SwaptionShift):INDEX($FO$325:$IH$396,FV$169,SwaptionMonthsToGo+SwaptionShift),INDEX($FO$245:$IH$316,$FN204-FV$169,73-FV$169+SwaptionShift):INDEX($FO$245:$IH$316,$FN204-FV$169,72-FV$169+SwaptionMonthsToGo+SwaptionShift))/SQRT(SUM(INDEX($FO359:$IH359,1+SwaptionShift):INDEX($FO359:$IH359,SwaptionMonthsToGo+SwaptionShift))*SUM(INDEX($FO$325:$IH$396,FV$169,1+SwaptionShift):INDEX($FO$325:$IH$396,FV$169,SwaptionMonthsToGo+SwaptionShift))))))</f>
        <v/>
      </c>
      <c r="FW204" s="469" t="str">
        <f ca="1">IF(OR(FW$169&lt;SwaptionFirstMonthPosition+1,$FN204&lt;SwaptionFirstMonthPosition+1,FW$169&gt;SwaptionFirstMonthPosition+SwaptionNumOfMonths+1,$FN204&gt;SwaptionFirstMonthPosition+SwaptionNumOfMonths+1),"",IF($FN204=FW$169,1,IF($FN204&lt;FW$169,INDEX($FO$170:$IH$241,FW$169,$FN204),SUMPRODUCT(INDEX($FO$325:$IH$396,FW$169,1+SwaptionShift):INDEX($FO$325:$IH$396,FW$169,SwaptionMonthsToGo+SwaptionShift),INDEX($FO$245:$IH$316,$FN204-FW$169,73-FW$169+SwaptionShift):INDEX($FO$245:$IH$316,$FN204-FW$169,72-FW$169+SwaptionMonthsToGo+SwaptionShift))/SQRT(SUM(INDEX($FO359:$IH359,1+SwaptionShift):INDEX($FO359:$IH359,SwaptionMonthsToGo+SwaptionShift))*SUM(INDEX($FO$325:$IH$396,FW$169,1+SwaptionShift):INDEX($FO$325:$IH$396,FW$169,SwaptionMonthsToGo+SwaptionShift))))))</f>
        <v/>
      </c>
      <c r="FX204" s="469" t="str">
        <f ca="1">IF(OR(FX$169&lt;SwaptionFirstMonthPosition+1,$FN204&lt;SwaptionFirstMonthPosition+1,FX$169&gt;SwaptionFirstMonthPosition+SwaptionNumOfMonths+1,$FN204&gt;SwaptionFirstMonthPosition+SwaptionNumOfMonths+1),"",IF($FN204=FX$169,1,IF($FN204&lt;FX$169,INDEX($FO$170:$IH$241,FX$169,$FN204),SUMPRODUCT(INDEX($FO$325:$IH$396,FX$169,1+SwaptionShift):INDEX($FO$325:$IH$396,FX$169,SwaptionMonthsToGo+SwaptionShift),INDEX($FO$245:$IH$316,$FN204-FX$169,73-FX$169+SwaptionShift):INDEX($FO$245:$IH$316,$FN204-FX$169,72-FX$169+SwaptionMonthsToGo+SwaptionShift))/SQRT(SUM(INDEX($FO359:$IH359,1+SwaptionShift):INDEX($FO359:$IH359,SwaptionMonthsToGo+SwaptionShift))*SUM(INDEX($FO$325:$IH$396,FX$169,1+SwaptionShift):INDEX($FO$325:$IH$396,FX$169,SwaptionMonthsToGo+SwaptionShift))))))</f>
        <v/>
      </c>
      <c r="FY204" s="469" t="str">
        <f ca="1">IF(OR(FY$169&lt;SwaptionFirstMonthPosition+1,$FN204&lt;SwaptionFirstMonthPosition+1,FY$169&gt;SwaptionFirstMonthPosition+SwaptionNumOfMonths+1,$FN204&gt;SwaptionFirstMonthPosition+SwaptionNumOfMonths+1),"",IF($FN204=FY$169,1,IF($FN204&lt;FY$169,INDEX($FO$170:$IH$241,FY$169,$FN204),SUMPRODUCT(INDEX($FO$325:$IH$396,FY$169,1+SwaptionShift):INDEX($FO$325:$IH$396,FY$169,SwaptionMonthsToGo+SwaptionShift),INDEX($FO$245:$IH$316,$FN204-FY$169,73-FY$169+SwaptionShift):INDEX($FO$245:$IH$316,$FN204-FY$169,72-FY$169+SwaptionMonthsToGo+SwaptionShift))/SQRT(SUM(INDEX($FO359:$IH359,1+SwaptionShift):INDEX($FO359:$IH359,SwaptionMonthsToGo+SwaptionShift))*SUM(INDEX($FO$325:$IH$396,FY$169,1+SwaptionShift):INDEX($FO$325:$IH$396,FY$169,SwaptionMonthsToGo+SwaptionShift))))))</f>
        <v/>
      </c>
      <c r="FZ204" s="469" t="str">
        <f ca="1">IF(OR(FZ$169&lt;SwaptionFirstMonthPosition+1,$FN204&lt;SwaptionFirstMonthPosition+1,FZ$169&gt;SwaptionFirstMonthPosition+SwaptionNumOfMonths+1,$FN204&gt;SwaptionFirstMonthPosition+SwaptionNumOfMonths+1),"",IF($FN204=FZ$169,1,IF($FN204&lt;FZ$169,INDEX($FO$170:$IH$241,FZ$169,$FN204),SUMPRODUCT(INDEX($FO$325:$IH$396,FZ$169,1+SwaptionShift):INDEX($FO$325:$IH$396,FZ$169,SwaptionMonthsToGo+SwaptionShift),INDEX($FO$245:$IH$316,$FN204-FZ$169,73-FZ$169+SwaptionShift):INDEX($FO$245:$IH$316,$FN204-FZ$169,72-FZ$169+SwaptionMonthsToGo+SwaptionShift))/SQRT(SUM(INDEX($FO359:$IH359,1+SwaptionShift):INDEX($FO359:$IH359,SwaptionMonthsToGo+SwaptionShift))*SUM(INDEX($FO$325:$IH$396,FZ$169,1+SwaptionShift):INDEX($FO$325:$IH$396,FZ$169,SwaptionMonthsToGo+SwaptionShift))))))</f>
        <v/>
      </c>
      <c r="GA204" s="469" t="str">
        <f ca="1">IF(OR(GA$169&lt;SwaptionFirstMonthPosition+1,$FN204&lt;SwaptionFirstMonthPosition+1,GA$169&gt;SwaptionFirstMonthPosition+SwaptionNumOfMonths+1,$FN204&gt;SwaptionFirstMonthPosition+SwaptionNumOfMonths+1),"",IF($FN204=GA$169,1,IF($FN204&lt;GA$169,INDEX($FO$170:$IH$241,GA$169,$FN204),SUMPRODUCT(INDEX($FO$325:$IH$396,GA$169,1+SwaptionShift):INDEX($FO$325:$IH$396,GA$169,SwaptionMonthsToGo+SwaptionShift),INDEX($FO$245:$IH$316,$FN204-GA$169,73-GA$169+SwaptionShift):INDEX($FO$245:$IH$316,$FN204-GA$169,72-GA$169+SwaptionMonthsToGo+SwaptionShift))/SQRT(SUM(INDEX($FO359:$IH359,1+SwaptionShift):INDEX($FO359:$IH359,SwaptionMonthsToGo+SwaptionShift))*SUM(INDEX($FO$325:$IH$396,GA$169,1+SwaptionShift):INDEX($FO$325:$IH$396,GA$169,SwaptionMonthsToGo+SwaptionShift))))))</f>
        <v/>
      </c>
      <c r="GB204" s="469" t="str">
        <f ca="1">IF(OR(GB$169&lt;SwaptionFirstMonthPosition+1,$FN204&lt;SwaptionFirstMonthPosition+1,GB$169&gt;SwaptionFirstMonthPosition+SwaptionNumOfMonths+1,$FN204&gt;SwaptionFirstMonthPosition+SwaptionNumOfMonths+1),"",IF($FN204=GB$169,1,IF($FN204&lt;GB$169,INDEX($FO$170:$IH$241,GB$169,$FN204),SUMPRODUCT(INDEX($FO$325:$IH$396,GB$169,1+SwaptionShift):INDEX($FO$325:$IH$396,GB$169,SwaptionMonthsToGo+SwaptionShift),INDEX($FO$245:$IH$316,$FN204-GB$169,73-GB$169+SwaptionShift):INDEX($FO$245:$IH$316,$FN204-GB$169,72-GB$169+SwaptionMonthsToGo+SwaptionShift))/SQRT(SUM(INDEX($FO359:$IH359,1+SwaptionShift):INDEX($FO359:$IH359,SwaptionMonthsToGo+SwaptionShift))*SUM(INDEX($FO$325:$IH$396,GB$169,1+SwaptionShift):INDEX($FO$325:$IH$396,GB$169,SwaptionMonthsToGo+SwaptionShift))))))</f>
        <v/>
      </c>
      <c r="GC204" s="469" t="str">
        <f ca="1">IF(OR(GC$169&lt;SwaptionFirstMonthPosition+1,$FN204&lt;SwaptionFirstMonthPosition+1,GC$169&gt;SwaptionFirstMonthPosition+SwaptionNumOfMonths+1,$FN204&gt;SwaptionFirstMonthPosition+SwaptionNumOfMonths+1),"",IF($FN204=GC$169,1,IF($FN204&lt;GC$169,INDEX($FO$170:$IH$241,GC$169,$FN204),SUMPRODUCT(INDEX($FO$325:$IH$396,GC$169,1+SwaptionShift):INDEX($FO$325:$IH$396,GC$169,SwaptionMonthsToGo+SwaptionShift),INDEX($FO$245:$IH$316,$FN204-GC$169,73-GC$169+SwaptionShift):INDEX($FO$245:$IH$316,$FN204-GC$169,72-GC$169+SwaptionMonthsToGo+SwaptionShift))/SQRT(SUM(INDEX($FO359:$IH359,1+SwaptionShift):INDEX($FO359:$IH359,SwaptionMonthsToGo+SwaptionShift))*SUM(INDEX($FO$325:$IH$396,GC$169,1+SwaptionShift):INDEX($FO$325:$IH$396,GC$169,SwaptionMonthsToGo+SwaptionShift))))))</f>
        <v/>
      </c>
      <c r="GD204" s="469" t="str">
        <f ca="1">IF(OR(GD$169&lt;SwaptionFirstMonthPosition+1,$FN204&lt;SwaptionFirstMonthPosition+1,GD$169&gt;SwaptionFirstMonthPosition+SwaptionNumOfMonths+1,$FN204&gt;SwaptionFirstMonthPosition+SwaptionNumOfMonths+1),"",IF($FN204=GD$169,1,IF($FN204&lt;GD$169,INDEX($FO$170:$IH$241,GD$169,$FN204),SUMPRODUCT(INDEX($FO$325:$IH$396,GD$169,1+SwaptionShift):INDEX($FO$325:$IH$396,GD$169,SwaptionMonthsToGo+SwaptionShift),INDEX($FO$245:$IH$316,$FN204-GD$169,73-GD$169+SwaptionShift):INDEX($FO$245:$IH$316,$FN204-GD$169,72-GD$169+SwaptionMonthsToGo+SwaptionShift))/SQRT(SUM(INDEX($FO359:$IH359,1+SwaptionShift):INDEX($FO359:$IH359,SwaptionMonthsToGo+SwaptionShift))*SUM(INDEX($FO$325:$IH$396,GD$169,1+SwaptionShift):INDEX($FO$325:$IH$396,GD$169,SwaptionMonthsToGo+SwaptionShift))))))</f>
        <v/>
      </c>
      <c r="GE204" s="469" t="str">
        <f ca="1">IF(OR(GE$169&lt;SwaptionFirstMonthPosition+1,$FN204&lt;SwaptionFirstMonthPosition+1,GE$169&gt;SwaptionFirstMonthPosition+SwaptionNumOfMonths+1,$FN204&gt;SwaptionFirstMonthPosition+SwaptionNumOfMonths+1),"",IF($FN204=GE$169,1,IF($FN204&lt;GE$169,INDEX($FO$170:$IH$241,GE$169,$FN204),SUMPRODUCT(INDEX($FO$325:$IH$396,GE$169,1+SwaptionShift):INDEX($FO$325:$IH$396,GE$169,SwaptionMonthsToGo+SwaptionShift),INDEX($FO$245:$IH$316,$FN204-GE$169,73-GE$169+SwaptionShift):INDEX($FO$245:$IH$316,$FN204-GE$169,72-GE$169+SwaptionMonthsToGo+SwaptionShift))/SQRT(SUM(INDEX($FO359:$IH359,1+SwaptionShift):INDEX($FO359:$IH359,SwaptionMonthsToGo+SwaptionShift))*SUM(INDEX($FO$325:$IH$396,GE$169,1+SwaptionShift):INDEX($FO$325:$IH$396,GE$169,SwaptionMonthsToGo+SwaptionShift))))))</f>
        <v/>
      </c>
      <c r="GF204" s="469" t="str">
        <f ca="1">IF(OR(GF$169&lt;SwaptionFirstMonthPosition+1,$FN204&lt;SwaptionFirstMonthPosition+1,GF$169&gt;SwaptionFirstMonthPosition+SwaptionNumOfMonths+1,$FN204&gt;SwaptionFirstMonthPosition+SwaptionNumOfMonths+1),"",IF($FN204=GF$169,1,IF($FN204&lt;GF$169,INDEX($FO$170:$IH$241,GF$169,$FN204),SUMPRODUCT(INDEX($FO$325:$IH$396,GF$169,1+SwaptionShift):INDEX($FO$325:$IH$396,GF$169,SwaptionMonthsToGo+SwaptionShift),INDEX($FO$245:$IH$316,$FN204-GF$169,73-GF$169+SwaptionShift):INDEX($FO$245:$IH$316,$FN204-GF$169,72-GF$169+SwaptionMonthsToGo+SwaptionShift))/SQRT(SUM(INDEX($FO359:$IH359,1+SwaptionShift):INDEX($FO359:$IH359,SwaptionMonthsToGo+SwaptionShift))*SUM(INDEX($FO$325:$IH$396,GF$169,1+SwaptionShift):INDEX($FO$325:$IH$396,GF$169,SwaptionMonthsToGo+SwaptionShift))))))</f>
        <v/>
      </c>
      <c r="GG204" s="469" t="str">
        <f ca="1">IF(OR(GG$169&lt;SwaptionFirstMonthPosition+1,$FN204&lt;SwaptionFirstMonthPosition+1,GG$169&gt;SwaptionFirstMonthPosition+SwaptionNumOfMonths+1,$FN204&gt;SwaptionFirstMonthPosition+SwaptionNumOfMonths+1),"",IF($FN204=GG$169,1,IF($FN204&lt;GG$169,INDEX($FO$170:$IH$241,GG$169,$FN204),SUMPRODUCT(INDEX($FO$325:$IH$396,GG$169,1+SwaptionShift):INDEX($FO$325:$IH$396,GG$169,SwaptionMonthsToGo+SwaptionShift),INDEX($FO$245:$IH$316,$FN204-GG$169,73-GG$169+SwaptionShift):INDEX($FO$245:$IH$316,$FN204-GG$169,72-GG$169+SwaptionMonthsToGo+SwaptionShift))/SQRT(SUM(INDEX($FO359:$IH359,1+SwaptionShift):INDEX($FO359:$IH359,SwaptionMonthsToGo+SwaptionShift))*SUM(INDEX($FO$325:$IH$396,GG$169,1+SwaptionShift):INDEX($FO$325:$IH$396,GG$169,SwaptionMonthsToGo+SwaptionShift))))))</f>
        <v/>
      </c>
      <c r="GH204" s="469" t="str">
        <f ca="1">IF(OR(GH$169&lt;SwaptionFirstMonthPosition+1,$FN204&lt;SwaptionFirstMonthPosition+1,GH$169&gt;SwaptionFirstMonthPosition+SwaptionNumOfMonths+1,$FN204&gt;SwaptionFirstMonthPosition+SwaptionNumOfMonths+1),"",IF($FN204=GH$169,1,IF($FN204&lt;GH$169,INDEX($FO$170:$IH$241,GH$169,$FN204),SUMPRODUCT(INDEX($FO$325:$IH$396,GH$169,1+SwaptionShift):INDEX($FO$325:$IH$396,GH$169,SwaptionMonthsToGo+SwaptionShift),INDEX($FO$245:$IH$316,$FN204-GH$169,73-GH$169+SwaptionShift):INDEX($FO$245:$IH$316,$FN204-GH$169,72-GH$169+SwaptionMonthsToGo+SwaptionShift))/SQRT(SUM(INDEX($FO359:$IH359,1+SwaptionShift):INDEX($FO359:$IH359,SwaptionMonthsToGo+SwaptionShift))*SUM(INDEX($FO$325:$IH$396,GH$169,1+SwaptionShift):INDEX($FO$325:$IH$396,GH$169,SwaptionMonthsToGo+SwaptionShift))))))</f>
        <v/>
      </c>
      <c r="GI204" s="469" t="str">
        <f ca="1">IF(OR(GI$169&lt;SwaptionFirstMonthPosition+1,$FN204&lt;SwaptionFirstMonthPosition+1,GI$169&gt;SwaptionFirstMonthPosition+SwaptionNumOfMonths+1,$FN204&gt;SwaptionFirstMonthPosition+SwaptionNumOfMonths+1),"",IF($FN204=GI$169,1,IF($FN204&lt;GI$169,INDEX($FO$170:$IH$241,GI$169,$FN204),SUMPRODUCT(INDEX($FO$325:$IH$396,GI$169,1+SwaptionShift):INDEX($FO$325:$IH$396,GI$169,SwaptionMonthsToGo+SwaptionShift),INDEX($FO$245:$IH$316,$FN204-GI$169,73-GI$169+SwaptionShift):INDEX($FO$245:$IH$316,$FN204-GI$169,72-GI$169+SwaptionMonthsToGo+SwaptionShift))/SQRT(SUM(INDEX($FO359:$IH359,1+SwaptionShift):INDEX($FO359:$IH359,SwaptionMonthsToGo+SwaptionShift))*SUM(INDEX($FO$325:$IH$396,GI$169,1+SwaptionShift):INDEX($FO$325:$IH$396,GI$169,SwaptionMonthsToGo+SwaptionShift))))))</f>
        <v/>
      </c>
      <c r="GJ204" s="469" t="str">
        <f ca="1">IF(OR(GJ$169&lt;SwaptionFirstMonthPosition+1,$FN204&lt;SwaptionFirstMonthPosition+1,GJ$169&gt;SwaptionFirstMonthPosition+SwaptionNumOfMonths+1,$FN204&gt;SwaptionFirstMonthPosition+SwaptionNumOfMonths+1),"",IF($FN204=GJ$169,1,IF($FN204&lt;GJ$169,INDEX($FO$170:$IH$241,GJ$169,$FN204),SUMPRODUCT(INDEX($FO$325:$IH$396,GJ$169,1+SwaptionShift):INDEX($FO$325:$IH$396,GJ$169,SwaptionMonthsToGo+SwaptionShift),INDEX($FO$245:$IH$316,$FN204-GJ$169,73-GJ$169+SwaptionShift):INDEX($FO$245:$IH$316,$FN204-GJ$169,72-GJ$169+SwaptionMonthsToGo+SwaptionShift))/SQRT(SUM(INDEX($FO359:$IH359,1+SwaptionShift):INDEX($FO359:$IH359,SwaptionMonthsToGo+SwaptionShift))*SUM(INDEX($FO$325:$IH$396,GJ$169,1+SwaptionShift):INDEX($FO$325:$IH$396,GJ$169,SwaptionMonthsToGo+SwaptionShift))))))</f>
        <v/>
      </c>
      <c r="GK204" s="469" t="str">
        <f ca="1">IF(OR(GK$169&lt;SwaptionFirstMonthPosition+1,$FN204&lt;SwaptionFirstMonthPosition+1,GK$169&gt;SwaptionFirstMonthPosition+SwaptionNumOfMonths+1,$FN204&gt;SwaptionFirstMonthPosition+SwaptionNumOfMonths+1),"",IF($FN204=GK$169,1,IF($FN204&lt;GK$169,INDEX($FO$170:$IH$241,GK$169,$FN204),SUMPRODUCT(INDEX($FO$325:$IH$396,GK$169,1+SwaptionShift):INDEX($FO$325:$IH$396,GK$169,SwaptionMonthsToGo+SwaptionShift),INDEX($FO$245:$IH$316,$FN204-GK$169,73-GK$169+SwaptionShift):INDEX($FO$245:$IH$316,$FN204-GK$169,72-GK$169+SwaptionMonthsToGo+SwaptionShift))/SQRT(SUM(INDEX($FO359:$IH359,1+SwaptionShift):INDEX($FO359:$IH359,SwaptionMonthsToGo+SwaptionShift))*SUM(INDEX($FO$325:$IH$396,GK$169,1+SwaptionShift):INDEX($FO$325:$IH$396,GK$169,SwaptionMonthsToGo+SwaptionShift))))))</f>
        <v/>
      </c>
      <c r="GL204" s="469" t="str">
        <f ca="1">IF(OR(GL$169&lt;SwaptionFirstMonthPosition+1,$FN204&lt;SwaptionFirstMonthPosition+1,GL$169&gt;SwaptionFirstMonthPosition+SwaptionNumOfMonths+1,$FN204&gt;SwaptionFirstMonthPosition+SwaptionNumOfMonths+1),"",IF($FN204=GL$169,1,IF($FN204&lt;GL$169,INDEX($FO$170:$IH$241,GL$169,$FN204),SUMPRODUCT(INDEX($FO$325:$IH$396,GL$169,1+SwaptionShift):INDEX($FO$325:$IH$396,GL$169,SwaptionMonthsToGo+SwaptionShift),INDEX($FO$245:$IH$316,$FN204-GL$169,73-GL$169+SwaptionShift):INDEX($FO$245:$IH$316,$FN204-GL$169,72-GL$169+SwaptionMonthsToGo+SwaptionShift))/SQRT(SUM(INDEX($FO359:$IH359,1+SwaptionShift):INDEX($FO359:$IH359,SwaptionMonthsToGo+SwaptionShift))*SUM(INDEX($FO$325:$IH$396,GL$169,1+SwaptionShift):INDEX($FO$325:$IH$396,GL$169,SwaptionMonthsToGo+SwaptionShift))))))</f>
        <v/>
      </c>
      <c r="GM204" s="469" t="str">
        <f ca="1">IF(OR(GM$169&lt;SwaptionFirstMonthPosition+1,$FN204&lt;SwaptionFirstMonthPosition+1,GM$169&gt;SwaptionFirstMonthPosition+SwaptionNumOfMonths+1,$FN204&gt;SwaptionFirstMonthPosition+SwaptionNumOfMonths+1),"",IF($FN204=GM$169,1,IF($FN204&lt;GM$169,INDEX($FO$170:$IH$241,GM$169,$FN204),SUMPRODUCT(INDEX($FO$325:$IH$396,GM$169,1+SwaptionShift):INDEX($FO$325:$IH$396,GM$169,SwaptionMonthsToGo+SwaptionShift),INDEX($FO$245:$IH$316,$FN204-GM$169,73-GM$169+SwaptionShift):INDEX($FO$245:$IH$316,$FN204-GM$169,72-GM$169+SwaptionMonthsToGo+SwaptionShift))/SQRT(SUM(INDEX($FO359:$IH359,1+SwaptionShift):INDEX($FO359:$IH359,SwaptionMonthsToGo+SwaptionShift))*SUM(INDEX($FO$325:$IH$396,GM$169,1+SwaptionShift):INDEX($FO$325:$IH$396,GM$169,SwaptionMonthsToGo+SwaptionShift))))))</f>
        <v/>
      </c>
      <c r="GN204" s="469" t="str">
        <f ca="1">IF(OR(GN$169&lt;SwaptionFirstMonthPosition+1,$FN204&lt;SwaptionFirstMonthPosition+1,GN$169&gt;SwaptionFirstMonthPosition+SwaptionNumOfMonths+1,$FN204&gt;SwaptionFirstMonthPosition+SwaptionNumOfMonths+1),"",IF($FN204=GN$169,1,IF($FN204&lt;GN$169,INDEX($FO$170:$IH$241,GN$169,$FN204),SUMPRODUCT(INDEX($FO$325:$IH$396,GN$169,1+SwaptionShift):INDEX($FO$325:$IH$396,GN$169,SwaptionMonthsToGo+SwaptionShift),INDEX($FO$245:$IH$316,$FN204-GN$169,73-GN$169+SwaptionShift):INDEX($FO$245:$IH$316,$FN204-GN$169,72-GN$169+SwaptionMonthsToGo+SwaptionShift))/SQRT(SUM(INDEX($FO359:$IH359,1+SwaptionShift):INDEX($FO359:$IH359,SwaptionMonthsToGo+SwaptionShift))*SUM(INDEX($FO$325:$IH$396,GN$169,1+SwaptionShift):INDEX($FO$325:$IH$396,GN$169,SwaptionMonthsToGo+SwaptionShift))))))</f>
        <v/>
      </c>
      <c r="GO204" s="469" t="str">
        <f ca="1">IF(OR(GO$169&lt;SwaptionFirstMonthPosition+1,$FN204&lt;SwaptionFirstMonthPosition+1,GO$169&gt;SwaptionFirstMonthPosition+SwaptionNumOfMonths+1,$FN204&gt;SwaptionFirstMonthPosition+SwaptionNumOfMonths+1),"",IF($FN204=GO$169,1,IF($FN204&lt;GO$169,INDEX($FO$170:$IH$241,GO$169,$FN204),SUMPRODUCT(INDEX($FO$325:$IH$396,GO$169,1+SwaptionShift):INDEX($FO$325:$IH$396,GO$169,SwaptionMonthsToGo+SwaptionShift),INDEX($FO$245:$IH$316,$FN204-GO$169,73-GO$169+SwaptionShift):INDEX($FO$245:$IH$316,$FN204-GO$169,72-GO$169+SwaptionMonthsToGo+SwaptionShift))/SQRT(SUM(INDEX($FO359:$IH359,1+SwaptionShift):INDEX($FO359:$IH359,SwaptionMonthsToGo+SwaptionShift))*SUM(INDEX($FO$325:$IH$396,GO$169,1+SwaptionShift):INDEX($FO$325:$IH$396,GO$169,SwaptionMonthsToGo+SwaptionShift))))))</f>
        <v/>
      </c>
      <c r="GP204" s="469" t="str">
        <f ca="1">IF(OR(GP$169&lt;SwaptionFirstMonthPosition+1,$FN204&lt;SwaptionFirstMonthPosition+1,GP$169&gt;SwaptionFirstMonthPosition+SwaptionNumOfMonths+1,$FN204&gt;SwaptionFirstMonthPosition+SwaptionNumOfMonths+1),"",IF($FN204=GP$169,1,IF($FN204&lt;GP$169,INDEX($FO$170:$IH$241,GP$169,$FN204),SUMPRODUCT(INDEX($FO$325:$IH$396,GP$169,1+SwaptionShift):INDEX($FO$325:$IH$396,GP$169,SwaptionMonthsToGo+SwaptionShift),INDEX($FO$245:$IH$316,$FN204-GP$169,73-GP$169+SwaptionShift):INDEX($FO$245:$IH$316,$FN204-GP$169,72-GP$169+SwaptionMonthsToGo+SwaptionShift))/SQRT(SUM(INDEX($FO359:$IH359,1+SwaptionShift):INDEX($FO359:$IH359,SwaptionMonthsToGo+SwaptionShift))*SUM(INDEX($FO$325:$IH$396,GP$169,1+SwaptionShift):INDEX($FO$325:$IH$396,GP$169,SwaptionMonthsToGo+SwaptionShift))))))</f>
        <v/>
      </c>
      <c r="GQ204" s="469" t="str">
        <f ca="1">IF(OR(GQ$169&lt;SwaptionFirstMonthPosition+1,$FN204&lt;SwaptionFirstMonthPosition+1,GQ$169&gt;SwaptionFirstMonthPosition+SwaptionNumOfMonths+1,$FN204&gt;SwaptionFirstMonthPosition+SwaptionNumOfMonths+1),"",IF($FN204=GQ$169,1,IF($FN204&lt;GQ$169,INDEX($FO$170:$IH$241,GQ$169,$FN204),SUMPRODUCT(INDEX($FO$325:$IH$396,GQ$169,1+SwaptionShift):INDEX($FO$325:$IH$396,GQ$169,SwaptionMonthsToGo+SwaptionShift),INDEX($FO$245:$IH$316,$FN204-GQ$169,73-GQ$169+SwaptionShift):INDEX($FO$245:$IH$316,$FN204-GQ$169,72-GQ$169+SwaptionMonthsToGo+SwaptionShift))/SQRT(SUM(INDEX($FO359:$IH359,1+SwaptionShift):INDEX($FO359:$IH359,SwaptionMonthsToGo+SwaptionShift))*SUM(INDEX($FO$325:$IH$396,GQ$169,1+SwaptionShift):INDEX($FO$325:$IH$396,GQ$169,SwaptionMonthsToGo+SwaptionShift))))))</f>
        <v/>
      </c>
      <c r="GR204" s="469" t="str">
        <f ca="1">IF(OR(GR$169&lt;SwaptionFirstMonthPosition+1,$FN204&lt;SwaptionFirstMonthPosition+1,GR$169&gt;SwaptionFirstMonthPosition+SwaptionNumOfMonths+1,$FN204&gt;SwaptionFirstMonthPosition+SwaptionNumOfMonths+1),"",IF($FN204=GR$169,1,IF($FN204&lt;GR$169,INDEX($FO$170:$IH$241,GR$169,$FN204),SUMPRODUCT(INDEX($FO$325:$IH$396,GR$169,1+SwaptionShift):INDEX($FO$325:$IH$396,GR$169,SwaptionMonthsToGo+SwaptionShift),INDEX($FO$245:$IH$316,$FN204-GR$169,73-GR$169+SwaptionShift):INDEX($FO$245:$IH$316,$FN204-GR$169,72-GR$169+SwaptionMonthsToGo+SwaptionShift))/SQRT(SUM(INDEX($FO359:$IH359,1+SwaptionShift):INDEX($FO359:$IH359,SwaptionMonthsToGo+SwaptionShift))*SUM(INDEX($FO$325:$IH$396,GR$169,1+SwaptionShift):INDEX($FO$325:$IH$396,GR$169,SwaptionMonthsToGo+SwaptionShift))))))</f>
        <v/>
      </c>
      <c r="GS204" s="469" t="str">
        <f ca="1">IF(OR(GS$169&lt;SwaptionFirstMonthPosition+1,$FN204&lt;SwaptionFirstMonthPosition+1,GS$169&gt;SwaptionFirstMonthPosition+SwaptionNumOfMonths+1,$FN204&gt;SwaptionFirstMonthPosition+SwaptionNumOfMonths+1),"",IF($FN204=GS$169,1,IF($FN204&lt;GS$169,INDEX($FO$170:$IH$241,GS$169,$FN204),SUMPRODUCT(INDEX($FO$325:$IH$396,GS$169,1+SwaptionShift):INDEX($FO$325:$IH$396,GS$169,SwaptionMonthsToGo+SwaptionShift),INDEX($FO$245:$IH$316,$FN204-GS$169,73-GS$169+SwaptionShift):INDEX($FO$245:$IH$316,$FN204-GS$169,72-GS$169+SwaptionMonthsToGo+SwaptionShift))/SQRT(SUM(INDEX($FO359:$IH359,1+SwaptionShift):INDEX($FO359:$IH359,SwaptionMonthsToGo+SwaptionShift))*SUM(INDEX($FO$325:$IH$396,GS$169,1+SwaptionShift):INDEX($FO$325:$IH$396,GS$169,SwaptionMonthsToGo+SwaptionShift))))))</f>
        <v/>
      </c>
      <c r="GT204" s="469" t="str">
        <f ca="1">IF(OR(GT$169&lt;SwaptionFirstMonthPosition+1,$FN204&lt;SwaptionFirstMonthPosition+1,GT$169&gt;SwaptionFirstMonthPosition+SwaptionNumOfMonths+1,$FN204&gt;SwaptionFirstMonthPosition+SwaptionNumOfMonths+1),"",IF($FN204=GT$169,1,IF($FN204&lt;GT$169,INDEX($FO$170:$IH$241,GT$169,$FN204),SUMPRODUCT(INDEX($FO$325:$IH$396,GT$169,1+SwaptionShift):INDEX($FO$325:$IH$396,GT$169,SwaptionMonthsToGo+SwaptionShift),INDEX($FO$245:$IH$316,$FN204-GT$169,73-GT$169+SwaptionShift):INDEX($FO$245:$IH$316,$FN204-GT$169,72-GT$169+SwaptionMonthsToGo+SwaptionShift))/SQRT(SUM(INDEX($FO359:$IH359,1+SwaptionShift):INDEX($FO359:$IH359,SwaptionMonthsToGo+SwaptionShift))*SUM(INDEX($FO$325:$IH$396,GT$169,1+SwaptionShift):INDEX($FO$325:$IH$396,GT$169,SwaptionMonthsToGo+SwaptionShift))))))</f>
        <v/>
      </c>
      <c r="GU204" s="469" t="str">
        <f ca="1">IF(OR(GU$169&lt;SwaptionFirstMonthPosition+1,$FN204&lt;SwaptionFirstMonthPosition+1,GU$169&gt;SwaptionFirstMonthPosition+SwaptionNumOfMonths+1,$FN204&gt;SwaptionFirstMonthPosition+SwaptionNumOfMonths+1),"",IF($FN204=GU$169,1,IF($FN204&lt;GU$169,INDEX($FO$170:$IH$241,GU$169,$FN204),SUMPRODUCT(INDEX($FO$325:$IH$396,GU$169,1+SwaptionShift):INDEX($FO$325:$IH$396,GU$169,SwaptionMonthsToGo+SwaptionShift),INDEX($FO$245:$IH$316,$FN204-GU$169,73-GU$169+SwaptionShift):INDEX($FO$245:$IH$316,$FN204-GU$169,72-GU$169+SwaptionMonthsToGo+SwaptionShift))/SQRT(SUM(INDEX($FO359:$IH359,1+SwaptionShift):INDEX($FO359:$IH359,SwaptionMonthsToGo+SwaptionShift))*SUM(INDEX($FO$325:$IH$396,GU$169,1+SwaptionShift):INDEX($FO$325:$IH$396,GU$169,SwaptionMonthsToGo+SwaptionShift))))))</f>
        <v/>
      </c>
      <c r="GV204" s="469" t="str">
        <f ca="1">IF(OR(GV$169&lt;SwaptionFirstMonthPosition+1,$FN204&lt;SwaptionFirstMonthPosition+1,GV$169&gt;SwaptionFirstMonthPosition+SwaptionNumOfMonths+1,$FN204&gt;SwaptionFirstMonthPosition+SwaptionNumOfMonths+1),"",IF($FN204=GV$169,1,IF($FN204&lt;GV$169,INDEX($FO$170:$IH$241,GV$169,$FN204),SUMPRODUCT(INDEX($FO$325:$IH$396,GV$169,1+SwaptionShift):INDEX($FO$325:$IH$396,GV$169,SwaptionMonthsToGo+SwaptionShift),INDEX($FO$245:$IH$316,$FN204-GV$169,73-GV$169+SwaptionShift):INDEX($FO$245:$IH$316,$FN204-GV$169,72-GV$169+SwaptionMonthsToGo+SwaptionShift))/SQRT(SUM(INDEX($FO359:$IH359,1+SwaptionShift):INDEX($FO359:$IH359,SwaptionMonthsToGo+SwaptionShift))*SUM(INDEX($FO$325:$IH$396,GV$169,1+SwaptionShift):INDEX($FO$325:$IH$396,GV$169,SwaptionMonthsToGo+SwaptionShift))))))</f>
        <v/>
      </c>
      <c r="GW204" s="469" t="str">
        <f ca="1">IF(OR(GW$169&lt;SwaptionFirstMonthPosition+1,$FN204&lt;SwaptionFirstMonthPosition+1,GW$169&gt;SwaptionFirstMonthPosition+SwaptionNumOfMonths+1,$FN204&gt;SwaptionFirstMonthPosition+SwaptionNumOfMonths+1),"",IF($FN204=GW$169,1,IF($FN204&lt;GW$169,INDEX($FO$170:$IH$241,GW$169,$FN204),SUMPRODUCT(INDEX($FO$325:$IH$396,GW$169,1+SwaptionShift):INDEX($FO$325:$IH$396,GW$169,SwaptionMonthsToGo+SwaptionShift),INDEX($FO$245:$IH$316,$FN204-GW$169,73-GW$169+SwaptionShift):INDEX($FO$245:$IH$316,$FN204-GW$169,72-GW$169+SwaptionMonthsToGo+SwaptionShift))/SQRT(SUM(INDEX($FO359:$IH359,1+SwaptionShift):INDEX($FO359:$IH359,SwaptionMonthsToGo+SwaptionShift))*SUM(INDEX($FO$325:$IH$396,GW$169,1+SwaptionShift):INDEX($FO$325:$IH$396,GW$169,SwaptionMonthsToGo+SwaptionShift))))))</f>
        <v/>
      </c>
      <c r="GX204" s="469" t="str">
        <f ca="1">IF(OR(GX$169&lt;SwaptionFirstMonthPosition+1,$FN204&lt;SwaptionFirstMonthPosition+1,GX$169&gt;SwaptionFirstMonthPosition+SwaptionNumOfMonths+1,$FN204&gt;SwaptionFirstMonthPosition+SwaptionNumOfMonths+1),"",IF($FN204=GX$169,1,IF($FN204&lt;GX$169,INDEX($FO$170:$IH$241,GX$169,$FN204),SUMPRODUCT(INDEX($FO$325:$IH$396,GX$169,1+SwaptionShift):INDEX($FO$325:$IH$396,GX$169,SwaptionMonthsToGo+SwaptionShift),INDEX($FO$245:$IH$316,$FN204-GX$169,73-GX$169+SwaptionShift):INDEX($FO$245:$IH$316,$FN204-GX$169,72-GX$169+SwaptionMonthsToGo+SwaptionShift))/SQRT(SUM(INDEX($FO359:$IH359,1+SwaptionShift):INDEX($FO359:$IH359,SwaptionMonthsToGo+SwaptionShift))*SUM(INDEX($FO$325:$IH$396,GX$169,1+SwaptionShift):INDEX($FO$325:$IH$396,GX$169,SwaptionMonthsToGo+SwaptionShift))))))</f>
        <v/>
      </c>
      <c r="GY204" s="469" t="str">
        <f ca="1">IF(OR(GY$169&lt;SwaptionFirstMonthPosition+1,$FN204&lt;SwaptionFirstMonthPosition+1,GY$169&gt;SwaptionFirstMonthPosition+SwaptionNumOfMonths+1,$FN204&gt;SwaptionFirstMonthPosition+SwaptionNumOfMonths+1),"",IF($FN204=GY$169,1,IF($FN204&lt;GY$169,INDEX($FO$170:$IH$241,GY$169,$FN204),SUMPRODUCT(INDEX($FO$325:$IH$396,GY$169,1+SwaptionShift):INDEX($FO$325:$IH$396,GY$169,SwaptionMonthsToGo+SwaptionShift),INDEX($FO$245:$IH$316,$FN204-GY$169,73-GY$169+SwaptionShift):INDEX($FO$245:$IH$316,$FN204-GY$169,72-GY$169+SwaptionMonthsToGo+SwaptionShift))/SQRT(SUM(INDEX($FO359:$IH359,1+SwaptionShift):INDEX($FO359:$IH359,SwaptionMonthsToGo+SwaptionShift))*SUM(INDEX($FO$325:$IH$396,GY$169,1+SwaptionShift):INDEX($FO$325:$IH$396,GY$169,SwaptionMonthsToGo+SwaptionShift))))))</f>
        <v/>
      </c>
      <c r="GZ204" s="469" t="str">
        <f ca="1">IF(OR(GZ$169&lt;SwaptionFirstMonthPosition+1,$FN204&lt;SwaptionFirstMonthPosition+1,GZ$169&gt;SwaptionFirstMonthPosition+SwaptionNumOfMonths+1,$FN204&gt;SwaptionFirstMonthPosition+SwaptionNumOfMonths+1),"",IF($FN204=GZ$169,1,IF($FN204&lt;GZ$169,INDEX($FO$170:$IH$241,GZ$169,$FN204),SUMPRODUCT(INDEX($FO$325:$IH$396,GZ$169,1+SwaptionShift):INDEX($FO$325:$IH$396,GZ$169,SwaptionMonthsToGo+SwaptionShift),INDEX($FO$245:$IH$316,$FN204-GZ$169,73-GZ$169+SwaptionShift):INDEX($FO$245:$IH$316,$FN204-GZ$169,72-GZ$169+SwaptionMonthsToGo+SwaptionShift))/SQRT(SUM(INDEX($FO359:$IH359,1+SwaptionShift):INDEX($FO359:$IH359,SwaptionMonthsToGo+SwaptionShift))*SUM(INDEX($FO$325:$IH$396,GZ$169,1+SwaptionShift):INDEX($FO$325:$IH$396,GZ$169,SwaptionMonthsToGo+SwaptionShift))))))</f>
        <v/>
      </c>
      <c r="HA204" s="469" t="str">
        <f ca="1">IF(OR(HA$169&lt;SwaptionFirstMonthPosition+1,$FN204&lt;SwaptionFirstMonthPosition+1,HA$169&gt;SwaptionFirstMonthPosition+SwaptionNumOfMonths+1,$FN204&gt;SwaptionFirstMonthPosition+SwaptionNumOfMonths+1),"",IF($FN204=HA$169,1,IF($FN204&lt;HA$169,INDEX($FO$170:$IH$241,HA$169,$FN204),SUMPRODUCT(INDEX($FO$325:$IH$396,HA$169,1+SwaptionShift):INDEX($FO$325:$IH$396,HA$169,SwaptionMonthsToGo+SwaptionShift),INDEX($FO$245:$IH$316,$FN204-HA$169,73-HA$169+SwaptionShift):INDEX($FO$245:$IH$316,$FN204-HA$169,72-HA$169+SwaptionMonthsToGo+SwaptionShift))/SQRT(SUM(INDEX($FO359:$IH359,1+SwaptionShift):INDEX($FO359:$IH359,SwaptionMonthsToGo+SwaptionShift))*SUM(INDEX($FO$325:$IH$396,HA$169,1+SwaptionShift):INDEX($FO$325:$IH$396,HA$169,SwaptionMonthsToGo+SwaptionShift))))))</f>
        <v/>
      </c>
      <c r="HB204" s="469" t="str">
        <f ca="1">IF(OR(HB$169&lt;SwaptionFirstMonthPosition+1,$FN204&lt;SwaptionFirstMonthPosition+1,HB$169&gt;SwaptionFirstMonthPosition+SwaptionNumOfMonths+1,$FN204&gt;SwaptionFirstMonthPosition+SwaptionNumOfMonths+1),"",IF($FN204=HB$169,1,IF($FN204&lt;HB$169,INDEX($FO$170:$IH$241,HB$169,$FN204),SUMPRODUCT(INDEX($FO$325:$IH$396,HB$169,1+SwaptionShift):INDEX($FO$325:$IH$396,HB$169,SwaptionMonthsToGo+SwaptionShift),INDEX($FO$245:$IH$316,$FN204-HB$169,73-HB$169+SwaptionShift):INDEX($FO$245:$IH$316,$FN204-HB$169,72-HB$169+SwaptionMonthsToGo+SwaptionShift))/SQRT(SUM(INDEX($FO359:$IH359,1+SwaptionShift):INDEX($FO359:$IH359,SwaptionMonthsToGo+SwaptionShift))*SUM(INDEX($FO$325:$IH$396,HB$169,1+SwaptionShift):INDEX($FO$325:$IH$396,HB$169,SwaptionMonthsToGo+SwaptionShift))))))</f>
        <v/>
      </c>
      <c r="HC204" s="469" t="str">
        <f ca="1">IF(OR(HC$169&lt;SwaptionFirstMonthPosition+1,$FN204&lt;SwaptionFirstMonthPosition+1,HC$169&gt;SwaptionFirstMonthPosition+SwaptionNumOfMonths+1,$FN204&gt;SwaptionFirstMonthPosition+SwaptionNumOfMonths+1),"",IF($FN204=HC$169,1,IF($FN204&lt;HC$169,INDEX($FO$170:$IH$241,HC$169,$FN204),SUMPRODUCT(INDEX($FO$325:$IH$396,HC$169,1+SwaptionShift):INDEX($FO$325:$IH$396,HC$169,SwaptionMonthsToGo+SwaptionShift),INDEX($FO$245:$IH$316,$FN204-HC$169,73-HC$169+SwaptionShift):INDEX($FO$245:$IH$316,$FN204-HC$169,72-HC$169+SwaptionMonthsToGo+SwaptionShift))/SQRT(SUM(INDEX($FO359:$IH359,1+SwaptionShift):INDEX($FO359:$IH359,SwaptionMonthsToGo+SwaptionShift))*SUM(INDEX($FO$325:$IH$396,HC$169,1+SwaptionShift):INDEX($FO$325:$IH$396,HC$169,SwaptionMonthsToGo+SwaptionShift))))))</f>
        <v/>
      </c>
      <c r="HD204" s="469" t="str">
        <f ca="1">IF(OR(HD$169&lt;SwaptionFirstMonthPosition+1,$FN204&lt;SwaptionFirstMonthPosition+1,HD$169&gt;SwaptionFirstMonthPosition+SwaptionNumOfMonths+1,$FN204&gt;SwaptionFirstMonthPosition+SwaptionNumOfMonths+1),"",IF($FN204=HD$169,1,IF($FN204&lt;HD$169,INDEX($FO$170:$IH$241,HD$169,$FN204),SUMPRODUCT(INDEX($FO$325:$IH$396,HD$169,1+SwaptionShift):INDEX($FO$325:$IH$396,HD$169,SwaptionMonthsToGo+SwaptionShift),INDEX($FO$245:$IH$316,$FN204-HD$169,73-HD$169+SwaptionShift):INDEX($FO$245:$IH$316,$FN204-HD$169,72-HD$169+SwaptionMonthsToGo+SwaptionShift))/SQRT(SUM(INDEX($FO359:$IH359,1+SwaptionShift):INDEX($FO359:$IH359,SwaptionMonthsToGo+SwaptionShift))*SUM(INDEX($FO$325:$IH$396,HD$169,1+SwaptionShift):INDEX($FO$325:$IH$396,HD$169,SwaptionMonthsToGo+SwaptionShift))))))</f>
        <v/>
      </c>
      <c r="HE204" s="469" t="str">
        <f ca="1">IF(OR(HE$169&lt;SwaptionFirstMonthPosition+1,$FN204&lt;SwaptionFirstMonthPosition+1,HE$169&gt;SwaptionFirstMonthPosition+SwaptionNumOfMonths+1,$FN204&gt;SwaptionFirstMonthPosition+SwaptionNumOfMonths+1),"",IF($FN204=HE$169,1,IF($FN204&lt;HE$169,INDEX($FO$170:$IH$241,HE$169,$FN204),SUMPRODUCT(INDEX($FO$325:$IH$396,HE$169,1+SwaptionShift):INDEX($FO$325:$IH$396,HE$169,SwaptionMonthsToGo+SwaptionShift),INDEX($FO$245:$IH$316,$FN204-HE$169,73-HE$169+SwaptionShift):INDEX($FO$245:$IH$316,$FN204-HE$169,72-HE$169+SwaptionMonthsToGo+SwaptionShift))/SQRT(SUM(INDEX($FO359:$IH359,1+SwaptionShift):INDEX($FO359:$IH359,SwaptionMonthsToGo+SwaptionShift))*SUM(INDEX($FO$325:$IH$396,HE$169,1+SwaptionShift):INDEX($FO$325:$IH$396,HE$169,SwaptionMonthsToGo+SwaptionShift))))))</f>
        <v/>
      </c>
      <c r="HF204" s="469" t="str">
        <f ca="1">IF(OR(HF$169&lt;SwaptionFirstMonthPosition+1,$FN204&lt;SwaptionFirstMonthPosition+1,HF$169&gt;SwaptionFirstMonthPosition+SwaptionNumOfMonths+1,$FN204&gt;SwaptionFirstMonthPosition+SwaptionNumOfMonths+1),"",IF($FN204=HF$169,1,IF($FN204&lt;HF$169,INDEX($FO$170:$IH$241,HF$169,$FN204),SUMPRODUCT(INDEX($FO$325:$IH$396,HF$169,1+SwaptionShift):INDEX($FO$325:$IH$396,HF$169,SwaptionMonthsToGo+SwaptionShift),INDEX($FO$245:$IH$316,$FN204-HF$169,73-HF$169+SwaptionShift):INDEX($FO$245:$IH$316,$FN204-HF$169,72-HF$169+SwaptionMonthsToGo+SwaptionShift))/SQRT(SUM(INDEX($FO359:$IH359,1+SwaptionShift):INDEX($FO359:$IH359,SwaptionMonthsToGo+SwaptionShift))*SUM(INDEX($FO$325:$IH$396,HF$169,1+SwaptionShift):INDEX($FO$325:$IH$396,HF$169,SwaptionMonthsToGo+SwaptionShift))))))</f>
        <v/>
      </c>
      <c r="HG204" s="469" t="str">
        <f ca="1">IF(OR(HG$169&lt;SwaptionFirstMonthPosition+1,$FN204&lt;SwaptionFirstMonthPosition+1,HG$169&gt;SwaptionFirstMonthPosition+SwaptionNumOfMonths+1,$FN204&gt;SwaptionFirstMonthPosition+SwaptionNumOfMonths+1),"",IF($FN204=HG$169,1,IF($FN204&lt;HG$169,INDEX($FO$170:$IH$241,HG$169,$FN204),SUMPRODUCT(INDEX($FO$325:$IH$396,HG$169,1+SwaptionShift):INDEX($FO$325:$IH$396,HG$169,SwaptionMonthsToGo+SwaptionShift),INDEX($FO$245:$IH$316,$FN204-HG$169,73-HG$169+SwaptionShift):INDEX($FO$245:$IH$316,$FN204-HG$169,72-HG$169+SwaptionMonthsToGo+SwaptionShift))/SQRT(SUM(INDEX($FO359:$IH359,1+SwaptionShift):INDEX($FO359:$IH359,SwaptionMonthsToGo+SwaptionShift))*SUM(INDEX($FO$325:$IH$396,HG$169,1+SwaptionShift):INDEX($FO$325:$IH$396,HG$169,SwaptionMonthsToGo+SwaptionShift))))))</f>
        <v/>
      </c>
      <c r="HH204" s="469" t="str">
        <f ca="1">IF(OR(HH$169&lt;SwaptionFirstMonthPosition+1,$FN204&lt;SwaptionFirstMonthPosition+1,HH$169&gt;SwaptionFirstMonthPosition+SwaptionNumOfMonths+1,$FN204&gt;SwaptionFirstMonthPosition+SwaptionNumOfMonths+1),"",IF($FN204=HH$169,1,IF($FN204&lt;HH$169,INDEX($FO$170:$IH$241,HH$169,$FN204),SUMPRODUCT(INDEX($FO$325:$IH$396,HH$169,1+SwaptionShift):INDEX($FO$325:$IH$396,HH$169,SwaptionMonthsToGo+SwaptionShift),INDEX($FO$245:$IH$316,$FN204-HH$169,73-HH$169+SwaptionShift):INDEX($FO$245:$IH$316,$FN204-HH$169,72-HH$169+SwaptionMonthsToGo+SwaptionShift))/SQRT(SUM(INDEX($FO359:$IH359,1+SwaptionShift):INDEX($FO359:$IH359,SwaptionMonthsToGo+SwaptionShift))*SUM(INDEX($FO$325:$IH$396,HH$169,1+SwaptionShift):INDEX($FO$325:$IH$396,HH$169,SwaptionMonthsToGo+SwaptionShift))))))</f>
        <v/>
      </c>
      <c r="HI204" s="469" t="str">
        <f ca="1">IF(OR(HI$169&lt;SwaptionFirstMonthPosition+1,$FN204&lt;SwaptionFirstMonthPosition+1,HI$169&gt;SwaptionFirstMonthPosition+SwaptionNumOfMonths+1,$FN204&gt;SwaptionFirstMonthPosition+SwaptionNumOfMonths+1),"",IF($FN204=HI$169,1,IF($FN204&lt;HI$169,INDEX($FO$170:$IH$241,HI$169,$FN204),SUMPRODUCT(INDEX($FO$325:$IH$396,HI$169,1+SwaptionShift):INDEX($FO$325:$IH$396,HI$169,SwaptionMonthsToGo+SwaptionShift),INDEX($FO$245:$IH$316,$FN204-HI$169,73-HI$169+SwaptionShift):INDEX($FO$245:$IH$316,$FN204-HI$169,72-HI$169+SwaptionMonthsToGo+SwaptionShift))/SQRT(SUM(INDEX($FO359:$IH359,1+SwaptionShift):INDEX($FO359:$IH359,SwaptionMonthsToGo+SwaptionShift))*SUM(INDEX($FO$325:$IH$396,HI$169,1+SwaptionShift):INDEX($FO$325:$IH$396,HI$169,SwaptionMonthsToGo+SwaptionShift))))))</f>
        <v/>
      </c>
      <c r="HJ204" s="469" t="str">
        <f ca="1">IF(OR(HJ$169&lt;SwaptionFirstMonthPosition+1,$FN204&lt;SwaptionFirstMonthPosition+1,HJ$169&gt;SwaptionFirstMonthPosition+SwaptionNumOfMonths+1,$FN204&gt;SwaptionFirstMonthPosition+SwaptionNumOfMonths+1),"",IF($FN204=HJ$169,1,IF($FN204&lt;HJ$169,INDEX($FO$170:$IH$241,HJ$169,$FN204),SUMPRODUCT(INDEX($FO$325:$IH$396,HJ$169,1+SwaptionShift):INDEX($FO$325:$IH$396,HJ$169,SwaptionMonthsToGo+SwaptionShift),INDEX($FO$245:$IH$316,$FN204-HJ$169,73-HJ$169+SwaptionShift):INDEX($FO$245:$IH$316,$FN204-HJ$169,72-HJ$169+SwaptionMonthsToGo+SwaptionShift))/SQRT(SUM(INDEX($FO359:$IH359,1+SwaptionShift):INDEX($FO359:$IH359,SwaptionMonthsToGo+SwaptionShift))*SUM(INDEX($FO$325:$IH$396,HJ$169,1+SwaptionShift):INDEX($FO$325:$IH$396,HJ$169,SwaptionMonthsToGo+SwaptionShift))))))</f>
        <v/>
      </c>
      <c r="HK204" s="469" t="str">
        <f ca="1">IF(OR(HK$169&lt;SwaptionFirstMonthPosition+1,$FN204&lt;SwaptionFirstMonthPosition+1,HK$169&gt;SwaptionFirstMonthPosition+SwaptionNumOfMonths+1,$FN204&gt;SwaptionFirstMonthPosition+SwaptionNumOfMonths+1),"",IF($FN204=HK$169,1,IF($FN204&lt;HK$169,INDEX($FO$170:$IH$241,HK$169,$FN204),SUMPRODUCT(INDEX($FO$325:$IH$396,HK$169,1+SwaptionShift):INDEX($FO$325:$IH$396,HK$169,SwaptionMonthsToGo+SwaptionShift),INDEX($FO$245:$IH$316,$FN204-HK$169,73-HK$169+SwaptionShift):INDEX($FO$245:$IH$316,$FN204-HK$169,72-HK$169+SwaptionMonthsToGo+SwaptionShift))/SQRT(SUM(INDEX($FO359:$IH359,1+SwaptionShift):INDEX($FO359:$IH359,SwaptionMonthsToGo+SwaptionShift))*SUM(INDEX($FO$325:$IH$396,HK$169,1+SwaptionShift):INDEX($FO$325:$IH$396,HK$169,SwaptionMonthsToGo+SwaptionShift))))))</f>
        <v/>
      </c>
      <c r="HL204" s="469" t="str">
        <f ca="1">IF(OR(HL$169&lt;SwaptionFirstMonthPosition+1,$FN204&lt;SwaptionFirstMonthPosition+1,HL$169&gt;SwaptionFirstMonthPosition+SwaptionNumOfMonths+1,$FN204&gt;SwaptionFirstMonthPosition+SwaptionNumOfMonths+1),"",IF($FN204=HL$169,1,IF($FN204&lt;HL$169,INDEX($FO$170:$IH$241,HL$169,$FN204),SUMPRODUCT(INDEX($FO$325:$IH$396,HL$169,1+SwaptionShift):INDEX($FO$325:$IH$396,HL$169,SwaptionMonthsToGo+SwaptionShift),INDEX($FO$245:$IH$316,$FN204-HL$169,73-HL$169+SwaptionShift):INDEX($FO$245:$IH$316,$FN204-HL$169,72-HL$169+SwaptionMonthsToGo+SwaptionShift))/SQRT(SUM(INDEX($FO359:$IH359,1+SwaptionShift):INDEX($FO359:$IH359,SwaptionMonthsToGo+SwaptionShift))*SUM(INDEX($FO$325:$IH$396,HL$169,1+SwaptionShift):INDEX($FO$325:$IH$396,HL$169,SwaptionMonthsToGo+SwaptionShift))))))</f>
        <v/>
      </c>
      <c r="HM204" s="469" t="str">
        <f ca="1">IF(OR(HM$169&lt;SwaptionFirstMonthPosition+1,$FN204&lt;SwaptionFirstMonthPosition+1,HM$169&gt;SwaptionFirstMonthPosition+SwaptionNumOfMonths+1,$FN204&gt;SwaptionFirstMonthPosition+SwaptionNumOfMonths+1),"",IF($FN204=HM$169,1,IF($FN204&lt;HM$169,INDEX($FO$170:$IH$241,HM$169,$FN204),SUMPRODUCT(INDEX($FO$325:$IH$396,HM$169,1+SwaptionShift):INDEX($FO$325:$IH$396,HM$169,SwaptionMonthsToGo+SwaptionShift),INDEX($FO$245:$IH$316,$FN204-HM$169,73-HM$169+SwaptionShift):INDEX($FO$245:$IH$316,$FN204-HM$169,72-HM$169+SwaptionMonthsToGo+SwaptionShift))/SQRT(SUM(INDEX($FO359:$IH359,1+SwaptionShift):INDEX($FO359:$IH359,SwaptionMonthsToGo+SwaptionShift))*SUM(INDEX($FO$325:$IH$396,HM$169,1+SwaptionShift):INDEX($FO$325:$IH$396,HM$169,SwaptionMonthsToGo+SwaptionShift))))))</f>
        <v/>
      </c>
      <c r="HN204" s="469" t="str">
        <f ca="1">IF(OR(HN$169&lt;SwaptionFirstMonthPosition+1,$FN204&lt;SwaptionFirstMonthPosition+1,HN$169&gt;SwaptionFirstMonthPosition+SwaptionNumOfMonths+1,$FN204&gt;SwaptionFirstMonthPosition+SwaptionNumOfMonths+1),"",IF($FN204=HN$169,1,IF($FN204&lt;HN$169,INDEX($FO$170:$IH$241,HN$169,$FN204),SUMPRODUCT(INDEX($FO$325:$IH$396,HN$169,1+SwaptionShift):INDEX($FO$325:$IH$396,HN$169,SwaptionMonthsToGo+SwaptionShift),INDEX($FO$245:$IH$316,$FN204-HN$169,73-HN$169+SwaptionShift):INDEX($FO$245:$IH$316,$FN204-HN$169,72-HN$169+SwaptionMonthsToGo+SwaptionShift))/SQRT(SUM(INDEX($FO359:$IH359,1+SwaptionShift):INDEX($FO359:$IH359,SwaptionMonthsToGo+SwaptionShift))*SUM(INDEX($FO$325:$IH$396,HN$169,1+SwaptionShift):INDEX($FO$325:$IH$396,HN$169,SwaptionMonthsToGo+SwaptionShift))))))</f>
        <v/>
      </c>
      <c r="HO204" s="469" t="str">
        <f ca="1">IF(OR(HO$169&lt;SwaptionFirstMonthPosition+1,$FN204&lt;SwaptionFirstMonthPosition+1,HO$169&gt;SwaptionFirstMonthPosition+SwaptionNumOfMonths+1,$FN204&gt;SwaptionFirstMonthPosition+SwaptionNumOfMonths+1),"",IF($FN204=HO$169,1,IF($FN204&lt;HO$169,INDEX($FO$170:$IH$241,HO$169,$FN204),SUMPRODUCT(INDEX($FO$325:$IH$396,HO$169,1+SwaptionShift):INDEX($FO$325:$IH$396,HO$169,SwaptionMonthsToGo+SwaptionShift),INDEX($FO$245:$IH$316,$FN204-HO$169,73-HO$169+SwaptionShift):INDEX($FO$245:$IH$316,$FN204-HO$169,72-HO$169+SwaptionMonthsToGo+SwaptionShift))/SQRT(SUM(INDEX($FO359:$IH359,1+SwaptionShift):INDEX($FO359:$IH359,SwaptionMonthsToGo+SwaptionShift))*SUM(INDEX($FO$325:$IH$396,HO$169,1+SwaptionShift):INDEX($FO$325:$IH$396,HO$169,SwaptionMonthsToGo+SwaptionShift))))))</f>
        <v/>
      </c>
      <c r="HP204" s="469" t="str">
        <f ca="1">IF(OR(HP$169&lt;SwaptionFirstMonthPosition+1,$FN204&lt;SwaptionFirstMonthPosition+1,HP$169&gt;SwaptionFirstMonthPosition+SwaptionNumOfMonths+1,$FN204&gt;SwaptionFirstMonthPosition+SwaptionNumOfMonths+1),"",IF($FN204=HP$169,1,IF($FN204&lt;HP$169,INDEX($FO$170:$IH$241,HP$169,$FN204),SUMPRODUCT(INDEX($FO$325:$IH$396,HP$169,1+SwaptionShift):INDEX($FO$325:$IH$396,HP$169,SwaptionMonthsToGo+SwaptionShift),INDEX($FO$245:$IH$316,$FN204-HP$169,73-HP$169+SwaptionShift):INDEX($FO$245:$IH$316,$FN204-HP$169,72-HP$169+SwaptionMonthsToGo+SwaptionShift))/SQRT(SUM(INDEX($FO359:$IH359,1+SwaptionShift):INDEX($FO359:$IH359,SwaptionMonthsToGo+SwaptionShift))*SUM(INDEX($FO$325:$IH$396,HP$169,1+SwaptionShift):INDEX($FO$325:$IH$396,HP$169,SwaptionMonthsToGo+SwaptionShift))))))</f>
        <v/>
      </c>
      <c r="HQ204" s="469" t="str">
        <f ca="1">IF(OR(HQ$169&lt;SwaptionFirstMonthPosition+1,$FN204&lt;SwaptionFirstMonthPosition+1,HQ$169&gt;SwaptionFirstMonthPosition+SwaptionNumOfMonths+1,$FN204&gt;SwaptionFirstMonthPosition+SwaptionNumOfMonths+1),"",IF($FN204=HQ$169,1,IF($FN204&lt;HQ$169,INDEX($FO$170:$IH$241,HQ$169,$FN204),SUMPRODUCT(INDEX($FO$325:$IH$396,HQ$169,1+SwaptionShift):INDEX($FO$325:$IH$396,HQ$169,SwaptionMonthsToGo+SwaptionShift),INDEX($FO$245:$IH$316,$FN204-HQ$169,73-HQ$169+SwaptionShift):INDEX($FO$245:$IH$316,$FN204-HQ$169,72-HQ$169+SwaptionMonthsToGo+SwaptionShift))/SQRT(SUM(INDEX($FO359:$IH359,1+SwaptionShift):INDEX($FO359:$IH359,SwaptionMonthsToGo+SwaptionShift))*SUM(INDEX($FO$325:$IH$396,HQ$169,1+SwaptionShift):INDEX($FO$325:$IH$396,HQ$169,SwaptionMonthsToGo+SwaptionShift))))))</f>
        <v/>
      </c>
      <c r="HR204" s="469" t="str">
        <f ca="1">IF(OR(HR$169&lt;SwaptionFirstMonthPosition+1,$FN204&lt;SwaptionFirstMonthPosition+1,HR$169&gt;SwaptionFirstMonthPosition+SwaptionNumOfMonths+1,$FN204&gt;SwaptionFirstMonthPosition+SwaptionNumOfMonths+1),"",IF($FN204=HR$169,1,IF($FN204&lt;HR$169,INDEX($FO$170:$IH$241,HR$169,$FN204),SUMPRODUCT(INDEX($FO$325:$IH$396,HR$169,1+SwaptionShift):INDEX($FO$325:$IH$396,HR$169,SwaptionMonthsToGo+SwaptionShift),INDEX($FO$245:$IH$316,$FN204-HR$169,73-HR$169+SwaptionShift):INDEX($FO$245:$IH$316,$FN204-HR$169,72-HR$169+SwaptionMonthsToGo+SwaptionShift))/SQRT(SUM(INDEX($FO359:$IH359,1+SwaptionShift):INDEX($FO359:$IH359,SwaptionMonthsToGo+SwaptionShift))*SUM(INDEX($FO$325:$IH$396,HR$169,1+SwaptionShift):INDEX($FO$325:$IH$396,HR$169,SwaptionMonthsToGo+SwaptionShift))))))</f>
        <v/>
      </c>
      <c r="HS204" s="469" t="str">
        <f ca="1">IF(OR(HS$169&lt;SwaptionFirstMonthPosition+1,$FN204&lt;SwaptionFirstMonthPosition+1,HS$169&gt;SwaptionFirstMonthPosition+SwaptionNumOfMonths+1,$FN204&gt;SwaptionFirstMonthPosition+SwaptionNumOfMonths+1),"",IF($FN204=HS$169,1,IF($FN204&lt;HS$169,INDEX($FO$170:$IH$241,HS$169,$FN204),SUMPRODUCT(INDEX($FO$325:$IH$396,HS$169,1+SwaptionShift):INDEX($FO$325:$IH$396,HS$169,SwaptionMonthsToGo+SwaptionShift),INDEX($FO$245:$IH$316,$FN204-HS$169,73-HS$169+SwaptionShift):INDEX($FO$245:$IH$316,$FN204-HS$169,72-HS$169+SwaptionMonthsToGo+SwaptionShift))/SQRT(SUM(INDEX($FO359:$IH359,1+SwaptionShift):INDEX($FO359:$IH359,SwaptionMonthsToGo+SwaptionShift))*SUM(INDEX($FO$325:$IH$396,HS$169,1+SwaptionShift):INDEX($FO$325:$IH$396,HS$169,SwaptionMonthsToGo+SwaptionShift))))))</f>
        <v/>
      </c>
      <c r="HT204" s="469" t="str">
        <f ca="1">IF(OR(HT$169&lt;SwaptionFirstMonthPosition+1,$FN204&lt;SwaptionFirstMonthPosition+1,HT$169&gt;SwaptionFirstMonthPosition+SwaptionNumOfMonths+1,$FN204&gt;SwaptionFirstMonthPosition+SwaptionNumOfMonths+1),"",IF($FN204=HT$169,1,IF($FN204&lt;HT$169,INDEX($FO$170:$IH$241,HT$169,$FN204),SUMPRODUCT(INDEX($FO$325:$IH$396,HT$169,1+SwaptionShift):INDEX($FO$325:$IH$396,HT$169,SwaptionMonthsToGo+SwaptionShift),INDEX($FO$245:$IH$316,$FN204-HT$169,73-HT$169+SwaptionShift):INDEX($FO$245:$IH$316,$FN204-HT$169,72-HT$169+SwaptionMonthsToGo+SwaptionShift))/SQRT(SUM(INDEX($FO359:$IH359,1+SwaptionShift):INDEX($FO359:$IH359,SwaptionMonthsToGo+SwaptionShift))*SUM(INDEX($FO$325:$IH$396,HT$169,1+SwaptionShift):INDEX($FO$325:$IH$396,HT$169,SwaptionMonthsToGo+SwaptionShift))))))</f>
        <v/>
      </c>
      <c r="HU204" s="469" t="str">
        <f ca="1">IF(OR(HU$169&lt;SwaptionFirstMonthPosition+1,$FN204&lt;SwaptionFirstMonthPosition+1,HU$169&gt;SwaptionFirstMonthPosition+SwaptionNumOfMonths+1,$FN204&gt;SwaptionFirstMonthPosition+SwaptionNumOfMonths+1),"",IF($FN204=HU$169,1,IF($FN204&lt;HU$169,INDEX($FO$170:$IH$241,HU$169,$FN204),SUMPRODUCT(INDEX($FO$325:$IH$396,HU$169,1+SwaptionShift):INDEX($FO$325:$IH$396,HU$169,SwaptionMonthsToGo+SwaptionShift),INDEX($FO$245:$IH$316,$FN204-HU$169,73-HU$169+SwaptionShift):INDEX($FO$245:$IH$316,$FN204-HU$169,72-HU$169+SwaptionMonthsToGo+SwaptionShift))/SQRT(SUM(INDEX($FO359:$IH359,1+SwaptionShift):INDEX($FO359:$IH359,SwaptionMonthsToGo+SwaptionShift))*SUM(INDEX($FO$325:$IH$396,HU$169,1+SwaptionShift):INDEX($FO$325:$IH$396,HU$169,SwaptionMonthsToGo+SwaptionShift))))))</f>
        <v/>
      </c>
      <c r="HV204" s="469" t="str">
        <f ca="1">IF(OR(HV$169&lt;SwaptionFirstMonthPosition+1,$FN204&lt;SwaptionFirstMonthPosition+1,HV$169&gt;SwaptionFirstMonthPosition+SwaptionNumOfMonths+1,$FN204&gt;SwaptionFirstMonthPosition+SwaptionNumOfMonths+1),"",IF($FN204=HV$169,1,IF($FN204&lt;HV$169,INDEX($FO$170:$IH$241,HV$169,$FN204),SUMPRODUCT(INDEX($FO$325:$IH$396,HV$169,1+SwaptionShift):INDEX($FO$325:$IH$396,HV$169,SwaptionMonthsToGo+SwaptionShift),INDEX($FO$245:$IH$316,$FN204-HV$169,73-HV$169+SwaptionShift):INDEX($FO$245:$IH$316,$FN204-HV$169,72-HV$169+SwaptionMonthsToGo+SwaptionShift))/SQRT(SUM(INDEX($FO359:$IH359,1+SwaptionShift):INDEX($FO359:$IH359,SwaptionMonthsToGo+SwaptionShift))*SUM(INDEX($FO$325:$IH$396,HV$169,1+SwaptionShift):INDEX($FO$325:$IH$396,HV$169,SwaptionMonthsToGo+SwaptionShift))))))</f>
        <v/>
      </c>
      <c r="HW204" s="469" t="str">
        <f ca="1">IF(OR(HW$169&lt;SwaptionFirstMonthPosition+1,$FN204&lt;SwaptionFirstMonthPosition+1,HW$169&gt;SwaptionFirstMonthPosition+SwaptionNumOfMonths+1,$FN204&gt;SwaptionFirstMonthPosition+SwaptionNumOfMonths+1),"",IF($FN204=HW$169,1,IF($FN204&lt;HW$169,INDEX($FO$170:$IH$241,HW$169,$FN204),SUMPRODUCT(INDEX($FO$325:$IH$396,HW$169,1+SwaptionShift):INDEX($FO$325:$IH$396,HW$169,SwaptionMonthsToGo+SwaptionShift),INDEX($FO$245:$IH$316,$FN204-HW$169,73-HW$169+SwaptionShift):INDEX($FO$245:$IH$316,$FN204-HW$169,72-HW$169+SwaptionMonthsToGo+SwaptionShift))/SQRT(SUM(INDEX($FO359:$IH359,1+SwaptionShift):INDEX($FO359:$IH359,SwaptionMonthsToGo+SwaptionShift))*SUM(INDEX($FO$325:$IH$396,HW$169,1+SwaptionShift):INDEX($FO$325:$IH$396,HW$169,SwaptionMonthsToGo+SwaptionShift))))))</f>
        <v/>
      </c>
      <c r="HX204" s="469" t="str">
        <f ca="1">IF(OR(HX$169&lt;SwaptionFirstMonthPosition+1,$FN204&lt;SwaptionFirstMonthPosition+1,HX$169&gt;SwaptionFirstMonthPosition+SwaptionNumOfMonths+1,$FN204&gt;SwaptionFirstMonthPosition+SwaptionNumOfMonths+1),"",IF($FN204=HX$169,1,IF($FN204&lt;HX$169,INDEX($FO$170:$IH$241,HX$169,$FN204),SUMPRODUCT(INDEX($FO$325:$IH$396,HX$169,1+SwaptionShift):INDEX($FO$325:$IH$396,HX$169,SwaptionMonthsToGo+SwaptionShift),INDEX($FO$245:$IH$316,$FN204-HX$169,73-HX$169+SwaptionShift):INDEX($FO$245:$IH$316,$FN204-HX$169,72-HX$169+SwaptionMonthsToGo+SwaptionShift))/SQRT(SUM(INDEX($FO359:$IH359,1+SwaptionShift):INDEX($FO359:$IH359,SwaptionMonthsToGo+SwaptionShift))*SUM(INDEX($FO$325:$IH$396,HX$169,1+SwaptionShift):INDEX($FO$325:$IH$396,HX$169,SwaptionMonthsToGo+SwaptionShift))))))</f>
        <v/>
      </c>
      <c r="HY204" s="469" t="str">
        <f ca="1">IF(OR(HY$169&lt;SwaptionFirstMonthPosition+1,$FN204&lt;SwaptionFirstMonthPosition+1,HY$169&gt;SwaptionFirstMonthPosition+SwaptionNumOfMonths+1,$FN204&gt;SwaptionFirstMonthPosition+SwaptionNumOfMonths+1),"",IF($FN204=HY$169,1,IF($FN204&lt;HY$169,INDEX($FO$170:$IH$241,HY$169,$FN204),SUMPRODUCT(INDEX($FO$325:$IH$396,HY$169,1+SwaptionShift):INDEX($FO$325:$IH$396,HY$169,SwaptionMonthsToGo+SwaptionShift),INDEX($FO$245:$IH$316,$FN204-HY$169,73-HY$169+SwaptionShift):INDEX($FO$245:$IH$316,$FN204-HY$169,72-HY$169+SwaptionMonthsToGo+SwaptionShift))/SQRT(SUM(INDEX($FO359:$IH359,1+SwaptionShift):INDEX($FO359:$IH359,SwaptionMonthsToGo+SwaptionShift))*SUM(INDEX($FO$325:$IH$396,HY$169,1+SwaptionShift):INDEX($FO$325:$IH$396,HY$169,SwaptionMonthsToGo+SwaptionShift))))))</f>
        <v/>
      </c>
      <c r="HZ204" s="469" t="str">
        <f ca="1">IF(OR(HZ$169&lt;SwaptionFirstMonthPosition+1,$FN204&lt;SwaptionFirstMonthPosition+1,HZ$169&gt;SwaptionFirstMonthPosition+SwaptionNumOfMonths+1,$FN204&gt;SwaptionFirstMonthPosition+SwaptionNumOfMonths+1),"",IF($FN204=HZ$169,1,IF($FN204&lt;HZ$169,INDEX($FO$170:$IH$241,HZ$169,$FN204),SUMPRODUCT(INDEX($FO$325:$IH$396,HZ$169,1+SwaptionShift):INDEX($FO$325:$IH$396,HZ$169,SwaptionMonthsToGo+SwaptionShift),INDEX($FO$245:$IH$316,$FN204-HZ$169,73-HZ$169+SwaptionShift):INDEX($FO$245:$IH$316,$FN204-HZ$169,72-HZ$169+SwaptionMonthsToGo+SwaptionShift))/SQRT(SUM(INDEX($FO359:$IH359,1+SwaptionShift):INDEX($FO359:$IH359,SwaptionMonthsToGo+SwaptionShift))*SUM(INDEX($FO$325:$IH$396,HZ$169,1+SwaptionShift):INDEX($FO$325:$IH$396,HZ$169,SwaptionMonthsToGo+SwaptionShift))))))</f>
        <v/>
      </c>
      <c r="IA204" s="469" t="str">
        <f ca="1">IF(OR(IA$169&lt;SwaptionFirstMonthPosition+1,$FN204&lt;SwaptionFirstMonthPosition+1,IA$169&gt;SwaptionFirstMonthPosition+SwaptionNumOfMonths+1,$FN204&gt;SwaptionFirstMonthPosition+SwaptionNumOfMonths+1),"",IF($FN204=IA$169,1,IF($FN204&lt;IA$169,INDEX($FO$170:$IH$241,IA$169,$FN204),SUMPRODUCT(INDEX($FO$325:$IH$396,IA$169,1+SwaptionShift):INDEX($FO$325:$IH$396,IA$169,SwaptionMonthsToGo+SwaptionShift),INDEX($FO$245:$IH$316,$FN204-IA$169,73-IA$169+SwaptionShift):INDEX($FO$245:$IH$316,$FN204-IA$169,72-IA$169+SwaptionMonthsToGo+SwaptionShift))/SQRT(SUM(INDEX($FO359:$IH359,1+SwaptionShift):INDEX($FO359:$IH359,SwaptionMonthsToGo+SwaptionShift))*SUM(INDEX($FO$325:$IH$396,IA$169,1+SwaptionShift):INDEX($FO$325:$IH$396,IA$169,SwaptionMonthsToGo+SwaptionShift))))))</f>
        <v/>
      </c>
      <c r="IB204" s="469" t="str">
        <f ca="1">IF(OR(IB$169&lt;SwaptionFirstMonthPosition+1,$FN204&lt;SwaptionFirstMonthPosition+1,IB$169&gt;SwaptionFirstMonthPosition+SwaptionNumOfMonths+1,$FN204&gt;SwaptionFirstMonthPosition+SwaptionNumOfMonths+1),"",IF($FN204=IB$169,1,IF($FN204&lt;IB$169,INDEX($FO$170:$IH$241,IB$169,$FN204),SUMPRODUCT(INDEX($FO$325:$IH$396,IB$169,1+SwaptionShift):INDEX($FO$325:$IH$396,IB$169,SwaptionMonthsToGo+SwaptionShift),INDEX($FO$245:$IH$316,$FN204-IB$169,73-IB$169+SwaptionShift):INDEX($FO$245:$IH$316,$FN204-IB$169,72-IB$169+SwaptionMonthsToGo+SwaptionShift))/SQRT(SUM(INDEX($FO359:$IH359,1+SwaptionShift):INDEX($FO359:$IH359,SwaptionMonthsToGo+SwaptionShift))*SUM(INDEX($FO$325:$IH$396,IB$169,1+SwaptionShift):INDEX($FO$325:$IH$396,IB$169,SwaptionMonthsToGo+SwaptionShift))))))</f>
        <v/>
      </c>
      <c r="IC204" s="469" t="str">
        <f ca="1">IF(OR(IC$169&lt;SwaptionFirstMonthPosition+1,$FN204&lt;SwaptionFirstMonthPosition+1,IC$169&gt;SwaptionFirstMonthPosition+SwaptionNumOfMonths+1,$FN204&gt;SwaptionFirstMonthPosition+SwaptionNumOfMonths+1),"",IF($FN204=IC$169,1,IF($FN204&lt;IC$169,INDEX($FO$170:$IH$241,IC$169,$FN204),SUMPRODUCT(INDEX($FO$325:$IH$396,IC$169,1+SwaptionShift):INDEX($FO$325:$IH$396,IC$169,SwaptionMonthsToGo+SwaptionShift),INDEX($FO$245:$IH$316,$FN204-IC$169,73-IC$169+SwaptionShift):INDEX($FO$245:$IH$316,$FN204-IC$169,72-IC$169+SwaptionMonthsToGo+SwaptionShift))/SQRT(SUM(INDEX($FO359:$IH359,1+SwaptionShift):INDEX($FO359:$IH359,SwaptionMonthsToGo+SwaptionShift))*SUM(INDEX($FO$325:$IH$396,IC$169,1+SwaptionShift):INDEX($FO$325:$IH$396,IC$169,SwaptionMonthsToGo+SwaptionShift))))))</f>
        <v/>
      </c>
      <c r="ID204" s="469" t="str">
        <f ca="1">IF(OR(ID$169&lt;SwaptionFirstMonthPosition+1,$FN204&lt;SwaptionFirstMonthPosition+1,ID$169&gt;SwaptionFirstMonthPosition+SwaptionNumOfMonths+1,$FN204&gt;SwaptionFirstMonthPosition+SwaptionNumOfMonths+1),"",IF($FN204=ID$169,1,IF($FN204&lt;ID$169,INDEX($FO$170:$IH$241,ID$169,$FN204),SUMPRODUCT(INDEX($FO$325:$IH$396,ID$169,1+SwaptionShift):INDEX($FO$325:$IH$396,ID$169,SwaptionMonthsToGo+SwaptionShift),INDEX($FO$245:$IH$316,$FN204-ID$169,73-ID$169+SwaptionShift):INDEX($FO$245:$IH$316,$FN204-ID$169,72-ID$169+SwaptionMonthsToGo+SwaptionShift))/SQRT(SUM(INDEX($FO359:$IH359,1+SwaptionShift):INDEX($FO359:$IH359,SwaptionMonthsToGo+SwaptionShift))*SUM(INDEX($FO$325:$IH$396,ID$169,1+SwaptionShift):INDEX($FO$325:$IH$396,ID$169,SwaptionMonthsToGo+SwaptionShift))))))</f>
        <v/>
      </c>
      <c r="IE204" s="469" t="str">
        <f ca="1">IF(OR(IE$169&lt;SwaptionFirstMonthPosition+1,$FN204&lt;SwaptionFirstMonthPosition+1,IE$169&gt;SwaptionFirstMonthPosition+SwaptionNumOfMonths+1,$FN204&gt;SwaptionFirstMonthPosition+SwaptionNumOfMonths+1),"",IF($FN204=IE$169,1,IF($FN204&lt;IE$169,INDEX($FO$170:$IH$241,IE$169,$FN204),SUMPRODUCT(INDEX($FO$325:$IH$396,IE$169,1+SwaptionShift):INDEX($FO$325:$IH$396,IE$169,SwaptionMonthsToGo+SwaptionShift),INDEX($FO$245:$IH$316,$FN204-IE$169,73-IE$169+SwaptionShift):INDEX($FO$245:$IH$316,$FN204-IE$169,72-IE$169+SwaptionMonthsToGo+SwaptionShift))/SQRT(SUM(INDEX($FO359:$IH359,1+SwaptionShift):INDEX($FO359:$IH359,SwaptionMonthsToGo+SwaptionShift))*SUM(INDEX($FO$325:$IH$396,IE$169,1+SwaptionShift):INDEX($FO$325:$IH$396,IE$169,SwaptionMonthsToGo+SwaptionShift))))))</f>
        <v/>
      </c>
      <c r="IF204" s="469" t="str">
        <f ca="1">IF(OR(IF$169&lt;SwaptionFirstMonthPosition+1,$FN204&lt;SwaptionFirstMonthPosition+1,IF$169&gt;SwaptionFirstMonthPosition+SwaptionNumOfMonths+1,$FN204&gt;SwaptionFirstMonthPosition+SwaptionNumOfMonths+1),"",IF($FN204=IF$169,1,IF($FN204&lt;IF$169,INDEX($FO$170:$IH$241,IF$169,$FN204),SUMPRODUCT(INDEX($FO$325:$IH$396,IF$169,1+SwaptionShift):INDEX($FO$325:$IH$396,IF$169,SwaptionMonthsToGo+SwaptionShift),INDEX($FO$245:$IH$316,$FN204-IF$169,73-IF$169+SwaptionShift):INDEX($FO$245:$IH$316,$FN204-IF$169,72-IF$169+SwaptionMonthsToGo+SwaptionShift))/SQRT(SUM(INDEX($FO359:$IH359,1+SwaptionShift):INDEX($FO359:$IH359,SwaptionMonthsToGo+SwaptionShift))*SUM(INDEX($FO$325:$IH$396,IF$169,1+SwaptionShift):INDEX($FO$325:$IH$396,IF$169,SwaptionMonthsToGo+SwaptionShift))))))</f>
        <v/>
      </c>
      <c r="IG204" s="469" t="str">
        <f ca="1">IF(OR(IG$169&lt;SwaptionFirstMonthPosition+1,$FN204&lt;SwaptionFirstMonthPosition+1,IG$169&gt;SwaptionFirstMonthPosition+SwaptionNumOfMonths+1,$FN204&gt;SwaptionFirstMonthPosition+SwaptionNumOfMonths+1),"",IF($FN204=IG$169,1,IF($FN204&lt;IG$169,INDEX($FO$170:$IH$241,IG$169,$FN204),SUMPRODUCT(INDEX($FO$325:$IH$396,IG$169,1+SwaptionShift):INDEX($FO$325:$IH$396,IG$169,SwaptionMonthsToGo+SwaptionShift),INDEX($FO$245:$IH$316,$FN204-IG$169,73-IG$169+SwaptionShift):INDEX($FO$245:$IH$316,$FN204-IG$169,72-IG$169+SwaptionMonthsToGo+SwaptionShift))/SQRT(SUM(INDEX($FO359:$IH359,1+SwaptionShift):INDEX($FO359:$IH359,SwaptionMonthsToGo+SwaptionShift))*SUM(INDEX($FO$325:$IH$396,IG$169,1+SwaptionShift):INDEX($FO$325:$IH$396,IG$169,SwaptionMonthsToGo+SwaptionShift))))))</f>
        <v/>
      </c>
      <c r="IH204" s="662" t="str">
        <f ca="1">IF(OR(IH$169&lt;SwaptionFirstMonthPosition+1,$FN204&lt;SwaptionFirstMonthPosition+1,IH$169&gt;SwaptionFirstMonthPosition+SwaptionNumOfMonths+1,$FN204&gt;SwaptionFirstMonthPosition+SwaptionNumOfMonths+1),"",IF($FN204=IH$169,1,IF($FN204&lt;IH$169,INDEX($FO$170:$IH$241,IH$169,$FN204),SUMPRODUCT(INDEX($FO$325:$IH$396,IH$169,1+SwaptionShift):INDEX($FO$325:$IH$396,IH$169,SwaptionMonthsToGo+SwaptionShift),INDEX($FO$245:$IH$316,$FN204-IH$169,73-IH$169+SwaptionShift):INDEX($FO$245:$IH$316,$FN204-IH$169,72-IH$169+SwaptionMonthsToGo+SwaptionShift))/SQRT(SUM(INDEX($FO359:$IH359,1+SwaptionShift):INDEX($FO359:$IH359,SwaptionMonthsToGo+SwaptionShift))*SUM(INDEX($FO$325:$IH$396,IH$169,1+SwaptionShift):INDEX($FO$325:$IH$396,IH$169,SwaptionMonthsToGo+SwaptionShift))))))</f>
        <v/>
      </c>
      <c r="II204" s="242"/>
    </row>
    <row r="205" spans="8:243">
      <c r="H205" s="49" t="e">
        <f t="shared" ca="1" si="529"/>
        <v>#N/A</v>
      </c>
      <c r="I205" s="369">
        <f t="shared" si="530"/>
        <v>42644</v>
      </c>
      <c r="J205" s="367">
        <v>24.009999999999902</v>
      </c>
      <c r="K205" s="101" t="s">
        <v>267</v>
      </c>
      <c r="L205" s="382">
        <f t="shared" si="531"/>
        <v>24.009999999999867</v>
      </c>
      <c r="M205" s="163">
        <v>0.1371</v>
      </c>
      <c r="N205" s="372">
        <v>0</v>
      </c>
      <c r="O205" s="163">
        <f t="shared" si="595"/>
        <v>0.1371</v>
      </c>
      <c r="P205" s="367">
        <v>22.6063853080109</v>
      </c>
      <c r="Q205" s="101" t="s">
        <v>267</v>
      </c>
      <c r="R205" s="367">
        <f t="shared" ca="1" si="596"/>
        <v>22.606385308010921</v>
      </c>
      <c r="S205" s="814">
        <f t="shared" si="594"/>
        <v>0.34786766410538972</v>
      </c>
      <c r="T205" s="813">
        <f t="shared" si="550"/>
        <v>0.99999999973251441</v>
      </c>
      <c r="U205" s="532">
        <f t="shared" si="551"/>
        <v>0.99999999999999978</v>
      </c>
      <c r="V205" s="379">
        <v>0</v>
      </c>
      <c r="W205" s="424">
        <f t="shared" si="597"/>
        <v>24.043333333333234</v>
      </c>
      <c r="X205" s="405">
        <f t="shared" si="598"/>
        <v>24.043333333333198</v>
      </c>
      <c r="Y205" s="313">
        <f t="shared" si="599"/>
        <v>22.801733333333232</v>
      </c>
      <c r="Z205" s="313">
        <f t="shared" ca="1" si="600"/>
        <v>22.801733333333196</v>
      </c>
      <c r="AA205" s="419">
        <f t="shared" si="493"/>
        <v>1.2416</v>
      </c>
      <c r="AB205" s="423">
        <f t="shared" ca="1" si="494"/>
        <v>1.2416</v>
      </c>
      <c r="AC205" s="221">
        <v>42633</v>
      </c>
      <c r="AD205" s="221">
        <v>42629</v>
      </c>
      <c r="AE205" s="221">
        <v>42628</v>
      </c>
      <c r="AF205" s="221">
        <v>42624</v>
      </c>
      <c r="AG205" s="241" t="s">
        <v>497</v>
      </c>
      <c r="AH205" s="239" t="s">
        <v>497</v>
      </c>
      <c r="AI205" s="141">
        <v>21</v>
      </c>
      <c r="AJ205" s="41">
        <v>14</v>
      </c>
      <c r="AK205" s="41">
        <v>7</v>
      </c>
      <c r="AL205" s="285">
        <v>21</v>
      </c>
      <c r="AM205" s="41">
        <v>10</v>
      </c>
      <c r="AN205" s="142">
        <v>11</v>
      </c>
      <c r="AO205" s="364">
        <v>6.2215142961505404E-2</v>
      </c>
      <c r="AP205" s="145">
        <f t="shared" ca="1" si="532"/>
        <v>0.38541494138539351</v>
      </c>
      <c r="AQ205" s="364">
        <v>5.6892083645627707E-2</v>
      </c>
      <c r="AR205" s="145">
        <f t="shared" ca="1" si="552"/>
        <v>0.42059646851009302</v>
      </c>
      <c r="AS205" s="264">
        <f t="shared" si="601"/>
        <v>0.13656666666666667</v>
      </c>
      <c r="AT205" s="149">
        <f t="shared" si="533"/>
        <v>0.1371</v>
      </c>
      <c r="AU205" s="149">
        <f t="shared" si="496"/>
        <v>0.13649047619047622</v>
      </c>
      <c r="AV205" s="263">
        <f t="shared" ca="1" si="560"/>
        <v>0.13502363263742864</v>
      </c>
      <c r="AW205" s="150" t="str">
        <f t="shared" ca="1" si="581"/>
        <v/>
      </c>
      <c r="AX205" s="149">
        <f t="shared" ca="1" si="553"/>
        <v>4.7713752394657506E-3</v>
      </c>
      <c r="AY205" s="149">
        <f t="shared" ca="1" si="554"/>
        <v>1.5741214419688029E-3</v>
      </c>
      <c r="AZ205" s="149">
        <f t="shared" ca="1" si="555"/>
        <v>1.7109376124782494E-3</v>
      </c>
      <c r="BA205" s="149">
        <f t="shared" ca="1" si="556"/>
        <v>1.0000000000000944E-4</v>
      </c>
      <c r="BB205" s="149">
        <f t="shared" ca="1" si="557"/>
        <v>1.0000000000000944E-4</v>
      </c>
      <c r="BC205" s="149">
        <f t="shared" ca="1" si="558"/>
        <v>1.0000000000000944E-4</v>
      </c>
      <c r="BD205" s="143">
        <f t="shared" ca="1" si="602"/>
        <v>0</v>
      </c>
      <c r="BE205" s="144">
        <f t="shared" ca="1" si="603"/>
        <v>0</v>
      </c>
      <c r="BF205" s="40">
        <f t="shared" si="604"/>
        <v>2016</v>
      </c>
      <c r="BG205" s="139">
        <f t="shared" si="605"/>
        <v>10</v>
      </c>
      <c r="BH205" s="140">
        <f t="shared" ca="1" si="606"/>
        <v>5639</v>
      </c>
      <c r="BI205" s="304">
        <f t="shared" ca="1" si="607"/>
        <v>15.4798083504449</v>
      </c>
      <c r="BJ205" s="42">
        <f t="shared" ca="1" si="503"/>
        <v>15.534565366187543</v>
      </c>
      <c r="BK205" s="42">
        <f t="shared" ca="1" si="504"/>
        <v>15.537303216974676</v>
      </c>
      <c r="BL205" s="42">
        <f t="shared" ca="1" si="608"/>
        <v>15.561943874058864</v>
      </c>
      <c r="BM205" s="285">
        <f t="shared" si="609"/>
        <v>21</v>
      </c>
      <c r="BN205" s="41">
        <f t="shared" si="610"/>
        <v>14</v>
      </c>
      <c r="BO205" s="41">
        <f t="shared" si="611"/>
        <v>7</v>
      </c>
      <c r="BP205" s="297" t="str">
        <f t="shared" ca="1" si="505"/>
        <v/>
      </c>
      <c r="BQ205" s="297" t="str">
        <f t="shared" ca="1" si="506"/>
        <v/>
      </c>
      <c r="BR205" s="299" t="str">
        <f t="shared" ca="1" si="507"/>
        <v/>
      </c>
      <c r="BS205" s="153" t="str">
        <f t="shared" ca="1" si="508"/>
        <v/>
      </c>
      <c r="BT205" s="153" t="str">
        <f t="shared" ca="1" si="509"/>
        <v/>
      </c>
      <c r="BU205" s="300" t="str">
        <f t="shared" ca="1" si="510"/>
        <v/>
      </c>
      <c r="BV205" s="301" t="str">
        <f t="shared" ca="1" si="511"/>
        <v/>
      </c>
      <c r="BW205" s="300" t="str">
        <f t="shared" ca="1" si="512"/>
        <v/>
      </c>
      <c r="BX205" s="301" t="str">
        <f t="shared" ca="1" si="513"/>
        <v/>
      </c>
      <c r="BY205" s="146" t="str">
        <f t="shared" ca="1" si="514"/>
        <v/>
      </c>
      <c r="BZ205" s="146" t="str">
        <f t="shared" ca="1" si="515"/>
        <v/>
      </c>
      <c r="CA205" s="146" t="str">
        <f t="shared" ca="1" si="516"/>
        <v/>
      </c>
      <c r="CB205" s="146" t="str">
        <f t="shared" ca="1" si="517"/>
        <v/>
      </c>
      <c r="CC205" s="302">
        <v>1</v>
      </c>
      <c r="CD205" s="154">
        <f ca="1">IF(BD205,_xll.xCrudeAPO(BS205,BT205,BY205,BZ205,S206,S207,BI205,BL205,BN205,BO205,0,Strike1,AO205,CC205,0,BL205,IF(OptControl=4,0,1),0,1),0)</f>
        <v>0</v>
      </c>
      <c r="CE205" s="155">
        <f ca="1">IF(BD205,_xll.xCrudeAPO(BS205,BT205,BY205,BZ205,S206,S207,BI205,BL205,BN205,BO205,0,Strike1,AO205,CC205,0,BL205,IF(OptControl=4,0,1),1,1)+_xll.xCrudeAPO(BS205,BT205,BY205,BZ205,S206,S207,BI205,BL205,BN205,BO205,0,Strike1,AO205,CC205,0,BL205,IF(OptControl=4,0,1),1,2)+IF(OR(VolSkewFlag=2,ABS(BQ205)&lt;0.0001),0,IF(BQ205&gt;0,-1,1)*CF205*Strike1/BP205^2*BW205/10%),0)</f>
        <v>0</v>
      </c>
      <c r="CF205" s="155">
        <f ca="1">IF(BD205,(_xll.xCrudeAPO(BS205,BT205,BY205,BZ205,S206,S207,BI205,BL205,BN205,BO205,0,Strike1,AO205,CC205,0,BL205,IF(OptControl=4,0,1),3,1)+_xll.xCrudeAPO(BS205,BT205,BY205,BZ205,S206,S207,BI205,BL205,BN205,BO205,0,Strike1,AO205,CC205,0,BL205,IF(OptControl=4,0,1),3,2))/100,0)</f>
        <v>0</v>
      </c>
      <c r="CG205" s="155">
        <f ca="1">IF(BD205,_xll.xCrudeAPO(BS205,BT205,BY205,BZ205,S206,S207,BI205-DaysForThetaCalculation/365.25,BL205-DaysForThetaCalculation/365.25,BN205,BO205,0,Strike1,AO205,CC205,0,BL205,IF(OptControl=4,0,1),0,1)-_xll.xCrudeAPO(BS205,BT205,BY205,BZ205,S206,S207,BI205,BL205,BN205,BO205,0,Strike1,AO205,CC205,0,BL205,IF(OptControl=4,0,1),0,1),0)</f>
        <v>0</v>
      </c>
      <c r="CH205" s="303">
        <f ca="1">IF(BD205,_xll.xCrudeAPO(BS205,BT205,CA205,CB205,S206,S207,BI205,BL205,BN205,BO205,0,Strike2,AO205,CC205,0,BL205,IF(OptControl=3,1,0),0,1),0)</f>
        <v>0</v>
      </c>
      <c r="CI205" s="155">
        <f ca="1">IF(BD205,_xll.xCrudeAPO(BS205,BT205,CA205,CB205,S206,S207,BI205,BL205,BN205,BO205,0,Strike2,AO205,CC205,0,BL205,IF(OptControl=3,1,0),1,1)+_xll.xCrudeAPO(BS205,BT205,CA205,CB205,S206,S207,BI205,BL205,BN205,BO205,0,Strike2,AO205,CC205,0,BL205,IF(OptControl=3,1,0),1,2)+IF(OR(VolSkewFlag=2,ABS(BR205)&lt;0.0001),0,IF(BR205&gt;0,-1,1)*CJ205*Strike2/BP205^2*BX205/10%),0)</f>
        <v>0</v>
      </c>
      <c r="CJ205" s="155">
        <f ca="1">IF(BD205,(_xll.xCrudeAPO(BS205,BT205,CA205,CB205,S206,S207,BI205,BL205,BN205,BO205,0,Strike2,AO205,CC205,0,BL205,IF(OptControl=3,1,0),3,1)+_xll.xCrudeAPO(BS205,BT205,CA205,CB205,S206,S207,BI205,BL205,BN205,BO205,0,Strike2,AO205,CC205,0,BL205,IF(OptControl=3,1,0),3,2))/100,0)</f>
        <v>0</v>
      </c>
      <c r="CK205" s="156">
        <f ca="1">IF(BD205,_xll.xCrudeAPO(BS205,BT205,CA205,CB205,S206,S207,BI205-DaysForThetaCalculation/365.25,BL205-DaysForThetaCalculation/365.25,BN205,BO205,0,Strike2,AO205,CC205,0,BL205,IF(OptControl=3,1,0),0,1)-_xll.xCrudeAPO(BS205,BT205,CA205,CB205,S206,S207,BI205,BL205,BN205,BO205,0,Strike2,AO205,CC205,0,BL205,IF(OptControl=3,1,0),0,1),0)</f>
        <v>0</v>
      </c>
      <c r="CL205" s="51"/>
      <c r="CM205" s="779" t="str">
        <f t="shared" ca="1" si="534"/>
        <v/>
      </c>
      <c r="CN205" s="783" t="str">
        <f t="shared" ca="1" si="535"/>
        <v/>
      </c>
      <c r="CO205" s="780" t="str">
        <f t="shared" ca="1" si="536"/>
        <v/>
      </c>
      <c r="CP205" s="780" t="str">
        <f t="shared" ca="1" si="537"/>
        <v/>
      </c>
      <c r="CQ205" s="780" t="str">
        <f t="shared" ca="1" si="538"/>
        <v/>
      </c>
      <c r="CR205" s="780" t="str">
        <f t="shared" ca="1" si="539"/>
        <v/>
      </c>
      <c r="CS205" s="781" t="str">
        <f t="shared" ca="1" si="540"/>
        <v/>
      </c>
      <c r="CT205" s="782" t="str">
        <f t="shared" ca="1" si="541"/>
        <v/>
      </c>
      <c r="CU205" s="782" t="str">
        <f t="shared" ca="1" si="542"/>
        <v/>
      </c>
      <c r="CV205" s="155">
        <f ca="1">IF(BD205,_xll.EURO(CN205,Strike1,AO205,AO205,CT205,CM205,IF(OptControl=4,0,1),0),0)</f>
        <v>0</v>
      </c>
      <c r="CW205" s="155">
        <f ca="1">IF(BD205,_xll.EURO(CN205,Strike1,AO205,AO205,CT205,CM205,IF(OptControl=4,0,1),1)+IF(OR(VolSkewFlag=2,ABS(CO205)&lt;0.0001),0,IF(CO205&gt;0,-1,1)*CX205*100*Strike1/CN205^2*CQ205/10%),0)</f>
        <v>0</v>
      </c>
      <c r="CX205" s="155">
        <f ca="1">IF(BD205,_xll.EURO(CN205,Strike1,AO205,AO205,CT205,CM205,IF(OptControl=4,0,1),3)/100,0)</f>
        <v>0</v>
      </c>
      <c r="CY205" s="155">
        <f ca="1">IF(BD205,_xll.EURO(CN205,Strike1,AO205,AO205,CT205,CM205,IF(OptControl=4,0,1),0)-_xll.EURO(CN205,Strike1,AO205,AO205,CT205,CM205-1,IF(OptControl=4,0,1),0),0)</f>
        <v>0</v>
      </c>
      <c r="CZ205" s="155">
        <f ca="1">IF(BD205,_xll.EURO(CN205,Strike2,AO205,AO205,CU205,CM205,IF(OptControl=3,1,0),0),0)</f>
        <v>0</v>
      </c>
      <c r="DA205" s="155">
        <f ca="1">IF(BD205,_xll.EURO(CN205,Strike2,AO205,AO205,CU205,CM205,IF(OptControl=3,1,0),1)+IF(OR(VolSkewFlag=2,ABS(CP205)&lt;0.0001),0,IF(CP205&gt;0,-1,1)*DB205*100*Strike2/CN205^2*CR205/10%),0)</f>
        <v>0</v>
      </c>
      <c r="DB205" s="155">
        <f ca="1">IF(BD205,_xll.EURO(CN205,Strike2,AO205,AO205,CU205,CM205,IF(OptControl=3,1,0),3)/100,0)</f>
        <v>0</v>
      </c>
      <c r="DC205" s="156">
        <f ca="1">IF(BD205,_xll.EURO(CN205,Strike2,AO205,AO205,CU205,CM205,IF(OptControl=3,1,0),0)-_xll.EURO(CN205,Strike2,AO205,AO205,CU205,CM205-1,IF(OptControl=3,1,0),0),0)</f>
        <v>0</v>
      </c>
      <c r="DE205" s="651">
        <f t="shared" ca="1" si="543"/>
        <v>42552</v>
      </c>
      <c r="DF205" s="465">
        <v>1E-4</v>
      </c>
      <c r="DG205" s="649">
        <v>1E-4</v>
      </c>
      <c r="DH205" s="650">
        <f t="shared" ca="1" si="612"/>
        <v>42552</v>
      </c>
      <c r="DI205" s="465">
        <v>1E-4</v>
      </c>
      <c r="DJ205" s="649">
        <v>1E-4</v>
      </c>
      <c r="DK205" s="651">
        <f t="shared" ca="1" si="613"/>
        <v>42552</v>
      </c>
      <c r="DL205" s="652">
        <f t="shared" si="614"/>
        <v>5.0100000000000006E-2</v>
      </c>
      <c r="DM205" s="651">
        <f t="shared" ca="1" si="615"/>
        <v>42552</v>
      </c>
      <c r="DN205" s="563">
        <f t="shared" si="616"/>
        <v>-0.12990000000000002</v>
      </c>
      <c r="DO205" s="803">
        <v>-0.13</v>
      </c>
      <c r="DP205" s="650">
        <f t="shared" ca="1" si="617"/>
        <v>42552</v>
      </c>
      <c r="DQ205" s="653">
        <v>1E-4</v>
      </c>
      <c r="DR205" s="590">
        <v>1E-4</v>
      </c>
      <c r="DS205" s="650">
        <f t="shared" ca="1" si="618"/>
        <v>42552</v>
      </c>
      <c r="DT205" s="653">
        <v>1E-4</v>
      </c>
      <c r="DU205" s="590">
        <v>1E-4</v>
      </c>
      <c r="DV205" s="651">
        <f t="shared" ca="1" si="619"/>
        <v>42552</v>
      </c>
      <c r="DW205" s="590">
        <v>1E-4</v>
      </c>
      <c r="DX205" s="651">
        <f t="shared" ca="1" si="620"/>
        <v>42552</v>
      </c>
      <c r="DY205" s="590">
        <f t="shared" si="621"/>
        <v>1E-4</v>
      </c>
      <c r="DZ205" s="1"/>
      <c r="EA205" s="857"/>
      <c r="EB205" s="857"/>
      <c r="EC205" s="857"/>
      <c r="ED205" s="868" t="e">
        <f t="shared" ca="1" si="566"/>
        <v>#NAME?</v>
      </c>
      <c r="EE205" s="863" t="e">
        <f t="shared" ca="1" si="524"/>
        <v>#NAME?</v>
      </c>
      <c r="EF205" s="590" t="e">
        <f t="shared" ca="1" si="525"/>
        <v>#NAME?</v>
      </c>
      <c r="EG205" s="862" t="str">
        <f t="shared" ca="1" si="622"/>
        <v/>
      </c>
      <c r="EH205" s="114" t="str">
        <f t="shared" ca="1" si="527"/>
        <v/>
      </c>
      <c r="EI205" s="109" t="str">
        <f t="shared" ca="1" si="528"/>
        <v/>
      </c>
      <c r="EJ205" s="115">
        <f ca="1">IF(BD205,_xll.xASN(BP205,Strike1,AO205,EH205,0,BM205,0,BI205,BL205,IF(OptControl=4,0,1),0),0)</f>
        <v>0</v>
      </c>
      <c r="EK205" s="108">
        <f ca="1">IF(BD205,_xll.xASN(BP205,Strike2,AO205,EI205,0,BM205,0,BI205,BL205,IF(OptControl=3,1,0),0),0)</f>
        <v>0</v>
      </c>
      <c r="EP205" s="53"/>
      <c r="EQ205" s="1"/>
      <c r="ER205" s="103"/>
      <c r="ES205" s="103"/>
      <c r="ET205" s="1"/>
      <c r="EU205" s="667" t="s">
        <v>418</v>
      </c>
      <c r="EW205" s="445"/>
      <c r="EX205" s="36"/>
      <c r="EY205" s="104"/>
      <c r="EZ205" s="465"/>
      <c r="FA205" s="446"/>
      <c r="FB205" s="446"/>
      <c r="FC205" s="242"/>
      <c r="FD205" s="242"/>
      <c r="FE205" s="242"/>
      <c r="FF205" s="242"/>
      <c r="FG205" s="242"/>
      <c r="FH205" s="242"/>
      <c r="FI205" s="242"/>
      <c r="FJ205" s="242"/>
      <c r="FK205" s="242"/>
      <c r="FL205" s="242"/>
      <c r="FM205" s="242"/>
      <c r="FN205" s="657">
        <v>36</v>
      </c>
      <c r="FO205" s="469" t="str">
        <f ca="1">IF(OR(FO$169&lt;SwaptionFirstMonthPosition+1,$FN205&lt;SwaptionFirstMonthPosition+1,FO$169&gt;SwaptionFirstMonthPosition+SwaptionNumOfMonths+1,$FN205&gt;SwaptionFirstMonthPosition+SwaptionNumOfMonths+1),"",IF($FN205=FO$169,1,IF($FN205&lt;FO$169,INDEX($FO$170:$IH$241,FO$169,$FN205),SUMPRODUCT(INDEX($FO$325:$IH$396,FO$169,1+SwaptionShift):INDEX($FO$325:$IH$396,FO$169,SwaptionMonthsToGo+SwaptionShift),INDEX($FO$245:$IH$316,$FN205-FO$169,73-FO$169+SwaptionShift):INDEX($FO$245:$IH$316,$FN205-FO$169,72-FO$169+SwaptionMonthsToGo+SwaptionShift))/SQRT(SUM(INDEX($FO360:$IH360,1+SwaptionShift):INDEX($FO360:$IH360,SwaptionMonthsToGo+SwaptionShift))*SUM(INDEX($FO$325:$IH$396,FO$169,1+SwaptionShift):INDEX($FO$325:$IH$396,FO$169,SwaptionMonthsToGo+SwaptionShift))))))</f>
        <v/>
      </c>
      <c r="FP205" s="469" t="str">
        <f ca="1">IF(OR(FP$169&lt;SwaptionFirstMonthPosition+1,$FN205&lt;SwaptionFirstMonthPosition+1,FP$169&gt;SwaptionFirstMonthPosition+SwaptionNumOfMonths+1,$FN205&gt;SwaptionFirstMonthPosition+SwaptionNumOfMonths+1),"",IF($FN205=FP$169,1,IF($FN205&lt;FP$169,INDEX($FO$170:$IH$241,FP$169,$FN205),SUMPRODUCT(INDEX($FO$325:$IH$396,FP$169,1+SwaptionShift):INDEX($FO$325:$IH$396,FP$169,SwaptionMonthsToGo+SwaptionShift),INDEX($FO$245:$IH$316,$FN205-FP$169,73-FP$169+SwaptionShift):INDEX($FO$245:$IH$316,$FN205-FP$169,72-FP$169+SwaptionMonthsToGo+SwaptionShift))/SQRT(SUM(INDEX($FO360:$IH360,1+SwaptionShift):INDEX($FO360:$IH360,SwaptionMonthsToGo+SwaptionShift))*SUM(INDEX($FO$325:$IH$396,FP$169,1+SwaptionShift):INDEX($FO$325:$IH$396,FP$169,SwaptionMonthsToGo+SwaptionShift))))))</f>
        <v/>
      </c>
      <c r="FQ205" s="469" t="str">
        <f ca="1">IF(OR(FQ$169&lt;SwaptionFirstMonthPosition+1,$FN205&lt;SwaptionFirstMonthPosition+1,FQ$169&gt;SwaptionFirstMonthPosition+SwaptionNumOfMonths+1,$FN205&gt;SwaptionFirstMonthPosition+SwaptionNumOfMonths+1),"",IF($FN205=FQ$169,1,IF($FN205&lt;FQ$169,INDEX($FO$170:$IH$241,FQ$169,$FN205),SUMPRODUCT(INDEX($FO$325:$IH$396,FQ$169,1+SwaptionShift):INDEX($FO$325:$IH$396,FQ$169,SwaptionMonthsToGo+SwaptionShift),INDEX($FO$245:$IH$316,$FN205-FQ$169,73-FQ$169+SwaptionShift):INDEX($FO$245:$IH$316,$FN205-FQ$169,72-FQ$169+SwaptionMonthsToGo+SwaptionShift))/SQRT(SUM(INDEX($FO360:$IH360,1+SwaptionShift):INDEX($FO360:$IH360,SwaptionMonthsToGo+SwaptionShift))*SUM(INDEX($FO$325:$IH$396,FQ$169,1+SwaptionShift):INDEX($FO$325:$IH$396,FQ$169,SwaptionMonthsToGo+SwaptionShift))))))</f>
        <v/>
      </c>
      <c r="FR205" s="469" t="str">
        <f ca="1">IF(OR(FR$169&lt;SwaptionFirstMonthPosition+1,$FN205&lt;SwaptionFirstMonthPosition+1,FR$169&gt;SwaptionFirstMonthPosition+SwaptionNumOfMonths+1,$FN205&gt;SwaptionFirstMonthPosition+SwaptionNumOfMonths+1),"",IF($FN205=FR$169,1,IF($FN205&lt;FR$169,INDEX($FO$170:$IH$241,FR$169,$FN205),SUMPRODUCT(INDEX($FO$325:$IH$396,FR$169,1+SwaptionShift):INDEX($FO$325:$IH$396,FR$169,SwaptionMonthsToGo+SwaptionShift),INDEX($FO$245:$IH$316,$FN205-FR$169,73-FR$169+SwaptionShift):INDEX($FO$245:$IH$316,$FN205-FR$169,72-FR$169+SwaptionMonthsToGo+SwaptionShift))/SQRT(SUM(INDEX($FO360:$IH360,1+SwaptionShift):INDEX($FO360:$IH360,SwaptionMonthsToGo+SwaptionShift))*SUM(INDEX($FO$325:$IH$396,FR$169,1+SwaptionShift):INDEX($FO$325:$IH$396,FR$169,SwaptionMonthsToGo+SwaptionShift))))))</f>
        <v/>
      </c>
      <c r="FS205" s="469" t="str">
        <f ca="1">IF(OR(FS$169&lt;SwaptionFirstMonthPosition+1,$FN205&lt;SwaptionFirstMonthPosition+1,FS$169&gt;SwaptionFirstMonthPosition+SwaptionNumOfMonths+1,$FN205&gt;SwaptionFirstMonthPosition+SwaptionNumOfMonths+1),"",IF($FN205=FS$169,1,IF($FN205&lt;FS$169,INDEX($FO$170:$IH$241,FS$169,$FN205),SUMPRODUCT(INDEX($FO$325:$IH$396,FS$169,1+SwaptionShift):INDEX($FO$325:$IH$396,FS$169,SwaptionMonthsToGo+SwaptionShift),INDEX($FO$245:$IH$316,$FN205-FS$169,73-FS$169+SwaptionShift):INDEX($FO$245:$IH$316,$FN205-FS$169,72-FS$169+SwaptionMonthsToGo+SwaptionShift))/SQRT(SUM(INDEX($FO360:$IH360,1+SwaptionShift):INDEX($FO360:$IH360,SwaptionMonthsToGo+SwaptionShift))*SUM(INDEX($FO$325:$IH$396,FS$169,1+SwaptionShift):INDEX($FO$325:$IH$396,FS$169,SwaptionMonthsToGo+SwaptionShift))))))</f>
        <v/>
      </c>
      <c r="FT205" s="469" t="str">
        <f ca="1">IF(OR(FT$169&lt;SwaptionFirstMonthPosition+1,$FN205&lt;SwaptionFirstMonthPosition+1,FT$169&gt;SwaptionFirstMonthPosition+SwaptionNumOfMonths+1,$FN205&gt;SwaptionFirstMonthPosition+SwaptionNumOfMonths+1),"",IF($FN205=FT$169,1,IF($FN205&lt;FT$169,INDEX($FO$170:$IH$241,FT$169,$FN205),SUMPRODUCT(INDEX($FO$325:$IH$396,FT$169,1+SwaptionShift):INDEX($FO$325:$IH$396,FT$169,SwaptionMonthsToGo+SwaptionShift),INDEX($FO$245:$IH$316,$FN205-FT$169,73-FT$169+SwaptionShift):INDEX($FO$245:$IH$316,$FN205-FT$169,72-FT$169+SwaptionMonthsToGo+SwaptionShift))/SQRT(SUM(INDEX($FO360:$IH360,1+SwaptionShift):INDEX($FO360:$IH360,SwaptionMonthsToGo+SwaptionShift))*SUM(INDEX($FO$325:$IH$396,FT$169,1+SwaptionShift):INDEX($FO$325:$IH$396,FT$169,SwaptionMonthsToGo+SwaptionShift))))))</f>
        <v/>
      </c>
      <c r="FU205" s="469" t="str">
        <f ca="1">IF(OR(FU$169&lt;SwaptionFirstMonthPosition+1,$FN205&lt;SwaptionFirstMonthPosition+1,FU$169&gt;SwaptionFirstMonthPosition+SwaptionNumOfMonths+1,$FN205&gt;SwaptionFirstMonthPosition+SwaptionNumOfMonths+1),"",IF($FN205=FU$169,1,IF($FN205&lt;FU$169,INDEX($FO$170:$IH$241,FU$169,$FN205),SUMPRODUCT(INDEX($FO$325:$IH$396,FU$169,1+SwaptionShift):INDEX($FO$325:$IH$396,FU$169,SwaptionMonthsToGo+SwaptionShift),INDEX($FO$245:$IH$316,$FN205-FU$169,73-FU$169+SwaptionShift):INDEX($FO$245:$IH$316,$FN205-FU$169,72-FU$169+SwaptionMonthsToGo+SwaptionShift))/SQRT(SUM(INDEX($FO360:$IH360,1+SwaptionShift):INDEX($FO360:$IH360,SwaptionMonthsToGo+SwaptionShift))*SUM(INDEX($FO$325:$IH$396,FU$169,1+SwaptionShift):INDEX($FO$325:$IH$396,FU$169,SwaptionMonthsToGo+SwaptionShift))))))</f>
        <v/>
      </c>
      <c r="FV205" s="469" t="str">
        <f ca="1">IF(OR(FV$169&lt;SwaptionFirstMonthPosition+1,$FN205&lt;SwaptionFirstMonthPosition+1,FV$169&gt;SwaptionFirstMonthPosition+SwaptionNumOfMonths+1,$FN205&gt;SwaptionFirstMonthPosition+SwaptionNumOfMonths+1),"",IF($FN205=FV$169,1,IF($FN205&lt;FV$169,INDEX($FO$170:$IH$241,FV$169,$FN205),SUMPRODUCT(INDEX($FO$325:$IH$396,FV$169,1+SwaptionShift):INDEX($FO$325:$IH$396,FV$169,SwaptionMonthsToGo+SwaptionShift),INDEX($FO$245:$IH$316,$FN205-FV$169,73-FV$169+SwaptionShift):INDEX($FO$245:$IH$316,$FN205-FV$169,72-FV$169+SwaptionMonthsToGo+SwaptionShift))/SQRT(SUM(INDEX($FO360:$IH360,1+SwaptionShift):INDEX($FO360:$IH360,SwaptionMonthsToGo+SwaptionShift))*SUM(INDEX($FO$325:$IH$396,FV$169,1+SwaptionShift):INDEX($FO$325:$IH$396,FV$169,SwaptionMonthsToGo+SwaptionShift))))))</f>
        <v/>
      </c>
      <c r="FW205" s="469" t="str">
        <f ca="1">IF(OR(FW$169&lt;SwaptionFirstMonthPosition+1,$FN205&lt;SwaptionFirstMonthPosition+1,FW$169&gt;SwaptionFirstMonthPosition+SwaptionNumOfMonths+1,$FN205&gt;SwaptionFirstMonthPosition+SwaptionNumOfMonths+1),"",IF($FN205=FW$169,1,IF($FN205&lt;FW$169,INDEX($FO$170:$IH$241,FW$169,$FN205),SUMPRODUCT(INDEX($FO$325:$IH$396,FW$169,1+SwaptionShift):INDEX($FO$325:$IH$396,FW$169,SwaptionMonthsToGo+SwaptionShift),INDEX($FO$245:$IH$316,$FN205-FW$169,73-FW$169+SwaptionShift):INDEX($FO$245:$IH$316,$FN205-FW$169,72-FW$169+SwaptionMonthsToGo+SwaptionShift))/SQRT(SUM(INDEX($FO360:$IH360,1+SwaptionShift):INDEX($FO360:$IH360,SwaptionMonthsToGo+SwaptionShift))*SUM(INDEX($FO$325:$IH$396,FW$169,1+SwaptionShift):INDEX($FO$325:$IH$396,FW$169,SwaptionMonthsToGo+SwaptionShift))))))</f>
        <v/>
      </c>
      <c r="FX205" s="469" t="str">
        <f ca="1">IF(OR(FX$169&lt;SwaptionFirstMonthPosition+1,$FN205&lt;SwaptionFirstMonthPosition+1,FX$169&gt;SwaptionFirstMonthPosition+SwaptionNumOfMonths+1,$FN205&gt;SwaptionFirstMonthPosition+SwaptionNumOfMonths+1),"",IF($FN205=FX$169,1,IF($FN205&lt;FX$169,INDEX($FO$170:$IH$241,FX$169,$FN205),SUMPRODUCT(INDEX($FO$325:$IH$396,FX$169,1+SwaptionShift):INDEX($FO$325:$IH$396,FX$169,SwaptionMonthsToGo+SwaptionShift),INDEX($FO$245:$IH$316,$FN205-FX$169,73-FX$169+SwaptionShift):INDEX($FO$245:$IH$316,$FN205-FX$169,72-FX$169+SwaptionMonthsToGo+SwaptionShift))/SQRT(SUM(INDEX($FO360:$IH360,1+SwaptionShift):INDEX($FO360:$IH360,SwaptionMonthsToGo+SwaptionShift))*SUM(INDEX($FO$325:$IH$396,FX$169,1+SwaptionShift):INDEX($FO$325:$IH$396,FX$169,SwaptionMonthsToGo+SwaptionShift))))))</f>
        <v/>
      </c>
      <c r="FY205" s="469" t="str">
        <f ca="1">IF(OR(FY$169&lt;SwaptionFirstMonthPosition+1,$FN205&lt;SwaptionFirstMonthPosition+1,FY$169&gt;SwaptionFirstMonthPosition+SwaptionNumOfMonths+1,$FN205&gt;SwaptionFirstMonthPosition+SwaptionNumOfMonths+1),"",IF($FN205=FY$169,1,IF($FN205&lt;FY$169,INDEX($FO$170:$IH$241,FY$169,$FN205),SUMPRODUCT(INDEX($FO$325:$IH$396,FY$169,1+SwaptionShift):INDEX($FO$325:$IH$396,FY$169,SwaptionMonthsToGo+SwaptionShift),INDEX($FO$245:$IH$316,$FN205-FY$169,73-FY$169+SwaptionShift):INDEX($FO$245:$IH$316,$FN205-FY$169,72-FY$169+SwaptionMonthsToGo+SwaptionShift))/SQRT(SUM(INDEX($FO360:$IH360,1+SwaptionShift):INDEX($FO360:$IH360,SwaptionMonthsToGo+SwaptionShift))*SUM(INDEX($FO$325:$IH$396,FY$169,1+SwaptionShift):INDEX($FO$325:$IH$396,FY$169,SwaptionMonthsToGo+SwaptionShift))))))</f>
        <v/>
      </c>
      <c r="FZ205" s="469" t="str">
        <f ca="1">IF(OR(FZ$169&lt;SwaptionFirstMonthPosition+1,$FN205&lt;SwaptionFirstMonthPosition+1,FZ$169&gt;SwaptionFirstMonthPosition+SwaptionNumOfMonths+1,$FN205&gt;SwaptionFirstMonthPosition+SwaptionNumOfMonths+1),"",IF($FN205=FZ$169,1,IF($FN205&lt;FZ$169,INDEX($FO$170:$IH$241,FZ$169,$FN205),SUMPRODUCT(INDEX($FO$325:$IH$396,FZ$169,1+SwaptionShift):INDEX($FO$325:$IH$396,FZ$169,SwaptionMonthsToGo+SwaptionShift),INDEX($FO$245:$IH$316,$FN205-FZ$169,73-FZ$169+SwaptionShift):INDEX($FO$245:$IH$316,$FN205-FZ$169,72-FZ$169+SwaptionMonthsToGo+SwaptionShift))/SQRT(SUM(INDEX($FO360:$IH360,1+SwaptionShift):INDEX($FO360:$IH360,SwaptionMonthsToGo+SwaptionShift))*SUM(INDEX($FO$325:$IH$396,FZ$169,1+SwaptionShift):INDEX($FO$325:$IH$396,FZ$169,SwaptionMonthsToGo+SwaptionShift))))))</f>
        <v/>
      </c>
      <c r="GA205" s="469" t="str">
        <f ca="1">IF(OR(GA$169&lt;SwaptionFirstMonthPosition+1,$FN205&lt;SwaptionFirstMonthPosition+1,GA$169&gt;SwaptionFirstMonthPosition+SwaptionNumOfMonths+1,$FN205&gt;SwaptionFirstMonthPosition+SwaptionNumOfMonths+1),"",IF($FN205=GA$169,1,IF($FN205&lt;GA$169,INDEX($FO$170:$IH$241,GA$169,$FN205),SUMPRODUCT(INDEX($FO$325:$IH$396,GA$169,1+SwaptionShift):INDEX($FO$325:$IH$396,GA$169,SwaptionMonthsToGo+SwaptionShift),INDEX($FO$245:$IH$316,$FN205-GA$169,73-GA$169+SwaptionShift):INDEX($FO$245:$IH$316,$FN205-GA$169,72-GA$169+SwaptionMonthsToGo+SwaptionShift))/SQRT(SUM(INDEX($FO360:$IH360,1+SwaptionShift):INDEX($FO360:$IH360,SwaptionMonthsToGo+SwaptionShift))*SUM(INDEX($FO$325:$IH$396,GA$169,1+SwaptionShift):INDEX($FO$325:$IH$396,GA$169,SwaptionMonthsToGo+SwaptionShift))))))</f>
        <v/>
      </c>
      <c r="GB205" s="469" t="str">
        <f ca="1">IF(OR(GB$169&lt;SwaptionFirstMonthPosition+1,$FN205&lt;SwaptionFirstMonthPosition+1,GB$169&gt;SwaptionFirstMonthPosition+SwaptionNumOfMonths+1,$FN205&gt;SwaptionFirstMonthPosition+SwaptionNumOfMonths+1),"",IF($FN205=GB$169,1,IF($FN205&lt;GB$169,INDEX($FO$170:$IH$241,GB$169,$FN205),SUMPRODUCT(INDEX($FO$325:$IH$396,GB$169,1+SwaptionShift):INDEX($FO$325:$IH$396,GB$169,SwaptionMonthsToGo+SwaptionShift),INDEX($FO$245:$IH$316,$FN205-GB$169,73-GB$169+SwaptionShift):INDEX($FO$245:$IH$316,$FN205-GB$169,72-GB$169+SwaptionMonthsToGo+SwaptionShift))/SQRT(SUM(INDEX($FO360:$IH360,1+SwaptionShift):INDEX($FO360:$IH360,SwaptionMonthsToGo+SwaptionShift))*SUM(INDEX($FO$325:$IH$396,GB$169,1+SwaptionShift):INDEX($FO$325:$IH$396,GB$169,SwaptionMonthsToGo+SwaptionShift))))))</f>
        <v/>
      </c>
      <c r="GC205" s="469" t="str">
        <f ca="1">IF(OR(GC$169&lt;SwaptionFirstMonthPosition+1,$FN205&lt;SwaptionFirstMonthPosition+1,GC$169&gt;SwaptionFirstMonthPosition+SwaptionNumOfMonths+1,$FN205&gt;SwaptionFirstMonthPosition+SwaptionNumOfMonths+1),"",IF($FN205=GC$169,1,IF($FN205&lt;GC$169,INDEX($FO$170:$IH$241,GC$169,$FN205),SUMPRODUCT(INDEX($FO$325:$IH$396,GC$169,1+SwaptionShift):INDEX($FO$325:$IH$396,GC$169,SwaptionMonthsToGo+SwaptionShift),INDEX($FO$245:$IH$316,$FN205-GC$169,73-GC$169+SwaptionShift):INDEX($FO$245:$IH$316,$FN205-GC$169,72-GC$169+SwaptionMonthsToGo+SwaptionShift))/SQRT(SUM(INDEX($FO360:$IH360,1+SwaptionShift):INDEX($FO360:$IH360,SwaptionMonthsToGo+SwaptionShift))*SUM(INDEX($FO$325:$IH$396,GC$169,1+SwaptionShift):INDEX($FO$325:$IH$396,GC$169,SwaptionMonthsToGo+SwaptionShift))))))</f>
        <v/>
      </c>
      <c r="GD205" s="469" t="str">
        <f ca="1">IF(OR(GD$169&lt;SwaptionFirstMonthPosition+1,$FN205&lt;SwaptionFirstMonthPosition+1,GD$169&gt;SwaptionFirstMonthPosition+SwaptionNumOfMonths+1,$FN205&gt;SwaptionFirstMonthPosition+SwaptionNumOfMonths+1),"",IF($FN205=GD$169,1,IF($FN205&lt;GD$169,INDEX($FO$170:$IH$241,GD$169,$FN205),SUMPRODUCT(INDEX($FO$325:$IH$396,GD$169,1+SwaptionShift):INDEX($FO$325:$IH$396,GD$169,SwaptionMonthsToGo+SwaptionShift),INDEX($FO$245:$IH$316,$FN205-GD$169,73-GD$169+SwaptionShift):INDEX($FO$245:$IH$316,$FN205-GD$169,72-GD$169+SwaptionMonthsToGo+SwaptionShift))/SQRT(SUM(INDEX($FO360:$IH360,1+SwaptionShift):INDEX($FO360:$IH360,SwaptionMonthsToGo+SwaptionShift))*SUM(INDEX($FO$325:$IH$396,GD$169,1+SwaptionShift):INDEX($FO$325:$IH$396,GD$169,SwaptionMonthsToGo+SwaptionShift))))))</f>
        <v/>
      </c>
      <c r="GE205" s="469" t="str">
        <f ca="1">IF(OR(GE$169&lt;SwaptionFirstMonthPosition+1,$FN205&lt;SwaptionFirstMonthPosition+1,GE$169&gt;SwaptionFirstMonthPosition+SwaptionNumOfMonths+1,$FN205&gt;SwaptionFirstMonthPosition+SwaptionNumOfMonths+1),"",IF($FN205=GE$169,1,IF($FN205&lt;GE$169,INDEX($FO$170:$IH$241,GE$169,$FN205),SUMPRODUCT(INDEX($FO$325:$IH$396,GE$169,1+SwaptionShift):INDEX($FO$325:$IH$396,GE$169,SwaptionMonthsToGo+SwaptionShift),INDEX($FO$245:$IH$316,$FN205-GE$169,73-GE$169+SwaptionShift):INDEX($FO$245:$IH$316,$FN205-GE$169,72-GE$169+SwaptionMonthsToGo+SwaptionShift))/SQRT(SUM(INDEX($FO360:$IH360,1+SwaptionShift):INDEX($FO360:$IH360,SwaptionMonthsToGo+SwaptionShift))*SUM(INDEX($FO$325:$IH$396,GE$169,1+SwaptionShift):INDEX($FO$325:$IH$396,GE$169,SwaptionMonthsToGo+SwaptionShift))))))</f>
        <v/>
      </c>
      <c r="GF205" s="469" t="str">
        <f ca="1">IF(OR(GF$169&lt;SwaptionFirstMonthPosition+1,$FN205&lt;SwaptionFirstMonthPosition+1,GF$169&gt;SwaptionFirstMonthPosition+SwaptionNumOfMonths+1,$FN205&gt;SwaptionFirstMonthPosition+SwaptionNumOfMonths+1),"",IF($FN205=GF$169,1,IF($FN205&lt;GF$169,INDEX($FO$170:$IH$241,GF$169,$FN205),SUMPRODUCT(INDEX($FO$325:$IH$396,GF$169,1+SwaptionShift):INDEX($FO$325:$IH$396,GF$169,SwaptionMonthsToGo+SwaptionShift),INDEX($FO$245:$IH$316,$FN205-GF$169,73-GF$169+SwaptionShift):INDEX($FO$245:$IH$316,$FN205-GF$169,72-GF$169+SwaptionMonthsToGo+SwaptionShift))/SQRT(SUM(INDEX($FO360:$IH360,1+SwaptionShift):INDEX($FO360:$IH360,SwaptionMonthsToGo+SwaptionShift))*SUM(INDEX($FO$325:$IH$396,GF$169,1+SwaptionShift):INDEX($FO$325:$IH$396,GF$169,SwaptionMonthsToGo+SwaptionShift))))))</f>
        <v/>
      </c>
      <c r="GG205" s="469" t="str">
        <f ca="1">IF(OR(GG$169&lt;SwaptionFirstMonthPosition+1,$FN205&lt;SwaptionFirstMonthPosition+1,GG$169&gt;SwaptionFirstMonthPosition+SwaptionNumOfMonths+1,$FN205&gt;SwaptionFirstMonthPosition+SwaptionNumOfMonths+1),"",IF($FN205=GG$169,1,IF($FN205&lt;GG$169,INDEX($FO$170:$IH$241,GG$169,$FN205),SUMPRODUCT(INDEX($FO$325:$IH$396,GG$169,1+SwaptionShift):INDEX($FO$325:$IH$396,GG$169,SwaptionMonthsToGo+SwaptionShift),INDEX($FO$245:$IH$316,$FN205-GG$169,73-GG$169+SwaptionShift):INDEX($FO$245:$IH$316,$FN205-GG$169,72-GG$169+SwaptionMonthsToGo+SwaptionShift))/SQRT(SUM(INDEX($FO360:$IH360,1+SwaptionShift):INDEX($FO360:$IH360,SwaptionMonthsToGo+SwaptionShift))*SUM(INDEX($FO$325:$IH$396,GG$169,1+SwaptionShift):INDEX($FO$325:$IH$396,GG$169,SwaptionMonthsToGo+SwaptionShift))))))</f>
        <v/>
      </c>
      <c r="GH205" s="469" t="str">
        <f ca="1">IF(OR(GH$169&lt;SwaptionFirstMonthPosition+1,$FN205&lt;SwaptionFirstMonthPosition+1,GH$169&gt;SwaptionFirstMonthPosition+SwaptionNumOfMonths+1,$FN205&gt;SwaptionFirstMonthPosition+SwaptionNumOfMonths+1),"",IF($FN205=GH$169,1,IF($FN205&lt;GH$169,INDEX($FO$170:$IH$241,GH$169,$FN205),SUMPRODUCT(INDEX($FO$325:$IH$396,GH$169,1+SwaptionShift):INDEX($FO$325:$IH$396,GH$169,SwaptionMonthsToGo+SwaptionShift),INDEX($FO$245:$IH$316,$FN205-GH$169,73-GH$169+SwaptionShift):INDEX($FO$245:$IH$316,$FN205-GH$169,72-GH$169+SwaptionMonthsToGo+SwaptionShift))/SQRT(SUM(INDEX($FO360:$IH360,1+SwaptionShift):INDEX($FO360:$IH360,SwaptionMonthsToGo+SwaptionShift))*SUM(INDEX($FO$325:$IH$396,GH$169,1+SwaptionShift):INDEX($FO$325:$IH$396,GH$169,SwaptionMonthsToGo+SwaptionShift))))))</f>
        <v/>
      </c>
      <c r="GI205" s="469" t="str">
        <f ca="1">IF(OR(GI$169&lt;SwaptionFirstMonthPosition+1,$FN205&lt;SwaptionFirstMonthPosition+1,GI$169&gt;SwaptionFirstMonthPosition+SwaptionNumOfMonths+1,$FN205&gt;SwaptionFirstMonthPosition+SwaptionNumOfMonths+1),"",IF($FN205=GI$169,1,IF($FN205&lt;GI$169,INDEX($FO$170:$IH$241,GI$169,$FN205),SUMPRODUCT(INDEX($FO$325:$IH$396,GI$169,1+SwaptionShift):INDEX($FO$325:$IH$396,GI$169,SwaptionMonthsToGo+SwaptionShift),INDEX($FO$245:$IH$316,$FN205-GI$169,73-GI$169+SwaptionShift):INDEX($FO$245:$IH$316,$FN205-GI$169,72-GI$169+SwaptionMonthsToGo+SwaptionShift))/SQRT(SUM(INDEX($FO360:$IH360,1+SwaptionShift):INDEX($FO360:$IH360,SwaptionMonthsToGo+SwaptionShift))*SUM(INDEX($FO$325:$IH$396,GI$169,1+SwaptionShift):INDEX($FO$325:$IH$396,GI$169,SwaptionMonthsToGo+SwaptionShift))))))</f>
        <v/>
      </c>
      <c r="GJ205" s="469" t="str">
        <f ca="1">IF(OR(GJ$169&lt;SwaptionFirstMonthPosition+1,$FN205&lt;SwaptionFirstMonthPosition+1,GJ$169&gt;SwaptionFirstMonthPosition+SwaptionNumOfMonths+1,$FN205&gt;SwaptionFirstMonthPosition+SwaptionNumOfMonths+1),"",IF($FN205=GJ$169,1,IF($FN205&lt;GJ$169,INDEX($FO$170:$IH$241,GJ$169,$FN205),SUMPRODUCT(INDEX($FO$325:$IH$396,GJ$169,1+SwaptionShift):INDEX($FO$325:$IH$396,GJ$169,SwaptionMonthsToGo+SwaptionShift),INDEX($FO$245:$IH$316,$FN205-GJ$169,73-GJ$169+SwaptionShift):INDEX($FO$245:$IH$316,$FN205-GJ$169,72-GJ$169+SwaptionMonthsToGo+SwaptionShift))/SQRT(SUM(INDEX($FO360:$IH360,1+SwaptionShift):INDEX($FO360:$IH360,SwaptionMonthsToGo+SwaptionShift))*SUM(INDEX($FO$325:$IH$396,GJ$169,1+SwaptionShift):INDEX($FO$325:$IH$396,GJ$169,SwaptionMonthsToGo+SwaptionShift))))))</f>
        <v/>
      </c>
      <c r="GK205" s="469" t="str">
        <f ca="1">IF(OR(GK$169&lt;SwaptionFirstMonthPosition+1,$FN205&lt;SwaptionFirstMonthPosition+1,GK$169&gt;SwaptionFirstMonthPosition+SwaptionNumOfMonths+1,$FN205&gt;SwaptionFirstMonthPosition+SwaptionNumOfMonths+1),"",IF($FN205=GK$169,1,IF($FN205&lt;GK$169,INDEX($FO$170:$IH$241,GK$169,$FN205),SUMPRODUCT(INDEX($FO$325:$IH$396,GK$169,1+SwaptionShift):INDEX($FO$325:$IH$396,GK$169,SwaptionMonthsToGo+SwaptionShift),INDEX($FO$245:$IH$316,$FN205-GK$169,73-GK$169+SwaptionShift):INDEX($FO$245:$IH$316,$FN205-GK$169,72-GK$169+SwaptionMonthsToGo+SwaptionShift))/SQRT(SUM(INDEX($FO360:$IH360,1+SwaptionShift):INDEX($FO360:$IH360,SwaptionMonthsToGo+SwaptionShift))*SUM(INDEX($FO$325:$IH$396,GK$169,1+SwaptionShift):INDEX($FO$325:$IH$396,GK$169,SwaptionMonthsToGo+SwaptionShift))))))</f>
        <v/>
      </c>
      <c r="GL205" s="469" t="str">
        <f ca="1">IF(OR(GL$169&lt;SwaptionFirstMonthPosition+1,$FN205&lt;SwaptionFirstMonthPosition+1,GL$169&gt;SwaptionFirstMonthPosition+SwaptionNumOfMonths+1,$FN205&gt;SwaptionFirstMonthPosition+SwaptionNumOfMonths+1),"",IF($FN205=GL$169,1,IF($FN205&lt;GL$169,INDEX($FO$170:$IH$241,GL$169,$FN205),SUMPRODUCT(INDEX($FO$325:$IH$396,GL$169,1+SwaptionShift):INDEX($FO$325:$IH$396,GL$169,SwaptionMonthsToGo+SwaptionShift),INDEX($FO$245:$IH$316,$FN205-GL$169,73-GL$169+SwaptionShift):INDEX($FO$245:$IH$316,$FN205-GL$169,72-GL$169+SwaptionMonthsToGo+SwaptionShift))/SQRT(SUM(INDEX($FO360:$IH360,1+SwaptionShift):INDEX($FO360:$IH360,SwaptionMonthsToGo+SwaptionShift))*SUM(INDEX($FO$325:$IH$396,GL$169,1+SwaptionShift):INDEX($FO$325:$IH$396,GL$169,SwaptionMonthsToGo+SwaptionShift))))))</f>
        <v/>
      </c>
      <c r="GM205" s="469" t="str">
        <f ca="1">IF(OR(GM$169&lt;SwaptionFirstMonthPosition+1,$FN205&lt;SwaptionFirstMonthPosition+1,GM$169&gt;SwaptionFirstMonthPosition+SwaptionNumOfMonths+1,$FN205&gt;SwaptionFirstMonthPosition+SwaptionNumOfMonths+1),"",IF($FN205=GM$169,1,IF($FN205&lt;GM$169,INDEX($FO$170:$IH$241,GM$169,$FN205),SUMPRODUCT(INDEX($FO$325:$IH$396,GM$169,1+SwaptionShift):INDEX($FO$325:$IH$396,GM$169,SwaptionMonthsToGo+SwaptionShift),INDEX($FO$245:$IH$316,$FN205-GM$169,73-GM$169+SwaptionShift):INDEX($FO$245:$IH$316,$FN205-GM$169,72-GM$169+SwaptionMonthsToGo+SwaptionShift))/SQRT(SUM(INDEX($FO360:$IH360,1+SwaptionShift):INDEX($FO360:$IH360,SwaptionMonthsToGo+SwaptionShift))*SUM(INDEX($FO$325:$IH$396,GM$169,1+SwaptionShift):INDEX($FO$325:$IH$396,GM$169,SwaptionMonthsToGo+SwaptionShift))))))</f>
        <v/>
      </c>
      <c r="GN205" s="469" t="str">
        <f ca="1">IF(OR(GN$169&lt;SwaptionFirstMonthPosition+1,$FN205&lt;SwaptionFirstMonthPosition+1,GN$169&gt;SwaptionFirstMonthPosition+SwaptionNumOfMonths+1,$FN205&gt;SwaptionFirstMonthPosition+SwaptionNumOfMonths+1),"",IF($FN205=GN$169,1,IF($FN205&lt;GN$169,INDEX($FO$170:$IH$241,GN$169,$FN205),SUMPRODUCT(INDEX($FO$325:$IH$396,GN$169,1+SwaptionShift):INDEX($FO$325:$IH$396,GN$169,SwaptionMonthsToGo+SwaptionShift),INDEX($FO$245:$IH$316,$FN205-GN$169,73-GN$169+SwaptionShift):INDEX($FO$245:$IH$316,$FN205-GN$169,72-GN$169+SwaptionMonthsToGo+SwaptionShift))/SQRT(SUM(INDEX($FO360:$IH360,1+SwaptionShift):INDEX($FO360:$IH360,SwaptionMonthsToGo+SwaptionShift))*SUM(INDEX($FO$325:$IH$396,GN$169,1+SwaptionShift):INDEX($FO$325:$IH$396,GN$169,SwaptionMonthsToGo+SwaptionShift))))))</f>
        <v/>
      </c>
      <c r="GO205" s="469" t="str">
        <f ca="1">IF(OR(GO$169&lt;SwaptionFirstMonthPosition+1,$FN205&lt;SwaptionFirstMonthPosition+1,GO$169&gt;SwaptionFirstMonthPosition+SwaptionNumOfMonths+1,$FN205&gt;SwaptionFirstMonthPosition+SwaptionNumOfMonths+1),"",IF($FN205=GO$169,1,IF($FN205&lt;GO$169,INDEX($FO$170:$IH$241,GO$169,$FN205),SUMPRODUCT(INDEX($FO$325:$IH$396,GO$169,1+SwaptionShift):INDEX($FO$325:$IH$396,GO$169,SwaptionMonthsToGo+SwaptionShift),INDEX($FO$245:$IH$316,$FN205-GO$169,73-GO$169+SwaptionShift):INDEX($FO$245:$IH$316,$FN205-GO$169,72-GO$169+SwaptionMonthsToGo+SwaptionShift))/SQRT(SUM(INDEX($FO360:$IH360,1+SwaptionShift):INDEX($FO360:$IH360,SwaptionMonthsToGo+SwaptionShift))*SUM(INDEX($FO$325:$IH$396,GO$169,1+SwaptionShift):INDEX($FO$325:$IH$396,GO$169,SwaptionMonthsToGo+SwaptionShift))))))</f>
        <v/>
      </c>
      <c r="GP205" s="469" t="str">
        <f ca="1">IF(OR(GP$169&lt;SwaptionFirstMonthPosition+1,$FN205&lt;SwaptionFirstMonthPosition+1,GP$169&gt;SwaptionFirstMonthPosition+SwaptionNumOfMonths+1,$FN205&gt;SwaptionFirstMonthPosition+SwaptionNumOfMonths+1),"",IF($FN205=GP$169,1,IF($FN205&lt;GP$169,INDEX($FO$170:$IH$241,GP$169,$FN205),SUMPRODUCT(INDEX($FO$325:$IH$396,GP$169,1+SwaptionShift):INDEX($FO$325:$IH$396,GP$169,SwaptionMonthsToGo+SwaptionShift),INDEX($FO$245:$IH$316,$FN205-GP$169,73-GP$169+SwaptionShift):INDEX($FO$245:$IH$316,$FN205-GP$169,72-GP$169+SwaptionMonthsToGo+SwaptionShift))/SQRT(SUM(INDEX($FO360:$IH360,1+SwaptionShift):INDEX($FO360:$IH360,SwaptionMonthsToGo+SwaptionShift))*SUM(INDEX($FO$325:$IH$396,GP$169,1+SwaptionShift):INDEX($FO$325:$IH$396,GP$169,SwaptionMonthsToGo+SwaptionShift))))))</f>
        <v/>
      </c>
      <c r="GQ205" s="469" t="str">
        <f ca="1">IF(OR(GQ$169&lt;SwaptionFirstMonthPosition+1,$FN205&lt;SwaptionFirstMonthPosition+1,GQ$169&gt;SwaptionFirstMonthPosition+SwaptionNumOfMonths+1,$FN205&gt;SwaptionFirstMonthPosition+SwaptionNumOfMonths+1),"",IF($FN205=GQ$169,1,IF($FN205&lt;GQ$169,INDEX($FO$170:$IH$241,GQ$169,$FN205),SUMPRODUCT(INDEX($FO$325:$IH$396,GQ$169,1+SwaptionShift):INDEX($FO$325:$IH$396,GQ$169,SwaptionMonthsToGo+SwaptionShift),INDEX($FO$245:$IH$316,$FN205-GQ$169,73-GQ$169+SwaptionShift):INDEX($FO$245:$IH$316,$FN205-GQ$169,72-GQ$169+SwaptionMonthsToGo+SwaptionShift))/SQRT(SUM(INDEX($FO360:$IH360,1+SwaptionShift):INDEX($FO360:$IH360,SwaptionMonthsToGo+SwaptionShift))*SUM(INDEX($FO$325:$IH$396,GQ$169,1+SwaptionShift):INDEX($FO$325:$IH$396,GQ$169,SwaptionMonthsToGo+SwaptionShift))))))</f>
        <v/>
      </c>
      <c r="GR205" s="469" t="str">
        <f ca="1">IF(OR(GR$169&lt;SwaptionFirstMonthPosition+1,$FN205&lt;SwaptionFirstMonthPosition+1,GR$169&gt;SwaptionFirstMonthPosition+SwaptionNumOfMonths+1,$FN205&gt;SwaptionFirstMonthPosition+SwaptionNumOfMonths+1),"",IF($FN205=GR$169,1,IF($FN205&lt;GR$169,INDEX($FO$170:$IH$241,GR$169,$FN205),SUMPRODUCT(INDEX($FO$325:$IH$396,GR$169,1+SwaptionShift):INDEX($FO$325:$IH$396,GR$169,SwaptionMonthsToGo+SwaptionShift),INDEX($FO$245:$IH$316,$FN205-GR$169,73-GR$169+SwaptionShift):INDEX($FO$245:$IH$316,$FN205-GR$169,72-GR$169+SwaptionMonthsToGo+SwaptionShift))/SQRT(SUM(INDEX($FO360:$IH360,1+SwaptionShift):INDEX($FO360:$IH360,SwaptionMonthsToGo+SwaptionShift))*SUM(INDEX($FO$325:$IH$396,GR$169,1+SwaptionShift):INDEX($FO$325:$IH$396,GR$169,SwaptionMonthsToGo+SwaptionShift))))))</f>
        <v/>
      </c>
      <c r="GS205" s="469" t="str">
        <f ca="1">IF(OR(GS$169&lt;SwaptionFirstMonthPosition+1,$FN205&lt;SwaptionFirstMonthPosition+1,GS$169&gt;SwaptionFirstMonthPosition+SwaptionNumOfMonths+1,$FN205&gt;SwaptionFirstMonthPosition+SwaptionNumOfMonths+1),"",IF($FN205=GS$169,1,IF($FN205&lt;GS$169,INDEX($FO$170:$IH$241,GS$169,$FN205),SUMPRODUCT(INDEX($FO$325:$IH$396,GS$169,1+SwaptionShift):INDEX($FO$325:$IH$396,GS$169,SwaptionMonthsToGo+SwaptionShift),INDEX($FO$245:$IH$316,$FN205-GS$169,73-GS$169+SwaptionShift):INDEX($FO$245:$IH$316,$FN205-GS$169,72-GS$169+SwaptionMonthsToGo+SwaptionShift))/SQRT(SUM(INDEX($FO360:$IH360,1+SwaptionShift):INDEX($FO360:$IH360,SwaptionMonthsToGo+SwaptionShift))*SUM(INDEX($FO$325:$IH$396,GS$169,1+SwaptionShift):INDEX($FO$325:$IH$396,GS$169,SwaptionMonthsToGo+SwaptionShift))))))</f>
        <v/>
      </c>
      <c r="GT205" s="469" t="str">
        <f ca="1">IF(OR(GT$169&lt;SwaptionFirstMonthPosition+1,$FN205&lt;SwaptionFirstMonthPosition+1,GT$169&gt;SwaptionFirstMonthPosition+SwaptionNumOfMonths+1,$FN205&gt;SwaptionFirstMonthPosition+SwaptionNumOfMonths+1),"",IF($FN205=GT$169,1,IF($FN205&lt;GT$169,INDEX($FO$170:$IH$241,GT$169,$FN205),SUMPRODUCT(INDEX($FO$325:$IH$396,GT$169,1+SwaptionShift):INDEX($FO$325:$IH$396,GT$169,SwaptionMonthsToGo+SwaptionShift),INDEX($FO$245:$IH$316,$FN205-GT$169,73-GT$169+SwaptionShift):INDEX($FO$245:$IH$316,$FN205-GT$169,72-GT$169+SwaptionMonthsToGo+SwaptionShift))/SQRT(SUM(INDEX($FO360:$IH360,1+SwaptionShift):INDEX($FO360:$IH360,SwaptionMonthsToGo+SwaptionShift))*SUM(INDEX($FO$325:$IH$396,GT$169,1+SwaptionShift):INDEX($FO$325:$IH$396,GT$169,SwaptionMonthsToGo+SwaptionShift))))))</f>
        <v/>
      </c>
      <c r="GU205" s="469" t="str">
        <f ca="1">IF(OR(GU$169&lt;SwaptionFirstMonthPosition+1,$FN205&lt;SwaptionFirstMonthPosition+1,GU$169&gt;SwaptionFirstMonthPosition+SwaptionNumOfMonths+1,$FN205&gt;SwaptionFirstMonthPosition+SwaptionNumOfMonths+1),"",IF($FN205=GU$169,1,IF($FN205&lt;GU$169,INDEX($FO$170:$IH$241,GU$169,$FN205),SUMPRODUCT(INDEX($FO$325:$IH$396,GU$169,1+SwaptionShift):INDEX($FO$325:$IH$396,GU$169,SwaptionMonthsToGo+SwaptionShift),INDEX($FO$245:$IH$316,$FN205-GU$169,73-GU$169+SwaptionShift):INDEX($FO$245:$IH$316,$FN205-GU$169,72-GU$169+SwaptionMonthsToGo+SwaptionShift))/SQRT(SUM(INDEX($FO360:$IH360,1+SwaptionShift):INDEX($FO360:$IH360,SwaptionMonthsToGo+SwaptionShift))*SUM(INDEX($FO$325:$IH$396,GU$169,1+SwaptionShift):INDEX($FO$325:$IH$396,GU$169,SwaptionMonthsToGo+SwaptionShift))))))</f>
        <v/>
      </c>
      <c r="GV205" s="469" t="str">
        <f ca="1">IF(OR(GV$169&lt;SwaptionFirstMonthPosition+1,$FN205&lt;SwaptionFirstMonthPosition+1,GV$169&gt;SwaptionFirstMonthPosition+SwaptionNumOfMonths+1,$FN205&gt;SwaptionFirstMonthPosition+SwaptionNumOfMonths+1),"",IF($FN205=GV$169,1,IF($FN205&lt;GV$169,INDEX($FO$170:$IH$241,GV$169,$FN205),SUMPRODUCT(INDEX($FO$325:$IH$396,GV$169,1+SwaptionShift):INDEX($FO$325:$IH$396,GV$169,SwaptionMonthsToGo+SwaptionShift),INDEX($FO$245:$IH$316,$FN205-GV$169,73-GV$169+SwaptionShift):INDEX($FO$245:$IH$316,$FN205-GV$169,72-GV$169+SwaptionMonthsToGo+SwaptionShift))/SQRT(SUM(INDEX($FO360:$IH360,1+SwaptionShift):INDEX($FO360:$IH360,SwaptionMonthsToGo+SwaptionShift))*SUM(INDEX($FO$325:$IH$396,GV$169,1+SwaptionShift):INDEX($FO$325:$IH$396,GV$169,SwaptionMonthsToGo+SwaptionShift))))))</f>
        <v/>
      </c>
      <c r="GW205" s="469" t="str">
        <f ca="1">IF(OR(GW$169&lt;SwaptionFirstMonthPosition+1,$FN205&lt;SwaptionFirstMonthPosition+1,GW$169&gt;SwaptionFirstMonthPosition+SwaptionNumOfMonths+1,$FN205&gt;SwaptionFirstMonthPosition+SwaptionNumOfMonths+1),"",IF($FN205=GW$169,1,IF($FN205&lt;GW$169,INDEX($FO$170:$IH$241,GW$169,$FN205),SUMPRODUCT(INDEX($FO$325:$IH$396,GW$169,1+SwaptionShift):INDEX($FO$325:$IH$396,GW$169,SwaptionMonthsToGo+SwaptionShift),INDEX($FO$245:$IH$316,$FN205-GW$169,73-GW$169+SwaptionShift):INDEX($FO$245:$IH$316,$FN205-GW$169,72-GW$169+SwaptionMonthsToGo+SwaptionShift))/SQRT(SUM(INDEX($FO360:$IH360,1+SwaptionShift):INDEX($FO360:$IH360,SwaptionMonthsToGo+SwaptionShift))*SUM(INDEX($FO$325:$IH$396,GW$169,1+SwaptionShift):INDEX($FO$325:$IH$396,GW$169,SwaptionMonthsToGo+SwaptionShift))))))</f>
        <v/>
      </c>
      <c r="GX205" s="469" t="str">
        <f ca="1">IF(OR(GX$169&lt;SwaptionFirstMonthPosition+1,$FN205&lt;SwaptionFirstMonthPosition+1,GX$169&gt;SwaptionFirstMonthPosition+SwaptionNumOfMonths+1,$FN205&gt;SwaptionFirstMonthPosition+SwaptionNumOfMonths+1),"",IF($FN205=GX$169,1,IF($FN205&lt;GX$169,INDEX($FO$170:$IH$241,GX$169,$FN205),SUMPRODUCT(INDEX($FO$325:$IH$396,GX$169,1+SwaptionShift):INDEX($FO$325:$IH$396,GX$169,SwaptionMonthsToGo+SwaptionShift),INDEX($FO$245:$IH$316,$FN205-GX$169,73-GX$169+SwaptionShift):INDEX($FO$245:$IH$316,$FN205-GX$169,72-GX$169+SwaptionMonthsToGo+SwaptionShift))/SQRT(SUM(INDEX($FO360:$IH360,1+SwaptionShift):INDEX($FO360:$IH360,SwaptionMonthsToGo+SwaptionShift))*SUM(INDEX($FO$325:$IH$396,GX$169,1+SwaptionShift):INDEX($FO$325:$IH$396,GX$169,SwaptionMonthsToGo+SwaptionShift))))))</f>
        <v/>
      </c>
      <c r="GY205" s="469" t="str">
        <f ca="1">IF(OR(GY$169&lt;SwaptionFirstMonthPosition+1,$FN205&lt;SwaptionFirstMonthPosition+1,GY$169&gt;SwaptionFirstMonthPosition+SwaptionNumOfMonths+1,$FN205&gt;SwaptionFirstMonthPosition+SwaptionNumOfMonths+1),"",IF($FN205=GY$169,1,IF($FN205&lt;GY$169,INDEX($FO$170:$IH$241,GY$169,$FN205),SUMPRODUCT(INDEX($FO$325:$IH$396,GY$169,1+SwaptionShift):INDEX($FO$325:$IH$396,GY$169,SwaptionMonthsToGo+SwaptionShift),INDEX($FO$245:$IH$316,$FN205-GY$169,73-GY$169+SwaptionShift):INDEX($FO$245:$IH$316,$FN205-GY$169,72-GY$169+SwaptionMonthsToGo+SwaptionShift))/SQRT(SUM(INDEX($FO360:$IH360,1+SwaptionShift):INDEX($FO360:$IH360,SwaptionMonthsToGo+SwaptionShift))*SUM(INDEX($FO$325:$IH$396,GY$169,1+SwaptionShift):INDEX($FO$325:$IH$396,GY$169,SwaptionMonthsToGo+SwaptionShift))))))</f>
        <v/>
      </c>
      <c r="GZ205" s="469" t="str">
        <f ca="1">IF(OR(GZ$169&lt;SwaptionFirstMonthPosition+1,$FN205&lt;SwaptionFirstMonthPosition+1,GZ$169&gt;SwaptionFirstMonthPosition+SwaptionNumOfMonths+1,$FN205&gt;SwaptionFirstMonthPosition+SwaptionNumOfMonths+1),"",IF($FN205=GZ$169,1,IF($FN205&lt;GZ$169,INDEX($FO$170:$IH$241,GZ$169,$FN205),SUMPRODUCT(INDEX($FO$325:$IH$396,GZ$169,1+SwaptionShift):INDEX($FO$325:$IH$396,GZ$169,SwaptionMonthsToGo+SwaptionShift),INDEX($FO$245:$IH$316,$FN205-GZ$169,73-GZ$169+SwaptionShift):INDEX($FO$245:$IH$316,$FN205-GZ$169,72-GZ$169+SwaptionMonthsToGo+SwaptionShift))/SQRT(SUM(INDEX($FO360:$IH360,1+SwaptionShift):INDEX($FO360:$IH360,SwaptionMonthsToGo+SwaptionShift))*SUM(INDEX($FO$325:$IH$396,GZ$169,1+SwaptionShift):INDEX($FO$325:$IH$396,GZ$169,SwaptionMonthsToGo+SwaptionShift))))))</f>
        <v/>
      </c>
      <c r="HA205" s="469" t="str">
        <f ca="1">IF(OR(HA$169&lt;SwaptionFirstMonthPosition+1,$FN205&lt;SwaptionFirstMonthPosition+1,HA$169&gt;SwaptionFirstMonthPosition+SwaptionNumOfMonths+1,$FN205&gt;SwaptionFirstMonthPosition+SwaptionNumOfMonths+1),"",IF($FN205=HA$169,1,IF($FN205&lt;HA$169,INDEX($FO$170:$IH$241,HA$169,$FN205),SUMPRODUCT(INDEX($FO$325:$IH$396,HA$169,1+SwaptionShift):INDEX($FO$325:$IH$396,HA$169,SwaptionMonthsToGo+SwaptionShift),INDEX($FO$245:$IH$316,$FN205-HA$169,73-HA$169+SwaptionShift):INDEX($FO$245:$IH$316,$FN205-HA$169,72-HA$169+SwaptionMonthsToGo+SwaptionShift))/SQRT(SUM(INDEX($FO360:$IH360,1+SwaptionShift):INDEX($FO360:$IH360,SwaptionMonthsToGo+SwaptionShift))*SUM(INDEX($FO$325:$IH$396,HA$169,1+SwaptionShift):INDEX($FO$325:$IH$396,HA$169,SwaptionMonthsToGo+SwaptionShift))))))</f>
        <v/>
      </c>
      <c r="HB205" s="469" t="str">
        <f ca="1">IF(OR(HB$169&lt;SwaptionFirstMonthPosition+1,$FN205&lt;SwaptionFirstMonthPosition+1,HB$169&gt;SwaptionFirstMonthPosition+SwaptionNumOfMonths+1,$FN205&gt;SwaptionFirstMonthPosition+SwaptionNumOfMonths+1),"",IF($FN205=HB$169,1,IF($FN205&lt;HB$169,INDEX($FO$170:$IH$241,HB$169,$FN205),SUMPRODUCT(INDEX($FO$325:$IH$396,HB$169,1+SwaptionShift):INDEX($FO$325:$IH$396,HB$169,SwaptionMonthsToGo+SwaptionShift),INDEX($FO$245:$IH$316,$FN205-HB$169,73-HB$169+SwaptionShift):INDEX($FO$245:$IH$316,$FN205-HB$169,72-HB$169+SwaptionMonthsToGo+SwaptionShift))/SQRT(SUM(INDEX($FO360:$IH360,1+SwaptionShift):INDEX($FO360:$IH360,SwaptionMonthsToGo+SwaptionShift))*SUM(INDEX($FO$325:$IH$396,HB$169,1+SwaptionShift):INDEX($FO$325:$IH$396,HB$169,SwaptionMonthsToGo+SwaptionShift))))))</f>
        <v/>
      </c>
      <c r="HC205" s="469" t="str">
        <f ca="1">IF(OR(HC$169&lt;SwaptionFirstMonthPosition+1,$FN205&lt;SwaptionFirstMonthPosition+1,HC$169&gt;SwaptionFirstMonthPosition+SwaptionNumOfMonths+1,$FN205&gt;SwaptionFirstMonthPosition+SwaptionNumOfMonths+1),"",IF($FN205=HC$169,1,IF($FN205&lt;HC$169,INDEX($FO$170:$IH$241,HC$169,$FN205),SUMPRODUCT(INDEX($FO$325:$IH$396,HC$169,1+SwaptionShift):INDEX($FO$325:$IH$396,HC$169,SwaptionMonthsToGo+SwaptionShift),INDEX($FO$245:$IH$316,$FN205-HC$169,73-HC$169+SwaptionShift):INDEX($FO$245:$IH$316,$FN205-HC$169,72-HC$169+SwaptionMonthsToGo+SwaptionShift))/SQRT(SUM(INDEX($FO360:$IH360,1+SwaptionShift):INDEX($FO360:$IH360,SwaptionMonthsToGo+SwaptionShift))*SUM(INDEX($FO$325:$IH$396,HC$169,1+SwaptionShift):INDEX($FO$325:$IH$396,HC$169,SwaptionMonthsToGo+SwaptionShift))))))</f>
        <v/>
      </c>
      <c r="HD205" s="469" t="str">
        <f ca="1">IF(OR(HD$169&lt;SwaptionFirstMonthPosition+1,$FN205&lt;SwaptionFirstMonthPosition+1,HD$169&gt;SwaptionFirstMonthPosition+SwaptionNumOfMonths+1,$FN205&gt;SwaptionFirstMonthPosition+SwaptionNumOfMonths+1),"",IF($FN205=HD$169,1,IF($FN205&lt;HD$169,INDEX($FO$170:$IH$241,HD$169,$FN205),SUMPRODUCT(INDEX($FO$325:$IH$396,HD$169,1+SwaptionShift):INDEX($FO$325:$IH$396,HD$169,SwaptionMonthsToGo+SwaptionShift),INDEX($FO$245:$IH$316,$FN205-HD$169,73-HD$169+SwaptionShift):INDEX($FO$245:$IH$316,$FN205-HD$169,72-HD$169+SwaptionMonthsToGo+SwaptionShift))/SQRT(SUM(INDEX($FO360:$IH360,1+SwaptionShift):INDEX($FO360:$IH360,SwaptionMonthsToGo+SwaptionShift))*SUM(INDEX($FO$325:$IH$396,HD$169,1+SwaptionShift):INDEX($FO$325:$IH$396,HD$169,SwaptionMonthsToGo+SwaptionShift))))))</f>
        <v/>
      </c>
      <c r="HE205" s="469" t="str">
        <f ca="1">IF(OR(HE$169&lt;SwaptionFirstMonthPosition+1,$FN205&lt;SwaptionFirstMonthPosition+1,HE$169&gt;SwaptionFirstMonthPosition+SwaptionNumOfMonths+1,$FN205&gt;SwaptionFirstMonthPosition+SwaptionNumOfMonths+1),"",IF($FN205=HE$169,1,IF($FN205&lt;HE$169,INDEX($FO$170:$IH$241,HE$169,$FN205),SUMPRODUCT(INDEX($FO$325:$IH$396,HE$169,1+SwaptionShift):INDEX($FO$325:$IH$396,HE$169,SwaptionMonthsToGo+SwaptionShift),INDEX($FO$245:$IH$316,$FN205-HE$169,73-HE$169+SwaptionShift):INDEX($FO$245:$IH$316,$FN205-HE$169,72-HE$169+SwaptionMonthsToGo+SwaptionShift))/SQRT(SUM(INDEX($FO360:$IH360,1+SwaptionShift):INDEX($FO360:$IH360,SwaptionMonthsToGo+SwaptionShift))*SUM(INDEX($FO$325:$IH$396,HE$169,1+SwaptionShift):INDEX($FO$325:$IH$396,HE$169,SwaptionMonthsToGo+SwaptionShift))))))</f>
        <v/>
      </c>
      <c r="HF205" s="469" t="str">
        <f ca="1">IF(OR(HF$169&lt;SwaptionFirstMonthPosition+1,$FN205&lt;SwaptionFirstMonthPosition+1,HF$169&gt;SwaptionFirstMonthPosition+SwaptionNumOfMonths+1,$FN205&gt;SwaptionFirstMonthPosition+SwaptionNumOfMonths+1),"",IF($FN205=HF$169,1,IF($FN205&lt;HF$169,INDEX($FO$170:$IH$241,HF$169,$FN205),SUMPRODUCT(INDEX($FO$325:$IH$396,HF$169,1+SwaptionShift):INDEX($FO$325:$IH$396,HF$169,SwaptionMonthsToGo+SwaptionShift),INDEX($FO$245:$IH$316,$FN205-HF$169,73-HF$169+SwaptionShift):INDEX($FO$245:$IH$316,$FN205-HF$169,72-HF$169+SwaptionMonthsToGo+SwaptionShift))/SQRT(SUM(INDEX($FO360:$IH360,1+SwaptionShift):INDEX($FO360:$IH360,SwaptionMonthsToGo+SwaptionShift))*SUM(INDEX($FO$325:$IH$396,HF$169,1+SwaptionShift):INDEX($FO$325:$IH$396,HF$169,SwaptionMonthsToGo+SwaptionShift))))))</f>
        <v/>
      </c>
      <c r="HG205" s="469" t="str">
        <f ca="1">IF(OR(HG$169&lt;SwaptionFirstMonthPosition+1,$FN205&lt;SwaptionFirstMonthPosition+1,HG$169&gt;SwaptionFirstMonthPosition+SwaptionNumOfMonths+1,$FN205&gt;SwaptionFirstMonthPosition+SwaptionNumOfMonths+1),"",IF($FN205=HG$169,1,IF($FN205&lt;HG$169,INDEX($FO$170:$IH$241,HG$169,$FN205),SUMPRODUCT(INDEX($FO$325:$IH$396,HG$169,1+SwaptionShift):INDEX($FO$325:$IH$396,HG$169,SwaptionMonthsToGo+SwaptionShift),INDEX($FO$245:$IH$316,$FN205-HG$169,73-HG$169+SwaptionShift):INDEX($FO$245:$IH$316,$FN205-HG$169,72-HG$169+SwaptionMonthsToGo+SwaptionShift))/SQRT(SUM(INDEX($FO360:$IH360,1+SwaptionShift):INDEX($FO360:$IH360,SwaptionMonthsToGo+SwaptionShift))*SUM(INDEX($FO$325:$IH$396,HG$169,1+SwaptionShift):INDEX($FO$325:$IH$396,HG$169,SwaptionMonthsToGo+SwaptionShift))))))</f>
        <v/>
      </c>
      <c r="HH205" s="469" t="str">
        <f ca="1">IF(OR(HH$169&lt;SwaptionFirstMonthPosition+1,$FN205&lt;SwaptionFirstMonthPosition+1,HH$169&gt;SwaptionFirstMonthPosition+SwaptionNumOfMonths+1,$FN205&gt;SwaptionFirstMonthPosition+SwaptionNumOfMonths+1),"",IF($FN205=HH$169,1,IF($FN205&lt;HH$169,INDEX($FO$170:$IH$241,HH$169,$FN205),SUMPRODUCT(INDEX($FO$325:$IH$396,HH$169,1+SwaptionShift):INDEX($FO$325:$IH$396,HH$169,SwaptionMonthsToGo+SwaptionShift),INDEX($FO$245:$IH$316,$FN205-HH$169,73-HH$169+SwaptionShift):INDEX($FO$245:$IH$316,$FN205-HH$169,72-HH$169+SwaptionMonthsToGo+SwaptionShift))/SQRT(SUM(INDEX($FO360:$IH360,1+SwaptionShift):INDEX($FO360:$IH360,SwaptionMonthsToGo+SwaptionShift))*SUM(INDEX($FO$325:$IH$396,HH$169,1+SwaptionShift):INDEX($FO$325:$IH$396,HH$169,SwaptionMonthsToGo+SwaptionShift))))))</f>
        <v/>
      </c>
      <c r="HI205" s="469" t="str">
        <f ca="1">IF(OR(HI$169&lt;SwaptionFirstMonthPosition+1,$FN205&lt;SwaptionFirstMonthPosition+1,HI$169&gt;SwaptionFirstMonthPosition+SwaptionNumOfMonths+1,$FN205&gt;SwaptionFirstMonthPosition+SwaptionNumOfMonths+1),"",IF($FN205=HI$169,1,IF($FN205&lt;HI$169,INDEX($FO$170:$IH$241,HI$169,$FN205),SUMPRODUCT(INDEX($FO$325:$IH$396,HI$169,1+SwaptionShift):INDEX($FO$325:$IH$396,HI$169,SwaptionMonthsToGo+SwaptionShift),INDEX($FO$245:$IH$316,$FN205-HI$169,73-HI$169+SwaptionShift):INDEX($FO$245:$IH$316,$FN205-HI$169,72-HI$169+SwaptionMonthsToGo+SwaptionShift))/SQRT(SUM(INDEX($FO360:$IH360,1+SwaptionShift):INDEX($FO360:$IH360,SwaptionMonthsToGo+SwaptionShift))*SUM(INDEX($FO$325:$IH$396,HI$169,1+SwaptionShift):INDEX($FO$325:$IH$396,HI$169,SwaptionMonthsToGo+SwaptionShift))))))</f>
        <v/>
      </c>
      <c r="HJ205" s="469" t="str">
        <f ca="1">IF(OR(HJ$169&lt;SwaptionFirstMonthPosition+1,$FN205&lt;SwaptionFirstMonthPosition+1,HJ$169&gt;SwaptionFirstMonthPosition+SwaptionNumOfMonths+1,$FN205&gt;SwaptionFirstMonthPosition+SwaptionNumOfMonths+1),"",IF($FN205=HJ$169,1,IF($FN205&lt;HJ$169,INDEX($FO$170:$IH$241,HJ$169,$FN205),SUMPRODUCT(INDEX($FO$325:$IH$396,HJ$169,1+SwaptionShift):INDEX($FO$325:$IH$396,HJ$169,SwaptionMonthsToGo+SwaptionShift),INDEX($FO$245:$IH$316,$FN205-HJ$169,73-HJ$169+SwaptionShift):INDEX($FO$245:$IH$316,$FN205-HJ$169,72-HJ$169+SwaptionMonthsToGo+SwaptionShift))/SQRT(SUM(INDEX($FO360:$IH360,1+SwaptionShift):INDEX($FO360:$IH360,SwaptionMonthsToGo+SwaptionShift))*SUM(INDEX($FO$325:$IH$396,HJ$169,1+SwaptionShift):INDEX($FO$325:$IH$396,HJ$169,SwaptionMonthsToGo+SwaptionShift))))))</f>
        <v/>
      </c>
      <c r="HK205" s="469" t="str">
        <f ca="1">IF(OR(HK$169&lt;SwaptionFirstMonthPosition+1,$FN205&lt;SwaptionFirstMonthPosition+1,HK$169&gt;SwaptionFirstMonthPosition+SwaptionNumOfMonths+1,$FN205&gt;SwaptionFirstMonthPosition+SwaptionNumOfMonths+1),"",IF($FN205=HK$169,1,IF($FN205&lt;HK$169,INDEX($FO$170:$IH$241,HK$169,$FN205),SUMPRODUCT(INDEX($FO$325:$IH$396,HK$169,1+SwaptionShift):INDEX($FO$325:$IH$396,HK$169,SwaptionMonthsToGo+SwaptionShift),INDEX($FO$245:$IH$316,$FN205-HK$169,73-HK$169+SwaptionShift):INDEX($FO$245:$IH$316,$FN205-HK$169,72-HK$169+SwaptionMonthsToGo+SwaptionShift))/SQRT(SUM(INDEX($FO360:$IH360,1+SwaptionShift):INDEX($FO360:$IH360,SwaptionMonthsToGo+SwaptionShift))*SUM(INDEX($FO$325:$IH$396,HK$169,1+SwaptionShift):INDEX($FO$325:$IH$396,HK$169,SwaptionMonthsToGo+SwaptionShift))))))</f>
        <v/>
      </c>
      <c r="HL205" s="469" t="str">
        <f ca="1">IF(OR(HL$169&lt;SwaptionFirstMonthPosition+1,$FN205&lt;SwaptionFirstMonthPosition+1,HL$169&gt;SwaptionFirstMonthPosition+SwaptionNumOfMonths+1,$FN205&gt;SwaptionFirstMonthPosition+SwaptionNumOfMonths+1),"",IF($FN205=HL$169,1,IF($FN205&lt;HL$169,INDEX($FO$170:$IH$241,HL$169,$FN205),SUMPRODUCT(INDEX($FO$325:$IH$396,HL$169,1+SwaptionShift):INDEX($FO$325:$IH$396,HL$169,SwaptionMonthsToGo+SwaptionShift),INDEX($FO$245:$IH$316,$FN205-HL$169,73-HL$169+SwaptionShift):INDEX($FO$245:$IH$316,$FN205-HL$169,72-HL$169+SwaptionMonthsToGo+SwaptionShift))/SQRT(SUM(INDEX($FO360:$IH360,1+SwaptionShift):INDEX($FO360:$IH360,SwaptionMonthsToGo+SwaptionShift))*SUM(INDEX($FO$325:$IH$396,HL$169,1+SwaptionShift):INDEX($FO$325:$IH$396,HL$169,SwaptionMonthsToGo+SwaptionShift))))))</f>
        <v/>
      </c>
      <c r="HM205" s="469" t="str">
        <f ca="1">IF(OR(HM$169&lt;SwaptionFirstMonthPosition+1,$FN205&lt;SwaptionFirstMonthPosition+1,HM$169&gt;SwaptionFirstMonthPosition+SwaptionNumOfMonths+1,$FN205&gt;SwaptionFirstMonthPosition+SwaptionNumOfMonths+1),"",IF($FN205=HM$169,1,IF($FN205&lt;HM$169,INDEX($FO$170:$IH$241,HM$169,$FN205),SUMPRODUCT(INDEX($FO$325:$IH$396,HM$169,1+SwaptionShift):INDEX($FO$325:$IH$396,HM$169,SwaptionMonthsToGo+SwaptionShift),INDEX($FO$245:$IH$316,$FN205-HM$169,73-HM$169+SwaptionShift):INDEX($FO$245:$IH$316,$FN205-HM$169,72-HM$169+SwaptionMonthsToGo+SwaptionShift))/SQRT(SUM(INDEX($FO360:$IH360,1+SwaptionShift):INDEX($FO360:$IH360,SwaptionMonthsToGo+SwaptionShift))*SUM(INDEX($FO$325:$IH$396,HM$169,1+SwaptionShift):INDEX($FO$325:$IH$396,HM$169,SwaptionMonthsToGo+SwaptionShift))))))</f>
        <v/>
      </c>
      <c r="HN205" s="469" t="str">
        <f ca="1">IF(OR(HN$169&lt;SwaptionFirstMonthPosition+1,$FN205&lt;SwaptionFirstMonthPosition+1,HN$169&gt;SwaptionFirstMonthPosition+SwaptionNumOfMonths+1,$FN205&gt;SwaptionFirstMonthPosition+SwaptionNumOfMonths+1),"",IF($FN205=HN$169,1,IF($FN205&lt;HN$169,INDEX($FO$170:$IH$241,HN$169,$FN205),SUMPRODUCT(INDEX($FO$325:$IH$396,HN$169,1+SwaptionShift):INDEX($FO$325:$IH$396,HN$169,SwaptionMonthsToGo+SwaptionShift),INDEX($FO$245:$IH$316,$FN205-HN$169,73-HN$169+SwaptionShift):INDEX($FO$245:$IH$316,$FN205-HN$169,72-HN$169+SwaptionMonthsToGo+SwaptionShift))/SQRT(SUM(INDEX($FO360:$IH360,1+SwaptionShift):INDEX($FO360:$IH360,SwaptionMonthsToGo+SwaptionShift))*SUM(INDEX($FO$325:$IH$396,HN$169,1+SwaptionShift):INDEX($FO$325:$IH$396,HN$169,SwaptionMonthsToGo+SwaptionShift))))))</f>
        <v/>
      </c>
      <c r="HO205" s="469" t="str">
        <f ca="1">IF(OR(HO$169&lt;SwaptionFirstMonthPosition+1,$FN205&lt;SwaptionFirstMonthPosition+1,HO$169&gt;SwaptionFirstMonthPosition+SwaptionNumOfMonths+1,$FN205&gt;SwaptionFirstMonthPosition+SwaptionNumOfMonths+1),"",IF($FN205=HO$169,1,IF($FN205&lt;HO$169,INDEX($FO$170:$IH$241,HO$169,$FN205),SUMPRODUCT(INDEX($FO$325:$IH$396,HO$169,1+SwaptionShift):INDEX($FO$325:$IH$396,HO$169,SwaptionMonthsToGo+SwaptionShift),INDEX($FO$245:$IH$316,$FN205-HO$169,73-HO$169+SwaptionShift):INDEX($FO$245:$IH$316,$FN205-HO$169,72-HO$169+SwaptionMonthsToGo+SwaptionShift))/SQRT(SUM(INDEX($FO360:$IH360,1+SwaptionShift):INDEX($FO360:$IH360,SwaptionMonthsToGo+SwaptionShift))*SUM(INDEX($FO$325:$IH$396,HO$169,1+SwaptionShift):INDEX($FO$325:$IH$396,HO$169,SwaptionMonthsToGo+SwaptionShift))))))</f>
        <v/>
      </c>
      <c r="HP205" s="469" t="str">
        <f ca="1">IF(OR(HP$169&lt;SwaptionFirstMonthPosition+1,$FN205&lt;SwaptionFirstMonthPosition+1,HP$169&gt;SwaptionFirstMonthPosition+SwaptionNumOfMonths+1,$FN205&gt;SwaptionFirstMonthPosition+SwaptionNumOfMonths+1),"",IF($FN205=HP$169,1,IF($FN205&lt;HP$169,INDEX($FO$170:$IH$241,HP$169,$FN205),SUMPRODUCT(INDEX($FO$325:$IH$396,HP$169,1+SwaptionShift):INDEX($FO$325:$IH$396,HP$169,SwaptionMonthsToGo+SwaptionShift),INDEX($FO$245:$IH$316,$FN205-HP$169,73-HP$169+SwaptionShift):INDEX($FO$245:$IH$316,$FN205-HP$169,72-HP$169+SwaptionMonthsToGo+SwaptionShift))/SQRT(SUM(INDEX($FO360:$IH360,1+SwaptionShift):INDEX($FO360:$IH360,SwaptionMonthsToGo+SwaptionShift))*SUM(INDEX($FO$325:$IH$396,HP$169,1+SwaptionShift):INDEX($FO$325:$IH$396,HP$169,SwaptionMonthsToGo+SwaptionShift))))))</f>
        <v/>
      </c>
      <c r="HQ205" s="469" t="str">
        <f ca="1">IF(OR(HQ$169&lt;SwaptionFirstMonthPosition+1,$FN205&lt;SwaptionFirstMonthPosition+1,HQ$169&gt;SwaptionFirstMonthPosition+SwaptionNumOfMonths+1,$FN205&gt;SwaptionFirstMonthPosition+SwaptionNumOfMonths+1),"",IF($FN205=HQ$169,1,IF($FN205&lt;HQ$169,INDEX($FO$170:$IH$241,HQ$169,$FN205),SUMPRODUCT(INDEX($FO$325:$IH$396,HQ$169,1+SwaptionShift):INDEX($FO$325:$IH$396,HQ$169,SwaptionMonthsToGo+SwaptionShift),INDEX($FO$245:$IH$316,$FN205-HQ$169,73-HQ$169+SwaptionShift):INDEX($FO$245:$IH$316,$FN205-HQ$169,72-HQ$169+SwaptionMonthsToGo+SwaptionShift))/SQRT(SUM(INDEX($FO360:$IH360,1+SwaptionShift):INDEX($FO360:$IH360,SwaptionMonthsToGo+SwaptionShift))*SUM(INDEX($FO$325:$IH$396,HQ$169,1+SwaptionShift):INDEX($FO$325:$IH$396,HQ$169,SwaptionMonthsToGo+SwaptionShift))))))</f>
        <v/>
      </c>
      <c r="HR205" s="469" t="str">
        <f ca="1">IF(OR(HR$169&lt;SwaptionFirstMonthPosition+1,$FN205&lt;SwaptionFirstMonthPosition+1,HR$169&gt;SwaptionFirstMonthPosition+SwaptionNumOfMonths+1,$FN205&gt;SwaptionFirstMonthPosition+SwaptionNumOfMonths+1),"",IF($FN205=HR$169,1,IF($FN205&lt;HR$169,INDEX($FO$170:$IH$241,HR$169,$FN205),SUMPRODUCT(INDEX($FO$325:$IH$396,HR$169,1+SwaptionShift):INDEX($FO$325:$IH$396,HR$169,SwaptionMonthsToGo+SwaptionShift),INDEX($FO$245:$IH$316,$FN205-HR$169,73-HR$169+SwaptionShift):INDEX($FO$245:$IH$316,$FN205-HR$169,72-HR$169+SwaptionMonthsToGo+SwaptionShift))/SQRT(SUM(INDEX($FO360:$IH360,1+SwaptionShift):INDEX($FO360:$IH360,SwaptionMonthsToGo+SwaptionShift))*SUM(INDEX($FO$325:$IH$396,HR$169,1+SwaptionShift):INDEX($FO$325:$IH$396,HR$169,SwaptionMonthsToGo+SwaptionShift))))))</f>
        <v/>
      </c>
      <c r="HS205" s="469" t="str">
        <f ca="1">IF(OR(HS$169&lt;SwaptionFirstMonthPosition+1,$FN205&lt;SwaptionFirstMonthPosition+1,HS$169&gt;SwaptionFirstMonthPosition+SwaptionNumOfMonths+1,$FN205&gt;SwaptionFirstMonthPosition+SwaptionNumOfMonths+1),"",IF($FN205=HS$169,1,IF($FN205&lt;HS$169,INDEX($FO$170:$IH$241,HS$169,$FN205),SUMPRODUCT(INDEX($FO$325:$IH$396,HS$169,1+SwaptionShift):INDEX($FO$325:$IH$396,HS$169,SwaptionMonthsToGo+SwaptionShift),INDEX($FO$245:$IH$316,$FN205-HS$169,73-HS$169+SwaptionShift):INDEX($FO$245:$IH$316,$FN205-HS$169,72-HS$169+SwaptionMonthsToGo+SwaptionShift))/SQRT(SUM(INDEX($FO360:$IH360,1+SwaptionShift):INDEX($FO360:$IH360,SwaptionMonthsToGo+SwaptionShift))*SUM(INDEX($FO$325:$IH$396,HS$169,1+SwaptionShift):INDEX($FO$325:$IH$396,HS$169,SwaptionMonthsToGo+SwaptionShift))))))</f>
        <v/>
      </c>
      <c r="HT205" s="469" t="str">
        <f ca="1">IF(OR(HT$169&lt;SwaptionFirstMonthPosition+1,$FN205&lt;SwaptionFirstMonthPosition+1,HT$169&gt;SwaptionFirstMonthPosition+SwaptionNumOfMonths+1,$FN205&gt;SwaptionFirstMonthPosition+SwaptionNumOfMonths+1),"",IF($FN205=HT$169,1,IF($FN205&lt;HT$169,INDEX($FO$170:$IH$241,HT$169,$FN205),SUMPRODUCT(INDEX($FO$325:$IH$396,HT$169,1+SwaptionShift):INDEX($FO$325:$IH$396,HT$169,SwaptionMonthsToGo+SwaptionShift),INDEX($FO$245:$IH$316,$FN205-HT$169,73-HT$169+SwaptionShift):INDEX($FO$245:$IH$316,$FN205-HT$169,72-HT$169+SwaptionMonthsToGo+SwaptionShift))/SQRT(SUM(INDEX($FO360:$IH360,1+SwaptionShift):INDEX($FO360:$IH360,SwaptionMonthsToGo+SwaptionShift))*SUM(INDEX($FO$325:$IH$396,HT$169,1+SwaptionShift):INDEX($FO$325:$IH$396,HT$169,SwaptionMonthsToGo+SwaptionShift))))))</f>
        <v/>
      </c>
      <c r="HU205" s="469" t="str">
        <f ca="1">IF(OR(HU$169&lt;SwaptionFirstMonthPosition+1,$FN205&lt;SwaptionFirstMonthPosition+1,HU$169&gt;SwaptionFirstMonthPosition+SwaptionNumOfMonths+1,$FN205&gt;SwaptionFirstMonthPosition+SwaptionNumOfMonths+1),"",IF($FN205=HU$169,1,IF($FN205&lt;HU$169,INDEX($FO$170:$IH$241,HU$169,$FN205),SUMPRODUCT(INDEX($FO$325:$IH$396,HU$169,1+SwaptionShift):INDEX($FO$325:$IH$396,HU$169,SwaptionMonthsToGo+SwaptionShift),INDEX($FO$245:$IH$316,$FN205-HU$169,73-HU$169+SwaptionShift):INDEX($FO$245:$IH$316,$FN205-HU$169,72-HU$169+SwaptionMonthsToGo+SwaptionShift))/SQRT(SUM(INDEX($FO360:$IH360,1+SwaptionShift):INDEX($FO360:$IH360,SwaptionMonthsToGo+SwaptionShift))*SUM(INDEX($FO$325:$IH$396,HU$169,1+SwaptionShift):INDEX($FO$325:$IH$396,HU$169,SwaptionMonthsToGo+SwaptionShift))))))</f>
        <v/>
      </c>
      <c r="HV205" s="469" t="str">
        <f ca="1">IF(OR(HV$169&lt;SwaptionFirstMonthPosition+1,$FN205&lt;SwaptionFirstMonthPosition+1,HV$169&gt;SwaptionFirstMonthPosition+SwaptionNumOfMonths+1,$FN205&gt;SwaptionFirstMonthPosition+SwaptionNumOfMonths+1),"",IF($FN205=HV$169,1,IF($FN205&lt;HV$169,INDEX($FO$170:$IH$241,HV$169,$FN205),SUMPRODUCT(INDEX($FO$325:$IH$396,HV$169,1+SwaptionShift):INDEX($FO$325:$IH$396,HV$169,SwaptionMonthsToGo+SwaptionShift),INDEX($FO$245:$IH$316,$FN205-HV$169,73-HV$169+SwaptionShift):INDEX($FO$245:$IH$316,$FN205-HV$169,72-HV$169+SwaptionMonthsToGo+SwaptionShift))/SQRT(SUM(INDEX($FO360:$IH360,1+SwaptionShift):INDEX($FO360:$IH360,SwaptionMonthsToGo+SwaptionShift))*SUM(INDEX($FO$325:$IH$396,HV$169,1+SwaptionShift):INDEX($FO$325:$IH$396,HV$169,SwaptionMonthsToGo+SwaptionShift))))))</f>
        <v/>
      </c>
      <c r="HW205" s="469" t="str">
        <f ca="1">IF(OR(HW$169&lt;SwaptionFirstMonthPosition+1,$FN205&lt;SwaptionFirstMonthPosition+1,HW$169&gt;SwaptionFirstMonthPosition+SwaptionNumOfMonths+1,$FN205&gt;SwaptionFirstMonthPosition+SwaptionNumOfMonths+1),"",IF($FN205=HW$169,1,IF($FN205&lt;HW$169,INDEX($FO$170:$IH$241,HW$169,$FN205),SUMPRODUCT(INDEX($FO$325:$IH$396,HW$169,1+SwaptionShift):INDEX($FO$325:$IH$396,HW$169,SwaptionMonthsToGo+SwaptionShift),INDEX($FO$245:$IH$316,$FN205-HW$169,73-HW$169+SwaptionShift):INDEX($FO$245:$IH$316,$FN205-HW$169,72-HW$169+SwaptionMonthsToGo+SwaptionShift))/SQRT(SUM(INDEX($FO360:$IH360,1+SwaptionShift):INDEX($FO360:$IH360,SwaptionMonthsToGo+SwaptionShift))*SUM(INDEX($FO$325:$IH$396,HW$169,1+SwaptionShift):INDEX($FO$325:$IH$396,HW$169,SwaptionMonthsToGo+SwaptionShift))))))</f>
        <v/>
      </c>
      <c r="HX205" s="469" t="str">
        <f ca="1">IF(OR(HX$169&lt;SwaptionFirstMonthPosition+1,$FN205&lt;SwaptionFirstMonthPosition+1,HX$169&gt;SwaptionFirstMonthPosition+SwaptionNumOfMonths+1,$FN205&gt;SwaptionFirstMonthPosition+SwaptionNumOfMonths+1),"",IF($FN205=HX$169,1,IF($FN205&lt;HX$169,INDEX($FO$170:$IH$241,HX$169,$FN205),SUMPRODUCT(INDEX($FO$325:$IH$396,HX$169,1+SwaptionShift):INDEX($FO$325:$IH$396,HX$169,SwaptionMonthsToGo+SwaptionShift),INDEX($FO$245:$IH$316,$FN205-HX$169,73-HX$169+SwaptionShift):INDEX($FO$245:$IH$316,$FN205-HX$169,72-HX$169+SwaptionMonthsToGo+SwaptionShift))/SQRT(SUM(INDEX($FO360:$IH360,1+SwaptionShift):INDEX($FO360:$IH360,SwaptionMonthsToGo+SwaptionShift))*SUM(INDEX($FO$325:$IH$396,HX$169,1+SwaptionShift):INDEX($FO$325:$IH$396,HX$169,SwaptionMonthsToGo+SwaptionShift))))))</f>
        <v/>
      </c>
      <c r="HY205" s="469" t="str">
        <f ca="1">IF(OR(HY$169&lt;SwaptionFirstMonthPosition+1,$FN205&lt;SwaptionFirstMonthPosition+1,HY$169&gt;SwaptionFirstMonthPosition+SwaptionNumOfMonths+1,$FN205&gt;SwaptionFirstMonthPosition+SwaptionNumOfMonths+1),"",IF($FN205=HY$169,1,IF($FN205&lt;HY$169,INDEX($FO$170:$IH$241,HY$169,$FN205),SUMPRODUCT(INDEX($FO$325:$IH$396,HY$169,1+SwaptionShift):INDEX($FO$325:$IH$396,HY$169,SwaptionMonthsToGo+SwaptionShift),INDEX($FO$245:$IH$316,$FN205-HY$169,73-HY$169+SwaptionShift):INDEX($FO$245:$IH$316,$FN205-HY$169,72-HY$169+SwaptionMonthsToGo+SwaptionShift))/SQRT(SUM(INDEX($FO360:$IH360,1+SwaptionShift):INDEX($FO360:$IH360,SwaptionMonthsToGo+SwaptionShift))*SUM(INDEX($FO$325:$IH$396,HY$169,1+SwaptionShift):INDEX($FO$325:$IH$396,HY$169,SwaptionMonthsToGo+SwaptionShift))))))</f>
        <v/>
      </c>
      <c r="HZ205" s="469" t="str">
        <f ca="1">IF(OR(HZ$169&lt;SwaptionFirstMonthPosition+1,$FN205&lt;SwaptionFirstMonthPosition+1,HZ$169&gt;SwaptionFirstMonthPosition+SwaptionNumOfMonths+1,$FN205&gt;SwaptionFirstMonthPosition+SwaptionNumOfMonths+1),"",IF($FN205=HZ$169,1,IF($FN205&lt;HZ$169,INDEX($FO$170:$IH$241,HZ$169,$FN205),SUMPRODUCT(INDEX($FO$325:$IH$396,HZ$169,1+SwaptionShift):INDEX($FO$325:$IH$396,HZ$169,SwaptionMonthsToGo+SwaptionShift),INDEX($FO$245:$IH$316,$FN205-HZ$169,73-HZ$169+SwaptionShift):INDEX($FO$245:$IH$316,$FN205-HZ$169,72-HZ$169+SwaptionMonthsToGo+SwaptionShift))/SQRT(SUM(INDEX($FO360:$IH360,1+SwaptionShift):INDEX($FO360:$IH360,SwaptionMonthsToGo+SwaptionShift))*SUM(INDEX($FO$325:$IH$396,HZ$169,1+SwaptionShift):INDEX($FO$325:$IH$396,HZ$169,SwaptionMonthsToGo+SwaptionShift))))))</f>
        <v/>
      </c>
      <c r="IA205" s="469" t="str">
        <f ca="1">IF(OR(IA$169&lt;SwaptionFirstMonthPosition+1,$FN205&lt;SwaptionFirstMonthPosition+1,IA$169&gt;SwaptionFirstMonthPosition+SwaptionNumOfMonths+1,$FN205&gt;SwaptionFirstMonthPosition+SwaptionNumOfMonths+1),"",IF($FN205=IA$169,1,IF($FN205&lt;IA$169,INDEX($FO$170:$IH$241,IA$169,$FN205),SUMPRODUCT(INDEX($FO$325:$IH$396,IA$169,1+SwaptionShift):INDEX($FO$325:$IH$396,IA$169,SwaptionMonthsToGo+SwaptionShift),INDEX($FO$245:$IH$316,$FN205-IA$169,73-IA$169+SwaptionShift):INDEX($FO$245:$IH$316,$FN205-IA$169,72-IA$169+SwaptionMonthsToGo+SwaptionShift))/SQRT(SUM(INDEX($FO360:$IH360,1+SwaptionShift):INDEX($FO360:$IH360,SwaptionMonthsToGo+SwaptionShift))*SUM(INDEX($FO$325:$IH$396,IA$169,1+SwaptionShift):INDEX($FO$325:$IH$396,IA$169,SwaptionMonthsToGo+SwaptionShift))))))</f>
        <v/>
      </c>
      <c r="IB205" s="469" t="str">
        <f ca="1">IF(OR(IB$169&lt;SwaptionFirstMonthPosition+1,$FN205&lt;SwaptionFirstMonthPosition+1,IB$169&gt;SwaptionFirstMonthPosition+SwaptionNumOfMonths+1,$FN205&gt;SwaptionFirstMonthPosition+SwaptionNumOfMonths+1),"",IF($FN205=IB$169,1,IF($FN205&lt;IB$169,INDEX($FO$170:$IH$241,IB$169,$FN205),SUMPRODUCT(INDEX($FO$325:$IH$396,IB$169,1+SwaptionShift):INDEX($FO$325:$IH$396,IB$169,SwaptionMonthsToGo+SwaptionShift),INDEX($FO$245:$IH$316,$FN205-IB$169,73-IB$169+SwaptionShift):INDEX($FO$245:$IH$316,$FN205-IB$169,72-IB$169+SwaptionMonthsToGo+SwaptionShift))/SQRT(SUM(INDEX($FO360:$IH360,1+SwaptionShift):INDEX($FO360:$IH360,SwaptionMonthsToGo+SwaptionShift))*SUM(INDEX($FO$325:$IH$396,IB$169,1+SwaptionShift):INDEX($FO$325:$IH$396,IB$169,SwaptionMonthsToGo+SwaptionShift))))))</f>
        <v/>
      </c>
      <c r="IC205" s="469" t="str">
        <f ca="1">IF(OR(IC$169&lt;SwaptionFirstMonthPosition+1,$FN205&lt;SwaptionFirstMonthPosition+1,IC$169&gt;SwaptionFirstMonthPosition+SwaptionNumOfMonths+1,$FN205&gt;SwaptionFirstMonthPosition+SwaptionNumOfMonths+1),"",IF($FN205=IC$169,1,IF($FN205&lt;IC$169,INDEX($FO$170:$IH$241,IC$169,$FN205),SUMPRODUCT(INDEX($FO$325:$IH$396,IC$169,1+SwaptionShift):INDEX($FO$325:$IH$396,IC$169,SwaptionMonthsToGo+SwaptionShift),INDEX($FO$245:$IH$316,$FN205-IC$169,73-IC$169+SwaptionShift):INDEX($FO$245:$IH$316,$FN205-IC$169,72-IC$169+SwaptionMonthsToGo+SwaptionShift))/SQRT(SUM(INDEX($FO360:$IH360,1+SwaptionShift):INDEX($FO360:$IH360,SwaptionMonthsToGo+SwaptionShift))*SUM(INDEX($FO$325:$IH$396,IC$169,1+SwaptionShift):INDEX($FO$325:$IH$396,IC$169,SwaptionMonthsToGo+SwaptionShift))))))</f>
        <v/>
      </c>
      <c r="ID205" s="469" t="str">
        <f ca="1">IF(OR(ID$169&lt;SwaptionFirstMonthPosition+1,$FN205&lt;SwaptionFirstMonthPosition+1,ID$169&gt;SwaptionFirstMonthPosition+SwaptionNumOfMonths+1,$FN205&gt;SwaptionFirstMonthPosition+SwaptionNumOfMonths+1),"",IF($FN205=ID$169,1,IF($FN205&lt;ID$169,INDEX($FO$170:$IH$241,ID$169,$FN205),SUMPRODUCT(INDEX($FO$325:$IH$396,ID$169,1+SwaptionShift):INDEX($FO$325:$IH$396,ID$169,SwaptionMonthsToGo+SwaptionShift),INDEX($FO$245:$IH$316,$FN205-ID$169,73-ID$169+SwaptionShift):INDEX($FO$245:$IH$316,$FN205-ID$169,72-ID$169+SwaptionMonthsToGo+SwaptionShift))/SQRT(SUM(INDEX($FO360:$IH360,1+SwaptionShift):INDEX($FO360:$IH360,SwaptionMonthsToGo+SwaptionShift))*SUM(INDEX($FO$325:$IH$396,ID$169,1+SwaptionShift):INDEX($FO$325:$IH$396,ID$169,SwaptionMonthsToGo+SwaptionShift))))))</f>
        <v/>
      </c>
      <c r="IE205" s="469" t="str">
        <f ca="1">IF(OR(IE$169&lt;SwaptionFirstMonthPosition+1,$FN205&lt;SwaptionFirstMonthPosition+1,IE$169&gt;SwaptionFirstMonthPosition+SwaptionNumOfMonths+1,$FN205&gt;SwaptionFirstMonthPosition+SwaptionNumOfMonths+1),"",IF($FN205=IE$169,1,IF($FN205&lt;IE$169,INDEX($FO$170:$IH$241,IE$169,$FN205),SUMPRODUCT(INDEX($FO$325:$IH$396,IE$169,1+SwaptionShift):INDEX($FO$325:$IH$396,IE$169,SwaptionMonthsToGo+SwaptionShift),INDEX($FO$245:$IH$316,$FN205-IE$169,73-IE$169+SwaptionShift):INDEX($FO$245:$IH$316,$FN205-IE$169,72-IE$169+SwaptionMonthsToGo+SwaptionShift))/SQRT(SUM(INDEX($FO360:$IH360,1+SwaptionShift):INDEX($FO360:$IH360,SwaptionMonthsToGo+SwaptionShift))*SUM(INDEX($FO$325:$IH$396,IE$169,1+SwaptionShift):INDEX($FO$325:$IH$396,IE$169,SwaptionMonthsToGo+SwaptionShift))))))</f>
        <v/>
      </c>
      <c r="IF205" s="469" t="str">
        <f ca="1">IF(OR(IF$169&lt;SwaptionFirstMonthPosition+1,$FN205&lt;SwaptionFirstMonthPosition+1,IF$169&gt;SwaptionFirstMonthPosition+SwaptionNumOfMonths+1,$FN205&gt;SwaptionFirstMonthPosition+SwaptionNumOfMonths+1),"",IF($FN205=IF$169,1,IF($FN205&lt;IF$169,INDEX($FO$170:$IH$241,IF$169,$FN205),SUMPRODUCT(INDEX($FO$325:$IH$396,IF$169,1+SwaptionShift):INDEX($FO$325:$IH$396,IF$169,SwaptionMonthsToGo+SwaptionShift),INDEX($FO$245:$IH$316,$FN205-IF$169,73-IF$169+SwaptionShift):INDEX($FO$245:$IH$316,$FN205-IF$169,72-IF$169+SwaptionMonthsToGo+SwaptionShift))/SQRT(SUM(INDEX($FO360:$IH360,1+SwaptionShift):INDEX($FO360:$IH360,SwaptionMonthsToGo+SwaptionShift))*SUM(INDEX($FO$325:$IH$396,IF$169,1+SwaptionShift):INDEX($FO$325:$IH$396,IF$169,SwaptionMonthsToGo+SwaptionShift))))))</f>
        <v/>
      </c>
      <c r="IG205" s="469" t="str">
        <f ca="1">IF(OR(IG$169&lt;SwaptionFirstMonthPosition+1,$FN205&lt;SwaptionFirstMonthPosition+1,IG$169&gt;SwaptionFirstMonthPosition+SwaptionNumOfMonths+1,$FN205&gt;SwaptionFirstMonthPosition+SwaptionNumOfMonths+1),"",IF($FN205=IG$169,1,IF($FN205&lt;IG$169,INDEX($FO$170:$IH$241,IG$169,$FN205),SUMPRODUCT(INDEX($FO$325:$IH$396,IG$169,1+SwaptionShift):INDEX($FO$325:$IH$396,IG$169,SwaptionMonthsToGo+SwaptionShift),INDEX($FO$245:$IH$316,$FN205-IG$169,73-IG$169+SwaptionShift):INDEX($FO$245:$IH$316,$FN205-IG$169,72-IG$169+SwaptionMonthsToGo+SwaptionShift))/SQRT(SUM(INDEX($FO360:$IH360,1+SwaptionShift):INDEX($FO360:$IH360,SwaptionMonthsToGo+SwaptionShift))*SUM(INDEX($FO$325:$IH$396,IG$169,1+SwaptionShift):INDEX($FO$325:$IH$396,IG$169,SwaptionMonthsToGo+SwaptionShift))))))</f>
        <v/>
      </c>
      <c r="IH205" s="662" t="str">
        <f ca="1">IF(OR(IH$169&lt;SwaptionFirstMonthPosition+1,$FN205&lt;SwaptionFirstMonthPosition+1,IH$169&gt;SwaptionFirstMonthPosition+SwaptionNumOfMonths+1,$FN205&gt;SwaptionFirstMonthPosition+SwaptionNumOfMonths+1),"",IF($FN205=IH$169,1,IF($FN205&lt;IH$169,INDEX($FO$170:$IH$241,IH$169,$FN205),SUMPRODUCT(INDEX($FO$325:$IH$396,IH$169,1+SwaptionShift):INDEX($FO$325:$IH$396,IH$169,SwaptionMonthsToGo+SwaptionShift),INDEX($FO$245:$IH$316,$FN205-IH$169,73-IH$169+SwaptionShift):INDEX($FO$245:$IH$316,$FN205-IH$169,72-IH$169+SwaptionMonthsToGo+SwaptionShift))/SQRT(SUM(INDEX($FO360:$IH360,1+SwaptionShift):INDEX($FO360:$IH360,SwaptionMonthsToGo+SwaptionShift))*SUM(INDEX($FO$325:$IH$396,IH$169,1+SwaptionShift):INDEX($FO$325:$IH$396,IH$169,SwaptionMonthsToGo+SwaptionShift))))))</f>
        <v/>
      </c>
      <c r="II205" s="242"/>
    </row>
    <row r="206" spans="8:243">
      <c r="H206" s="49" t="e">
        <f t="shared" ca="1" si="529"/>
        <v>#N/A</v>
      </c>
      <c r="I206" s="369">
        <f t="shared" si="530"/>
        <v>42675</v>
      </c>
      <c r="J206" s="367">
        <v>24.034999999999901</v>
      </c>
      <c r="K206" s="101" t="s">
        <v>267</v>
      </c>
      <c r="L206" s="382">
        <f t="shared" si="531"/>
        <v>24.034999999999865</v>
      </c>
      <c r="M206" s="163">
        <v>0.13670000000000002</v>
      </c>
      <c r="N206" s="372">
        <v>0</v>
      </c>
      <c r="O206" s="163">
        <f t="shared" si="595"/>
        <v>0.13670000000000002</v>
      </c>
      <c r="P206" s="367">
        <v>22.779278909990698</v>
      </c>
      <c r="Q206" s="101" t="s">
        <v>267</v>
      </c>
      <c r="R206" s="367">
        <f t="shared" ca="1" si="596"/>
        <v>22.779278909990651</v>
      </c>
      <c r="S206" s="814">
        <f t="shared" si="594"/>
        <v>0.34778898746433584</v>
      </c>
      <c r="T206" s="813">
        <f t="shared" si="550"/>
        <v>0.9999999997592629</v>
      </c>
      <c r="U206" s="532">
        <f t="shared" si="551"/>
        <v>0.99999999999999978</v>
      </c>
      <c r="V206" s="379">
        <v>0</v>
      </c>
      <c r="W206" s="424">
        <f t="shared" si="597"/>
        <v>24.069090909090811</v>
      </c>
      <c r="X206" s="405">
        <f t="shared" si="598"/>
        <v>24.069090909090775</v>
      </c>
      <c r="Y206" s="313">
        <f t="shared" si="599"/>
        <v>22.827490909090812</v>
      </c>
      <c r="Z206" s="313">
        <f t="shared" ca="1" si="600"/>
        <v>22.827490909090777</v>
      </c>
      <c r="AA206" s="419">
        <f t="shared" si="493"/>
        <v>1.2416</v>
      </c>
      <c r="AB206" s="423">
        <f t="shared" ca="1" si="494"/>
        <v>1.2416</v>
      </c>
      <c r="AC206" s="221">
        <v>42663</v>
      </c>
      <c r="AD206" s="221">
        <v>42659</v>
      </c>
      <c r="AE206" s="221">
        <v>42658</v>
      </c>
      <c r="AF206" s="221">
        <v>42654</v>
      </c>
      <c r="AG206" s="241" t="s">
        <v>497</v>
      </c>
      <c r="AH206" s="239" t="s">
        <v>497</v>
      </c>
      <c r="AI206" s="141">
        <v>22</v>
      </c>
      <c r="AJ206" s="41">
        <v>14</v>
      </c>
      <c r="AK206" s="41">
        <v>8</v>
      </c>
      <c r="AL206" s="285">
        <v>22</v>
      </c>
      <c r="AM206" s="41">
        <v>10</v>
      </c>
      <c r="AN206" s="142">
        <v>12</v>
      </c>
      <c r="AO206" s="364">
        <v>6.2260465534930802E-2</v>
      </c>
      <c r="AP206" s="145">
        <f t="shared" ca="1" si="532"/>
        <v>0.38321672432722959</v>
      </c>
      <c r="AQ206" s="364">
        <v>5.6999114907004197E-2</v>
      </c>
      <c r="AR206" s="145">
        <f t="shared" ca="1" si="552"/>
        <v>0.41798728152173414</v>
      </c>
      <c r="AS206" s="264">
        <f t="shared" si="601"/>
        <v>0.13615454545454544</v>
      </c>
      <c r="AT206" s="149">
        <f t="shared" si="533"/>
        <v>0.13670000000000002</v>
      </c>
      <c r="AU206" s="149">
        <f t="shared" si="496"/>
        <v>0.13608181818181816</v>
      </c>
      <c r="AV206" s="263">
        <f t="shared" ca="1" si="560"/>
        <v>0.13469522124933908</v>
      </c>
      <c r="AW206" s="150" t="str">
        <f t="shared" ca="1" si="581"/>
        <v/>
      </c>
      <c r="AX206" s="149">
        <f t="shared" ca="1" si="553"/>
        <v>4.7043459403084166E-3</v>
      </c>
      <c r="AY206" s="149">
        <f t="shared" ca="1" si="554"/>
        <v>1.5470373154522791E-3</v>
      </c>
      <c r="AZ206" s="149">
        <f t="shared" ca="1" si="555"/>
        <v>1.6905468125404186E-3</v>
      </c>
      <c r="BA206" s="149">
        <f t="shared" ca="1" si="556"/>
        <v>1.0000000000000951E-4</v>
      </c>
      <c r="BB206" s="149">
        <f t="shared" ca="1" si="557"/>
        <v>1.0000000000000951E-4</v>
      </c>
      <c r="BC206" s="149">
        <f t="shared" ca="1" si="558"/>
        <v>1.0000000000000951E-4</v>
      </c>
      <c r="BD206" s="143">
        <f t="shared" ca="1" si="602"/>
        <v>0</v>
      </c>
      <c r="BE206" s="144">
        <f t="shared" ca="1" si="603"/>
        <v>0</v>
      </c>
      <c r="BF206" s="40">
        <f t="shared" si="604"/>
        <v>2016</v>
      </c>
      <c r="BG206" s="139">
        <f t="shared" si="605"/>
        <v>11</v>
      </c>
      <c r="BH206" s="140">
        <f t="shared" ca="1" si="606"/>
        <v>5669</v>
      </c>
      <c r="BI206" s="304">
        <f t="shared" ca="1" si="607"/>
        <v>15.564681724845997</v>
      </c>
      <c r="BJ206" s="42">
        <f t="shared" ca="1" si="503"/>
        <v>15.615207516644888</v>
      </c>
      <c r="BK206" s="42">
        <f t="shared" ca="1" si="504"/>
        <v>15.617945367432021</v>
      </c>
      <c r="BL206" s="42">
        <f t="shared" ca="1" si="608"/>
        <v>15.644079397672828</v>
      </c>
      <c r="BM206" s="285">
        <f t="shared" si="609"/>
        <v>22</v>
      </c>
      <c r="BN206" s="41">
        <f t="shared" si="610"/>
        <v>14</v>
      </c>
      <c r="BO206" s="41">
        <f t="shared" si="611"/>
        <v>8</v>
      </c>
      <c r="BP206" s="297" t="str">
        <f t="shared" ca="1" si="505"/>
        <v/>
      </c>
      <c r="BQ206" s="297" t="str">
        <f t="shared" ca="1" si="506"/>
        <v/>
      </c>
      <c r="BR206" s="299" t="str">
        <f t="shared" ca="1" si="507"/>
        <v/>
      </c>
      <c r="BS206" s="153" t="str">
        <f t="shared" ca="1" si="508"/>
        <v/>
      </c>
      <c r="BT206" s="153" t="str">
        <f t="shared" ca="1" si="509"/>
        <v/>
      </c>
      <c r="BU206" s="300" t="str">
        <f t="shared" ca="1" si="510"/>
        <v/>
      </c>
      <c r="BV206" s="301" t="str">
        <f t="shared" ca="1" si="511"/>
        <v/>
      </c>
      <c r="BW206" s="300" t="str">
        <f t="shared" ca="1" si="512"/>
        <v/>
      </c>
      <c r="BX206" s="301" t="str">
        <f t="shared" ca="1" si="513"/>
        <v/>
      </c>
      <c r="BY206" s="146" t="str">
        <f t="shared" ca="1" si="514"/>
        <v/>
      </c>
      <c r="BZ206" s="146" t="str">
        <f t="shared" ca="1" si="515"/>
        <v/>
      </c>
      <c r="CA206" s="146" t="str">
        <f t="shared" ca="1" si="516"/>
        <v/>
      </c>
      <c r="CB206" s="146" t="str">
        <f t="shared" ca="1" si="517"/>
        <v/>
      </c>
      <c r="CC206" s="302">
        <v>1</v>
      </c>
      <c r="CD206" s="154">
        <f ca="1">IF(BD206,_xll.xCrudeAPO(BS206,BT206,BY206,BZ206,S207,S208,BI206,BL206,BN206,BO206,0,Strike1,AO206,CC206,0,BL206,IF(OptControl=4,0,1),0,1),0)</f>
        <v>0</v>
      </c>
      <c r="CE206" s="155">
        <f ca="1">IF(BD206,_xll.xCrudeAPO(BS206,BT206,BY206,BZ206,S207,S208,BI206,BL206,BN206,BO206,0,Strike1,AO206,CC206,0,BL206,IF(OptControl=4,0,1),1,1)+_xll.xCrudeAPO(BS206,BT206,BY206,BZ206,S207,S208,BI206,BL206,BN206,BO206,0,Strike1,AO206,CC206,0,BL206,IF(OptControl=4,0,1),1,2)+IF(OR(VolSkewFlag=2,ABS(BQ206)&lt;0.0001),0,IF(BQ206&gt;0,-1,1)*CF206*Strike1/BP206^2*BW206/10%),0)</f>
        <v>0</v>
      </c>
      <c r="CF206" s="155">
        <f ca="1">IF(BD206,(_xll.xCrudeAPO(BS206,BT206,BY206,BZ206,S207,S208,BI206,BL206,BN206,BO206,0,Strike1,AO206,CC206,0,BL206,IF(OptControl=4,0,1),3,1)+_xll.xCrudeAPO(BS206,BT206,BY206,BZ206,S207,S208,BI206,BL206,BN206,BO206,0,Strike1,AO206,CC206,0,BL206,IF(OptControl=4,0,1),3,2))/100,0)</f>
        <v>0</v>
      </c>
      <c r="CG206" s="155">
        <f ca="1">IF(BD206,_xll.xCrudeAPO(BS206,BT206,BY206,BZ206,S207,S208,BI206-DaysForThetaCalculation/365.25,BL206-DaysForThetaCalculation/365.25,BN206,BO206,0,Strike1,AO206,CC206,0,BL206,IF(OptControl=4,0,1),0,1)-_xll.xCrudeAPO(BS206,BT206,BY206,BZ206,S207,S208,BI206,BL206,BN206,BO206,0,Strike1,AO206,CC206,0,BL206,IF(OptControl=4,0,1),0,1),0)</f>
        <v>0</v>
      </c>
      <c r="CH206" s="303">
        <f ca="1">IF(BD206,_xll.xCrudeAPO(BS206,BT206,CA206,CB206,S207,S208,BI206,BL206,BN206,BO206,0,Strike2,AO206,CC206,0,BL206,IF(OptControl=3,1,0),0,1),0)</f>
        <v>0</v>
      </c>
      <c r="CI206" s="155">
        <f ca="1">IF(BD206,_xll.xCrudeAPO(BS206,BT206,CA206,CB206,S207,S208,BI206,BL206,BN206,BO206,0,Strike2,AO206,CC206,0,BL206,IF(OptControl=3,1,0),1,1)+_xll.xCrudeAPO(BS206,BT206,CA206,CB206,S207,S208,BI206,BL206,BN206,BO206,0,Strike2,AO206,CC206,0,BL206,IF(OptControl=3,1,0),1,2)+IF(OR(VolSkewFlag=2,ABS(BR206)&lt;0.0001),0,IF(BR206&gt;0,-1,1)*CJ206*Strike2/BP206^2*BX206/10%),0)</f>
        <v>0</v>
      </c>
      <c r="CJ206" s="155">
        <f ca="1">IF(BD206,(_xll.xCrudeAPO(BS206,BT206,CA206,CB206,S207,S208,BI206,BL206,BN206,BO206,0,Strike2,AO206,CC206,0,BL206,IF(OptControl=3,1,0),3,1)+_xll.xCrudeAPO(BS206,BT206,CA206,CB206,S207,S208,BI206,BL206,BN206,BO206,0,Strike2,AO206,CC206,0,BL206,IF(OptControl=3,1,0),3,2))/100,0)</f>
        <v>0</v>
      </c>
      <c r="CK206" s="156">
        <f ca="1">IF(BD206,_xll.xCrudeAPO(BS206,BT206,CA206,CB206,S207,S208,BI206-DaysForThetaCalculation/365.25,BL206-DaysForThetaCalculation/365.25,BN206,BO206,0,Strike2,AO206,CC206,0,BL206,IF(OptControl=3,1,0),0,1)-_xll.xCrudeAPO(BS206,BT206,CA206,CB206,S207,S208,BI206,BL206,BN206,BO206,0,Strike2,AO206,CC206,0,BL206,IF(OptControl=3,1,0),0,1),0)</f>
        <v>0</v>
      </c>
      <c r="CL206" s="51"/>
      <c r="CM206" s="779" t="str">
        <f t="shared" ca="1" si="534"/>
        <v/>
      </c>
      <c r="CN206" s="783" t="str">
        <f t="shared" ca="1" si="535"/>
        <v/>
      </c>
      <c r="CO206" s="780" t="str">
        <f t="shared" ca="1" si="536"/>
        <v/>
      </c>
      <c r="CP206" s="780" t="str">
        <f t="shared" ca="1" si="537"/>
        <v/>
      </c>
      <c r="CQ206" s="780" t="str">
        <f t="shared" ca="1" si="538"/>
        <v/>
      </c>
      <c r="CR206" s="780" t="str">
        <f t="shared" ca="1" si="539"/>
        <v/>
      </c>
      <c r="CS206" s="781" t="str">
        <f t="shared" ca="1" si="540"/>
        <v/>
      </c>
      <c r="CT206" s="782" t="str">
        <f t="shared" ca="1" si="541"/>
        <v/>
      </c>
      <c r="CU206" s="782" t="str">
        <f t="shared" ca="1" si="542"/>
        <v/>
      </c>
      <c r="CV206" s="155">
        <f ca="1">IF(BD206,_xll.EURO(CN206,Strike1,AO206,AO206,CT206,CM206,IF(OptControl=4,0,1),0),0)</f>
        <v>0</v>
      </c>
      <c r="CW206" s="155">
        <f ca="1">IF(BD206,_xll.EURO(CN206,Strike1,AO206,AO206,CT206,CM206,IF(OptControl=4,0,1),1)+IF(OR(VolSkewFlag=2,ABS(CO206)&lt;0.0001),0,IF(CO206&gt;0,-1,1)*CX206*100*Strike1/CN206^2*CQ206/10%),0)</f>
        <v>0</v>
      </c>
      <c r="CX206" s="155">
        <f ca="1">IF(BD206,_xll.EURO(CN206,Strike1,AO206,AO206,CT206,CM206,IF(OptControl=4,0,1),3)/100,0)</f>
        <v>0</v>
      </c>
      <c r="CY206" s="155">
        <f ca="1">IF(BD206,_xll.EURO(CN206,Strike1,AO206,AO206,CT206,CM206,IF(OptControl=4,0,1),0)-_xll.EURO(CN206,Strike1,AO206,AO206,CT206,CM206-1,IF(OptControl=4,0,1),0),0)</f>
        <v>0</v>
      </c>
      <c r="CZ206" s="155">
        <f ca="1">IF(BD206,_xll.EURO(CN206,Strike2,AO206,AO206,CU206,CM206,IF(OptControl=3,1,0),0),0)</f>
        <v>0</v>
      </c>
      <c r="DA206" s="155">
        <f ca="1">IF(BD206,_xll.EURO(CN206,Strike2,AO206,AO206,CU206,CM206,IF(OptControl=3,1,0),1)+IF(OR(VolSkewFlag=2,ABS(CP206)&lt;0.0001),0,IF(CP206&gt;0,-1,1)*DB206*100*Strike2/CN206^2*CR206/10%),0)</f>
        <v>0</v>
      </c>
      <c r="DB206" s="155">
        <f ca="1">IF(BD206,_xll.EURO(CN206,Strike2,AO206,AO206,CU206,CM206,IF(OptControl=3,1,0),3)/100,0)</f>
        <v>0</v>
      </c>
      <c r="DC206" s="156">
        <f ca="1">IF(BD206,_xll.EURO(CN206,Strike2,AO206,AO206,CU206,CM206,IF(OptControl=3,1,0),0)-_xll.EURO(CN206,Strike2,AO206,AO206,CU206,CM206-1,IF(OptControl=3,1,0),0),0)</f>
        <v>0</v>
      </c>
      <c r="DE206" s="651">
        <f t="shared" ca="1" si="543"/>
        <v>42583</v>
      </c>
      <c r="DF206" s="465">
        <v>1E-4</v>
      </c>
      <c r="DG206" s="649">
        <v>1E-4</v>
      </c>
      <c r="DH206" s="650">
        <f t="shared" ca="1" si="612"/>
        <v>42583</v>
      </c>
      <c r="DI206" s="465">
        <v>1E-4</v>
      </c>
      <c r="DJ206" s="649">
        <v>1E-4</v>
      </c>
      <c r="DK206" s="651">
        <f t="shared" ca="1" si="613"/>
        <v>42583</v>
      </c>
      <c r="DL206" s="652">
        <f t="shared" si="614"/>
        <v>5.0100000000000006E-2</v>
      </c>
      <c r="DM206" s="651">
        <f t="shared" ca="1" si="615"/>
        <v>42583</v>
      </c>
      <c r="DN206" s="563">
        <f t="shared" si="616"/>
        <v>-0.12990000000000002</v>
      </c>
      <c r="DO206" s="803">
        <v>-0.13</v>
      </c>
      <c r="DP206" s="650">
        <f t="shared" ca="1" si="617"/>
        <v>42583</v>
      </c>
      <c r="DQ206" s="653">
        <v>1E-4</v>
      </c>
      <c r="DR206" s="590">
        <v>1E-4</v>
      </c>
      <c r="DS206" s="650">
        <f t="shared" ca="1" si="618"/>
        <v>42583</v>
      </c>
      <c r="DT206" s="653">
        <v>1E-4</v>
      </c>
      <c r="DU206" s="590">
        <v>1E-4</v>
      </c>
      <c r="DV206" s="651">
        <f t="shared" ca="1" si="619"/>
        <v>42583</v>
      </c>
      <c r="DW206" s="590">
        <v>1E-4</v>
      </c>
      <c r="DX206" s="651">
        <f t="shared" ca="1" si="620"/>
        <v>42583</v>
      </c>
      <c r="DY206" s="590">
        <f t="shared" si="621"/>
        <v>1E-4</v>
      </c>
      <c r="DZ206" s="1"/>
      <c r="EA206" s="857"/>
      <c r="EB206" s="857"/>
      <c r="EC206" s="857"/>
      <c r="ED206" s="868" t="e">
        <f t="shared" ca="1" si="566"/>
        <v>#NAME?</v>
      </c>
      <c r="EE206" s="863" t="e">
        <f t="shared" ca="1" si="524"/>
        <v>#NAME?</v>
      </c>
      <c r="EF206" s="590" t="e">
        <f t="shared" ca="1" si="525"/>
        <v>#NAME?</v>
      </c>
      <c r="EG206" s="862" t="str">
        <f t="shared" ca="1" si="622"/>
        <v/>
      </c>
      <c r="EH206" s="114" t="str">
        <f t="shared" ca="1" si="527"/>
        <v/>
      </c>
      <c r="EI206" s="109" t="str">
        <f t="shared" ca="1" si="528"/>
        <v/>
      </c>
      <c r="EJ206" s="115">
        <f ca="1">IF(BD206,_xll.xASN(BP206,Strike1,AO206,EH206,0,BM206,0,BI206,BL206,IF(OptControl=4,0,1),0),0)</f>
        <v>0</v>
      </c>
      <c r="EK206" s="108">
        <f ca="1">IF(BD206,_xll.xASN(BP206,Strike2,AO206,EI206,0,BM206,0,BI206,BL206,IF(OptControl=3,1,0),0),0)</f>
        <v>0</v>
      </c>
      <c r="EP206" s="53"/>
      <c r="EQ206" s="1"/>
      <c r="ER206" s="103"/>
      <c r="ES206" s="103"/>
      <c r="ET206" s="1"/>
      <c r="EU206" s="667" t="s">
        <v>419</v>
      </c>
      <c r="EW206" s="445"/>
      <c r="EX206" s="36"/>
      <c r="EY206" s="104"/>
      <c r="EZ206" s="465"/>
      <c r="FA206" s="446"/>
      <c r="FB206" s="446"/>
      <c r="FC206" s="242"/>
      <c r="FD206" s="242"/>
      <c r="FE206" s="242"/>
      <c r="FF206" s="242"/>
      <c r="FG206" s="242"/>
      <c r="FH206" s="242"/>
      <c r="FI206" s="242"/>
      <c r="FJ206" s="242"/>
      <c r="FK206" s="242"/>
      <c r="FL206" s="242"/>
      <c r="FM206" s="242"/>
      <c r="FN206" s="657">
        <v>37</v>
      </c>
      <c r="FO206" s="469" t="str">
        <f ca="1">IF(OR(FO$169&lt;SwaptionFirstMonthPosition+1,$FN206&lt;SwaptionFirstMonthPosition+1,FO$169&gt;SwaptionFirstMonthPosition+SwaptionNumOfMonths+1,$FN206&gt;SwaptionFirstMonthPosition+SwaptionNumOfMonths+1),"",IF($FN206=FO$169,1,IF($FN206&lt;FO$169,INDEX($FO$170:$IH$241,FO$169,$FN206),SUMPRODUCT(INDEX($FO$325:$IH$396,FO$169,1+SwaptionShift):INDEX($FO$325:$IH$396,FO$169,SwaptionMonthsToGo+SwaptionShift),INDEX($FO$245:$IH$316,$FN206-FO$169,73-FO$169+SwaptionShift):INDEX($FO$245:$IH$316,$FN206-FO$169,72-FO$169+SwaptionMonthsToGo+SwaptionShift))/SQRT(SUM(INDEX($FO361:$IH361,1+SwaptionShift):INDEX($FO361:$IH361,SwaptionMonthsToGo+SwaptionShift))*SUM(INDEX($FO$325:$IH$396,FO$169,1+SwaptionShift):INDEX($FO$325:$IH$396,FO$169,SwaptionMonthsToGo+SwaptionShift))))))</f>
        <v/>
      </c>
      <c r="FP206" s="469" t="str">
        <f ca="1">IF(OR(FP$169&lt;SwaptionFirstMonthPosition+1,$FN206&lt;SwaptionFirstMonthPosition+1,FP$169&gt;SwaptionFirstMonthPosition+SwaptionNumOfMonths+1,$FN206&gt;SwaptionFirstMonthPosition+SwaptionNumOfMonths+1),"",IF($FN206=FP$169,1,IF($FN206&lt;FP$169,INDEX($FO$170:$IH$241,FP$169,$FN206),SUMPRODUCT(INDEX($FO$325:$IH$396,FP$169,1+SwaptionShift):INDEX($FO$325:$IH$396,FP$169,SwaptionMonthsToGo+SwaptionShift),INDEX($FO$245:$IH$316,$FN206-FP$169,73-FP$169+SwaptionShift):INDEX($FO$245:$IH$316,$FN206-FP$169,72-FP$169+SwaptionMonthsToGo+SwaptionShift))/SQRT(SUM(INDEX($FO361:$IH361,1+SwaptionShift):INDEX($FO361:$IH361,SwaptionMonthsToGo+SwaptionShift))*SUM(INDEX($FO$325:$IH$396,FP$169,1+SwaptionShift):INDEX($FO$325:$IH$396,FP$169,SwaptionMonthsToGo+SwaptionShift))))))</f>
        <v/>
      </c>
      <c r="FQ206" s="469" t="str">
        <f ca="1">IF(OR(FQ$169&lt;SwaptionFirstMonthPosition+1,$FN206&lt;SwaptionFirstMonthPosition+1,FQ$169&gt;SwaptionFirstMonthPosition+SwaptionNumOfMonths+1,$FN206&gt;SwaptionFirstMonthPosition+SwaptionNumOfMonths+1),"",IF($FN206=FQ$169,1,IF($FN206&lt;FQ$169,INDEX($FO$170:$IH$241,FQ$169,$FN206),SUMPRODUCT(INDEX($FO$325:$IH$396,FQ$169,1+SwaptionShift):INDEX($FO$325:$IH$396,FQ$169,SwaptionMonthsToGo+SwaptionShift),INDEX($FO$245:$IH$316,$FN206-FQ$169,73-FQ$169+SwaptionShift):INDEX($FO$245:$IH$316,$FN206-FQ$169,72-FQ$169+SwaptionMonthsToGo+SwaptionShift))/SQRT(SUM(INDEX($FO361:$IH361,1+SwaptionShift):INDEX($FO361:$IH361,SwaptionMonthsToGo+SwaptionShift))*SUM(INDEX($FO$325:$IH$396,FQ$169,1+SwaptionShift):INDEX($FO$325:$IH$396,FQ$169,SwaptionMonthsToGo+SwaptionShift))))))</f>
        <v/>
      </c>
      <c r="FR206" s="469" t="str">
        <f ca="1">IF(OR(FR$169&lt;SwaptionFirstMonthPosition+1,$FN206&lt;SwaptionFirstMonthPosition+1,FR$169&gt;SwaptionFirstMonthPosition+SwaptionNumOfMonths+1,$FN206&gt;SwaptionFirstMonthPosition+SwaptionNumOfMonths+1),"",IF($FN206=FR$169,1,IF($FN206&lt;FR$169,INDEX($FO$170:$IH$241,FR$169,$FN206),SUMPRODUCT(INDEX($FO$325:$IH$396,FR$169,1+SwaptionShift):INDEX($FO$325:$IH$396,FR$169,SwaptionMonthsToGo+SwaptionShift),INDEX($FO$245:$IH$316,$FN206-FR$169,73-FR$169+SwaptionShift):INDEX($FO$245:$IH$316,$FN206-FR$169,72-FR$169+SwaptionMonthsToGo+SwaptionShift))/SQRT(SUM(INDEX($FO361:$IH361,1+SwaptionShift):INDEX($FO361:$IH361,SwaptionMonthsToGo+SwaptionShift))*SUM(INDEX($FO$325:$IH$396,FR$169,1+SwaptionShift):INDEX($FO$325:$IH$396,FR$169,SwaptionMonthsToGo+SwaptionShift))))))</f>
        <v/>
      </c>
      <c r="FS206" s="469" t="str">
        <f ca="1">IF(OR(FS$169&lt;SwaptionFirstMonthPosition+1,$FN206&lt;SwaptionFirstMonthPosition+1,FS$169&gt;SwaptionFirstMonthPosition+SwaptionNumOfMonths+1,$FN206&gt;SwaptionFirstMonthPosition+SwaptionNumOfMonths+1),"",IF($FN206=FS$169,1,IF($FN206&lt;FS$169,INDEX($FO$170:$IH$241,FS$169,$FN206),SUMPRODUCT(INDEX($FO$325:$IH$396,FS$169,1+SwaptionShift):INDEX($FO$325:$IH$396,FS$169,SwaptionMonthsToGo+SwaptionShift),INDEX($FO$245:$IH$316,$FN206-FS$169,73-FS$169+SwaptionShift):INDEX($FO$245:$IH$316,$FN206-FS$169,72-FS$169+SwaptionMonthsToGo+SwaptionShift))/SQRT(SUM(INDEX($FO361:$IH361,1+SwaptionShift):INDEX($FO361:$IH361,SwaptionMonthsToGo+SwaptionShift))*SUM(INDEX($FO$325:$IH$396,FS$169,1+SwaptionShift):INDEX($FO$325:$IH$396,FS$169,SwaptionMonthsToGo+SwaptionShift))))))</f>
        <v/>
      </c>
      <c r="FT206" s="469" t="str">
        <f ca="1">IF(OR(FT$169&lt;SwaptionFirstMonthPosition+1,$FN206&lt;SwaptionFirstMonthPosition+1,FT$169&gt;SwaptionFirstMonthPosition+SwaptionNumOfMonths+1,$FN206&gt;SwaptionFirstMonthPosition+SwaptionNumOfMonths+1),"",IF($FN206=FT$169,1,IF($FN206&lt;FT$169,INDEX($FO$170:$IH$241,FT$169,$FN206),SUMPRODUCT(INDEX($FO$325:$IH$396,FT$169,1+SwaptionShift):INDEX($FO$325:$IH$396,FT$169,SwaptionMonthsToGo+SwaptionShift),INDEX($FO$245:$IH$316,$FN206-FT$169,73-FT$169+SwaptionShift):INDEX($FO$245:$IH$316,$FN206-FT$169,72-FT$169+SwaptionMonthsToGo+SwaptionShift))/SQRT(SUM(INDEX($FO361:$IH361,1+SwaptionShift):INDEX($FO361:$IH361,SwaptionMonthsToGo+SwaptionShift))*SUM(INDEX($FO$325:$IH$396,FT$169,1+SwaptionShift):INDEX($FO$325:$IH$396,FT$169,SwaptionMonthsToGo+SwaptionShift))))))</f>
        <v/>
      </c>
      <c r="FU206" s="469" t="str">
        <f ca="1">IF(OR(FU$169&lt;SwaptionFirstMonthPosition+1,$FN206&lt;SwaptionFirstMonthPosition+1,FU$169&gt;SwaptionFirstMonthPosition+SwaptionNumOfMonths+1,$FN206&gt;SwaptionFirstMonthPosition+SwaptionNumOfMonths+1),"",IF($FN206=FU$169,1,IF($FN206&lt;FU$169,INDEX($FO$170:$IH$241,FU$169,$FN206),SUMPRODUCT(INDEX($FO$325:$IH$396,FU$169,1+SwaptionShift):INDEX($FO$325:$IH$396,FU$169,SwaptionMonthsToGo+SwaptionShift),INDEX($FO$245:$IH$316,$FN206-FU$169,73-FU$169+SwaptionShift):INDEX($FO$245:$IH$316,$FN206-FU$169,72-FU$169+SwaptionMonthsToGo+SwaptionShift))/SQRT(SUM(INDEX($FO361:$IH361,1+SwaptionShift):INDEX($FO361:$IH361,SwaptionMonthsToGo+SwaptionShift))*SUM(INDEX($FO$325:$IH$396,FU$169,1+SwaptionShift):INDEX($FO$325:$IH$396,FU$169,SwaptionMonthsToGo+SwaptionShift))))))</f>
        <v/>
      </c>
      <c r="FV206" s="469" t="str">
        <f ca="1">IF(OR(FV$169&lt;SwaptionFirstMonthPosition+1,$FN206&lt;SwaptionFirstMonthPosition+1,FV$169&gt;SwaptionFirstMonthPosition+SwaptionNumOfMonths+1,$FN206&gt;SwaptionFirstMonthPosition+SwaptionNumOfMonths+1),"",IF($FN206=FV$169,1,IF($FN206&lt;FV$169,INDEX($FO$170:$IH$241,FV$169,$FN206),SUMPRODUCT(INDEX($FO$325:$IH$396,FV$169,1+SwaptionShift):INDEX($FO$325:$IH$396,FV$169,SwaptionMonthsToGo+SwaptionShift),INDEX($FO$245:$IH$316,$FN206-FV$169,73-FV$169+SwaptionShift):INDEX($FO$245:$IH$316,$FN206-FV$169,72-FV$169+SwaptionMonthsToGo+SwaptionShift))/SQRT(SUM(INDEX($FO361:$IH361,1+SwaptionShift):INDEX($FO361:$IH361,SwaptionMonthsToGo+SwaptionShift))*SUM(INDEX($FO$325:$IH$396,FV$169,1+SwaptionShift):INDEX($FO$325:$IH$396,FV$169,SwaptionMonthsToGo+SwaptionShift))))))</f>
        <v/>
      </c>
      <c r="FW206" s="469" t="str">
        <f ca="1">IF(OR(FW$169&lt;SwaptionFirstMonthPosition+1,$FN206&lt;SwaptionFirstMonthPosition+1,FW$169&gt;SwaptionFirstMonthPosition+SwaptionNumOfMonths+1,$FN206&gt;SwaptionFirstMonthPosition+SwaptionNumOfMonths+1),"",IF($FN206=FW$169,1,IF($FN206&lt;FW$169,INDEX($FO$170:$IH$241,FW$169,$FN206),SUMPRODUCT(INDEX($FO$325:$IH$396,FW$169,1+SwaptionShift):INDEX($FO$325:$IH$396,FW$169,SwaptionMonthsToGo+SwaptionShift),INDEX($FO$245:$IH$316,$FN206-FW$169,73-FW$169+SwaptionShift):INDEX($FO$245:$IH$316,$FN206-FW$169,72-FW$169+SwaptionMonthsToGo+SwaptionShift))/SQRT(SUM(INDEX($FO361:$IH361,1+SwaptionShift):INDEX($FO361:$IH361,SwaptionMonthsToGo+SwaptionShift))*SUM(INDEX($FO$325:$IH$396,FW$169,1+SwaptionShift):INDEX($FO$325:$IH$396,FW$169,SwaptionMonthsToGo+SwaptionShift))))))</f>
        <v/>
      </c>
      <c r="FX206" s="469" t="str">
        <f ca="1">IF(OR(FX$169&lt;SwaptionFirstMonthPosition+1,$FN206&lt;SwaptionFirstMonthPosition+1,FX$169&gt;SwaptionFirstMonthPosition+SwaptionNumOfMonths+1,$FN206&gt;SwaptionFirstMonthPosition+SwaptionNumOfMonths+1),"",IF($FN206=FX$169,1,IF($FN206&lt;FX$169,INDEX($FO$170:$IH$241,FX$169,$FN206),SUMPRODUCT(INDEX($FO$325:$IH$396,FX$169,1+SwaptionShift):INDEX($FO$325:$IH$396,FX$169,SwaptionMonthsToGo+SwaptionShift),INDEX($FO$245:$IH$316,$FN206-FX$169,73-FX$169+SwaptionShift):INDEX($FO$245:$IH$316,$FN206-FX$169,72-FX$169+SwaptionMonthsToGo+SwaptionShift))/SQRT(SUM(INDEX($FO361:$IH361,1+SwaptionShift):INDEX($FO361:$IH361,SwaptionMonthsToGo+SwaptionShift))*SUM(INDEX($FO$325:$IH$396,FX$169,1+SwaptionShift):INDEX($FO$325:$IH$396,FX$169,SwaptionMonthsToGo+SwaptionShift))))))</f>
        <v/>
      </c>
      <c r="FY206" s="469" t="str">
        <f ca="1">IF(OR(FY$169&lt;SwaptionFirstMonthPosition+1,$FN206&lt;SwaptionFirstMonthPosition+1,FY$169&gt;SwaptionFirstMonthPosition+SwaptionNumOfMonths+1,$FN206&gt;SwaptionFirstMonthPosition+SwaptionNumOfMonths+1),"",IF($FN206=FY$169,1,IF($FN206&lt;FY$169,INDEX($FO$170:$IH$241,FY$169,$FN206),SUMPRODUCT(INDEX($FO$325:$IH$396,FY$169,1+SwaptionShift):INDEX($FO$325:$IH$396,FY$169,SwaptionMonthsToGo+SwaptionShift),INDEX($FO$245:$IH$316,$FN206-FY$169,73-FY$169+SwaptionShift):INDEX($FO$245:$IH$316,$FN206-FY$169,72-FY$169+SwaptionMonthsToGo+SwaptionShift))/SQRT(SUM(INDEX($FO361:$IH361,1+SwaptionShift):INDEX($FO361:$IH361,SwaptionMonthsToGo+SwaptionShift))*SUM(INDEX($FO$325:$IH$396,FY$169,1+SwaptionShift):INDEX($FO$325:$IH$396,FY$169,SwaptionMonthsToGo+SwaptionShift))))))</f>
        <v/>
      </c>
      <c r="FZ206" s="469" t="str">
        <f ca="1">IF(OR(FZ$169&lt;SwaptionFirstMonthPosition+1,$FN206&lt;SwaptionFirstMonthPosition+1,FZ$169&gt;SwaptionFirstMonthPosition+SwaptionNumOfMonths+1,$FN206&gt;SwaptionFirstMonthPosition+SwaptionNumOfMonths+1),"",IF($FN206=FZ$169,1,IF($FN206&lt;FZ$169,INDEX($FO$170:$IH$241,FZ$169,$FN206),SUMPRODUCT(INDEX($FO$325:$IH$396,FZ$169,1+SwaptionShift):INDEX($FO$325:$IH$396,FZ$169,SwaptionMonthsToGo+SwaptionShift),INDEX($FO$245:$IH$316,$FN206-FZ$169,73-FZ$169+SwaptionShift):INDEX($FO$245:$IH$316,$FN206-FZ$169,72-FZ$169+SwaptionMonthsToGo+SwaptionShift))/SQRT(SUM(INDEX($FO361:$IH361,1+SwaptionShift):INDEX($FO361:$IH361,SwaptionMonthsToGo+SwaptionShift))*SUM(INDEX($FO$325:$IH$396,FZ$169,1+SwaptionShift):INDEX($FO$325:$IH$396,FZ$169,SwaptionMonthsToGo+SwaptionShift))))))</f>
        <v/>
      </c>
      <c r="GA206" s="469" t="str">
        <f ca="1">IF(OR(GA$169&lt;SwaptionFirstMonthPosition+1,$FN206&lt;SwaptionFirstMonthPosition+1,GA$169&gt;SwaptionFirstMonthPosition+SwaptionNumOfMonths+1,$FN206&gt;SwaptionFirstMonthPosition+SwaptionNumOfMonths+1),"",IF($FN206=GA$169,1,IF($FN206&lt;GA$169,INDEX($FO$170:$IH$241,GA$169,$FN206),SUMPRODUCT(INDEX($FO$325:$IH$396,GA$169,1+SwaptionShift):INDEX($FO$325:$IH$396,GA$169,SwaptionMonthsToGo+SwaptionShift),INDEX($FO$245:$IH$316,$FN206-GA$169,73-GA$169+SwaptionShift):INDEX($FO$245:$IH$316,$FN206-GA$169,72-GA$169+SwaptionMonthsToGo+SwaptionShift))/SQRT(SUM(INDEX($FO361:$IH361,1+SwaptionShift):INDEX($FO361:$IH361,SwaptionMonthsToGo+SwaptionShift))*SUM(INDEX($FO$325:$IH$396,GA$169,1+SwaptionShift):INDEX($FO$325:$IH$396,GA$169,SwaptionMonthsToGo+SwaptionShift))))))</f>
        <v/>
      </c>
      <c r="GB206" s="469" t="str">
        <f ca="1">IF(OR(GB$169&lt;SwaptionFirstMonthPosition+1,$FN206&lt;SwaptionFirstMonthPosition+1,GB$169&gt;SwaptionFirstMonthPosition+SwaptionNumOfMonths+1,$FN206&gt;SwaptionFirstMonthPosition+SwaptionNumOfMonths+1),"",IF($FN206=GB$169,1,IF($FN206&lt;GB$169,INDEX($FO$170:$IH$241,GB$169,$FN206),SUMPRODUCT(INDEX($FO$325:$IH$396,GB$169,1+SwaptionShift):INDEX($FO$325:$IH$396,GB$169,SwaptionMonthsToGo+SwaptionShift),INDEX($FO$245:$IH$316,$FN206-GB$169,73-GB$169+SwaptionShift):INDEX($FO$245:$IH$316,$FN206-GB$169,72-GB$169+SwaptionMonthsToGo+SwaptionShift))/SQRT(SUM(INDEX($FO361:$IH361,1+SwaptionShift):INDEX($FO361:$IH361,SwaptionMonthsToGo+SwaptionShift))*SUM(INDEX($FO$325:$IH$396,GB$169,1+SwaptionShift):INDEX($FO$325:$IH$396,GB$169,SwaptionMonthsToGo+SwaptionShift))))))</f>
        <v/>
      </c>
      <c r="GC206" s="469" t="str">
        <f ca="1">IF(OR(GC$169&lt;SwaptionFirstMonthPosition+1,$FN206&lt;SwaptionFirstMonthPosition+1,GC$169&gt;SwaptionFirstMonthPosition+SwaptionNumOfMonths+1,$FN206&gt;SwaptionFirstMonthPosition+SwaptionNumOfMonths+1),"",IF($FN206=GC$169,1,IF($FN206&lt;GC$169,INDEX($FO$170:$IH$241,GC$169,$FN206),SUMPRODUCT(INDEX($FO$325:$IH$396,GC$169,1+SwaptionShift):INDEX($FO$325:$IH$396,GC$169,SwaptionMonthsToGo+SwaptionShift),INDEX($FO$245:$IH$316,$FN206-GC$169,73-GC$169+SwaptionShift):INDEX($FO$245:$IH$316,$FN206-GC$169,72-GC$169+SwaptionMonthsToGo+SwaptionShift))/SQRT(SUM(INDEX($FO361:$IH361,1+SwaptionShift):INDEX($FO361:$IH361,SwaptionMonthsToGo+SwaptionShift))*SUM(INDEX($FO$325:$IH$396,GC$169,1+SwaptionShift):INDEX($FO$325:$IH$396,GC$169,SwaptionMonthsToGo+SwaptionShift))))))</f>
        <v/>
      </c>
      <c r="GD206" s="469" t="str">
        <f ca="1">IF(OR(GD$169&lt;SwaptionFirstMonthPosition+1,$FN206&lt;SwaptionFirstMonthPosition+1,GD$169&gt;SwaptionFirstMonthPosition+SwaptionNumOfMonths+1,$FN206&gt;SwaptionFirstMonthPosition+SwaptionNumOfMonths+1),"",IF($FN206=GD$169,1,IF($FN206&lt;GD$169,INDEX($FO$170:$IH$241,GD$169,$FN206),SUMPRODUCT(INDEX($FO$325:$IH$396,GD$169,1+SwaptionShift):INDEX($FO$325:$IH$396,GD$169,SwaptionMonthsToGo+SwaptionShift),INDEX($FO$245:$IH$316,$FN206-GD$169,73-GD$169+SwaptionShift):INDEX($FO$245:$IH$316,$FN206-GD$169,72-GD$169+SwaptionMonthsToGo+SwaptionShift))/SQRT(SUM(INDEX($FO361:$IH361,1+SwaptionShift):INDEX($FO361:$IH361,SwaptionMonthsToGo+SwaptionShift))*SUM(INDEX($FO$325:$IH$396,GD$169,1+SwaptionShift):INDEX($FO$325:$IH$396,GD$169,SwaptionMonthsToGo+SwaptionShift))))))</f>
        <v/>
      </c>
      <c r="GE206" s="469" t="str">
        <f ca="1">IF(OR(GE$169&lt;SwaptionFirstMonthPosition+1,$FN206&lt;SwaptionFirstMonthPosition+1,GE$169&gt;SwaptionFirstMonthPosition+SwaptionNumOfMonths+1,$FN206&gt;SwaptionFirstMonthPosition+SwaptionNumOfMonths+1),"",IF($FN206=GE$169,1,IF($FN206&lt;GE$169,INDEX($FO$170:$IH$241,GE$169,$FN206),SUMPRODUCT(INDEX($FO$325:$IH$396,GE$169,1+SwaptionShift):INDEX($FO$325:$IH$396,GE$169,SwaptionMonthsToGo+SwaptionShift),INDEX($FO$245:$IH$316,$FN206-GE$169,73-GE$169+SwaptionShift):INDEX($FO$245:$IH$316,$FN206-GE$169,72-GE$169+SwaptionMonthsToGo+SwaptionShift))/SQRT(SUM(INDEX($FO361:$IH361,1+SwaptionShift):INDEX($FO361:$IH361,SwaptionMonthsToGo+SwaptionShift))*SUM(INDEX($FO$325:$IH$396,GE$169,1+SwaptionShift):INDEX($FO$325:$IH$396,GE$169,SwaptionMonthsToGo+SwaptionShift))))))</f>
        <v/>
      </c>
      <c r="GF206" s="469" t="str">
        <f ca="1">IF(OR(GF$169&lt;SwaptionFirstMonthPosition+1,$FN206&lt;SwaptionFirstMonthPosition+1,GF$169&gt;SwaptionFirstMonthPosition+SwaptionNumOfMonths+1,$FN206&gt;SwaptionFirstMonthPosition+SwaptionNumOfMonths+1),"",IF($FN206=GF$169,1,IF($FN206&lt;GF$169,INDEX($FO$170:$IH$241,GF$169,$FN206),SUMPRODUCT(INDEX($FO$325:$IH$396,GF$169,1+SwaptionShift):INDEX($FO$325:$IH$396,GF$169,SwaptionMonthsToGo+SwaptionShift),INDEX($FO$245:$IH$316,$FN206-GF$169,73-GF$169+SwaptionShift):INDEX($FO$245:$IH$316,$FN206-GF$169,72-GF$169+SwaptionMonthsToGo+SwaptionShift))/SQRT(SUM(INDEX($FO361:$IH361,1+SwaptionShift):INDEX($FO361:$IH361,SwaptionMonthsToGo+SwaptionShift))*SUM(INDEX($FO$325:$IH$396,GF$169,1+SwaptionShift):INDEX($FO$325:$IH$396,GF$169,SwaptionMonthsToGo+SwaptionShift))))))</f>
        <v/>
      </c>
      <c r="GG206" s="469" t="str">
        <f ca="1">IF(OR(GG$169&lt;SwaptionFirstMonthPosition+1,$FN206&lt;SwaptionFirstMonthPosition+1,GG$169&gt;SwaptionFirstMonthPosition+SwaptionNumOfMonths+1,$FN206&gt;SwaptionFirstMonthPosition+SwaptionNumOfMonths+1),"",IF($FN206=GG$169,1,IF($FN206&lt;GG$169,INDEX($FO$170:$IH$241,GG$169,$FN206),SUMPRODUCT(INDEX($FO$325:$IH$396,GG$169,1+SwaptionShift):INDEX($FO$325:$IH$396,GG$169,SwaptionMonthsToGo+SwaptionShift),INDEX($FO$245:$IH$316,$FN206-GG$169,73-GG$169+SwaptionShift):INDEX($FO$245:$IH$316,$FN206-GG$169,72-GG$169+SwaptionMonthsToGo+SwaptionShift))/SQRT(SUM(INDEX($FO361:$IH361,1+SwaptionShift):INDEX($FO361:$IH361,SwaptionMonthsToGo+SwaptionShift))*SUM(INDEX($FO$325:$IH$396,GG$169,1+SwaptionShift):INDEX($FO$325:$IH$396,GG$169,SwaptionMonthsToGo+SwaptionShift))))))</f>
        <v/>
      </c>
      <c r="GH206" s="469" t="str">
        <f ca="1">IF(OR(GH$169&lt;SwaptionFirstMonthPosition+1,$FN206&lt;SwaptionFirstMonthPosition+1,GH$169&gt;SwaptionFirstMonthPosition+SwaptionNumOfMonths+1,$FN206&gt;SwaptionFirstMonthPosition+SwaptionNumOfMonths+1),"",IF($FN206=GH$169,1,IF($FN206&lt;GH$169,INDEX($FO$170:$IH$241,GH$169,$FN206),SUMPRODUCT(INDEX($FO$325:$IH$396,GH$169,1+SwaptionShift):INDEX($FO$325:$IH$396,GH$169,SwaptionMonthsToGo+SwaptionShift),INDEX($FO$245:$IH$316,$FN206-GH$169,73-GH$169+SwaptionShift):INDEX($FO$245:$IH$316,$FN206-GH$169,72-GH$169+SwaptionMonthsToGo+SwaptionShift))/SQRT(SUM(INDEX($FO361:$IH361,1+SwaptionShift):INDEX($FO361:$IH361,SwaptionMonthsToGo+SwaptionShift))*SUM(INDEX($FO$325:$IH$396,GH$169,1+SwaptionShift):INDEX($FO$325:$IH$396,GH$169,SwaptionMonthsToGo+SwaptionShift))))))</f>
        <v/>
      </c>
      <c r="GI206" s="469" t="str">
        <f ca="1">IF(OR(GI$169&lt;SwaptionFirstMonthPosition+1,$FN206&lt;SwaptionFirstMonthPosition+1,GI$169&gt;SwaptionFirstMonthPosition+SwaptionNumOfMonths+1,$FN206&gt;SwaptionFirstMonthPosition+SwaptionNumOfMonths+1),"",IF($FN206=GI$169,1,IF($FN206&lt;GI$169,INDEX($FO$170:$IH$241,GI$169,$FN206),SUMPRODUCT(INDEX($FO$325:$IH$396,GI$169,1+SwaptionShift):INDEX($FO$325:$IH$396,GI$169,SwaptionMonthsToGo+SwaptionShift),INDEX($FO$245:$IH$316,$FN206-GI$169,73-GI$169+SwaptionShift):INDEX($FO$245:$IH$316,$FN206-GI$169,72-GI$169+SwaptionMonthsToGo+SwaptionShift))/SQRT(SUM(INDEX($FO361:$IH361,1+SwaptionShift):INDEX($FO361:$IH361,SwaptionMonthsToGo+SwaptionShift))*SUM(INDEX($FO$325:$IH$396,GI$169,1+SwaptionShift):INDEX($FO$325:$IH$396,GI$169,SwaptionMonthsToGo+SwaptionShift))))))</f>
        <v/>
      </c>
      <c r="GJ206" s="469" t="str">
        <f ca="1">IF(OR(GJ$169&lt;SwaptionFirstMonthPosition+1,$FN206&lt;SwaptionFirstMonthPosition+1,GJ$169&gt;SwaptionFirstMonthPosition+SwaptionNumOfMonths+1,$FN206&gt;SwaptionFirstMonthPosition+SwaptionNumOfMonths+1),"",IF($FN206=GJ$169,1,IF($FN206&lt;GJ$169,INDEX($FO$170:$IH$241,GJ$169,$FN206),SUMPRODUCT(INDEX($FO$325:$IH$396,GJ$169,1+SwaptionShift):INDEX($FO$325:$IH$396,GJ$169,SwaptionMonthsToGo+SwaptionShift),INDEX($FO$245:$IH$316,$FN206-GJ$169,73-GJ$169+SwaptionShift):INDEX($FO$245:$IH$316,$FN206-GJ$169,72-GJ$169+SwaptionMonthsToGo+SwaptionShift))/SQRT(SUM(INDEX($FO361:$IH361,1+SwaptionShift):INDEX($FO361:$IH361,SwaptionMonthsToGo+SwaptionShift))*SUM(INDEX($FO$325:$IH$396,GJ$169,1+SwaptionShift):INDEX($FO$325:$IH$396,GJ$169,SwaptionMonthsToGo+SwaptionShift))))))</f>
        <v/>
      </c>
      <c r="GK206" s="469" t="str">
        <f ca="1">IF(OR(GK$169&lt;SwaptionFirstMonthPosition+1,$FN206&lt;SwaptionFirstMonthPosition+1,GK$169&gt;SwaptionFirstMonthPosition+SwaptionNumOfMonths+1,$FN206&gt;SwaptionFirstMonthPosition+SwaptionNumOfMonths+1),"",IF($FN206=GK$169,1,IF($FN206&lt;GK$169,INDEX($FO$170:$IH$241,GK$169,$FN206),SUMPRODUCT(INDEX($FO$325:$IH$396,GK$169,1+SwaptionShift):INDEX($FO$325:$IH$396,GK$169,SwaptionMonthsToGo+SwaptionShift),INDEX($FO$245:$IH$316,$FN206-GK$169,73-GK$169+SwaptionShift):INDEX($FO$245:$IH$316,$FN206-GK$169,72-GK$169+SwaptionMonthsToGo+SwaptionShift))/SQRT(SUM(INDEX($FO361:$IH361,1+SwaptionShift):INDEX($FO361:$IH361,SwaptionMonthsToGo+SwaptionShift))*SUM(INDEX($FO$325:$IH$396,GK$169,1+SwaptionShift):INDEX($FO$325:$IH$396,GK$169,SwaptionMonthsToGo+SwaptionShift))))))</f>
        <v/>
      </c>
      <c r="GL206" s="469" t="str">
        <f ca="1">IF(OR(GL$169&lt;SwaptionFirstMonthPosition+1,$FN206&lt;SwaptionFirstMonthPosition+1,GL$169&gt;SwaptionFirstMonthPosition+SwaptionNumOfMonths+1,$FN206&gt;SwaptionFirstMonthPosition+SwaptionNumOfMonths+1),"",IF($FN206=GL$169,1,IF($FN206&lt;GL$169,INDEX($FO$170:$IH$241,GL$169,$FN206),SUMPRODUCT(INDEX($FO$325:$IH$396,GL$169,1+SwaptionShift):INDEX($FO$325:$IH$396,GL$169,SwaptionMonthsToGo+SwaptionShift),INDEX($FO$245:$IH$316,$FN206-GL$169,73-GL$169+SwaptionShift):INDEX($FO$245:$IH$316,$FN206-GL$169,72-GL$169+SwaptionMonthsToGo+SwaptionShift))/SQRT(SUM(INDEX($FO361:$IH361,1+SwaptionShift):INDEX($FO361:$IH361,SwaptionMonthsToGo+SwaptionShift))*SUM(INDEX($FO$325:$IH$396,GL$169,1+SwaptionShift):INDEX($FO$325:$IH$396,GL$169,SwaptionMonthsToGo+SwaptionShift))))))</f>
        <v/>
      </c>
      <c r="GM206" s="469" t="str">
        <f ca="1">IF(OR(GM$169&lt;SwaptionFirstMonthPosition+1,$FN206&lt;SwaptionFirstMonthPosition+1,GM$169&gt;SwaptionFirstMonthPosition+SwaptionNumOfMonths+1,$FN206&gt;SwaptionFirstMonthPosition+SwaptionNumOfMonths+1),"",IF($FN206=GM$169,1,IF($FN206&lt;GM$169,INDEX($FO$170:$IH$241,GM$169,$FN206),SUMPRODUCT(INDEX($FO$325:$IH$396,GM$169,1+SwaptionShift):INDEX($FO$325:$IH$396,GM$169,SwaptionMonthsToGo+SwaptionShift),INDEX($FO$245:$IH$316,$FN206-GM$169,73-GM$169+SwaptionShift):INDEX($FO$245:$IH$316,$FN206-GM$169,72-GM$169+SwaptionMonthsToGo+SwaptionShift))/SQRT(SUM(INDEX($FO361:$IH361,1+SwaptionShift):INDEX($FO361:$IH361,SwaptionMonthsToGo+SwaptionShift))*SUM(INDEX($FO$325:$IH$396,GM$169,1+SwaptionShift):INDEX($FO$325:$IH$396,GM$169,SwaptionMonthsToGo+SwaptionShift))))))</f>
        <v/>
      </c>
      <c r="GN206" s="469" t="str">
        <f ca="1">IF(OR(GN$169&lt;SwaptionFirstMonthPosition+1,$FN206&lt;SwaptionFirstMonthPosition+1,GN$169&gt;SwaptionFirstMonthPosition+SwaptionNumOfMonths+1,$FN206&gt;SwaptionFirstMonthPosition+SwaptionNumOfMonths+1),"",IF($FN206=GN$169,1,IF($FN206&lt;GN$169,INDEX($FO$170:$IH$241,GN$169,$FN206),SUMPRODUCT(INDEX($FO$325:$IH$396,GN$169,1+SwaptionShift):INDEX($FO$325:$IH$396,GN$169,SwaptionMonthsToGo+SwaptionShift),INDEX($FO$245:$IH$316,$FN206-GN$169,73-GN$169+SwaptionShift):INDEX($FO$245:$IH$316,$FN206-GN$169,72-GN$169+SwaptionMonthsToGo+SwaptionShift))/SQRT(SUM(INDEX($FO361:$IH361,1+SwaptionShift):INDEX($FO361:$IH361,SwaptionMonthsToGo+SwaptionShift))*SUM(INDEX($FO$325:$IH$396,GN$169,1+SwaptionShift):INDEX($FO$325:$IH$396,GN$169,SwaptionMonthsToGo+SwaptionShift))))))</f>
        <v/>
      </c>
      <c r="GO206" s="469" t="str">
        <f ca="1">IF(OR(GO$169&lt;SwaptionFirstMonthPosition+1,$FN206&lt;SwaptionFirstMonthPosition+1,GO$169&gt;SwaptionFirstMonthPosition+SwaptionNumOfMonths+1,$FN206&gt;SwaptionFirstMonthPosition+SwaptionNumOfMonths+1),"",IF($FN206=GO$169,1,IF($FN206&lt;GO$169,INDEX($FO$170:$IH$241,GO$169,$FN206),SUMPRODUCT(INDEX($FO$325:$IH$396,GO$169,1+SwaptionShift):INDEX($FO$325:$IH$396,GO$169,SwaptionMonthsToGo+SwaptionShift),INDEX($FO$245:$IH$316,$FN206-GO$169,73-GO$169+SwaptionShift):INDEX($FO$245:$IH$316,$FN206-GO$169,72-GO$169+SwaptionMonthsToGo+SwaptionShift))/SQRT(SUM(INDEX($FO361:$IH361,1+SwaptionShift):INDEX($FO361:$IH361,SwaptionMonthsToGo+SwaptionShift))*SUM(INDEX($FO$325:$IH$396,GO$169,1+SwaptionShift):INDEX($FO$325:$IH$396,GO$169,SwaptionMonthsToGo+SwaptionShift))))))</f>
        <v/>
      </c>
      <c r="GP206" s="469" t="str">
        <f ca="1">IF(OR(GP$169&lt;SwaptionFirstMonthPosition+1,$FN206&lt;SwaptionFirstMonthPosition+1,GP$169&gt;SwaptionFirstMonthPosition+SwaptionNumOfMonths+1,$FN206&gt;SwaptionFirstMonthPosition+SwaptionNumOfMonths+1),"",IF($FN206=GP$169,1,IF($FN206&lt;GP$169,INDEX($FO$170:$IH$241,GP$169,$FN206),SUMPRODUCT(INDEX($FO$325:$IH$396,GP$169,1+SwaptionShift):INDEX($FO$325:$IH$396,GP$169,SwaptionMonthsToGo+SwaptionShift),INDEX($FO$245:$IH$316,$FN206-GP$169,73-GP$169+SwaptionShift):INDEX($FO$245:$IH$316,$FN206-GP$169,72-GP$169+SwaptionMonthsToGo+SwaptionShift))/SQRT(SUM(INDEX($FO361:$IH361,1+SwaptionShift):INDEX($FO361:$IH361,SwaptionMonthsToGo+SwaptionShift))*SUM(INDEX($FO$325:$IH$396,GP$169,1+SwaptionShift):INDEX($FO$325:$IH$396,GP$169,SwaptionMonthsToGo+SwaptionShift))))))</f>
        <v/>
      </c>
      <c r="GQ206" s="469" t="str">
        <f ca="1">IF(OR(GQ$169&lt;SwaptionFirstMonthPosition+1,$FN206&lt;SwaptionFirstMonthPosition+1,GQ$169&gt;SwaptionFirstMonthPosition+SwaptionNumOfMonths+1,$FN206&gt;SwaptionFirstMonthPosition+SwaptionNumOfMonths+1),"",IF($FN206=GQ$169,1,IF($FN206&lt;GQ$169,INDEX($FO$170:$IH$241,GQ$169,$FN206),SUMPRODUCT(INDEX($FO$325:$IH$396,GQ$169,1+SwaptionShift):INDEX($FO$325:$IH$396,GQ$169,SwaptionMonthsToGo+SwaptionShift),INDEX($FO$245:$IH$316,$FN206-GQ$169,73-GQ$169+SwaptionShift):INDEX($FO$245:$IH$316,$FN206-GQ$169,72-GQ$169+SwaptionMonthsToGo+SwaptionShift))/SQRT(SUM(INDEX($FO361:$IH361,1+SwaptionShift):INDEX($FO361:$IH361,SwaptionMonthsToGo+SwaptionShift))*SUM(INDEX($FO$325:$IH$396,GQ$169,1+SwaptionShift):INDEX($FO$325:$IH$396,GQ$169,SwaptionMonthsToGo+SwaptionShift))))))</f>
        <v/>
      </c>
      <c r="GR206" s="469" t="str">
        <f ca="1">IF(OR(GR$169&lt;SwaptionFirstMonthPosition+1,$FN206&lt;SwaptionFirstMonthPosition+1,GR$169&gt;SwaptionFirstMonthPosition+SwaptionNumOfMonths+1,$FN206&gt;SwaptionFirstMonthPosition+SwaptionNumOfMonths+1),"",IF($FN206=GR$169,1,IF($FN206&lt;GR$169,INDEX($FO$170:$IH$241,GR$169,$FN206),SUMPRODUCT(INDEX($FO$325:$IH$396,GR$169,1+SwaptionShift):INDEX($FO$325:$IH$396,GR$169,SwaptionMonthsToGo+SwaptionShift),INDEX($FO$245:$IH$316,$FN206-GR$169,73-GR$169+SwaptionShift):INDEX($FO$245:$IH$316,$FN206-GR$169,72-GR$169+SwaptionMonthsToGo+SwaptionShift))/SQRT(SUM(INDEX($FO361:$IH361,1+SwaptionShift):INDEX($FO361:$IH361,SwaptionMonthsToGo+SwaptionShift))*SUM(INDEX($FO$325:$IH$396,GR$169,1+SwaptionShift):INDEX($FO$325:$IH$396,GR$169,SwaptionMonthsToGo+SwaptionShift))))))</f>
        <v/>
      </c>
      <c r="GS206" s="469" t="str">
        <f ca="1">IF(OR(GS$169&lt;SwaptionFirstMonthPosition+1,$FN206&lt;SwaptionFirstMonthPosition+1,GS$169&gt;SwaptionFirstMonthPosition+SwaptionNumOfMonths+1,$FN206&gt;SwaptionFirstMonthPosition+SwaptionNumOfMonths+1),"",IF($FN206=GS$169,1,IF($FN206&lt;GS$169,INDEX($FO$170:$IH$241,GS$169,$FN206),SUMPRODUCT(INDEX($FO$325:$IH$396,GS$169,1+SwaptionShift):INDEX($FO$325:$IH$396,GS$169,SwaptionMonthsToGo+SwaptionShift),INDEX($FO$245:$IH$316,$FN206-GS$169,73-GS$169+SwaptionShift):INDEX($FO$245:$IH$316,$FN206-GS$169,72-GS$169+SwaptionMonthsToGo+SwaptionShift))/SQRT(SUM(INDEX($FO361:$IH361,1+SwaptionShift):INDEX($FO361:$IH361,SwaptionMonthsToGo+SwaptionShift))*SUM(INDEX($FO$325:$IH$396,GS$169,1+SwaptionShift):INDEX($FO$325:$IH$396,GS$169,SwaptionMonthsToGo+SwaptionShift))))))</f>
        <v/>
      </c>
      <c r="GT206" s="469" t="str">
        <f ca="1">IF(OR(GT$169&lt;SwaptionFirstMonthPosition+1,$FN206&lt;SwaptionFirstMonthPosition+1,GT$169&gt;SwaptionFirstMonthPosition+SwaptionNumOfMonths+1,$FN206&gt;SwaptionFirstMonthPosition+SwaptionNumOfMonths+1),"",IF($FN206=GT$169,1,IF($FN206&lt;GT$169,INDEX($FO$170:$IH$241,GT$169,$FN206),SUMPRODUCT(INDEX($FO$325:$IH$396,GT$169,1+SwaptionShift):INDEX($FO$325:$IH$396,GT$169,SwaptionMonthsToGo+SwaptionShift),INDEX($FO$245:$IH$316,$FN206-GT$169,73-GT$169+SwaptionShift):INDEX($FO$245:$IH$316,$FN206-GT$169,72-GT$169+SwaptionMonthsToGo+SwaptionShift))/SQRT(SUM(INDEX($FO361:$IH361,1+SwaptionShift):INDEX($FO361:$IH361,SwaptionMonthsToGo+SwaptionShift))*SUM(INDEX($FO$325:$IH$396,GT$169,1+SwaptionShift):INDEX($FO$325:$IH$396,GT$169,SwaptionMonthsToGo+SwaptionShift))))))</f>
        <v/>
      </c>
      <c r="GU206" s="469" t="str">
        <f ca="1">IF(OR(GU$169&lt;SwaptionFirstMonthPosition+1,$FN206&lt;SwaptionFirstMonthPosition+1,GU$169&gt;SwaptionFirstMonthPosition+SwaptionNumOfMonths+1,$FN206&gt;SwaptionFirstMonthPosition+SwaptionNumOfMonths+1),"",IF($FN206=GU$169,1,IF($FN206&lt;GU$169,INDEX($FO$170:$IH$241,GU$169,$FN206),SUMPRODUCT(INDEX($FO$325:$IH$396,GU$169,1+SwaptionShift):INDEX($FO$325:$IH$396,GU$169,SwaptionMonthsToGo+SwaptionShift),INDEX($FO$245:$IH$316,$FN206-GU$169,73-GU$169+SwaptionShift):INDEX($FO$245:$IH$316,$FN206-GU$169,72-GU$169+SwaptionMonthsToGo+SwaptionShift))/SQRT(SUM(INDEX($FO361:$IH361,1+SwaptionShift):INDEX($FO361:$IH361,SwaptionMonthsToGo+SwaptionShift))*SUM(INDEX($FO$325:$IH$396,GU$169,1+SwaptionShift):INDEX($FO$325:$IH$396,GU$169,SwaptionMonthsToGo+SwaptionShift))))))</f>
        <v/>
      </c>
      <c r="GV206" s="469" t="str">
        <f ca="1">IF(OR(GV$169&lt;SwaptionFirstMonthPosition+1,$FN206&lt;SwaptionFirstMonthPosition+1,GV$169&gt;SwaptionFirstMonthPosition+SwaptionNumOfMonths+1,$FN206&gt;SwaptionFirstMonthPosition+SwaptionNumOfMonths+1),"",IF($FN206=GV$169,1,IF($FN206&lt;GV$169,INDEX($FO$170:$IH$241,GV$169,$FN206),SUMPRODUCT(INDEX($FO$325:$IH$396,GV$169,1+SwaptionShift):INDEX($FO$325:$IH$396,GV$169,SwaptionMonthsToGo+SwaptionShift),INDEX($FO$245:$IH$316,$FN206-GV$169,73-GV$169+SwaptionShift):INDEX($FO$245:$IH$316,$FN206-GV$169,72-GV$169+SwaptionMonthsToGo+SwaptionShift))/SQRT(SUM(INDEX($FO361:$IH361,1+SwaptionShift):INDEX($FO361:$IH361,SwaptionMonthsToGo+SwaptionShift))*SUM(INDEX($FO$325:$IH$396,GV$169,1+SwaptionShift):INDEX($FO$325:$IH$396,GV$169,SwaptionMonthsToGo+SwaptionShift))))))</f>
        <v/>
      </c>
      <c r="GW206" s="469" t="str">
        <f ca="1">IF(OR(GW$169&lt;SwaptionFirstMonthPosition+1,$FN206&lt;SwaptionFirstMonthPosition+1,GW$169&gt;SwaptionFirstMonthPosition+SwaptionNumOfMonths+1,$FN206&gt;SwaptionFirstMonthPosition+SwaptionNumOfMonths+1),"",IF($FN206=GW$169,1,IF($FN206&lt;GW$169,INDEX($FO$170:$IH$241,GW$169,$FN206),SUMPRODUCT(INDEX($FO$325:$IH$396,GW$169,1+SwaptionShift):INDEX($FO$325:$IH$396,GW$169,SwaptionMonthsToGo+SwaptionShift),INDEX($FO$245:$IH$316,$FN206-GW$169,73-GW$169+SwaptionShift):INDEX($FO$245:$IH$316,$FN206-GW$169,72-GW$169+SwaptionMonthsToGo+SwaptionShift))/SQRT(SUM(INDEX($FO361:$IH361,1+SwaptionShift):INDEX($FO361:$IH361,SwaptionMonthsToGo+SwaptionShift))*SUM(INDEX($FO$325:$IH$396,GW$169,1+SwaptionShift):INDEX($FO$325:$IH$396,GW$169,SwaptionMonthsToGo+SwaptionShift))))))</f>
        <v/>
      </c>
      <c r="GX206" s="469" t="str">
        <f ca="1">IF(OR(GX$169&lt;SwaptionFirstMonthPosition+1,$FN206&lt;SwaptionFirstMonthPosition+1,GX$169&gt;SwaptionFirstMonthPosition+SwaptionNumOfMonths+1,$FN206&gt;SwaptionFirstMonthPosition+SwaptionNumOfMonths+1),"",IF($FN206=GX$169,1,IF($FN206&lt;GX$169,INDEX($FO$170:$IH$241,GX$169,$FN206),SUMPRODUCT(INDEX($FO$325:$IH$396,GX$169,1+SwaptionShift):INDEX($FO$325:$IH$396,GX$169,SwaptionMonthsToGo+SwaptionShift),INDEX($FO$245:$IH$316,$FN206-GX$169,73-GX$169+SwaptionShift):INDEX($FO$245:$IH$316,$FN206-GX$169,72-GX$169+SwaptionMonthsToGo+SwaptionShift))/SQRT(SUM(INDEX($FO361:$IH361,1+SwaptionShift):INDEX($FO361:$IH361,SwaptionMonthsToGo+SwaptionShift))*SUM(INDEX($FO$325:$IH$396,GX$169,1+SwaptionShift):INDEX($FO$325:$IH$396,GX$169,SwaptionMonthsToGo+SwaptionShift))))))</f>
        <v/>
      </c>
      <c r="GY206" s="469" t="str">
        <f ca="1">IF(OR(GY$169&lt;SwaptionFirstMonthPosition+1,$FN206&lt;SwaptionFirstMonthPosition+1,GY$169&gt;SwaptionFirstMonthPosition+SwaptionNumOfMonths+1,$FN206&gt;SwaptionFirstMonthPosition+SwaptionNumOfMonths+1),"",IF($FN206=GY$169,1,IF($FN206&lt;GY$169,INDEX($FO$170:$IH$241,GY$169,$FN206),SUMPRODUCT(INDEX($FO$325:$IH$396,GY$169,1+SwaptionShift):INDEX($FO$325:$IH$396,GY$169,SwaptionMonthsToGo+SwaptionShift),INDEX($FO$245:$IH$316,$FN206-GY$169,73-GY$169+SwaptionShift):INDEX($FO$245:$IH$316,$FN206-GY$169,72-GY$169+SwaptionMonthsToGo+SwaptionShift))/SQRT(SUM(INDEX($FO361:$IH361,1+SwaptionShift):INDEX($FO361:$IH361,SwaptionMonthsToGo+SwaptionShift))*SUM(INDEX($FO$325:$IH$396,GY$169,1+SwaptionShift):INDEX($FO$325:$IH$396,GY$169,SwaptionMonthsToGo+SwaptionShift))))))</f>
        <v/>
      </c>
      <c r="GZ206" s="469" t="str">
        <f ca="1">IF(OR(GZ$169&lt;SwaptionFirstMonthPosition+1,$FN206&lt;SwaptionFirstMonthPosition+1,GZ$169&gt;SwaptionFirstMonthPosition+SwaptionNumOfMonths+1,$FN206&gt;SwaptionFirstMonthPosition+SwaptionNumOfMonths+1),"",IF($FN206=GZ$169,1,IF($FN206&lt;GZ$169,INDEX($FO$170:$IH$241,GZ$169,$FN206),SUMPRODUCT(INDEX($FO$325:$IH$396,GZ$169,1+SwaptionShift):INDEX($FO$325:$IH$396,GZ$169,SwaptionMonthsToGo+SwaptionShift),INDEX($FO$245:$IH$316,$FN206-GZ$169,73-GZ$169+SwaptionShift):INDEX($FO$245:$IH$316,$FN206-GZ$169,72-GZ$169+SwaptionMonthsToGo+SwaptionShift))/SQRT(SUM(INDEX($FO361:$IH361,1+SwaptionShift):INDEX($FO361:$IH361,SwaptionMonthsToGo+SwaptionShift))*SUM(INDEX($FO$325:$IH$396,GZ$169,1+SwaptionShift):INDEX($FO$325:$IH$396,GZ$169,SwaptionMonthsToGo+SwaptionShift))))))</f>
        <v/>
      </c>
      <c r="HA206" s="469" t="str">
        <f ca="1">IF(OR(HA$169&lt;SwaptionFirstMonthPosition+1,$FN206&lt;SwaptionFirstMonthPosition+1,HA$169&gt;SwaptionFirstMonthPosition+SwaptionNumOfMonths+1,$FN206&gt;SwaptionFirstMonthPosition+SwaptionNumOfMonths+1),"",IF($FN206=HA$169,1,IF($FN206&lt;HA$169,INDEX($FO$170:$IH$241,HA$169,$FN206),SUMPRODUCT(INDEX($FO$325:$IH$396,HA$169,1+SwaptionShift):INDEX($FO$325:$IH$396,HA$169,SwaptionMonthsToGo+SwaptionShift),INDEX($FO$245:$IH$316,$FN206-HA$169,73-HA$169+SwaptionShift):INDEX($FO$245:$IH$316,$FN206-HA$169,72-HA$169+SwaptionMonthsToGo+SwaptionShift))/SQRT(SUM(INDEX($FO361:$IH361,1+SwaptionShift):INDEX($FO361:$IH361,SwaptionMonthsToGo+SwaptionShift))*SUM(INDEX($FO$325:$IH$396,HA$169,1+SwaptionShift):INDEX($FO$325:$IH$396,HA$169,SwaptionMonthsToGo+SwaptionShift))))))</f>
        <v/>
      </c>
      <c r="HB206" s="469" t="str">
        <f ca="1">IF(OR(HB$169&lt;SwaptionFirstMonthPosition+1,$FN206&lt;SwaptionFirstMonthPosition+1,HB$169&gt;SwaptionFirstMonthPosition+SwaptionNumOfMonths+1,$FN206&gt;SwaptionFirstMonthPosition+SwaptionNumOfMonths+1),"",IF($FN206=HB$169,1,IF($FN206&lt;HB$169,INDEX($FO$170:$IH$241,HB$169,$FN206),SUMPRODUCT(INDEX($FO$325:$IH$396,HB$169,1+SwaptionShift):INDEX($FO$325:$IH$396,HB$169,SwaptionMonthsToGo+SwaptionShift),INDEX($FO$245:$IH$316,$FN206-HB$169,73-HB$169+SwaptionShift):INDEX($FO$245:$IH$316,$FN206-HB$169,72-HB$169+SwaptionMonthsToGo+SwaptionShift))/SQRT(SUM(INDEX($FO361:$IH361,1+SwaptionShift):INDEX($FO361:$IH361,SwaptionMonthsToGo+SwaptionShift))*SUM(INDEX($FO$325:$IH$396,HB$169,1+SwaptionShift):INDEX($FO$325:$IH$396,HB$169,SwaptionMonthsToGo+SwaptionShift))))))</f>
        <v/>
      </c>
      <c r="HC206" s="469" t="str">
        <f ca="1">IF(OR(HC$169&lt;SwaptionFirstMonthPosition+1,$FN206&lt;SwaptionFirstMonthPosition+1,HC$169&gt;SwaptionFirstMonthPosition+SwaptionNumOfMonths+1,$FN206&gt;SwaptionFirstMonthPosition+SwaptionNumOfMonths+1),"",IF($FN206=HC$169,1,IF($FN206&lt;HC$169,INDEX($FO$170:$IH$241,HC$169,$FN206),SUMPRODUCT(INDEX($FO$325:$IH$396,HC$169,1+SwaptionShift):INDEX($FO$325:$IH$396,HC$169,SwaptionMonthsToGo+SwaptionShift),INDEX($FO$245:$IH$316,$FN206-HC$169,73-HC$169+SwaptionShift):INDEX($FO$245:$IH$316,$FN206-HC$169,72-HC$169+SwaptionMonthsToGo+SwaptionShift))/SQRT(SUM(INDEX($FO361:$IH361,1+SwaptionShift):INDEX($FO361:$IH361,SwaptionMonthsToGo+SwaptionShift))*SUM(INDEX($FO$325:$IH$396,HC$169,1+SwaptionShift):INDEX($FO$325:$IH$396,HC$169,SwaptionMonthsToGo+SwaptionShift))))))</f>
        <v/>
      </c>
      <c r="HD206" s="469" t="str">
        <f ca="1">IF(OR(HD$169&lt;SwaptionFirstMonthPosition+1,$FN206&lt;SwaptionFirstMonthPosition+1,HD$169&gt;SwaptionFirstMonthPosition+SwaptionNumOfMonths+1,$FN206&gt;SwaptionFirstMonthPosition+SwaptionNumOfMonths+1),"",IF($FN206=HD$169,1,IF($FN206&lt;HD$169,INDEX($FO$170:$IH$241,HD$169,$FN206),SUMPRODUCT(INDEX($FO$325:$IH$396,HD$169,1+SwaptionShift):INDEX($FO$325:$IH$396,HD$169,SwaptionMonthsToGo+SwaptionShift),INDEX($FO$245:$IH$316,$FN206-HD$169,73-HD$169+SwaptionShift):INDEX($FO$245:$IH$316,$FN206-HD$169,72-HD$169+SwaptionMonthsToGo+SwaptionShift))/SQRT(SUM(INDEX($FO361:$IH361,1+SwaptionShift):INDEX($FO361:$IH361,SwaptionMonthsToGo+SwaptionShift))*SUM(INDEX($FO$325:$IH$396,HD$169,1+SwaptionShift):INDEX($FO$325:$IH$396,HD$169,SwaptionMonthsToGo+SwaptionShift))))))</f>
        <v/>
      </c>
      <c r="HE206" s="469" t="str">
        <f ca="1">IF(OR(HE$169&lt;SwaptionFirstMonthPosition+1,$FN206&lt;SwaptionFirstMonthPosition+1,HE$169&gt;SwaptionFirstMonthPosition+SwaptionNumOfMonths+1,$FN206&gt;SwaptionFirstMonthPosition+SwaptionNumOfMonths+1),"",IF($FN206=HE$169,1,IF($FN206&lt;HE$169,INDEX($FO$170:$IH$241,HE$169,$FN206),SUMPRODUCT(INDEX($FO$325:$IH$396,HE$169,1+SwaptionShift):INDEX($FO$325:$IH$396,HE$169,SwaptionMonthsToGo+SwaptionShift),INDEX($FO$245:$IH$316,$FN206-HE$169,73-HE$169+SwaptionShift):INDEX($FO$245:$IH$316,$FN206-HE$169,72-HE$169+SwaptionMonthsToGo+SwaptionShift))/SQRT(SUM(INDEX($FO361:$IH361,1+SwaptionShift):INDEX($FO361:$IH361,SwaptionMonthsToGo+SwaptionShift))*SUM(INDEX($FO$325:$IH$396,HE$169,1+SwaptionShift):INDEX($FO$325:$IH$396,HE$169,SwaptionMonthsToGo+SwaptionShift))))))</f>
        <v/>
      </c>
      <c r="HF206" s="469" t="str">
        <f ca="1">IF(OR(HF$169&lt;SwaptionFirstMonthPosition+1,$FN206&lt;SwaptionFirstMonthPosition+1,HF$169&gt;SwaptionFirstMonthPosition+SwaptionNumOfMonths+1,$FN206&gt;SwaptionFirstMonthPosition+SwaptionNumOfMonths+1),"",IF($FN206=HF$169,1,IF($FN206&lt;HF$169,INDEX($FO$170:$IH$241,HF$169,$FN206),SUMPRODUCT(INDEX($FO$325:$IH$396,HF$169,1+SwaptionShift):INDEX($FO$325:$IH$396,HF$169,SwaptionMonthsToGo+SwaptionShift),INDEX($FO$245:$IH$316,$FN206-HF$169,73-HF$169+SwaptionShift):INDEX($FO$245:$IH$316,$FN206-HF$169,72-HF$169+SwaptionMonthsToGo+SwaptionShift))/SQRT(SUM(INDEX($FO361:$IH361,1+SwaptionShift):INDEX($FO361:$IH361,SwaptionMonthsToGo+SwaptionShift))*SUM(INDEX($FO$325:$IH$396,HF$169,1+SwaptionShift):INDEX($FO$325:$IH$396,HF$169,SwaptionMonthsToGo+SwaptionShift))))))</f>
        <v/>
      </c>
      <c r="HG206" s="469" t="str">
        <f ca="1">IF(OR(HG$169&lt;SwaptionFirstMonthPosition+1,$FN206&lt;SwaptionFirstMonthPosition+1,HG$169&gt;SwaptionFirstMonthPosition+SwaptionNumOfMonths+1,$FN206&gt;SwaptionFirstMonthPosition+SwaptionNumOfMonths+1),"",IF($FN206=HG$169,1,IF($FN206&lt;HG$169,INDEX($FO$170:$IH$241,HG$169,$FN206),SUMPRODUCT(INDEX($FO$325:$IH$396,HG$169,1+SwaptionShift):INDEX($FO$325:$IH$396,HG$169,SwaptionMonthsToGo+SwaptionShift),INDEX($FO$245:$IH$316,$FN206-HG$169,73-HG$169+SwaptionShift):INDEX($FO$245:$IH$316,$FN206-HG$169,72-HG$169+SwaptionMonthsToGo+SwaptionShift))/SQRT(SUM(INDEX($FO361:$IH361,1+SwaptionShift):INDEX($FO361:$IH361,SwaptionMonthsToGo+SwaptionShift))*SUM(INDEX($FO$325:$IH$396,HG$169,1+SwaptionShift):INDEX($FO$325:$IH$396,HG$169,SwaptionMonthsToGo+SwaptionShift))))))</f>
        <v/>
      </c>
      <c r="HH206" s="469" t="str">
        <f ca="1">IF(OR(HH$169&lt;SwaptionFirstMonthPosition+1,$FN206&lt;SwaptionFirstMonthPosition+1,HH$169&gt;SwaptionFirstMonthPosition+SwaptionNumOfMonths+1,$FN206&gt;SwaptionFirstMonthPosition+SwaptionNumOfMonths+1),"",IF($FN206=HH$169,1,IF($FN206&lt;HH$169,INDEX($FO$170:$IH$241,HH$169,$FN206),SUMPRODUCT(INDEX($FO$325:$IH$396,HH$169,1+SwaptionShift):INDEX($FO$325:$IH$396,HH$169,SwaptionMonthsToGo+SwaptionShift),INDEX($FO$245:$IH$316,$FN206-HH$169,73-HH$169+SwaptionShift):INDEX($FO$245:$IH$316,$FN206-HH$169,72-HH$169+SwaptionMonthsToGo+SwaptionShift))/SQRT(SUM(INDEX($FO361:$IH361,1+SwaptionShift):INDEX($FO361:$IH361,SwaptionMonthsToGo+SwaptionShift))*SUM(INDEX($FO$325:$IH$396,HH$169,1+SwaptionShift):INDEX($FO$325:$IH$396,HH$169,SwaptionMonthsToGo+SwaptionShift))))))</f>
        <v/>
      </c>
      <c r="HI206" s="469" t="str">
        <f ca="1">IF(OR(HI$169&lt;SwaptionFirstMonthPosition+1,$FN206&lt;SwaptionFirstMonthPosition+1,HI$169&gt;SwaptionFirstMonthPosition+SwaptionNumOfMonths+1,$FN206&gt;SwaptionFirstMonthPosition+SwaptionNumOfMonths+1),"",IF($FN206=HI$169,1,IF($FN206&lt;HI$169,INDEX($FO$170:$IH$241,HI$169,$FN206),SUMPRODUCT(INDEX($FO$325:$IH$396,HI$169,1+SwaptionShift):INDEX($FO$325:$IH$396,HI$169,SwaptionMonthsToGo+SwaptionShift),INDEX($FO$245:$IH$316,$FN206-HI$169,73-HI$169+SwaptionShift):INDEX($FO$245:$IH$316,$FN206-HI$169,72-HI$169+SwaptionMonthsToGo+SwaptionShift))/SQRT(SUM(INDEX($FO361:$IH361,1+SwaptionShift):INDEX($FO361:$IH361,SwaptionMonthsToGo+SwaptionShift))*SUM(INDEX($FO$325:$IH$396,HI$169,1+SwaptionShift):INDEX($FO$325:$IH$396,HI$169,SwaptionMonthsToGo+SwaptionShift))))))</f>
        <v/>
      </c>
      <c r="HJ206" s="469" t="str">
        <f ca="1">IF(OR(HJ$169&lt;SwaptionFirstMonthPosition+1,$FN206&lt;SwaptionFirstMonthPosition+1,HJ$169&gt;SwaptionFirstMonthPosition+SwaptionNumOfMonths+1,$FN206&gt;SwaptionFirstMonthPosition+SwaptionNumOfMonths+1),"",IF($FN206=HJ$169,1,IF($FN206&lt;HJ$169,INDEX($FO$170:$IH$241,HJ$169,$FN206),SUMPRODUCT(INDEX($FO$325:$IH$396,HJ$169,1+SwaptionShift):INDEX($FO$325:$IH$396,HJ$169,SwaptionMonthsToGo+SwaptionShift),INDEX($FO$245:$IH$316,$FN206-HJ$169,73-HJ$169+SwaptionShift):INDEX($FO$245:$IH$316,$FN206-HJ$169,72-HJ$169+SwaptionMonthsToGo+SwaptionShift))/SQRT(SUM(INDEX($FO361:$IH361,1+SwaptionShift):INDEX($FO361:$IH361,SwaptionMonthsToGo+SwaptionShift))*SUM(INDEX($FO$325:$IH$396,HJ$169,1+SwaptionShift):INDEX($FO$325:$IH$396,HJ$169,SwaptionMonthsToGo+SwaptionShift))))))</f>
        <v/>
      </c>
      <c r="HK206" s="469" t="str">
        <f ca="1">IF(OR(HK$169&lt;SwaptionFirstMonthPosition+1,$FN206&lt;SwaptionFirstMonthPosition+1,HK$169&gt;SwaptionFirstMonthPosition+SwaptionNumOfMonths+1,$FN206&gt;SwaptionFirstMonthPosition+SwaptionNumOfMonths+1),"",IF($FN206=HK$169,1,IF($FN206&lt;HK$169,INDEX($FO$170:$IH$241,HK$169,$FN206),SUMPRODUCT(INDEX($FO$325:$IH$396,HK$169,1+SwaptionShift):INDEX($FO$325:$IH$396,HK$169,SwaptionMonthsToGo+SwaptionShift),INDEX($FO$245:$IH$316,$FN206-HK$169,73-HK$169+SwaptionShift):INDEX($FO$245:$IH$316,$FN206-HK$169,72-HK$169+SwaptionMonthsToGo+SwaptionShift))/SQRT(SUM(INDEX($FO361:$IH361,1+SwaptionShift):INDEX($FO361:$IH361,SwaptionMonthsToGo+SwaptionShift))*SUM(INDEX($FO$325:$IH$396,HK$169,1+SwaptionShift):INDEX($FO$325:$IH$396,HK$169,SwaptionMonthsToGo+SwaptionShift))))))</f>
        <v/>
      </c>
      <c r="HL206" s="469" t="str">
        <f ca="1">IF(OR(HL$169&lt;SwaptionFirstMonthPosition+1,$FN206&lt;SwaptionFirstMonthPosition+1,HL$169&gt;SwaptionFirstMonthPosition+SwaptionNumOfMonths+1,$FN206&gt;SwaptionFirstMonthPosition+SwaptionNumOfMonths+1),"",IF($FN206=HL$169,1,IF($FN206&lt;HL$169,INDEX($FO$170:$IH$241,HL$169,$FN206),SUMPRODUCT(INDEX($FO$325:$IH$396,HL$169,1+SwaptionShift):INDEX($FO$325:$IH$396,HL$169,SwaptionMonthsToGo+SwaptionShift),INDEX($FO$245:$IH$316,$FN206-HL$169,73-HL$169+SwaptionShift):INDEX($FO$245:$IH$316,$FN206-HL$169,72-HL$169+SwaptionMonthsToGo+SwaptionShift))/SQRT(SUM(INDEX($FO361:$IH361,1+SwaptionShift):INDEX($FO361:$IH361,SwaptionMonthsToGo+SwaptionShift))*SUM(INDEX($FO$325:$IH$396,HL$169,1+SwaptionShift):INDEX($FO$325:$IH$396,HL$169,SwaptionMonthsToGo+SwaptionShift))))))</f>
        <v/>
      </c>
      <c r="HM206" s="469" t="str">
        <f ca="1">IF(OR(HM$169&lt;SwaptionFirstMonthPosition+1,$FN206&lt;SwaptionFirstMonthPosition+1,HM$169&gt;SwaptionFirstMonthPosition+SwaptionNumOfMonths+1,$FN206&gt;SwaptionFirstMonthPosition+SwaptionNumOfMonths+1),"",IF($FN206=HM$169,1,IF($FN206&lt;HM$169,INDEX($FO$170:$IH$241,HM$169,$FN206),SUMPRODUCT(INDEX($FO$325:$IH$396,HM$169,1+SwaptionShift):INDEX($FO$325:$IH$396,HM$169,SwaptionMonthsToGo+SwaptionShift),INDEX($FO$245:$IH$316,$FN206-HM$169,73-HM$169+SwaptionShift):INDEX($FO$245:$IH$316,$FN206-HM$169,72-HM$169+SwaptionMonthsToGo+SwaptionShift))/SQRT(SUM(INDEX($FO361:$IH361,1+SwaptionShift):INDEX($FO361:$IH361,SwaptionMonthsToGo+SwaptionShift))*SUM(INDEX($FO$325:$IH$396,HM$169,1+SwaptionShift):INDEX($FO$325:$IH$396,HM$169,SwaptionMonthsToGo+SwaptionShift))))))</f>
        <v/>
      </c>
      <c r="HN206" s="469" t="str">
        <f ca="1">IF(OR(HN$169&lt;SwaptionFirstMonthPosition+1,$FN206&lt;SwaptionFirstMonthPosition+1,HN$169&gt;SwaptionFirstMonthPosition+SwaptionNumOfMonths+1,$FN206&gt;SwaptionFirstMonthPosition+SwaptionNumOfMonths+1),"",IF($FN206=HN$169,1,IF($FN206&lt;HN$169,INDEX($FO$170:$IH$241,HN$169,$FN206),SUMPRODUCT(INDEX($FO$325:$IH$396,HN$169,1+SwaptionShift):INDEX($FO$325:$IH$396,HN$169,SwaptionMonthsToGo+SwaptionShift),INDEX($FO$245:$IH$316,$FN206-HN$169,73-HN$169+SwaptionShift):INDEX($FO$245:$IH$316,$FN206-HN$169,72-HN$169+SwaptionMonthsToGo+SwaptionShift))/SQRT(SUM(INDEX($FO361:$IH361,1+SwaptionShift):INDEX($FO361:$IH361,SwaptionMonthsToGo+SwaptionShift))*SUM(INDEX($FO$325:$IH$396,HN$169,1+SwaptionShift):INDEX($FO$325:$IH$396,HN$169,SwaptionMonthsToGo+SwaptionShift))))))</f>
        <v/>
      </c>
      <c r="HO206" s="469" t="str">
        <f ca="1">IF(OR(HO$169&lt;SwaptionFirstMonthPosition+1,$FN206&lt;SwaptionFirstMonthPosition+1,HO$169&gt;SwaptionFirstMonthPosition+SwaptionNumOfMonths+1,$FN206&gt;SwaptionFirstMonthPosition+SwaptionNumOfMonths+1),"",IF($FN206=HO$169,1,IF($FN206&lt;HO$169,INDEX($FO$170:$IH$241,HO$169,$FN206),SUMPRODUCT(INDEX($FO$325:$IH$396,HO$169,1+SwaptionShift):INDEX($FO$325:$IH$396,HO$169,SwaptionMonthsToGo+SwaptionShift),INDEX($FO$245:$IH$316,$FN206-HO$169,73-HO$169+SwaptionShift):INDEX($FO$245:$IH$316,$FN206-HO$169,72-HO$169+SwaptionMonthsToGo+SwaptionShift))/SQRT(SUM(INDEX($FO361:$IH361,1+SwaptionShift):INDEX($FO361:$IH361,SwaptionMonthsToGo+SwaptionShift))*SUM(INDEX($FO$325:$IH$396,HO$169,1+SwaptionShift):INDEX($FO$325:$IH$396,HO$169,SwaptionMonthsToGo+SwaptionShift))))))</f>
        <v/>
      </c>
      <c r="HP206" s="469" t="str">
        <f ca="1">IF(OR(HP$169&lt;SwaptionFirstMonthPosition+1,$FN206&lt;SwaptionFirstMonthPosition+1,HP$169&gt;SwaptionFirstMonthPosition+SwaptionNumOfMonths+1,$FN206&gt;SwaptionFirstMonthPosition+SwaptionNumOfMonths+1),"",IF($FN206=HP$169,1,IF($FN206&lt;HP$169,INDEX($FO$170:$IH$241,HP$169,$FN206),SUMPRODUCT(INDEX($FO$325:$IH$396,HP$169,1+SwaptionShift):INDEX($FO$325:$IH$396,HP$169,SwaptionMonthsToGo+SwaptionShift),INDEX($FO$245:$IH$316,$FN206-HP$169,73-HP$169+SwaptionShift):INDEX($FO$245:$IH$316,$FN206-HP$169,72-HP$169+SwaptionMonthsToGo+SwaptionShift))/SQRT(SUM(INDEX($FO361:$IH361,1+SwaptionShift):INDEX($FO361:$IH361,SwaptionMonthsToGo+SwaptionShift))*SUM(INDEX($FO$325:$IH$396,HP$169,1+SwaptionShift):INDEX($FO$325:$IH$396,HP$169,SwaptionMonthsToGo+SwaptionShift))))))</f>
        <v/>
      </c>
      <c r="HQ206" s="469" t="str">
        <f ca="1">IF(OR(HQ$169&lt;SwaptionFirstMonthPosition+1,$FN206&lt;SwaptionFirstMonthPosition+1,HQ$169&gt;SwaptionFirstMonthPosition+SwaptionNumOfMonths+1,$FN206&gt;SwaptionFirstMonthPosition+SwaptionNumOfMonths+1),"",IF($FN206=HQ$169,1,IF($FN206&lt;HQ$169,INDEX($FO$170:$IH$241,HQ$169,$FN206),SUMPRODUCT(INDEX($FO$325:$IH$396,HQ$169,1+SwaptionShift):INDEX($FO$325:$IH$396,HQ$169,SwaptionMonthsToGo+SwaptionShift),INDEX($FO$245:$IH$316,$FN206-HQ$169,73-HQ$169+SwaptionShift):INDEX($FO$245:$IH$316,$FN206-HQ$169,72-HQ$169+SwaptionMonthsToGo+SwaptionShift))/SQRT(SUM(INDEX($FO361:$IH361,1+SwaptionShift):INDEX($FO361:$IH361,SwaptionMonthsToGo+SwaptionShift))*SUM(INDEX($FO$325:$IH$396,HQ$169,1+SwaptionShift):INDEX($FO$325:$IH$396,HQ$169,SwaptionMonthsToGo+SwaptionShift))))))</f>
        <v/>
      </c>
      <c r="HR206" s="469" t="str">
        <f ca="1">IF(OR(HR$169&lt;SwaptionFirstMonthPosition+1,$FN206&lt;SwaptionFirstMonthPosition+1,HR$169&gt;SwaptionFirstMonthPosition+SwaptionNumOfMonths+1,$FN206&gt;SwaptionFirstMonthPosition+SwaptionNumOfMonths+1),"",IF($FN206=HR$169,1,IF($FN206&lt;HR$169,INDEX($FO$170:$IH$241,HR$169,$FN206),SUMPRODUCT(INDEX($FO$325:$IH$396,HR$169,1+SwaptionShift):INDEX($FO$325:$IH$396,HR$169,SwaptionMonthsToGo+SwaptionShift),INDEX($FO$245:$IH$316,$FN206-HR$169,73-HR$169+SwaptionShift):INDEX($FO$245:$IH$316,$FN206-HR$169,72-HR$169+SwaptionMonthsToGo+SwaptionShift))/SQRT(SUM(INDEX($FO361:$IH361,1+SwaptionShift):INDEX($FO361:$IH361,SwaptionMonthsToGo+SwaptionShift))*SUM(INDEX($FO$325:$IH$396,HR$169,1+SwaptionShift):INDEX($FO$325:$IH$396,HR$169,SwaptionMonthsToGo+SwaptionShift))))))</f>
        <v/>
      </c>
      <c r="HS206" s="469" t="str">
        <f ca="1">IF(OR(HS$169&lt;SwaptionFirstMonthPosition+1,$FN206&lt;SwaptionFirstMonthPosition+1,HS$169&gt;SwaptionFirstMonthPosition+SwaptionNumOfMonths+1,$FN206&gt;SwaptionFirstMonthPosition+SwaptionNumOfMonths+1),"",IF($FN206=HS$169,1,IF($FN206&lt;HS$169,INDEX($FO$170:$IH$241,HS$169,$FN206),SUMPRODUCT(INDEX($FO$325:$IH$396,HS$169,1+SwaptionShift):INDEX($FO$325:$IH$396,HS$169,SwaptionMonthsToGo+SwaptionShift),INDEX($FO$245:$IH$316,$FN206-HS$169,73-HS$169+SwaptionShift):INDEX($FO$245:$IH$316,$FN206-HS$169,72-HS$169+SwaptionMonthsToGo+SwaptionShift))/SQRT(SUM(INDEX($FO361:$IH361,1+SwaptionShift):INDEX($FO361:$IH361,SwaptionMonthsToGo+SwaptionShift))*SUM(INDEX($FO$325:$IH$396,HS$169,1+SwaptionShift):INDEX($FO$325:$IH$396,HS$169,SwaptionMonthsToGo+SwaptionShift))))))</f>
        <v/>
      </c>
      <c r="HT206" s="469" t="str">
        <f ca="1">IF(OR(HT$169&lt;SwaptionFirstMonthPosition+1,$FN206&lt;SwaptionFirstMonthPosition+1,HT$169&gt;SwaptionFirstMonthPosition+SwaptionNumOfMonths+1,$FN206&gt;SwaptionFirstMonthPosition+SwaptionNumOfMonths+1),"",IF($FN206=HT$169,1,IF($FN206&lt;HT$169,INDEX($FO$170:$IH$241,HT$169,$FN206),SUMPRODUCT(INDEX($FO$325:$IH$396,HT$169,1+SwaptionShift):INDEX($FO$325:$IH$396,HT$169,SwaptionMonthsToGo+SwaptionShift),INDEX($FO$245:$IH$316,$FN206-HT$169,73-HT$169+SwaptionShift):INDEX($FO$245:$IH$316,$FN206-HT$169,72-HT$169+SwaptionMonthsToGo+SwaptionShift))/SQRT(SUM(INDEX($FO361:$IH361,1+SwaptionShift):INDEX($FO361:$IH361,SwaptionMonthsToGo+SwaptionShift))*SUM(INDEX($FO$325:$IH$396,HT$169,1+SwaptionShift):INDEX($FO$325:$IH$396,HT$169,SwaptionMonthsToGo+SwaptionShift))))))</f>
        <v/>
      </c>
      <c r="HU206" s="469" t="str">
        <f ca="1">IF(OR(HU$169&lt;SwaptionFirstMonthPosition+1,$FN206&lt;SwaptionFirstMonthPosition+1,HU$169&gt;SwaptionFirstMonthPosition+SwaptionNumOfMonths+1,$FN206&gt;SwaptionFirstMonthPosition+SwaptionNumOfMonths+1),"",IF($FN206=HU$169,1,IF($FN206&lt;HU$169,INDEX($FO$170:$IH$241,HU$169,$FN206),SUMPRODUCT(INDEX($FO$325:$IH$396,HU$169,1+SwaptionShift):INDEX($FO$325:$IH$396,HU$169,SwaptionMonthsToGo+SwaptionShift),INDEX($FO$245:$IH$316,$FN206-HU$169,73-HU$169+SwaptionShift):INDEX($FO$245:$IH$316,$FN206-HU$169,72-HU$169+SwaptionMonthsToGo+SwaptionShift))/SQRT(SUM(INDEX($FO361:$IH361,1+SwaptionShift):INDEX($FO361:$IH361,SwaptionMonthsToGo+SwaptionShift))*SUM(INDEX($FO$325:$IH$396,HU$169,1+SwaptionShift):INDEX($FO$325:$IH$396,HU$169,SwaptionMonthsToGo+SwaptionShift))))))</f>
        <v/>
      </c>
      <c r="HV206" s="469" t="str">
        <f ca="1">IF(OR(HV$169&lt;SwaptionFirstMonthPosition+1,$FN206&lt;SwaptionFirstMonthPosition+1,HV$169&gt;SwaptionFirstMonthPosition+SwaptionNumOfMonths+1,$FN206&gt;SwaptionFirstMonthPosition+SwaptionNumOfMonths+1),"",IF($FN206=HV$169,1,IF($FN206&lt;HV$169,INDEX($FO$170:$IH$241,HV$169,$FN206),SUMPRODUCT(INDEX($FO$325:$IH$396,HV$169,1+SwaptionShift):INDEX($FO$325:$IH$396,HV$169,SwaptionMonthsToGo+SwaptionShift),INDEX($FO$245:$IH$316,$FN206-HV$169,73-HV$169+SwaptionShift):INDEX($FO$245:$IH$316,$FN206-HV$169,72-HV$169+SwaptionMonthsToGo+SwaptionShift))/SQRT(SUM(INDEX($FO361:$IH361,1+SwaptionShift):INDEX($FO361:$IH361,SwaptionMonthsToGo+SwaptionShift))*SUM(INDEX($FO$325:$IH$396,HV$169,1+SwaptionShift):INDEX($FO$325:$IH$396,HV$169,SwaptionMonthsToGo+SwaptionShift))))))</f>
        <v/>
      </c>
      <c r="HW206" s="469" t="str">
        <f ca="1">IF(OR(HW$169&lt;SwaptionFirstMonthPosition+1,$FN206&lt;SwaptionFirstMonthPosition+1,HW$169&gt;SwaptionFirstMonthPosition+SwaptionNumOfMonths+1,$FN206&gt;SwaptionFirstMonthPosition+SwaptionNumOfMonths+1),"",IF($FN206=HW$169,1,IF($FN206&lt;HW$169,INDEX($FO$170:$IH$241,HW$169,$FN206),SUMPRODUCT(INDEX($FO$325:$IH$396,HW$169,1+SwaptionShift):INDEX($FO$325:$IH$396,HW$169,SwaptionMonthsToGo+SwaptionShift),INDEX($FO$245:$IH$316,$FN206-HW$169,73-HW$169+SwaptionShift):INDEX($FO$245:$IH$316,$FN206-HW$169,72-HW$169+SwaptionMonthsToGo+SwaptionShift))/SQRT(SUM(INDEX($FO361:$IH361,1+SwaptionShift):INDEX($FO361:$IH361,SwaptionMonthsToGo+SwaptionShift))*SUM(INDEX($FO$325:$IH$396,HW$169,1+SwaptionShift):INDEX($FO$325:$IH$396,HW$169,SwaptionMonthsToGo+SwaptionShift))))))</f>
        <v/>
      </c>
      <c r="HX206" s="469" t="str">
        <f ca="1">IF(OR(HX$169&lt;SwaptionFirstMonthPosition+1,$FN206&lt;SwaptionFirstMonthPosition+1,HX$169&gt;SwaptionFirstMonthPosition+SwaptionNumOfMonths+1,$FN206&gt;SwaptionFirstMonthPosition+SwaptionNumOfMonths+1),"",IF($FN206=HX$169,1,IF($FN206&lt;HX$169,INDEX($FO$170:$IH$241,HX$169,$FN206),SUMPRODUCT(INDEX($FO$325:$IH$396,HX$169,1+SwaptionShift):INDEX($FO$325:$IH$396,HX$169,SwaptionMonthsToGo+SwaptionShift),INDEX($FO$245:$IH$316,$FN206-HX$169,73-HX$169+SwaptionShift):INDEX($FO$245:$IH$316,$FN206-HX$169,72-HX$169+SwaptionMonthsToGo+SwaptionShift))/SQRT(SUM(INDEX($FO361:$IH361,1+SwaptionShift):INDEX($FO361:$IH361,SwaptionMonthsToGo+SwaptionShift))*SUM(INDEX($FO$325:$IH$396,HX$169,1+SwaptionShift):INDEX($FO$325:$IH$396,HX$169,SwaptionMonthsToGo+SwaptionShift))))))</f>
        <v/>
      </c>
      <c r="HY206" s="469" t="str">
        <f ca="1">IF(OR(HY$169&lt;SwaptionFirstMonthPosition+1,$FN206&lt;SwaptionFirstMonthPosition+1,HY$169&gt;SwaptionFirstMonthPosition+SwaptionNumOfMonths+1,$FN206&gt;SwaptionFirstMonthPosition+SwaptionNumOfMonths+1),"",IF($FN206=HY$169,1,IF($FN206&lt;HY$169,INDEX($FO$170:$IH$241,HY$169,$FN206),SUMPRODUCT(INDEX($FO$325:$IH$396,HY$169,1+SwaptionShift):INDEX($FO$325:$IH$396,HY$169,SwaptionMonthsToGo+SwaptionShift),INDEX($FO$245:$IH$316,$FN206-HY$169,73-HY$169+SwaptionShift):INDEX($FO$245:$IH$316,$FN206-HY$169,72-HY$169+SwaptionMonthsToGo+SwaptionShift))/SQRT(SUM(INDEX($FO361:$IH361,1+SwaptionShift):INDEX($FO361:$IH361,SwaptionMonthsToGo+SwaptionShift))*SUM(INDEX($FO$325:$IH$396,HY$169,1+SwaptionShift):INDEX($FO$325:$IH$396,HY$169,SwaptionMonthsToGo+SwaptionShift))))))</f>
        <v/>
      </c>
      <c r="HZ206" s="469" t="str">
        <f ca="1">IF(OR(HZ$169&lt;SwaptionFirstMonthPosition+1,$FN206&lt;SwaptionFirstMonthPosition+1,HZ$169&gt;SwaptionFirstMonthPosition+SwaptionNumOfMonths+1,$FN206&gt;SwaptionFirstMonthPosition+SwaptionNumOfMonths+1),"",IF($FN206=HZ$169,1,IF($FN206&lt;HZ$169,INDEX($FO$170:$IH$241,HZ$169,$FN206),SUMPRODUCT(INDEX($FO$325:$IH$396,HZ$169,1+SwaptionShift):INDEX($FO$325:$IH$396,HZ$169,SwaptionMonthsToGo+SwaptionShift),INDEX($FO$245:$IH$316,$FN206-HZ$169,73-HZ$169+SwaptionShift):INDEX($FO$245:$IH$316,$FN206-HZ$169,72-HZ$169+SwaptionMonthsToGo+SwaptionShift))/SQRT(SUM(INDEX($FO361:$IH361,1+SwaptionShift):INDEX($FO361:$IH361,SwaptionMonthsToGo+SwaptionShift))*SUM(INDEX($FO$325:$IH$396,HZ$169,1+SwaptionShift):INDEX($FO$325:$IH$396,HZ$169,SwaptionMonthsToGo+SwaptionShift))))))</f>
        <v/>
      </c>
      <c r="IA206" s="469" t="str">
        <f ca="1">IF(OR(IA$169&lt;SwaptionFirstMonthPosition+1,$FN206&lt;SwaptionFirstMonthPosition+1,IA$169&gt;SwaptionFirstMonthPosition+SwaptionNumOfMonths+1,$FN206&gt;SwaptionFirstMonthPosition+SwaptionNumOfMonths+1),"",IF($FN206=IA$169,1,IF($FN206&lt;IA$169,INDEX($FO$170:$IH$241,IA$169,$FN206),SUMPRODUCT(INDEX($FO$325:$IH$396,IA$169,1+SwaptionShift):INDEX($FO$325:$IH$396,IA$169,SwaptionMonthsToGo+SwaptionShift),INDEX($FO$245:$IH$316,$FN206-IA$169,73-IA$169+SwaptionShift):INDEX($FO$245:$IH$316,$FN206-IA$169,72-IA$169+SwaptionMonthsToGo+SwaptionShift))/SQRT(SUM(INDEX($FO361:$IH361,1+SwaptionShift):INDEX($FO361:$IH361,SwaptionMonthsToGo+SwaptionShift))*SUM(INDEX($FO$325:$IH$396,IA$169,1+SwaptionShift):INDEX($FO$325:$IH$396,IA$169,SwaptionMonthsToGo+SwaptionShift))))))</f>
        <v/>
      </c>
      <c r="IB206" s="469" t="str">
        <f ca="1">IF(OR(IB$169&lt;SwaptionFirstMonthPosition+1,$FN206&lt;SwaptionFirstMonthPosition+1,IB$169&gt;SwaptionFirstMonthPosition+SwaptionNumOfMonths+1,$FN206&gt;SwaptionFirstMonthPosition+SwaptionNumOfMonths+1),"",IF($FN206=IB$169,1,IF($FN206&lt;IB$169,INDEX($FO$170:$IH$241,IB$169,$FN206),SUMPRODUCT(INDEX($FO$325:$IH$396,IB$169,1+SwaptionShift):INDEX($FO$325:$IH$396,IB$169,SwaptionMonthsToGo+SwaptionShift),INDEX($FO$245:$IH$316,$FN206-IB$169,73-IB$169+SwaptionShift):INDEX($FO$245:$IH$316,$FN206-IB$169,72-IB$169+SwaptionMonthsToGo+SwaptionShift))/SQRT(SUM(INDEX($FO361:$IH361,1+SwaptionShift):INDEX($FO361:$IH361,SwaptionMonthsToGo+SwaptionShift))*SUM(INDEX($FO$325:$IH$396,IB$169,1+SwaptionShift):INDEX($FO$325:$IH$396,IB$169,SwaptionMonthsToGo+SwaptionShift))))))</f>
        <v/>
      </c>
      <c r="IC206" s="469" t="str">
        <f ca="1">IF(OR(IC$169&lt;SwaptionFirstMonthPosition+1,$FN206&lt;SwaptionFirstMonthPosition+1,IC$169&gt;SwaptionFirstMonthPosition+SwaptionNumOfMonths+1,$FN206&gt;SwaptionFirstMonthPosition+SwaptionNumOfMonths+1),"",IF($FN206=IC$169,1,IF($FN206&lt;IC$169,INDEX($FO$170:$IH$241,IC$169,$FN206),SUMPRODUCT(INDEX($FO$325:$IH$396,IC$169,1+SwaptionShift):INDEX($FO$325:$IH$396,IC$169,SwaptionMonthsToGo+SwaptionShift),INDEX($FO$245:$IH$316,$FN206-IC$169,73-IC$169+SwaptionShift):INDEX($FO$245:$IH$316,$FN206-IC$169,72-IC$169+SwaptionMonthsToGo+SwaptionShift))/SQRT(SUM(INDEX($FO361:$IH361,1+SwaptionShift):INDEX($FO361:$IH361,SwaptionMonthsToGo+SwaptionShift))*SUM(INDEX($FO$325:$IH$396,IC$169,1+SwaptionShift):INDEX($FO$325:$IH$396,IC$169,SwaptionMonthsToGo+SwaptionShift))))))</f>
        <v/>
      </c>
      <c r="ID206" s="469" t="str">
        <f ca="1">IF(OR(ID$169&lt;SwaptionFirstMonthPosition+1,$FN206&lt;SwaptionFirstMonthPosition+1,ID$169&gt;SwaptionFirstMonthPosition+SwaptionNumOfMonths+1,$FN206&gt;SwaptionFirstMonthPosition+SwaptionNumOfMonths+1),"",IF($FN206=ID$169,1,IF($FN206&lt;ID$169,INDEX($FO$170:$IH$241,ID$169,$FN206),SUMPRODUCT(INDEX($FO$325:$IH$396,ID$169,1+SwaptionShift):INDEX($FO$325:$IH$396,ID$169,SwaptionMonthsToGo+SwaptionShift),INDEX($FO$245:$IH$316,$FN206-ID$169,73-ID$169+SwaptionShift):INDEX($FO$245:$IH$316,$FN206-ID$169,72-ID$169+SwaptionMonthsToGo+SwaptionShift))/SQRT(SUM(INDEX($FO361:$IH361,1+SwaptionShift):INDEX($FO361:$IH361,SwaptionMonthsToGo+SwaptionShift))*SUM(INDEX($FO$325:$IH$396,ID$169,1+SwaptionShift):INDEX($FO$325:$IH$396,ID$169,SwaptionMonthsToGo+SwaptionShift))))))</f>
        <v/>
      </c>
      <c r="IE206" s="469" t="str">
        <f ca="1">IF(OR(IE$169&lt;SwaptionFirstMonthPosition+1,$FN206&lt;SwaptionFirstMonthPosition+1,IE$169&gt;SwaptionFirstMonthPosition+SwaptionNumOfMonths+1,$FN206&gt;SwaptionFirstMonthPosition+SwaptionNumOfMonths+1),"",IF($FN206=IE$169,1,IF($FN206&lt;IE$169,INDEX($FO$170:$IH$241,IE$169,$FN206),SUMPRODUCT(INDEX($FO$325:$IH$396,IE$169,1+SwaptionShift):INDEX($FO$325:$IH$396,IE$169,SwaptionMonthsToGo+SwaptionShift),INDEX($FO$245:$IH$316,$FN206-IE$169,73-IE$169+SwaptionShift):INDEX($FO$245:$IH$316,$FN206-IE$169,72-IE$169+SwaptionMonthsToGo+SwaptionShift))/SQRT(SUM(INDEX($FO361:$IH361,1+SwaptionShift):INDEX($FO361:$IH361,SwaptionMonthsToGo+SwaptionShift))*SUM(INDEX($FO$325:$IH$396,IE$169,1+SwaptionShift):INDEX($FO$325:$IH$396,IE$169,SwaptionMonthsToGo+SwaptionShift))))))</f>
        <v/>
      </c>
      <c r="IF206" s="469" t="str">
        <f ca="1">IF(OR(IF$169&lt;SwaptionFirstMonthPosition+1,$FN206&lt;SwaptionFirstMonthPosition+1,IF$169&gt;SwaptionFirstMonthPosition+SwaptionNumOfMonths+1,$FN206&gt;SwaptionFirstMonthPosition+SwaptionNumOfMonths+1),"",IF($FN206=IF$169,1,IF($FN206&lt;IF$169,INDEX($FO$170:$IH$241,IF$169,$FN206),SUMPRODUCT(INDEX($FO$325:$IH$396,IF$169,1+SwaptionShift):INDEX($FO$325:$IH$396,IF$169,SwaptionMonthsToGo+SwaptionShift),INDEX($FO$245:$IH$316,$FN206-IF$169,73-IF$169+SwaptionShift):INDEX($FO$245:$IH$316,$FN206-IF$169,72-IF$169+SwaptionMonthsToGo+SwaptionShift))/SQRT(SUM(INDEX($FO361:$IH361,1+SwaptionShift):INDEX($FO361:$IH361,SwaptionMonthsToGo+SwaptionShift))*SUM(INDEX($FO$325:$IH$396,IF$169,1+SwaptionShift):INDEX($FO$325:$IH$396,IF$169,SwaptionMonthsToGo+SwaptionShift))))))</f>
        <v/>
      </c>
      <c r="IG206" s="469" t="str">
        <f ca="1">IF(OR(IG$169&lt;SwaptionFirstMonthPosition+1,$FN206&lt;SwaptionFirstMonthPosition+1,IG$169&gt;SwaptionFirstMonthPosition+SwaptionNumOfMonths+1,$FN206&gt;SwaptionFirstMonthPosition+SwaptionNumOfMonths+1),"",IF($FN206=IG$169,1,IF($FN206&lt;IG$169,INDEX($FO$170:$IH$241,IG$169,$FN206),SUMPRODUCT(INDEX($FO$325:$IH$396,IG$169,1+SwaptionShift):INDEX($FO$325:$IH$396,IG$169,SwaptionMonthsToGo+SwaptionShift),INDEX($FO$245:$IH$316,$FN206-IG$169,73-IG$169+SwaptionShift):INDEX($FO$245:$IH$316,$FN206-IG$169,72-IG$169+SwaptionMonthsToGo+SwaptionShift))/SQRT(SUM(INDEX($FO361:$IH361,1+SwaptionShift):INDEX($FO361:$IH361,SwaptionMonthsToGo+SwaptionShift))*SUM(INDEX($FO$325:$IH$396,IG$169,1+SwaptionShift):INDEX($FO$325:$IH$396,IG$169,SwaptionMonthsToGo+SwaptionShift))))))</f>
        <v/>
      </c>
      <c r="IH206" s="662" t="str">
        <f ca="1">IF(OR(IH$169&lt;SwaptionFirstMonthPosition+1,$FN206&lt;SwaptionFirstMonthPosition+1,IH$169&gt;SwaptionFirstMonthPosition+SwaptionNumOfMonths+1,$FN206&gt;SwaptionFirstMonthPosition+SwaptionNumOfMonths+1),"",IF($FN206=IH$169,1,IF($FN206&lt;IH$169,INDEX($FO$170:$IH$241,IH$169,$FN206),SUMPRODUCT(INDEX($FO$325:$IH$396,IH$169,1+SwaptionShift):INDEX($FO$325:$IH$396,IH$169,SwaptionMonthsToGo+SwaptionShift),INDEX($FO$245:$IH$316,$FN206-IH$169,73-IH$169+SwaptionShift):INDEX($FO$245:$IH$316,$FN206-IH$169,72-IH$169+SwaptionMonthsToGo+SwaptionShift))/SQRT(SUM(INDEX($FO361:$IH361,1+SwaptionShift):INDEX($FO361:$IH361,SwaptionMonthsToGo+SwaptionShift))*SUM(INDEX($FO$325:$IH$396,IH$169,1+SwaptionShift):INDEX($FO$325:$IH$396,IH$169,SwaptionMonthsToGo+SwaptionShift))))))</f>
        <v/>
      </c>
      <c r="II206" s="242"/>
    </row>
    <row r="207" spans="8:243">
      <c r="H207" s="49" t="e">
        <f t="shared" ca="1" si="529"/>
        <v>#N/A</v>
      </c>
      <c r="I207" s="369">
        <f t="shared" si="530"/>
        <v>42705</v>
      </c>
      <c r="J207" s="367">
        <v>24.059999999999899</v>
      </c>
      <c r="K207" s="101" t="s">
        <v>267</v>
      </c>
      <c r="L207" s="382">
        <f t="shared" si="531"/>
        <v>24.059999999999864</v>
      </c>
      <c r="M207" s="163">
        <v>0.1363</v>
      </c>
      <c r="N207" s="372">
        <v>0</v>
      </c>
      <c r="O207" s="163">
        <f t="shared" si="595"/>
        <v>0.1363</v>
      </c>
      <c r="P207" s="367">
        <v>22.822146445462799</v>
      </c>
      <c r="Q207" s="101" t="s">
        <v>267</v>
      </c>
      <c r="R207" s="367">
        <f t="shared" ca="1" si="596"/>
        <v>22.822146445462781</v>
      </c>
      <c r="S207" s="814">
        <f t="shared" si="594"/>
        <v>0.34771109758969249</v>
      </c>
      <c r="T207" s="813">
        <f t="shared" si="550"/>
        <v>0.99999999978333665</v>
      </c>
      <c r="U207" s="532">
        <f t="shared" si="551"/>
        <v>0.99999999999999978</v>
      </c>
      <c r="V207" s="379">
        <v>0</v>
      </c>
      <c r="W207" s="424">
        <f t="shared" si="597"/>
        <v>24.094090909090813</v>
      </c>
      <c r="X207" s="405">
        <f t="shared" si="598"/>
        <v>24.09409090909077</v>
      </c>
      <c r="Y207" s="313">
        <f t="shared" si="599"/>
        <v>22.852490909090811</v>
      </c>
      <c r="Z207" s="313">
        <f t="shared" ca="1" si="600"/>
        <v>22.852490909090768</v>
      </c>
      <c r="AA207" s="419">
        <f t="shared" si="493"/>
        <v>1.2416</v>
      </c>
      <c r="AB207" s="423">
        <f t="shared" ca="1" si="494"/>
        <v>1.2416</v>
      </c>
      <c r="AC207" s="221">
        <v>42694</v>
      </c>
      <c r="AD207" s="221">
        <v>42690</v>
      </c>
      <c r="AE207" s="221">
        <v>42689</v>
      </c>
      <c r="AF207" s="221">
        <v>42685</v>
      </c>
      <c r="AG207" s="241" t="s">
        <v>497</v>
      </c>
      <c r="AH207" s="239" t="s">
        <v>497</v>
      </c>
      <c r="AI207" s="141">
        <v>22</v>
      </c>
      <c r="AJ207" s="41">
        <v>14</v>
      </c>
      <c r="AK207" s="41">
        <v>8</v>
      </c>
      <c r="AL207" s="285">
        <v>22</v>
      </c>
      <c r="AM207" s="41">
        <v>10</v>
      </c>
      <c r="AN207" s="142">
        <v>12</v>
      </c>
      <c r="AO207" s="364">
        <v>6.2304326090507602E-2</v>
      </c>
      <c r="AP207" s="145">
        <f t="shared" ca="1" si="532"/>
        <v>0.38097279540778733</v>
      </c>
      <c r="AQ207" s="364">
        <v>5.7102693623263305E-2</v>
      </c>
      <c r="AR207" s="145">
        <f t="shared" ca="1" si="552"/>
        <v>0.4153449412097121</v>
      </c>
      <c r="AS207" s="264">
        <f t="shared" si="601"/>
        <v>0.13575454545454546</v>
      </c>
      <c r="AT207" s="149">
        <f t="shared" si="533"/>
        <v>0.1363</v>
      </c>
      <c r="AU207" s="149">
        <f t="shared" si="496"/>
        <v>0.13568181818181821</v>
      </c>
      <c r="AV207" s="263">
        <f t="shared" ca="1" si="560"/>
        <v>0.13423166811588225</v>
      </c>
      <c r="AW207" s="150" t="str">
        <f t="shared" ca="1" si="581"/>
        <v/>
      </c>
      <c r="AX207" s="149">
        <f t="shared" ca="1" si="553"/>
        <v>4.6382582830719193E-3</v>
      </c>
      <c r="AY207" s="149">
        <f t="shared" ca="1" si="554"/>
        <v>1.5204191948547433E-3</v>
      </c>
      <c r="AZ207" s="149">
        <f t="shared" ca="1" si="555"/>
        <v>1.6703990283145999E-3</v>
      </c>
      <c r="BA207" s="149">
        <f t="shared" ca="1" si="556"/>
        <v>1.0000000000000957E-4</v>
      </c>
      <c r="BB207" s="149">
        <f t="shared" ca="1" si="557"/>
        <v>1.0000000000000957E-4</v>
      </c>
      <c r="BC207" s="149">
        <f t="shared" ca="1" si="558"/>
        <v>1.0000000000000957E-4</v>
      </c>
      <c r="BD207" s="143">
        <f t="shared" ca="1" si="602"/>
        <v>0</v>
      </c>
      <c r="BE207" s="144">
        <f t="shared" ca="1" si="603"/>
        <v>0</v>
      </c>
      <c r="BF207" s="40">
        <f t="shared" si="604"/>
        <v>2016</v>
      </c>
      <c r="BG207" s="139">
        <f t="shared" si="605"/>
        <v>12</v>
      </c>
      <c r="BH207" s="140">
        <f t="shared" ca="1" si="606"/>
        <v>5700</v>
      </c>
      <c r="BI207" s="304">
        <f t="shared" ca="1" si="607"/>
        <v>15.646817248459959</v>
      </c>
      <c r="BJ207" s="42">
        <f t="shared" ca="1" si="503"/>
        <v>15.699085308941573</v>
      </c>
      <c r="BK207" s="42">
        <f t="shared" ca="1" si="504"/>
        <v>15.701823159728706</v>
      </c>
      <c r="BL207" s="42">
        <f t="shared" ca="1" si="608"/>
        <v>15.728952772073923</v>
      </c>
      <c r="BM207" s="285">
        <f t="shared" si="609"/>
        <v>22</v>
      </c>
      <c r="BN207" s="41">
        <f t="shared" si="610"/>
        <v>14</v>
      </c>
      <c r="BO207" s="41">
        <f t="shared" si="611"/>
        <v>8</v>
      </c>
      <c r="BP207" s="297" t="str">
        <f t="shared" ca="1" si="505"/>
        <v/>
      </c>
      <c r="BQ207" s="297" t="str">
        <f t="shared" ca="1" si="506"/>
        <v/>
      </c>
      <c r="BR207" s="299" t="str">
        <f t="shared" ca="1" si="507"/>
        <v/>
      </c>
      <c r="BS207" s="153" t="str">
        <f t="shared" ca="1" si="508"/>
        <v/>
      </c>
      <c r="BT207" s="153" t="str">
        <f t="shared" ca="1" si="509"/>
        <v/>
      </c>
      <c r="BU207" s="300" t="str">
        <f t="shared" ca="1" si="510"/>
        <v/>
      </c>
      <c r="BV207" s="301" t="str">
        <f t="shared" ca="1" si="511"/>
        <v/>
      </c>
      <c r="BW207" s="300" t="str">
        <f t="shared" ca="1" si="512"/>
        <v/>
      </c>
      <c r="BX207" s="301" t="str">
        <f t="shared" ca="1" si="513"/>
        <v/>
      </c>
      <c r="BY207" s="146" t="str">
        <f t="shared" ca="1" si="514"/>
        <v/>
      </c>
      <c r="BZ207" s="146" t="str">
        <f t="shared" ca="1" si="515"/>
        <v/>
      </c>
      <c r="CA207" s="146" t="str">
        <f t="shared" ca="1" si="516"/>
        <v/>
      </c>
      <c r="CB207" s="146" t="str">
        <f t="shared" ca="1" si="517"/>
        <v/>
      </c>
      <c r="CC207" s="302">
        <v>1</v>
      </c>
      <c r="CD207" s="154">
        <f ca="1">IF(BD207,_xll.xCrudeAPO(BS207,BT207,BY207,BZ207,S208,S209,BI207,BL207,BN207,BO207,0,Strike1,AO207,CC207,0,BL207,IF(OptControl=4,0,1),0,1),0)</f>
        <v>0</v>
      </c>
      <c r="CE207" s="155">
        <f ca="1">IF(BD207,_xll.xCrudeAPO(BS207,BT207,BY207,BZ207,S208,S209,BI207,BL207,BN207,BO207,0,Strike1,AO207,CC207,0,BL207,IF(OptControl=4,0,1),1,1)+_xll.xCrudeAPO(BS207,BT207,BY207,BZ207,S208,S209,BI207,BL207,BN207,BO207,0,Strike1,AO207,CC207,0,BL207,IF(OptControl=4,0,1),1,2)+IF(OR(VolSkewFlag=2,ABS(BQ207)&lt;0.0001),0,IF(BQ207&gt;0,-1,1)*CF207*Strike1/BP207^2*BW207/10%),0)</f>
        <v>0</v>
      </c>
      <c r="CF207" s="155">
        <f ca="1">IF(BD207,(_xll.xCrudeAPO(BS207,BT207,BY207,BZ207,S208,S209,BI207,BL207,BN207,BO207,0,Strike1,AO207,CC207,0,BL207,IF(OptControl=4,0,1),3,1)+_xll.xCrudeAPO(BS207,BT207,BY207,BZ207,S208,S209,BI207,BL207,BN207,BO207,0,Strike1,AO207,CC207,0,BL207,IF(OptControl=4,0,1),3,2))/100,0)</f>
        <v>0</v>
      </c>
      <c r="CG207" s="155">
        <f ca="1">IF(BD207,_xll.xCrudeAPO(BS207,BT207,BY207,BZ207,S208,S209,BI207-DaysForThetaCalculation/365.25,BL207-DaysForThetaCalculation/365.25,BN207,BO207,0,Strike1,AO207,CC207,0,BL207,IF(OptControl=4,0,1),0,1)-_xll.xCrudeAPO(BS207,BT207,BY207,BZ207,S208,S209,BI207,BL207,BN207,BO207,0,Strike1,AO207,CC207,0,BL207,IF(OptControl=4,0,1),0,1),0)</f>
        <v>0</v>
      </c>
      <c r="CH207" s="303">
        <f ca="1">IF(BD207,_xll.xCrudeAPO(BS207,BT207,CA207,CB207,S208,S209,BI207,BL207,BN207,BO207,0,Strike2,AO207,CC207,0,BL207,IF(OptControl=3,1,0),0,1),0)</f>
        <v>0</v>
      </c>
      <c r="CI207" s="155">
        <f ca="1">IF(BD207,_xll.xCrudeAPO(BS207,BT207,CA207,CB207,S208,S209,BI207,BL207,BN207,BO207,0,Strike2,AO207,CC207,0,BL207,IF(OptControl=3,1,0),1,1)+_xll.xCrudeAPO(BS207,BT207,CA207,CB207,S208,S209,BI207,BL207,BN207,BO207,0,Strike2,AO207,CC207,0,BL207,IF(OptControl=3,1,0),1,2)+IF(OR(VolSkewFlag=2,ABS(BR207)&lt;0.0001),0,IF(BR207&gt;0,-1,1)*CJ207*Strike2/BP207^2*BX207/10%),0)</f>
        <v>0</v>
      </c>
      <c r="CJ207" s="155">
        <f ca="1">IF(BD207,(_xll.xCrudeAPO(BS207,BT207,CA207,CB207,S208,S209,BI207,BL207,BN207,BO207,0,Strike2,AO207,CC207,0,BL207,IF(OptControl=3,1,0),3,1)+_xll.xCrudeAPO(BS207,BT207,CA207,CB207,S208,S209,BI207,BL207,BN207,BO207,0,Strike2,AO207,CC207,0,BL207,IF(OptControl=3,1,0),3,2))/100,0)</f>
        <v>0</v>
      </c>
      <c r="CK207" s="156">
        <f ca="1">IF(BD207,_xll.xCrudeAPO(BS207,BT207,CA207,CB207,S208,S209,BI207-DaysForThetaCalculation/365.25,BL207-DaysForThetaCalculation/365.25,BN207,BO207,0,Strike2,AO207,CC207,0,BL207,IF(OptControl=3,1,0),0,1)-_xll.xCrudeAPO(BS207,BT207,CA207,CB207,S208,S209,BI207,BL207,BN207,BO207,0,Strike2,AO207,CC207,0,BL207,IF(OptControl=3,1,0),0,1),0)</f>
        <v>0</v>
      </c>
      <c r="CL207" s="51"/>
      <c r="CM207" s="779" t="str">
        <f t="shared" ca="1" si="534"/>
        <v/>
      </c>
      <c r="CN207" s="783" t="str">
        <f t="shared" ca="1" si="535"/>
        <v/>
      </c>
      <c r="CO207" s="780" t="str">
        <f t="shared" ca="1" si="536"/>
        <v/>
      </c>
      <c r="CP207" s="780" t="str">
        <f t="shared" ca="1" si="537"/>
        <v/>
      </c>
      <c r="CQ207" s="780" t="str">
        <f t="shared" ca="1" si="538"/>
        <v/>
      </c>
      <c r="CR207" s="780" t="str">
        <f t="shared" ca="1" si="539"/>
        <v/>
      </c>
      <c r="CS207" s="781" t="str">
        <f t="shared" ca="1" si="540"/>
        <v/>
      </c>
      <c r="CT207" s="782" t="str">
        <f t="shared" ca="1" si="541"/>
        <v/>
      </c>
      <c r="CU207" s="782" t="str">
        <f t="shared" ca="1" si="542"/>
        <v/>
      </c>
      <c r="CV207" s="155">
        <f ca="1">IF(BD207,_xll.EURO(CN207,Strike1,AO207,AO207,CT207,CM207,IF(OptControl=4,0,1),0),0)</f>
        <v>0</v>
      </c>
      <c r="CW207" s="155">
        <f ca="1">IF(BD207,_xll.EURO(CN207,Strike1,AO207,AO207,CT207,CM207,IF(OptControl=4,0,1),1)+IF(OR(VolSkewFlag=2,ABS(CO207)&lt;0.0001),0,IF(CO207&gt;0,-1,1)*CX207*100*Strike1/CN207^2*CQ207/10%),0)</f>
        <v>0</v>
      </c>
      <c r="CX207" s="155">
        <f ca="1">IF(BD207,_xll.EURO(CN207,Strike1,AO207,AO207,CT207,CM207,IF(OptControl=4,0,1),3)/100,0)</f>
        <v>0</v>
      </c>
      <c r="CY207" s="155">
        <f ca="1">IF(BD207,_xll.EURO(CN207,Strike1,AO207,AO207,CT207,CM207,IF(OptControl=4,0,1),0)-_xll.EURO(CN207,Strike1,AO207,AO207,CT207,CM207-1,IF(OptControl=4,0,1),0),0)</f>
        <v>0</v>
      </c>
      <c r="CZ207" s="155">
        <f ca="1">IF(BD207,_xll.EURO(CN207,Strike2,AO207,AO207,CU207,CM207,IF(OptControl=3,1,0),0),0)</f>
        <v>0</v>
      </c>
      <c r="DA207" s="155">
        <f ca="1">IF(BD207,_xll.EURO(CN207,Strike2,AO207,AO207,CU207,CM207,IF(OptControl=3,1,0),1)+IF(OR(VolSkewFlag=2,ABS(CP207)&lt;0.0001),0,IF(CP207&gt;0,-1,1)*DB207*100*Strike2/CN207^2*CR207/10%),0)</f>
        <v>0</v>
      </c>
      <c r="DB207" s="155">
        <f ca="1">IF(BD207,_xll.EURO(CN207,Strike2,AO207,AO207,CU207,CM207,IF(OptControl=3,1,0),3)/100,0)</f>
        <v>0</v>
      </c>
      <c r="DC207" s="156">
        <f ca="1">IF(BD207,_xll.EURO(CN207,Strike2,AO207,AO207,CU207,CM207,IF(OptControl=3,1,0),0)-_xll.EURO(CN207,Strike2,AO207,AO207,CU207,CM207-1,IF(OptControl=3,1,0),0),0)</f>
        <v>0</v>
      </c>
      <c r="DE207" s="651">
        <f t="shared" ca="1" si="543"/>
        <v>42614</v>
      </c>
      <c r="DF207" s="465">
        <v>1E-4</v>
      </c>
      <c r="DG207" s="649">
        <v>1E-4</v>
      </c>
      <c r="DH207" s="650">
        <f t="shared" ca="1" si="612"/>
        <v>42614</v>
      </c>
      <c r="DI207" s="465">
        <v>1E-4</v>
      </c>
      <c r="DJ207" s="649">
        <v>1E-4</v>
      </c>
      <c r="DK207" s="651">
        <f t="shared" ca="1" si="613"/>
        <v>42614</v>
      </c>
      <c r="DL207" s="652">
        <f t="shared" si="614"/>
        <v>5.0100000000000006E-2</v>
      </c>
      <c r="DM207" s="651">
        <f t="shared" ca="1" si="615"/>
        <v>42614</v>
      </c>
      <c r="DN207" s="563">
        <f t="shared" si="616"/>
        <v>-0.12990000000000002</v>
      </c>
      <c r="DO207" s="803">
        <v>-0.13</v>
      </c>
      <c r="DP207" s="650">
        <f t="shared" ca="1" si="617"/>
        <v>42614</v>
      </c>
      <c r="DQ207" s="653">
        <v>1E-4</v>
      </c>
      <c r="DR207" s="590">
        <v>1E-4</v>
      </c>
      <c r="DS207" s="650">
        <f t="shared" ca="1" si="618"/>
        <v>42614</v>
      </c>
      <c r="DT207" s="653">
        <v>1E-4</v>
      </c>
      <c r="DU207" s="590">
        <v>1E-4</v>
      </c>
      <c r="DV207" s="651">
        <f t="shared" ca="1" si="619"/>
        <v>42614</v>
      </c>
      <c r="DW207" s="590">
        <v>1E-4</v>
      </c>
      <c r="DX207" s="651">
        <f t="shared" ca="1" si="620"/>
        <v>42614</v>
      </c>
      <c r="DY207" s="590">
        <f t="shared" si="621"/>
        <v>1E-4</v>
      </c>
      <c r="DZ207" s="1"/>
      <c r="EA207" s="857"/>
      <c r="EB207" s="857"/>
      <c r="EC207" s="857"/>
      <c r="ED207" s="868" t="e">
        <f t="shared" ca="1" si="566"/>
        <v>#NAME?</v>
      </c>
      <c r="EE207" s="863" t="e">
        <f t="shared" ca="1" si="524"/>
        <v>#NAME?</v>
      </c>
      <c r="EF207" s="590" t="e">
        <f t="shared" ca="1" si="525"/>
        <v>#NAME?</v>
      </c>
      <c r="EG207" s="862" t="str">
        <f t="shared" ca="1" si="622"/>
        <v/>
      </c>
      <c r="EH207" s="114" t="str">
        <f t="shared" ca="1" si="527"/>
        <v/>
      </c>
      <c r="EI207" s="109" t="str">
        <f t="shared" ca="1" si="528"/>
        <v/>
      </c>
      <c r="EJ207" s="115">
        <f ca="1">IF(BD207,_xll.xASN(BP207,Strike1,AO207,EH207,0,BM207,0,BI207,BL207,IF(OptControl=4,0,1),0),0)</f>
        <v>0</v>
      </c>
      <c r="EK207" s="108">
        <f ca="1">IF(BD207,_xll.xASN(BP207,Strike2,AO207,EI207,0,BM207,0,BI207,BL207,IF(OptControl=3,1,0),0),0)</f>
        <v>0</v>
      </c>
      <c r="EP207" s="53"/>
      <c r="EQ207" s="1"/>
      <c r="ER207" s="103"/>
      <c r="ES207" s="103"/>
      <c r="ET207" s="1"/>
      <c r="EU207" s="667" t="s">
        <v>420</v>
      </c>
      <c r="EW207" s="445"/>
      <c r="EX207" s="36"/>
      <c r="EY207" s="104"/>
      <c r="EZ207" s="465"/>
      <c r="FA207" s="446"/>
      <c r="FB207" s="446"/>
      <c r="FC207" s="242"/>
      <c r="FD207" s="242"/>
      <c r="FE207" s="242"/>
      <c r="FF207" s="242"/>
      <c r="FG207" s="242"/>
      <c r="FH207" s="242"/>
      <c r="FI207" s="242"/>
      <c r="FJ207" s="242"/>
      <c r="FK207" s="242"/>
      <c r="FL207" s="242"/>
      <c r="FM207" s="242"/>
      <c r="FN207" s="657">
        <v>38</v>
      </c>
      <c r="FO207" s="469" t="str">
        <f ca="1">IF(OR(FO$169&lt;SwaptionFirstMonthPosition+1,$FN207&lt;SwaptionFirstMonthPosition+1,FO$169&gt;SwaptionFirstMonthPosition+SwaptionNumOfMonths+1,$FN207&gt;SwaptionFirstMonthPosition+SwaptionNumOfMonths+1),"",IF($FN207=FO$169,1,IF($FN207&lt;FO$169,INDEX($FO$170:$IH$241,FO$169,$FN207),SUMPRODUCT(INDEX($FO$325:$IH$396,FO$169,1+SwaptionShift):INDEX($FO$325:$IH$396,FO$169,SwaptionMonthsToGo+SwaptionShift),INDEX($FO$245:$IH$316,$FN207-FO$169,73-FO$169+SwaptionShift):INDEX($FO$245:$IH$316,$FN207-FO$169,72-FO$169+SwaptionMonthsToGo+SwaptionShift))/SQRT(SUM(INDEX($FO362:$IH362,1+SwaptionShift):INDEX($FO362:$IH362,SwaptionMonthsToGo+SwaptionShift))*SUM(INDEX($FO$325:$IH$396,FO$169,1+SwaptionShift):INDEX($FO$325:$IH$396,FO$169,SwaptionMonthsToGo+SwaptionShift))))))</f>
        <v/>
      </c>
      <c r="FP207" s="469" t="str">
        <f ca="1">IF(OR(FP$169&lt;SwaptionFirstMonthPosition+1,$FN207&lt;SwaptionFirstMonthPosition+1,FP$169&gt;SwaptionFirstMonthPosition+SwaptionNumOfMonths+1,$FN207&gt;SwaptionFirstMonthPosition+SwaptionNumOfMonths+1),"",IF($FN207=FP$169,1,IF($FN207&lt;FP$169,INDEX($FO$170:$IH$241,FP$169,$FN207),SUMPRODUCT(INDEX($FO$325:$IH$396,FP$169,1+SwaptionShift):INDEX($FO$325:$IH$396,FP$169,SwaptionMonthsToGo+SwaptionShift),INDEX($FO$245:$IH$316,$FN207-FP$169,73-FP$169+SwaptionShift):INDEX($FO$245:$IH$316,$FN207-FP$169,72-FP$169+SwaptionMonthsToGo+SwaptionShift))/SQRT(SUM(INDEX($FO362:$IH362,1+SwaptionShift):INDEX($FO362:$IH362,SwaptionMonthsToGo+SwaptionShift))*SUM(INDEX($FO$325:$IH$396,FP$169,1+SwaptionShift):INDEX($FO$325:$IH$396,FP$169,SwaptionMonthsToGo+SwaptionShift))))))</f>
        <v/>
      </c>
      <c r="FQ207" s="469" t="str">
        <f ca="1">IF(OR(FQ$169&lt;SwaptionFirstMonthPosition+1,$FN207&lt;SwaptionFirstMonthPosition+1,FQ$169&gt;SwaptionFirstMonthPosition+SwaptionNumOfMonths+1,$FN207&gt;SwaptionFirstMonthPosition+SwaptionNumOfMonths+1),"",IF($FN207=FQ$169,1,IF($FN207&lt;FQ$169,INDEX($FO$170:$IH$241,FQ$169,$FN207),SUMPRODUCT(INDEX($FO$325:$IH$396,FQ$169,1+SwaptionShift):INDEX($FO$325:$IH$396,FQ$169,SwaptionMonthsToGo+SwaptionShift),INDEX($FO$245:$IH$316,$FN207-FQ$169,73-FQ$169+SwaptionShift):INDEX($FO$245:$IH$316,$FN207-FQ$169,72-FQ$169+SwaptionMonthsToGo+SwaptionShift))/SQRT(SUM(INDEX($FO362:$IH362,1+SwaptionShift):INDEX($FO362:$IH362,SwaptionMonthsToGo+SwaptionShift))*SUM(INDEX($FO$325:$IH$396,FQ$169,1+SwaptionShift):INDEX($FO$325:$IH$396,FQ$169,SwaptionMonthsToGo+SwaptionShift))))))</f>
        <v/>
      </c>
      <c r="FR207" s="469" t="str">
        <f ca="1">IF(OR(FR$169&lt;SwaptionFirstMonthPosition+1,$FN207&lt;SwaptionFirstMonthPosition+1,FR$169&gt;SwaptionFirstMonthPosition+SwaptionNumOfMonths+1,$FN207&gt;SwaptionFirstMonthPosition+SwaptionNumOfMonths+1),"",IF($FN207=FR$169,1,IF($FN207&lt;FR$169,INDEX($FO$170:$IH$241,FR$169,$FN207),SUMPRODUCT(INDEX($FO$325:$IH$396,FR$169,1+SwaptionShift):INDEX($FO$325:$IH$396,FR$169,SwaptionMonthsToGo+SwaptionShift),INDEX($FO$245:$IH$316,$FN207-FR$169,73-FR$169+SwaptionShift):INDEX($FO$245:$IH$316,$FN207-FR$169,72-FR$169+SwaptionMonthsToGo+SwaptionShift))/SQRT(SUM(INDEX($FO362:$IH362,1+SwaptionShift):INDEX($FO362:$IH362,SwaptionMonthsToGo+SwaptionShift))*SUM(INDEX($FO$325:$IH$396,FR$169,1+SwaptionShift):INDEX($FO$325:$IH$396,FR$169,SwaptionMonthsToGo+SwaptionShift))))))</f>
        <v/>
      </c>
      <c r="FS207" s="469" t="str">
        <f ca="1">IF(OR(FS$169&lt;SwaptionFirstMonthPosition+1,$FN207&lt;SwaptionFirstMonthPosition+1,FS$169&gt;SwaptionFirstMonthPosition+SwaptionNumOfMonths+1,$FN207&gt;SwaptionFirstMonthPosition+SwaptionNumOfMonths+1),"",IF($FN207=FS$169,1,IF($FN207&lt;FS$169,INDEX($FO$170:$IH$241,FS$169,$FN207),SUMPRODUCT(INDEX($FO$325:$IH$396,FS$169,1+SwaptionShift):INDEX($FO$325:$IH$396,FS$169,SwaptionMonthsToGo+SwaptionShift),INDEX($FO$245:$IH$316,$FN207-FS$169,73-FS$169+SwaptionShift):INDEX($FO$245:$IH$316,$FN207-FS$169,72-FS$169+SwaptionMonthsToGo+SwaptionShift))/SQRT(SUM(INDEX($FO362:$IH362,1+SwaptionShift):INDEX($FO362:$IH362,SwaptionMonthsToGo+SwaptionShift))*SUM(INDEX($FO$325:$IH$396,FS$169,1+SwaptionShift):INDEX($FO$325:$IH$396,FS$169,SwaptionMonthsToGo+SwaptionShift))))))</f>
        <v/>
      </c>
      <c r="FT207" s="469" t="str">
        <f ca="1">IF(OR(FT$169&lt;SwaptionFirstMonthPosition+1,$FN207&lt;SwaptionFirstMonthPosition+1,FT$169&gt;SwaptionFirstMonthPosition+SwaptionNumOfMonths+1,$FN207&gt;SwaptionFirstMonthPosition+SwaptionNumOfMonths+1),"",IF($FN207=FT$169,1,IF($FN207&lt;FT$169,INDEX($FO$170:$IH$241,FT$169,$FN207),SUMPRODUCT(INDEX($FO$325:$IH$396,FT$169,1+SwaptionShift):INDEX($FO$325:$IH$396,FT$169,SwaptionMonthsToGo+SwaptionShift),INDEX($FO$245:$IH$316,$FN207-FT$169,73-FT$169+SwaptionShift):INDEX($FO$245:$IH$316,$FN207-FT$169,72-FT$169+SwaptionMonthsToGo+SwaptionShift))/SQRT(SUM(INDEX($FO362:$IH362,1+SwaptionShift):INDEX($FO362:$IH362,SwaptionMonthsToGo+SwaptionShift))*SUM(INDEX($FO$325:$IH$396,FT$169,1+SwaptionShift):INDEX($FO$325:$IH$396,FT$169,SwaptionMonthsToGo+SwaptionShift))))))</f>
        <v/>
      </c>
      <c r="FU207" s="469" t="str">
        <f ca="1">IF(OR(FU$169&lt;SwaptionFirstMonthPosition+1,$FN207&lt;SwaptionFirstMonthPosition+1,FU$169&gt;SwaptionFirstMonthPosition+SwaptionNumOfMonths+1,$FN207&gt;SwaptionFirstMonthPosition+SwaptionNumOfMonths+1),"",IF($FN207=FU$169,1,IF($FN207&lt;FU$169,INDEX($FO$170:$IH$241,FU$169,$FN207),SUMPRODUCT(INDEX($FO$325:$IH$396,FU$169,1+SwaptionShift):INDEX($FO$325:$IH$396,FU$169,SwaptionMonthsToGo+SwaptionShift),INDEX($FO$245:$IH$316,$FN207-FU$169,73-FU$169+SwaptionShift):INDEX($FO$245:$IH$316,$FN207-FU$169,72-FU$169+SwaptionMonthsToGo+SwaptionShift))/SQRT(SUM(INDEX($FO362:$IH362,1+SwaptionShift):INDEX($FO362:$IH362,SwaptionMonthsToGo+SwaptionShift))*SUM(INDEX($FO$325:$IH$396,FU$169,1+SwaptionShift):INDEX($FO$325:$IH$396,FU$169,SwaptionMonthsToGo+SwaptionShift))))))</f>
        <v/>
      </c>
      <c r="FV207" s="469" t="str">
        <f ca="1">IF(OR(FV$169&lt;SwaptionFirstMonthPosition+1,$FN207&lt;SwaptionFirstMonthPosition+1,FV$169&gt;SwaptionFirstMonthPosition+SwaptionNumOfMonths+1,$FN207&gt;SwaptionFirstMonthPosition+SwaptionNumOfMonths+1),"",IF($FN207=FV$169,1,IF($FN207&lt;FV$169,INDEX($FO$170:$IH$241,FV$169,$FN207),SUMPRODUCT(INDEX($FO$325:$IH$396,FV$169,1+SwaptionShift):INDEX($FO$325:$IH$396,FV$169,SwaptionMonthsToGo+SwaptionShift),INDEX($FO$245:$IH$316,$FN207-FV$169,73-FV$169+SwaptionShift):INDEX($FO$245:$IH$316,$FN207-FV$169,72-FV$169+SwaptionMonthsToGo+SwaptionShift))/SQRT(SUM(INDEX($FO362:$IH362,1+SwaptionShift):INDEX($FO362:$IH362,SwaptionMonthsToGo+SwaptionShift))*SUM(INDEX($FO$325:$IH$396,FV$169,1+SwaptionShift):INDEX($FO$325:$IH$396,FV$169,SwaptionMonthsToGo+SwaptionShift))))))</f>
        <v/>
      </c>
      <c r="FW207" s="469" t="str">
        <f ca="1">IF(OR(FW$169&lt;SwaptionFirstMonthPosition+1,$FN207&lt;SwaptionFirstMonthPosition+1,FW$169&gt;SwaptionFirstMonthPosition+SwaptionNumOfMonths+1,$FN207&gt;SwaptionFirstMonthPosition+SwaptionNumOfMonths+1),"",IF($FN207=FW$169,1,IF($FN207&lt;FW$169,INDEX($FO$170:$IH$241,FW$169,$FN207),SUMPRODUCT(INDEX($FO$325:$IH$396,FW$169,1+SwaptionShift):INDEX($FO$325:$IH$396,FW$169,SwaptionMonthsToGo+SwaptionShift),INDEX($FO$245:$IH$316,$FN207-FW$169,73-FW$169+SwaptionShift):INDEX($FO$245:$IH$316,$FN207-FW$169,72-FW$169+SwaptionMonthsToGo+SwaptionShift))/SQRT(SUM(INDEX($FO362:$IH362,1+SwaptionShift):INDEX($FO362:$IH362,SwaptionMonthsToGo+SwaptionShift))*SUM(INDEX($FO$325:$IH$396,FW$169,1+SwaptionShift):INDEX($FO$325:$IH$396,FW$169,SwaptionMonthsToGo+SwaptionShift))))))</f>
        <v/>
      </c>
      <c r="FX207" s="469" t="str">
        <f ca="1">IF(OR(FX$169&lt;SwaptionFirstMonthPosition+1,$FN207&lt;SwaptionFirstMonthPosition+1,FX$169&gt;SwaptionFirstMonthPosition+SwaptionNumOfMonths+1,$FN207&gt;SwaptionFirstMonthPosition+SwaptionNumOfMonths+1),"",IF($FN207=FX$169,1,IF($FN207&lt;FX$169,INDEX($FO$170:$IH$241,FX$169,$FN207),SUMPRODUCT(INDEX($FO$325:$IH$396,FX$169,1+SwaptionShift):INDEX($FO$325:$IH$396,FX$169,SwaptionMonthsToGo+SwaptionShift),INDEX($FO$245:$IH$316,$FN207-FX$169,73-FX$169+SwaptionShift):INDEX($FO$245:$IH$316,$FN207-FX$169,72-FX$169+SwaptionMonthsToGo+SwaptionShift))/SQRT(SUM(INDEX($FO362:$IH362,1+SwaptionShift):INDEX($FO362:$IH362,SwaptionMonthsToGo+SwaptionShift))*SUM(INDEX($FO$325:$IH$396,FX$169,1+SwaptionShift):INDEX($FO$325:$IH$396,FX$169,SwaptionMonthsToGo+SwaptionShift))))))</f>
        <v/>
      </c>
      <c r="FY207" s="469" t="str">
        <f ca="1">IF(OR(FY$169&lt;SwaptionFirstMonthPosition+1,$FN207&lt;SwaptionFirstMonthPosition+1,FY$169&gt;SwaptionFirstMonthPosition+SwaptionNumOfMonths+1,$FN207&gt;SwaptionFirstMonthPosition+SwaptionNumOfMonths+1),"",IF($FN207=FY$169,1,IF($FN207&lt;FY$169,INDEX($FO$170:$IH$241,FY$169,$FN207),SUMPRODUCT(INDEX($FO$325:$IH$396,FY$169,1+SwaptionShift):INDEX($FO$325:$IH$396,FY$169,SwaptionMonthsToGo+SwaptionShift),INDEX($FO$245:$IH$316,$FN207-FY$169,73-FY$169+SwaptionShift):INDEX($FO$245:$IH$316,$FN207-FY$169,72-FY$169+SwaptionMonthsToGo+SwaptionShift))/SQRT(SUM(INDEX($FO362:$IH362,1+SwaptionShift):INDEX($FO362:$IH362,SwaptionMonthsToGo+SwaptionShift))*SUM(INDEX($FO$325:$IH$396,FY$169,1+SwaptionShift):INDEX($FO$325:$IH$396,FY$169,SwaptionMonthsToGo+SwaptionShift))))))</f>
        <v/>
      </c>
      <c r="FZ207" s="469" t="str">
        <f ca="1">IF(OR(FZ$169&lt;SwaptionFirstMonthPosition+1,$FN207&lt;SwaptionFirstMonthPosition+1,FZ$169&gt;SwaptionFirstMonthPosition+SwaptionNumOfMonths+1,$FN207&gt;SwaptionFirstMonthPosition+SwaptionNumOfMonths+1),"",IF($FN207=FZ$169,1,IF($FN207&lt;FZ$169,INDEX($FO$170:$IH$241,FZ$169,$FN207),SUMPRODUCT(INDEX($FO$325:$IH$396,FZ$169,1+SwaptionShift):INDEX($FO$325:$IH$396,FZ$169,SwaptionMonthsToGo+SwaptionShift),INDEX($FO$245:$IH$316,$FN207-FZ$169,73-FZ$169+SwaptionShift):INDEX($FO$245:$IH$316,$FN207-FZ$169,72-FZ$169+SwaptionMonthsToGo+SwaptionShift))/SQRT(SUM(INDEX($FO362:$IH362,1+SwaptionShift):INDEX($FO362:$IH362,SwaptionMonthsToGo+SwaptionShift))*SUM(INDEX($FO$325:$IH$396,FZ$169,1+SwaptionShift):INDEX($FO$325:$IH$396,FZ$169,SwaptionMonthsToGo+SwaptionShift))))))</f>
        <v/>
      </c>
      <c r="GA207" s="469" t="str">
        <f ca="1">IF(OR(GA$169&lt;SwaptionFirstMonthPosition+1,$FN207&lt;SwaptionFirstMonthPosition+1,GA$169&gt;SwaptionFirstMonthPosition+SwaptionNumOfMonths+1,$FN207&gt;SwaptionFirstMonthPosition+SwaptionNumOfMonths+1),"",IF($FN207=GA$169,1,IF($FN207&lt;GA$169,INDEX($FO$170:$IH$241,GA$169,$FN207),SUMPRODUCT(INDEX($FO$325:$IH$396,GA$169,1+SwaptionShift):INDEX($FO$325:$IH$396,GA$169,SwaptionMonthsToGo+SwaptionShift),INDEX($FO$245:$IH$316,$FN207-GA$169,73-GA$169+SwaptionShift):INDEX($FO$245:$IH$316,$FN207-GA$169,72-GA$169+SwaptionMonthsToGo+SwaptionShift))/SQRT(SUM(INDEX($FO362:$IH362,1+SwaptionShift):INDEX($FO362:$IH362,SwaptionMonthsToGo+SwaptionShift))*SUM(INDEX($FO$325:$IH$396,GA$169,1+SwaptionShift):INDEX($FO$325:$IH$396,GA$169,SwaptionMonthsToGo+SwaptionShift))))))</f>
        <v/>
      </c>
      <c r="GB207" s="469" t="str">
        <f ca="1">IF(OR(GB$169&lt;SwaptionFirstMonthPosition+1,$FN207&lt;SwaptionFirstMonthPosition+1,GB$169&gt;SwaptionFirstMonthPosition+SwaptionNumOfMonths+1,$FN207&gt;SwaptionFirstMonthPosition+SwaptionNumOfMonths+1),"",IF($FN207=GB$169,1,IF($FN207&lt;GB$169,INDEX($FO$170:$IH$241,GB$169,$FN207),SUMPRODUCT(INDEX($FO$325:$IH$396,GB$169,1+SwaptionShift):INDEX($FO$325:$IH$396,GB$169,SwaptionMonthsToGo+SwaptionShift),INDEX($FO$245:$IH$316,$FN207-GB$169,73-GB$169+SwaptionShift):INDEX($FO$245:$IH$316,$FN207-GB$169,72-GB$169+SwaptionMonthsToGo+SwaptionShift))/SQRT(SUM(INDEX($FO362:$IH362,1+SwaptionShift):INDEX($FO362:$IH362,SwaptionMonthsToGo+SwaptionShift))*SUM(INDEX($FO$325:$IH$396,GB$169,1+SwaptionShift):INDEX($FO$325:$IH$396,GB$169,SwaptionMonthsToGo+SwaptionShift))))))</f>
        <v/>
      </c>
      <c r="GC207" s="469" t="str">
        <f ca="1">IF(OR(GC$169&lt;SwaptionFirstMonthPosition+1,$FN207&lt;SwaptionFirstMonthPosition+1,GC$169&gt;SwaptionFirstMonthPosition+SwaptionNumOfMonths+1,$FN207&gt;SwaptionFirstMonthPosition+SwaptionNumOfMonths+1),"",IF($FN207=GC$169,1,IF($FN207&lt;GC$169,INDEX($FO$170:$IH$241,GC$169,$FN207),SUMPRODUCT(INDEX($FO$325:$IH$396,GC$169,1+SwaptionShift):INDEX($FO$325:$IH$396,GC$169,SwaptionMonthsToGo+SwaptionShift),INDEX($FO$245:$IH$316,$FN207-GC$169,73-GC$169+SwaptionShift):INDEX($FO$245:$IH$316,$FN207-GC$169,72-GC$169+SwaptionMonthsToGo+SwaptionShift))/SQRT(SUM(INDEX($FO362:$IH362,1+SwaptionShift):INDEX($FO362:$IH362,SwaptionMonthsToGo+SwaptionShift))*SUM(INDEX($FO$325:$IH$396,GC$169,1+SwaptionShift):INDEX($FO$325:$IH$396,GC$169,SwaptionMonthsToGo+SwaptionShift))))))</f>
        <v/>
      </c>
      <c r="GD207" s="469" t="str">
        <f ca="1">IF(OR(GD$169&lt;SwaptionFirstMonthPosition+1,$FN207&lt;SwaptionFirstMonthPosition+1,GD$169&gt;SwaptionFirstMonthPosition+SwaptionNumOfMonths+1,$FN207&gt;SwaptionFirstMonthPosition+SwaptionNumOfMonths+1),"",IF($FN207=GD$169,1,IF($FN207&lt;GD$169,INDEX($FO$170:$IH$241,GD$169,$FN207),SUMPRODUCT(INDEX($FO$325:$IH$396,GD$169,1+SwaptionShift):INDEX($FO$325:$IH$396,GD$169,SwaptionMonthsToGo+SwaptionShift),INDEX($FO$245:$IH$316,$FN207-GD$169,73-GD$169+SwaptionShift):INDEX($FO$245:$IH$316,$FN207-GD$169,72-GD$169+SwaptionMonthsToGo+SwaptionShift))/SQRT(SUM(INDEX($FO362:$IH362,1+SwaptionShift):INDEX($FO362:$IH362,SwaptionMonthsToGo+SwaptionShift))*SUM(INDEX($FO$325:$IH$396,GD$169,1+SwaptionShift):INDEX($FO$325:$IH$396,GD$169,SwaptionMonthsToGo+SwaptionShift))))))</f>
        <v/>
      </c>
      <c r="GE207" s="469" t="str">
        <f ca="1">IF(OR(GE$169&lt;SwaptionFirstMonthPosition+1,$FN207&lt;SwaptionFirstMonthPosition+1,GE$169&gt;SwaptionFirstMonthPosition+SwaptionNumOfMonths+1,$FN207&gt;SwaptionFirstMonthPosition+SwaptionNumOfMonths+1),"",IF($FN207=GE$169,1,IF($FN207&lt;GE$169,INDEX($FO$170:$IH$241,GE$169,$FN207),SUMPRODUCT(INDEX($FO$325:$IH$396,GE$169,1+SwaptionShift):INDEX($FO$325:$IH$396,GE$169,SwaptionMonthsToGo+SwaptionShift),INDEX($FO$245:$IH$316,$FN207-GE$169,73-GE$169+SwaptionShift):INDEX($FO$245:$IH$316,$FN207-GE$169,72-GE$169+SwaptionMonthsToGo+SwaptionShift))/SQRT(SUM(INDEX($FO362:$IH362,1+SwaptionShift):INDEX($FO362:$IH362,SwaptionMonthsToGo+SwaptionShift))*SUM(INDEX($FO$325:$IH$396,GE$169,1+SwaptionShift):INDEX($FO$325:$IH$396,GE$169,SwaptionMonthsToGo+SwaptionShift))))))</f>
        <v/>
      </c>
      <c r="GF207" s="469" t="str">
        <f ca="1">IF(OR(GF$169&lt;SwaptionFirstMonthPosition+1,$FN207&lt;SwaptionFirstMonthPosition+1,GF$169&gt;SwaptionFirstMonthPosition+SwaptionNumOfMonths+1,$FN207&gt;SwaptionFirstMonthPosition+SwaptionNumOfMonths+1),"",IF($FN207=GF$169,1,IF($FN207&lt;GF$169,INDEX($FO$170:$IH$241,GF$169,$FN207),SUMPRODUCT(INDEX($FO$325:$IH$396,GF$169,1+SwaptionShift):INDEX($FO$325:$IH$396,GF$169,SwaptionMonthsToGo+SwaptionShift),INDEX($FO$245:$IH$316,$FN207-GF$169,73-GF$169+SwaptionShift):INDEX($FO$245:$IH$316,$FN207-GF$169,72-GF$169+SwaptionMonthsToGo+SwaptionShift))/SQRT(SUM(INDEX($FO362:$IH362,1+SwaptionShift):INDEX($FO362:$IH362,SwaptionMonthsToGo+SwaptionShift))*SUM(INDEX($FO$325:$IH$396,GF$169,1+SwaptionShift):INDEX($FO$325:$IH$396,GF$169,SwaptionMonthsToGo+SwaptionShift))))))</f>
        <v/>
      </c>
      <c r="GG207" s="469" t="str">
        <f ca="1">IF(OR(GG$169&lt;SwaptionFirstMonthPosition+1,$FN207&lt;SwaptionFirstMonthPosition+1,GG$169&gt;SwaptionFirstMonthPosition+SwaptionNumOfMonths+1,$FN207&gt;SwaptionFirstMonthPosition+SwaptionNumOfMonths+1),"",IF($FN207=GG$169,1,IF($FN207&lt;GG$169,INDEX($FO$170:$IH$241,GG$169,$FN207),SUMPRODUCT(INDEX($FO$325:$IH$396,GG$169,1+SwaptionShift):INDEX($FO$325:$IH$396,GG$169,SwaptionMonthsToGo+SwaptionShift),INDEX($FO$245:$IH$316,$FN207-GG$169,73-GG$169+SwaptionShift):INDEX($FO$245:$IH$316,$FN207-GG$169,72-GG$169+SwaptionMonthsToGo+SwaptionShift))/SQRT(SUM(INDEX($FO362:$IH362,1+SwaptionShift):INDEX($FO362:$IH362,SwaptionMonthsToGo+SwaptionShift))*SUM(INDEX($FO$325:$IH$396,GG$169,1+SwaptionShift):INDEX($FO$325:$IH$396,GG$169,SwaptionMonthsToGo+SwaptionShift))))))</f>
        <v/>
      </c>
      <c r="GH207" s="469" t="str">
        <f ca="1">IF(OR(GH$169&lt;SwaptionFirstMonthPosition+1,$FN207&lt;SwaptionFirstMonthPosition+1,GH$169&gt;SwaptionFirstMonthPosition+SwaptionNumOfMonths+1,$FN207&gt;SwaptionFirstMonthPosition+SwaptionNumOfMonths+1),"",IF($FN207=GH$169,1,IF($FN207&lt;GH$169,INDEX($FO$170:$IH$241,GH$169,$FN207),SUMPRODUCT(INDEX($FO$325:$IH$396,GH$169,1+SwaptionShift):INDEX($FO$325:$IH$396,GH$169,SwaptionMonthsToGo+SwaptionShift),INDEX($FO$245:$IH$316,$FN207-GH$169,73-GH$169+SwaptionShift):INDEX($FO$245:$IH$316,$FN207-GH$169,72-GH$169+SwaptionMonthsToGo+SwaptionShift))/SQRT(SUM(INDEX($FO362:$IH362,1+SwaptionShift):INDEX($FO362:$IH362,SwaptionMonthsToGo+SwaptionShift))*SUM(INDEX($FO$325:$IH$396,GH$169,1+SwaptionShift):INDEX($FO$325:$IH$396,GH$169,SwaptionMonthsToGo+SwaptionShift))))))</f>
        <v/>
      </c>
      <c r="GI207" s="469" t="str">
        <f ca="1">IF(OR(GI$169&lt;SwaptionFirstMonthPosition+1,$FN207&lt;SwaptionFirstMonthPosition+1,GI$169&gt;SwaptionFirstMonthPosition+SwaptionNumOfMonths+1,$FN207&gt;SwaptionFirstMonthPosition+SwaptionNumOfMonths+1),"",IF($FN207=GI$169,1,IF($FN207&lt;GI$169,INDEX($FO$170:$IH$241,GI$169,$FN207),SUMPRODUCT(INDEX($FO$325:$IH$396,GI$169,1+SwaptionShift):INDEX($FO$325:$IH$396,GI$169,SwaptionMonthsToGo+SwaptionShift),INDEX($FO$245:$IH$316,$FN207-GI$169,73-GI$169+SwaptionShift):INDEX($FO$245:$IH$316,$FN207-GI$169,72-GI$169+SwaptionMonthsToGo+SwaptionShift))/SQRT(SUM(INDEX($FO362:$IH362,1+SwaptionShift):INDEX($FO362:$IH362,SwaptionMonthsToGo+SwaptionShift))*SUM(INDEX($FO$325:$IH$396,GI$169,1+SwaptionShift):INDEX($FO$325:$IH$396,GI$169,SwaptionMonthsToGo+SwaptionShift))))))</f>
        <v/>
      </c>
      <c r="GJ207" s="469" t="str">
        <f ca="1">IF(OR(GJ$169&lt;SwaptionFirstMonthPosition+1,$FN207&lt;SwaptionFirstMonthPosition+1,GJ$169&gt;SwaptionFirstMonthPosition+SwaptionNumOfMonths+1,$FN207&gt;SwaptionFirstMonthPosition+SwaptionNumOfMonths+1),"",IF($FN207=GJ$169,1,IF($FN207&lt;GJ$169,INDEX($FO$170:$IH$241,GJ$169,$FN207),SUMPRODUCT(INDEX($FO$325:$IH$396,GJ$169,1+SwaptionShift):INDEX($FO$325:$IH$396,GJ$169,SwaptionMonthsToGo+SwaptionShift),INDEX($FO$245:$IH$316,$FN207-GJ$169,73-GJ$169+SwaptionShift):INDEX($FO$245:$IH$316,$FN207-GJ$169,72-GJ$169+SwaptionMonthsToGo+SwaptionShift))/SQRT(SUM(INDEX($FO362:$IH362,1+SwaptionShift):INDEX($FO362:$IH362,SwaptionMonthsToGo+SwaptionShift))*SUM(INDEX($FO$325:$IH$396,GJ$169,1+SwaptionShift):INDEX($FO$325:$IH$396,GJ$169,SwaptionMonthsToGo+SwaptionShift))))))</f>
        <v/>
      </c>
      <c r="GK207" s="469" t="str">
        <f ca="1">IF(OR(GK$169&lt;SwaptionFirstMonthPosition+1,$FN207&lt;SwaptionFirstMonthPosition+1,GK$169&gt;SwaptionFirstMonthPosition+SwaptionNumOfMonths+1,$FN207&gt;SwaptionFirstMonthPosition+SwaptionNumOfMonths+1),"",IF($FN207=GK$169,1,IF($FN207&lt;GK$169,INDEX($FO$170:$IH$241,GK$169,$FN207),SUMPRODUCT(INDEX($FO$325:$IH$396,GK$169,1+SwaptionShift):INDEX($FO$325:$IH$396,GK$169,SwaptionMonthsToGo+SwaptionShift),INDEX($FO$245:$IH$316,$FN207-GK$169,73-GK$169+SwaptionShift):INDEX($FO$245:$IH$316,$FN207-GK$169,72-GK$169+SwaptionMonthsToGo+SwaptionShift))/SQRT(SUM(INDEX($FO362:$IH362,1+SwaptionShift):INDEX($FO362:$IH362,SwaptionMonthsToGo+SwaptionShift))*SUM(INDEX($FO$325:$IH$396,GK$169,1+SwaptionShift):INDEX($FO$325:$IH$396,GK$169,SwaptionMonthsToGo+SwaptionShift))))))</f>
        <v/>
      </c>
      <c r="GL207" s="469" t="str">
        <f ca="1">IF(OR(GL$169&lt;SwaptionFirstMonthPosition+1,$FN207&lt;SwaptionFirstMonthPosition+1,GL$169&gt;SwaptionFirstMonthPosition+SwaptionNumOfMonths+1,$FN207&gt;SwaptionFirstMonthPosition+SwaptionNumOfMonths+1),"",IF($FN207=GL$169,1,IF($FN207&lt;GL$169,INDEX($FO$170:$IH$241,GL$169,$FN207),SUMPRODUCT(INDEX($FO$325:$IH$396,GL$169,1+SwaptionShift):INDEX($FO$325:$IH$396,GL$169,SwaptionMonthsToGo+SwaptionShift),INDEX($FO$245:$IH$316,$FN207-GL$169,73-GL$169+SwaptionShift):INDEX($FO$245:$IH$316,$FN207-GL$169,72-GL$169+SwaptionMonthsToGo+SwaptionShift))/SQRT(SUM(INDEX($FO362:$IH362,1+SwaptionShift):INDEX($FO362:$IH362,SwaptionMonthsToGo+SwaptionShift))*SUM(INDEX($FO$325:$IH$396,GL$169,1+SwaptionShift):INDEX($FO$325:$IH$396,GL$169,SwaptionMonthsToGo+SwaptionShift))))))</f>
        <v/>
      </c>
      <c r="GM207" s="469" t="str">
        <f ca="1">IF(OR(GM$169&lt;SwaptionFirstMonthPosition+1,$FN207&lt;SwaptionFirstMonthPosition+1,GM$169&gt;SwaptionFirstMonthPosition+SwaptionNumOfMonths+1,$FN207&gt;SwaptionFirstMonthPosition+SwaptionNumOfMonths+1),"",IF($FN207=GM$169,1,IF($FN207&lt;GM$169,INDEX($FO$170:$IH$241,GM$169,$FN207),SUMPRODUCT(INDEX($FO$325:$IH$396,GM$169,1+SwaptionShift):INDEX($FO$325:$IH$396,GM$169,SwaptionMonthsToGo+SwaptionShift),INDEX($FO$245:$IH$316,$FN207-GM$169,73-GM$169+SwaptionShift):INDEX($FO$245:$IH$316,$FN207-GM$169,72-GM$169+SwaptionMonthsToGo+SwaptionShift))/SQRT(SUM(INDEX($FO362:$IH362,1+SwaptionShift):INDEX($FO362:$IH362,SwaptionMonthsToGo+SwaptionShift))*SUM(INDEX($FO$325:$IH$396,GM$169,1+SwaptionShift):INDEX($FO$325:$IH$396,GM$169,SwaptionMonthsToGo+SwaptionShift))))))</f>
        <v/>
      </c>
      <c r="GN207" s="469" t="str">
        <f ca="1">IF(OR(GN$169&lt;SwaptionFirstMonthPosition+1,$FN207&lt;SwaptionFirstMonthPosition+1,GN$169&gt;SwaptionFirstMonthPosition+SwaptionNumOfMonths+1,$FN207&gt;SwaptionFirstMonthPosition+SwaptionNumOfMonths+1),"",IF($FN207=GN$169,1,IF($FN207&lt;GN$169,INDEX($FO$170:$IH$241,GN$169,$FN207),SUMPRODUCT(INDEX($FO$325:$IH$396,GN$169,1+SwaptionShift):INDEX($FO$325:$IH$396,GN$169,SwaptionMonthsToGo+SwaptionShift),INDEX($FO$245:$IH$316,$FN207-GN$169,73-GN$169+SwaptionShift):INDEX($FO$245:$IH$316,$FN207-GN$169,72-GN$169+SwaptionMonthsToGo+SwaptionShift))/SQRT(SUM(INDEX($FO362:$IH362,1+SwaptionShift):INDEX($FO362:$IH362,SwaptionMonthsToGo+SwaptionShift))*SUM(INDEX($FO$325:$IH$396,GN$169,1+SwaptionShift):INDEX($FO$325:$IH$396,GN$169,SwaptionMonthsToGo+SwaptionShift))))))</f>
        <v/>
      </c>
      <c r="GO207" s="469" t="str">
        <f ca="1">IF(OR(GO$169&lt;SwaptionFirstMonthPosition+1,$FN207&lt;SwaptionFirstMonthPosition+1,GO$169&gt;SwaptionFirstMonthPosition+SwaptionNumOfMonths+1,$FN207&gt;SwaptionFirstMonthPosition+SwaptionNumOfMonths+1),"",IF($FN207=GO$169,1,IF($FN207&lt;GO$169,INDEX($FO$170:$IH$241,GO$169,$FN207),SUMPRODUCT(INDEX($FO$325:$IH$396,GO$169,1+SwaptionShift):INDEX($FO$325:$IH$396,GO$169,SwaptionMonthsToGo+SwaptionShift),INDEX($FO$245:$IH$316,$FN207-GO$169,73-GO$169+SwaptionShift):INDEX($FO$245:$IH$316,$FN207-GO$169,72-GO$169+SwaptionMonthsToGo+SwaptionShift))/SQRT(SUM(INDEX($FO362:$IH362,1+SwaptionShift):INDEX($FO362:$IH362,SwaptionMonthsToGo+SwaptionShift))*SUM(INDEX($FO$325:$IH$396,GO$169,1+SwaptionShift):INDEX($FO$325:$IH$396,GO$169,SwaptionMonthsToGo+SwaptionShift))))))</f>
        <v/>
      </c>
      <c r="GP207" s="469" t="str">
        <f ca="1">IF(OR(GP$169&lt;SwaptionFirstMonthPosition+1,$FN207&lt;SwaptionFirstMonthPosition+1,GP$169&gt;SwaptionFirstMonthPosition+SwaptionNumOfMonths+1,$FN207&gt;SwaptionFirstMonthPosition+SwaptionNumOfMonths+1),"",IF($FN207=GP$169,1,IF($FN207&lt;GP$169,INDEX($FO$170:$IH$241,GP$169,$FN207),SUMPRODUCT(INDEX($FO$325:$IH$396,GP$169,1+SwaptionShift):INDEX($FO$325:$IH$396,GP$169,SwaptionMonthsToGo+SwaptionShift),INDEX($FO$245:$IH$316,$FN207-GP$169,73-GP$169+SwaptionShift):INDEX($FO$245:$IH$316,$FN207-GP$169,72-GP$169+SwaptionMonthsToGo+SwaptionShift))/SQRT(SUM(INDEX($FO362:$IH362,1+SwaptionShift):INDEX($FO362:$IH362,SwaptionMonthsToGo+SwaptionShift))*SUM(INDEX($FO$325:$IH$396,GP$169,1+SwaptionShift):INDEX($FO$325:$IH$396,GP$169,SwaptionMonthsToGo+SwaptionShift))))))</f>
        <v/>
      </c>
      <c r="GQ207" s="469" t="str">
        <f ca="1">IF(OR(GQ$169&lt;SwaptionFirstMonthPosition+1,$FN207&lt;SwaptionFirstMonthPosition+1,GQ$169&gt;SwaptionFirstMonthPosition+SwaptionNumOfMonths+1,$FN207&gt;SwaptionFirstMonthPosition+SwaptionNumOfMonths+1),"",IF($FN207=GQ$169,1,IF($FN207&lt;GQ$169,INDEX($FO$170:$IH$241,GQ$169,$FN207),SUMPRODUCT(INDEX($FO$325:$IH$396,GQ$169,1+SwaptionShift):INDEX($FO$325:$IH$396,GQ$169,SwaptionMonthsToGo+SwaptionShift),INDEX($FO$245:$IH$316,$FN207-GQ$169,73-GQ$169+SwaptionShift):INDEX($FO$245:$IH$316,$FN207-GQ$169,72-GQ$169+SwaptionMonthsToGo+SwaptionShift))/SQRT(SUM(INDEX($FO362:$IH362,1+SwaptionShift):INDEX($FO362:$IH362,SwaptionMonthsToGo+SwaptionShift))*SUM(INDEX($FO$325:$IH$396,GQ$169,1+SwaptionShift):INDEX($FO$325:$IH$396,GQ$169,SwaptionMonthsToGo+SwaptionShift))))))</f>
        <v/>
      </c>
      <c r="GR207" s="469" t="str">
        <f ca="1">IF(OR(GR$169&lt;SwaptionFirstMonthPosition+1,$FN207&lt;SwaptionFirstMonthPosition+1,GR$169&gt;SwaptionFirstMonthPosition+SwaptionNumOfMonths+1,$FN207&gt;SwaptionFirstMonthPosition+SwaptionNumOfMonths+1),"",IF($FN207=GR$169,1,IF($FN207&lt;GR$169,INDEX($FO$170:$IH$241,GR$169,$FN207),SUMPRODUCT(INDEX($FO$325:$IH$396,GR$169,1+SwaptionShift):INDEX($FO$325:$IH$396,GR$169,SwaptionMonthsToGo+SwaptionShift),INDEX($FO$245:$IH$316,$FN207-GR$169,73-GR$169+SwaptionShift):INDEX($FO$245:$IH$316,$FN207-GR$169,72-GR$169+SwaptionMonthsToGo+SwaptionShift))/SQRT(SUM(INDEX($FO362:$IH362,1+SwaptionShift):INDEX($FO362:$IH362,SwaptionMonthsToGo+SwaptionShift))*SUM(INDEX($FO$325:$IH$396,GR$169,1+SwaptionShift):INDEX($FO$325:$IH$396,GR$169,SwaptionMonthsToGo+SwaptionShift))))))</f>
        <v/>
      </c>
      <c r="GS207" s="469" t="str">
        <f ca="1">IF(OR(GS$169&lt;SwaptionFirstMonthPosition+1,$FN207&lt;SwaptionFirstMonthPosition+1,GS$169&gt;SwaptionFirstMonthPosition+SwaptionNumOfMonths+1,$FN207&gt;SwaptionFirstMonthPosition+SwaptionNumOfMonths+1),"",IF($FN207=GS$169,1,IF($FN207&lt;GS$169,INDEX($FO$170:$IH$241,GS$169,$FN207),SUMPRODUCT(INDEX($FO$325:$IH$396,GS$169,1+SwaptionShift):INDEX($FO$325:$IH$396,GS$169,SwaptionMonthsToGo+SwaptionShift),INDEX($FO$245:$IH$316,$FN207-GS$169,73-GS$169+SwaptionShift):INDEX($FO$245:$IH$316,$FN207-GS$169,72-GS$169+SwaptionMonthsToGo+SwaptionShift))/SQRT(SUM(INDEX($FO362:$IH362,1+SwaptionShift):INDEX($FO362:$IH362,SwaptionMonthsToGo+SwaptionShift))*SUM(INDEX($FO$325:$IH$396,GS$169,1+SwaptionShift):INDEX($FO$325:$IH$396,GS$169,SwaptionMonthsToGo+SwaptionShift))))))</f>
        <v/>
      </c>
      <c r="GT207" s="469" t="str">
        <f ca="1">IF(OR(GT$169&lt;SwaptionFirstMonthPosition+1,$FN207&lt;SwaptionFirstMonthPosition+1,GT$169&gt;SwaptionFirstMonthPosition+SwaptionNumOfMonths+1,$FN207&gt;SwaptionFirstMonthPosition+SwaptionNumOfMonths+1),"",IF($FN207=GT$169,1,IF($FN207&lt;GT$169,INDEX($FO$170:$IH$241,GT$169,$FN207),SUMPRODUCT(INDEX($FO$325:$IH$396,GT$169,1+SwaptionShift):INDEX($FO$325:$IH$396,GT$169,SwaptionMonthsToGo+SwaptionShift),INDEX($FO$245:$IH$316,$FN207-GT$169,73-GT$169+SwaptionShift):INDEX($FO$245:$IH$316,$FN207-GT$169,72-GT$169+SwaptionMonthsToGo+SwaptionShift))/SQRT(SUM(INDEX($FO362:$IH362,1+SwaptionShift):INDEX($FO362:$IH362,SwaptionMonthsToGo+SwaptionShift))*SUM(INDEX($FO$325:$IH$396,GT$169,1+SwaptionShift):INDEX($FO$325:$IH$396,GT$169,SwaptionMonthsToGo+SwaptionShift))))))</f>
        <v/>
      </c>
      <c r="GU207" s="469" t="str">
        <f ca="1">IF(OR(GU$169&lt;SwaptionFirstMonthPosition+1,$FN207&lt;SwaptionFirstMonthPosition+1,GU$169&gt;SwaptionFirstMonthPosition+SwaptionNumOfMonths+1,$FN207&gt;SwaptionFirstMonthPosition+SwaptionNumOfMonths+1),"",IF($FN207=GU$169,1,IF($FN207&lt;GU$169,INDEX($FO$170:$IH$241,GU$169,$FN207),SUMPRODUCT(INDEX($FO$325:$IH$396,GU$169,1+SwaptionShift):INDEX($FO$325:$IH$396,GU$169,SwaptionMonthsToGo+SwaptionShift),INDEX($FO$245:$IH$316,$FN207-GU$169,73-GU$169+SwaptionShift):INDEX($FO$245:$IH$316,$FN207-GU$169,72-GU$169+SwaptionMonthsToGo+SwaptionShift))/SQRT(SUM(INDEX($FO362:$IH362,1+SwaptionShift):INDEX($FO362:$IH362,SwaptionMonthsToGo+SwaptionShift))*SUM(INDEX($FO$325:$IH$396,GU$169,1+SwaptionShift):INDEX($FO$325:$IH$396,GU$169,SwaptionMonthsToGo+SwaptionShift))))))</f>
        <v/>
      </c>
      <c r="GV207" s="469" t="str">
        <f ca="1">IF(OR(GV$169&lt;SwaptionFirstMonthPosition+1,$FN207&lt;SwaptionFirstMonthPosition+1,GV$169&gt;SwaptionFirstMonthPosition+SwaptionNumOfMonths+1,$FN207&gt;SwaptionFirstMonthPosition+SwaptionNumOfMonths+1),"",IF($FN207=GV$169,1,IF($FN207&lt;GV$169,INDEX($FO$170:$IH$241,GV$169,$FN207),SUMPRODUCT(INDEX($FO$325:$IH$396,GV$169,1+SwaptionShift):INDEX($FO$325:$IH$396,GV$169,SwaptionMonthsToGo+SwaptionShift),INDEX($FO$245:$IH$316,$FN207-GV$169,73-GV$169+SwaptionShift):INDEX($FO$245:$IH$316,$FN207-GV$169,72-GV$169+SwaptionMonthsToGo+SwaptionShift))/SQRT(SUM(INDEX($FO362:$IH362,1+SwaptionShift):INDEX($FO362:$IH362,SwaptionMonthsToGo+SwaptionShift))*SUM(INDEX($FO$325:$IH$396,GV$169,1+SwaptionShift):INDEX($FO$325:$IH$396,GV$169,SwaptionMonthsToGo+SwaptionShift))))))</f>
        <v/>
      </c>
      <c r="GW207" s="469" t="str">
        <f ca="1">IF(OR(GW$169&lt;SwaptionFirstMonthPosition+1,$FN207&lt;SwaptionFirstMonthPosition+1,GW$169&gt;SwaptionFirstMonthPosition+SwaptionNumOfMonths+1,$FN207&gt;SwaptionFirstMonthPosition+SwaptionNumOfMonths+1),"",IF($FN207=GW$169,1,IF($FN207&lt;GW$169,INDEX($FO$170:$IH$241,GW$169,$FN207),SUMPRODUCT(INDEX($FO$325:$IH$396,GW$169,1+SwaptionShift):INDEX($FO$325:$IH$396,GW$169,SwaptionMonthsToGo+SwaptionShift),INDEX($FO$245:$IH$316,$FN207-GW$169,73-GW$169+SwaptionShift):INDEX($FO$245:$IH$316,$FN207-GW$169,72-GW$169+SwaptionMonthsToGo+SwaptionShift))/SQRT(SUM(INDEX($FO362:$IH362,1+SwaptionShift):INDEX($FO362:$IH362,SwaptionMonthsToGo+SwaptionShift))*SUM(INDEX($FO$325:$IH$396,GW$169,1+SwaptionShift):INDEX($FO$325:$IH$396,GW$169,SwaptionMonthsToGo+SwaptionShift))))))</f>
        <v/>
      </c>
      <c r="GX207" s="469" t="str">
        <f ca="1">IF(OR(GX$169&lt;SwaptionFirstMonthPosition+1,$FN207&lt;SwaptionFirstMonthPosition+1,GX$169&gt;SwaptionFirstMonthPosition+SwaptionNumOfMonths+1,$FN207&gt;SwaptionFirstMonthPosition+SwaptionNumOfMonths+1),"",IF($FN207=GX$169,1,IF($FN207&lt;GX$169,INDEX($FO$170:$IH$241,GX$169,$FN207),SUMPRODUCT(INDEX($FO$325:$IH$396,GX$169,1+SwaptionShift):INDEX($FO$325:$IH$396,GX$169,SwaptionMonthsToGo+SwaptionShift),INDEX($FO$245:$IH$316,$FN207-GX$169,73-GX$169+SwaptionShift):INDEX($FO$245:$IH$316,$FN207-GX$169,72-GX$169+SwaptionMonthsToGo+SwaptionShift))/SQRT(SUM(INDEX($FO362:$IH362,1+SwaptionShift):INDEX($FO362:$IH362,SwaptionMonthsToGo+SwaptionShift))*SUM(INDEX($FO$325:$IH$396,GX$169,1+SwaptionShift):INDEX($FO$325:$IH$396,GX$169,SwaptionMonthsToGo+SwaptionShift))))))</f>
        <v/>
      </c>
      <c r="GY207" s="469" t="str">
        <f ca="1">IF(OR(GY$169&lt;SwaptionFirstMonthPosition+1,$FN207&lt;SwaptionFirstMonthPosition+1,GY$169&gt;SwaptionFirstMonthPosition+SwaptionNumOfMonths+1,$FN207&gt;SwaptionFirstMonthPosition+SwaptionNumOfMonths+1),"",IF($FN207=GY$169,1,IF($FN207&lt;GY$169,INDEX($FO$170:$IH$241,GY$169,$FN207),SUMPRODUCT(INDEX($FO$325:$IH$396,GY$169,1+SwaptionShift):INDEX($FO$325:$IH$396,GY$169,SwaptionMonthsToGo+SwaptionShift),INDEX($FO$245:$IH$316,$FN207-GY$169,73-GY$169+SwaptionShift):INDEX($FO$245:$IH$316,$FN207-GY$169,72-GY$169+SwaptionMonthsToGo+SwaptionShift))/SQRT(SUM(INDEX($FO362:$IH362,1+SwaptionShift):INDEX($FO362:$IH362,SwaptionMonthsToGo+SwaptionShift))*SUM(INDEX($FO$325:$IH$396,GY$169,1+SwaptionShift):INDEX($FO$325:$IH$396,GY$169,SwaptionMonthsToGo+SwaptionShift))))))</f>
        <v/>
      </c>
      <c r="GZ207" s="469" t="str">
        <f ca="1">IF(OR(GZ$169&lt;SwaptionFirstMonthPosition+1,$FN207&lt;SwaptionFirstMonthPosition+1,GZ$169&gt;SwaptionFirstMonthPosition+SwaptionNumOfMonths+1,$FN207&gt;SwaptionFirstMonthPosition+SwaptionNumOfMonths+1),"",IF($FN207=GZ$169,1,IF($FN207&lt;GZ$169,INDEX($FO$170:$IH$241,GZ$169,$FN207),SUMPRODUCT(INDEX($FO$325:$IH$396,GZ$169,1+SwaptionShift):INDEX($FO$325:$IH$396,GZ$169,SwaptionMonthsToGo+SwaptionShift),INDEX($FO$245:$IH$316,$FN207-GZ$169,73-GZ$169+SwaptionShift):INDEX($FO$245:$IH$316,$FN207-GZ$169,72-GZ$169+SwaptionMonthsToGo+SwaptionShift))/SQRT(SUM(INDEX($FO362:$IH362,1+SwaptionShift):INDEX($FO362:$IH362,SwaptionMonthsToGo+SwaptionShift))*SUM(INDEX($FO$325:$IH$396,GZ$169,1+SwaptionShift):INDEX($FO$325:$IH$396,GZ$169,SwaptionMonthsToGo+SwaptionShift))))))</f>
        <v/>
      </c>
      <c r="HA207" s="469" t="str">
        <f ca="1">IF(OR(HA$169&lt;SwaptionFirstMonthPosition+1,$FN207&lt;SwaptionFirstMonthPosition+1,HA$169&gt;SwaptionFirstMonthPosition+SwaptionNumOfMonths+1,$FN207&gt;SwaptionFirstMonthPosition+SwaptionNumOfMonths+1),"",IF($FN207=HA$169,1,IF($FN207&lt;HA$169,INDEX($FO$170:$IH$241,HA$169,$FN207),SUMPRODUCT(INDEX($FO$325:$IH$396,HA$169,1+SwaptionShift):INDEX($FO$325:$IH$396,HA$169,SwaptionMonthsToGo+SwaptionShift),INDEX($FO$245:$IH$316,$FN207-HA$169,73-HA$169+SwaptionShift):INDEX($FO$245:$IH$316,$FN207-HA$169,72-HA$169+SwaptionMonthsToGo+SwaptionShift))/SQRT(SUM(INDEX($FO362:$IH362,1+SwaptionShift):INDEX($FO362:$IH362,SwaptionMonthsToGo+SwaptionShift))*SUM(INDEX($FO$325:$IH$396,HA$169,1+SwaptionShift):INDEX($FO$325:$IH$396,HA$169,SwaptionMonthsToGo+SwaptionShift))))))</f>
        <v/>
      </c>
      <c r="HB207" s="469" t="str">
        <f ca="1">IF(OR(HB$169&lt;SwaptionFirstMonthPosition+1,$FN207&lt;SwaptionFirstMonthPosition+1,HB$169&gt;SwaptionFirstMonthPosition+SwaptionNumOfMonths+1,$FN207&gt;SwaptionFirstMonthPosition+SwaptionNumOfMonths+1),"",IF($FN207=HB$169,1,IF($FN207&lt;HB$169,INDEX($FO$170:$IH$241,HB$169,$FN207),SUMPRODUCT(INDEX($FO$325:$IH$396,HB$169,1+SwaptionShift):INDEX($FO$325:$IH$396,HB$169,SwaptionMonthsToGo+SwaptionShift),INDEX($FO$245:$IH$316,$FN207-HB$169,73-HB$169+SwaptionShift):INDEX($FO$245:$IH$316,$FN207-HB$169,72-HB$169+SwaptionMonthsToGo+SwaptionShift))/SQRT(SUM(INDEX($FO362:$IH362,1+SwaptionShift):INDEX($FO362:$IH362,SwaptionMonthsToGo+SwaptionShift))*SUM(INDEX($FO$325:$IH$396,HB$169,1+SwaptionShift):INDEX($FO$325:$IH$396,HB$169,SwaptionMonthsToGo+SwaptionShift))))))</f>
        <v/>
      </c>
      <c r="HC207" s="469" t="str">
        <f ca="1">IF(OR(HC$169&lt;SwaptionFirstMonthPosition+1,$FN207&lt;SwaptionFirstMonthPosition+1,HC$169&gt;SwaptionFirstMonthPosition+SwaptionNumOfMonths+1,$FN207&gt;SwaptionFirstMonthPosition+SwaptionNumOfMonths+1),"",IF($FN207=HC$169,1,IF($FN207&lt;HC$169,INDEX($FO$170:$IH$241,HC$169,$FN207),SUMPRODUCT(INDEX($FO$325:$IH$396,HC$169,1+SwaptionShift):INDEX($FO$325:$IH$396,HC$169,SwaptionMonthsToGo+SwaptionShift),INDEX($FO$245:$IH$316,$FN207-HC$169,73-HC$169+SwaptionShift):INDEX($FO$245:$IH$316,$FN207-HC$169,72-HC$169+SwaptionMonthsToGo+SwaptionShift))/SQRT(SUM(INDEX($FO362:$IH362,1+SwaptionShift):INDEX($FO362:$IH362,SwaptionMonthsToGo+SwaptionShift))*SUM(INDEX($FO$325:$IH$396,HC$169,1+SwaptionShift):INDEX($FO$325:$IH$396,HC$169,SwaptionMonthsToGo+SwaptionShift))))))</f>
        <v/>
      </c>
      <c r="HD207" s="469" t="str">
        <f ca="1">IF(OR(HD$169&lt;SwaptionFirstMonthPosition+1,$FN207&lt;SwaptionFirstMonthPosition+1,HD$169&gt;SwaptionFirstMonthPosition+SwaptionNumOfMonths+1,$FN207&gt;SwaptionFirstMonthPosition+SwaptionNumOfMonths+1),"",IF($FN207=HD$169,1,IF($FN207&lt;HD$169,INDEX($FO$170:$IH$241,HD$169,$FN207),SUMPRODUCT(INDEX($FO$325:$IH$396,HD$169,1+SwaptionShift):INDEX($FO$325:$IH$396,HD$169,SwaptionMonthsToGo+SwaptionShift),INDEX($FO$245:$IH$316,$FN207-HD$169,73-HD$169+SwaptionShift):INDEX($FO$245:$IH$316,$FN207-HD$169,72-HD$169+SwaptionMonthsToGo+SwaptionShift))/SQRT(SUM(INDEX($FO362:$IH362,1+SwaptionShift):INDEX($FO362:$IH362,SwaptionMonthsToGo+SwaptionShift))*SUM(INDEX($FO$325:$IH$396,HD$169,1+SwaptionShift):INDEX($FO$325:$IH$396,HD$169,SwaptionMonthsToGo+SwaptionShift))))))</f>
        <v/>
      </c>
      <c r="HE207" s="469" t="str">
        <f ca="1">IF(OR(HE$169&lt;SwaptionFirstMonthPosition+1,$FN207&lt;SwaptionFirstMonthPosition+1,HE$169&gt;SwaptionFirstMonthPosition+SwaptionNumOfMonths+1,$FN207&gt;SwaptionFirstMonthPosition+SwaptionNumOfMonths+1),"",IF($FN207=HE$169,1,IF($FN207&lt;HE$169,INDEX($FO$170:$IH$241,HE$169,$FN207),SUMPRODUCT(INDEX($FO$325:$IH$396,HE$169,1+SwaptionShift):INDEX($FO$325:$IH$396,HE$169,SwaptionMonthsToGo+SwaptionShift),INDEX($FO$245:$IH$316,$FN207-HE$169,73-HE$169+SwaptionShift):INDEX($FO$245:$IH$316,$FN207-HE$169,72-HE$169+SwaptionMonthsToGo+SwaptionShift))/SQRT(SUM(INDEX($FO362:$IH362,1+SwaptionShift):INDEX($FO362:$IH362,SwaptionMonthsToGo+SwaptionShift))*SUM(INDEX($FO$325:$IH$396,HE$169,1+SwaptionShift):INDEX($FO$325:$IH$396,HE$169,SwaptionMonthsToGo+SwaptionShift))))))</f>
        <v/>
      </c>
      <c r="HF207" s="469" t="str">
        <f ca="1">IF(OR(HF$169&lt;SwaptionFirstMonthPosition+1,$FN207&lt;SwaptionFirstMonthPosition+1,HF$169&gt;SwaptionFirstMonthPosition+SwaptionNumOfMonths+1,$FN207&gt;SwaptionFirstMonthPosition+SwaptionNumOfMonths+1),"",IF($FN207=HF$169,1,IF($FN207&lt;HF$169,INDEX($FO$170:$IH$241,HF$169,$FN207),SUMPRODUCT(INDEX($FO$325:$IH$396,HF$169,1+SwaptionShift):INDEX($FO$325:$IH$396,HF$169,SwaptionMonthsToGo+SwaptionShift),INDEX($FO$245:$IH$316,$FN207-HF$169,73-HF$169+SwaptionShift):INDEX($FO$245:$IH$316,$FN207-HF$169,72-HF$169+SwaptionMonthsToGo+SwaptionShift))/SQRT(SUM(INDEX($FO362:$IH362,1+SwaptionShift):INDEX($FO362:$IH362,SwaptionMonthsToGo+SwaptionShift))*SUM(INDEX($FO$325:$IH$396,HF$169,1+SwaptionShift):INDEX($FO$325:$IH$396,HF$169,SwaptionMonthsToGo+SwaptionShift))))))</f>
        <v/>
      </c>
      <c r="HG207" s="469" t="str">
        <f ca="1">IF(OR(HG$169&lt;SwaptionFirstMonthPosition+1,$FN207&lt;SwaptionFirstMonthPosition+1,HG$169&gt;SwaptionFirstMonthPosition+SwaptionNumOfMonths+1,$FN207&gt;SwaptionFirstMonthPosition+SwaptionNumOfMonths+1),"",IF($FN207=HG$169,1,IF($FN207&lt;HG$169,INDEX($FO$170:$IH$241,HG$169,$FN207),SUMPRODUCT(INDEX($FO$325:$IH$396,HG$169,1+SwaptionShift):INDEX($FO$325:$IH$396,HG$169,SwaptionMonthsToGo+SwaptionShift),INDEX($FO$245:$IH$316,$FN207-HG$169,73-HG$169+SwaptionShift):INDEX($FO$245:$IH$316,$FN207-HG$169,72-HG$169+SwaptionMonthsToGo+SwaptionShift))/SQRT(SUM(INDEX($FO362:$IH362,1+SwaptionShift):INDEX($FO362:$IH362,SwaptionMonthsToGo+SwaptionShift))*SUM(INDEX($FO$325:$IH$396,HG$169,1+SwaptionShift):INDEX($FO$325:$IH$396,HG$169,SwaptionMonthsToGo+SwaptionShift))))))</f>
        <v/>
      </c>
      <c r="HH207" s="469" t="str">
        <f ca="1">IF(OR(HH$169&lt;SwaptionFirstMonthPosition+1,$FN207&lt;SwaptionFirstMonthPosition+1,HH$169&gt;SwaptionFirstMonthPosition+SwaptionNumOfMonths+1,$FN207&gt;SwaptionFirstMonthPosition+SwaptionNumOfMonths+1),"",IF($FN207=HH$169,1,IF($FN207&lt;HH$169,INDEX($FO$170:$IH$241,HH$169,$FN207),SUMPRODUCT(INDEX($FO$325:$IH$396,HH$169,1+SwaptionShift):INDEX($FO$325:$IH$396,HH$169,SwaptionMonthsToGo+SwaptionShift),INDEX($FO$245:$IH$316,$FN207-HH$169,73-HH$169+SwaptionShift):INDEX($FO$245:$IH$316,$FN207-HH$169,72-HH$169+SwaptionMonthsToGo+SwaptionShift))/SQRT(SUM(INDEX($FO362:$IH362,1+SwaptionShift):INDEX($FO362:$IH362,SwaptionMonthsToGo+SwaptionShift))*SUM(INDEX($FO$325:$IH$396,HH$169,1+SwaptionShift):INDEX($FO$325:$IH$396,HH$169,SwaptionMonthsToGo+SwaptionShift))))))</f>
        <v/>
      </c>
      <c r="HI207" s="469" t="str">
        <f ca="1">IF(OR(HI$169&lt;SwaptionFirstMonthPosition+1,$FN207&lt;SwaptionFirstMonthPosition+1,HI$169&gt;SwaptionFirstMonthPosition+SwaptionNumOfMonths+1,$FN207&gt;SwaptionFirstMonthPosition+SwaptionNumOfMonths+1),"",IF($FN207=HI$169,1,IF($FN207&lt;HI$169,INDEX($FO$170:$IH$241,HI$169,$FN207),SUMPRODUCT(INDEX($FO$325:$IH$396,HI$169,1+SwaptionShift):INDEX($FO$325:$IH$396,HI$169,SwaptionMonthsToGo+SwaptionShift),INDEX($FO$245:$IH$316,$FN207-HI$169,73-HI$169+SwaptionShift):INDEX($FO$245:$IH$316,$FN207-HI$169,72-HI$169+SwaptionMonthsToGo+SwaptionShift))/SQRT(SUM(INDEX($FO362:$IH362,1+SwaptionShift):INDEX($FO362:$IH362,SwaptionMonthsToGo+SwaptionShift))*SUM(INDEX($FO$325:$IH$396,HI$169,1+SwaptionShift):INDEX($FO$325:$IH$396,HI$169,SwaptionMonthsToGo+SwaptionShift))))))</f>
        <v/>
      </c>
      <c r="HJ207" s="469" t="str">
        <f ca="1">IF(OR(HJ$169&lt;SwaptionFirstMonthPosition+1,$FN207&lt;SwaptionFirstMonthPosition+1,HJ$169&gt;SwaptionFirstMonthPosition+SwaptionNumOfMonths+1,$FN207&gt;SwaptionFirstMonthPosition+SwaptionNumOfMonths+1),"",IF($FN207=HJ$169,1,IF($FN207&lt;HJ$169,INDEX($FO$170:$IH$241,HJ$169,$FN207),SUMPRODUCT(INDEX($FO$325:$IH$396,HJ$169,1+SwaptionShift):INDEX($FO$325:$IH$396,HJ$169,SwaptionMonthsToGo+SwaptionShift),INDEX($FO$245:$IH$316,$FN207-HJ$169,73-HJ$169+SwaptionShift):INDEX($FO$245:$IH$316,$FN207-HJ$169,72-HJ$169+SwaptionMonthsToGo+SwaptionShift))/SQRT(SUM(INDEX($FO362:$IH362,1+SwaptionShift):INDEX($FO362:$IH362,SwaptionMonthsToGo+SwaptionShift))*SUM(INDEX($FO$325:$IH$396,HJ$169,1+SwaptionShift):INDEX($FO$325:$IH$396,HJ$169,SwaptionMonthsToGo+SwaptionShift))))))</f>
        <v/>
      </c>
      <c r="HK207" s="469" t="str">
        <f ca="1">IF(OR(HK$169&lt;SwaptionFirstMonthPosition+1,$FN207&lt;SwaptionFirstMonthPosition+1,HK$169&gt;SwaptionFirstMonthPosition+SwaptionNumOfMonths+1,$FN207&gt;SwaptionFirstMonthPosition+SwaptionNumOfMonths+1),"",IF($FN207=HK$169,1,IF($FN207&lt;HK$169,INDEX($FO$170:$IH$241,HK$169,$FN207),SUMPRODUCT(INDEX($FO$325:$IH$396,HK$169,1+SwaptionShift):INDEX($FO$325:$IH$396,HK$169,SwaptionMonthsToGo+SwaptionShift),INDEX($FO$245:$IH$316,$FN207-HK$169,73-HK$169+SwaptionShift):INDEX($FO$245:$IH$316,$FN207-HK$169,72-HK$169+SwaptionMonthsToGo+SwaptionShift))/SQRT(SUM(INDEX($FO362:$IH362,1+SwaptionShift):INDEX($FO362:$IH362,SwaptionMonthsToGo+SwaptionShift))*SUM(INDEX($FO$325:$IH$396,HK$169,1+SwaptionShift):INDEX($FO$325:$IH$396,HK$169,SwaptionMonthsToGo+SwaptionShift))))))</f>
        <v/>
      </c>
      <c r="HL207" s="469" t="str">
        <f ca="1">IF(OR(HL$169&lt;SwaptionFirstMonthPosition+1,$FN207&lt;SwaptionFirstMonthPosition+1,HL$169&gt;SwaptionFirstMonthPosition+SwaptionNumOfMonths+1,$FN207&gt;SwaptionFirstMonthPosition+SwaptionNumOfMonths+1),"",IF($FN207=HL$169,1,IF($FN207&lt;HL$169,INDEX($FO$170:$IH$241,HL$169,$FN207),SUMPRODUCT(INDEX($FO$325:$IH$396,HL$169,1+SwaptionShift):INDEX($FO$325:$IH$396,HL$169,SwaptionMonthsToGo+SwaptionShift),INDEX($FO$245:$IH$316,$FN207-HL$169,73-HL$169+SwaptionShift):INDEX($FO$245:$IH$316,$FN207-HL$169,72-HL$169+SwaptionMonthsToGo+SwaptionShift))/SQRT(SUM(INDEX($FO362:$IH362,1+SwaptionShift):INDEX($FO362:$IH362,SwaptionMonthsToGo+SwaptionShift))*SUM(INDEX($FO$325:$IH$396,HL$169,1+SwaptionShift):INDEX($FO$325:$IH$396,HL$169,SwaptionMonthsToGo+SwaptionShift))))))</f>
        <v/>
      </c>
      <c r="HM207" s="469" t="str">
        <f ca="1">IF(OR(HM$169&lt;SwaptionFirstMonthPosition+1,$FN207&lt;SwaptionFirstMonthPosition+1,HM$169&gt;SwaptionFirstMonthPosition+SwaptionNumOfMonths+1,$FN207&gt;SwaptionFirstMonthPosition+SwaptionNumOfMonths+1),"",IF($FN207=HM$169,1,IF($FN207&lt;HM$169,INDEX($FO$170:$IH$241,HM$169,$FN207),SUMPRODUCT(INDEX($FO$325:$IH$396,HM$169,1+SwaptionShift):INDEX($FO$325:$IH$396,HM$169,SwaptionMonthsToGo+SwaptionShift),INDEX($FO$245:$IH$316,$FN207-HM$169,73-HM$169+SwaptionShift):INDEX($FO$245:$IH$316,$FN207-HM$169,72-HM$169+SwaptionMonthsToGo+SwaptionShift))/SQRT(SUM(INDEX($FO362:$IH362,1+SwaptionShift):INDEX($FO362:$IH362,SwaptionMonthsToGo+SwaptionShift))*SUM(INDEX($FO$325:$IH$396,HM$169,1+SwaptionShift):INDEX($FO$325:$IH$396,HM$169,SwaptionMonthsToGo+SwaptionShift))))))</f>
        <v/>
      </c>
      <c r="HN207" s="469" t="str">
        <f ca="1">IF(OR(HN$169&lt;SwaptionFirstMonthPosition+1,$FN207&lt;SwaptionFirstMonthPosition+1,HN$169&gt;SwaptionFirstMonthPosition+SwaptionNumOfMonths+1,$FN207&gt;SwaptionFirstMonthPosition+SwaptionNumOfMonths+1),"",IF($FN207=HN$169,1,IF($FN207&lt;HN$169,INDEX($FO$170:$IH$241,HN$169,$FN207),SUMPRODUCT(INDEX($FO$325:$IH$396,HN$169,1+SwaptionShift):INDEX($FO$325:$IH$396,HN$169,SwaptionMonthsToGo+SwaptionShift),INDEX($FO$245:$IH$316,$FN207-HN$169,73-HN$169+SwaptionShift):INDEX($FO$245:$IH$316,$FN207-HN$169,72-HN$169+SwaptionMonthsToGo+SwaptionShift))/SQRT(SUM(INDEX($FO362:$IH362,1+SwaptionShift):INDEX($FO362:$IH362,SwaptionMonthsToGo+SwaptionShift))*SUM(INDEX($FO$325:$IH$396,HN$169,1+SwaptionShift):INDEX($FO$325:$IH$396,HN$169,SwaptionMonthsToGo+SwaptionShift))))))</f>
        <v/>
      </c>
      <c r="HO207" s="469" t="str">
        <f ca="1">IF(OR(HO$169&lt;SwaptionFirstMonthPosition+1,$FN207&lt;SwaptionFirstMonthPosition+1,HO$169&gt;SwaptionFirstMonthPosition+SwaptionNumOfMonths+1,$FN207&gt;SwaptionFirstMonthPosition+SwaptionNumOfMonths+1),"",IF($FN207=HO$169,1,IF($FN207&lt;HO$169,INDEX($FO$170:$IH$241,HO$169,$FN207),SUMPRODUCT(INDEX($FO$325:$IH$396,HO$169,1+SwaptionShift):INDEX($FO$325:$IH$396,HO$169,SwaptionMonthsToGo+SwaptionShift),INDEX($FO$245:$IH$316,$FN207-HO$169,73-HO$169+SwaptionShift):INDEX($FO$245:$IH$316,$FN207-HO$169,72-HO$169+SwaptionMonthsToGo+SwaptionShift))/SQRT(SUM(INDEX($FO362:$IH362,1+SwaptionShift):INDEX($FO362:$IH362,SwaptionMonthsToGo+SwaptionShift))*SUM(INDEX($FO$325:$IH$396,HO$169,1+SwaptionShift):INDEX($FO$325:$IH$396,HO$169,SwaptionMonthsToGo+SwaptionShift))))))</f>
        <v/>
      </c>
      <c r="HP207" s="469" t="str">
        <f ca="1">IF(OR(HP$169&lt;SwaptionFirstMonthPosition+1,$FN207&lt;SwaptionFirstMonthPosition+1,HP$169&gt;SwaptionFirstMonthPosition+SwaptionNumOfMonths+1,$FN207&gt;SwaptionFirstMonthPosition+SwaptionNumOfMonths+1),"",IF($FN207=HP$169,1,IF($FN207&lt;HP$169,INDEX($FO$170:$IH$241,HP$169,$FN207),SUMPRODUCT(INDEX($FO$325:$IH$396,HP$169,1+SwaptionShift):INDEX($FO$325:$IH$396,HP$169,SwaptionMonthsToGo+SwaptionShift),INDEX($FO$245:$IH$316,$FN207-HP$169,73-HP$169+SwaptionShift):INDEX($FO$245:$IH$316,$FN207-HP$169,72-HP$169+SwaptionMonthsToGo+SwaptionShift))/SQRT(SUM(INDEX($FO362:$IH362,1+SwaptionShift):INDEX($FO362:$IH362,SwaptionMonthsToGo+SwaptionShift))*SUM(INDEX($FO$325:$IH$396,HP$169,1+SwaptionShift):INDEX($FO$325:$IH$396,HP$169,SwaptionMonthsToGo+SwaptionShift))))))</f>
        <v/>
      </c>
      <c r="HQ207" s="469" t="str">
        <f ca="1">IF(OR(HQ$169&lt;SwaptionFirstMonthPosition+1,$FN207&lt;SwaptionFirstMonthPosition+1,HQ$169&gt;SwaptionFirstMonthPosition+SwaptionNumOfMonths+1,$FN207&gt;SwaptionFirstMonthPosition+SwaptionNumOfMonths+1),"",IF($FN207=HQ$169,1,IF($FN207&lt;HQ$169,INDEX($FO$170:$IH$241,HQ$169,$FN207),SUMPRODUCT(INDEX($FO$325:$IH$396,HQ$169,1+SwaptionShift):INDEX($FO$325:$IH$396,HQ$169,SwaptionMonthsToGo+SwaptionShift),INDEX($FO$245:$IH$316,$FN207-HQ$169,73-HQ$169+SwaptionShift):INDEX($FO$245:$IH$316,$FN207-HQ$169,72-HQ$169+SwaptionMonthsToGo+SwaptionShift))/SQRT(SUM(INDEX($FO362:$IH362,1+SwaptionShift):INDEX($FO362:$IH362,SwaptionMonthsToGo+SwaptionShift))*SUM(INDEX($FO$325:$IH$396,HQ$169,1+SwaptionShift):INDEX($FO$325:$IH$396,HQ$169,SwaptionMonthsToGo+SwaptionShift))))))</f>
        <v/>
      </c>
      <c r="HR207" s="469" t="str">
        <f ca="1">IF(OR(HR$169&lt;SwaptionFirstMonthPosition+1,$FN207&lt;SwaptionFirstMonthPosition+1,HR$169&gt;SwaptionFirstMonthPosition+SwaptionNumOfMonths+1,$FN207&gt;SwaptionFirstMonthPosition+SwaptionNumOfMonths+1),"",IF($FN207=HR$169,1,IF($FN207&lt;HR$169,INDEX($FO$170:$IH$241,HR$169,$FN207),SUMPRODUCT(INDEX($FO$325:$IH$396,HR$169,1+SwaptionShift):INDEX($FO$325:$IH$396,HR$169,SwaptionMonthsToGo+SwaptionShift),INDEX($FO$245:$IH$316,$FN207-HR$169,73-HR$169+SwaptionShift):INDEX($FO$245:$IH$316,$FN207-HR$169,72-HR$169+SwaptionMonthsToGo+SwaptionShift))/SQRT(SUM(INDEX($FO362:$IH362,1+SwaptionShift):INDEX($FO362:$IH362,SwaptionMonthsToGo+SwaptionShift))*SUM(INDEX($FO$325:$IH$396,HR$169,1+SwaptionShift):INDEX($FO$325:$IH$396,HR$169,SwaptionMonthsToGo+SwaptionShift))))))</f>
        <v/>
      </c>
      <c r="HS207" s="469" t="str">
        <f ca="1">IF(OR(HS$169&lt;SwaptionFirstMonthPosition+1,$FN207&lt;SwaptionFirstMonthPosition+1,HS$169&gt;SwaptionFirstMonthPosition+SwaptionNumOfMonths+1,$FN207&gt;SwaptionFirstMonthPosition+SwaptionNumOfMonths+1),"",IF($FN207=HS$169,1,IF($FN207&lt;HS$169,INDEX($FO$170:$IH$241,HS$169,$FN207),SUMPRODUCT(INDEX($FO$325:$IH$396,HS$169,1+SwaptionShift):INDEX($FO$325:$IH$396,HS$169,SwaptionMonthsToGo+SwaptionShift),INDEX($FO$245:$IH$316,$FN207-HS$169,73-HS$169+SwaptionShift):INDEX($FO$245:$IH$316,$FN207-HS$169,72-HS$169+SwaptionMonthsToGo+SwaptionShift))/SQRT(SUM(INDEX($FO362:$IH362,1+SwaptionShift):INDEX($FO362:$IH362,SwaptionMonthsToGo+SwaptionShift))*SUM(INDEX($FO$325:$IH$396,HS$169,1+SwaptionShift):INDEX($FO$325:$IH$396,HS$169,SwaptionMonthsToGo+SwaptionShift))))))</f>
        <v/>
      </c>
      <c r="HT207" s="469" t="str">
        <f ca="1">IF(OR(HT$169&lt;SwaptionFirstMonthPosition+1,$FN207&lt;SwaptionFirstMonthPosition+1,HT$169&gt;SwaptionFirstMonthPosition+SwaptionNumOfMonths+1,$FN207&gt;SwaptionFirstMonthPosition+SwaptionNumOfMonths+1),"",IF($FN207=HT$169,1,IF($FN207&lt;HT$169,INDEX($FO$170:$IH$241,HT$169,$FN207),SUMPRODUCT(INDEX($FO$325:$IH$396,HT$169,1+SwaptionShift):INDEX($FO$325:$IH$396,HT$169,SwaptionMonthsToGo+SwaptionShift),INDEX($FO$245:$IH$316,$FN207-HT$169,73-HT$169+SwaptionShift):INDEX($FO$245:$IH$316,$FN207-HT$169,72-HT$169+SwaptionMonthsToGo+SwaptionShift))/SQRT(SUM(INDEX($FO362:$IH362,1+SwaptionShift):INDEX($FO362:$IH362,SwaptionMonthsToGo+SwaptionShift))*SUM(INDEX($FO$325:$IH$396,HT$169,1+SwaptionShift):INDEX($FO$325:$IH$396,HT$169,SwaptionMonthsToGo+SwaptionShift))))))</f>
        <v/>
      </c>
      <c r="HU207" s="469" t="str">
        <f ca="1">IF(OR(HU$169&lt;SwaptionFirstMonthPosition+1,$FN207&lt;SwaptionFirstMonthPosition+1,HU$169&gt;SwaptionFirstMonthPosition+SwaptionNumOfMonths+1,$FN207&gt;SwaptionFirstMonthPosition+SwaptionNumOfMonths+1),"",IF($FN207=HU$169,1,IF($FN207&lt;HU$169,INDEX($FO$170:$IH$241,HU$169,$FN207),SUMPRODUCT(INDEX($FO$325:$IH$396,HU$169,1+SwaptionShift):INDEX($FO$325:$IH$396,HU$169,SwaptionMonthsToGo+SwaptionShift),INDEX($FO$245:$IH$316,$FN207-HU$169,73-HU$169+SwaptionShift):INDEX($FO$245:$IH$316,$FN207-HU$169,72-HU$169+SwaptionMonthsToGo+SwaptionShift))/SQRT(SUM(INDEX($FO362:$IH362,1+SwaptionShift):INDEX($FO362:$IH362,SwaptionMonthsToGo+SwaptionShift))*SUM(INDEX($FO$325:$IH$396,HU$169,1+SwaptionShift):INDEX($FO$325:$IH$396,HU$169,SwaptionMonthsToGo+SwaptionShift))))))</f>
        <v/>
      </c>
      <c r="HV207" s="469" t="str">
        <f ca="1">IF(OR(HV$169&lt;SwaptionFirstMonthPosition+1,$FN207&lt;SwaptionFirstMonthPosition+1,HV$169&gt;SwaptionFirstMonthPosition+SwaptionNumOfMonths+1,$FN207&gt;SwaptionFirstMonthPosition+SwaptionNumOfMonths+1),"",IF($FN207=HV$169,1,IF($FN207&lt;HV$169,INDEX($FO$170:$IH$241,HV$169,$FN207),SUMPRODUCT(INDEX($FO$325:$IH$396,HV$169,1+SwaptionShift):INDEX($FO$325:$IH$396,HV$169,SwaptionMonthsToGo+SwaptionShift),INDEX($FO$245:$IH$316,$FN207-HV$169,73-HV$169+SwaptionShift):INDEX($FO$245:$IH$316,$FN207-HV$169,72-HV$169+SwaptionMonthsToGo+SwaptionShift))/SQRT(SUM(INDEX($FO362:$IH362,1+SwaptionShift):INDEX($FO362:$IH362,SwaptionMonthsToGo+SwaptionShift))*SUM(INDEX($FO$325:$IH$396,HV$169,1+SwaptionShift):INDEX($FO$325:$IH$396,HV$169,SwaptionMonthsToGo+SwaptionShift))))))</f>
        <v/>
      </c>
      <c r="HW207" s="469" t="str">
        <f ca="1">IF(OR(HW$169&lt;SwaptionFirstMonthPosition+1,$FN207&lt;SwaptionFirstMonthPosition+1,HW$169&gt;SwaptionFirstMonthPosition+SwaptionNumOfMonths+1,$FN207&gt;SwaptionFirstMonthPosition+SwaptionNumOfMonths+1),"",IF($FN207=HW$169,1,IF($FN207&lt;HW$169,INDEX($FO$170:$IH$241,HW$169,$FN207),SUMPRODUCT(INDEX($FO$325:$IH$396,HW$169,1+SwaptionShift):INDEX($FO$325:$IH$396,HW$169,SwaptionMonthsToGo+SwaptionShift),INDEX($FO$245:$IH$316,$FN207-HW$169,73-HW$169+SwaptionShift):INDEX($FO$245:$IH$316,$FN207-HW$169,72-HW$169+SwaptionMonthsToGo+SwaptionShift))/SQRT(SUM(INDEX($FO362:$IH362,1+SwaptionShift):INDEX($FO362:$IH362,SwaptionMonthsToGo+SwaptionShift))*SUM(INDEX($FO$325:$IH$396,HW$169,1+SwaptionShift):INDEX($FO$325:$IH$396,HW$169,SwaptionMonthsToGo+SwaptionShift))))))</f>
        <v/>
      </c>
      <c r="HX207" s="469" t="str">
        <f ca="1">IF(OR(HX$169&lt;SwaptionFirstMonthPosition+1,$FN207&lt;SwaptionFirstMonthPosition+1,HX$169&gt;SwaptionFirstMonthPosition+SwaptionNumOfMonths+1,$FN207&gt;SwaptionFirstMonthPosition+SwaptionNumOfMonths+1),"",IF($FN207=HX$169,1,IF($FN207&lt;HX$169,INDEX($FO$170:$IH$241,HX$169,$FN207),SUMPRODUCT(INDEX($FO$325:$IH$396,HX$169,1+SwaptionShift):INDEX($FO$325:$IH$396,HX$169,SwaptionMonthsToGo+SwaptionShift),INDEX($FO$245:$IH$316,$FN207-HX$169,73-HX$169+SwaptionShift):INDEX($FO$245:$IH$316,$FN207-HX$169,72-HX$169+SwaptionMonthsToGo+SwaptionShift))/SQRT(SUM(INDEX($FO362:$IH362,1+SwaptionShift):INDEX($FO362:$IH362,SwaptionMonthsToGo+SwaptionShift))*SUM(INDEX($FO$325:$IH$396,HX$169,1+SwaptionShift):INDEX($FO$325:$IH$396,HX$169,SwaptionMonthsToGo+SwaptionShift))))))</f>
        <v/>
      </c>
      <c r="HY207" s="469" t="str">
        <f ca="1">IF(OR(HY$169&lt;SwaptionFirstMonthPosition+1,$FN207&lt;SwaptionFirstMonthPosition+1,HY$169&gt;SwaptionFirstMonthPosition+SwaptionNumOfMonths+1,$FN207&gt;SwaptionFirstMonthPosition+SwaptionNumOfMonths+1),"",IF($FN207=HY$169,1,IF($FN207&lt;HY$169,INDEX($FO$170:$IH$241,HY$169,$FN207),SUMPRODUCT(INDEX($FO$325:$IH$396,HY$169,1+SwaptionShift):INDEX($FO$325:$IH$396,HY$169,SwaptionMonthsToGo+SwaptionShift),INDEX($FO$245:$IH$316,$FN207-HY$169,73-HY$169+SwaptionShift):INDEX($FO$245:$IH$316,$FN207-HY$169,72-HY$169+SwaptionMonthsToGo+SwaptionShift))/SQRT(SUM(INDEX($FO362:$IH362,1+SwaptionShift):INDEX($FO362:$IH362,SwaptionMonthsToGo+SwaptionShift))*SUM(INDEX($FO$325:$IH$396,HY$169,1+SwaptionShift):INDEX($FO$325:$IH$396,HY$169,SwaptionMonthsToGo+SwaptionShift))))))</f>
        <v/>
      </c>
      <c r="HZ207" s="469" t="str">
        <f ca="1">IF(OR(HZ$169&lt;SwaptionFirstMonthPosition+1,$FN207&lt;SwaptionFirstMonthPosition+1,HZ$169&gt;SwaptionFirstMonthPosition+SwaptionNumOfMonths+1,$FN207&gt;SwaptionFirstMonthPosition+SwaptionNumOfMonths+1),"",IF($FN207=HZ$169,1,IF($FN207&lt;HZ$169,INDEX($FO$170:$IH$241,HZ$169,$FN207),SUMPRODUCT(INDEX($FO$325:$IH$396,HZ$169,1+SwaptionShift):INDEX($FO$325:$IH$396,HZ$169,SwaptionMonthsToGo+SwaptionShift),INDEX($FO$245:$IH$316,$FN207-HZ$169,73-HZ$169+SwaptionShift):INDEX($FO$245:$IH$316,$FN207-HZ$169,72-HZ$169+SwaptionMonthsToGo+SwaptionShift))/SQRT(SUM(INDEX($FO362:$IH362,1+SwaptionShift):INDEX($FO362:$IH362,SwaptionMonthsToGo+SwaptionShift))*SUM(INDEX($FO$325:$IH$396,HZ$169,1+SwaptionShift):INDEX($FO$325:$IH$396,HZ$169,SwaptionMonthsToGo+SwaptionShift))))))</f>
        <v/>
      </c>
      <c r="IA207" s="469" t="str">
        <f ca="1">IF(OR(IA$169&lt;SwaptionFirstMonthPosition+1,$FN207&lt;SwaptionFirstMonthPosition+1,IA$169&gt;SwaptionFirstMonthPosition+SwaptionNumOfMonths+1,$FN207&gt;SwaptionFirstMonthPosition+SwaptionNumOfMonths+1),"",IF($FN207=IA$169,1,IF($FN207&lt;IA$169,INDEX($FO$170:$IH$241,IA$169,$FN207),SUMPRODUCT(INDEX($FO$325:$IH$396,IA$169,1+SwaptionShift):INDEX($FO$325:$IH$396,IA$169,SwaptionMonthsToGo+SwaptionShift),INDEX($FO$245:$IH$316,$FN207-IA$169,73-IA$169+SwaptionShift):INDEX($FO$245:$IH$316,$FN207-IA$169,72-IA$169+SwaptionMonthsToGo+SwaptionShift))/SQRT(SUM(INDEX($FO362:$IH362,1+SwaptionShift):INDEX($FO362:$IH362,SwaptionMonthsToGo+SwaptionShift))*SUM(INDEX($FO$325:$IH$396,IA$169,1+SwaptionShift):INDEX($FO$325:$IH$396,IA$169,SwaptionMonthsToGo+SwaptionShift))))))</f>
        <v/>
      </c>
      <c r="IB207" s="469" t="str">
        <f ca="1">IF(OR(IB$169&lt;SwaptionFirstMonthPosition+1,$FN207&lt;SwaptionFirstMonthPosition+1,IB$169&gt;SwaptionFirstMonthPosition+SwaptionNumOfMonths+1,$FN207&gt;SwaptionFirstMonthPosition+SwaptionNumOfMonths+1),"",IF($FN207=IB$169,1,IF($FN207&lt;IB$169,INDEX($FO$170:$IH$241,IB$169,$FN207),SUMPRODUCT(INDEX($FO$325:$IH$396,IB$169,1+SwaptionShift):INDEX($FO$325:$IH$396,IB$169,SwaptionMonthsToGo+SwaptionShift),INDEX($FO$245:$IH$316,$FN207-IB$169,73-IB$169+SwaptionShift):INDEX($FO$245:$IH$316,$FN207-IB$169,72-IB$169+SwaptionMonthsToGo+SwaptionShift))/SQRT(SUM(INDEX($FO362:$IH362,1+SwaptionShift):INDEX($FO362:$IH362,SwaptionMonthsToGo+SwaptionShift))*SUM(INDEX($FO$325:$IH$396,IB$169,1+SwaptionShift):INDEX($FO$325:$IH$396,IB$169,SwaptionMonthsToGo+SwaptionShift))))))</f>
        <v/>
      </c>
      <c r="IC207" s="469" t="str">
        <f ca="1">IF(OR(IC$169&lt;SwaptionFirstMonthPosition+1,$FN207&lt;SwaptionFirstMonthPosition+1,IC$169&gt;SwaptionFirstMonthPosition+SwaptionNumOfMonths+1,$FN207&gt;SwaptionFirstMonthPosition+SwaptionNumOfMonths+1),"",IF($FN207=IC$169,1,IF($FN207&lt;IC$169,INDEX($FO$170:$IH$241,IC$169,$FN207),SUMPRODUCT(INDEX($FO$325:$IH$396,IC$169,1+SwaptionShift):INDEX($FO$325:$IH$396,IC$169,SwaptionMonthsToGo+SwaptionShift),INDEX($FO$245:$IH$316,$FN207-IC$169,73-IC$169+SwaptionShift):INDEX($FO$245:$IH$316,$FN207-IC$169,72-IC$169+SwaptionMonthsToGo+SwaptionShift))/SQRT(SUM(INDEX($FO362:$IH362,1+SwaptionShift):INDEX($FO362:$IH362,SwaptionMonthsToGo+SwaptionShift))*SUM(INDEX($FO$325:$IH$396,IC$169,1+SwaptionShift):INDEX($FO$325:$IH$396,IC$169,SwaptionMonthsToGo+SwaptionShift))))))</f>
        <v/>
      </c>
      <c r="ID207" s="469" t="str">
        <f ca="1">IF(OR(ID$169&lt;SwaptionFirstMonthPosition+1,$FN207&lt;SwaptionFirstMonthPosition+1,ID$169&gt;SwaptionFirstMonthPosition+SwaptionNumOfMonths+1,$FN207&gt;SwaptionFirstMonthPosition+SwaptionNumOfMonths+1),"",IF($FN207=ID$169,1,IF($FN207&lt;ID$169,INDEX($FO$170:$IH$241,ID$169,$FN207),SUMPRODUCT(INDEX($FO$325:$IH$396,ID$169,1+SwaptionShift):INDEX($FO$325:$IH$396,ID$169,SwaptionMonthsToGo+SwaptionShift),INDEX($FO$245:$IH$316,$FN207-ID$169,73-ID$169+SwaptionShift):INDEX($FO$245:$IH$316,$FN207-ID$169,72-ID$169+SwaptionMonthsToGo+SwaptionShift))/SQRT(SUM(INDEX($FO362:$IH362,1+SwaptionShift):INDEX($FO362:$IH362,SwaptionMonthsToGo+SwaptionShift))*SUM(INDEX($FO$325:$IH$396,ID$169,1+SwaptionShift):INDEX($FO$325:$IH$396,ID$169,SwaptionMonthsToGo+SwaptionShift))))))</f>
        <v/>
      </c>
      <c r="IE207" s="469" t="str">
        <f ca="1">IF(OR(IE$169&lt;SwaptionFirstMonthPosition+1,$FN207&lt;SwaptionFirstMonthPosition+1,IE$169&gt;SwaptionFirstMonthPosition+SwaptionNumOfMonths+1,$FN207&gt;SwaptionFirstMonthPosition+SwaptionNumOfMonths+1),"",IF($FN207=IE$169,1,IF($FN207&lt;IE$169,INDEX($FO$170:$IH$241,IE$169,$FN207),SUMPRODUCT(INDEX($FO$325:$IH$396,IE$169,1+SwaptionShift):INDEX($FO$325:$IH$396,IE$169,SwaptionMonthsToGo+SwaptionShift),INDEX($FO$245:$IH$316,$FN207-IE$169,73-IE$169+SwaptionShift):INDEX($FO$245:$IH$316,$FN207-IE$169,72-IE$169+SwaptionMonthsToGo+SwaptionShift))/SQRT(SUM(INDEX($FO362:$IH362,1+SwaptionShift):INDEX($FO362:$IH362,SwaptionMonthsToGo+SwaptionShift))*SUM(INDEX($FO$325:$IH$396,IE$169,1+SwaptionShift):INDEX($FO$325:$IH$396,IE$169,SwaptionMonthsToGo+SwaptionShift))))))</f>
        <v/>
      </c>
      <c r="IF207" s="469" t="str">
        <f ca="1">IF(OR(IF$169&lt;SwaptionFirstMonthPosition+1,$FN207&lt;SwaptionFirstMonthPosition+1,IF$169&gt;SwaptionFirstMonthPosition+SwaptionNumOfMonths+1,$FN207&gt;SwaptionFirstMonthPosition+SwaptionNumOfMonths+1),"",IF($FN207=IF$169,1,IF($FN207&lt;IF$169,INDEX($FO$170:$IH$241,IF$169,$FN207),SUMPRODUCT(INDEX($FO$325:$IH$396,IF$169,1+SwaptionShift):INDEX($FO$325:$IH$396,IF$169,SwaptionMonthsToGo+SwaptionShift),INDEX($FO$245:$IH$316,$FN207-IF$169,73-IF$169+SwaptionShift):INDEX($FO$245:$IH$316,$FN207-IF$169,72-IF$169+SwaptionMonthsToGo+SwaptionShift))/SQRT(SUM(INDEX($FO362:$IH362,1+SwaptionShift):INDEX($FO362:$IH362,SwaptionMonthsToGo+SwaptionShift))*SUM(INDEX($FO$325:$IH$396,IF$169,1+SwaptionShift):INDEX($FO$325:$IH$396,IF$169,SwaptionMonthsToGo+SwaptionShift))))))</f>
        <v/>
      </c>
      <c r="IG207" s="469" t="str">
        <f ca="1">IF(OR(IG$169&lt;SwaptionFirstMonthPosition+1,$FN207&lt;SwaptionFirstMonthPosition+1,IG$169&gt;SwaptionFirstMonthPosition+SwaptionNumOfMonths+1,$FN207&gt;SwaptionFirstMonthPosition+SwaptionNumOfMonths+1),"",IF($FN207=IG$169,1,IF($FN207&lt;IG$169,INDEX($FO$170:$IH$241,IG$169,$FN207),SUMPRODUCT(INDEX($FO$325:$IH$396,IG$169,1+SwaptionShift):INDEX($FO$325:$IH$396,IG$169,SwaptionMonthsToGo+SwaptionShift),INDEX($FO$245:$IH$316,$FN207-IG$169,73-IG$169+SwaptionShift):INDEX($FO$245:$IH$316,$FN207-IG$169,72-IG$169+SwaptionMonthsToGo+SwaptionShift))/SQRT(SUM(INDEX($FO362:$IH362,1+SwaptionShift):INDEX($FO362:$IH362,SwaptionMonthsToGo+SwaptionShift))*SUM(INDEX($FO$325:$IH$396,IG$169,1+SwaptionShift):INDEX($FO$325:$IH$396,IG$169,SwaptionMonthsToGo+SwaptionShift))))))</f>
        <v/>
      </c>
      <c r="IH207" s="662" t="str">
        <f ca="1">IF(OR(IH$169&lt;SwaptionFirstMonthPosition+1,$FN207&lt;SwaptionFirstMonthPosition+1,IH$169&gt;SwaptionFirstMonthPosition+SwaptionNumOfMonths+1,$FN207&gt;SwaptionFirstMonthPosition+SwaptionNumOfMonths+1),"",IF($FN207=IH$169,1,IF($FN207&lt;IH$169,INDEX($FO$170:$IH$241,IH$169,$FN207),SUMPRODUCT(INDEX($FO$325:$IH$396,IH$169,1+SwaptionShift):INDEX($FO$325:$IH$396,IH$169,SwaptionMonthsToGo+SwaptionShift),INDEX($FO$245:$IH$316,$FN207-IH$169,73-IH$169+SwaptionShift):INDEX($FO$245:$IH$316,$FN207-IH$169,72-IH$169+SwaptionMonthsToGo+SwaptionShift))/SQRT(SUM(INDEX($FO362:$IH362,1+SwaptionShift):INDEX($FO362:$IH362,SwaptionMonthsToGo+SwaptionShift))*SUM(INDEX($FO$325:$IH$396,IH$169,1+SwaptionShift):INDEX($FO$325:$IH$396,IH$169,SwaptionMonthsToGo+SwaptionShift))))))</f>
        <v/>
      </c>
      <c r="II207" s="242"/>
    </row>
    <row r="208" spans="8:243">
      <c r="H208" s="49" t="e">
        <f t="shared" ca="1" si="529"/>
        <v>#N/A</v>
      </c>
      <c r="I208" s="369">
        <f t="shared" si="530"/>
        <v>42736</v>
      </c>
      <c r="J208" s="367">
        <v>24.084999999999901</v>
      </c>
      <c r="K208" s="101" t="s">
        <v>267</v>
      </c>
      <c r="L208" s="382">
        <f t="shared" si="531"/>
        <v>24.084999999999862</v>
      </c>
      <c r="M208" s="163">
        <v>0.13589999999999999</v>
      </c>
      <c r="N208" s="372">
        <v>0</v>
      </c>
      <c r="O208" s="163">
        <f t="shared" si="595"/>
        <v>0.13589999999999999</v>
      </c>
      <c r="P208" s="367">
        <v>22.8319446287808</v>
      </c>
      <c r="Q208" s="101" t="s">
        <v>267</v>
      </c>
      <c r="R208" s="367">
        <f t="shared" ca="1" si="596"/>
        <v>22.831944628780775</v>
      </c>
      <c r="S208" s="814">
        <f t="shared" si="594"/>
        <v>0.34763398661379558</v>
      </c>
      <c r="T208" s="813">
        <f t="shared" si="550"/>
        <v>0.99999999980500298</v>
      </c>
      <c r="U208" s="532">
        <f t="shared" si="551"/>
        <v>0.99999999999999978</v>
      </c>
      <c r="V208" s="379">
        <v>0</v>
      </c>
      <c r="W208" s="424">
        <f t="shared" si="597"/>
        <v>24.117954545454442</v>
      </c>
      <c r="X208" s="405">
        <f t="shared" si="598"/>
        <v>24.117954545454406</v>
      </c>
      <c r="Y208" s="313">
        <f t="shared" si="599"/>
        <v>22.901954545454441</v>
      </c>
      <c r="Z208" s="313">
        <f t="shared" ca="1" si="600"/>
        <v>22.901954545454405</v>
      </c>
      <c r="AA208" s="419">
        <f t="shared" si="493"/>
        <v>1.216</v>
      </c>
      <c r="AB208" s="423">
        <f t="shared" ca="1" si="494"/>
        <v>1.216</v>
      </c>
      <c r="AC208" s="221">
        <v>42724</v>
      </c>
      <c r="AD208" s="221">
        <v>42720</v>
      </c>
      <c r="AE208" s="221">
        <v>42719</v>
      </c>
      <c r="AF208" s="221">
        <v>42715</v>
      </c>
      <c r="AG208" s="241" t="s">
        <v>497</v>
      </c>
      <c r="AH208" s="239" t="s">
        <v>497</v>
      </c>
      <c r="AI208" s="141">
        <v>22</v>
      </c>
      <c r="AJ208" s="41">
        <v>15</v>
      </c>
      <c r="AK208" s="41">
        <v>7</v>
      </c>
      <c r="AL208" s="285">
        <v>22</v>
      </c>
      <c r="AM208" s="41">
        <v>10</v>
      </c>
      <c r="AN208" s="142">
        <v>12</v>
      </c>
      <c r="AO208" s="364">
        <v>6.2349648665274197E-2</v>
      </c>
      <c r="AP208" s="145">
        <f t="shared" ca="1" si="532"/>
        <v>0.37873078494220064</v>
      </c>
      <c r="AQ208" s="364">
        <v>5.7209725042151501E-2</v>
      </c>
      <c r="AR208" s="145">
        <f t="shared" ca="1" si="552"/>
        <v>0.41275428403263531</v>
      </c>
      <c r="AS208" s="264">
        <f t="shared" si="601"/>
        <v>0.13537272727272728</v>
      </c>
      <c r="AT208" s="149">
        <f t="shared" si="533"/>
        <v>0.13589999999999999</v>
      </c>
      <c r="AU208" s="149">
        <f t="shared" si="496"/>
        <v>0.13528181818181817</v>
      </c>
      <c r="AV208" s="263">
        <f t="shared" ca="1" si="560"/>
        <v>0.13390281867539527</v>
      </c>
      <c r="AW208" s="150" t="str">
        <f t="shared" ca="1" si="581"/>
        <v/>
      </c>
      <c r="AX208" s="149">
        <f t="shared" ca="1" si="553"/>
        <v>4.5730990393692966E-3</v>
      </c>
      <c r="AY208" s="149">
        <f t="shared" ca="1" si="554"/>
        <v>1.494259062139638E-3</v>
      </c>
      <c r="AZ208" s="149">
        <f t="shared" ca="1" si="555"/>
        <v>1.6504913635614861E-3</v>
      </c>
      <c r="BA208" s="149">
        <f t="shared" ca="1" si="556"/>
        <v>1.0000000000000964E-4</v>
      </c>
      <c r="BB208" s="149">
        <f t="shared" ca="1" si="557"/>
        <v>1.0000000000000964E-4</v>
      </c>
      <c r="BC208" s="149">
        <f t="shared" ca="1" si="558"/>
        <v>1.0000000000000964E-4</v>
      </c>
      <c r="BD208" s="143">
        <f t="shared" ca="1" si="602"/>
        <v>0</v>
      </c>
      <c r="BE208" s="144">
        <f t="shared" ca="1" si="603"/>
        <v>0</v>
      </c>
      <c r="BF208" s="40">
        <f t="shared" si="604"/>
        <v>2017</v>
      </c>
      <c r="BG208" s="139">
        <f t="shared" si="605"/>
        <v>1</v>
      </c>
      <c r="BH208" s="140">
        <f t="shared" ca="1" si="606"/>
        <v>5730</v>
      </c>
      <c r="BI208" s="304">
        <f t="shared" ca="1" si="607"/>
        <v>15.731690622861054</v>
      </c>
      <c r="BJ208" s="42">
        <f t="shared" ca="1" si="503"/>
        <v>15.787692116234211</v>
      </c>
      <c r="BK208" s="42">
        <f t="shared" ca="1" si="504"/>
        <v>15.790429967021344</v>
      </c>
      <c r="BL208" s="42">
        <f t="shared" ca="1" si="608"/>
        <v>15.813826146475018</v>
      </c>
      <c r="BM208" s="285">
        <f t="shared" si="609"/>
        <v>22</v>
      </c>
      <c r="BN208" s="41">
        <f t="shared" si="610"/>
        <v>15</v>
      </c>
      <c r="BO208" s="41">
        <f t="shared" si="611"/>
        <v>7</v>
      </c>
      <c r="BP208" s="297" t="str">
        <f t="shared" ca="1" si="505"/>
        <v/>
      </c>
      <c r="BQ208" s="297" t="str">
        <f t="shared" ca="1" si="506"/>
        <v/>
      </c>
      <c r="BR208" s="299" t="str">
        <f t="shared" ca="1" si="507"/>
        <v/>
      </c>
      <c r="BS208" s="153" t="str">
        <f t="shared" ca="1" si="508"/>
        <v/>
      </c>
      <c r="BT208" s="153" t="str">
        <f t="shared" ca="1" si="509"/>
        <v/>
      </c>
      <c r="BU208" s="300" t="str">
        <f t="shared" ca="1" si="510"/>
        <v/>
      </c>
      <c r="BV208" s="301" t="str">
        <f t="shared" ca="1" si="511"/>
        <v/>
      </c>
      <c r="BW208" s="300" t="str">
        <f t="shared" ca="1" si="512"/>
        <v/>
      </c>
      <c r="BX208" s="301" t="str">
        <f t="shared" ca="1" si="513"/>
        <v/>
      </c>
      <c r="BY208" s="146" t="str">
        <f t="shared" ca="1" si="514"/>
        <v/>
      </c>
      <c r="BZ208" s="146" t="str">
        <f t="shared" ca="1" si="515"/>
        <v/>
      </c>
      <c r="CA208" s="146" t="str">
        <f t="shared" ca="1" si="516"/>
        <v/>
      </c>
      <c r="CB208" s="146" t="str">
        <f t="shared" ca="1" si="517"/>
        <v/>
      </c>
      <c r="CC208" s="302">
        <v>1</v>
      </c>
      <c r="CD208" s="154">
        <f ca="1">IF(BD208,_xll.xCrudeAPO(BS208,BT208,BY208,BZ208,S209,S210,BI208,BL208,BN208,BO208,0,Strike1,AO208,CC208,0,BL208,IF(OptControl=4,0,1),0,1),0)</f>
        <v>0</v>
      </c>
      <c r="CE208" s="155">
        <f ca="1">IF(BD208,_xll.xCrudeAPO(BS208,BT208,BY208,BZ208,S209,S210,BI208,BL208,BN208,BO208,0,Strike1,AO208,CC208,0,BL208,IF(OptControl=4,0,1),1,1)+_xll.xCrudeAPO(BS208,BT208,BY208,BZ208,S209,S210,BI208,BL208,BN208,BO208,0,Strike1,AO208,CC208,0,BL208,IF(OptControl=4,0,1),1,2)+IF(OR(VolSkewFlag=2,ABS(BQ208)&lt;0.0001),0,IF(BQ208&gt;0,-1,1)*CF208*Strike1/BP208^2*BW208/10%),0)</f>
        <v>0</v>
      </c>
      <c r="CF208" s="155">
        <f ca="1">IF(BD208,(_xll.xCrudeAPO(BS208,BT208,BY208,BZ208,S209,S210,BI208,BL208,BN208,BO208,0,Strike1,AO208,CC208,0,BL208,IF(OptControl=4,0,1),3,1)+_xll.xCrudeAPO(BS208,BT208,BY208,BZ208,S209,S210,BI208,BL208,BN208,BO208,0,Strike1,AO208,CC208,0,BL208,IF(OptControl=4,0,1),3,2))/100,0)</f>
        <v>0</v>
      </c>
      <c r="CG208" s="155">
        <f ca="1">IF(BD208,_xll.xCrudeAPO(BS208,BT208,BY208,BZ208,S209,S210,BI208-DaysForThetaCalculation/365.25,BL208-DaysForThetaCalculation/365.25,BN208,BO208,0,Strike1,AO208,CC208,0,BL208,IF(OptControl=4,0,1),0,1)-_xll.xCrudeAPO(BS208,BT208,BY208,BZ208,S209,S210,BI208,BL208,BN208,BO208,0,Strike1,AO208,CC208,0,BL208,IF(OptControl=4,0,1),0,1),0)</f>
        <v>0</v>
      </c>
      <c r="CH208" s="303">
        <f ca="1">IF(BD208,_xll.xCrudeAPO(BS208,BT208,CA208,CB208,S209,S210,BI208,BL208,BN208,BO208,0,Strike2,AO208,CC208,0,BL208,IF(OptControl=3,1,0),0,1),0)</f>
        <v>0</v>
      </c>
      <c r="CI208" s="155">
        <f ca="1">IF(BD208,_xll.xCrudeAPO(BS208,BT208,CA208,CB208,S209,S210,BI208,BL208,BN208,BO208,0,Strike2,AO208,CC208,0,BL208,IF(OptControl=3,1,0),1,1)+_xll.xCrudeAPO(BS208,BT208,CA208,CB208,S209,S210,BI208,BL208,BN208,BO208,0,Strike2,AO208,CC208,0,BL208,IF(OptControl=3,1,0),1,2)+IF(OR(VolSkewFlag=2,ABS(BR208)&lt;0.0001),0,IF(BR208&gt;0,-1,1)*CJ208*Strike2/BP208^2*BX208/10%),0)</f>
        <v>0</v>
      </c>
      <c r="CJ208" s="155">
        <f ca="1">IF(BD208,(_xll.xCrudeAPO(BS208,BT208,CA208,CB208,S209,S210,BI208,BL208,BN208,BO208,0,Strike2,AO208,CC208,0,BL208,IF(OptControl=3,1,0),3,1)+_xll.xCrudeAPO(BS208,BT208,CA208,CB208,S209,S210,BI208,BL208,BN208,BO208,0,Strike2,AO208,CC208,0,BL208,IF(OptControl=3,1,0),3,2))/100,0)</f>
        <v>0</v>
      </c>
      <c r="CK208" s="156">
        <f ca="1">IF(BD208,_xll.xCrudeAPO(BS208,BT208,CA208,CB208,S209,S210,BI208-DaysForThetaCalculation/365.25,BL208-DaysForThetaCalculation/365.25,BN208,BO208,0,Strike2,AO208,CC208,0,BL208,IF(OptControl=3,1,0),0,1)-_xll.xCrudeAPO(BS208,BT208,CA208,CB208,S209,S210,BI208,BL208,BN208,BO208,0,Strike2,AO208,CC208,0,BL208,IF(OptControl=3,1,0),0,1),0)</f>
        <v>0</v>
      </c>
      <c r="CL208" s="51"/>
      <c r="CM208" s="779" t="str">
        <f t="shared" ca="1" si="534"/>
        <v/>
      </c>
      <c r="CN208" s="783" t="str">
        <f t="shared" ca="1" si="535"/>
        <v/>
      </c>
      <c r="CO208" s="780" t="str">
        <f t="shared" ca="1" si="536"/>
        <v/>
      </c>
      <c r="CP208" s="780" t="str">
        <f t="shared" ca="1" si="537"/>
        <v/>
      </c>
      <c r="CQ208" s="780" t="str">
        <f t="shared" ca="1" si="538"/>
        <v/>
      </c>
      <c r="CR208" s="780" t="str">
        <f t="shared" ca="1" si="539"/>
        <v/>
      </c>
      <c r="CS208" s="781" t="str">
        <f t="shared" ca="1" si="540"/>
        <v/>
      </c>
      <c r="CT208" s="782" t="str">
        <f t="shared" ca="1" si="541"/>
        <v/>
      </c>
      <c r="CU208" s="782" t="str">
        <f t="shared" ca="1" si="542"/>
        <v/>
      </c>
      <c r="CV208" s="155">
        <f ca="1">IF(BD208,_xll.EURO(CN208,Strike1,AO208,AO208,CT208,CM208,IF(OptControl=4,0,1),0),0)</f>
        <v>0</v>
      </c>
      <c r="CW208" s="155">
        <f ca="1">IF(BD208,_xll.EURO(CN208,Strike1,AO208,AO208,CT208,CM208,IF(OptControl=4,0,1),1)+IF(OR(VolSkewFlag=2,ABS(CO208)&lt;0.0001),0,IF(CO208&gt;0,-1,1)*CX208*100*Strike1/CN208^2*CQ208/10%),0)</f>
        <v>0</v>
      </c>
      <c r="CX208" s="155">
        <f ca="1">IF(BD208,_xll.EURO(CN208,Strike1,AO208,AO208,CT208,CM208,IF(OptControl=4,0,1),3)/100,0)</f>
        <v>0</v>
      </c>
      <c r="CY208" s="155">
        <f ca="1">IF(BD208,_xll.EURO(CN208,Strike1,AO208,AO208,CT208,CM208,IF(OptControl=4,0,1),0)-_xll.EURO(CN208,Strike1,AO208,AO208,CT208,CM208-1,IF(OptControl=4,0,1),0),0)</f>
        <v>0</v>
      </c>
      <c r="CZ208" s="155">
        <f ca="1">IF(BD208,_xll.EURO(CN208,Strike2,AO208,AO208,CU208,CM208,IF(OptControl=3,1,0),0),0)</f>
        <v>0</v>
      </c>
      <c r="DA208" s="155">
        <f ca="1">IF(BD208,_xll.EURO(CN208,Strike2,AO208,AO208,CU208,CM208,IF(OptControl=3,1,0),1)+IF(OR(VolSkewFlag=2,ABS(CP208)&lt;0.0001),0,IF(CP208&gt;0,-1,1)*DB208*100*Strike2/CN208^2*CR208/10%),0)</f>
        <v>0</v>
      </c>
      <c r="DB208" s="155">
        <f ca="1">IF(BD208,_xll.EURO(CN208,Strike2,AO208,AO208,CU208,CM208,IF(OptControl=3,1,0),3)/100,0)</f>
        <v>0</v>
      </c>
      <c r="DC208" s="156">
        <f ca="1">IF(BD208,_xll.EURO(CN208,Strike2,AO208,AO208,CU208,CM208,IF(OptControl=3,1,0),0)-_xll.EURO(CN208,Strike2,AO208,AO208,CU208,CM208-1,IF(OptControl=3,1,0),0),0)</f>
        <v>0</v>
      </c>
      <c r="DE208" s="651">
        <f t="shared" ca="1" si="543"/>
        <v>42644</v>
      </c>
      <c r="DF208" s="465">
        <v>1E-4</v>
      </c>
      <c r="DG208" s="649">
        <v>1E-4</v>
      </c>
      <c r="DH208" s="650">
        <f t="shared" ca="1" si="612"/>
        <v>42644</v>
      </c>
      <c r="DI208" s="465">
        <v>1E-4</v>
      </c>
      <c r="DJ208" s="649">
        <v>1E-4</v>
      </c>
      <c r="DK208" s="651">
        <f t="shared" ca="1" si="613"/>
        <v>42644</v>
      </c>
      <c r="DL208" s="652">
        <f t="shared" si="614"/>
        <v>5.0100000000000006E-2</v>
      </c>
      <c r="DM208" s="651">
        <f t="shared" ca="1" si="615"/>
        <v>42644</v>
      </c>
      <c r="DN208" s="563">
        <f t="shared" si="616"/>
        <v>-0.12990000000000002</v>
      </c>
      <c r="DO208" s="803">
        <v>-0.13</v>
      </c>
      <c r="DP208" s="650">
        <f t="shared" ca="1" si="617"/>
        <v>42644</v>
      </c>
      <c r="DQ208" s="653">
        <v>1E-4</v>
      </c>
      <c r="DR208" s="590">
        <v>1E-4</v>
      </c>
      <c r="DS208" s="650">
        <f t="shared" ca="1" si="618"/>
        <v>42644</v>
      </c>
      <c r="DT208" s="653">
        <v>1E-4</v>
      </c>
      <c r="DU208" s="590">
        <v>1E-4</v>
      </c>
      <c r="DV208" s="651">
        <f t="shared" ca="1" si="619"/>
        <v>42644</v>
      </c>
      <c r="DW208" s="590">
        <v>1E-4</v>
      </c>
      <c r="DX208" s="651">
        <f t="shared" ca="1" si="620"/>
        <v>42644</v>
      </c>
      <c r="DY208" s="590">
        <f t="shared" si="621"/>
        <v>1E-4</v>
      </c>
      <c r="DZ208" s="1"/>
      <c r="EA208" s="857"/>
      <c r="EB208" s="857"/>
      <c r="EC208" s="857"/>
      <c r="ED208" s="868" t="e">
        <f t="shared" ca="1" si="566"/>
        <v>#NAME?</v>
      </c>
      <c r="EE208" s="863" t="e">
        <f t="shared" ca="1" si="524"/>
        <v>#NAME?</v>
      </c>
      <c r="EF208" s="590" t="e">
        <f t="shared" ca="1" si="525"/>
        <v>#NAME?</v>
      </c>
      <c r="EG208" s="862" t="str">
        <f t="shared" ca="1" si="622"/>
        <v/>
      </c>
      <c r="EH208" s="114" t="str">
        <f t="shared" ca="1" si="527"/>
        <v/>
      </c>
      <c r="EI208" s="109" t="str">
        <f t="shared" ca="1" si="528"/>
        <v/>
      </c>
      <c r="EJ208" s="115">
        <f ca="1">IF(BD208,_xll.xASN(BP208,Strike1,AO208,EH208,0,BM208,0,BI208,BL208,IF(OptControl=4,0,1),0),0)</f>
        <v>0</v>
      </c>
      <c r="EK208" s="108">
        <f ca="1">IF(BD208,_xll.xASN(BP208,Strike2,AO208,EI208,0,BM208,0,BI208,BL208,IF(OptControl=3,1,0),0),0)</f>
        <v>0</v>
      </c>
      <c r="EP208" s="53"/>
      <c r="EQ208" s="1"/>
      <c r="ER208" s="103"/>
      <c r="ES208" s="103"/>
      <c r="ET208" s="1"/>
      <c r="EU208" s="667" t="s">
        <v>421</v>
      </c>
      <c r="EW208" s="445"/>
      <c r="EX208" s="36"/>
      <c r="EY208" s="104"/>
      <c r="EZ208" s="465"/>
      <c r="FA208" s="446"/>
      <c r="FB208" s="446"/>
      <c r="FC208" s="242"/>
      <c r="FD208" s="242"/>
      <c r="FE208" s="242"/>
      <c r="FF208" s="242"/>
      <c r="FG208" s="242"/>
      <c r="FH208" s="242"/>
      <c r="FI208" s="242"/>
      <c r="FJ208" s="242"/>
      <c r="FK208" s="242"/>
      <c r="FL208" s="242"/>
      <c r="FM208" s="242"/>
      <c r="FN208" s="657">
        <v>39</v>
      </c>
      <c r="FO208" s="469" t="str">
        <f ca="1">IF(OR(FO$169&lt;SwaptionFirstMonthPosition+1,$FN208&lt;SwaptionFirstMonthPosition+1,FO$169&gt;SwaptionFirstMonthPosition+SwaptionNumOfMonths+1,$FN208&gt;SwaptionFirstMonthPosition+SwaptionNumOfMonths+1),"",IF($FN208=FO$169,1,IF($FN208&lt;FO$169,INDEX($FO$170:$IH$241,FO$169,$FN208),SUMPRODUCT(INDEX($FO$325:$IH$396,FO$169,1+SwaptionShift):INDEX($FO$325:$IH$396,FO$169,SwaptionMonthsToGo+SwaptionShift),INDEX($FO$245:$IH$316,$FN208-FO$169,73-FO$169+SwaptionShift):INDEX($FO$245:$IH$316,$FN208-FO$169,72-FO$169+SwaptionMonthsToGo+SwaptionShift))/SQRT(SUM(INDEX($FO363:$IH363,1+SwaptionShift):INDEX($FO363:$IH363,SwaptionMonthsToGo+SwaptionShift))*SUM(INDEX($FO$325:$IH$396,FO$169,1+SwaptionShift):INDEX($FO$325:$IH$396,FO$169,SwaptionMonthsToGo+SwaptionShift))))))</f>
        <v/>
      </c>
      <c r="FP208" s="469" t="str">
        <f ca="1">IF(OR(FP$169&lt;SwaptionFirstMonthPosition+1,$FN208&lt;SwaptionFirstMonthPosition+1,FP$169&gt;SwaptionFirstMonthPosition+SwaptionNumOfMonths+1,$FN208&gt;SwaptionFirstMonthPosition+SwaptionNumOfMonths+1),"",IF($FN208=FP$169,1,IF($FN208&lt;FP$169,INDEX($FO$170:$IH$241,FP$169,$FN208),SUMPRODUCT(INDEX($FO$325:$IH$396,FP$169,1+SwaptionShift):INDEX($FO$325:$IH$396,FP$169,SwaptionMonthsToGo+SwaptionShift),INDEX($FO$245:$IH$316,$FN208-FP$169,73-FP$169+SwaptionShift):INDEX($FO$245:$IH$316,$FN208-FP$169,72-FP$169+SwaptionMonthsToGo+SwaptionShift))/SQRT(SUM(INDEX($FO363:$IH363,1+SwaptionShift):INDEX($FO363:$IH363,SwaptionMonthsToGo+SwaptionShift))*SUM(INDEX($FO$325:$IH$396,FP$169,1+SwaptionShift):INDEX($FO$325:$IH$396,FP$169,SwaptionMonthsToGo+SwaptionShift))))))</f>
        <v/>
      </c>
      <c r="FQ208" s="469" t="str">
        <f ca="1">IF(OR(FQ$169&lt;SwaptionFirstMonthPosition+1,$FN208&lt;SwaptionFirstMonthPosition+1,FQ$169&gt;SwaptionFirstMonthPosition+SwaptionNumOfMonths+1,$FN208&gt;SwaptionFirstMonthPosition+SwaptionNumOfMonths+1),"",IF($FN208=FQ$169,1,IF($FN208&lt;FQ$169,INDEX($FO$170:$IH$241,FQ$169,$FN208),SUMPRODUCT(INDEX($FO$325:$IH$396,FQ$169,1+SwaptionShift):INDEX($FO$325:$IH$396,FQ$169,SwaptionMonthsToGo+SwaptionShift),INDEX($FO$245:$IH$316,$FN208-FQ$169,73-FQ$169+SwaptionShift):INDEX($FO$245:$IH$316,$FN208-FQ$169,72-FQ$169+SwaptionMonthsToGo+SwaptionShift))/SQRT(SUM(INDEX($FO363:$IH363,1+SwaptionShift):INDEX($FO363:$IH363,SwaptionMonthsToGo+SwaptionShift))*SUM(INDEX($FO$325:$IH$396,FQ$169,1+SwaptionShift):INDEX($FO$325:$IH$396,FQ$169,SwaptionMonthsToGo+SwaptionShift))))))</f>
        <v/>
      </c>
      <c r="FR208" s="469" t="str">
        <f ca="1">IF(OR(FR$169&lt;SwaptionFirstMonthPosition+1,$FN208&lt;SwaptionFirstMonthPosition+1,FR$169&gt;SwaptionFirstMonthPosition+SwaptionNumOfMonths+1,$FN208&gt;SwaptionFirstMonthPosition+SwaptionNumOfMonths+1),"",IF($FN208=FR$169,1,IF($FN208&lt;FR$169,INDEX($FO$170:$IH$241,FR$169,$FN208),SUMPRODUCT(INDEX($FO$325:$IH$396,FR$169,1+SwaptionShift):INDEX($FO$325:$IH$396,FR$169,SwaptionMonthsToGo+SwaptionShift),INDEX($FO$245:$IH$316,$FN208-FR$169,73-FR$169+SwaptionShift):INDEX($FO$245:$IH$316,$FN208-FR$169,72-FR$169+SwaptionMonthsToGo+SwaptionShift))/SQRT(SUM(INDEX($FO363:$IH363,1+SwaptionShift):INDEX($FO363:$IH363,SwaptionMonthsToGo+SwaptionShift))*SUM(INDEX($FO$325:$IH$396,FR$169,1+SwaptionShift):INDEX($FO$325:$IH$396,FR$169,SwaptionMonthsToGo+SwaptionShift))))))</f>
        <v/>
      </c>
      <c r="FS208" s="469" t="str">
        <f ca="1">IF(OR(FS$169&lt;SwaptionFirstMonthPosition+1,$FN208&lt;SwaptionFirstMonthPosition+1,FS$169&gt;SwaptionFirstMonthPosition+SwaptionNumOfMonths+1,$FN208&gt;SwaptionFirstMonthPosition+SwaptionNumOfMonths+1),"",IF($FN208=FS$169,1,IF($FN208&lt;FS$169,INDEX($FO$170:$IH$241,FS$169,$FN208),SUMPRODUCT(INDEX($FO$325:$IH$396,FS$169,1+SwaptionShift):INDEX($FO$325:$IH$396,FS$169,SwaptionMonthsToGo+SwaptionShift),INDEX($FO$245:$IH$316,$FN208-FS$169,73-FS$169+SwaptionShift):INDEX($FO$245:$IH$316,$FN208-FS$169,72-FS$169+SwaptionMonthsToGo+SwaptionShift))/SQRT(SUM(INDEX($FO363:$IH363,1+SwaptionShift):INDEX($FO363:$IH363,SwaptionMonthsToGo+SwaptionShift))*SUM(INDEX($FO$325:$IH$396,FS$169,1+SwaptionShift):INDEX($FO$325:$IH$396,FS$169,SwaptionMonthsToGo+SwaptionShift))))))</f>
        <v/>
      </c>
      <c r="FT208" s="469" t="str">
        <f ca="1">IF(OR(FT$169&lt;SwaptionFirstMonthPosition+1,$FN208&lt;SwaptionFirstMonthPosition+1,FT$169&gt;SwaptionFirstMonthPosition+SwaptionNumOfMonths+1,$FN208&gt;SwaptionFirstMonthPosition+SwaptionNumOfMonths+1),"",IF($FN208=FT$169,1,IF($FN208&lt;FT$169,INDEX($FO$170:$IH$241,FT$169,$FN208),SUMPRODUCT(INDEX($FO$325:$IH$396,FT$169,1+SwaptionShift):INDEX($FO$325:$IH$396,FT$169,SwaptionMonthsToGo+SwaptionShift),INDEX($FO$245:$IH$316,$FN208-FT$169,73-FT$169+SwaptionShift):INDEX($FO$245:$IH$316,$FN208-FT$169,72-FT$169+SwaptionMonthsToGo+SwaptionShift))/SQRT(SUM(INDEX($FO363:$IH363,1+SwaptionShift):INDEX($FO363:$IH363,SwaptionMonthsToGo+SwaptionShift))*SUM(INDEX($FO$325:$IH$396,FT$169,1+SwaptionShift):INDEX($FO$325:$IH$396,FT$169,SwaptionMonthsToGo+SwaptionShift))))))</f>
        <v/>
      </c>
      <c r="FU208" s="469" t="str">
        <f ca="1">IF(OR(FU$169&lt;SwaptionFirstMonthPosition+1,$FN208&lt;SwaptionFirstMonthPosition+1,FU$169&gt;SwaptionFirstMonthPosition+SwaptionNumOfMonths+1,$FN208&gt;SwaptionFirstMonthPosition+SwaptionNumOfMonths+1),"",IF($FN208=FU$169,1,IF($FN208&lt;FU$169,INDEX($FO$170:$IH$241,FU$169,$FN208),SUMPRODUCT(INDEX($FO$325:$IH$396,FU$169,1+SwaptionShift):INDEX($FO$325:$IH$396,FU$169,SwaptionMonthsToGo+SwaptionShift),INDEX($FO$245:$IH$316,$FN208-FU$169,73-FU$169+SwaptionShift):INDEX($FO$245:$IH$316,$FN208-FU$169,72-FU$169+SwaptionMonthsToGo+SwaptionShift))/SQRT(SUM(INDEX($FO363:$IH363,1+SwaptionShift):INDEX($FO363:$IH363,SwaptionMonthsToGo+SwaptionShift))*SUM(INDEX($FO$325:$IH$396,FU$169,1+SwaptionShift):INDEX($FO$325:$IH$396,FU$169,SwaptionMonthsToGo+SwaptionShift))))))</f>
        <v/>
      </c>
      <c r="FV208" s="469" t="str">
        <f ca="1">IF(OR(FV$169&lt;SwaptionFirstMonthPosition+1,$FN208&lt;SwaptionFirstMonthPosition+1,FV$169&gt;SwaptionFirstMonthPosition+SwaptionNumOfMonths+1,$FN208&gt;SwaptionFirstMonthPosition+SwaptionNumOfMonths+1),"",IF($FN208=FV$169,1,IF($FN208&lt;FV$169,INDEX($FO$170:$IH$241,FV$169,$FN208),SUMPRODUCT(INDEX($FO$325:$IH$396,FV$169,1+SwaptionShift):INDEX($FO$325:$IH$396,FV$169,SwaptionMonthsToGo+SwaptionShift),INDEX($FO$245:$IH$316,$FN208-FV$169,73-FV$169+SwaptionShift):INDEX($FO$245:$IH$316,$FN208-FV$169,72-FV$169+SwaptionMonthsToGo+SwaptionShift))/SQRT(SUM(INDEX($FO363:$IH363,1+SwaptionShift):INDEX($FO363:$IH363,SwaptionMonthsToGo+SwaptionShift))*SUM(INDEX($FO$325:$IH$396,FV$169,1+SwaptionShift):INDEX($FO$325:$IH$396,FV$169,SwaptionMonthsToGo+SwaptionShift))))))</f>
        <v/>
      </c>
      <c r="FW208" s="469" t="str">
        <f ca="1">IF(OR(FW$169&lt;SwaptionFirstMonthPosition+1,$FN208&lt;SwaptionFirstMonthPosition+1,FW$169&gt;SwaptionFirstMonthPosition+SwaptionNumOfMonths+1,$FN208&gt;SwaptionFirstMonthPosition+SwaptionNumOfMonths+1),"",IF($FN208=FW$169,1,IF($FN208&lt;FW$169,INDEX($FO$170:$IH$241,FW$169,$FN208),SUMPRODUCT(INDEX($FO$325:$IH$396,FW$169,1+SwaptionShift):INDEX($FO$325:$IH$396,FW$169,SwaptionMonthsToGo+SwaptionShift),INDEX($FO$245:$IH$316,$FN208-FW$169,73-FW$169+SwaptionShift):INDEX($FO$245:$IH$316,$FN208-FW$169,72-FW$169+SwaptionMonthsToGo+SwaptionShift))/SQRT(SUM(INDEX($FO363:$IH363,1+SwaptionShift):INDEX($FO363:$IH363,SwaptionMonthsToGo+SwaptionShift))*SUM(INDEX($FO$325:$IH$396,FW$169,1+SwaptionShift):INDEX($FO$325:$IH$396,FW$169,SwaptionMonthsToGo+SwaptionShift))))))</f>
        <v/>
      </c>
      <c r="FX208" s="469" t="str">
        <f ca="1">IF(OR(FX$169&lt;SwaptionFirstMonthPosition+1,$FN208&lt;SwaptionFirstMonthPosition+1,FX$169&gt;SwaptionFirstMonthPosition+SwaptionNumOfMonths+1,$FN208&gt;SwaptionFirstMonthPosition+SwaptionNumOfMonths+1),"",IF($FN208=FX$169,1,IF($FN208&lt;FX$169,INDEX($FO$170:$IH$241,FX$169,$FN208),SUMPRODUCT(INDEX($FO$325:$IH$396,FX$169,1+SwaptionShift):INDEX($FO$325:$IH$396,FX$169,SwaptionMonthsToGo+SwaptionShift),INDEX($FO$245:$IH$316,$FN208-FX$169,73-FX$169+SwaptionShift):INDEX($FO$245:$IH$316,$FN208-FX$169,72-FX$169+SwaptionMonthsToGo+SwaptionShift))/SQRT(SUM(INDEX($FO363:$IH363,1+SwaptionShift):INDEX($FO363:$IH363,SwaptionMonthsToGo+SwaptionShift))*SUM(INDEX($FO$325:$IH$396,FX$169,1+SwaptionShift):INDEX($FO$325:$IH$396,FX$169,SwaptionMonthsToGo+SwaptionShift))))))</f>
        <v/>
      </c>
      <c r="FY208" s="469" t="str">
        <f ca="1">IF(OR(FY$169&lt;SwaptionFirstMonthPosition+1,$FN208&lt;SwaptionFirstMonthPosition+1,FY$169&gt;SwaptionFirstMonthPosition+SwaptionNumOfMonths+1,$FN208&gt;SwaptionFirstMonthPosition+SwaptionNumOfMonths+1),"",IF($FN208=FY$169,1,IF($FN208&lt;FY$169,INDEX($FO$170:$IH$241,FY$169,$FN208),SUMPRODUCT(INDEX($FO$325:$IH$396,FY$169,1+SwaptionShift):INDEX($FO$325:$IH$396,FY$169,SwaptionMonthsToGo+SwaptionShift),INDEX($FO$245:$IH$316,$FN208-FY$169,73-FY$169+SwaptionShift):INDEX($FO$245:$IH$316,$FN208-FY$169,72-FY$169+SwaptionMonthsToGo+SwaptionShift))/SQRT(SUM(INDEX($FO363:$IH363,1+SwaptionShift):INDEX($FO363:$IH363,SwaptionMonthsToGo+SwaptionShift))*SUM(INDEX($FO$325:$IH$396,FY$169,1+SwaptionShift):INDEX($FO$325:$IH$396,FY$169,SwaptionMonthsToGo+SwaptionShift))))))</f>
        <v/>
      </c>
      <c r="FZ208" s="469" t="str">
        <f ca="1">IF(OR(FZ$169&lt;SwaptionFirstMonthPosition+1,$FN208&lt;SwaptionFirstMonthPosition+1,FZ$169&gt;SwaptionFirstMonthPosition+SwaptionNumOfMonths+1,$FN208&gt;SwaptionFirstMonthPosition+SwaptionNumOfMonths+1),"",IF($FN208=FZ$169,1,IF($FN208&lt;FZ$169,INDEX($FO$170:$IH$241,FZ$169,$FN208),SUMPRODUCT(INDEX($FO$325:$IH$396,FZ$169,1+SwaptionShift):INDEX($FO$325:$IH$396,FZ$169,SwaptionMonthsToGo+SwaptionShift),INDEX($FO$245:$IH$316,$FN208-FZ$169,73-FZ$169+SwaptionShift):INDEX($FO$245:$IH$316,$FN208-FZ$169,72-FZ$169+SwaptionMonthsToGo+SwaptionShift))/SQRT(SUM(INDEX($FO363:$IH363,1+SwaptionShift):INDEX($FO363:$IH363,SwaptionMonthsToGo+SwaptionShift))*SUM(INDEX($FO$325:$IH$396,FZ$169,1+SwaptionShift):INDEX($FO$325:$IH$396,FZ$169,SwaptionMonthsToGo+SwaptionShift))))))</f>
        <v/>
      </c>
      <c r="GA208" s="469" t="str">
        <f ca="1">IF(OR(GA$169&lt;SwaptionFirstMonthPosition+1,$FN208&lt;SwaptionFirstMonthPosition+1,GA$169&gt;SwaptionFirstMonthPosition+SwaptionNumOfMonths+1,$FN208&gt;SwaptionFirstMonthPosition+SwaptionNumOfMonths+1),"",IF($FN208=GA$169,1,IF($FN208&lt;GA$169,INDEX($FO$170:$IH$241,GA$169,$FN208),SUMPRODUCT(INDEX($FO$325:$IH$396,GA$169,1+SwaptionShift):INDEX($FO$325:$IH$396,GA$169,SwaptionMonthsToGo+SwaptionShift),INDEX($FO$245:$IH$316,$FN208-GA$169,73-GA$169+SwaptionShift):INDEX($FO$245:$IH$316,$FN208-GA$169,72-GA$169+SwaptionMonthsToGo+SwaptionShift))/SQRT(SUM(INDEX($FO363:$IH363,1+SwaptionShift):INDEX($FO363:$IH363,SwaptionMonthsToGo+SwaptionShift))*SUM(INDEX($FO$325:$IH$396,GA$169,1+SwaptionShift):INDEX($FO$325:$IH$396,GA$169,SwaptionMonthsToGo+SwaptionShift))))))</f>
        <v/>
      </c>
      <c r="GB208" s="469" t="str">
        <f ca="1">IF(OR(GB$169&lt;SwaptionFirstMonthPosition+1,$FN208&lt;SwaptionFirstMonthPosition+1,GB$169&gt;SwaptionFirstMonthPosition+SwaptionNumOfMonths+1,$FN208&gt;SwaptionFirstMonthPosition+SwaptionNumOfMonths+1),"",IF($FN208=GB$169,1,IF($FN208&lt;GB$169,INDEX($FO$170:$IH$241,GB$169,$FN208),SUMPRODUCT(INDEX($FO$325:$IH$396,GB$169,1+SwaptionShift):INDEX($FO$325:$IH$396,GB$169,SwaptionMonthsToGo+SwaptionShift),INDEX($FO$245:$IH$316,$FN208-GB$169,73-GB$169+SwaptionShift):INDEX($FO$245:$IH$316,$FN208-GB$169,72-GB$169+SwaptionMonthsToGo+SwaptionShift))/SQRT(SUM(INDEX($FO363:$IH363,1+SwaptionShift):INDEX($FO363:$IH363,SwaptionMonthsToGo+SwaptionShift))*SUM(INDEX($FO$325:$IH$396,GB$169,1+SwaptionShift):INDEX($FO$325:$IH$396,GB$169,SwaptionMonthsToGo+SwaptionShift))))))</f>
        <v/>
      </c>
      <c r="GC208" s="469" t="str">
        <f ca="1">IF(OR(GC$169&lt;SwaptionFirstMonthPosition+1,$FN208&lt;SwaptionFirstMonthPosition+1,GC$169&gt;SwaptionFirstMonthPosition+SwaptionNumOfMonths+1,$FN208&gt;SwaptionFirstMonthPosition+SwaptionNumOfMonths+1),"",IF($FN208=GC$169,1,IF($FN208&lt;GC$169,INDEX($FO$170:$IH$241,GC$169,$FN208),SUMPRODUCT(INDEX($FO$325:$IH$396,GC$169,1+SwaptionShift):INDEX($FO$325:$IH$396,GC$169,SwaptionMonthsToGo+SwaptionShift),INDEX($FO$245:$IH$316,$FN208-GC$169,73-GC$169+SwaptionShift):INDEX($FO$245:$IH$316,$FN208-GC$169,72-GC$169+SwaptionMonthsToGo+SwaptionShift))/SQRT(SUM(INDEX($FO363:$IH363,1+SwaptionShift):INDEX($FO363:$IH363,SwaptionMonthsToGo+SwaptionShift))*SUM(INDEX($FO$325:$IH$396,GC$169,1+SwaptionShift):INDEX($FO$325:$IH$396,GC$169,SwaptionMonthsToGo+SwaptionShift))))))</f>
        <v/>
      </c>
      <c r="GD208" s="469" t="str">
        <f ca="1">IF(OR(GD$169&lt;SwaptionFirstMonthPosition+1,$FN208&lt;SwaptionFirstMonthPosition+1,GD$169&gt;SwaptionFirstMonthPosition+SwaptionNumOfMonths+1,$FN208&gt;SwaptionFirstMonthPosition+SwaptionNumOfMonths+1),"",IF($FN208=GD$169,1,IF($FN208&lt;GD$169,INDEX($FO$170:$IH$241,GD$169,$FN208),SUMPRODUCT(INDEX($FO$325:$IH$396,GD$169,1+SwaptionShift):INDEX($FO$325:$IH$396,GD$169,SwaptionMonthsToGo+SwaptionShift),INDEX($FO$245:$IH$316,$FN208-GD$169,73-GD$169+SwaptionShift):INDEX($FO$245:$IH$316,$FN208-GD$169,72-GD$169+SwaptionMonthsToGo+SwaptionShift))/SQRT(SUM(INDEX($FO363:$IH363,1+SwaptionShift):INDEX($FO363:$IH363,SwaptionMonthsToGo+SwaptionShift))*SUM(INDEX($FO$325:$IH$396,GD$169,1+SwaptionShift):INDEX($FO$325:$IH$396,GD$169,SwaptionMonthsToGo+SwaptionShift))))))</f>
        <v/>
      </c>
      <c r="GE208" s="469" t="str">
        <f ca="1">IF(OR(GE$169&lt;SwaptionFirstMonthPosition+1,$FN208&lt;SwaptionFirstMonthPosition+1,GE$169&gt;SwaptionFirstMonthPosition+SwaptionNumOfMonths+1,$FN208&gt;SwaptionFirstMonthPosition+SwaptionNumOfMonths+1),"",IF($FN208=GE$169,1,IF($FN208&lt;GE$169,INDEX($FO$170:$IH$241,GE$169,$FN208),SUMPRODUCT(INDEX($FO$325:$IH$396,GE$169,1+SwaptionShift):INDEX($FO$325:$IH$396,GE$169,SwaptionMonthsToGo+SwaptionShift),INDEX($FO$245:$IH$316,$FN208-GE$169,73-GE$169+SwaptionShift):INDEX($FO$245:$IH$316,$FN208-GE$169,72-GE$169+SwaptionMonthsToGo+SwaptionShift))/SQRT(SUM(INDEX($FO363:$IH363,1+SwaptionShift):INDEX($FO363:$IH363,SwaptionMonthsToGo+SwaptionShift))*SUM(INDEX($FO$325:$IH$396,GE$169,1+SwaptionShift):INDEX($FO$325:$IH$396,GE$169,SwaptionMonthsToGo+SwaptionShift))))))</f>
        <v/>
      </c>
      <c r="GF208" s="469" t="str">
        <f ca="1">IF(OR(GF$169&lt;SwaptionFirstMonthPosition+1,$FN208&lt;SwaptionFirstMonthPosition+1,GF$169&gt;SwaptionFirstMonthPosition+SwaptionNumOfMonths+1,$FN208&gt;SwaptionFirstMonthPosition+SwaptionNumOfMonths+1),"",IF($FN208=GF$169,1,IF($FN208&lt;GF$169,INDEX($FO$170:$IH$241,GF$169,$FN208),SUMPRODUCT(INDEX($FO$325:$IH$396,GF$169,1+SwaptionShift):INDEX($FO$325:$IH$396,GF$169,SwaptionMonthsToGo+SwaptionShift),INDEX($FO$245:$IH$316,$FN208-GF$169,73-GF$169+SwaptionShift):INDEX($FO$245:$IH$316,$FN208-GF$169,72-GF$169+SwaptionMonthsToGo+SwaptionShift))/SQRT(SUM(INDEX($FO363:$IH363,1+SwaptionShift):INDEX($FO363:$IH363,SwaptionMonthsToGo+SwaptionShift))*SUM(INDEX($FO$325:$IH$396,GF$169,1+SwaptionShift):INDEX($FO$325:$IH$396,GF$169,SwaptionMonthsToGo+SwaptionShift))))))</f>
        <v/>
      </c>
      <c r="GG208" s="469" t="str">
        <f ca="1">IF(OR(GG$169&lt;SwaptionFirstMonthPosition+1,$FN208&lt;SwaptionFirstMonthPosition+1,GG$169&gt;SwaptionFirstMonthPosition+SwaptionNumOfMonths+1,$FN208&gt;SwaptionFirstMonthPosition+SwaptionNumOfMonths+1),"",IF($FN208=GG$169,1,IF($FN208&lt;GG$169,INDEX($FO$170:$IH$241,GG$169,$FN208),SUMPRODUCT(INDEX($FO$325:$IH$396,GG$169,1+SwaptionShift):INDEX($FO$325:$IH$396,GG$169,SwaptionMonthsToGo+SwaptionShift),INDEX($FO$245:$IH$316,$FN208-GG$169,73-GG$169+SwaptionShift):INDEX($FO$245:$IH$316,$FN208-GG$169,72-GG$169+SwaptionMonthsToGo+SwaptionShift))/SQRT(SUM(INDEX($FO363:$IH363,1+SwaptionShift):INDEX($FO363:$IH363,SwaptionMonthsToGo+SwaptionShift))*SUM(INDEX($FO$325:$IH$396,GG$169,1+SwaptionShift):INDEX($FO$325:$IH$396,GG$169,SwaptionMonthsToGo+SwaptionShift))))))</f>
        <v/>
      </c>
      <c r="GH208" s="469" t="str">
        <f ca="1">IF(OR(GH$169&lt;SwaptionFirstMonthPosition+1,$FN208&lt;SwaptionFirstMonthPosition+1,GH$169&gt;SwaptionFirstMonthPosition+SwaptionNumOfMonths+1,$FN208&gt;SwaptionFirstMonthPosition+SwaptionNumOfMonths+1),"",IF($FN208=GH$169,1,IF($FN208&lt;GH$169,INDEX($FO$170:$IH$241,GH$169,$FN208),SUMPRODUCT(INDEX($FO$325:$IH$396,GH$169,1+SwaptionShift):INDEX($FO$325:$IH$396,GH$169,SwaptionMonthsToGo+SwaptionShift),INDEX($FO$245:$IH$316,$FN208-GH$169,73-GH$169+SwaptionShift):INDEX($FO$245:$IH$316,$FN208-GH$169,72-GH$169+SwaptionMonthsToGo+SwaptionShift))/SQRT(SUM(INDEX($FO363:$IH363,1+SwaptionShift):INDEX($FO363:$IH363,SwaptionMonthsToGo+SwaptionShift))*SUM(INDEX($FO$325:$IH$396,GH$169,1+SwaptionShift):INDEX($FO$325:$IH$396,GH$169,SwaptionMonthsToGo+SwaptionShift))))))</f>
        <v/>
      </c>
      <c r="GI208" s="469" t="str">
        <f ca="1">IF(OR(GI$169&lt;SwaptionFirstMonthPosition+1,$FN208&lt;SwaptionFirstMonthPosition+1,GI$169&gt;SwaptionFirstMonthPosition+SwaptionNumOfMonths+1,$FN208&gt;SwaptionFirstMonthPosition+SwaptionNumOfMonths+1),"",IF($FN208=GI$169,1,IF($FN208&lt;GI$169,INDEX($FO$170:$IH$241,GI$169,$FN208),SUMPRODUCT(INDEX($FO$325:$IH$396,GI$169,1+SwaptionShift):INDEX($FO$325:$IH$396,GI$169,SwaptionMonthsToGo+SwaptionShift),INDEX($FO$245:$IH$316,$FN208-GI$169,73-GI$169+SwaptionShift):INDEX($FO$245:$IH$316,$FN208-GI$169,72-GI$169+SwaptionMonthsToGo+SwaptionShift))/SQRT(SUM(INDEX($FO363:$IH363,1+SwaptionShift):INDEX($FO363:$IH363,SwaptionMonthsToGo+SwaptionShift))*SUM(INDEX($FO$325:$IH$396,GI$169,1+SwaptionShift):INDEX($FO$325:$IH$396,GI$169,SwaptionMonthsToGo+SwaptionShift))))))</f>
        <v/>
      </c>
      <c r="GJ208" s="469" t="str">
        <f ca="1">IF(OR(GJ$169&lt;SwaptionFirstMonthPosition+1,$FN208&lt;SwaptionFirstMonthPosition+1,GJ$169&gt;SwaptionFirstMonthPosition+SwaptionNumOfMonths+1,$FN208&gt;SwaptionFirstMonthPosition+SwaptionNumOfMonths+1),"",IF($FN208=GJ$169,1,IF($FN208&lt;GJ$169,INDEX($FO$170:$IH$241,GJ$169,$FN208),SUMPRODUCT(INDEX($FO$325:$IH$396,GJ$169,1+SwaptionShift):INDEX($FO$325:$IH$396,GJ$169,SwaptionMonthsToGo+SwaptionShift),INDEX($FO$245:$IH$316,$FN208-GJ$169,73-GJ$169+SwaptionShift):INDEX($FO$245:$IH$316,$FN208-GJ$169,72-GJ$169+SwaptionMonthsToGo+SwaptionShift))/SQRT(SUM(INDEX($FO363:$IH363,1+SwaptionShift):INDEX($FO363:$IH363,SwaptionMonthsToGo+SwaptionShift))*SUM(INDEX($FO$325:$IH$396,GJ$169,1+SwaptionShift):INDEX($FO$325:$IH$396,GJ$169,SwaptionMonthsToGo+SwaptionShift))))))</f>
        <v/>
      </c>
      <c r="GK208" s="469" t="str">
        <f ca="1">IF(OR(GK$169&lt;SwaptionFirstMonthPosition+1,$FN208&lt;SwaptionFirstMonthPosition+1,GK$169&gt;SwaptionFirstMonthPosition+SwaptionNumOfMonths+1,$FN208&gt;SwaptionFirstMonthPosition+SwaptionNumOfMonths+1),"",IF($FN208=GK$169,1,IF($FN208&lt;GK$169,INDEX($FO$170:$IH$241,GK$169,$FN208),SUMPRODUCT(INDEX($FO$325:$IH$396,GK$169,1+SwaptionShift):INDEX($FO$325:$IH$396,GK$169,SwaptionMonthsToGo+SwaptionShift),INDEX($FO$245:$IH$316,$FN208-GK$169,73-GK$169+SwaptionShift):INDEX($FO$245:$IH$316,$FN208-GK$169,72-GK$169+SwaptionMonthsToGo+SwaptionShift))/SQRT(SUM(INDEX($FO363:$IH363,1+SwaptionShift):INDEX($FO363:$IH363,SwaptionMonthsToGo+SwaptionShift))*SUM(INDEX($FO$325:$IH$396,GK$169,1+SwaptionShift):INDEX($FO$325:$IH$396,GK$169,SwaptionMonthsToGo+SwaptionShift))))))</f>
        <v/>
      </c>
      <c r="GL208" s="469" t="str">
        <f ca="1">IF(OR(GL$169&lt;SwaptionFirstMonthPosition+1,$FN208&lt;SwaptionFirstMonthPosition+1,GL$169&gt;SwaptionFirstMonthPosition+SwaptionNumOfMonths+1,$FN208&gt;SwaptionFirstMonthPosition+SwaptionNumOfMonths+1),"",IF($FN208=GL$169,1,IF($FN208&lt;GL$169,INDEX($FO$170:$IH$241,GL$169,$FN208),SUMPRODUCT(INDEX($FO$325:$IH$396,GL$169,1+SwaptionShift):INDEX($FO$325:$IH$396,GL$169,SwaptionMonthsToGo+SwaptionShift),INDEX($FO$245:$IH$316,$FN208-GL$169,73-GL$169+SwaptionShift):INDEX($FO$245:$IH$316,$FN208-GL$169,72-GL$169+SwaptionMonthsToGo+SwaptionShift))/SQRT(SUM(INDEX($FO363:$IH363,1+SwaptionShift):INDEX($FO363:$IH363,SwaptionMonthsToGo+SwaptionShift))*SUM(INDEX($FO$325:$IH$396,GL$169,1+SwaptionShift):INDEX($FO$325:$IH$396,GL$169,SwaptionMonthsToGo+SwaptionShift))))))</f>
        <v/>
      </c>
      <c r="GM208" s="469" t="str">
        <f ca="1">IF(OR(GM$169&lt;SwaptionFirstMonthPosition+1,$FN208&lt;SwaptionFirstMonthPosition+1,GM$169&gt;SwaptionFirstMonthPosition+SwaptionNumOfMonths+1,$FN208&gt;SwaptionFirstMonthPosition+SwaptionNumOfMonths+1),"",IF($FN208=GM$169,1,IF($FN208&lt;GM$169,INDEX($FO$170:$IH$241,GM$169,$FN208),SUMPRODUCT(INDEX($FO$325:$IH$396,GM$169,1+SwaptionShift):INDEX($FO$325:$IH$396,GM$169,SwaptionMonthsToGo+SwaptionShift),INDEX($FO$245:$IH$316,$FN208-GM$169,73-GM$169+SwaptionShift):INDEX($FO$245:$IH$316,$FN208-GM$169,72-GM$169+SwaptionMonthsToGo+SwaptionShift))/SQRT(SUM(INDEX($FO363:$IH363,1+SwaptionShift):INDEX($FO363:$IH363,SwaptionMonthsToGo+SwaptionShift))*SUM(INDEX($FO$325:$IH$396,GM$169,1+SwaptionShift):INDEX($FO$325:$IH$396,GM$169,SwaptionMonthsToGo+SwaptionShift))))))</f>
        <v/>
      </c>
      <c r="GN208" s="469" t="str">
        <f ca="1">IF(OR(GN$169&lt;SwaptionFirstMonthPosition+1,$FN208&lt;SwaptionFirstMonthPosition+1,GN$169&gt;SwaptionFirstMonthPosition+SwaptionNumOfMonths+1,$FN208&gt;SwaptionFirstMonthPosition+SwaptionNumOfMonths+1),"",IF($FN208=GN$169,1,IF($FN208&lt;GN$169,INDEX($FO$170:$IH$241,GN$169,$FN208),SUMPRODUCT(INDEX($FO$325:$IH$396,GN$169,1+SwaptionShift):INDEX($FO$325:$IH$396,GN$169,SwaptionMonthsToGo+SwaptionShift),INDEX($FO$245:$IH$316,$FN208-GN$169,73-GN$169+SwaptionShift):INDEX($FO$245:$IH$316,$FN208-GN$169,72-GN$169+SwaptionMonthsToGo+SwaptionShift))/SQRT(SUM(INDEX($FO363:$IH363,1+SwaptionShift):INDEX($FO363:$IH363,SwaptionMonthsToGo+SwaptionShift))*SUM(INDEX($FO$325:$IH$396,GN$169,1+SwaptionShift):INDEX($FO$325:$IH$396,GN$169,SwaptionMonthsToGo+SwaptionShift))))))</f>
        <v/>
      </c>
      <c r="GO208" s="469" t="str">
        <f ca="1">IF(OR(GO$169&lt;SwaptionFirstMonthPosition+1,$FN208&lt;SwaptionFirstMonthPosition+1,GO$169&gt;SwaptionFirstMonthPosition+SwaptionNumOfMonths+1,$FN208&gt;SwaptionFirstMonthPosition+SwaptionNumOfMonths+1),"",IF($FN208=GO$169,1,IF($FN208&lt;GO$169,INDEX($FO$170:$IH$241,GO$169,$FN208),SUMPRODUCT(INDEX($FO$325:$IH$396,GO$169,1+SwaptionShift):INDEX($FO$325:$IH$396,GO$169,SwaptionMonthsToGo+SwaptionShift),INDEX($FO$245:$IH$316,$FN208-GO$169,73-GO$169+SwaptionShift):INDEX($FO$245:$IH$316,$FN208-GO$169,72-GO$169+SwaptionMonthsToGo+SwaptionShift))/SQRT(SUM(INDEX($FO363:$IH363,1+SwaptionShift):INDEX($FO363:$IH363,SwaptionMonthsToGo+SwaptionShift))*SUM(INDEX($FO$325:$IH$396,GO$169,1+SwaptionShift):INDEX($FO$325:$IH$396,GO$169,SwaptionMonthsToGo+SwaptionShift))))))</f>
        <v/>
      </c>
      <c r="GP208" s="469" t="str">
        <f ca="1">IF(OR(GP$169&lt;SwaptionFirstMonthPosition+1,$FN208&lt;SwaptionFirstMonthPosition+1,GP$169&gt;SwaptionFirstMonthPosition+SwaptionNumOfMonths+1,$FN208&gt;SwaptionFirstMonthPosition+SwaptionNumOfMonths+1),"",IF($FN208=GP$169,1,IF($FN208&lt;GP$169,INDEX($FO$170:$IH$241,GP$169,$FN208),SUMPRODUCT(INDEX($FO$325:$IH$396,GP$169,1+SwaptionShift):INDEX($FO$325:$IH$396,GP$169,SwaptionMonthsToGo+SwaptionShift),INDEX($FO$245:$IH$316,$FN208-GP$169,73-GP$169+SwaptionShift):INDEX($FO$245:$IH$316,$FN208-GP$169,72-GP$169+SwaptionMonthsToGo+SwaptionShift))/SQRT(SUM(INDEX($FO363:$IH363,1+SwaptionShift):INDEX($FO363:$IH363,SwaptionMonthsToGo+SwaptionShift))*SUM(INDEX($FO$325:$IH$396,GP$169,1+SwaptionShift):INDEX($FO$325:$IH$396,GP$169,SwaptionMonthsToGo+SwaptionShift))))))</f>
        <v/>
      </c>
      <c r="GQ208" s="469" t="str">
        <f ca="1">IF(OR(GQ$169&lt;SwaptionFirstMonthPosition+1,$FN208&lt;SwaptionFirstMonthPosition+1,GQ$169&gt;SwaptionFirstMonthPosition+SwaptionNumOfMonths+1,$FN208&gt;SwaptionFirstMonthPosition+SwaptionNumOfMonths+1),"",IF($FN208=GQ$169,1,IF($FN208&lt;GQ$169,INDEX($FO$170:$IH$241,GQ$169,$FN208),SUMPRODUCT(INDEX($FO$325:$IH$396,GQ$169,1+SwaptionShift):INDEX($FO$325:$IH$396,GQ$169,SwaptionMonthsToGo+SwaptionShift),INDEX($FO$245:$IH$316,$FN208-GQ$169,73-GQ$169+SwaptionShift):INDEX($FO$245:$IH$316,$FN208-GQ$169,72-GQ$169+SwaptionMonthsToGo+SwaptionShift))/SQRT(SUM(INDEX($FO363:$IH363,1+SwaptionShift):INDEX($FO363:$IH363,SwaptionMonthsToGo+SwaptionShift))*SUM(INDEX($FO$325:$IH$396,GQ$169,1+SwaptionShift):INDEX($FO$325:$IH$396,GQ$169,SwaptionMonthsToGo+SwaptionShift))))))</f>
        <v/>
      </c>
      <c r="GR208" s="469" t="str">
        <f ca="1">IF(OR(GR$169&lt;SwaptionFirstMonthPosition+1,$FN208&lt;SwaptionFirstMonthPosition+1,GR$169&gt;SwaptionFirstMonthPosition+SwaptionNumOfMonths+1,$FN208&gt;SwaptionFirstMonthPosition+SwaptionNumOfMonths+1),"",IF($FN208=GR$169,1,IF($FN208&lt;GR$169,INDEX($FO$170:$IH$241,GR$169,$FN208),SUMPRODUCT(INDEX($FO$325:$IH$396,GR$169,1+SwaptionShift):INDEX($FO$325:$IH$396,GR$169,SwaptionMonthsToGo+SwaptionShift),INDEX($FO$245:$IH$316,$FN208-GR$169,73-GR$169+SwaptionShift):INDEX($FO$245:$IH$316,$FN208-GR$169,72-GR$169+SwaptionMonthsToGo+SwaptionShift))/SQRT(SUM(INDEX($FO363:$IH363,1+SwaptionShift):INDEX($FO363:$IH363,SwaptionMonthsToGo+SwaptionShift))*SUM(INDEX($FO$325:$IH$396,GR$169,1+SwaptionShift):INDEX($FO$325:$IH$396,GR$169,SwaptionMonthsToGo+SwaptionShift))))))</f>
        <v/>
      </c>
      <c r="GS208" s="469" t="str">
        <f ca="1">IF(OR(GS$169&lt;SwaptionFirstMonthPosition+1,$FN208&lt;SwaptionFirstMonthPosition+1,GS$169&gt;SwaptionFirstMonthPosition+SwaptionNumOfMonths+1,$FN208&gt;SwaptionFirstMonthPosition+SwaptionNumOfMonths+1),"",IF($FN208=GS$169,1,IF($FN208&lt;GS$169,INDEX($FO$170:$IH$241,GS$169,$FN208),SUMPRODUCT(INDEX($FO$325:$IH$396,GS$169,1+SwaptionShift):INDEX($FO$325:$IH$396,GS$169,SwaptionMonthsToGo+SwaptionShift),INDEX($FO$245:$IH$316,$FN208-GS$169,73-GS$169+SwaptionShift):INDEX($FO$245:$IH$316,$FN208-GS$169,72-GS$169+SwaptionMonthsToGo+SwaptionShift))/SQRT(SUM(INDEX($FO363:$IH363,1+SwaptionShift):INDEX($FO363:$IH363,SwaptionMonthsToGo+SwaptionShift))*SUM(INDEX($FO$325:$IH$396,GS$169,1+SwaptionShift):INDEX($FO$325:$IH$396,GS$169,SwaptionMonthsToGo+SwaptionShift))))))</f>
        <v/>
      </c>
      <c r="GT208" s="469" t="str">
        <f ca="1">IF(OR(GT$169&lt;SwaptionFirstMonthPosition+1,$FN208&lt;SwaptionFirstMonthPosition+1,GT$169&gt;SwaptionFirstMonthPosition+SwaptionNumOfMonths+1,$FN208&gt;SwaptionFirstMonthPosition+SwaptionNumOfMonths+1),"",IF($FN208=GT$169,1,IF($FN208&lt;GT$169,INDEX($FO$170:$IH$241,GT$169,$FN208),SUMPRODUCT(INDEX($FO$325:$IH$396,GT$169,1+SwaptionShift):INDEX($FO$325:$IH$396,GT$169,SwaptionMonthsToGo+SwaptionShift),INDEX($FO$245:$IH$316,$FN208-GT$169,73-GT$169+SwaptionShift):INDEX($FO$245:$IH$316,$FN208-GT$169,72-GT$169+SwaptionMonthsToGo+SwaptionShift))/SQRT(SUM(INDEX($FO363:$IH363,1+SwaptionShift):INDEX($FO363:$IH363,SwaptionMonthsToGo+SwaptionShift))*SUM(INDEX($FO$325:$IH$396,GT$169,1+SwaptionShift):INDEX($FO$325:$IH$396,GT$169,SwaptionMonthsToGo+SwaptionShift))))))</f>
        <v/>
      </c>
      <c r="GU208" s="469" t="str">
        <f ca="1">IF(OR(GU$169&lt;SwaptionFirstMonthPosition+1,$FN208&lt;SwaptionFirstMonthPosition+1,GU$169&gt;SwaptionFirstMonthPosition+SwaptionNumOfMonths+1,$FN208&gt;SwaptionFirstMonthPosition+SwaptionNumOfMonths+1),"",IF($FN208=GU$169,1,IF($FN208&lt;GU$169,INDEX($FO$170:$IH$241,GU$169,$FN208),SUMPRODUCT(INDEX($FO$325:$IH$396,GU$169,1+SwaptionShift):INDEX($FO$325:$IH$396,GU$169,SwaptionMonthsToGo+SwaptionShift),INDEX($FO$245:$IH$316,$FN208-GU$169,73-GU$169+SwaptionShift):INDEX($FO$245:$IH$316,$FN208-GU$169,72-GU$169+SwaptionMonthsToGo+SwaptionShift))/SQRT(SUM(INDEX($FO363:$IH363,1+SwaptionShift):INDEX($FO363:$IH363,SwaptionMonthsToGo+SwaptionShift))*SUM(INDEX($FO$325:$IH$396,GU$169,1+SwaptionShift):INDEX($FO$325:$IH$396,GU$169,SwaptionMonthsToGo+SwaptionShift))))))</f>
        <v/>
      </c>
      <c r="GV208" s="469" t="str">
        <f ca="1">IF(OR(GV$169&lt;SwaptionFirstMonthPosition+1,$FN208&lt;SwaptionFirstMonthPosition+1,GV$169&gt;SwaptionFirstMonthPosition+SwaptionNumOfMonths+1,$FN208&gt;SwaptionFirstMonthPosition+SwaptionNumOfMonths+1),"",IF($FN208=GV$169,1,IF($FN208&lt;GV$169,INDEX($FO$170:$IH$241,GV$169,$FN208),SUMPRODUCT(INDEX($FO$325:$IH$396,GV$169,1+SwaptionShift):INDEX($FO$325:$IH$396,GV$169,SwaptionMonthsToGo+SwaptionShift),INDEX($FO$245:$IH$316,$FN208-GV$169,73-GV$169+SwaptionShift):INDEX($FO$245:$IH$316,$FN208-GV$169,72-GV$169+SwaptionMonthsToGo+SwaptionShift))/SQRT(SUM(INDEX($FO363:$IH363,1+SwaptionShift):INDEX($FO363:$IH363,SwaptionMonthsToGo+SwaptionShift))*SUM(INDEX($FO$325:$IH$396,GV$169,1+SwaptionShift):INDEX($FO$325:$IH$396,GV$169,SwaptionMonthsToGo+SwaptionShift))))))</f>
        <v/>
      </c>
      <c r="GW208" s="469" t="str">
        <f ca="1">IF(OR(GW$169&lt;SwaptionFirstMonthPosition+1,$FN208&lt;SwaptionFirstMonthPosition+1,GW$169&gt;SwaptionFirstMonthPosition+SwaptionNumOfMonths+1,$FN208&gt;SwaptionFirstMonthPosition+SwaptionNumOfMonths+1),"",IF($FN208=GW$169,1,IF($FN208&lt;GW$169,INDEX($FO$170:$IH$241,GW$169,$FN208),SUMPRODUCT(INDEX($FO$325:$IH$396,GW$169,1+SwaptionShift):INDEX($FO$325:$IH$396,GW$169,SwaptionMonthsToGo+SwaptionShift),INDEX($FO$245:$IH$316,$FN208-GW$169,73-GW$169+SwaptionShift):INDEX($FO$245:$IH$316,$FN208-GW$169,72-GW$169+SwaptionMonthsToGo+SwaptionShift))/SQRT(SUM(INDEX($FO363:$IH363,1+SwaptionShift):INDEX($FO363:$IH363,SwaptionMonthsToGo+SwaptionShift))*SUM(INDEX($FO$325:$IH$396,GW$169,1+SwaptionShift):INDEX($FO$325:$IH$396,GW$169,SwaptionMonthsToGo+SwaptionShift))))))</f>
        <v/>
      </c>
      <c r="GX208" s="469" t="str">
        <f ca="1">IF(OR(GX$169&lt;SwaptionFirstMonthPosition+1,$FN208&lt;SwaptionFirstMonthPosition+1,GX$169&gt;SwaptionFirstMonthPosition+SwaptionNumOfMonths+1,$FN208&gt;SwaptionFirstMonthPosition+SwaptionNumOfMonths+1),"",IF($FN208=GX$169,1,IF($FN208&lt;GX$169,INDEX($FO$170:$IH$241,GX$169,$FN208),SUMPRODUCT(INDEX($FO$325:$IH$396,GX$169,1+SwaptionShift):INDEX($FO$325:$IH$396,GX$169,SwaptionMonthsToGo+SwaptionShift),INDEX($FO$245:$IH$316,$FN208-GX$169,73-GX$169+SwaptionShift):INDEX($FO$245:$IH$316,$FN208-GX$169,72-GX$169+SwaptionMonthsToGo+SwaptionShift))/SQRT(SUM(INDEX($FO363:$IH363,1+SwaptionShift):INDEX($FO363:$IH363,SwaptionMonthsToGo+SwaptionShift))*SUM(INDEX($FO$325:$IH$396,GX$169,1+SwaptionShift):INDEX($FO$325:$IH$396,GX$169,SwaptionMonthsToGo+SwaptionShift))))))</f>
        <v/>
      </c>
      <c r="GY208" s="469" t="str">
        <f ca="1">IF(OR(GY$169&lt;SwaptionFirstMonthPosition+1,$FN208&lt;SwaptionFirstMonthPosition+1,GY$169&gt;SwaptionFirstMonthPosition+SwaptionNumOfMonths+1,$FN208&gt;SwaptionFirstMonthPosition+SwaptionNumOfMonths+1),"",IF($FN208=GY$169,1,IF($FN208&lt;GY$169,INDEX($FO$170:$IH$241,GY$169,$FN208),SUMPRODUCT(INDEX($FO$325:$IH$396,GY$169,1+SwaptionShift):INDEX($FO$325:$IH$396,GY$169,SwaptionMonthsToGo+SwaptionShift),INDEX($FO$245:$IH$316,$FN208-GY$169,73-GY$169+SwaptionShift):INDEX($FO$245:$IH$316,$FN208-GY$169,72-GY$169+SwaptionMonthsToGo+SwaptionShift))/SQRT(SUM(INDEX($FO363:$IH363,1+SwaptionShift):INDEX($FO363:$IH363,SwaptionMonthsToGo+SwaptionShift))*SUM(INDEX($FO$325:$IH$396,GY$169,1+SwaptionShift):INDEX($FO$325:$IH$396,GY$169,SwaptionMonthsToGo+SwaptionShift))))))</f>
        <v/>
      </c>
      <c r="GZ208" s="469" t="str">
        <f ca="1">IF(OR(GZ$169&lt;SwaptionFirstMonthPosition+1,$FN208&lt;SwaptionFirstMonthPosition+1,GZ$169&gt;SwaptionFirstMonthPosition+SwaptionNumOfMonths+1,$FN208&gt;SwaptionFirstMonthPosition+SwaptionNumOfMonths+1),"",IF($FN208=GZ$169,1,IF($FN208&lt;GZ$169,INDEX($FO$170:$IH$241,GZ$169,$FN208),SUMPRODUCT(INDEX($FO$325:$IH$396,GZ$169,1+SwaptionShift):INDEX($FO$325:$IH$396,GZ$169,SwaptionMonthsToGo+SwaptionShift),INDEX($FO$245:$IH$316,$FN208-GZ$169,73-GZ$169+SwaptionShift):INDEX($FO$245:$IH$316,$FN208-GZ$169,72-GZ$169+SwaptionMonthsToGo+SwaptionShift))/SQRT(SUM(INDEX($FO363:$IH363,1+SwaptionShift):INDEX($FO363:$IH363,SwaptionMonthsToGo+SwaptionShift))*SUM(INDEX($FO$325:$IH$396,GZ$169,1+SwaptionShift):INDEX($FO$325:$IH$396,GZ$169,SwaptionMonthsToGo+SwaptionShift))))))</f>
        <v/>
      </c>
      <c r="HA208" s="469" t="str">
        <f ca="1">IF(OR(HA$169&lt;SwaptionFirstMonthPosition+1,$FN208&lt;SwaptionFirstMonthPosition+1,HA$169&gt;SwaptionFirstMonthPosition+SwaptionNumOfMonths+1,$FN208&gt;SwaptionFirstMonthPosition+SwaptionNumOfMonths+1),"",IF($FN208=HA$169,1,IF($FN208&lt;HA$169,INDEX($FO$170:$IH$241,HA$169,$FN208),SUMPRODUCT(INDEX($FO$325:$IH$396,HA$169,1+SwaptionShift):INDEX($FO$325:$IH$396,HA$169,SwaptionMonthsToGo+SwaptionShift),INDEX($FO$245:$IH$316,$FN208-HA$169,73-HA$169+SwaptionShift):INDEX($FO$245:$IH$316,$FN208-HA$169,72-HA$169+SwaptionMonthsToGo+SwaptionShift))/SQRT(SUM(INDEX($FO363:$IH363,1+SwaptionShift):INDEX($FO363:$IH363,SwaptionMonthsToGo+SwaptionShift))*SUM(INDEX($FO$325:$IH$396,HA$169,1+SwaptionShift):INDEX($FO$325:$IH$396,HA$169,SwaptionMonthsToGo+SwaptionShift))))))</f>
        <v/>
      </c>
      <c r="HB208" s="469" t="str">
        <f ca="1">IF(OR(HB$169&lt;SwaptionFirstMonthPosition+1,$FN208&lt;SwaptionFirstMonthPosition+1,HB$169&gt;SwaptionFirstMonthPosition+SwaptionNumOfMonths+1,$FN208&gt;SwaptionFirstMonthPosition+SwaptionNumOfMonths+1),"",IF($FN208=HB$169,1,IF($FN208&lt;HB$169,INDEX($FO$170:$IH$241,HB$169,$FN208),SUMPRODUCT(INDEX($FO$325:$IH$396,HB$169,1+SwaptionShift):INDEX($FO$325:$IH$396,HB$169,SwaptionMonthsToGo+SwaptionShift),INDEX($FO$245:$IH$316,$FN208-HB$169,73-HB$169+SwaptionShift):INDEX($FO$245:$IH$316,$FN208-HB$169,72-HB$169+SwaptionMonthsToGo+SwaptionShift))/SQRT(SUM(INDEX($FO363:$IH363,1+SwaptionShift):INDEX($FO363:$IH363,SwaptionMonthsToGo+SwaptionShift))*SUM(INDEX($FO$325:$IH$396,HB$169,1+SwaptionShift):INDEX($FO$325:$IH$396,HB$169,SwaptionMonthsToGo+SwaptionShift))))))</f>
        <v/>
      </c>
      <c r="HC208" s="469" t="str">
        <f ca="1">IF(OR(HC$169&lt;SwaptionFirstMonthPosition+1,$FN208&lt;SwaptionFirstMonthPosition+1,HC$169&gt;SwaptionFirstMonthPosition+SwaptionNumOfMonths+1,$FN208&gt;SwaptionFirstMonthPosition+SwaptionNumOfMonths+1),"",IF($FN208=HC$169,1,IF($FN208&lt;HC$169,INDEX($FO$170:$IH$241,HC$169,$FN208),SUMPRODUCT(INDEX($FO$325:$IH$396,HC$169,1+SwaptionShift):INDEX($FO$325:$IH$396,HC$169,SwaptionMonthsToGo+SwaptionShift),INDEX($FO$245:$IH$316,$FN208-HC$169,73-HC$169+SwaptionShift):INDEX($FO$245:$IH$316,$FN208-HC$169,72-HC$169+SwaptionMonthsToGo+SwaptionShift))/SQRT(SUM(INDEX($FO363:$IH363,1+SwaptionShift):INDEX($FO363:$IH363,SwaptionMonthsToGo+SwaptionShift))*SUM(INDEX($FO$325:$IH$396,HC$169,1+SwaptionShift):INDEX($FO$325:$IH$396,HC$169,SwaptionMonthsToGo+SwaptionShift))))))</f>
        <v/>
      </c>
      <c r="HD208" s="469" t="str">
        <f ca="1">IF(OR(HD$169&lt;SwaptionFirstMonthPosition+1,$FN208&lt;SwaptionFirstMonthPosition+1,HD$169&gt;SwaptionFirstMonthPosition+SwaptionNumOfMonths+1,$FN208&gt;SwaptionFirstMonthPosition+SwaptionNumOfMonths+1),"",IF($FN208=HD$169,1,IF($FN208&lt;HD$169,INDEX($FO$170:$IH$241,HD$169,$FN208),SUMPRODUCT(INDEX($FO$325:$IH$396,HD$169,1+SwaptionShift):INDEX($FO$325:$IH$396,HD$169,SwaptionMonthsToGo+SwaptionShift),INDEX($FO$245:$IH$316,$FN208-HD$169,73-HD$169+SwaptionShift):INDEX($FO$245:$IH$316,$FN208-HD$169,72-HD$169+SwaptionMonthsToGo+SwaptionShift))/SQRT(SUM(INDEX($FO363:$IH363,1+SwaptionShift):INDEX($FO363:$IH363,SwaptionMonthsToGo+SwaptionShift))*SUM(INDEX($FO$325:$IH$396,HD$169,1+SwaptionShift):INDEX($FO$325:$IH$396,HD$169,SwaptionMonthsToGo+SwaptionShift))))))</f>
        <v/>
      </c>
      <c r="HE208" s="469" t="str">
        <f ca="1">IF(OR(HE$169&lt;SwaptionFirstMonthPosition+1,$FN208&lt;SwaptionFirstMonthPosition+1,HE$169&gt;SwaptionFirstMonthPosition+SwaptionNumOfMonths+1,$FN208&gt;SwaptionFirstMonthPosition+SwaptionNumOfMonths+1),"",IF($FN208=HE$169,1,IF($FN208&lt;HE$169,INDEX($FO$170:$IH$241,HE$169,$FN208),SUMPRODUCT(INDEX($FO$325:$IH$396,HE$169,1+SwaptionShift):INDEX($FO$325:$IH$396,HE$169,SwaptionMonthsToGo+SwaptionShift),INDEX($FO$245:$IH$316,$FN208-HE$169,73-HE$169+SwaptionShift):INDEX($FO$245:$IH$316,$FN208-HE$169,72-HE$169+SwaptionMonthsToGo+SwaptionShift))/SQRT(SUM(INDEX($FO363:$IH363,1+SwaptionShift):INDEX($FO363:$IH363,SwaptionMonthsToGo+SwaptionShift))*SUM(INDEX($FO$325:$IH$396,HE$169,1+SwaptionShift):INDEX($FO$325:$IH$396,HE$169,SwaptionMonthsToGo+SwaptionShift))))))</f>
        <v/>
      </c>
      <c r="HF208" s="469" t="str">
        <f ca="1">IF(OR(HF$169&lt;SwaptionFirstMonthPosition+1,$FN208&lt;SwaptionFirstMonthPosition+1,HF$169&gt;SwaptionFirstMonthPosition+SwaptionNumOfMonths+1,$FN208&gt;SwaptionFirstMonthPosition+SwaptionNumOfMonths+1),"",IF($FN208=HF$169,1,IF($FN208&lt;HF$169,INDEX($FO$170:$IH$241,HF$169,$FN208),SUMPRODUCT(INDEX($FO$325:$IH$396,HF$169,1+SwaptionShift):INDEX($FO$325:$IH$396,HF$169,SwaptionMonthsToGo+SwaptionShift),INDEX($FO$245:$IH$316,$FN208-HF$169,73-HF$169+SwaptionShift):INDEX($FO$245:$IH$316,$FN208-HF$169,72-HF$169+SwaptionMonthsToGo+SwaptionShift))/SQRT(SUM(INDEX($FO363:$IH363,1+SwaptionShift):INDEX($FO363:$IH363,SwaptionMonthsToGo+SwaptionShift))*SUM(INDEX($FO$325:$IH$396,HF$169,1+SwaptionShift):INDEX($FO$325:$IH$396,HF$169,SwaptionMonthsToGo+SwaptionShift))))))</f>
        <v/>
      </c>
      <c r="HG208" s="469" t="str">
        <f ca="1">IF(OR(HG$169&lt;SwaptionFirstMonthPosition+1,$FN208&lt;SwaptionFirstMonthPosition+1,HG$169&gt;SwaptionFirstMonthPosition+SwaptionNumOfMonths+1,$FN208&gt;SwaptionFirstMonthPosition+SwaptionNumOfMonths+1),"",IF($FN208=HG$169,1,IF($FN208&lt;HG$169,INDEX($FO$170:$IH$241,HG$169,$FN208),SUMPRODUCT(INDEX($FO$325:$IH$396,HG$169,1+SwaptionShift):INDEX($FO$325:$IH$396,HG$169,SwaptionMonthsToGo+SwaptionShift),INDEX($FO$245:$IH$316,$FN208-HG$169,73-HG$169+SwaptionShift):INDEX($FO$245:$IH$316,$FN208-HG$169,72-HG$169+SwaptionMonthsToGo+SwaptionShift))/SQRT(SUM(INDEX($FO363:$IH363,1+SwaptionShift):INDEX($FO363:$IH363,SwaptionMonthsToGo+SwaptionShift))*SUM(INDEX($FO$325:$IH$396,HG$169,1+SwaptionShift):INDEX($FO$325:$IH$396,HG$169,SwaptionMonthsToGo+SwaptionShift))))))</f>
        <v/>
      </c>
      <c r="HH208" s="469" t="str">
        <f ca="1">IF(OR(HH$169&lt;SwaptionFirstMonthPosition+1,$FN208&lt;SwaptionFirstMonthPosition+1,HH$169&gt;SwaptionFirstMonthPosition+SwaptionNumOfMonths+1,$FN208&gt;SwaptionFirstMonthPosition+SwaptionNumOfMonths+1),"",IF($FN208=HH$169,1,IF($FN208&lt;HH$169,INDEX($FO$170:$IH$241,HH$169,$FN208),SUMPRODUCT(INDEX($FO$325:$IH$396,HH$169,1+SwaptionShift):INDEX($FO$325:$IH$396,HH$169,SwaptionMonthsToGo+SwaptionShift),INDEX($FO$245:$IH$316,$FN208-HH$169,73-HH$169+SwaptionShift):INDEX($FO$245:$IH$316,$FN208-HH$169,72-HH$169+SwaptionMonthsToGo+SwaptionShift))/SQRT(SUM(INDEX($FO363:$IH363,1+SwaptionShift):INDEX($FO363:$IH363,SwaptionMonthsToGo+SwaptionShift))*SUM(INDEX($FO$325:$IH$396,HH$169,1+SwaptionShift):INDEX($FO$325:$IH$396,HH$169,SwaptionMonthsToGo+SwaptionShift))))))</f>
        <v/>
      </c>
      <c r="HI208" s="469" t="str">
        <f ca="1">IF(OR(HI$169&lt;SwaptionFirstMonthPosition+1,$FN208&lt;SwaptionFirstMonthPosition+1,HI$169&gt;SwaptionFirstMonthPosition+SwaptionNumOfMonths+1,$FN208&gt;SwaptionFirstMonthPosition+SwaptionNumOfMonths+1),"",IF($FN208=HI$169,1,IF($FN208&lt;HI$169,INDEX($FO$170:$IH$241,HI$169,$FN208),SUMPRODUCT(INDEX($FO$325:$IH$396,HI$169,1+SwaptionShift):INDEX($FO$325:$IH$396,HI$169,SwaptionMonthsToGo+SwaptionShift),INDEX($FO$245:$IH$316,$FN208-HI$169,73-HI$169+SwaptionShift):INDEX($FO$245:$IH$316,$FN208-HI$169,72-HI$169+SwaptionMonthsToGo+SwaptionShift))/SQRT(SUM(INDEX($FO363:$IH363,1+SwaptionShift):INDEX($FO363:$IH363,SwaptionMonthsToGo+SwaptionShift))*SUM(INDEX($FO$325:$IH$396,HI$169,1+SwaptionShift):INDEX($FO$325:$IH$396,HI$169,SwaptionMonthsToGo+SwaptionShift))))))</f>
        <v/>
      </c>
      <c r="HJ208" s="469" t="str">
        <f ca="1">IF(OR(HJ$169&lt;SwaptionFirstMonthPosition+1,$FN208&lt;SwaptionFirstMonthPosition+1,HJ$169&gt;SwaptionFirstMonthPosition+SwaptionNumOfMonths+1,$FN208&gt;SwaptionFirstMonthPosition+SwaptionNumOfMonths+1),"",IF($FN208=HJ$169,1,IF($FN208&lt;HJ$169,INDEX($FO$170:$IH$241,HJ$169,$FN208),SUMPRODUCT(INDEX($FO$325:$IH$396,HJ$169,1+SwaptionShift):INDEX($FO$325:$IH$396,HJ$169,SwaptionMonthsToGo+SwaptionShift),INDEX($FO$245:$IH$316,$FN208-HJ$169,73-HJ$169+SwaptionShift):INDEX($FO$245:$IH$316,$FN208-HJ$169,72-HJ$169+SwaptionMonthsToGo+SwaptionShift))/SQRT(SUM(INDEX($FO363:$IH363,1+SwaptionShift):INDEX($FO363:$IH363,SwaptionMonthsToGo+SwaptionShift))*SUM(INDEX($FO$325:$IH$396,HJ$169,1+SwaptionShift):INDEX($FO$325:$IH$396,HJ$169,SwaptionMonthsToGo+SwaptionShift))))))</f>
        <v/>
      </c>
      <c r="HK208" s="469" t="str">
        <f ca="1">IF(OR(HK$169&lt;SwaptionFirstMonthPosition+1,$FN208&lt;SwaptionFirstMonthPosition+1,HK$169&gt;SwaptionFirstMonthPosition+SwaptionNumOfMonths+1,$FN208&gt;SwaptionFirstMonthPosition+SwaptionNumOfMonths+1),"",IF($FN208=HK$169,1,IF($FN208&lt;HK$169,INDEX($FO$170:$IH$241,HK$169,$FN208),SUMPRODUCT(INDEX($FO$325:$IH$396,HK$169,1+SwaptionShift):INDEX($FO$325:$IH$396,HK$169,SwaptionMonthsToGo+SwaptionShift),INDEX($FO$245:$IH$316,$FN208-HK$169,73-HK$169+SwaptionShift):INDEX($FO$245:$IH$316,$FN208-HK$169,72-HK$169+SwaptionMonthsToGo+SwaptionShift))/SQRT(SUM(INDEX($FO363:$IH363,1+SwaptionShift):INDEX($FO363:$IH363,SwaptionMonthsToGo+SwaptionShift))*SUM(INDEX($FO$325:$IH$396,HK$169,1+SwaptionShift):INDEX($FO$325:$IH$396,HK$169,SwaptionMonthsToGo+SwaptionShift))))))</f>
        <v/>
      </c>
      <c r="HL208" s="469" t="str">
        <f ca="1">IF(OR(HL$169&lt;SwaptionFirstMonthPosition+1,$FN208&lt;SwaptionFirstMonthPosition+1,HL$169&gt;SwaptionFirstMonthPosition+SwaptionNumOfMonths+1,$FN208&gt;SwaptionFirstMonthPosition+SwaptionNumOfMonths+1),"",IF($FN208=HL$169,1,IF($FN208&lt;HL$169,INDEX($FO$170:$IH$241,HL$169,$FN208),SUMPRODUCT(INDEX($FO$325:$IH$396,HL$169,1+SwaptionShift):INDEX($FO$325:$IH$396,HL$169,SwaptionMonthsToGo+SwaptionShift),INDEX($FO$245:$IH$316,$FN208-HL$169,73-HL$169+SwaptionShift):INDEX($FO$245:$IH$316,$FN208-HL$169,72-HL$169+SwaptionMonthsToGo+SwaptionShift))/SQRT(SUM(INDEX($FO363:$IH363,1+SwaptionShift):INDEX($FO363:$IH363,SwaptionMonthsToGo+SwaptionShift))*SUM(INDEX($FO$325:$IH$396,HL$169,1+SwaptionShift):INDEX($FO$325:$IH$396,HL$169,SwaptionMonthsToGo+SwaptionShift))))))</f>
        <v/>
      </c>
      <c r="HM208" s="469" t="str">
        <f ca="1">IF(OR(HM$169&lt;SwaptionFirstMonthPosition+1,$FN208&lt;SwaptionFirstMonthPosition+1,HM$169&gt;SwaptionFirstMonthPosition+SwaptionNumOfMonths+1,$FN208&gt;SwaptionFirstMonthPosition+SwaptionNumOfMonths+1),"",IF($FN208=HM$169,1,IF($FN208&lt;HM$169,INDEX($FO$170:$IH$241,HM$169,$FN208),SUMPRODUCT(INDEX($FO$325:$IH$396,HM$169,1+SwaptionShift):INDEX($FO$325:$IH$396,HM$169,SwaptionMonthsToGo+SwaptionShift),INDEX($FO$245:$IH$316,$FN208-HM$169,73-HM$169+SwaptionShift):INDEX($FO$245:$IH$316,$FN208-HM$169,72-HM$169+SwaptionMonthsToGo+SwaptionShift))/SQRT(SUM(INDEX($FO363:$IH363,1+SwaptionShift):INDEX($FO363:$IH363,SwaptionMonthsToGo+SwaptionShift))*SUM(INDEX($FO$325:$IH$396,HM$169,1+SwaptionShift):INDEX($FO$325:$IH$396,HM$169,SwaptionMonthsToGo+SwaptionShift))))))</f>
        <v/>
      </c>
      <c r="HN208" s="469" t="str">
        <f ca="1">IF(OR(HN$169&lt;SwaptionFirstMonthPosition+1,$FN208&lt;SwaptionFirstMonthPosition+1,HN$169&gt;SwaptionFirstMonthPosition+SwaptionNumOfMonths+1,$FN208&gt;SwaptionFirstMonthPosition+SwaptionNumOfMonths+1),"",IF($FN208=HN$169,1,IF($FN208&lt;HN$169,INDEX($FO$170:$IH$241,HN$169,$FN208),SUMPRODUCT(INDEX($FO$325:$IH$396,HN$169,1+SwaptionShift):INDEX($FO$325:$IH$396,HN$169,SwaptionMonthsToGo+SwaptionShift),INDEX($FO$245:$IH$316,$FN208-HN$169,73-HN$169+SwaptionShift):INDEX($FO$245:$IH$316,$FN208-HN$169,72-HN$169+SwaptionMonthsToGo+SwaptionShift))/SQRT(SUM(INDEX($FO363:$IH363,1+SwaptionShift):INDEX($FO363:$IH363,SwaptionMonthsToGo+SwaptionShift))*SUM(INDEX($FO$325:$IH$396,HN$169,1+SwaptionShift):INDEX($FO$325:$IH$396,HN$169,SwaptionMonthsToGo+SwaptionShift))))))</f>
        <v/>
      </c>
      <c r="HO208" s="469" t="str">
        <f ca="1">IF(OR(HO$169&lt;SwaptionFirstMonthPosition+1,$FN208&lt;SwaptionFirstMonthPosition+1,HO$169&gt;SwaptionFirstMonthPosition+SwaptionNumOfMonths+1,$FN208&gt;SwaptionFirstMonthPosition+SwaptionNumOfMonths+1),"",IF($FN208=HO$169,1,IF($FN208&lt;HO$169,INDEX($FO$170:$IH$241,HO$169,$FN208),SUMPRODUCT(INDEX($FO$325:$IH$396,HO$169,1+SwaptionShift):INDEX($FO$325:$IH$396,HO$169,SwaptionMonthsToGo+SwaptionShift),INDEX($FO$245:$IH$316,$FN208-HO$169,73-HO$169+SwaptionShift):INDEX($FO$245:$IH$316,$FN208-HO$169,72-HO$169+SwaptionMonthsToGo+SwaptionShift))/SQRT(SUM(INDEX($FO363:$IH363,1+SwaptionShift):INDEX($FO363:$IH363,SwaptionMonthsToGo+SwaptionShift))*SUM(INDEX($FO$325:$IH$396,HO$169,1+SwaptionShift):INDEX($FO$325:$IH$396,HO$169,SwaptionMonthsToGo+SwaptionShift))))))</f>
        <v/>
      </c>
      <c r="HP208" s="469" t="str">
        <f ca="1">IF(OR(HP$169&lt;SwaptionFirstMonthPosition+1,$FN208&lt;SwaptionFirstMonthPosition+1,HP$169&gt;SwaptionFirstMonthPosition+SwaptionNumOfMonths+1,$FN208&gt;SwaptionFirstMonthPosition+SwaptionNumOfMonths+1),"",IF($FN208=HP$169,1,IF($FN208&lt;HP$169,INDEX($FO$170:$IH$241,HP$169,$FN208),SUMPRODUCT(INDEX($FO$325:$IH$396,HP$169,1+SwaptionShift):INDEX($FO$325:$IH$396,HP$169,SwaptionMonthsToGo+SwaptionShift),INDEX($FO$245:$IH$316,$FN208-HP$169,73-HP$169+SwaptionShift):INDEX($FO$245:$IH$316,$FN208-HP$169,72-HP$169+SwaptionMonthsToGo+SwaptionShift))/SQRT(SUM(INDEX($FO363:$IH363,1+SwaptionShift):INDEX($FO363:$IH363,SwaptionMonthsToGo+SwaptionShift))*SUM(INDEX($FO$325:$IH$396,HP$169,1+SwaptionShift):INDEX($FO$325:$IH$396,HP$169,SwaptionMonthsToGo+SwaptionShift))))))</f>
        <v/>
      </c>
      <c r="HQ208" s="469" t="str">
        <f ca="1">IF(OR(HQ$169&lt;SwaptionFirstMonthPosition+1,$FN208&lt;SwaptionFirstMonthPosition+1,HQ$169&gt;SwaptionFirstMonthPosition+SwaptionNumOfMonths+1,$FN208&gt;SwaptionFirstMonthPosition+SwaptionNumOfMonths+1),"",IF($FN208=HQ$169,1,IF($FN208&lt;HQ$169,INDEX($FO$170:$IH$241,HQ$169,$FN208),SUMPRODUCT(INDEX($FO$325:$IH$396,HQ$169,1+SwaptionShift):INDEX($FO$325:$IH$396,HQ$169,SwaptionMonthsToGo+SwaptionShift),INDEX($FO$245:$IH$316,$FN208-HQ$169,73-HQ$169+SwaptionShift):INDEX($FO$245:$IH$316,$FN208-HQ$169,72-HQ$169+SwaptionMonthsToGo+SwaptionShift))/SQRT(SUM(INDEX($FO363:$IH363,1+SwaptionShift):INDEX($FO363:$IH363,SwaptionMonthsToGo+SwaptionShift))*SUM(INDEX($FO$325:$IH$396,HQ$169,1+SwaptionShift):INDEX($FO$325:$IH$396,HQ$169,SwaptionMonthsToGo+SwaptionShift))))))</f>
        <v/>
      </c>
      <c r="HR208" s="469" t="str">
        <f ca="1">IF(OR(HR$169&lt;SwaptionFirstMonthPosition+1,$FN208&lt;SwaptionFirstMonthPosition+1,HR$169&gt;SwaptionFirstMonthPosition+SwaptionNumOfMonths+1,$FN208&gt;SwaptionFirstMonthPosition+SwaptionNumOfMonths+1),"",IF($FN208=HR$169,1,IF($FN208&lt;HR$169,INDEX($FO$170:$IH$241,HR$169,$FN208),SUMPRODUCT(INDEX($FO$325:$IH$396,HR$169,1+SwaptionShift):INDEX($FO$325:$IH$396,HR$169,SwaptionMonthsToGo+SwaptionShift),INDEX($FO$245:$IH$316,$FN208-HR$169,73-HR$169+SwaptionShift):INDEX($FO$245:$IH$316,$FN208-HR$169,72-HR$169+SwaptionMonthsToGo+SwaptionShift))/SQRT(SUM(INDEX($FO363:$IH363,1+SwaptionShift):INDEX($FO363:$IH363,SwaptionMonthsToGo+SwaptionShift))*SUM(INDEX($FO$325:$IH$396,HR$169,1+SwaptionShift):INDEX($FO$325:$IH$396,HR$169,SwaptionMonthsToGo+SwaptionShift))))))</f>
        <v/>
      </c>
      <c r="HS208" s="469" t="str">
        <f ca="1">IF(OR(HS$169&lt;SwaptionFirstMonthPosition+1,$FN208&lt;SwaptionFirstMonthPosition+1,HS$169&gt;SwaptionFirstMonthPosition+SwaptionNumOfMonths+1,$FN208&gt;SwaptionFirstMonthPosition+SwaptionNumOfMonths+1),"",IF($FN208=HS$169,1,IF($FN208&lt;HS$169,INDEX($FO$170:$IH$241,HS$169,$FN208),SUMPRODUCT(INDEX($FO$325:$IH$396,HS$169,1+SwaptionShift):INDEX($FO$325:$IH$396,HS$169,SwaptionMonthsToGo+SwaptionShift),INDEX($FO$245:$IH$316,$FN208-HS$169,73-HS$169+SwaptionShift):INDEX($FO$245:$IH$316,$FN208-HS$169,72-HS$169+SwaptionMonthsToGo+SwaptionShift))/SQRT(SUM(INDEX($FO363:$IH363,1+SwaptionShift):INDEX($FO363:$IH363,SwaptionMonthsToGo+SwaptionShift))*SUM(INDEX($FO$325:$IH$396,HS$169,1+SwaptionShift):INDEX($FO$325:$IH$396,HS$169,SwaptionMonthsToGo+SwaptionShift))))))</f>
        <v/>
      </c>
      <c r="HT208" s="469" t="str">
        <f ca="1">IF(OR(HT$169&lt;SwaptionFirstMonthPosition+1,$FN208&lt;SwaptionFirstMonthPosition+1,HT$169&gt;SwaptionFirstMonthPosition+SwaptionNumOfMonths+1,$FN208&gt;SwaptionFirstMonthPosition+SwaptionNumOfMonths+1),"",IF($FN208=HT$169,1,IF($FN208&lt;HT$169,INDEX($FO$170:$IH$241,HT$169,$FN208),SUMPRODUCT(INDEX($FO$325:$IH$396,HT$169,1+SwaptionShift):INDEX($FO$325:$IH$396,HT$169,SwaptionMonthsToGo+SwaptionShift),INDEX($FO$245:$IH$316,$FN208-HT$169,73-HT$169+SwaptionShift):INDEX($FO$245:$IH$316,$FN208-HT$169,72-HT$169+SwaptionMonthsToGo+SwaptionShift))/SQRT(SUM(INDEX($FO363:$IH363,1+SwaptionShift):INDEX($FO363:$IH363,SwaptionMonthsToGo+SwaptionShift))*SUM(INDEX($FO$325:$IH$396,HT$169,1+SwaptionShift):INDEX($FO$325:$IH$396,HT$169,SwaptionMonthsToGo+SwaptionShift))))))</f>
        <v/>
      </c>
      <c r="HU208" s="469" t="str">
        <f ca="1">IF(OR(HU$169&lt;SwaptionFirstMonthPosition+1,$FN208&lt;SwaptionFirstMonthPosition+1,HU$169&gt;SwaptionFirstMonthPosition+SwaptionNumOfMonths+1,$FN208&gt;SwaptionFirstMonthPosition+SwaptionNumOfMonths+1),"",IF($FN208=HU$169,1,IF($FN208&lt;HU$169,INDEX($FO$170:$IH$241,HU$169,$FN208),SUMPRODUCT(INDEX($FO$325:$IH$396,HU$169,1+SwaptionShift):INDEX($FO$325:$IH$396,HU$169,SwaptionMonthsToGo+SwaptionShift),INDEX($FO$245:$IH$316,$FN208-HU$169,73-HU$169+SwaptionShift):INDEX($FO$245:$IH$316,$FN208-HU$169,72-HU$169+SwaptionMonthsToGo+SwaptionShift))/SQRT(SUM(INDEX($FO363:$IH363,1+SwaptionShift):INDEX($FO363:$IH363,SwaptionMonthsToGo+SwaptionShift))*SUM(INDEX($FO$325:$IH$396,HU$169,1+SwaptionShift):INDEX($FO$325:$IH$396,HU$169,SwaptionMonthsToGo+SwaptionShift))))))</f>
        <v/>
      </c>
      <c r="HV208" s="469" t="str">
        <f ca="1">IF(OR(HV$169&lt;SwaptionFirstMonthPosition+1,$FN208&lt;SwaptionFirstMonthPosition+1,HV$169&gt;SwaptionFirstMonthPosition+SwaptionNumOfMonths+1,$FN208&gt;SwaptionFirstMonthPosition+SwaptionNumOfMonths+1),"",IF($FN208=HV$169,1,IF($FN208&lt;HV$169,INDEX($FO$170:$IH$241,HV$169,$FN208),SUMPRODUCT(INDEX($FO$325:$IH$396,HV$169,1+SwaptionShift):INDEX($FO$325:$IH$396,HV$169,SwaptionMonthsToGo+SwaptionShift),INDEX($FO$245:$IH$316,$FN208-HV$169,73-HV$169+SwaptionShift):INDEX($FO$245:$IH$316,$FN208-HV$169,72-HV$169+SwaptionMonthsToGo+SwaptionShift))/SQRT(SUM(INDEX($FO363:$IH363,1+SwaptionShift):INDEX($FO363:$IH363,SwaptionMonthsToGo+SwaptionShift))*SUM(INDEX($FO$325:$IH$396,HV$169,1+SwaptionShift):INDEX($FO$325:$IH$396,HV$169,SwaptionMonthsToGo+SwaptionShift))))))</f>
        <v/>
      </c>
      <c r="HW208" s="469" t="str">
        <f ca="1">IF(OR(HW$169&lt;SwaptionFirstMonthPosition+1,$FN208&lt;SwaptionFirstMonthPosition+1,HW$169&gt;SwaptionFirstMonthPosition+SwaptionNumOfMonths+1,$FN208&gt;SwaptionFirstMonthPosition+SwaptionNumOfMonths+1),"",IF($FN208=HW$169,1,IF($FN208&lt;HW$169,INDEX($FO$170:$IH$241,HW$169,$FN208),SUMPRODUCT(INDEX($FO$325:$IH$396,HW$169,1+SwaptionShift):INDEX($FO$325:$IH$396,HW$169,SwaptionMonthsToGo+SwaptionShift),INDEX($FO$245:$IH$316,$FN208-HW$169,73-HW$169+SwaptionShift):INDEX($FO$245:$IH$316,$FN208-HW$169,72-HW$169+SwaptionMonthsToGo+SwaptionShift))/SQRT(SUM(INDEX($FO363:$IH363,1+SwaptionShift):INDEX($FO363:$IH363,SwaptionMonthsToGo+SwaptionShift))*SUM(INDEX($FO$325:$IH$396,HW$169,1+SwaptionShift):INDEX($FO$325:$IH$396,HW$169,SwaptionMonthsToGo+SwaptionShift))))))</f>
        <v/>
      </c>
      <c r="HX208" s="469" t="str">
        <f ca="1">IF(OR(HX$169&lt;SwaptionFirstMonthPosition+1,$FN208&lt;SwaptionFirstMonthPosition+1,HX$169&gt;SwaptionFirstMonthPosition+SwaptionNumOfMonths+1,$FN208&gt;SwaptionFirstMonthPosition+SwaptionNumOfMonths+1),"",IF($FN208=HX$169,1,IF($FN208&lt;HX$169,INDEX($FO$170:$IH$241,HX$169,$FN208),SUMPRODUCT(INDEX($FO$325:$IH$396,HX$169,1+SwaptionShift):INDEX($FO$325:$IH$396,HX$169,SwaptionMonthsToGo+SwaptionShift),INDEX($FO$245:$IH$316,$FN208-HX$169,73-HX$169+SwaptionShift):INDEX($FO$245:$IH$316,$FN208-HX$169,72-HX$169+SwaptionMonthsToGo+SwaptionShift))/SQRT(SUM(INDEX($FO363:$IH363,1+SwaptionShift):INDEX($FO363:$IH363,SwaptionMonthsToGo+SwaptionShift))*SUM(INDEX($FO$325:$IH$396,HX$169,1+SwaptionShift):INDEX($FO$325:$IH$396,HX$169,SwaptionMonthsToGo+SwaptionShift))))))</f>
        <v/>
      </c>
      <c r="HY208" s="469" t="str">
        <f ca="1">IF(OR(HY$169&lt;SwaptionFirstMonthPosition+1,$FN208&lt;SwaptionFirstMonthPosition+1,HY$169&gt;SwaptionFirstMonthPosition+SwaptionNumOfMonths+1,$FN208&gt;SwaptionFirstMonthPosition+SwaptionNumOfMonths+1),"",IF($FN208=HY$169,1,IF($FN208&lt;HY$169,INDEX($FO$170:$IH$241,HY$169,$FN208),SUMPRODUCT(INDEX($FO$325:$IH$396,HY$169,1+SwaptionShift):INDEX($FO$325:$IH$396,HY$169,SwaptionMonthsToGo+SwaptionShift),INDEX($FO$245:$IH$316,$FN208-HY$169,73-HY$169+SwaptionShift):INDEX($FO$245:$IH$316,$FN208-HY$169,72-HY$169+SwaptionMonthsToGo+SwaptionShift))/SQRT(SUM(INDEX($FO363:$IH363,1+SwaptionShift):INDEX($FO363:$IH363,SwaptionMonthsToGo+SwaptionShift))*SUM(INDEX($FO$325:$IH$396,HY$169,1+SwaptionShift):INDEX($FO$325:$IH$396,HY$169,SwaptionMonthsToGo+SwaptionShift))))))</f>
        <v/>
      </c>
      <c r="HZ208" s="469" t="str">
        <f ca="1">IF(OR(HZ$169&lt;SwaptionFirstMonthPosition+1,$FN208&lt;SwaptionFirstMonthPosition+1,HZ$169&gt;SwaptionFirstMonthPosition+SwaptionNumOfMonths+1,$FN208&gt;SwaptionFirstMonthPosition+SwaptionNumOfMonths+1),"",IF($FN208=HZ$169,1,IF($FN208&lt;HZ$169,INDEX($FO$170:$IH$241,HZ$169,$FN208),SUMPRODUCT(INDEX($FO$325:$IH$396,HZ$169,1+SwaptionShift):INDEX($FO$325:$IH$396,HZ$169,SwaptionMonthsToGo+SwaptionShift),INDEX($FO$245:$IH$316,$FN208-HZ$169,73-HZ$169+SwaptionShift):INDEX($FO$245:$IH$316,$FN208-HZ$169,72-HZ$169+SwaptionMonthsToGo+SwaptionShift))/SQRT(SUM(INDEX($FO363:$IH363,1+SwaptionShift):INDEX($FO363:$IH363,SwaptionMonthsToGo+SwaptionShift))*SUM(INDEX($FO$325:$IH$396,HZ$169,1+SwaptionShift):INDEX($FO$325:$IH$396,HZ$169,SwaptionMonthsToGo+SwaptionShift))))))</f>
        <v/>
      </c>
      <c r="IA208" s="469" t="str">
        <f ca="1">IF(OR(IA$169&lt;SwaptionFirstMonthPosition+1,$FN208&lt;SwaptionFirstMonthPosition+1,IA$169&gt;SwaptionFirstMonthPosition+SwaptionNumOfMonths+1,$FN208&gt;SwaptionFirstMonthPosition+SwaptionNumOfMonths+1),"",IF($FN208=IA$169,1,IF($FN208&lt;IA$169,INDEX($FO$170:$IH$241,IA$169,$FN208),SUMPRODUCT(INDEX($FO$325:$IH$396,IA$169,1+SwaptionShift):INDEX($FO$325:$IH$396,IA$169,SwaptionMonthsToGo+SwaptionShift),INDEX($FO$245:$IH$316,$FN208-IA$169,73-IA$169+SwaptionShift):INDEX($FO$245:$IH$316,$FN208-IA$169,72-IA$169+SwaptionMonthsToGo+SwaptionShift))/SQRT(SUM(INDEX($FO363:$IH363,1+SwaptionShift):INDEX($FO363:$IH363,SwaptionMonthsToGo+SwaptionShift))*SUM(INDEX($FO$325:$IH$396,IA$169,1+SwaptionShift):INDEX($FO$325:$IH$396,IA$169,SwaptionMonthsToGo+SwaptionShift))))))</f>
        <v/>
      </c>
      <c r="IB208" s="469" t="str">
        <f ca="1">IF(OR(IB$169&lt;SwaptionFirstMonthPosition+1,$FN208&lt;SwaptionFirstMonthPosition+1,IB$169&gt;SwaptionFirstMonthPosition+SwaptionNumOfMonths+1,$FN208&gt;SwaptionFirstMonthPosition+SwaptionNumOfMonths+1),"",IF($FN208=IB$169,1,IF($FN208&lt;IB$169,INDEX($FO$170:$IH$241,IB$169,$FN208),SUMPRODUCT(INDEX($FO$325:$IH$396,IB$169,1+SwaptionShift):INDEX($FO$325:$IH$396,IB$169,SwaptionMonthsToGo+SwaptionShift),INDEX($FO$245:$IH$316,$FN208-IB$169,73-IB$169+SwaptionShift):INDEX($FO$245:$IH$316,$FN208-IB$169,72-IB$169+SwaptionMonthsToGo+SwaptionShift))/SQRT(SUM(INDEX($FO363:$IH363,1+SwaptionShift):INDEX($FO363:$IH363,SwaptionMonthsToGo+SwaptionShift))*SUM(INDEX($FO$325:$IH$396,IB$169,1+SwaptionShift):INDEX($FO$325:$IH$396,IB$169,SwaptionMonthsToGo+SwaptionShift))))))</f>
        <v/>
      </c>
      <c r="IC208" s="469" t="str">
        <f ca="1">IF(OR(IC$169&lt;SwaptionFirstMonthPosition+1,$FN208&lt;SwaptionFirstMonthPosition+1,IC$169&gt;SwaptionFirstMonthPosition+SwaptionNumOfMonths+1,$FN208&gt;SwaptionFirstMonthPosition+SwaptionNumOfMonths+1),"",IF($FN208=IC$169,1,IF($FN208&lt;IC$169,INDEX($FO$170:$IH$241,IC$169,$FN208),SUMPRODUCT(INDEX($FO$325:$IH$396,IC$169,1+SwaptionShift):INDEX($FO$325:$IH$396,IC$169,SwaptionMonthsToGo+SwaptionShift),INDEX($FO$245:$IH$316,$FN208-IC$169,73-IC$169+SwaptionShift):INDEX($FO$245:$IH$316,$FN208-IC$169,72-IC$169+SwaptionMonthsToGo+SwaptionShift))/SQRT(SUM(INDEX($FO363:$IH363,1+SwaptionShift):INDEX($FO363:$IH363,SwaptionMonthsToGo+SwaptionShift))*SUM(INDEX($FO$325:$IH$396,IC$169,1+SwaptionShift):INDEX($FO$325:$IH$396,IC$169,SwaptionMonthsToGo+SwaptionShift))))))</f>
        <v/>
      </c>
      <c r="ID208" s="469" t="str">
        <f ca="1">IF(OR(ID$169&lt;SwaptionFirstMonthPosition+1,$FN208&lt;SwaptionFirstMonthPosition+1,ID$169&gt;SwaptionFirstMonthPosition+SwaptionNumOfMonths+1,$FN208&gt;SwaptionFirstMonthPosition+SwaptionNumOfMonths+1),"",IF($FN208=ID$169,1,IF($FN208&lt;ID$169,INDEX($FO$170:$IH$241,ID$169,$FN208),SUMPRODUCT(INDEX($FO$325:$IH$396,ID$169,1+SwaptionShift):INDEX($FO$325:$IH$396,ID$169,SwaptionMonthsToGo+SwaptionShift),INDEX($FO$245:$IH$316,$FN208-ID$169,73-ID$169+SwaptionShift):INDEX($FO$245:$IH$316,$FN208-ID$169,72-ID$169+SwaptionMonthsToGo+SwaptionShift))/SQRT(SUM(INDEX($FO363:$IH363,1+SwaptionShift):INDEX($FO363:$IH363,SwaptionMonthsToGo+SwaptionShift))*SUM(INDEX($FO$325:$IH$396,ID$169,1+SwaptionShift):INDEX($FO$325:$IH$396,ID$169,SwaptionMonthsToGo+SwaptionShift))))))</f>
        <v/>
      </c>
      <c r="IE208" s="469" t="str">
        <f ca="1">IF(OR(IE$169&lt;SwaptionFirstMonthPosition+1,$FN208&lt;SwaptionFirstMonthPosition+1,IE$169&gt;SwaptionFirstMonthPosition+SwaptionNumOfMonths+1,$FN208&gt;SwaptionFirstMonthPosition+SwaptionNumOfMonths+1),"",IF($FN208=IE$169,1,IF($FN208&lt;IE$169,INDEX($FO$170:$IH$241,IE$169,$FN208),SUMPRODUCT(INDEX($FO$325:$IH$396,IE$169,1+SwaptionShift):INDEX($FO$325:$IH$396,IE$169,SwaptionMonthsToGo+SwaptionShift),INDEX($FO$245:$IH$316,$FN208-IE$169,73-IE$169+SwaptionShift):INDEX($FO$245:$IH$316,$FN208-IE$169,72-IE$169+SwaptionMonthsToGo+SwaptionShift))/SQRT(SUM(INDEX($FO363:$IH363,1+SwaptionShift):INDEX($FO363:$IH363,SwaptionMonthsToGo+SwaptionShift))*SUM(INDEX($FO$325:$IH$396,IE$169,1+SwaptionShift):INDEX($FO$325:$IH$396,IE$169,SwaptionMonthsToGo+SwaptionShift))))))</f>
        <v/>
      </c>
      <c r="IF208" s="469" t="str">
        <f ca="1">IF(OR(IF$169&lt;SwaptionFirstMonthPosition+1,$FN208&lt;SwaptionFirstMonthPosition+1,IF$169&gt;SwaptionFirstMonthPosition+SwaptionNumOfMonths+1,$FN208&gt;SwaptionFirstMonthPosition+SwaptionNumOfMonths+1),"",IF($FN208=IF$169,1,IF($FN208&lt;IF$169,INDEX($FO$170:$IH$241,IF$169,$FN208),SUMPRODUCT(INDEX($FO$325:$IH$396,IF$169,1+SwaptionShift):INDEX($FO$325:$IH$396,IF$169,SwaptionMonthsToGo+SwaptionShift),INDEX($FO$245:$IH$316,$FN208-IF$169,73-IF$169+SwaptionShift):INDEX($FO$245:$IH$316,$FN208-IF$169,72-IF$169+SwaptionMonthsToGo+SwaptionShift))/SQRT(SUM(INDEX($FO363:$IH363,1+SwaptionShift):INDEX($FO363:$IH363,SwaptionMonthsToGo+SwaptionShift))*SUM(INDEX($FO$325:$IH$396,IF$169,1+SwaptionShift):INDEX($FO$325:$IH$396,IF$169,SwaptionMonthsToGo+SwaptionShift))))))</f>
        <v/>
      </c>
      <c r="IG208" s="469" t="str">
        <f ca="1">IF(OR(IG$169&lt;SwaptionFirstMonthPosition+1,$FN208&lt;SwaptionFirstMonthPosition+1,IG$169&gt;SwaptionFirstMonthPosition+SwaptionNumOfMonths+1,$FN208&gt;SwaptionFirstMonthPosition+SwaptionNumOfMonths+1),"",IF($FN208=IG$169,1,IF($FN208&lt;IG$169,INDEX($FO$170:$IH$241,IG$169,$FN208),SUMPRODUCT(INDEX($FO$325:$IH$396,IG$169,1+SwaptionShift):INDEX($FO$325:$IH$396,IG$169,SwaptionMonthsToGo+SwaptionShift),INDEX($FO$245:$IH$316,$FN208-IG$169,73-IG$169+SwaptionShift):INDEX($FO$245:$IH$316,$FN208-IG$169,72-IG$169+SwaptionMonthsToGo+SwaptionShift))/SQRT(SUM(INDEX($FO363:$IH363,1+SwaptionShift):INDEX($FO363:$IH363,SwaptionMonthsToGo+SwaptionShift))*SUM(INDEX($FO$325:$IH$396,IG$169,1+SwaptionShift):INDEX($FO$325:$IH$396,IG$169,SwaptionMonthsToGo+SwaptionShift))))))</f>
        <v/>
      </c>
      <c r="IH208" s="662" t="str">
        <f ca="1">IF(OR(IH$169&lt;SwaptionFirstMonthPosition+1,$FN208&lt;SwaptionFirstMonthPosition+1,IH$169&gt;SwaptionFirstMonthPosition+SwaptionNumOfMonths+1,$FN208&gt;SwaptionFirstMonthPosition+SwaptionNumOfMonths+1),"",IF($FN208=IH$169,1,IF($FN208&lt;IH$169,INDEX($FO$170:$IH$241,IH$169,$FN208),SUMPRODUCT(INDEX($FO$325:$IH$396,IH$169,1+SwaptionShift):INDEX($FO$325:$IH$396,IH$169,SwaptionMonthsToGo+SwaptionShift),INDEX($FO$245:$IH$316,$FN208-IH$169,73-IH$169+SwaptionShift):INDEX($FO$245:$IH$316,$FN208-IH$169,72-IH$169+SwaptionMonthsToGo+SwaptionShift))/SQRT(SUM(INDEX($FO363:$IH363,1+SwaptionShift):INDEX($FO363:$IH363,SwaptionMonthsToGo+SwaptionShift))*SUM(INDEX($FO$325:$IH$396,IH$169,1+SwaptionShift):INDEX($FO$325:$IH$396,IH$169,SwaptionMonthsToGo+SwaptionShift))))))</f>
        <v/>
      </c>
      <c r="II208" s="242"/>
    </row>
    <row r="209" spans="8:243">
      <c r="H209" s="49" t="e">
        <f t="shared" ca="1" si="529"/>
        <v>#N/A</v>
      </c>
      <c r="I209" s="369">
        <f t="shared" si="530"/>
        <v>42767</v>
      </c>
      <c r="J209" s="367">
        <v>24.1099999999999</v>
      </c>
      <c r="K209" s="101" t="s">
        <v>267</v>
      </c>
      <c r="L209" s="382">
        <f t="shared" si="531"/>
        <v>24.109999999999861</v>
      </c>
      <c r="M209" s="163">
        <v>0.13550000000000001</v>
      </c>
      <c r="N209" s="372">
        <v>0</v>
      </c>
      <c r="O209" s="163">
        <f t="shared" si="595"/>
        <v>0.13550000000000001</v>
      </c>
      <c r="P209" s="367">
        <v>22.8696128093491</v>
      </c>
      <c r="Q209" s="101" t="s">
        <v>267</v>
      </c>
      <c r="R209" s="367">
        <f t="shared" ca="1" si="596"/>
        <v>22.869612809349096</v>
      </c>
      <c r="S209" s="814">
        <f t="shared" si="594"/>
        <v>0.3475576467476576</v>
      </c>
      <c r="T209" s="813">
        <f t="shared" si="550"/>
        <v>0.99999999982450261</v>
      </c>
      <c r="U209" s="532">
        <f t="shared" si="551"/>
        <v>0.99999999999999978</v>
      </c>
      <c r="V209" s="379">
        <v>0</v>
      </c>
      <c r="W209" s="424">
        <f t="shared" si="597"/>
        <v>24.142499999999902</v>
      </c>
      <c r="X209" s="405">
        <f t="shared" si="598"/>
        <v>24.14249999999986</v>
      </c>
      <c r="Y209" s="313">
        <f t="shared" si="599"/>
        <v>22.926499999999901</v>
      </c>
      <c r="Z209" s="313">
        <f t="shared" ca="1" si="600"/>
        <v>22.926499999999859</v>
      </c>
      <c r="AA209" s="419">
        <f t="shared" si="493"/>
        <v>1.216</v>
      </c>
      <c r="AB209" s="423">
        <f t="shared" ca="1" si="494"/>
        <v>1.216</v>
      </c>
      <c r="AC209" s="221">
        <v>42755</v>
      </c>
      <c r="AD209" s="221">
        <v>42751</v>
      </c>
      <c r="AE209" s="221">
        <v>42750</v>
      </c>
      <c r="AF209" s="221">
        <v>42746</v>
      </c>
      <c r="AG209" s="241" t="s">
        <v>497</v>
      </c>
      <c r="AH209" s="239" t="s">
        <v>497</v>
      </c>
      <c r="AI209" s="141">
        <v>20</v>
      </c>
      <c r="AJ209" s="41">
        <v>14</v>
      </c>
      <c r="AK209" s="41">
        <v>6</v>
      </c>
      <c r="AL209" s="285">
        <v>20</v>
      </c>
      <c r="AM209" s="41">
        <v>10</v>
      </c>
      <c r="AN209" s="142">
        <v>10</v>
      </c>
      <c r="AO209" s="364">
        <v>6.2394971240723199E-2</v>
      </c>
      <c r="AP209" s="145">
        <f t="shared" ca="1" si="532"/>
        <v>0.37668921466384875</v>
      </c>
      <c r="AQ209" s="364">
        <v>5.7316756541081003E-2</v>
      </c>
      <c r="AR209" s="145">
        <f t="shared" ca="1" si="552"/>
        <v>0.41010935254448339</v>
      </c>
      <c r="AS209" s="264">
        <f t="shared" si="601"/>
        <v>0.13498000000000002</v>
      </c>
      <c r="AT209" s="149">
        <f t="shared" si="533"/>
        <v>0.13550000000000001</v>
      </c>
      <c r="AU209" s="149">
        <f t="shared" si="496"/>
        <v>0.13490000000000002</v>
      </c>
      <c r="AV209" s="263">
        <f t="shared" ca="1" si="560"/>
        <v>0.13343934337041727</v>
      </c>
      <c r="AW209" s="150" t="str">
        <f t="shared" ca="1" si="581"/>
        <v/>
      </c>
      <c r="AX209" s="149">
        <f t="shared" ca="1" si="553"/>
        <v>4.5088551666487928E-3</v>
      </c>
      <c r="AY209" s="149">
        <f t="shared" ca="1" si="554"/>
        <v>1.4685490372276886E-3</v>
      </c>
      <c r="AZ209" s="149">
        <f t="shared" ca="1" si="555"/>
        <v>1.6308209565588884E-3</v>
      </c>
      <c r="BA209" s="149">
        <f t="shared" ca="1" si="556"/>
        <v>1.0000000000000971E-4</v>
      </c>
      <c r="BB209" s="149">
        <f t="shared" ca="1" si="557"/>
        <v>1.0000000000000971E-4</v>
      </c>
      <c r="BC209" s="149">
        <f t="shared" ca="1" si="558"/>
        <v>1.0000000000000971E-4</v>
      </c>
      <c r="BD209" s="143">
        <f t="shared" ca="1" si="602"/>
        <v>0</v>
      </c>
      <c r="BE209" s="144">
        <f t="shared" ca="1" si="603"/>
        <v>0</v>
      </c>
      <c r="BF209" s="40">
        <f t="shared" si="604"/>
        <v>2017</v>
      </c>
      <c r="BG209" s="139">
        <f t="shared" si="605"/>
        <v>2</v>
      </c>
      <c r="BH209" s="140">
        <f t="shared" ca="1" si="606"/>
        <v>5761</v>
      </c>
      <c r="BI209" s="304">
        <f t="shared" ca="1" si="607"/>
        <v>15.816563997262149</v>
      </c>
      <c r="BJ209" s="42">
        <f t="shared" ca="1" si="503"/>
        <v>15.868309377138946</v>
      </c>
      <c r="BK209" s="42">
        <f t="shared" ca="1" si="504"/>
        <v>15.871047227926079</v>
      </c>
      <c r="BL209" s="42">
        <f t="shared" ca="1" si="608"/>
        <v>15.890485968514716</v>
      </c>
      <c r="BM209" s="285">
        <f t="shared" si="609"/>
        <v>20</v>
      </c>
      <c r="BN209" s="41">
        <f t="shared" si="610"/>
        <v>14</v>
      </c>
      <c r="BO209" s="41">
        <f t="shared" si="611"/>
        <v>6</v>
      </c>
      <c r="BP209" s="297" t="str">
        <f t="shared" ca="1" si="505"/>
        <v/>
      </c>
      <c r="BQ209" s="297" t="str">
        <f t="shared" ca="1" si="506"/>
        <v/>
      </c>
      <c r="BR209" s="299" t="str">
        <f t="shared" ca="1" si="507"/>
        <v/>
      </c>
      <c r="BS209" s="153" t="str">
        <f t="shared" ca="1" si="508"/>
        <v/>
      </c>
      <c r="BT209" s="153" t="str">
        <f t="shared" ca="1" si="509"/>
        <v/>
      </c>
      <c r="BU209" s="300" t="str">
        <f t="shared" ca="1" si="510"/>
        <v/>
      </c>
      <c r="BV209" s="301" t="str">
        <f t="shared" ca="1" si="511"/>
        <v/>
      </c>
      <c r="BW209" s="300" t="str">
        <f t="shared" ca="1" si="512"/>
        <v/>
      </c>
      <c r="BX209" s="301" t="str">
        <f t="shared" ca="1" si="513"/>
        <v/>
      </c>
      <c r="BY209" s="146" t="str">
        <f t="shared" ca="1" si="514"/>
        <v/>
      </c>
      <c r="BZ209" s="146" t="str">
        <f t="shared" ca="1" si="515"/>
        <v/>
      </c>
      <c r="CA209" s="146" t="str">
        <f t="shared" ca="1" si="516"/>
        <v/>
      </c>
      <c r="CB209" s="146" t="str">
        <f t="shared" ca="1" si="517"/>
        <v/>
      </c>
      <c r="CC209" s="302">
        <v>1</v>
      </c>
      <c r="CD209" s="154">
        <f ca="1">IF(BD209,_xll.xCrudeAPO(BS209,BT209,BY209,BZ209,S210,S211,BI209,BL209,BN209,BO209,0,Strike1,AO209,CC209,0,BL209,IF(OptControl=4,0,1),0,1),0)</f>
        <v>0</v>
      </c>
      <c r="CE209" s="155">
        <f ca="1">IF(BD209,_xll.xCrudeAPO(BS209,BT209,BY209,BZ209,S210,S211,BI209,BL209,BN209,BO209,0,Strike1,AO209,CC209,0,BL209,IF(OptControl=4,0,1),1,1)+_xll.xCrudeAPO(BS209,BT209,BY209,BZ209,S210,S211,BI209,BL209,BN209,BO209,0,Strike1,AO209,CC209,0,BL209,IF(OptControl=4,0,1),1,2)+IF(OR(VolSkewFlag=2,ABS(BQ209)&lt;0.0001),0,IF(BQ209&gt;0,-1,1)*CF209*Strike1/BP209^2*BW209/10%),0)</f>
        <v>0</v>
      </c>
      <c r="CF209" s="155">
        <f ca="1">IF(BD209,(_xll.xCrudeAPO(BS209,BT209,BY209,BZ209,S210,S211,BI209,BL209,BN209,BO209,0,Strike1,AO209,CC209,0,BL209,IF(OptControl=4,0,1),3,1)+_xll.xCrudeAPO(BS209,BT209,BY209,BZ209,S210,S211,BI209,BL209,BN209,BO209,0,Strike1,AO209,CC209,0,BL209,IF(OptControl=4,0,1),3,2))/100,0)</f>
        <v>0</v>
      </c>
      <c r="CG209" s="155">
        <f ca="1">IF(BD209,_xll.xCrudeAPO(BS209,BT209,BY209,BZ209,S210,S211,BI209-DaysForThetaCalculation/365.25,BL209-DaysForThetaCalculation/365.25,BN209,BO209,0,Strike1,AO209,CC209,0,BL209,IF(OptControl=4,0,1),0,1)-_xll.xCrudeAPO(BS209,BT209,BY209,BZ209,S210,S211,BI209,BL209,BN209,BO209,0,Strike1,AO209,CC209,0,BL209,IF(OptControl=4,0,1),0,1),0)</f>
        <v>0</v>
      </c>
      <c r="CH209" s="303">
        <f ca="1">IF(BD209,_xll.xCrudeAPO(BS209,BT209,CA209,CB209,S210,S211,BI209,BL209,BN209,BO209,0,Strike2,AO209,CC209,0,BL209,IF(OptControl=3,1,0),0,1),0)</f>
        <v>0</v>
      </c>
      <c r="CI209" s="155">
        <f ca="1">IF(BD209,_xll.xCrudeAPO(BS209,BT209,CA209,CB209,S210,S211,BI209,BL209,BN209,BO209,0,Strike2,AO209,CC209,0,BL209,IF(OptControl=3,1,0),1,1)+_xll.xCrudeAPO(BS209,BT209,CA209,CB209,S210,S211,BI209,BL209,BN209,BO209,0,Strike2,AO209,CC209,0,BL209,IF(OptControl=3,1,0),1,2)+IF(OR(VolSkewFlag=2,ABS(BR209)&lt;0.0001),0,IF(BR209&gt;0,-1,1)*CJ209*Strike2/BP209^2*BX209/10%),0)</f>
        <v>0</v>
      </c>
      <c r="CJ209" s="155">
        <f ca="1">IF(BD209,(_xll.xCrudeAPO(BS209,BT209,CA209,CB209,S210,S211,BI209,BL209,BN209,BO209,0,Strike2,AO209,CC209,0,BL209,IF(OptControl=3,1,0),3,1)+_xll.xCrudeAPO(BS209,BT209,CA209,CB209,S210,S211,BI209,BL209,BN209,BO209,0,Strike2,AO209,CC209,0,BL209,IF(OptControl=3,1,0),3,2))/100,0)</f>
        <v>0</v>
      </c>
      <c r="CK209" s="156">
        <f ca="1">IF(BD209,_xll.xCrudeAPO(BS209,BT209,CA209,CB209,S210,S211,BI209-DaysForThetaCalculation/365.25,BL209-DaysForThetaCalculation/365.25,BN209,BO209,0,Strike2,AO209,CC209,0,BL209,IF(OptControl=3,1,0),0,1)-_xll.xCrudeAPO(BS209,BT209,CA209,CB209,S210,S211,BI209,BL209,BN209,BO209,0,Strike2,AO209,CC209,0,BL209,IF(OptControl=3,1,0),0,1),0)</f>
        <v>0</v>
      </c>
      <c r="CL209" s="51"/>
      <c r="CM209" s="779" t="str">
        <f t="shared" ca="1" si="534"/>
        <v/>
      </c>
      <c r="CN209" s="783" t="str">
        <f t="shared" ca="1" si="535"/>
        <v/>
      </c>
      <c r="CO209" s="780" t="str">
        <f t="shared" ca="1" si="536"/>
        <v/>
      </c>
      <c r="CP209" s="780" t="str">
        <f t="shared" ca="1" si="537"/>
        <v/>
      </c>
      <c r="CQ209" s="780" t="str">
        <f t="shared" ca="1" si="538"/>
        <v/>
      </c>
      <c r="CR209" s="780" t="str">
        <f t="shared" ca="1" si="539"/>
        <v/>
      </c>
      <c r="CS209" s="781" t="str">
        <f t="shared" ca="1" si="540"/>
        <v/>
      </c>
      <c r="CT209" s="782" t="str">
        <f t="shared" ca="1" si="541"/>
        <v/>
      </c>
      <c r="CU209" s="782" t="str">
        <f t="shared" ca="1" si="542"/>
        <v/>
      </c>
      <c r="CV209" s="155">
        <f ca="1">IF(BD209,_xll.EURO(CN209,Strike1,AO209,AO209,CT209,CM209,IF(OptControl=4,0,1),0),0)</f>
        <v>0</v>
      </c>
      <c r="CW209" s="155">
        <f ca="1">IF(BD209,_xll.EURO(CN209,Strike1,AO209,AO209,CT209,CM209,IF(OptControl=4,0,1),1)+IF(OR(VolSkewFlag=2,ABS(CO209)&lt;0.0001),0,IF(CO209&gt;0,-1,1)*CX209*100*Strike1/CN209^2*CQ209/10%),0)</f>
        <v>0</v>
      </c>
      <c r="CX209" s="155">
        <f ca="1">IF(BD209,_xll.EURO(CN209,Strike1,AO209,AO209,CT209,CM209,IF(OptControl=4,0,1),3)/100,0)</f>
        <v>0</v>
      </c>
      <c r="CY209" s="155">
        <f ca="1">IF(BD209,_xll.EURO(CN209,Strike1,AO209,AO209,CT209,CM209,IF(OptControl=4,0,1),0)-_xll.EURO(CN209,Strike1,AO209,AO209,CT209,CM209-1,IF(OptControl=4,0,1),0),0)</f>
        <v>0</v>
      </c>
      <c r="CZ209" s="155">
        <f ca="1">IF(BD209,_xll.EURO(CN209,Strike2,AO209,AO209,CU209,CM209,IF(OptControl=3,1,0),0),0)</f>
        <v>0</v>
      </c>
      <c r="DA209" s="155">
        <f ca="1">IF(BD209,_xll.EURO(CN209,Strike2,AO209,AO209,CU209,CM209,IF(OptControl=3,1,0),1)+IF(OR(VolSkewFlag=2,ABS(CP209)&lt;0.0001),0,IF(CP209&gt;0,-1,1)*DB209*100*Strike2/CN209^2*CR209/10%),0)</f>
        <v>0</v>
      </c>
      <c r="DB209" s="155">
        <f ca="1">IF(BD209,_xll.EURO(CN209,Strike2,AO209,AO209,CU209,CM209,IF(OptControl=3,1,0),3)/100,0)</f>
        <v>0</v>
      </c>
      <c r="DC209" s="156">
        <f ca="1">IF(BD209,_xll.EURO(CN209,Strike2,AO209,AO209,CU209,CM209,IF(OptControl=3,1,0),0)-_xll.EURO(CN209,Strike2,AO209,AO209,CU209,CM209-1,IF(OptControl=3,1,0),0),0)</f>
        <v>0</v>
      </c>
      <c r="DE209" s="651">
        <f t="shared" ca="1" si="543"/>
        <v>42675</v>
      </c>
      <c r="DF209" s="465">
        <v>1E-4</v>
      </c>
      <c r="DG209" s="649">
        <v>1E-4</v>
      </c>
      <c r="DH209" s="650">
        <f t="shared" ca="1" si="612"/>
        <v>42675</v>
      </c>
      <c r="DI209" s="465">
        <v>1E-4</v>
      </c>
      <c r="DJ209" s="649">
        <v>1E-4</v>
      </c>
      <c r="DK209" s="651">
        <f t="shared" ca="1" si="613"/>
        <v>42675</v>
      </c>
      <c r="DL209" s="652">
        <f t="shared" si="614"/>
        <v>5.0100000000000006E-2</v>
      </c>
      <c r="DM209" s="651">
        <f t="shared" ca="1" si="615"/>
        <v>42675</v>
      </c>
      <c r="DN209" s="563">
        <f t="shared" si="616"/>
        <v>-0.12990000000000002</v>
      </c>
      <c r="DO209" s="803">
        <v>-0.13</v>
      </c>
      <c r="DP209" s="650">
        <f t="shared" ca="1" si="617"/>
        <v>42675</v>
      </c>
      <c r="DQ209" s="653">
        <v>1E-4</v>
      </c>
      <c r="DR209" s="590">
        <v>1E-4</v>
      </c>
      <c r="DS209" s="650">
        <f t="shared" ca="1" si="618"/>
        <v>42675</v>
      </c>
      <c r="DT209" s="653">
        <v>1E-4</v>
      </c>
      <c r="DU209" s="590">
        <v>1E-4</v>
      </c>
      <c r="DV209" s="651">
        <f t="shared" ca="1" si="619"/>
        <v>42675</v>
      </c>
      <c r="DW209" s="590">
        <v>1E-4</v>
      </c>
      <c r="DX209" s="651">
        <f t="shared" ca="1" si="620"/>
        <v>42675</v>
      </c>
      <c r="DY209" s="590">
        <f t="shared" si="621"/>
        <v>1E-4</v>
      </c>
      <c r="DZ209" s="1"/>
      <c r="EA209" s="857"/>
      <c r="EB209" s="857"/>
      <c r="EC209" s="857"/>
      <c r="ED209" s="868" t="e">
        <f t="shared" ca="1" si="566"/>
        <v>#NAME?</v>
      </c>
      <c r="EE209" s="863" t="e">
        <f t="shared" ca="1" si="524"/>
        <v>#NAME?</v>
      </c>
      <c r="EF209" s="590" t="e">
        <f t="shared" ca="1" si="525"/>
        <v>#NAME?</v>
      </c>
      <c r="EG209" s="862" t="str">
        <f t="shared" ca="1" si="622"/>
        <v/>
      </c>
      <c r="EH209" s="114" t="str">
        <f t="shared" ca="1" si="527"/>
        <v/>
      </c>
      <c r="EI209" s="109" t="str">
        <f t="shared" ca="1" si="528"/>
        <v/>
      </c>
      <c r="EJ209" s="115">
        <f ca="1">IF(BD209,_xll.xASN(BP209,Strike1,AO209,EH209,0,BM209,0,BI209,BL209,IF(OptControl=4,0,1),0),0)</f>
        <v>0</v>
      </c>
      <c r="EK209" s="108">
        <f ca="1">IF(BD209,_xll.xASN(BP209,Strike2,AO209,EI209,0,BM209,0,BI209,BL209,IF(OptControl=3,1,0),0),0)</f>
        <v>0</v>
      </c>
      <c r="EP209" s="53"/>
      <c r="EQ209" s="1"/>
      <c r="ER209" s="103"/>
      <c r="ES209" s="103"/>
      <c r="ET209" s="1"/>
      <c r="EU209" s="667" t="s">
        <v>422</v>
      </c>
      <c r="EW209" s="53"/>
      <c r="EY209" s="104"/>
      <c r="FN209" s="657">
        <v>40</v>
      </c>
      <c r="FO209" s="469" t="str">
        <f ca="1">IF(OR(FO$169&lt;SwaptionFirstMonthPosition+1,$FN209&lt;SwaptionFirstMonthPosition+1,FO$169&gt;SwaptionFirstMonthPosition+SwaptionNumOfMonths+1,$FN209&gt;SwaptionFirstMonthPosition+SwaptionNumOfMonths+1),"",IF($FN209=FO$169,1,IF($FN209&lt;FO$169,INDEX($FO$170:$IH$241,FO$169,$FN209),SUMPRODUCT(INDEX($FO$325:$IH$396,FO$169,1+SwaptionShift):INDEX($FO$325:$IH$396,FO$169,SwaptionMonthsToGo+SwaptionShift),INDEX($FO$245:$IH$316,$FN209-FO$169,73-FO$169+SwaptionShift):INDEX($FO$245:$IH$316,$FN209-FO$169,72-FO$169+SwaptionMonthsToGo+SwaptionShift))/SQRT(SUM(INDEX($FO364:$IH364,1+SwaptionShift):INDEX($FO364:$IH364,SwaptionMonthsToGo+SwaptionShift))*SUM(INDEX($FO$325:$IH$396,FO$169,1+SwaptionShift):INDEX($FO$325:$IH$396,FO$169,SwaptionMonthsToGo+SwaptionShift))))))</f>
        <v/>
      </c>
      <c r="FP209" s="469" t="str">
        <f ca="1">IF(OR(FP$169&lt;SwaptionFirstMonthPosition+1,$FN209&lt;SwaptionFirstMonthPosition+1,FP$169&gt;SwaptionFirstMonthPosition+SwaptionNumOfMonths+1,$FN209&gt;SwaptionFirstMonthPosition+SwaptionNumOfMonths+1),"",IF($FN209=FP$169,1,IF($FN209&lt;FP$169,INDEX($FO$170:$IH$241,FP$169,$FN209),SUMPRODUCT(INDEX($FO$325:$IH$396,FP$169,1+SwaptionShift):INDEX($FO$325:$IH$396,FP$169,SwaptionMonthsToGo+SwaptionShift),INDEX($FO$245:$IH$316,$FN209-FP$169,73-FP$169+SwaptionShift):INDEX($FO$245:$IH$316,$FN209-FP$169,72-FP$169+SwaptionMonthsToGo+SwaptionShift))/SQRT(SUM(INDEX($FO364:$IH364,1+SwaptionShift):INDEX($FO364:$IH364,SwaptionMonthsToGo+SwaptionShift))*SUM(INDEX($FO$325:$IH$396,FP$169,1+SwaptionShift):INDEX($FO$325:$IH$396,FP$169,SwaptionMonthsToGo+SwaptionShift))))))</f>
        <v/>
      </c>
      <c r="FQ209" s="469" t="str">
        <f ca="1">IF(OR(FQ$169&lt;SwaptionFirstMonthPosition+1,$FN209&lt;SwaptionFirstMonthPosition+1,FQ$169&gt;SwaptionFirstMonthPosition+SwaptionNumOfMonths+1,$FN209&gt;SwaptionFirstMonthPosition+SwaptionNumOfMonths+1),"",IF($FN209=FQ$169,1,IF($FN209&lt;FQ$169,INDEX($FO$170:$IH$241,FQ$169,$FN209),SUMPRODUCT(INDEX($FO$325:$IH$396,FQ$169,1+SwaptionShift):INDEX($FO$325:$IH$396,FQ$169,SwaptionMonthsToGo+SwaptionShift),INDEX($FO$245:$IH$316,$FN209-FQ$169,73-FQ$169+SwaptionShift):INDEX($FO$245:$IH$316,$FN209-FQ$169,72-FQ$169+SwaptionMonthsToGo+SwaptionShift))/SQRT(SUM(INDEX($FO364:$IH364,1+SwaptionShift):INDEX($FO364:$IH364,SwaptionMonthsToGo+SwaptionShift))*SUM(INDEX($FO$325:$IH$396,FQ$169,1+SwaptionShift):INDEX($FO$325:$IH$396,FQ$169,SwaptionMonthsToGo+SwaptionShift))))))</f>
        <v/>
      </c>
      <c r="FR209" s="469" t="str">
        <f ca="1">IF(OR(FR$169&lt;SwaptionFirstMonthPosition+1,$FN209&lt;SwaptionFirstMonthPosition+1,FR$169&gt;SwaptionFirstMonthPosition+SwaptionNumOfMonths+1,$FN209&gt;SwaptionFirstMonthPosition+SwaptionNumOfMonths+1),"",IF($FN209=FR$169,1,IF($FN209&lt;FR$169,INDEX($FO$170:$IH$241,FR$169,$FN209),SUMPRODUCT(INDEX($FO$325:$IH$396,FR$169,1+SwaptionShift):INDEX($FO$325:$IH$396,FR$169,SwaptionMonthsToGo+SwaptionShift),INDEX($FO$245:$IH$316,$FN209-FR$169,73-FR$169+SwaptionShift):INDEX($FO$245:$IH$316,$FN209-FR$169,72-FR$169+SwaptionMonthsToGo+SwaptionShift))/SQRT(SUM(INDEX($FO364:$IH364,1+SwaptionShift):INDEX($FO364:$IH364,SwaptionMonthsToGo+SwaptionShift))*SUM(INDEX($FO$325:$IH$396,FR$169,1+SwaptionShift):INDEX($FO$325:$IH$396,FR$169,SwaptionMonthsToGo+SwaptionShift))))))</f>
        <v/>
      </c>
      <c r="FS209" s="469" t="str">
        <f ca="1">IF(OR(FS$169&lt;SwaptionFirstMonthPosition+1,$FN209&lt;SwaptionFirstMonthPosition+1,FS$169&gt;SwaptionFirstMonthPosition+SwaptionNumOfMonths+1,$FN209&gt;SwaptionFirstMonthPosition+SwaptionNumOfMonths+1),"",IF($FN209=FS$169,1,IF($FN209&lt;FS$169,INDEX($FO$170:$IH$241,FS$169,$FN209),SUMPRODUCT(INDEX($FO$325:$IH$396,FS$169,1+SwaptionShift):INDEX($FO$325:$IH$396,FS$169,SwaptionMonthsToGo+SwaptionShift),INDEX($FO$245:$IH$316,$FN209-FS$169,73-FS$169+SwaptionShift):INDEX($FO$245:$IH$316,$FN209-FS$169,72-FS$169+SwaptionMonthsToGo+SwaptionShift))/SQRT(SUM(INDEX($FO364:$IH364,1+SwaptionShift):INDEX($FO364:$IH364,SwaptionMonthsToGo+SwaptionShift))*SUM(INDEX($FO$325:$IH$396,FS$169,1+SwaptionShift):INDEX($FO$325:$IH$396,FS$169,SwaptionMonthsToGo+SwaptionShift))))))</f>
        <v/>
      </c>
      <c r="FT209" s="469" t="str">
        <f ca="1">IF(OR(FT$169&lt;SwaptionFirstMonthPosition+1,$FN209&lt;SwaptionFirstMonthPosition+1,FT$169&gt;SwaptionFirstMonthPosition+SwaptionNumOfMonths+1,$FN209&gt;SwaptionFirstMonthPosition+SwaptionNumOfMonths+1),"",IF($FN209=FT$169,1,IF($FN209&lt;FT$169,INDEX($FO$170:$IH$241,FT$169,$FN209),SUMPRODUCT(INDEX($FO$325:$IH$396,FT$169,1+SwaptionShift):INDEX($FO$325:$IH$396,FT$169,SwaptionMonthsToGo+SwaptionShift),INDEX($FO$245:$IH$316,$FN209-FT$169,73-FT$169+SwaptionShift):INDEX($FO$245:$IH$316,$FN209-FT$169,72-FT$169+SwaptionMonthsToGo+SwaptionShift))/SQRT(SUM(INDEX($FO364:$IH364,1+SwaptionShift):INDEX($FO364:$IH364,SwaptionMonthsToGo+SwaptionShift))*SUM(INDEX($FO$325:$IH$396,FT$169,1+SwaptionShift):INDEX($FO$325:$IH$396,FT$169,SwaptionMonthsToGo+SwaptionShift))))))</f>
        <v/>
      </c>
      <c r="FU209" s="469" t="str">
        <f ca="1">IF(OR(FU$169&lt;SwaptionFirstMonthPosition+1,$FN209&lt;SwaptionFirstMonthPosition+1,FU$169&gt;SwaptionFirstMonthPosition+SwaptionNumOfMonths+1,$FN209&gt;SwaptionFirstMonthPosition+SwaptionNumOfMonths+1),"",IF($FN209=FU$169,1,IF($FN209&lt;FU$169,INDEX($FO$170:$IH$241,FU$169,$FN209),SUMPRODUCT(INDEX($FO$325:$IH$396,FU$169,1+SwaptionShift):INDEX($FO$325:$IH$396,FU$169,SwaptionMonthsToGo+SwaptionShift),INDEX($FO$245:$IH$316,$FN209-FU$169,73-FU$169+SwaptionShift):INDEX($FO$245:$IH$316,$FN209-FU$169,72-FU$169+SwaptionMonthsToGo+SwaptionShift))/SQRT(SUM(INDEX($FO364:$IH364,1+SwaptionShift):INDEX($FO364:$IH364,SwaptionMonthsToGo+SwaptionShift))*SUM(INDEX($FO$325:$IH$396,FU$169,1+SwaptionShift):INDEX($FO$325:$IH$396,FU$169,SwaptionMonthsToGo+SwaptionShift))))))</f>
        <v/>
      </c>
      <c r="FV209" s="469" t="str">
        <f ca="1">IF(OR(FV$169&lt;SwaptionFirstMonthPosition+1,$FN209&lt;SwaptionFirstMonthPosition+1,FV$169&gt;SwaptionFirstMonthPosition+SwaptionNumOfMonths+1,$FN209&gt;SwaptionFirstMonthPosition+SwaptionNumOfMonths+1),"",IF($FN209=FV$169,1,IF($FN209&lt;FV$169,INDEX($FO$170:$IH$241,FV$169,$FN209),SUMPRODUCT(INDEX($FO$325:$IH$396,FV$169,1+SwaptionShift):INDEX($FO$325:$IH$396,FV$169,SwaptionMonthsToGo+SwaptionShift),INDEX($FO$245:$IH$316,$FN209-FV$169,73-FV$169+SwaptionShift):INDEX($FO$245:$IH$316,$FN209-FV$169,72-FV$169+SwaptionMonthsToGo+SwaptionShift))/SQRT(SUM(INDEX($FO364:$IH364,1+SwaptionShift):INDEX($FO364:$IH364,SwaptionMonthsToGo+SwaptionShift))*SUM(INDEX($FO$325:$IH$396,FV$169,1+SwaptionShift):INDEX($FO$325:$IH$396,FV$169,SwaptionMonthsToGo+SwaptionShift))))))</f>
        <v/>
      </c>
      <c r="FW209" s="469" t="str">
        <f ca="1">IF(OR(FW$169&lt;SwaptionFirstMonthPosition+1,$FN209&lt;SwaptionFirstMonthPosition+1,FW$169&gt;SwaptionFirstMonthPosition+SwaptionNumOfMonths+1,$FN209&gt;SwaptionFirstMonthPosition+SwaptionNumOfMonths+1),"",IF($FN209=FW$169,1,IF($FN209&lt;FW$169,INDEX($FO$170:$IH$241,FW$169,$FN209),SUMPRODUCT(INDEX($FO$325:$IH$396,FW$169,1+SwaptionShift):INDEX($FO$325:$IH$396,FW$169,SwaptionMonthsToGo+SwaptionShift),INDEX($FO$245:$IH$316,$FN209-FW$169,73-FW$169+SwaptionShift):INDEX($FO$245:$IH$316,$FN209-FW$169,72-FW$169+SwaptionMonthsToGo+SwaptionShift))/SQRT(SUM(INDEX($FO364:$IH364,1+SwaptionShift):INDEX($FO364:$IH364,SwaptionMonthsToGo+SwaptionShift))*SUM(INDEX($FO$325:$IH$396,FW$169,1+SwaptionShift):INDEX($FO$325:$IH$396,FW$169,SwaptionMonthsToGo+SwaptionShift))))))</f>
        <v/>
      </c>
      <c r="FX209" s="469" t="str">
        <f ca="1">IF(OR(FX$169&lt;SwaptionFirstMonthPosition+1,$FN209&lt;SwaptionFirstMonthPosition+1,FX$169&gt;SwaptionFirstMonthPosition+SwaptionNumOfMonths+1,$FN209&gt;SwaptionFirstMonthPosition+SwaptionNumOfMonths+1),"",IF($FN209=FX$169,1,IF($FN209&lt;FX$169,INDEX($FO$170:$IH$241,FX$169,$FN209),SUMPRODUCT(INDEX($FO$325:$IH$396,FX$169,1+SwaptionShift):INDEX($FO$325:$IH$396,FX$169,SwaptionMonthsToGo+SwaptionShift),INDEX($FO$245:$IH$316,$FN209-FX$169,73-FX$169+SwaptionShift):INDEX($FO$245:$IH$316,$FN209-FX$169,72-FX$169+SwaptionMonthsToGo+SwaptionShift))/SQRT(SUM(INDEX($FO364:$IH364,1+SwaptionShift):INDEX($FO364:$IH364,SwaptionMonthsToGo+SwaptionShift))*SUM(INDEX($FO$325:$IH$396,FX$169,1+SwaptionShift):INDEX($FO$325:$IH$396,FX$169,SwaptionMonthsToGo+SwaptionShift))))))</f>
        <v/>
      </c>
      <c r="FY209" s="469" t="str">
        <f ca="1">IF(OR(FY$169&lt;SwaptionFirstMonthPosition+1,$FN209&lt;SwaptionFirstMonthPosition+1,FY$169&gt;SwaptionFirstMonthPosition+SwaptionNumOfMonths+1,$FN209&gt;SwaptionFirstMonthPosition+SwaptionNumOfMonths+1),"",IF($FN209=FY$169,1,IF($FN209&lt;FY$169,INDEX($FO$170:$IH$241,FY$169,$FN209),SUMPRODUCT(INDEX($FO$325:$IH$396,FY$169,1+SwaptionShift):INDEX($FO$325:$IH$396,FY$169,SwaptionMonthsToGo+SwaptionShift),INDEX($FO$245:$IH$316,$FN209-FY$169,73-FY$169+SwaptionShift):INDEX($FO$245:$IH$316,$FN209-FY$169,72-FY$169+SwaptionMonthsToGo+SwaptionShift))/SQRT(SUM(INDEX($FO364:$IH364,1+SwaptionShift):INDEX($FO364:$IH364,SwaptionMonthsToGo+SwaptionShift))*SUM(INDEX($FO$325:$IH$396,FY$169,1+SwaptionShift):INDEX($FO$325:$IH$396,FY$169,SwaptionMonthsToGo+SwaptionShift))))))</f>
        <v/>
      </c>
      <c r="FZ209" s="469" t="str">
        <f ca="1">IF(OR(FZ$169&lt;SwaptionFirstMonthPosition+1,$FN209&lt;SwaptionFirstMonthPosition+1,FZ$169&gt;SwaptionFirstMonthPosition+SwaptionNumOfMonths+1,$FN209&gt;SwaptionFirstMonthPosition+SwaptionNumOfMonths+1),"",IF($FN209=FZ$169,1,IF($FN209&lt;FZ$169,INDEX($FO$170:$IH$241,FZ$169,$FN209),SUMPRODUCT(INDEX($FO$325:$IH$396,FZ$169,1+SwaptionShift):INDEX($FO$325:$IH$396,FZ$169,SwaptionMonthsToGo+SwaptionShift),INDEX($FO$245:$IH$316,$FN209-FZ$169,73-FZ$169+SwaptionShift):INDEX($FO$245:$IH$316,$FN209-FZ$169,72-FZ$169+SwaptionMonthsToGo+SwaptionShift))/SQRT(SUM(INDEX($FO364:$IH364,1+SwaptionShift):INDEX($FO364:$IH364,SwaptionMonthsToGo+SwaptionShift))*SUM(INDEX($FO$325:$IH$396,FZ$169,1+SwaptionShift):INDEX($FO$325:$IH$396,FZ$169,SwaptionMonthsToGo+SwaptionShift))))))</f>
        <v/>
      </c>
      <c r="GA209" s="469" t="str">
        <f ca="1">IF(OR(GA$169&lt;SwaptionFirstMonthPosition+1,$FN209&lt;SwaptionFirstMonthPosition+1,GA$169&gt;SwaptionFirstMonthPosition+SwaptionNumOfMonths+1,$FN209&gt;SwaptionFirstMonthPosition+SwaptionNumOfMonths+1),"",IF($FN209=GA$169,1,IF($FN209&lt;GA$169,INDEX($FO$170:$IH$241,GA$169,$FN209),SUMPRODUCT(INDEX($FO$325:$IH$396,GA$169,1+SwaptionShift):INDEX($FO$325:$IH$396,GA$169,SwaptionMonthsToGo+SwaptionShift),INDEX($FO$245:$IH$316,$FN209-GA$169,73-GA$169+SwaptionShift):INDEX($FO$245:$IH$316,$FN209-GA$169,72-GA$169+SwaptionMonthsToGo+SwaptionShift))/SQRT(SUM(INDEX($FO364:$IH364,1+SwaptionShift):INDEX($FO364:$IH364,SwaptionMonthsToGo+SwaptionShift))*SUM(INDEX($FO$325:$IH$396,GA$169,1+SwaptionShift):INDEX($FO$325:$IH$396,GA$169,SwaptionMonthsToGo+SwaptionShift))))))</f>
        <v/>
      </c>
      <c r="GB209" s="469" t="str">
        <f ca="1">IF(OR(GB$169&lt;SwaptionFirstMonthPosition+1,$FN209&lt;SwaptionFirstMonthPosition+1,GB$169&gt;SwaptionFirstMonthPosition+SwaptionNumOfMonths+1,$FN209&gt;SwaptionFirstMonthPosition+SwaptionNumOfMonths+1),"",IF($FN209=GB$169,1,IF($FN209&lt;GB$169,INDEX($FO$170:$IH$241,GB$169,$FN209),SUMPRODUCT(INDEX($FO$325:$IH$396,GB$169,1+SwaptionShift):INDEX($FO$325:$IH$396,GB$169,SwaptionMonthsToGo+SwaptionShift),INDEX($FO$245:$IH$316,$FN209-GB$169,73-GB$169+SwaptionShift):INDEX($FO$245:$IH$316,$FN209-GB$169,72-GB$169+SwaptionMonthsToGo+SwaptionShift))/SQRT(SUM(INDEX($FO364:$IH364,1+SwaptionShift):INDEX($FO364:$IH364,SwaptionMonthsToGo+SwaptionShift))*SUM(INDEX($FO$325:$IH$396,GB$169,1+SwaptionShift):INDEX($FO$325:$IH$396,GB$169,SwaptionMonthsToGo+SwaptionShift))))))</f>
        <v/>
      </c>
      <c r="GC209" s="469" t="str">
        <f ca="1">IF(OR(GC$169&lt;SwaptionFirstMonthPosition+1,$FN209&lt;SwaptionFirstMonthPosition+1,GC$169&gt;SwaptionFirstMonthPosition+SwaptionNumOfMonths+1,$FN209&gt;SwaptionFirstMonthPosition+SwaptionNumOfMonths+1),"",IF($FN209=GC$169,1,IF($FN209&lt;GC$169,INDEX($FO$170:$IH$241,GC$169,$FN209),SUMPRODUCT(INDEX($FO$325:$IH$396,GC$169,1+SwaptionShift):INDEX($FO$325:$IH$396,GC$169,SwaptionMonthsToGo+SwaptionShift),INDEX($FO$245:$IH$316,$FN209-GC$169,73-GC$169+SwaptionShift):INDEX($FO$245:$IH$316,$FN209-GC$169,72-GC$169+SwaptionMonthsToGo+SwaptionShift))/SQRT(SUM(INDEX($FO364:$IH364,1+SwaptionShift):INDEX($FO364:$IH364,SwaptionMonthsToGo+SwaptionShift))*SUM(INDEX($FO$325:$IH$396,GC$169,1+SwaptionShift):INDEX($FO$325:$IH$396,GC$169,SwaptionMonthsToGo+SwaptionShift))))))</f>
        <v/>
      </c>
      <c r="GD209" s="469" t="str">
        <f ca="1">IF(OR(GD$169&lt;SwaptionFirstMonthPosition+1,$FN209&lt;SwaptionFirstMonthPosition+1,GD$169&gt;SwaptionFirstMonthPosition+SwaptionNumOfMonths+1,$FN209&gt;SwaptionFirstMonthPosition+SwaptionNumOfMonths+1),"",IF($FN209=GD$169,1,IF($FN209&lt;GD$169,INDEX($FO$170:$IH$241,GD$169,$FN209),SUMPRODUCT(INDEX($FO$325:$IH$396,GD$169,1+SwaptionShift):INDEX($FO$325:$IH$396,GD$169,SwaptionMonthsToGo+SwaptionShift),INDEX($FO$245:$IH$316,$FN209-GD$169,73-GD$169+SwaptionShift):INDEX($FO$245:$IH$316,$FN209-GD$169,72-GD$169+SwaptionMonthsToGo+SwaptionShift))/SQRT(SUM(INDEX($FO364:$IH364,1+SwaptionShift):INDEX($FO364:$IH364,SwaptionMonthsToGo+SwaptionShift))*SUM(INDEX($FO$325:$IH$396,GD$169,1+SwaptionShift):INDEX($FO$325:$IH$396,GD$169,SwaptionMonthsToGo+SwaptionShift))))))</f>
        <v/>
      </c>
      <c r="GE209" s="469" t="str">
        <f ca="1">IF(OR(GE$169&lt;SwaptionFirstMonthPosition+1,$FN209&lt;SwaptionFirstMonthPosition+1,GE$169&gt;SwaptionFirstMonthPosition+SwaptionNumOfMonths+1,$FN209&gt;SwaptionFirstMonthPosition+SwaptionNumOfMonths+1),"",IF($FN209=GE$169,1,IF($FN209&lt;GE$169,INDEX($FO$170:$IH$241,GE$169,$FN209),SUMPRODUCT(INDEX($FO$325:$IH$396,GE$169,1+SwaptionShift):INDEX($FO$325:$IH$396,GE$169,SwaptionMonthsToGo+SwaptionShift),INDEX($FO$245:$IH$316,$FN209-GE$169,73-GE$169+SwaptionShift):INDEX($FO$245:$IH$316,$FN209-GE$169,72-GE$169+SwaptionMonthsToGo+SwaptionShift))/SQRT(SUM(INDEX($FO364:$IH364,1+SwaptionShift):INDEX($FO364:$IH364,SwaptionMonthsToGo+SwaptionShift))*SUM(INDEX($FO$325:$IH$396,GE$169,1+SwaptionShift):INDEX($FO$325:$IH$396,GE$169,SwaptionMonthsToGo+SwaptionShift))))))</f>
        <v/>
      </c>
      <c r="GF209" s="469" t="str">
        <f ca="1">IF(OR(GF$169&lt;SwaptionFirstMonthPosition+1,$FN209&lt;SwaptionFirstMonthPosition+1,GF$169&gt;SwaptionFirstMonthPosition+SwaptionNumOfMonths+1,$FN209&gt;SwaptionFirstMonthPosition+SwaptionNumOfMonths+1),"",IF($FN209=GF$169,1,IF($FN209&lt;GF$169,INDEX($FO$170:$IH$241,GF$169,$FN209),SUMPRODUCT(INDEX($FO$325:$IH$396,GF$169,1+SwaptionShift):INDEX($FO$325:$IH$396,GF$169,SwaptionMonthsToGo+SwaptionShift),INDEX($FO$245:$IH$316,$FN209-GF$169,73-GF$169+SwaptionShift):INDEX($FO$245:$IH$316,$FN209-GF$169,72-GF$169+SwaptionMonthsToGo+SwaptionShift))/SQRT(SUM(INDEX($FO364:$IH364,1+SwaptionShift):INDEX($FO364:$IH364,SwaptionMonthsToGo+SwaptionShift))*SUM(INDEX($FO$325:$IH$396,GF$169,1+SwaptionShift):INDEX($FO$325:$IH$396,GF$169,SwaptionMonthsToGo+SwaptionShift))))))</f>
        <v/>
      </c>
      <c r="GG209" s="469" t="str">
        <f ca="1">IF(OR(GG$169&lt;SwaptionFirstMonthPosition+1,$FN209&lt;SwaptionFirstMonthPosition+1,GG$169&gt;SwaptionFirstMonthPosition+SwaptionNumOfMonths+1,$FN209&gt;SwaptionFirstMonthPosition+SwaptionNumOfMonths+1),"",IF($FN209=GG$169,1,IF($FN209&lt;GG$169,INDEX($FO$170:$IH$241,GG$169,$FN209),SUMPRODUCT(INDEX($FO$325:$IH$396,GG$169,1+SwaptionShift):INDEX($FO$325:$IH$396,GG$169,SwaptionMonthsToGo+SwaptionShift),INDEX($FO$245:$IH$316,$FN209-GG$169,73-GG$169+SwaptionShift):INDEX($FO$245:$IH$316,$FN209-GG$169,72-GG$169+SwaptionMonthsToGo+SwaptionShift))/SQRT(SUM(INDEX($FO364:$IH364,1+SwaptionShift):INDEX($FO364:$IH364,SwaptionMonthsToGo+SwaptionShift))*SUM(INDEX($FO$325:$IH$396,GG$169,1+SwaptionShift):INDEX($FO$325:$IH$396,GG$169,SwaptionMonthsToGo+SwaptionShift))))))</f>
        <v/>
      </c>
      <c r="GH209" s="469" t="str">
        <f ca="1">IF(OR(GH$169&lt;SwaptionFirstMonthPosition+1,$FN209&lt;SwaptionFirstMonthPosition+1,GH$169&gt;SwaptionFirstMonthPosition+SwaptionNumOfMonths+1,$FN209&gt;SwaptionFirstMonthPosition+SwaptionNumOfMonths+1),"",IF($FN209=GH$169,1,IF($FN209&lt;GH$169,INDEX($FO$170:$IH$241,GH$169,$FN209),SUMPRODUCT(INDEX($FO$325:$IH$396,GH$169,1+SwaptionShift):INDEX($FO$325:$IH$396,GH$169,SwaptionMonthsToGo+SwaptionShift),INDEX($FO$245:$IH$316,$FN209-GH$169,73-GH$169+SwaptionShift):INDEX($FO$245:$IH$316,$FN209-GH$169,72-GH$169+SwaptionMonthsToGo+SwaptionShift))/SQRT(SUM(INDEX($FO364:$IH364,1+SwaptionShift):INDEX($FO364:$IH364,SwaptionMonthsToGo+SwaptionShift))*SUM(INDEX($FO$325:$IH$396,GH$169,1+SwaptionShift):INDEX($FO$325:$IH$396,GH$169,SwaptionMonthsToGo+SwaptionShift))))))</f>
        <v/>
      </c>
      <c r="GI209" s="469" t="str">
        <f ca="1">IF(OR(GI$169&lt;SwaptionFirstMonthPosition+1,$FN209&lt;SwaptionFirstMonthPosition+1,GI$169&gt;SwaptionFirstMonthPosition+SwaptionNumOfMonths+1,$FN209&gt;SwaptionFirstMonthPosition+SwaptionNumOfMonths+1),"",IF($FN209=GI$169,1,IF($FN209&lt;GI$169,INDEX($FO$170:$IH$241,GI$169,$FN209),SUMPRODUCT(INDEX($FO$325:$IH$396,GI$169,1+SwaptionShift):INDEX($FO$325:$IH$396,GI$169,SwaptionMonthsToGo+SwaptionShift),INDEX($FO$245:$IH$316,$FN209-GI$169,73-GI$169+SwaptionShift):INDEX($FO$245:$IH$316,$FN209-GI$169,72-GI$169+SwaptionMonthsToGo+SwaptionShift))/SQRT(SUM(INDEX($FO364:$IH364,1+SwaptionShift):INDEX($FO364:$IH364,SwaptionMonthsToGo+SwaptionShift))*SUM(INDEX($FO$325:$IH$396,GI$169,1+SwaptionShift):INDEX($FO$325:$IH$396,GI$169,SwaptionMonthsToGo+SwaptionShift))))))</f>
        <v/>
      </c>
      <c r="GJ209" s="469" t="str">
        <f ca="1">IF(OR(GJ$169&lt;SwaptionFirstMonthPosition+1,$FN209&lt;SwaptionFirstMonthPosition+1,GJ$169&gt;SwaptionFirstMonthPosition+SwaptionNumOfMonths+1,$FN209&gt;SwaptionFirstMonthPosition+SwaptionNumOfMonths+1),"",IF($FN209=GJ$169,1,IF($FN209&lt;GJ$169,INDEX($FO$170:$IH$241,GJ$169,$FN209),SUMPRODUCT(INDEX($FO$325:$IH$396,GJ$169,1+SwaptionShift):INDEX($FO$325:$IH$396,GJ$169,SwaptionMonthsToGo+SwaptionShift),INDEX($FO$245:$IH$316,$FN209-GJ$169,73-GJ$169+SwaptionShift):INDEX($FO$245:$IH$316,$FN209-GJ$169,72-GJ$169+SwaptionMonthsToGo+SwaptionShift))/SQRT(SUM(INDEX($FO364:$IH364,1+SwaptionShift):INDEX($FO364:$IH364,SwaptionMonthsToGo+SwaptionShift))*SUM(INDEX($FO$325:$IH$396,GJ$169,1+SwaptionShift):INDEX($FO$325:$IH$396,GJ$169,SwaptionMonthsToGo+SwaptionShift))))))</f>
        <v/>
      </c>
      <c r="GK209" s="469" t="str">
        <f ca="1">IF(OR(GK$169&lt;SwaptionFirstMonthPosition+1,$FN209&lt;SwaptionFirstMonthPosition+1,GK$169&gt;SwaptionFirstMonthPosition+SwaptionNumOfMonths+1,$FN209&gt;SwaptionFirstMonthPosition+SwaptionNumOfMonths+1),"",IF($FN209=GK$169,1,IF($FN209&lt;GK$169,INDEX($FO$170:$IH$241,GK$169,$FN209),SUMPRODUCT(INDEX($FO$325:$IH$396,GK$169,1+SwaptionShift):INDEX($FO$325:$IH$396,GK$169,SwaptionMonthsToGo+SwaptionShift),INDEX($FO$245:$IH$316,$FN209-GK$169,73-GK$169+SwaptionShift):INDEX($FO$245:$IH$316,$FN209-GK$169,72-GK$169+SwaptionMonthsToGo+SwaptionShift))/SQRT(SUM(INDEX($FO364:$IH364,1+SwaptionShift):INDEX($FO364:$IH364,SwaptionMonthsToGo+SwaptionShift))*SUM(INDEX($FO$325:$IH$396,GK$169,1+SwaptionShift):INDEX($FO$325:$IH$396,GK$169,SwaptionMonthsToGo+SwaptionShift))))))</f>
        <v/>
      </c>
      <c r="GL209" s="469" t="str">
        <f ca="1">IF(OR(GL$169&lt;SwaptionFirstMonthPosition+1,$FN209&lt;SwaptionFirstMonthPosition+1,GL$169&gt;SwaptionFirstMonthPosition+SwaptionNumOfMonths+1,$FN209&gt;SwaptionFirstMonthPosition+SwaptionNumOfMonths+1),"",IF($FN209=GL$169,1,IF($FN209&lt;GL$169,INDEX($FO$170:$IH$241,GL$169,$FN209),SUMPRODUCT(INDEX($FO$325:$IH$396,GL$169,1+SwaptionShift):INDEX($FO$325:$IH$396,GL$169,SwaptionMonthsToGo+SwaptionShift),INDEX($FO$245:$IH$316,$FN209-GL$169,73-GL$169+SwaptionShift):INDEX($FO$245:$IH$316,$FN209-GL$169,72-GL$169+SwaptionMonthsToGo+SwaptionShift))/SQRT(SUM(INDEX($FO364:$IH364,1+SwaptionShift):INDEX($FO364:$IH364,SwaptionMonthsToGo+SwaptionShift))*SUM(INDEX($FO$325:$IH$396,GL$169,1+SwaptionShift):INDEX($FO$325:$IH$396,GL$169,SwaptionMonthsToGo+SwaptionShift))))))</f>
        <v/>
      </c>
      <c r="GM209" s="469" t="str">
        <f ca="1">IF(OR(GM$169&lt;SwaptionFirstMonthPosition+1,$FN209&lt;SwaptionFirstMonthPosition+1,GM$169&gt;SwaptionFirstMonthPosition+SwaptionNumOfMonths+1,$FN209&gt;SwaptionFirstMonthPosition+SwaptionNumOfMonths+1),"",IF($FN209=GM$169,1,IF($FN209&lt;GM$169,INDEX($FO$170:$IH$241,GM$169,$FN209),SUMPRODUCT(INDEX($FO$325:$IH$396,GM$169,1+SwaptionShift):INDEX($FO$325:$IH$396,GM$169,SwaptionMonthsToGo+SwaptionShift),INDEX($FO$245:$IH$316,$FN209-GM$169,73-GM$169+SwaptionShift):INDEX($FO$245:$IH$316,$FN209-GM$169,72-GM$169+SwaptionMonthsToGo+SwaptionShift))/SQRT(SUM(INDEX($FO364:$IH364,1+SwaptionShift):INDEX($FO364:$IH364,SwaptionMonthsToGo+SwaptionShift))*SUM(INDEX($FO$325:$IH$396,GM$169,1+SwaptionShift):INDEX($FO$325:$IH$396,GM$169,SwaptionMonthsToGo+SwaptionShift))))))</f>
        <v/>
      </c>
      <c r="GN209" s="469" t="str">
        <f ca="1">IF(OR(GN$169&lt;SwaptionFirstMonthPosition+1,$FN209&lt;SwaptionFirstMonthPosition+1,GN$169&gt;SwaptionFirstMonthPosition+SwaptionNumOfMonths+1,$FN209&gt;SwaptionFirstMonthPosition+SwaptionNumOfMonths+1),"",IF($FN209=GN$169,1,IF($FN209&lt;GN$169,INDEX($FO$170:$IH$241,GN$169,$FN209),SUMPRODUCT(INDEX($FO$325:$IH$396,GN$169,1+SwaptionShift):INDEX($FO$325:$IH$396,GN$169,SwaptionMonthsToGo+SwaptionShift),INDEX($FO$245:$IH$316,$FN209-GN$169,73-GN$169+SwaptionShift):INDEX($FO$245:$IH$316,$FN209-GN$169,72-GN$169+SwaptionMonthsToGo+SwaptionShift))/SQRT(SUM(INDEX($FO364:$IH364,1+SwaptionShift):INDEX($FO364:$IH364,SwaptionMonthsToGo+SwaptionShift))*SUM(INDEX($FO$325:$IH$396,GN$169,1+SwaptionShift):INDEX($FO$325:$IH$396,GN$169,SwaptionMonthsToGo+SwaptionShift))))))</f>
        <v/>
      </c>
      <c r="GO209" s="469" t="str">
        <f ca="1">IF(OR(GO$169&lt;SwaptionFirstMonthPosition+1,$FN209&lt;SwaptionFirstMonthPosition+1,GO$169&gt;SwaptionFirstMonthPosition+SwaptionNumOfMonths+1,$FN209&gt;SwaptionFirstMonthPosition+SwaptionNumOfMonths+1),"",IF($FN209=GO$169,1,IF($FN209&lt;GO$169,INDEX($FO$170:$IH$241,GO$169,$FN209),SUMPRODUCT(INDEX($FO$325:$IH$396,GO$169,1+SwaptionShift):INDEX($FO$325:$IH$396,GO$169,SwaptionMonthsToGo+SwaptionShift),INDEX($FO$245:$IH$316,$FN209-GO$169,73-GO$169+SwaptionShift):INDEX($FO$245:$IH$316,$FN209-GO$169,72-GO$169+SwaptionMonthsToGo+SwaptionShift))/SQRT(SUM(INDEX($FO364:$IH364,1+SwaptionShift):INDEX($FO364:$IH364,SwaptionMonthsToGo+SwaptionShift))*SUM(INDEX($FO$325:$IH$396,GO$169,1+SwaptionShift):INDEX($FO$325:$IH$396,GO$169,SwaptionMonthsToGo+SwaptionShift))))))</f>
        <v/>
      </c>
      <c r="GP209" s="469" t="str">
        <f ca="1">IF(OR(GP$169&lt;SwaptionFirstMonthPosition+1,$FN209&lt;SwaptionFirstMonthPosition+1,GP$169&gt;SwaptionFirstMonthPosition+SwaptionNumOfMonths+1,$FN209&gt;SwaptionFirstMonthPosition+SwaptionNumOfMonths+1),"",IF($FN209=GP$169,1,IF($FN209&lt;GP$169,INDEX($FO$170:$IH$241,GP$169,$FN209),SUMPRODUCT(INDEX($FO$325:$IH$396,GP$169,1+SwaptionShift):INDEX($FO$325:$IH$396,GP$169,SwaptionMonthsToGo+SwaptionShift),INDEX($FO$245:$IH$316,$FN209-GP$169,73-GP$169+SwaptionShift):INDEX($FO$245:$IH$316,$FN209-GP$169,72-GP$169+SwaptionMonthsToGo+SwaptionShift))/SQRT(SUM(INDEX($FO364:$IH364,1+SwaptionShift):INDEX($FO364:$IH364,SwaptionMonthsToGo+SwaptionShift))*SUM(INDEX($FO$325:$IH$396,GP$169,1+SwaptionShift):INDEX($FO$325:$IH$396,GP$169,SwaptionMonthsToGo+SwaptionShift))))))</f>
        <v/>
      </c>
      <c r="GQ209" s="469" t="str">
        <f ca="1">IF(OR(GQ$169&lt;SwaptionFirstMonthPosition+1,$FN209&lt;SwaptionFirstMonthPosition+1,GQ$169&gt;SwaptionFirstMonthPosition+SwaptionNumOfMonths+1,$FN209&gt;SwaptionFirstMonthPosition+SwaptionNumOfMonths+1),"",IF($FN209=GQ$169,1,IF($FN209&lt;GQ$169,INDEX($FO$170:$IH$241,GQ$169,$FN209),SUMPRODUCT(INDEX($FO$325:$IH$396,GQ$169,1+SwaptionShift):INDEX($FO$325:$IH$396,GQ$169,SwaptionMonthsToGo+SwaptionShift),INDEX($FO$245:$IH$316,$FN209-GQ$169,73-GQ$169+SwaptionShift):INDEX($FO$245:$IH$316,$FN209-GQ$169,72-GQ$169+SwaptionMonthsToGo+SwaptionShift))/SQRT(SUM(INDEX($FO364:$IH364,1+SwaptionShift):INDEX($FO364:$IH364,SwaptionMonthsToGo+SwaptionShift))*SUM(INDEX($FO$325:$IH$396,GQ$169,1+SwaptionShift):INDEX($FO$325:$IH$396,GQ$169,SwaptionMonthsToGo+SwaptionShift))))))</f>
        <v/>
      </c>
      <c r="GR209" s="469" t="str">
        <f ca="1">IF(OR(GR$169&lt;SwaptionFirstMonthPosition+1,$FN209&lt;SwaptionFirstMonthPosition+1,GR$169&gt;SwaptionFirstMonthPosition+SwaptionNumOfMonths+1,$FN209&gt;SwaptionFirstMonthPosition+SwaptionNumOfMonths+1),"",IF($FN209=GR$169,1,IF($FN209&lt;GR$169,INDEX($FO$170:$IH$241,GR$169,$FN209),SUMPRODUCT(INDEX($FO$325:$IH$396,GR$169,1+SwaptionShift):INDEX($FO$325:$IH$396,GR$169,SwaptionMonthsToGo+SwaptionShift),INDEX($FO$245:$IH$316,$FN209-GR$169,73-GR$169+SwaptionShift):INDEX($FO$245:$IH$316,$FN209-GR$169,72-GR$169+SwaptionMonthsToGo+SwaptionShift))/SQRT(SUM(INDEX($FO364:$IH364,1+SwaptionShift):INDEX($FO364:$IH364,SwaptionMonthsToGo+SwaptionShift))*SUM(INDEX($FO$325:$IH$396,GR$169,1+SwaptionShift):INDEX($FO$325:$IH$396,GR$169,SwaptionMonthsToGo+SwaptionShift))))))</f>
        <v/>
      </c>
      <c r="GS209" s="469" t="str">
        <f ca="1">IF(OR(GS$169&lt;SwaptionFirstMonthPosition+1,$FN209&lt;SwaptionFirstMonthPosition+1,GS$169&gt;SwaptionFirstMonthPosition+SwaptionNumOfMonths+1,$FN209&gt;SwaptionFirstMonthPosition+SwaptionNumOfMonths+1),"",IF($FN209=GS$169,1,IF($FN209&lt;GS$169,INDEX($FO$170:$IH$241,GS$169,$FN209),SUMPRODUCT(INDEX($FO$325:$IH$396,GS$169,1+SwaptionShift):INDEX($FO$325:$IH$396,GS$169,SwaptionMonthsToGo+SwaptionShift),INDEX($FO$245:$IH$316,$FN209-GS$169,73-GS$169+SwaptionShift):INDEX($FO$245:$IH$316,$FN209-GS$169,72-GS$169+SwaptionMonthsToGo+SwaptionShift))/SQRT(SUM(INDEX($FO364:$IH364,1+SwaptionShift):INDEX($FO364:$IH364,SwaptionMonthsToGo+SwaptionShift))*SUM(INDEX($FO$325:$IH$396,GS$169,1+SwaptionShift):INDEX($FO$325:$IH$396,GS$169,SwaptionMonthsToGo+SwaptionShift))))))</f>
        <v/>
      </c>
      <c r="GT209" s="469" t="str">
        <f ca="1">IF(OR(GT$169&lt;SwaptionFirstMonthPosition+1,$FN209&lt;SwaptionFirstMonthPosition+1,GT$169&gt;SwaptionFirstMonthPosition+SwaptionNumOfMonths+1,$FN209&gt;SwaptionFirstMonthPosition+SwaptionNumOfMonths+1),"",IF($FN209=GT$169,1,IF($FN209&lt;GT$169,INDEX($FO$170:$IH$241,GT$169,$FN209),SUMPRODUCT(INDEX($FO$325:$IH$396,GT$169,1+SwaptionShift):INDEX($FO$325:$IH$396,GT$169,SwaptionMonthsToGo+SwaptionShift),INDEX($FO$245:$IH$316,$FN209-GT$169,73-GT$169+SwaptionShift):INDEX($FO$245:$IH$316,$FN209-GT$169,72-GT$169+SwaptionMonthsToGo+SwaptionShift))/SQRT(SUM(INDEX($FO364:$IH364,1+SwaptionShift):INDEX($FO364:$IH364,SwaptionMonthsToGo+SwaptionShift))*SUM(INDEX($FO$325:$IH$396,GT$169,1+SwaptionShift):INDEX($FO$325:$IH$396,GT$169,SwaptionMonthsToGo+SwaptionShift))))))</f>
        <v/>
      </c>
      <c r="GU209" s="469" t="str">
        <f ca="1">IF(OR(GU$169&lt;SwaptionFirstMonthPosition+1,$FN209&lt;SwaptionFirstMonthPosition+1,GU$169&gt;SwaptionFirstMonthPosition+SwaptionNumOfMonths+1,$FN209&gt;SwaptionFirstMonthPosition+SwaptionNumOfMonths+1),"",IF($FN209=GU$169,1,IF($FN209&lt;GU$169,INDEX($FO$170:$IH$241,GU$169,$FN209),SUMPRODUCT(INDEX($FO$325:$IH$396,GU$169,1+SwaptionShift):INDEX($FO$325:$IH$396,GU$169,SwaptionMonthsToGo+SwaptionShift),INDEX($FO$245:$IH$316,$FN209-GU$169,73-GU$169+SwaptionShift):INDEX($FO$245:$IH$316,$FN209-GU$169,72-GU$169+SwaptionMonthsToGo+SwaptionShift))/SQRT(SUM(INDEX($FO364:$IH364,1+SwaptionShift):INDEX($FO364:$IH364,SwaptionMonthsToGo+SwaptionShift))*SUM(INDEX($FO$325:$IH$396,GU$169,1+SwaptionShift):INDEX($FO$325:$IH$396,GU$169,SwaptionMonthsToGo+SwaptionShift))))))</f>
        <v/>
      </c>
      <c r="GV209" s="469" t="str">
        <f ca="1">IF(OR(GV$169&lt;SwaptionFirstMonthPosition+1,$FN209&lt;SwaptionFirstMonthPosition+1,GV$169&gt;SwaptionFirstMonthPosition+SwaptionNumOfMonths+1,$FN209&gt;SwaptionFirstMonthPosition+SwaptionNumOfMonths+1),"",IF($FN209=GV$169,1,IF($FN209&lt;GV$169,INDEX($FO$170:$IH$241,GV$169,$FN209),SUMPRODUCT(INDEX($FO$325:$IH$396,GV$169,1+SwaptionShift):INDEX($FO$325:$IH$396,GV$169,SwaptionMonthsToGo+SwaptionShift),INDEX($FO$245:$IH$316,$FN209-GV$169,73-GV$169+SwaptionShift):INDEX($FO$245:$IH$316,$FN209-GV$169,72-GV$169+SwaptionMonthsToGo+SwaptionShift))/SQRT(SUM(INDEX($FO364:$IH364,1+SwaptionShift):INDEX($FO364:$IH364,SwaptionMonthsToGo+SwaptionShift))*SUM(INDEX($FO$325:$IH$396,GV$169,1+SwaptionShift):INDEX($FO$325:$IH$396,GV$169,SwaptionMonthsToGo+SwaptionShift))))))</f>
        <v/>
      </c>
      <c r="GW209" s="469" t="str">
        <f ca="1">IF(OR(GW$169&lt;SwaptionFirstMonthPosition+1,$FN209&lt;SwaptionFirstMonthPosition+1,GW$169&gt;SwaptionFirstMonthPosition+SwaptionNumOfMonths+1,$FN209&gt;SwaptionFirstMonthPosition+SwaptionNumOfMonths+1),"",IF($FN209=GW$169,1,IF($FN209&lt;GW$169,INDEX($FO$170:$IH$241,GW$169,$FN209),SUMPRODUCT(INDEX($FO$325:$IH$396,GW$169,1+SwaptionShift):INDEX($FO$325:$IH$396,GW$169,SwaptionMonthsToGo+SwaptionShift),INDEX($FO$245:$IH$316,$FN209-GW$169,73-GW$169+SwaptionShift):INDEX($FO$245:$IH$316,$FN209-GW$169,72-GW$169+SwaptionMonthsToGo+SwaptionShift))/SQRT(SUM(INDEX($FO364:$IH364,1+SwaptionShift):INDEX($FO364:$IH364,SwaptionMonthsToGo+SwaptionShift))*SUM(INDEX($FO$325:$IH$396,GW$169,1+SwaptionShift):INDEX($FO$325:$IH$396,GW$169,SwaptionMonthsToGo+SwaptionShift))))))</f>
        <v/>
      </c>
      <c r="GX209" s="469" t="str">
        <f ca="1">IF(OR(GX$169&lt;SwaptionFirstMonthPosition+1,$FN209&lt;SwaptionFirstMonthPosition+1,GX$169&gt;SwaptionFirstMonthPosition+SwaptionNumOfMonths+1,$FN209&gt;SwaptionFirstMonthPosition+SwaptionNumOfMonths+1),"",IF($FN209=GX$169,1,IF($FN209&lt;GX$169,INDEX($FO$170:$IH$241,GX$169,$FN209),SUMPRODUCT(INDEX($FO$325:$IH$396,GX$169,1+SwaptionShift):INDEX($FO$325:$IH$396,GX$169,SwaptionMonthsToGo+SwaptionShift),INDEX($FO$245:$IH$316,$FN209-GX$169,73-GX$169+SwaptionShift):INDEX($FO$245:$IH$316,$FN209-GX$169,72-GX$169+SwaptionMonthsToGo+SwaptionShift))/SQRT(SUM(INDEX($FO364:$IH364,1+SwaptionShift):INDEX($FO364:$IH364,SwaptionMonthsToGo+SwaptionShift))*SUM(INDEX($FO$325:$IH$396,GX$169,1+SwaptionShift):INDEX($FO$325:$IH$396,GX$169,SwaptionMonthsToGo+SwaptionShift))))))</f>
        <v/>
      </c>
      <c r="GY209" s="469" t="str">
        <f ca="1">IF(OR(GY$169&lt;SwaptionFirstMonthPosition+1,$FN209&lt;SwaptionFirstMonthPosition+1,GY$169&gt;SwaptionFirstMonthPosition+SwaptionNumOfMonths+1,$FN209&gt;SwaptionFirstMonthPosition+SwaptionNumOfMonths+1),"",IF($FN209=GY$169,1,IF($FN209&lt;GY$169,INDEX($FO$170:$IH$241,GY$169,$FN209),SUMPRODUCT(INDEX($FO$325:$IH$396,GY$169,1+SwaptionShift):INDEX($FO$325:$IH$396,GY$169,SwaptionMonthsToGo+SwaptionShift),INDEX($FO$245:$IH$316,$FN209-GY$169,73-GY$169+SwaptionShift):INDEX($FO$245:$IH$316,$FN209-GY$169,72-GY$169+SwaptionMonthsToGo+SwaptionShift))/SQRT(SUM(INDEX($FO364:$IH364,1+SwaptionShift):INDEX($FO364:$IH364,SwaptionMonthsToGo+SwaptionShift))*SUM(INDEX($FO$325:$IH$396,GY$169,1+SwaptionShift):INDEX($FO$325:$IH$396,GY$169,SwaptionMonthsToGo+SwaptionShift))))))</f>
        <v/>
      </c>
      <c r="GZ209" s="469" t="str">
        <f ca="1">IF(OR(GZ$169&lt;SwaptionFirstMonthPosition+1,$FN209&lt;SwaptionFirstMonthPosition+1,GZ$169&gt;SwaptionFirstMonthPosition+SwaptionNumOfMonths+1,$FN209&gt;SwaptionFirstMonthPosition+SwaptionNumOfMonths+1),"",IF($FN209=GZ$169,1,IF($FN209&lt;GZ$169,INDEX($FO$170:$IH$241,GZ$169,$FN209),SUMPRODUCT(INDEX($FO$325:$IH$396,GZ$169,1+SwaptionShift):INDEX($FO$325:$IH$396,GZ$169,SwaptionMonthsToGo+SwaptionShift),INDEX($FO$245:$IH$316,$FN209-GZ$169,73-GZ$169+SwaptionShift):INDEX($FO$245:$IH$316,$FN209-GZ$169,72-GZ$169+SwaptionMonthsToGo+SwaptionShift))/SQRT(SUM(INDEX($FO364:$IH364,1+SwaptionShift):INDEX($FO364:$IH364,SwaptionMonthsToGo+SwaptionShift))*SUM(INDEX($FO$325:$IH$396,GZ$169,1+SwaptionShift):INDEX($FO$325:$IH$396,GZ$169,SwaptionMonthsToGo+SwaptionShift))))))</f>
        <v/>
      </c>
      <c r="HA209" s="469" t="str">
        <f ca="1">IF(OR(HA$169&lt;SwaptionFirstMonthPosition+1,$FN209&lt;SwaptionFirstMonthPosition+1,HA$169&gt;SwaptionFirstMonthPosition+SwaptionNumOfMonths+1,$FN209&gt;SwaptionFirstMonthPosition+SwaptionNumOfMonths+1),"",IF($FN209=HA$169,1,IF($FN209&lt;HA$169,INDEX($FO$170:$IH$241,HA$169,$FN209),SUMPRODUCT(INDEX($FO$325:$IH$396,HA$169,1+SwaptionShift):INDEX($FO$325:$IH$396,HA$169,SwaptionMonthsToGo+SwaptionShift),INDEX($FO$245:$IH$316,$FN209-HA$169,73-HA$169+SwaptionShift):INDEX($FO$245:$IH$316,$FN209-HA$169,72-HA$169+SwaptionMonthsToGo+SwaptionShift))/SQRT(SUM(INDEX($FO364:$IH364,1+SwaptionShift):INDEX($FO364:$IH364,SwaptionMonthsToGo+SwaptionShift))*SUM(INDEX($FO$325:$IH$396,HA$169,1+SwaptionShift):INDEX($FO$325:$IH$396,HA$169,SwaptionMonthsToGo+SwaptionShift))))))</f>
        <v/>
      </c>
      <c r="HB209" s="469" t="str">
        <f ca="1">IF(OR(HB$169&lt;SwaptionFirstMonthPosition+1,$FN209&lt;SwaptionFirstMonthPosition+1,HB$169&gt;SwaptionFirstMonthPosition+SwaptionNumOfMonths+1,$FN209&gt;SwaptionFirstMonthPosition+SwaptionNumOfMonths+1),"",IF($FN209=HB$169,1,IF($FN209&lt;HB$169,INDEX($FO$170:$IH$241,HB$169,$FN209),SUMPRODUCT(INDEX($FO$325:$IH$396,HB$169,1+SwaptionShift):INDEX($FO$325:$IH$396,HB$169,SwaptionMonthsToGo+SwaptionShift),INDEX($FO$245:$IH$316,$FN209-HB$169,73-HB$169+SwaptionShift):INDEX($FO$245:$IH$316,$FN209-HB$169,72-HB$169+SwaptionMonthsToGo+SwaptionShift))/SQRT(SUM(INDEX($FO364:$IH364,1+SwaptionShift):INDEX($FO364:$IH364,SwaptionMonthsToGo+SwaptionShift))*SUM(INDEX($FO$325:$IH$396,HB$169,1+SwaptionShift):INDEX($FO$325:$IH$396,HB$169,SwaptionMonthsToGo+SwaptionShift))))))</f>
        <v/>
      </c>
      <c r="HC209" s="469" t="str">
        <f ca="1">IF(OR(HC$169&lt;SwaptionFirstMonthPosition+1,$FN209&lt;SwaptionFirstMonthPosition+1,HC$169&gt;SwaptionFirstMonthPosition+SwaptionNumOfMonths+1,$FN209&gt;SwaptionFirstMonthPosition+SwaptionNumOfMonths+1),"",IF($FN209=HC$169,1,IF($FN209&lt;HC$169,INDEX($FO$170:$IH$241,HC$169,$FN209),SUMPRODUCT(INDEX($FO$325:$IH$396,HC$169,1+SwaptionShift):INDEX($FO$325:$IH$396,HC$169,SwaptionMonthsToGo+SwaptionShift),INDEX($FO$245:$IH$316,$FN209-HC$169,73-HC$169+SwaptionShift):INDEX($FO$245:$IH$316,$FN209-HC$169,72-HC$169+SwaptionMonthsToGo+SwaptionShift))/SQRT(SUM(INDEX($FO364:$IH364,1+SwaptionShift):INDEX($FO364:$IH364,SwaptionMonthsToGo+SwaptionShift))*SUM(INDEX($FO$325:$IH$396,HC$169,1+SwaptionShift):INDEX($FO$325:$IH$396,HC$169,SwaptionMonthsToGo+SwaptionShift))))))</f>
        <v/>
      </c>
      <c r="HD209" s="469" t="str">
        <f ca="1">IF(OR(HD$169&lt;SwaptionFirstMonthPosition+1,$FN209&lt;SwaptionFirstMonthPosition+1,HD$169&gt;SwaptionFirstMonthPosition+SwaptionNumOfMonths+1,$FN209&gt;SwaptionFirstMonthPosition+SwaptionNumOfMonths+1),"",IF($FN209=HD$169,1,IF($FN209&lt;HD$169,INDEX($FO$170:$IH$241,HD$169,$FN209),SUMPRODUCT(INDEX($FO$325:$IH$396,HD$169,1+SwaptionShift):INDEX($FO$325:$IH$396,HD$169,SwaptionMonthsToGo+SwaptionShift),INDEX($FO$245:$IH$316,$FN209-HD$169,73-HD$169+SwaptionShift):INDEX($FO$245:$IH$316,$FN209-HD$169,72-HD$169+SwaptionMonthsToGo+SwaptionShift))/SQRT(SUM(INDEX($FO364:$IH364,1+SwaptionShift):INDEX($FO364:$IH364,SwaptionMonthsToGo+SwaptionShift))*SUM(INDEX($FO$325:$IH$396,HD$169,1+SwaptionShift):INDEX($FO$325:$IH$396,HD$169,SwaptionMonthsToGo+SwaptionShift))))))</f>
        <v/>
      </c>
      <c r="HE209" s="469" t="str">
        <f ca="1">IF(OR(HE$169&lt;SwaptionFirstMonthPosition+1,$FN209&lt;SwaptionFirstMonthPosition+1,HE$169&gt;SwaptionFirstMonthPosition+SwaptionNumOfMonths+1,$FN209&gt;SwaptionFirstMonthPosition+SwaptionNumOfMonths+1),"",IF($FN209=HE$169,1,IF($FN209&lt;HE$169,INDEX($FO$170:$IH$241,HE$169,$FN209),SUMPRODUCT(INDEX($FO$325:$IH$396,HE$169,1+SwaptionShift):INDEX($FO$325:$IH$396,HE$169,SwaptionMonthsToGo+SwaptionShift),INDEX($FO$245:$IH$316,$FN209-HE$169,73-HE$169+SwaptionShift):INDEX($FO$245:$IH$316,$FN209-HE$169,72-HE$169+SwaptionMonthsToGo+SwaptionShift))/SQRT(SUM(INDEX($FO364:$IH364,1+SwaptionShift):INDEX($FO364:$IH364,SwaptionMonthsToGo+SwaptionShift))*SUM(INDEX($FO$325:$IH$396,HE$169,1+SwaptionShift):INDEX($FO$325:$IH$396,HE$169,SwaptionMonthsToGo+SwaptionShift))))))</f>
        <v/>
      </c>
      <c r="HF209" s="469" t="str">
        <f ca="1">IF(OR(HF$169&lt;SwaptionFirstMonthPosition+1,$FN209&lt;SwaptionFirstMonthPosition+1,HF$169&gt;SwaptionFirstMonthPosition+SwaptionNumOfMonths+1,$FN209&gt;SwaptionFirstMonthPosition+SwaptionNumOfMonths+1),"",IF($FN209=HF$169,1,IF($FN209&lt;HF$169,INDEX($FO$170:$IH$241,HF$169,$FN209),SUMPRODUCT(INDEX($FO$325:$IH$396,HF$169,1+SwaptionShift):INDEX($FO$325:$IH$396,HF$169,SwaptionMonthsToGo+SwaptionShift),INDEX($FO$245:$IH$316,$FN209-HF$169,73-HF$169+SwaptionShift):INDEX($FO$245:$IH$316,$FN209-HF$169,72-HF$169+SwaptionMonthsToGo+SwaptionShift))/SQRT(SUM(INDEX($FO364:$IH364,1+SwaptionShift):INDEX($FO364:$IH364,SwaptionMonthsToGo+SwaptionShift))*SUM(INDEX($FO$325:$IH$396,HF$169,1+SwaptionShift):INDEX($FO$325:$IH$396,HF$169,SwaptionMonthsToGo+SwaptionShift))))))</f>
        <v/>
      </c>
      <c r="HG209" s="469" t="str">
        <f ca="1">IF(OR(HG$169&lt;SwaptionFirstMonthPosition+1,$FN209&lt;SwaptionFirstMonthPosition+1,HG$169&gt;SwaptionFirstMonthPosition+SwaptionNumOfMonths+1,$FN209&gt;SwaptionFirstMonthPosition+SwaptionNumOfMonths+1),"",IF($FN209=HG$169,1,IF($FN209&lt;HG$169,INDEX($FO$170:$IH$241,HG$169,$FN209),SUMPRODUCT(INDEX($FO$325:$IH$396,HG$169,1+SwaptionShift):INDEX($FO$325:$IH$396,HG$169,SwaptionMonthsToGo+SwaptionShift),INDEX($FO$245:$IH$316,$FN209-HG$169,73-HG$169+SwaptionShift):INDEX($FO$245:$IH$316,$FN209-HG$169,72-HG$169+SwaptionMonthsToGo+SwaptionShift))/SQRT(SUM(INDEX($FO364:$IH364,1+SwaptionShift):INDEX($FO364:$IH364,SwaptionMonthsToGo+SwaptionShift))*SUM(INDEX($FO$325:$IH$396,HG$169,1+SwaptionShift):INDEX($FO$325:$IH$396,HG$169,SwaptionMonthsToGo+SwaptionShift))))))</f>
        <v/>
      </c>
      <c r="HH209" s="469" t="str">
        <f ca="1">IF(OR(HH$169&lt;SwaptionFirstMonthPosition+1,$FN209&lt;SwaptionFirstMonthPosition+1,HH$169&gt;SwaptionFirstMonthPosition+SwaptionNumOfMonths+1,$FN209&gt;SwaptionFirstMonthPosition+SwaptionNumOfMonths+1),"",IF($FN209=HH$169,1,IF($FN209&lt;HH$169,INDEX($FO$170:$IH$241,HH$169,$FN209),SUMPRODUCT(INDEX($FO$325:$IH$396,HH$169,1+SwaptionShift):INDEX($FO$325:$IH$396,HH$169,SwaptionMonthsToGo+SwaptionShift),INDEX($FO$245:$IH$316,$FN209-HH$169,73-HH$169+SwaptionShift):INDEX($FO$245:$IH$316,$FN209-HH$169,72-HH$169+SwaptionMonthsToGo+SwaptionShift))/SQRT(SUM(INDEX($FO364:$IH364,1+SwaptionShift):INDEX($FO364:$IH364,SwaptionMonthsToGo+SwaptionShift))*SUM(INDEX($FO$325:$IH$396,HH$169,1+SwaptionShift):INDEX($FO$325:$IH$396,HH$169,SwaptionMonthsToGo+SwaptionShift))))))</f>
        <v/>
      </c>
      <c r="HI209" s="469" t="str">
        <f ca="1">IF(OR(HI$169&lt;SwaptionFirstMonthPosition+1,$FN209&lt;SwaptionFirstMonthPosition+1,HI$169&gt;SwaptionFirstMonthPosition+SwaptionNumOfMonths+1,$FN209&gt;SwaptionFirstMonthPosition+SwaptionNumOfMonths+1),"",IF($FN209=HI$169,1,IF($FN209&lt;HI$169,INDEX($FO$170:$IH$241,HI$169,$FN209),SUMPRODUCT(INDEX($FO$325:$IH$396,HI$169,1+SwaptionShift):INDEX($FO$325:$IH$396,HI$169,SwaptionMonthsToGo+SwaptionShift),INDEX($FO$245:$IH$316,$FN209-HI$169,73-HI$169+SwaptionShift):INDEX($FO$245:$IH$316,$FN209-HI$169,72-HI$169+SwaptionMonthsToGo+SwaptionShift))/SQRT(SUM(INDEX($FO364:$IH364,1+SwaptionShift):INDEX($FO364:$IH364,SwaptionMonthsToGo+SwaptionShift))*SUM(INDEX($FO$325:$IH$396,HI$169,1+SwaptionShift):INDEX($FO$325:$IH$396,HI$169,SwaptionMonthsToGo+SwaptionShift))))))</f>
        <v/>
      </c>
      <c r="HJ209" s="469" t="str">
        <f ca="1">IF(OR(HJ$169&lt;SwaptionFirstMonthPosition+1,$FN209&lt;SwaptionFirstMonthPosition+1,HJ$169&gt;SwaptionFirstMonthPosition+SwaptionNumOfMonths+1,$FN209&gt;SwaptionFirstMonthPosition+SwaptionNumOfMonths+1),"",IF($FN209=HJ$169,1,IF($FN209&lt;HJ$169,INDEX($FO$170:$IH$241,HJ$169,$FN209),SUMPRODUCT(INDEX($FO$325:$IH$396,HJ$169,1+SwaptionShift):INDEX($FO$325:$IH$396,HJ$169,SwaptionMonthsToGo+SwaptionShift),INDEX($FO$245:$IH$316,$FN209-HJ$169,73-HJ$169+SwaptionShift):INDEX($FO$245:$IH$316,$FN209-HJ$169,72-HJ$169+SwaptionMonthsToGo+SwaptionShift))/SQRT(SUM(INDEX($FO364:$IH364,1+SwaptionShift):INDEX($FO364:$IH364,SwaptionMonthsToGo+SwaptionShift))*SUM(INDEX($FO$325:$IH$396,HJ$169,1+SwaptionShift):INDEX($FO$325:$IH$396,HJ$169,SwaptionMonthsToGo+SwaptionShift))))))</f>
        <v/>
      </c>
      <c r="HK209" s="469" t="str">
        <f ca="1">IF(OR(HK$169&lt;SwaptionFirstMonthPosition+1,$FN209&lt;SwaptionFirstMonthPosition+1,HK$169&gt;SwaptionFirstMonthPosition+SwaptionNumOfMonths+1,$FN209&gt;SwaptionFirstMonthPosition+SwaptionNumOfMonths+1),"",IF($FN209=HK$169,1,IF($FN209&lt;HK$169,INDEX($FO$170:$IH$241,HK$169,$FN209),SUMPRODUCT(INDEX($FO$325:$IH$396,HK$169,1+SwaptionShift):INDEX($FO$325:$IH$396,HK$169,SwaptionMonthsToGo+SwaptionShift),INDEX($FO$245:$IH$316,$FN209-HK$169,73-HK$169+SwaptionShift):INDEX($FO$245:$IH$316,$FN209-HK$169,72-HK$169+SwaptionMonthsToGo+SwaptionShift))/SQRT(SUM(INDEX($FO364:$IH364,1+SwaptionShift):INDEX($FO364:$IH364,SwaptionMonthsToGo+SwaptionShift))*SUM(INDEX($FO$325:$IH$396,HK$169,1+SwaptionShift):INDEX($FO$325:$IH$396,HK$169,SwaptionMonthsToGo+SwaptionShift))))))</f>
        <v/>
      </c>
      <c r="HL209" s="469" t="str">
        <f ca="1">IF(OR(HL$169&lt;SwaptionFirstMonthPosition+1,$FN209&lt;SwaptionFirstMonthPosition+1,HL$169&gt;SwaptionFirstMonthPosition+SwaptionNumOfMonths+1,$FN209&gt;SwaptionFirstMonthPosition+SwaptionNumOfMonths+1),"",IF($FN209=HL$169,1,IF($FN209&lt;HL$169,INDEX($FO$170:$IH$241,HL$169,$FN209),SUMPRODUCT(INDEX($FO$325:$IH$396,HL$169,1+SwaptionShift):INDEX($FO$325:$IH$396,HL$169,SwaptionMonthsToGo+SwaptionShift),INDEX($FO$245:$IH$316,$FN209-HL$169,73-HL$169+SwaptionShift):INDEX($FO$245:$IH$316,$FN209-HL$169,72-HL$169+SwaptionMonthsToGo+SwaptionShift))/SQRT(SUM(INDEX($FO364:$IH364,1+SwaptionShift):INDEX($FO364:$IH364,SwaptionMonthsToGo+SwaptionShift))*SUM(INDEX($FO$325:$IH$396,HL$169,1+SwaptionShift):INDEX($FO$325:$IH$396,HL$169,SwaptionMonthsToGo+SwaptionShift))))))</f>
        <v/>
      </c>
      <c r="HM209" s="469" t="str">
        <f ca="1">IF(OR(HM$169&lt;SwaptionFirstMonthPosition+1,$FN209&lt;SwaptionFirstMonthPosition+1,HM$169&gt;SwaptionFirstMonthPosition+SwaptionNumOfMonths+1,$FN209&gt;SwaptionFirstMonthPosition+SwaptionNumOfMonths+1),"",IF($FN209=HM$169,1,IF($FN209&lt;HM$169,INDEX($FO$170:$IH$241,HM$169,$FN209),SUMPRODUCT(INDEX($FO$325:$IH$396,HM$169,1+SwaptionShift):INDEX($FO$325:$IH$396,HM$169,SwaptionMonthsToGo+SwaptionShift),INDEX($FO$245:$IH$316,$FN209-HM$169,73-HM$169+SwaptionShift):INDEX($FO$245:$IH$316,$FN209-HM$169,72-HM$169+SwaptionMonthsToGo+SwaptionShift))/SQRT(SUM(INDEX($FO364:$IH364,1+SwaptionShift):INDEX($FO364:$IH364,SwaptionMonthsToGo+SwaptionShift))*SUM(INDEX($FO$325:$IH$396,HM$169,1+SwaptionShift):INDEX($FO$325:$IH$396,HM$169,SwaptionMonthsToGo+SwaptionShift))))))</f>
        <v/>
      </c>
      <c r="HN209" s="469" t="str">
        <f ca="1">IF(OR(HN$169&lt;SwaptionFirstMonthPosition+1,$FN209&lt;SwaptionFirstMonthPosition+1,HN$169&gt;SwaptionFirstMonthPosition+SwaptionNumOfMonths+1,$FN209&gt;SwaptionFirstMonthPosition+SwaptionNumOfMonths+1),"",IF($FN209=HN$169,1,IF($FN209&lt;HN$169,INDEX($FO$170:$IH$241,HN$169,$FN209),SUMPRODUCT(INDEX($FO$325:$IH$396,HN$169,1+SwaptionShift):INDEX($FO$325:$IH$396,HN$169,SwaptionMonthsToGo+SwaptionShift),INDEX($FO$245:$IH$316,$FN209-HN$169,73-HN$169+SwaptionShift):INDEX($FO$245:$IH$316,$FN209-HN$169,72-HN$169+SwaptionMonthsToGo+SwaptionShift))/SQRT(SUM(INDEX($FO364:$IH364,1+SwaptionShift):INDEX($FO364:$IH364,SwaptionMonthsToGo+SwaptionShift))*SUM(INDEX($FO$325:$IH$396,HN$169,1+SwaptionShift):INDEX($FO$325:$IH$396,HN$169,SwaptionMonthsToGo+SwaptionShift))))))</f>
        <v/>
      </c>
      <c r="HO209" s="469" t="str">
        <f ca="1">IF(OR(HO$169&lt;SwaptionFirstMonthPosition+1,$FN209&lt;SwaptionFirstMonthPosition+1,HO$169&gt;SwaptionFirstMonthPosition+SwaptionNumOfMonths+1,$FN209&gt;SwaptionFirstMonthPosition+SwaptionNumOfMonths+1),"",IF($FN209=HO$169,1,IF($FN209&lt;HO$169,INDEX($FO$170:$IH$241,HO$169,$FN209),SUMPRODUCT(INDEX($FO$325:$IH$396,HO$169,1+SwaptionShift):INDEX($FO$325:$IH$396,HO$169,SwaptionMonthsToGo+SwaptionShift),INDEX($FO$245:$IH$316,$FN209-HO$169,73-HO$169+SwaptionShift):INDEX($FO$245:$IH$316,$FN209-HO$169,72-HO$169+SwaptionMonthsToGo+SwaptionShift))/SQRT(SUM(INDEX($FO364:$IH364,1+SwaptionShift):INDEX($FO364:$IH364,SwaptionMonthsToGo+SwaptionShift))*SUM(INDEX($FO$325:$IH$396,HO$169,1+SwaptionShift):INDEX($FO$325:$IH$396,HO$169,SwaptionMonthsToGo+SwaptionShift))))))</f>
        <v/>
      </c>
      <c r="HP209" s="469" t="str">
        <f ca="1">IF(OR(HP$169&lt;SwaptionFirstMonthPosition+1,$FN209&lt;SwaptionFirstMonthPosition+1,HP$169&gt;SwaptionFirstMonthPosition+SwaptionNumOfMonths+1,$FN209&gt;SwaptionFirstMonthPosition+SwaptionNumOfMonths+1),"",IF($FN209=HP$169,1,IF($FN209&lt;HP$169,INDEX($FO$170:$IH$241,HP$169,$FN209),SUMPRODUCT(INDEX($FO$325:$IH$396,HP$169,1+SwaptionShift):INDEX($FO$325:$IH$396,HP$169,SwaptionMonthsToGo+SwaptionShift),INDEX($FO$245:$IH$316,$FN209-HP$169,73-HP$169+SwaptionShift):INDEX($FO$245:$IH$316,$FN209-HP$169,72-HP$169+SwaptionMonthsToGo+SwaptionShift))/SQRT(SUM(INDEX($FO364:$IH364,1+SwaptionShift):INDEX($FO364:$IH364,SwaptionMonthsToGo+SwaptionShift))*SUM(INDEX($FO$325:$IH$396,HP$169,1+SwaptionShift):INDEX($FO$325:$IH$396,HP$169,SwaptionMonthsToGo+SwaptionShift))))))</f>
        <v/>
      </c>
      <c r="HQ209" s="469" t="str">
        <f ca="1">IF(OR(HQ$169&lt;SwaptionFirstMonthPosition+1,$FN209&lt;SwaptionFirstMonthPosition+1,HQ$169&gt;SwaptionFirstMonthPosition+SwaptionNumOfMonths+1,$FN209&gt;SwaptionFirstMonthPosition+SwaptionNumOfMonths+1),"",IF($FN209=HQ$169,1,IF($FN209&lt;HQ$169,INDEX($FO$170:$IH$241,HQ$169,$FN209),SUMPRODUCT(INDEX($FO$325:$IH$396,HQ$169,1+SwaptionShift):INDEX($FO$325:$IH$396,HQ$169,SwaptionMonthsToGo+SwaptionShift),INDEX($FO$245:$IH$316,$FN209-HQ$169,73-HQ$169+SwaptionShift):INDEX($FO$245:$IH$316,$FN209-HQ$169,72-HQ$169+SwaptionMonthsToGo+SwaptionShift))/SQRT(SUM(INDEX($FO364:$IH364,1+SwaptionShift):INDEX($FO364:$IH364,SwaptionMonthsToGo+SwaptionShift))*SUM(INDEX($FO$325:$IH$396,HQ$169,1+SwaptionShift):INDEX($FO$325:$IH$396,HQ$169,SwaptionMonthsToGo+SwaptionShift))))))</f>
        <v/>
      </c>
      <c r="HR209" s="469" t="str">
        <f ca="1">IF(OR(HR$169&lt;SwaptionFirstMonthPosition+1,$FN209&lt;SwaptionFirstMonthPosition+1,HR$169&gt;SwaptionFirstMonthPosition+SwaptionNumOfMonths+1,$FN209&gt;SwaptionFirstMonthPosition+SwaptionNumOfMonths+1),"",IF($FN209=HR$169,1,IF($FN209&lt;HR$169,INDEX($FO$170:$IH$241,HR$169,$FN209),SUMPRODUCT(INDEX($FO$325:$IH$396,HR$169,1+SwaptionShift):INDEX($FO$325:$IH$396,HR$169,SwaptionMonthsToGo+SwaptionShift),INDEX($FO$245:$IH$316,$FN209-HR$169,73-HR$169+SwaptionShift):INDEX($FO$245:$IH$316,$FN209-HR$169,72-HR$169+SwaptionMonthsToGo+SwaptionShift))/SQRT(SUM(INDEX($FO364:$IH364,1+SwaptionShift):INDEX($FO364:$IH364,SwaptionMonthsToGo+SwaptionShift))*SUM(INDEX($FO$325:$IH$396,HR$169,1+SwaptionShift):INDEX($FO$325:$IH$396,HR$169,SwaptionMonthsToGo+SwaptionShift))))))</f>
        <v/>
      </c>
      <c r="HS209" s="469" t="str">
        <f ca="1">IF(OR(HS$169&lt;SwaptionFirstMonthPosition+1,$FN209&lt;SwaptionFirstMonthPosition+1,HS$169&gt;SwaptionFirstMonthPosition+SwaptionNumOfMonths+1,$FN209&gt;SwaptionFirstMonthPosition+SwaptionNumOfMonths+1),"",IF($FN209=HS$169,1,IF($FN209&lt;HS$169,INDEX($FO$170:$IH$241,HS$169,$FN209),SUMPRODUCT(INDEX($FO$325:$IH$396,HS$169,1+SwaptionShift):INDEX($FO$325:$IH$396,HS$169,SwaptionMonthsToGo+SwaptionShift),INDEX($FO$245:$IH$316,$FN209-HS$169,73-HS$169+SwaptionShift):INDEX($FO$245:$IH$316,$FN209-HS$169,72-HS$169+SwaptionMonthsToGo+SwaptionShift))/SQRT(SUM(INDEX($FO364:$IH364,1+SwaptionShift):INDEX($FO364:$IH364,SwaptionMonthsToGo+SwaptionShift))*SUM(INDEX($FO$325:$IH$396,HS$169,1+SwaptionShift):INDEX($FO$325:$IH$396,HS$169,SwaptionMonthsToGo+SwaptionShift))))))</f>
        <v/>
      </c>
      <c r="HT209" s="469" t="str">
        <f ca="1">IF(OR(HT$169&lt;SwaptionFirstMonthPosition+1,$FN209&lt;SwaptionFirstMonthPosition+1,HT$169&gt;SwaptionFirstMonthPosition+SwaptionNumOfMonths+1,$FN209&gt;SwaptionFirstMonthPosition+SwaptionNumOfMonths+1),"",IF($FN209=HT$169,1,IF($FN209&lt;HT$169,INDEX($FO$170:$IH$241,HT$169,$FN209),SUMPRODUCT(INDEX($FO$325:$IH$396,HT$169,1+SwaptionShift):INDEX($FO$325:$IH$396,HT$169,SwaptionMonthsToGo+SwaptionShift),INDEX($FO$245:$IH$316,$FN209-HT$169,73-HT$169+SwaptionShift):INDEX($FO$245:$IH$316,$FN209-HT$169,72-HT$169+SwaptionMonthsToGo+SwaptionShift))/SQRT(SUM(INDEX($FO364:$IH364,1+SwaptionShift):INDEX($FO364:$IH364,SwaptionMonthsToGo+SwaptionShift))*SUM(INDEX($FO$325:$IH$396,HT$169,1+SwaptionShift):INDEX($FO$325:$IH$396,HT$169,SwaptionMonthsToGo+SwaptionShift))))))</f>
        <v/>
      </c>
      <c r="HU209" s="469" t="str">
        <f ca="1">IF(OR(HU$169&lt;SwaptionFirstMonthPosition+1,$FN209&lt;SwaptionFirstMonthPosition+1,HU$169&gt;SwaptionFirstMonthPosition+SwaptionNumOfMonths+1,$FN209&gt;SwaptionFirstMonthPosition+SwaptionNumOfMonths+1),"",IF($FN209=HU$169,1,IF($FN209&lt;HU$169,INDEX($FO$170:$IH$241,HU$169,$FN209),SUMPRODUCT(INDEX($FO$325:$IH$396,HU$169,1+SwaptionShift):INDEX($FO$325:$IH$396,HU$169,SwaptionMonthsToGo+SwaptionShift),INDEX($FO$245:$IH$316,$FN209-HU$169,73-HU$169+SwaptionShift):INDEX($FO$245:$IH$316,$FN209-HU$169,72-HU$169+SwaptionMonthsToGo+SwaptionShift))/SQRT(SUM(INDEX($FO364:$IH364,1+SwaptionShift):INDEX($FO364:$IH364,SwaptionMonthsToGo+SwaptionShift))*SUM(INDEX($FO$325:$IH$396,HU$169,1+SwaptionShift):INDEX($FO$325:$IH$396,HU$169,SwaptionMonthsToGo+SwaptionShift))))))</f>
        <v/>
      </c>
      <c r="HV209" s="469" t="str">
        <f ca="1">IF(OR(HV$169&lt;SwaptionFirstMonthPosition+1,$FN209&lt;SwaptionFirstMonthPosition+1,HV$169&gt;SwaptionFirstMonthPosition+SwaptionNumOfMonths+1,$FN209&gt;SwaptionFirstMonthPosition+SwaptionNumOfMonths+1),"",IF($FN209=HV$169,1,IF($FN209&lt;HV$169,INDEX($FO$170:$IH$241,HV$169,$FN209),SUMPRODUCT(INDEX($FO$325:$IH$396,HV$169,1+SwaptionShift):INDEX($FO$325:$IH$396,HV$169,SwaptionMonthsToGo+SwaptionShift),INDEX($FO$245:$IH$316,$FN209-HV$169,73-HV$169+SwaptionShift):INDEX($FO$245:$IH$316,$FN209-HV$169,72-HV$169+SwaptionMonthsToGo+SwaptionShift))/SQRT(SUM(INDEX($FO364:$IH364,1+SwaptionShift):INDEX($FO364:$IH364,SwaptionMonthsToGo+SwaptionShift))*SUM(INDEX($FO$325:$IH$396,HV$169,1+SwaptionShift):INDEX($FO$325:$IH$396,HV$169,SwaptionMonthsToGo+SwaptionShift))))))</f>
        <v/>
      </c>
      <c r="HW209" s="469" t="str">
        <f ca="1">IF(OR(HW$169&lt;SwaptionFirstMonthPosition+1,$FN209&lt;SwaptionFirstMonthPosition+1,HW$169&gt;SwaptionFirstMonthPosition+SwaptionNumOfMonths+1,$FN209&gt;SwaptionFirstMonthPosition+SwaptionNumOfMonths+1),"",IF($FN209=HW$169,1,IF($FN209&lt;HW$169,INDEX($FO$170:$IH$241,HW$169,$FN209),SUMPRODUCT(INDEX($FO$325:$IH$396,HW$169,1+SwaptionShift):INDEX($FO$325:$IH$396,HW$169,SwaptionMonthsToGo+SwaptionShift),INDEX($FO$245:$IH$316,$FN209-HW$169,73-HW$169+SwaptionShift):INDEX($FO$245:$IH$316,$FN209-HW$169,72-HW$169+SwaptionMonthsToGo+SwaptionShift))/SQRT(SUM(INDEX($FO364:$IH364,1+SwaptionShift):INDEX($FO364:$IH364,SwaptionMonthsToGo+SwaptionShift))*SUM(INDEX($FO$325:$IH$396,HW$169,1+SwaptionShift):INDEX($FO$325:$IH$396,HW$169,SwaptionMonthsToGo+SwaptionShift))))))</f>
        <v/>
      </c>
      <c r="HX209" s="469" t="str">
        <f ca="1">IF(OR(HX$169&lt;SwaptionFirstMonthPosition+1,$FN209&lt;SwaptionFirstMonthPosition+1,HX$169&gt;SwaptionFirstMonthPosition+SwaptionNumOfMonths+1,$FN209&gt;SwaptionFirstMonthPosition+SwaptionNumOfMonths+1),"",IF($FN209=HX$169,1,IF($FN209&lt;HX$169,INDEX($FO$170:$IH$241,HX$169,$FN209),SUMPRODUCT(INDEX($FO$325:$IH$396,HX$169,1+SwaptionShift):INDEX($FO$325:$IH$396,HX$169,SwaptionMonthsToGo+SwaptionShift),INDEX($FO$245:$IH$316,$FN209-HX$169,73-HX$169+SwaptionShift):INDEX($FO$245:$IH$316,$FN209-HX$169,72-HX$169+SwaptionMonthsToGo+SwaptionShift))/SQRT(SUM(INDEX($FO364:$IH364,1+SwaptionShift):INDEX($FO364:$IH364,SwaptionMonthsToGo+SwaptionShift))*SUM(INDEX($FO$325:$IH$396,HX$169,1+SwaptionShift):INDEX($FO$325:$IH$396,HX$169,SwaptionMonthsToGo+SwaptionShift))))))</f>
        <v/>
      </c>
      <c r="HY209" s="469" t="str">
        <f ca="1">IF(OR(HY$169&lt;SwaptionFirstMonthPosition+1,$FN209&lt;SwaptionFirstMonthPosition+1,HY$169&gt;SwaptionFirstMonthPosition+SwaptionNumOfMonths+1,$FN209&gt;SwaptionFirstMonthPosition+SwaptionNumOfMonths+1),"",IF($FN209=HY$169,1,IF($FN209&lt;HY$169,INDEX($FO$170:$IH$241,HY$169,$FN209),SUMPRODUCT(INDEX($FO$325:$IH$396,HY$169,1+SwaptionShift):INDEX($FO$325:$IH$396,HY$169,SwaptionMonthsToGo+SwaptionShift),INDEX($FO$245:$IH$316,$FN209-HY$169,73-HY$169+SwaptionShift):INDEX($FO$245:$IH$316,$FN209-HY$169,72-HY$169+SwaptionMonthsToGo+SwaptionShift))/SQRT(SUM(INDEX($FO364:$IH364,1+SwaptionShift):INDEX($FO364:$IH364,SwaptionMonthsToGo+SwaptionShift))*SUM(INDEX($FO$325:$IH$396,HY$169,1+SwaptionShift):INDEX($FO$325:$IH$396,HY$169,SwaptionMonthsToGo+SwaptionShift))))))</f>
        <v/>
      </c>
      <c r="HZ209" s="469" t="str">
        <f ca="1">IF(OR(HZ$169&lt;SwaptionFirstMonthPosition+1,$FN209&lt;SwaptionFirstMonthPosition+1,HZ$169&gt;SwaptionFirstMonthPosition+SwaptionNumOfMonths+1,$FN209&gt;SwaptionFirstMonthPosition+SwaptionNumOfMonths+1),"",IF($FN209=HZ$169,1,IF($FN209&lt;HZ$169,INDEX($FO$170:$IH$241,HZ$169,$FN209),SUMPRODUCT(INDEX($FO$325:$IH$396,HZ$169,1+SwaptionShift):INDEX($FO$325:$IH$396,HZ$169,SwaptionMonthsToGo+SwaptionShift),INDEX($FO$245:$IH$316,$FN209-HZ$169,73-HZ$169+SwaptionShift):INDEX($FO$245:$IH$316,$FN209-HZ$169,72-HZ$169+SwaptionMonthsToGo+SwaptionShift))/SQRT(SUM(INDEX($FO364:$IH364,1+SwaptionShift):INDEX($FO364:$IH364,SwaptionMonthsToGo+SwaptionShift))*SUM(INDEX($FO$325:$IH$396,HZ$169,1+SwaptionShift):INDEX($FO$325:$IH$396,HZ$169,SwaptionMonthsToGo+SwaptionShift))))))</f>
        <v/>
      </c>
      <c r="IA209" s="469" t="str">
        <f ca="1">IF(OR(IA$169&lt;SwaptionFirstMonthPosition+1,$FN209&lt;SwaptionFirstMonthPosition+1,IA$169&gt;SwaptionFirstMonthPosition+SwaptionNumOfMonths+1,$FN209&gt;SwaptionFirstMonthPosition+SwaptionNumOfMonths+1),"",IF($FN209=IA$169,1,IF($FN209&lt;IA$169,INDEX($FO$170:$IH$241,IA$169,$FN209),SUMPRODUCT(INDEX($FO$325:$IH$396,IA$169,1+SwaptionShift):INDEX($FO$325:$IH$396,IA$169,SwaptionMonthsToGo+SwaptionShift),INDEX($FO$245:$IH$316,$FN209-IA$169,73-IA$169+SwaptionShift):INDEX($FO$245:$IH$316,$FN209-IA$169,72-IA$169+SwaptionMonthsToGo+SwaptionShift))/SQRT(SUM(INDEX($FO364:$IH364,1+SwaptionShift):INDEX($FO364:$IH364,SwaptionMonthsToGo+SwaptionShift))*SUM(INDEX($FO$325:$IH$396,IA$169,1+SwaptionShift):INDEX($FO$325:$IH$396,IA$169,SwaptionMonthsToGo+SwaptionShift))))))</f>
        <v/>
      </c>
      <c r="IB209" s="469" t="str">
        <f ca="1">IF(OR(IB$169&lt;SwaptionFirstMonthPosition+1,$FN209&lt;SwaptionFirstMonthPosition+1,IB$169&gt;SwaptionFirstMonthPosition+SwaptionNumOfMonths+1,$FN209&gt;SwaptionFirstMonthPosition+SwaptionNumOfMonths+1),"",IF($FN209=IB$169,1,IF($FN209&lt;IB$169,INDEX($FO$170:$IH$241,IB$169,$FN209),SUMPRODUCT(INDEX($FO$325:$IH$396,IB$169,1+SwaptionShift):INDEX($FO$325:$IH$396,IB$169,SwaptionMonthsToGo+SwaptionShift),INDEX($FO$245:$IH$316,$FN209-IB$169,73-IB$169+SwaptionShift):INDEX($FO$245:$IH$316,$FN209-IB$169,72-IB$169+SwaptionMonthsToGo+SwaptionShift))/SQRT(SUM(INDEX($FO364:$IH364,1+SwaptionShift):INDEX($FO364:$IH364,SwaptionMonthsToGo+SwaptionShift))*SUM(INDEX($FO$325:$IH$396,IB$169,1+SwaptionShift):INDEX($FO$325:$IH$396,IB$169,SwaptionMonthsToGo+SwaptionShift))))))</f>
        <v/>
      </c>
      <c r="IC209" s="469" t="str">
        <f ca="1">IF(OR(IC$169&lt;SwaptionFirstMonthPosition+1,$FN209&lt;SwaptionFirstMonthPosition+1,IC$169&gt;SwaptionFirstMonthPosition+SwaptionNumOfMonths+1,$FN209&gt;SwaptionFirstMonthPosition+SwaptionNumOfMonths+1),"",IF($FN209=IC$169,1,IF($FN209&lt;IC$169,INDEX($FO$170:$IH$241,IC$169,$FN209),SUMPRODUCT(INDEX($FO$325:$IH$396,IC$169,1+SwaptionShift):INDEX($FO$325:$IH$396,IC$169,SwaptionMonthsToGo+SwaptionShift),INDEX($FO$245:$IH$316,$FN209-IC$169,73-IC$169+SwaptionShift):INDEX($FO$245:$IH$316,$FN209-IC$169,72-IC$169+SwaptionMonthsToGo+SwaptionShift))/SQRT(SUM(INDEX($FO364:$IH364,1+SwaptionShift):INDEX($FO364:$IH364,SwaptionMonthsToGo+SwaptionShift))*SUM(INDEX($FO$325:$IH$396,IC$169,1+SwaptionShift):INDEX($FO$325:$IH$396,IC$169,SwaptionMonthsToGo+SwaptionShift))))))</f>
        <v/>
      </c>
      <c r="ID209" s="469" t="str">
        <f ca="1">IF(OR(ID$169&lt;SwaptionFirstMonthPosition+1,$FN209&lt;SwaptionFirstMonthPosition+1,ID$169&gt;SwaptionFirstMonthPosition+SwaptionNumOfMonths+1,$FN209&gt;SwaptionFirstMonthPosition+SwaptionNumOfMonths+1),"",IF($FN209=ID$169,1,IF($FN209&lt;ID$169,INDEX($FO$170:$IH$241,ID$169,$FN209),SUMPRODUCT(INDEX($FO$325:$IH$396,ID$169,1+SwaptionShift):INDEX($FO$325:$IH$396,ID$169,SwaptionMonthsToGo+SwaptionShift),INDEX($FO$245:$IH$316,$FN209-ID$169,73-ID$169+SwaptionShift):INDEX($FO$245:$IH$316,$FN209-ID$169,72-ID$169+SwaptionMonthsToGo+SwaptionShift))/SQRT(SUM(INDEX($FO364:$IH364,1+SwaptionShift):INDEX($FO364:$IH364,SwaptionMonthsToGo+SwaptionShift))*SUM(INDEX($FO$325:$IH$396,ID$169,1+SwaptionShift):INDEX($FO$325:$IH$396,ID$169,SwaptionMonthsToGo+SwaptionShift))))))</f>
        <v/>
      </c>
      <c r="IE209" s="469" t="str">
        <f ca="1">IF(OR(IE$169&lt;SwaptionFirstMonthPosition+1,$FN209&lt;SwaptionFirstMonthPosition+1,IE$169&gt;SwaptionFirstMonthPosition+SwaptionNumOfMonths+1,$FN209&gt;SwaptionFirstMonthPosition+SwaptionNumOfMonths+1),"",IF($FN209=IE$169,1,IF($FN209&lt;IE$169,INDEX($FO$170:$IH$241,IE$169,$FN209),SUMPRODUCT(INDEX($FO$325:$IH$396,IE$169,1+SwaptionShift):INDEX($FO$325:$IH$396,IE$169,SwaptionMonthsToGo+SwaptionShift),INDEX($FO$245:$IH$316,$FN209-IE$169,73-IE$169+SwaptionShift):INDEX($FO$245:$IH$316,$FN209-IE$169,72-IE$169+SwaptionMonthsToGo+SwaptionShift))/SQRT(SUM(INDEX($FO364:$IH364,1+SwaptionShift):INDEX($FO364:$IH364,SwaptionMonthsToGo+SwaptionShift))*SUM(INDEX($FO$325:$IH$396,IE$169,1+SwaptionShift):INDEX($FO$325:$IH$396,IE$169,SwaptionMonthsToGo+SwaptionShift))))))</f>
        <v/>
      </c>
      <c r="IF209" s="469" t="str">
        <f ca="1">IF(OR(IF$169&lt;SwaptionFirstMonthPosition+1,$FN209&lt;SwaptionFirstMonthPosition+1,IF$169&gt;SwaptionFirstMonthPosition+SwaptionNumOfMonths+1,$FN209&gt;SwaptionFirstMonthPosition+SwaptionNumOfMonths+1),"",IF($FN209=IF$169,1,IF($FN209&lt;IF$169,INDEX($FO$170:$IH$241,IF$169,$FN209),SUMPRODUCT(INDEX($FO$325:$IH$396,IF$169,1+SwaptionShift):INDEX($FO$325:$IH$396,IF$169,SwaptionMonthsToGo+SwaptionShift),INDEX($FO$245:$IH$316,$FN209-IF$169,73-IF$169+SwaptionShift):INDEX($FO$245:$IH$316,$FN209-IF$169,72-IF$169+SwaptionMonthsToGo+SwaptionShift))/SQRT(SUM(INDEX($FO364:$IH364,1+SwaptionShift):INDEX($FO364:$IH364,SwaptionMonthsToGo+SwaptionShift))*SUM(INDEX($FO$325:$IH$396,IF$169,1+SwaptionShift):INDEX($FO$325:$IH$396,IF$169,SwaptionMonthsToGo+SwaptionShift))))))</f>
        <v/>
      </c>
      <c r="IG209" s="469" t="str">
        <f ca="1">IF(OR(IG$169&lt;SwaptionFirstMonthPosition+1,$FN209&lt;SwaptionFirstMonthPosition+1,IG$169&gt;SwaptionFirstMonthPosition+SwaptionNumOfMonths+1,$FN209&gt;SwaptionFirstMonthPosition+SwaptionNumOfMonths+1),"",IF($FN209=IG$169,1,IF($FN209&lt;IG$169,INDEX($FO$170:$IH$241,IG$169,$FN209),SUMPRODUCT(INDEX($FO$325:$IH$396,IG$169,1+SwaptionShift):INDEX($FO$325:$IH$396,IG$169,SwaptionMonthsToGo+SwaptionShift),INDEX($FO$245:$IH$316,$FN209-IG$169,73-IG$169+SwaptionShift):INDEX($FO$245:$IH$316,$FN209-IG$169,72-IG$169+SwaptionMonthsToGo+SwaptionShift))/SQRT(SUM(INDEX($FO364:$IH364,1+SwaptionShift):INDEX($FO364:$IH364,SwaptionMonthsToGo+SwaptionShift))*SUM(INDEX($FO$325:$IH$396,IG$169,1+SwaptionShift):INDEX($FO$325:$IH$396,IG$169,SwaptionMonthsToGo+SwaptionShift))))))</f>
        <v/>
      </c>
      <c r="IH209" s="662" t="str">
        <f ca="1">IF(OR(IH$169&lt;SwaptionFirstMonthPosition+1,$FN209&lt;SwaptionFirstMonthPosition+1,IH$169&gt;SwaptionFirstMonthPosition+SwaptionNumOfMonths+1,$FN209&gt;SwaptionFirstMonthPosition+SwaptionNumOfMonths+1),"",IF($FN209=IH$169,1,IF($FN209&lt;IH$169,INDEX($FO$170:$IH$241,IH$169,$FN209),SUMPRODUCT(INDEX($FO$325:$IH$396,IH$169,1+SwaptionShift):INDEX($FO$325:$IH$396,IH$169,SwaptionMonthsToGo+SwaptionShift),INDEX($FO$245:$IH$316,$FN209-IH$169,73-IH$169+SwaptionShift):INDEX($FO$245:$IH$316,$FN209-IH$169,72-IH$169+SwaptionMonthsToGo+SwaptionShift))/SQRT(SUM(INDEX($FO364:$IH364,1+SwaptionShift):INDEX($FO364:$IH364,SwaptionMonthsToGo+SwaptionShift))*SUM(INDEX($FO$325:$IH$396,IH$169,1+SwaptionShift):INDEX($FO$325:$IH$396,IH$169,SwaptionMonthsToGo+SwaptionShift))))))</f>
        <v/>
      </c>
      <c r="II209" s="242"/>
    </row>
    <row r="210" spans="8:243">
      <c r="H210" s="49" t="e">
        <f t="shared" ca="1" si="529"/>
        <v>#N/A</v>
      </c>
      <c r="I210" s="369">
        <f t="shared" si="530"/>
        <v>42795</v>
      </c>
      <c r="J210" s="367">
        <v>24.134999999999902</v>
      </c>
      <c r="K210" s="101" t="s">
        <v>267</v>
      </c>
      <c r="L210" s="382">
        <f t="shared" si="531"/>
        <v>24.134999999999859</v>
      </c>
      <c r="M210" s="163">
        <v>0.1351</v>
      </c>
      <c r="N210" s="372">
        <v>0</v>
      </c>
      <c r="O210" s="163">
        <f t="shared" si="595"/>
        <v>0.1351</v>
      </c>
      <c r="P210" s="367">
        <v>22.928905992208801</v>
      </c>
      <c r="Q210" s="101" t="s">
        <v>267</v>
      </c>
      <c r="R210" s="367">
        <f t="shared" ca="1" si="596"/>
        <v>22.928905992208826</v>
      </c>
      <c r="S210" s="814">
        <f t="shared" si="594"/>
        <v>0.34748207028018102</v>
      </c>
      <c r="T210" s="813">
        <f t="shared" si="550"/>
        <v>0.99999999984205235</v>
      </c>
      <c r="U210" s="532">
        <f t="shared" si="551"/>
        <v>0.99999999999999978</v>
      </c>
      <c r="V210" s="379">
        <v>0</v>
      </c>
      <c r="W210" s="424">
        <f t="shared" si="597"/>
        <v>24.169782608695552</v>
      </c>
      <c r="X210" s="405">
        <f t="shared" si="598"/>
        <v>24.169782608695513</v>
      </c>
      <c r="Y210" s="313">
        <f t="shared" si="599"/>
        <v>22.953782608695551</v>
      </c>
      <c r="Z210" s="313">
        <f t="shared" ca="1" si="600"/>
        <v>22.953782608695512</v>
      </c>
      <c r="AA210" s="419">
        <f t="shared" si="493"/>
        <v>1.216</v>
      </c>
      <c r="AB210" s="423">
        <f t="shared" ca="1" si="494"/>
        <v>1.216</v>
      </c>
      <c r="AC210" s="221">
        <v>42786</v>
      </c>
      <c r="AD210" s="221">
        <v>42782</v>
      </c>
      <c r="AE210" s="221">
        <v>42781</v>
      </c>
      <c r="AF210" s="221">
        <v>42777</v>
      </c>
      <c r="AG210" s="241" t="s">
        <v>497</v>
      </c>
      <c r="AH210" s="239" t="s">
        <v>497</v>
      </c>
      <c r="AI210" s="141">
        <v>23</v>
      </c>
      <c r="AJ210" s="41">
        <v>14</v>
      </c>
      <c r="AK210" s="41">
        <v>9</v>
      </c>
      <c r="AL210" s="285">
        <v>23</v>
      </c>
      <c r="AM210" s="41">
        <v>10</v>
      </c>
      <c r="AN210" s="142">
        <v>13</v>
      </c>
      <c r="AO210" s="364">
        <v>6.24359077610692E-2</v>
      </c>
      <c r="AP210" s="145">
        <f t="shared" ca="1" si="532"/>
        <v>0.37449241692885438</v>
      </c>
      <c r="AQ210" s="364">
        <v>5.7413430221811002E-2</v>
      </c>
      <c r="AR210" s="145">
        <f t="shared" ca="1" si="552"/>
        <v>0.40753927287040986</v>
      </c>
      <c r="AS210" s="264">
        <f t="shared" si="601"/>
        <v>0.13454347826086957</v>
      </c>
      <c r="AT210" s="149">
        <f t="shared" si="533"/>
        <v>0.1351</v>
      </c>
      <c r="AU210" s="149">
        <f t="shared" si="496"/>
        <v>0.13447391304347828</v>
      </c>
      <c r="AV210" s="263">
        <f t="shared" ca="1" si="560"/>
        <v>0.13304322863888984</v>
      </c>
      <c r="AW210" s="150" t="str">
        <f t="shared" ca="1" si="581"/>
        <v/>
      </c>
      <c r="AX210" s="149">
        <f t="shared" ca="1" si="553"/>
        <v>4.4455138055832077E-3</v>
      </c>
      <c r="AY210" s="149">
        <f t="shared" ca="1" si="554"/>
        <v>1.4432813756232279E-3</v>
      </c>
      <c r="AZ210" s="149">
        <f t="shared" ca="1" si="555"/>
        <v>1.6113849796903649E-3</v>
      </c>
      <c r="BA210" s="149">
        <f t="shared" ca="1" si="556"/>
        <v>1.0000000000000979E-4</v>
      </c>
      <c r="BB210" s="149">
        <f t="shared" ca="1" si="557"/>
        <v>1.0000000000000979E-4</v>
      </c>
      <c r="BC210" s="149">
        <f t="shared" ca="1" si="558"/>
        <v>1.0000000000000979E-4</v>
      </c>
      <c r="BD210" s="143">
        <f t="shared" ca="1" si="602"/>
        <v>0</v>
      </c>
      <c r="BE210" s="144">
        <f t="shared" ca="1" si="603"/>
        <v>0</v>
      </c>
      <c r="BF210" s="40">
        <f t="shared" si="604"/>
        <v>2017</v>
      </c>
      <c r="BG210" s="139">
        <f t="shared" si="605"/>
        <v>3</v>
      </c>
      <c r="BH210" s="140">
        <f t="shared" ca="1" si="606"/>
        <v>5792</v>
      </c>
      <c r="BI210" s="304">
        <f t="shared" ca="1" si="607"/>
        <v>15.893223819301848</v>
      </c>
      <c r="BJ210" s="42">
        <f t="shared" ca="1" si="503"/>
        <v>15.943219355414694</v>
      </c>
      <c r="BK210" s="42">
        <f t="shared" ca="1" si="504"/>
        <v>15.945957206201827</v>
      </c>
      <c r="BL210" s="42">
        <f t="shared" ca="1" si="608"/>
        <v>15.975359342915811</v>
      </c>
      <c r="BM210" s="285">
        <f t="shared" si="609"/>
        <v>23</v>
      </c>
      <c r="BN210" s="41">
        <f t="shared" si="610"/>
        <v>14</v>
      </c>
      <c r="BO210" s="41">
        <f t="shared" si="611"/>
        <v>9</v>
      </c>
      <c r="BP210" s="297" t="str">
        <f t="shared" ca="1" si="505"/>
        <v/>
      </c>
      <c r="BQ210" s="297" t="str">
        <f t="shared" ca="1" si="506"/>
        <v/>
      </c>
      <c r="BR210" s="299" t="str">
        <f t="shared" ca="1" si="507"/>
        <v/>
      </c>
      <c r="BS210" s="153" t="str">
        <f t="shared" ca="1" si="508"/>
        <v/>
      </c>
      <c r="BT210" s="153" t="str">
        <f t="shared" ca="1" si="509"/>
        <v/>
      </c>
      <c r="BU210" s="300" t="str">
        <f t="shared" ca="1" si="510"/>
        <v/>
      </c>
      <c r="BV210" s="301" t="str">
        <f t="shared" ca="1" si="511"/>
        <v/>
      </c>
      <c r="BW210" s="300" t="str">
        <f t="shared" ca="1" si="512"/>
        <v/>
      </c>
      <c r="BX210" s="301" t="str">
        <f t="shared" ca="1" si="513"/>
        <v/>
      </c>
      <c r="BY210" s="146" t="str">
        <f t="shared" ca="1" si="514"/>
        <v/>
      </c>
      <c r="BZ210" s="146" t="str">
        <f t="shared" ca="1" si="515"/>
        <v/>
      </c>
      <c r="CA210" s="146" t="str">
        <f t="shared" ca="1" si="516"/>
        <v/>
      </c>
      <c r="CB210" s="146" t="str">
        <f t="shared" ca="1" si="517"/>
        <v/>
      </c>
      <c r="CC210" s="302">
        <v>1</v>
      </c>
      <c r="CD210" s="154">
        <f ca="1">IF(BD210,_xll.xCrudeAPO(BS210,BT210,BY210,BZ210,S211,S212,BI210,BL210,BN210,BO210,0,Strike1,AO210,CC210,0,BL210,IF(OptControl=4,0,1),0,1),0)</f>
        <v>0</v>
      </c>
      <c r="CE210" s="155">
        <f ca="1">IF(BD210,_xll.xCrudeAPO(BS210,BT210,BY210,BZ210,S211,S212,BI210,BL210,BN210,BO210,0,Strike1,AO210,CC210,0,BL210,IF(OptControl=4,0,1),1,1)+_xll.xCrudeAPO(BS210,BT210,BY210,BZ210,S211,S212,BI210,BL210,BN210,BO210,0,Strike1,AO210,CC210,0,BL210,IF(OptControl=4,0,1),1,2)+IF(OR(VolSkewFlag=2,ABS(BQ210)&lt;0.0001),0,IF(BQ210&gt;0,-1,1)*CF210*Strike1/BP210^2*BW210/10%),0)</f>
        <v>0</v>
      </c>
      <c r="CF210" s="155">
        <f ca="1">IF(BD210,(_xll.xCrudeAPO(BS210,BT210,BY210,BZ210,S211,S212,BI210,BL210,BN210,BO210,0,Strike1,AO210,CC210,0,BL210,IF(OptControl=4,0,1),3,1)+_xll.xCrudeAPO(BS210,BT210,BY210,BZ210,S211,S212,BI210,BL210,BN210,BO210,0,Strike1,AO210,CC210,0,BL210,IF(OptControl=4,0,1),3,2))/100,0)</f>
        <v>0</v>
      </c>
      <c r="CG210" s="155">
        <f ca="1">IF(BD210,_xll.xCrudeAPO(BS210,BT210,BY210,BZ210,S211,S212,BI210-DaysForThetaCalculation/365.25,BL210-DaysForThetaCalculation/365.25,BN210,BO210,0,Strike1,AO210,CC210,0,BL210,IF(OptControl=4,0,1),0,1)-_xll.xCrudeAPO(BS210,BT210,BY210,BZ210,S211,S212,BI210,BL210,BN210,BO210,0,Strike1,AO210,CC210,0,BL210,IF(OptControl=4,0,1),0,1),0)</f>
        <v>0</v>
      </c>
      <c r="CH210" s="303">
        <f ca="1">IF(BD210,_xll.xCrudeAPO(BS210,BT210,CA210,CB210,S211,S212,BI210,BL210,BN210,BO210,0,Strike2,AO210,CC210,0,BL210,IF(OptControl=3,1,0),0,1),0)</f>
        <v>0</v>
      </c>
      <c r="CI210" s="155">
        <f ca="1">IF(BD210,_xll.xCrudeAPO(BS210,BT210,CA210,CB210,S211,S212,BI210,BL210,BN210,BO210,0,Strike2,AO210,CC210,0,BL210,IF(OptControl=3,1,0),1,1)+_xll.xCrudeAPO(BS210,BT210,CA210,CB210,S211,S212,BI210,BL210,BN210,BO210,0,Strike2,AO210,CC210,0,BL210,IF(OptControl=3,1,0),1,2)+IF(OR(VolSkewFlag=2,ABS(BR210)&lt;0.0001),0,IF(BR210&gt;0,-1,1)*CJ210*Strike2/BP210^2*BX210/10%),0)</f>
        <v>0</v>
      </c>
      <c r="CJ210" s="155">
        <f ca="1">IF(BD210,(_xll.xCrudeAPO(BS210,BT210,CA210,CB210,S211,S212,BI210,BL210,BN210,BO210,0,Strike2,AO210,CC210,0,BL210,IF(OptControl=3,1,0),3,1)+_xll.xCrudeAPO(BS210,BT210,CA210,CB210,S211,S212,BI210,BL210,BN210,BO210,0,Strike2,AO210,CC210,0,BL210,IF(OptControl=3,1,0),3,2))/100,0)</f>
        <v>0</v>
      </c>
      <c r="CK210" s="156">
        <f ca="1">IF(BD210,_xll.xCrudeAPO(BS210,BT210,CA210,CB210,S211,S212,BI210-DaysForThetaCalculation/365.25,BL210-DaysForThetaCalculation/365.25,BN210,BO210,0,Strike2,AO210,CC210,0,BL210,IF(OptControl=3,1,0),0,1)-_xll.xCrudeAPO(BS210,BT210,CA210,CB210,S211,S212,BI210,BL210,BN210,BO210,0,Strike2,AO210,CC210,0,BL210,IF(OptControl=3,1,0),0,1),0)</f>
        <v>0</v>
      </c>
      <c r="CL210" s="51"/>
      <c r="CM210" s="779" t="str">
        <f t="shared" ca="1" si="534"/>
        <v/>
      </c>
      <c r="CN210" s="783" t="str">
        <f t="shared" ca="1" si="535"/>
        <v/>
      </c>
      <c r="CO210" s="780" t="str">
        <f t="shared" ca="1" si="536"/>
        <v/>
      </c>
      <c r="CP210" s="780" t="str">
        <f t="shared" ca="1" si="537"/>
        <v/>
      </c>
      <c r="CQ210" s="780" t="str">
        <f t="shared" ca="1" si="538"/>
        <v/>
      </c>
      <c r="CR210" s="780" t="str">
        <f t="shared" ca="1" si="539"/>
        <v/>
      </c>
      <c r="CS210" s="781" t="str">
        <f t="shared" ca="1" si="540"/>
        <v/>
      </c>
      <c r="CT210" s="782" t="str">
        <f t="shared" ca="1" si="541"/>
        <v/>
      </c>
      <c r="CU210" s="782" t="str">
        <f t="shared" ca="1" si="542"/>
        <v/>
      </c>
      <c r="CV210" s="155">
        <f ca="1">IF(BD210,_xll.EURO(CN210,Strike1,AO210,AO210,CT210,CM210,IF(OptControl=4,0,1),0),0)</f>
        <v>0</v>
      </c>
      <c r="CW210" s="155">
        <f ca="1">IF(BD210,_xll.EURO(CN210,Strike1,AO210,AO210,CT210,CM210,IF(OptControl=4,0,1),1)+IF(OR(VolSkewFlag=2,ABS(CO210)&lt;0.0001),0,IF(CO210&gt;0,-1,1)*CX210*100*Strike1/CN210^2*CQ210/10%),0)</f>
        <v>0</v>
      </c>
      <c r="CX210" s="155">
        <f ca="1">IF(BD210,_xll.EURO(CN210,Strike1,AO210,AO210,CT210,CM210,IF(OptControl=4,0,1),3)/100,0)</f>
        <v>0</v>
      </c>
      <c r="CY210" s="155">
        <f ca="1">IF(BD210,_xll.EURO(CN210,Strike1,AO210,AO210,CT210,CM210,IF(OptControl=4,0,1),0)-_xll.EURO(CN210,Strike1,AO210,AO210,CT210,CM210-1,IF(OptControl=4,0,1),0),0)</f>
        <v>0</v>
      </c>
      <c r="CZ210" s="155">
        <f ca="1">IF(BD210,_xll.EURO(CN210,Strike2,AO210,AO210,CU210,CM210,IF(OptControl=3,1,0),0),0)</f>
        <v>0</v>
      </c>
      <c r="DA210" s="155">
        <f ca="1">IF(BD210,_xll.EURO(CN210,Strike2,AO210,AO210,CU210,CM210,IF(OptControl=3,1,0),1)+IF(OR(VolSkewFlag=2,ABS(CP210)&lt;0.0001),0,IF(CP210&gt;0,-1,1)*DB210*100*Strike2/CN210^2*CR210/10%),0)</f>
        <v>0</v>
      </c>
      <c r="DB210" s="155">
        <f ca="1">IF(BD210,_xll.EURO(CN210,Strike2,AO210,AO210,CU210,CM210,IF(OptControl=3,1,0),3)/100,0)</f>
        <v>0</v>
      </c>
      <c r="DC210" s="156">
        <f ca="1">IF(BD210,_xll.EURO(CN210,Strike2,AO210,AO210,CU210,CM210,IF(OptControl=3,1,0),0)-_xll.EURO(CN210,Strike2,AO210,AO210,CU210,CM210-1,IF(OptControl=3,1,0),0),0)</f>
        <v>0</v>
      </c>
      <c r="DE210" s="651">
        <f t="shared" ca="1" si="543"/>
        <v>42705</v>
      </c>
      <c r="DF210" s="465">
        <v>1E-4</v>
      </c>
      <c r="DG210" s="649">
        <v>1E-4</v>
      </c>
      <c r="DH210" s="650">
        <f t="shared" ca="1" si="612"/>
        <v>42705</v>
      </c>
      <c r="DI210" s="465">
        <v>1E-4</v>
      </c>
      <c r="DJ210" s="649">
        <v>1E-4</v>
      </c>
      <c r="DK210" s="651">
        <f t="shared" ca="1" si="613"/>
        <v>42705</v>
      </c>
      <c r="DL210" s="652">
        <f t="shared" si="614"/>
        <v>5.0100000000000006E-2</v>
      </c>
      <c r="DM210" s="651">
        <f t="shared" ca="1" si="615"/>
        <v>42705</v>
      </c>
      <c r="DN210" s="563">
        <f t="shared" si="616"/>
        <v>-0.12990000000000002</v>
      </c>
      <c r="DO210" s="803">
        <v>-0.13</v>
      </c>
      <c r="DP210" s="650">
        <f t="shared" ca="1" si="617"/>
        <v>42705</v>
      </c>
      <c r="DQ210" s="653">
        <v>1E-4</v>
      </c>
      <c r="DR210" s="590">
        <v>1E-4</v>
      </c>
      <c r="DS210" s="650">
        <f t="shared" ca="1" si="618"/>
        <v>42705</v>
      </c>
      <c r="DT210" s="653">
        <v>1E-4</v>
      </c>
      <c r="DU210" s="590">
        <v>1E-4</v>
      </c>
      <c r="DV210" s="651">
        <f t="shared" ca="1" si="619"/>
        <v>42705</v>
      </c>
      <c r="DW210" s="590">
        <v>1E-4</v>
      </c>
      <c r="DX210" s="651">
        <f t="shared" ca="1" si="620"/>
        <v>42705</v>
      </c>
      <c r="DY210" s="590">
        <f t="shared" si="621"/>
        <v>1E-4</v>
      </c>
      <c r="DZ210" s="1"/>
      <c r="EA210" s="857"/>
      <c r="EB210" s="857"/>
      <c r="EC210" s="857"/>
      <c r="ED210" s="868" t="e">
        <f t="shared" ca="1" si="566"/>
        <v>#NAME?</v>
      </c>
      <c r="EE210" s="863" t="e">
        <f t="shared" ca="1" si="524"/>
        <v>#NAME?</v>
      </c>
      <c r="EF210" s="590" t="e">
        <f t="shared" ca="1" si="525"/>
        <v>#NAME?</v>
      </c>
      <c r="EG210" s="862" t="str">
        <f t="shared" ca="1" si="622"/>
        <v/>
      </c>
      <c r="EH210" s="114" t="str">
        <f t="shared" ca="1" si="527"/>
        <v/>
      </c>
      <c r="EI210" s="109" t="str">
        <f t="shared" ca="1" si="528"/>
        <v/>
      </c>
      <c r="EJ210" s="115">
        <f ca="1">IF(BD210,_xll.xASN(BP210,Strike1,AO210,EH210,0,BM210,0,BI210,BL210,IF(OptControl=4,0,1),0),0)</f>
        <v>0</v>
      </c>
      <c r="EK210" s="108">
        <f ca="1">IF(BD210,_xll.xASN(BP210,Strike2,AO210,EI210,0,BM210,0,BI210,BL210,IF(OptControl=3,1,0),0),0)</f>
        <v>0</v>
      </c>
      <c r="EP210" s="53"/>
      <c r="EQ210" s="1"/>
      <c r="ER210" s="103"/>
      <c r="ES210" s="103"/>
      <c r="ET210" s="1"/>
      <c r="EU210" s="667" t="s">
        <v>423</v>
      </c>
      <c r="EW210" s="53"/>
      <c r="EY210" s="104"/>
      <c r="FN210" s="657">
        <v>41</v>
      </c>
      <c r="FO210" s="469" t="str">
        <f ca="1">IF(OR(FO$169&lt;SwaptionFirstMonthPosition+1,$FN210&lt;SwaptionFirstMonthPosition+1,FO$169&gt;SwaptionFirstMonthPosition+SwaptionNumOfMonths+1,$FN210&gt;SwaptionFirstMonthPosition+SwaptionNumOfMonths+1),"",IF($FN210=FO$169,1,IF($FN210&lt;FO$169,INDEX($FO$170:$IH$241,FO$169,$FN210),SUMPRODUCT(INDEX($FO$325:$IH$396,FO$169,1+SwaptionShift):INDEX($FO$325:$IH$396,FO$169,SwaptionMonthsToGo+SwaptionShift),INDEX($FO$245:$IH$316,$FN210-FO$169,73-FO$169+SwaptionShift):INDEX($FO$245:$IH$316,$FN210-FO$169,72-FO$169+SwaptionMonthsToGo+SwaptionShift))/SQRT(SUM(INDEX($FO365:$IH365,1+SwaptionShift):INDEX($FO365:$IH365,SwaptionMonthsToGo+SwaptionShift))*SUM(INDEX($FO$325:$IH$396,FO$169,1+SwaptionShift):INDEX($FO$325:$IH$396,FO$169,SwaptionMonthsToGo+SwaptionShift))))))</f>
        <v/>
      </c>
      <c r="FP210" s="469" t="str">
        <f ca="1">IF(OR(FP$169&lt;SwaptionFirstMonthPosition+1,$FN210&lt;SwaptionFirstMonthPosition+1,FP$169&gt;SwaptionFirstMonthPosition+SwaptionNumOfMonths+1,$FN210&gt;SwaptionFirstMonthPosition+SwaptionNumOfMonths+1),"",IF($FN210=FP$169,1,IF($FN210&lt;FP$169,INDEX($FO$170:$IH$241,FP$169,$FN210),SUMPRODUCT(INDEX($FO$325:$IH$396,FP$169,1+SwaptionShift):INDEX($FO$325:$IH$396,FP$169,SwaptionMonthsToGo+SwaptionShift),INDEX($FO$245:$IH$316,$FN210-FP$169,73-FP$169+SwaptionShift):INDEX($FO$245:$IH$316,$FN210-FP$169,72-FP$169+SwaptionMonthsToGo+SwaptionShift))/SQRT(SUM(INDEX($FO365:$IH365,1+SwaptionShift):INDEX($FO365:$IH365,SwaptionMonthsToGo+SwaptionShift))*SUM(INDEX($FO$325:$IH$396,FP$169,1+SwaptionShift):INDEX($FO$325:$IH$396,FP$169,SwaptionMonthsToGo+SwaptionShift))))))</f>
        <v/>
      </c>
      <c r="FQ210" s="469" t="str">
        <f ca="1">IF(OR(FQ$169&lt;SwaptionFirstMonthPosition+1,$FN210&lt;SwaptionFirstMonthPosition+1,FQ$169&gt;SwaptionFirstMonthPosition+SwaptionNumOfMonths+1,$FN210&gt;SwaptionFirstMonthPosition+SwaptionNumOfMonths+1),"",IF($FN210=FQ$169,1,IF($FN210&lt;FQ$169,INDEX($FO$170:$IH$241,FQ$169,$FN210),SUMPRODUCT(INDEX($FO$325:$IH$396,FQ$169,1+SwaptionShift):INDEX($FO$325:$IH$396,FQ$169,SwaptionMonthsToGo+SwaptionShift),INDEX($FO$245:$IH$316,$FN210-FQ$169,73-FQ$169+SwaptionShift):INDEX($FO$245:$IH$316,$FN210-FQ$169,72-FQ$169+SwaptionMonthsToGo+SwaptionShift))/SQRT(SUM(INDEX($FO365:$IH365,1+SwaptionShift):INDEX($FO365:$IH365,SwaptionMonthsToGo+SwaptionShift))*SUM(INDEX($FO$325:$IH$396,FQ$169,1+SwaptionShift):INDEX($FO$325:$IH$396,FQ$169,SwaptionMonthsToGo+SwaptionShift))))))</f>
        <v/>
      </c>
      <c r="FR210" s="469" t="str">
        <f ca="1">IF(OR(FR$169&lt;SwaptionFirstMonthPosition+1,$FN210&lt;SwaptionFirstMonthPosition+1,FR$169&gt;SwaptionFirstMonthPosition+SwaptionNumOfMonths+1,$FN210&gt;SwaptionFirstMonthPosition+SwaptionNumOfMonths+1),"",IF($FN210=FR$169,1,IF($FN210&lt;FR$169,INDEX($FO$170:$IH$241,FR$169,$FN210),SUMPRODUCT(INDEX($FO$325:$IH$396,FR$169,1+SwaptionShift):INDEX($FO$325:$IH$396,FR$169,SwaptionMonthsToGo+SwaptionShift),INDEX($FO$245:$IH$316,$FN210-FR$169,73-FR$169+SwaptionShift):INDEX($FO$245:$IH$316,$FN210-FR$169,72-FR$169+SwaptionMonthsToGo+SwaptionShift))/SQRT(SUM(INDEX($FO365:$IH365,1+SwaptionShift):INDEX($FO365:$IH365,SwaptionMonthsToGo+SwaptionShift))*SUM(INDEX($FO$325:$IH$396,FR$169,1+SwaptionShift):INDEX($FO$325:$IH$396,FR$169,SwaptionMonthsToGo+SwaptionShift))))))</f>
        <v/>
      </c>
      <c r="FS210" s="469" t="str">
        <f ca="1">IF(OR(FS$169&lt;SwaptionFirstMonthPosition+1,$FN210&lt;SwaptionFirstMonthPosition+1,FS$169&gt;SwaptionFirstMonthPosition+SwaptionNumOfMonths+1,$FN210&gt;SwaptionFirstMonthPosition+SwaptionNumOfMonths+1),"",IF($FN210=FS$169,1,IF($FN210&lt;FS$169,INDEX($FO$170:$IH$241,FS$169,$FN210),SUMPRODUCT(INDEX($FO$325:$IH$396,FS$169,1+SwaptionShift):INDEX($FO$325:$IH$396,FS$169,SwaptionMonthsToGo+SwaptionShift),INDEX($FO$245:$IH$316,$FN210-FS$169,73-FS$169+SwaptionShift):INDEX($FO$245:$IH$316,$FN210-FS$169,72-FS$169+SwaptionMonthsToGo+SwaptionShift))/SQRT(SUM(INDEX($FO365:$IH365,1+SwaptionShift):INDEX($FO365:$IH365,SwaptionMonthsToGo+SwaptionShift))*SUM(INDEX($FO$325:$IH$396,FS$169,1+SwaptionShift):INDEX($FO$325:$IH$396,FS$169,SwaptionMonthsToGo+SwaptionShift))))))</f>
        <v/>
      </c>
      <c r="FT210" s="469" t="str">
        <f ca="1">IF(OR(FT$169&lt;SwaptionFirstMonthPosition+1,$FN210&lt;SwaptionFirstMonthPosition+1,FT$169&gt;SwaptionFirstMonthPosition+SwaptionNumOfMonths+1,$FN210&gt;SwaptionFirstMonthPosition+SwaptionNumOfMonths+1),"",IF($FN210=FT$169,1,IF($FN210&lt;FT$169,INDEX($FO$170:$IH$241,FT$169,$FN210),SUMPRODUCT(INDEX($FO$325:$IH$396,FT$169,1+SwaptionShift):INDEX($FO$325:$IH$396,FT$169,SwaptionMonthsToGo+SwaptionShift),INDEX($FO$245:$IH$316,$FN210-FT$169,73-FT$169+SwaptionShift):INDEX($FO$245:$IH$316,$FN210-FT$169,72-FT$169+SwaptionMonthsToGo+SwaptionShift))/SQRT(SUM(INDEX($FO365:$IH365,1+SwaptionShift):INDEX($FO365:$IH365,SwaptionMonthsToGo+SwaptionShift))*SUM(INDEX($FO$325:$IH$396,FT$169,1+SwaptionShift):INDEX($FO$325:$IH$396,FT$169,SwaptionMonthsToGo+SwaptionShift))))))</f>
        <v/>
      </c>
      <c r="FU210" s="469" t="str">
        <f ca="1">IF(OR(FU$169&lt;SwaptionFirstMonthPosition+1,$FN210&lt;SwaptionFirstMonthPosition+1,FU$169&gt;SwaptionFirstMonthPosition+SwaptionNumOfMonths+1,$FN210&gt;SwaptionFirstMonthPosition+SwaptionNumOfMonths+1),"",IF($FN210=FU$169,1,IF($FN210&lt;FU$169,INDEX($FO$170:$IH$241,FU$169,$FN210),SUMPRODUCT(INDEX($FO$325:$IH$396,FU$169,1+SwaptionShift):INDEX($FO$325:$IH$396,FU$169,SwaptionMonthsToGo+SwaptionShift),INDEX($FO$245:$IH$316,$FN210-FU$169,73-FU$169+SwaptionShift):INDEX($FO$245:$IH$316,$FN210-FU$169,72-FU$169+SwaptionMonthsToGo+SwaptionShift))/SQRT(SUM(INDEX($FO365:$IH365,1+SwaptionShift):INDEX($FO365:$IH365,SwaptionMonthsToGo+SwaptionShift))*SUM(INDEX($FO$325:$IH$396,FU$169,1+SwaptionShift):INDEX($FO$325:$IH$396,FU$169,SwaptionMonthsToGo+SwaptionShift))))))</f>
        <v/>
      </c>
      <c r="FV210" s="469" t="str">
        <f ca="1">IF(OR(FV$169&lt;SwaptionFirstMonthPosition+1,$FN210&lt;SwaptionFirstMonthPosition+1,FV$169&gt;SwaptionFirstMonthPosition+SwaptionNumOfMonths+1,$FN210&gt;SwaptionFirstMonthPosition+SwaptionNumOfMonths+1),"",IF($FN210=FV$169,1,IF($FN210&lt;FV$169,INDEX($FO$170:$IH$241,FV$169,$FN210),SUMPRODUCT(INDEX($FO$325:$IH$396,FV$169,1+SwaptionShift):INDEX($FO$325:$IH$396,FV$169,SwaptionMonthsToGo+SwaptionShift),INDEX($FO$245:$IH$316,$FN210-FV$169,73-FV$169+SwaptionShift):INDEX($FO$245:$IH$316,$FN210-FV$169,72-FV$169+SwaptionMonthsToGo+SwaptionShift))/SQRT(SUM(INDEX($FO365:$IH365,1+SwaptionShift):INDEX($FO365:$IH365,SwaptionMonthsToGo+SwaptionShift))*SUM(INDEX($FO$325:$IH$396,FV$169,1+SwaptionShift):INDEX($FO$325:$IH$396,FV$169,SwaptionMonthsToGo+SwaptionShift))))))</f>
        <v/>
      </c>
      <c r="FW210" s="469" t="str">
        <f ca="1">IF(OR(FW$169&lt;SwaptionFirstMonthPosition+1,$FN210&lt;SwaptionFirstMonthPosition+1,FW$169&gt;SwaptionFirstMonthPosition+SwaptionNumOfMonths+1,$FN210&gt;SwaptionFirstMonthPosition+SwaptionNumOfMonths+1),"",IF($FN210=FW$169,1,IF($FN210&lt;FW$169,INDEX($FO$170:$IH$241,FW$169,$FN210),SUMPRODUCT(INDEX($FO$325:$IH$396,FW$169,1+SwaptionShift):INDEX($FO$325:$IH$396,FW$169,SwaptionMonthsToGo+SwaptionShift),INDEX($FO$245:$IH$316,$FN210-FW$169,73-FW$169+SwaptionShift):INDEX($FO$245:$IH$316,$FN210-FW$169,72-FW$169+SwaptionMonthsToGo+SwaptionShift))/SQRT(SUM(INDEX($FO365:$IH365,1+SwaptionShift):INDEX($FO365:$IH365,SwaptionMonthsToGo+SwaptionShift))*SUM(INDEX($FO$325:$IH$396,FW$169,1+SwaptionShift):INDEX($FO$325:$IH$396,FW$169,SwaptionMonthsToGo+SwaptionShift))))))</f>
        <v/>
      </c>
      <c r="FX210" s="469" t="str">
        <f ca="1">IF(OR(FX$169&lt;SwaptionFirstMonthPosition+1,$FN210&lt;SwaptionFirstMonthPosition+1,FX$169&gt;SwaptionFirstMonthPosition+SwaptionNumOfMonths+1,$FN210&gt;SwaptionFirstMonthPosition+SwaptionNumOfMonths+1),"",IF($FN210=FX$169,1,IF($FN210&lt;FX$169,INDEX($FO$170:$IH$241,FX$169,$FN210),SUMPRODUCT(INDEX($FO$325:$IH$396,FX$169,1+SwaptionShift):INDEX($FO$325:$IH$396,FX$169,SwaptionMonthsToGo+SwaptionShift),INDEX($FO$245:$IH$316,$FN210-FX$169,73-FX$169+SwaptionShift):INDEX($FO$245:$IH$316,$FN210-FX$169,72-FX$169+SwaptionMonthsToGo+SwaptionShift))/SQRT(SUM(INDEX($FO365:$IH365,1+SwaptionShift):INDEX($FO365:$IH365,SwaptionMonthsToGo+SwaptionShift))*SUM(INDEX($FO$325:$IH$396,FX$169,1+SwaptionShift):INDEX($FO$325:$IH$396,FX$169,SwaptionMonthsToGo+SwaptionShift))))))</f>
        <v/>
      </c>
      <c r="FY210" s="469" t="str">
        <f ca="1">IF(OR(FY$169&lt;SwaptionFirstMonthPosition+1,$FN210&lt;SwaptionFirstMonthPosition+1,FY$169&gt;SwaptionFirstMonthPosition+SwaptionNumOfMonths+1,$FN210&gt;SwaptionFirstMonthPosition+SwaptionNumOfMonths+1),"",IF($FN210=FY$169,1,IF($FN210&lt;FY$169,INDEX($FO$170:$IH$241,FY$169,$FN210),SUMPRODUCT(INDEX($FO$325:$IH$396,FY$169,1+SwaptionShift):INDEX($FO$325:$IH$396,FY$169,SwaptionMonthsToGo+SwaptionShift),INDEX($FO$245:$IH$316,$FN210-FY$169,73-FY$169+SwaptionShift):INDEX($FO$245:$IH$316,$FN210-FY$169,72-FY$169+SwaptionMonthsToGo+SwaptionShift))/SQRT(SUM(INDEX($FO365:$IH365,1+SwaptionShift):INDEX($FO365:$IH365,SwaptionMonthsToGo+SwaptionShift))*SUM(INDEX($FO$325:$IH$396,FY$169,1+SwaptionShift):INDEX($FO$325:$IH$396,FY$169,SwaptionMonthsToGo+SwaptionShift))))))</f>
        <v/>
      </c>
      <c r="FZ210" s="469" t="str">
        <f ca="1">IF(OR(FZ$169&lt;SwaptionFirstMonthPosition+1,$FN210&lt;SwaptionFirstMonthPosition+1,FZ$169&gt;SwaptionFirstMonthPosition+SwaptionNumOfMonths+1,$FN210&gt;SwaptionFirstMonthPosition+SwaptionNumOfMonths+1),"",IF($FN210=FZ$169,1,IF($FN210&lt;FZ$169,INDEX($FO$170:$IH$241,FZ$169,$FN210),SUMPRODUCT(INDEX($FO$325:$IH$396,FZ$169,1+SwaptionShift):INDEX($FO$325:$IH$396,FZ$169,SwaptionMonthsToGo+SwaptionShift),INDEX($FO$245:$IH$316,$FN210-FZ$169,73-FZ$169+SwaptionShift):INDEX($FO$245:$IH$316,$FN210-FZ$169,72-FZ$169+SwaptionMonthsToGo+SwaptionShift))/SQRT(SUM(INDEX($FO365:$IH365,1+SwaptionShift):INDEX($FO365:$IH365,SwaptionMonthsToGo+SwaptionShift))*SUM(INDEX($FO$325:$IH$396,FZ$169,1+SwaptionShift):INDEX($FO$325:$IH$396,FZ$169,SwaptionMonthsToGo+SwaptionShift))))))</f>
        <v/>
      </c>
      <c r="GA210" s="469" t="str">
        <f ca="1">IF(OR(GA$169&lt;SwaptionFirstMonthPosition+1,$FN210&lt;SwaptionFirstMonthPosition+1,GA$169&gt;SwaptionFirstMonthPosition+SwaptionNumOfMonths+1,$FN210&gt;SwaptionFirstMonthPosition+SwaptionNumOfMonths+1),"",IF($FN210=GA$169,1,IF($FN210&lt;GA$169,INDEX($FO$170:$IH$241,GA$169,$FN210),SUMPRODUCT(INDEX($FO$325:$IH$396,GA$169,1+SwaptionShift):INDEX($FO$325:$IH$396,GA$169,SwaptionMonthsToGo+SwaptionShift),INDEX($FO$245:$IH$316,$FN210-GA$169,73-GA$169+SwaptionShift):INDEX($FO$245:$IH$316,$FN210-GA$169,72-GA$169+SwaptionMonthsToGo+SwaptionShift))/SQRT(SUM(INDEX($FO365:$IH365,1+SwaptionShift):INDEX($FO365:$IH365,SwaptionMonthsToGo+SwaptionShift))*SUM(INDEX($FO$325:$IH$396,GA$169,1+SwaptionShift):INDEX($FO$325:$IH$396,GA$169,SwaptionMonthsToGo+SwaptionShift))))))</f>
        <v/>
      </c>
      <c r="GB210" s="469" t="str">
        <f ca="1">IF(OR(GB$169&lt;SwaptionFirstMonthPosition+1,$FN210&lt;SwaptionFirstMonthPosition+1,GB$169&gt;SwaptionFirstMonthPosition+SwaptionNumOfMonths+1,$FN210&gt;SwaptionFirstMonthPosition+SwaptionNumOfMonths+1),"",IF($FN210=GB$169,1,IF($FN210&lt;GB$169,INDEX($FO$170:$IH$241,GB$169,$FN210),SUMPRODUCT(INDEX($FO$325:$IH$396,GB$169,1+SwaptionShift):INDEX($FO$325:$IH$396,GB$169,SwaptionMonthsToGo+SwaptionShift),INDEX($FO$245:$IH$316,$FN210-GB$169,73-GB$169+SwaptionShift):INDEX($FO$245:$IH$316,$FN210-GB$169,72-GB$169+SwaptionMonthsToGo+SwaptionShift))/SQRT(SUM(INDEX($FO365:$IH365,1+SwaptionShift):INDEX($FO365:$IH365,SwaptionMonthsToGo+SwaptionShift))*SUM(INDEX($FO$325:$IH$396,GB$169,1+SwaptionShift):INDEX($FO$325:$IH$396,GB$169,SwaptionMonthsToGo+SwaptionShift))))))</f>
        <v/>
      </c>
      <c r="GC210" s="469" t="str">
        <f ca="1">IF(OR(GC$169&lt;SwaptionFirstMonthPosition+1,$FN210&lt;SwaptionFirstMonthPosition+1,GC$169&gt;SwaptionFirstMonthPosition+SwaptionNumOfMonths+1,$FN210&gt;SwaptionFirstMonthPosition+SwaptionNumOfMonths+1),"",IF($FN210=GC$169,1,IF($FN210&lt;GC$169,INDEX($FO$170:$IH$241,GC$169,$FN210),SUMPRODUCT(INDEX($FO$325:$IH$396,GC$169,1+SwaptionShift):INDEX($FO$325:$IH$396,GC$169,SwaptionMonthsToGo+SwaptionShift),INDEX($FO$245:$IH$316,$FN210-GC$169,73-GC$169+SwaptionShift):INDEX($FO$245:$IH$316,$FN210-GC$169,72-GC$169+SwaptionMonthsToGo+SwaptionShift))/SQRT(SUM(INDEX($FO365:$IH365,1+SwaptionShift):INDEX($FO365:$IH365,SwaptionMonthsToGo+SwaptionShift))*SUM(INDEX($FO$325:$IH$396,GC$169,1+SwaptionShift):INDEX($FO$325:$IH$396,GC$169,SwaptionMonthsToGo+SwaptionShift))))))</f>
        <v/>
      </c>
      <c r="GD210" s="469" t="str">
        <f ca="1">IF(OR(GD$169&lt;SwaptionFirstMonthPosition+1,$FN210&lt;SwaptionFirstMonthPosition+1,GD$169&gt;SwaptionFirstMonthPosition+SwaptionNumOfMonths+1,$FN210&gt;SwaptionFirstMonthPosition+SwaptionNumOfMonths+1),"",IF($FN210=GD$169,1,IF($FN210&lt;GD$169,INDEX($FO$170:$IH$241,GD$169,$FN210),SUMPRODUCT(INDEX($FO$325:$IH$396,GD$169,1+SwaptionShift):INDEX($FO$325:$IH$396,GD$169,SwaptionMonthsToGo+SwaptionShift),INDEX($FO$245:$IH$316,$FN210-GD$169,73-GD$169+SwaptionShift):INDEX($FO$245:$IH$316,$FN210-GD$169,72-GD$169+SwaptionMonthsToGo+SwaptionShift))/SQRT(SUM(INDEX($FO365:$IH365,1+SwaptionShift):INDEX($FO365:$IH365,SwaptionMonthsToGo+SwaptionShift))*SUM(INDEX($FO$325:$IH$396,GD$169,1+SwaptionShift):INDEX($FO$325:$IH$396,GD$169,SwaptionMonthsToGo+SwaptionShift))))))</f>
        <v/>
      </c>
      <c r="GE210" s="469" t="str">
        <f ca="1">IF(OR(GE$169&lt;SwaptionFirstMonthPosition+1,$FN210&lt;SwaptionFirstMonthPosition+1,GE$169&gt;SwaptionFirstMonthPosition+SwaptionNumOfMonths+1,$FN210&gt;SwaptionFirstMonthPosition+SwaptionNumOfMonths+1),"",IF($FN210=GE$169,1,IF($FN210&lt;GE$169,INDEX($FO$170:$IH$241,GE$169,$FN210),SUMPRODUCT(INDEX($FO$325:$IH$396,GE$169,1+SwaptionShift):INDEX($FO$325:$IH$396,GE$169,SwaptionMonthsToGo+SwaptionShift),INDEX($FO$245:$IH$316,$FN210-GE$169,73-GE$169+SwaptionShift):INDEX($FO$245:$IH$316,$FN210-GE$169,72-GE$169+SwaptionMonthsToGo+SwaptionShift))/SQRT(SUM(INDEX($FO365:$IH365,1+SwaptionShift):INDEX($FO365:$IH365,SwaptionMonthsToGo+SwaptionShift))*SUM(INDEX($FO$325:$IH$396,GE$169,1+SwaptionShift):INDEX($FO$325:$IH$396,GE$169,SwaptionMonthsToGo+SwaptionShift))))))</f>
        <v/>
      </c>
      <c r="GF210" s="469" t="str">
        <f ca="1">IF(OR(GF$169&lt;SwaptionFirstMonthPosition+1,$FN210&lt;SwaptionFirstMonthPosition+1,GF$169&gt;SwaptionFirstMonthPosition+SwaptionNumOfMonths+1,$FN210&gt;SwaptionFirstMonthPosition+SwaptionNumOfMonths+1),"",IF($FN210=GF$169,1,IF($FN210&lt;GF$169,INDEX($FO$170:$IH$241,GF$169,$FN210),SUMPRODUCT(INDEX($FO$325:$IH$396,GF$169,1+SwaptionShift):INDEX($FO$325:$IH$396,GF$169,SwaptionMonthsToGo+SwaptionShift),INDEX($FO$245:$IH$316,$FN210-GF$169,73-GF$169+SwaptionShift):INDEX($FO$245:$IH$316,$FN210-GF$169,72-GF$169+SwaptionMonthsToGo+SwaptionShift))/SQRT(SUM(INDEX($FO365:$IH365,1+SwaptionShift):INDEX($FO365:$IH365,SwaptionMonthsToGo+SwaptionShift))*SUM(INDEX($FO$325:$IH$396,GF$169,1+SwaptionShift):INDEX($FO$325:$IH$396,GF$169,SwaptionMonthsToGo+SwaptionShift))))))</f>
        <v/>
      </c>
      <c r="GG210" s="469" t="str">
        <f ca="1">IF(OR(GG$169&lt;SwaptionFirstMonthPosition+1,$FN210&lt;SwaptionFirstMonthPosition+1,GG$169&gt;SwaptionFirstMonthPosition+SwaptionNumOfMonths+1,$FN210&gt;SwaptionFirstMonthPosition+SwaptionNumOfMonths+1),"",IF($FN210=GG$169,1,IF($FN210&lt;GG$169,INDEX($FO$170:$IH$241,GG$169,$FN210),SUMPRODUCT(INDEX($FO$325:$IH$396,GG$169,1+SwaptionShift):INDEX($FO$325:$IH$396,GG$169,SwaptionMonthsToGo+SwaptionShift),INDEX($FO$245:$IH$316,$FN210-GG$169,73-GG$169+SwaptionShift):INDEX($FO$245:$IH$316,$FN210-GG$169,72-GG$169+SwaptionMonthsToGo+SwaptionShift))/SQRT(SUM(INDEX($FO365:$IH365,1+SwaptionShift):INDEX($FO365:$IH365,SwaptionMonthsToGo+SwaptionShift))*SUM(INDEX($FO$325:$IH$396,GG$169,1+SwaptionShift):INDEX($FO$325:$IH$396,GG$169,SwaptionMonthsToGo+SwaptionShift))))))</f>
        <v/>
      </c>
      <c r="GH210" s="469" t="str">
        <f ca="1">IF(OR(GH$169&lt;SwaptionFirstMonthPosition+1,$FN210&lt;SwaptionFirstMonthPosition+1,GH$169&gt;SwaptionFirstMonthPosition+SwaptionNumOfMonths+1,$FN210&gt;SwaptionFirstMonthPosition+SwaptionNumOfMonths+1),"",IF($FN210=GH$169,1,IF($FN210&lt;GH$169,INDEX($FO$170:$IH$241,GH$169,$FN210),SUMPRODUCT(INDEX($FO$325:$IH$396,GH$169,1+SwaptionShift):INDEX($FO$325:$IH$396,GH$169,SwaptionMonthsToGo+SwaptionShift),INDEX($FO$245:$IH$316,$FN210-GH$169,73-GH$169+SwaptionShift):INDEX($FO$245:$IH$316,$FN210-GH$169,72-GH$169+SwaptionMonthsToGo+SwaptionShift))/SQRT(SUM(INDEX($FO365:$IH365,1+SwaptionShift):INDEX($FO365:$IH365,SwaptionMonthsToGo+SwaptionShift))*SUM(INDEX($FO$325:$IH$396,GH$169,1+SwaptionShift):INDEX($FO$325:$IH$396,GH$169,SwaptionMonthsToGo+SwaptionShift))))))</f>
        <v/>
      </c>
      <c r="GI210" s="469" t="str">
        <f ca="1">IF(OR(GI$169&lt;SwaptionFirstMonthPosition+1,$FN210&lt;SwaptionFirstMonthPosition+1,GI$169&gt;SwaptionFirstMonthPosition+SwaptionNumOfMonths+1,$FN210&gt;SwaptionFirstMonthPosition+SwaptionNumOfMonths+1),"",IF($FN210=GI$169,1,IF($FN210&lt;GI$169,INDEX($FO$170:$IH$241,GI$169,$FN210),SUMPRODUCT(INDEX($FO$325:$IH$396,GI$169,1+SwaptionShift):INDEX($FO$325:$IH$396,GI$169,SwaptionMonthsToGo+SwaptionShift),INDEX($FO$245:$IH$316,$FN210-GI$169,73-GI$169+SwaptionShift):INDEX($FO$245:$IH$316,$FN210-GI$169,72-GI$169+SwaptionMonthsToGo+SwaptionShift))/SQRT(SUM(INDEX($FO365:$IH365,1+SwaptionShift):INDEX($FO365:$IH365,SwaptionMonthsToGo+SwaptionShift))*SUM(INDEX($FO$325:$IH$396,GI$169,1+SwaptionShift):INDEX($FO$325:$IH$396,GI$169,SwaptionMonthsToGo+SwaptionShift))))))</f>
        <v/>
      </c>
      <c r="GJ210" s="469" t="str">
        <f ca="1">IF(OR(GJ$169&lt;SwaptionFirstMonthPosition+1,$FN210&lt;SwaptionFirstMonthPosition+1,GJ$169&gt;SwaptionFirstMonthPosition+SwaptionNumOfMonths+1,$FN210&gt;SwaptionFirstMonthPosition+SwaptionNumOfMonths+1),"",IF($FN210=GJ$169,1,IF($FN210&lt;GJ$169,INDEX($FO$170:$IH$241,GJ$169,$FN210),SUMPRODUCT(INDEX($FO$325:$IH$396,GJ$169,1+SwaptionShift):INDEX($FO$325:$IH$396,GJ$169,SwaptionMonthsToGo+SwaptionShift),INDEX($FO$245:$IH$316,$FN210-GJ$169,73-GJ$169+SwaptionShift):INDEX($FO$245:$IH$316,$FN210-GJ$169,72-GJ$169+SwaptionMonthsToGo+SwaptionShift))/SQRT(SUM(INDEX($FO365:$IH365,1+SwaptionShift):INDEX($FO365:$IH365,SwaptionMonthsToGo+SwaptionShift))*SUM(INDEX($FO$325:$IH$396,GJ$169,1+SwaptionShift):INDEX($FO$325:$IH$396,GJ$169,SwaptionMonthsToGo+SwaptionShift))))))</f>
        <v/>
      </c>
      <c r="GK210" s="469" t="str">
        <f ca="1">IF(OR(GK$169&lt;SwaptionFirstMonthPosition+1,$FN210&lt;SwaptionFirstMonthPosition+1,GK$169&gt;SwaptionFirstMonthPosition+SwaptionNumOfMonths+1,$FN210&gt;SwaptionFirstMonthPosition+SwaptionNumOfMonths+1),"",IF($FN210=GK$169,1,IF($FN210&lt;GK$169,INDEX($FO$170:$IH$241,GK$169,$FN210),SUMPRODUCT(INDEX($FO$325:$IH$396,GK$169,1+SwaptionShift):INDEX($FO$325:$IH$396,GK$169,SwaptionMonthsToGo+SwaptionShift),INDEX($FO$245:$IH$316,$FN210-GK$169,73-GK$169+SwaptionShift):INDEX($FO$245:$IH$316,$FN210-GK$169,72-GK$169+SwaptionMonthsToGo+SwaptionShift))/SQRT(SUM(INDEX($FO365:$IH365,1+SwaptionShift):INDEX($FO365:$IH365,SwaptionMonthsToGo+SwaptionShift))*SUM(INDEX($FO$325:$IH$396,GK$169,1+SwaptionShift):INDEX($FO$325:$IH$396,GK$169,SwaptionMonthsToGo+SwaptionShift))))))</f>
        <v/>
      </c>
      <c r="GL210" s="469" t="str">
        <f ca="1">IF(OR(GL$169&lt;SwaptionFirstMonthPosition+1,$FN210&lt;SwaptionFirstMonthPosition+1,GL$169&gt;SwaptionFirstMonthPosition+SwaptionNumOfMonths+1,$FN210&gt;SwaptionFirstMonthPosition+SwaptionNumOfMonths+1),"",IF($FN210=GL$169,1,IF($FN210&lt;GL$169,INDEX($FO$170:$IH$241,GL$169,$FN210),SUMPRODUCT(INDEX($FO$325:$IH$396,GL$169,1+SwaptionShift):INDEX($FO$325:$IH$396,GL$169,SwaptionMonthsToGo+SwaptionShift),INDEX($FO$245:$IH$316,$FN210-GL$169,73-GL$169+SwaptionShift):INDEX($FO$245:$IH$316,$FN210-GL$169,72-GL$169+SwaptionMonthsToGo+SwaptionShift))/SQRT(SUM(INDEX($FO365:$IH365,1+SwaptionShift):INDEX($FO365:$IH365,SwaptionMonthsToGo+SwaptionShift))*SUM(INDEX($FO$325:$IH$396,GL$169,1+SwaptionShift):INDEX($FO$325:$IH$396,GL$169,SwaptionMonthsToGo+SwaptionShift))))))</f>
        <v/>
      </c>
      <c r="GM210" s="469" t="str">
        <f ca="1">IF(OR(GM$169&lt;SwaptionFirstMonthPosition+1,$FN210&lt;SwaptionFirstMonthPosition+1,GM$169&gt;SwaptionFirstMonthPosition+SwaptionNumOfMonths+1,$FN210&gt;SwaptionFirstMonthPosition+SwaptionNumOfMonths+1),"",IF($FN210=GM$169,1,IF($FN210&lt;GM$169,INDEX($FO$170:$IH$241,GM$169,$FN210),SUMPRODUCT(INDEX($FO$325:$IH$396,GM$169,1+SwaptionShift):INDEX($FO$325:$IH$396,GM$169,SwaptionMonthsToGo+SwaptionShift),INDEX($FO$245:$IH$316,$FN210-GM$169,73-GM$169+SwaptionShift):INDEX($FO$245:$IH$316,$FN210-GM$169,72-GM$169+SwaptionMonthsToGo+SwaptionShift))/SQRT(SUM(INDEX($FO365:$IH365,1+SwaptionShift):INDEX($FO365:$IH365,SwaptionMonthsToGo+SwaptionShift))*SUM(INDEX($FO$325:$IH$396,GM$169,1+SwaptionShift):INDEX($FO$325:$IH$396,GM$169,SwaptionMonthsToGo+SwaptionShift))))))</f>
        <v/>
      </c>
      <c r="GN210" s="469" t="str">
        <f ca="1">IF(OR(GN$169&lt;SwaptionFirstMonthPosition+1,$FN210&lt;SwaptionFirstMonthPosition+1,GN$169&gt;SwaptionFirstMonthPosition+SwaptionNumOfMonths+1,$FN210&gt;SwaptionFirstMonthPosition+SwaptionNumOfMonths+1),"",IF($FN210=GN$169,1,IF($FN210&lt;GN$169,INDEX($FO$170:$IH$241,GN$169,$FN210),SUMPRODUCT(INDEX($FO$325:$IH$396,GN$169,1+SwaptionShift):INDEX($FO$325:$IH$396,GN$169,SwaptionMonthsToGo+SwaptionShift),INDEX($FO$245:$IH$316,$FN210-GN$169,73-GN$169+SwaptionShift):INDEX($FO$245:$IH$316,$FN210-GN$169,72-GN$169+SwaptionMonthsToGo+SwaptionShift))/SQRT(SUM(INDEX($FO365:$IH365,1+SwaptionShift):INDEX($FO365:$IH365,SwaptionMonthsToGo+SwaptionShift))*SUM(INDEX($FO$325:$IH$396,GN$169,1+SwaptionShift):INDEX($FO$325:$IH$396,GN$169,SwaptionMonthsToGo+SwaptionShift))))))</f>
        <v/>
      </c>
      <c r="GO210" s="469" t="str">
        <f ca="1">IF(OR(GO$169&lt;SwaptionFirstMonthPosition+1,$FN210&lt;SwaptionFirstMonthPosition+1,GO$169&gt;SwaptionFirstMonthPosition+SwaptionNumOfMonths+1,$FN210&gt;SwaptionFirstMonthPosition+SwaptionNumOfMonths+1),"",IF($FN210=GO$169,1,IF($FN210&lt;GO$169,INDEX($FO$170:$IH$241,GO$169,$FN210),SUMPRODUCT(INDEX($FO$325:$IH$396,GO$169,1+SwaptionShift):INDEX($FO$325:$IH$396,GO$169,SwaptionMonthsToGo+SwaptionShift),INDEX($FO$245:$IH$316,$FN210-GO$169,73-GO$169+SwaptionShift):INDEX($FO$245:$IH$316,$FN210-GO$169,72-GO$169+SwaptionMonthsToGo+SwaptionShift))/SQRT(SUM(INDEX($FO365:$IH365,1+SwaptionShift):INDEX($FO365:$IH365,SwaptionMonthsToGo+SwaptionShift))*SUM(INDEX($FO$325:$IH$396,GO$169,1+SwaptionShift):INDEX($FO$325:$IH$396,GO$169,SwaptionMonthsToGo+SwaptionShift))))))</f>
        <v/>
      </c>
      <c r="GP210" s="469" t="str">
        <f ca="1">IF(OR(GP$169&lt;SwaptionFirstMonthPosition+1,$FN210&lt;SwaptionFirstMonthPosition+1,GP$169&gt;SwaptionFirstMonthPosition+SwaptionNumOfMonths+1,$FN210&gt;SwaptionFirstMonthPosition+SwaptionNumOfMonths+1),"",IF($FN210=GP$169,1,IF($FN210&lt;GP$169,INDEX($FO$170:$IH$241,GP$169,$FN210),SUMPRODUCT(INDEX($FO$325:$IH$396,GP$169,1+SwaptionShift):INDEX($FO$325:$IH$396,GP$169,SwaptionMonthsToGo+SwaptionShift),INDEX($FO$245:$IH$316,$FN210-GP$169,73-GP$169+SwaptionShift):INDEX($FO$245:$IH$316,$FN210-GP$169,72-GP$169+SwaptionMonthsToGo+SwaptionShift))/SQRT(SUM(INDEX($FO365:$IH365,1+SwaptionShift):INDEX($FO365:$IH365,SwaptionMonthsToGo+SwaptionShift))*SUM(INDEX($FO$325:$IH$396,GP$169,1+SwaptionShift):INDEX($FO$325:$IH$396,GP$169,SwaptionMonthsToGo+SwaptionShift))))))</f>
        <v/>
      </c>
      <c r="GQ210" s="469" t="str">
        <f ca="1">IF(OR(GQ$169&lt;SwaptionFirstMonthPosition+1,$FN210&lt;SwaptionFirstMonthPosition+1,GQ$169&gt;SwaptionFirstMonthPosition+SwaptionNumOfMonths+1,$FN210&gt;SwaptionFirstMonthPosition+SwaptionNumOfMonths+1),"",IF($FN210=GQ$169,1,IF($FN210&lt;GQ$169,INDEX($FO$170:$IH$241,GQ$169,$FN210),SUMPRODUCT(INDEX($FO$325:$IH$396,GQ$169,1+SwaptionShift):INDEX($FO$325:$IH$396,GQ$169,SwaptionMonthsToGo+SwaptionShift),INDEX($FO$245:$IH$316,$FN210-GQ$169,73-GQ$169+SwaptionShift):INDEX($FO$245:$IH$316,$FN210-GQ$169,72-GQ$169+SwaptionMonthsToGo+SwaptionShift))/SQRT(SUM(INDEX($FO365:$IH365,1+SwaptionShift):INDEX($FO365:$IH365,SwaptionMonthsToGo+SwaptionShift))*SUM(INDEX($FO$325:$IH$396,GQ$169,1+SwaptionShift):INDEX($FO$325:$IH$396,GQ$169,SwaptionMonthsToGo+SwaptionShift))))))</f>
        <v/>
      </c>
      <c r="GR210" s="469" t="str">
        <f ca="1">IF(OR(GR$169&lt;SwaptionFirstMonthPosition+1,$FN210&lt;SwaptionFirstMonthPosition+1,GR$169&gt;SwaptionFirstMonthPosition+SwaptionNumOfMonths+1,$FN210&gt;SwaptionFirstMonthPosition+SwaptionNumOfMonths+1),"",IF($FN210=GR$169,1,IF($FN210&lt;GR$169,INDEX($FO$170:$IH$241,GR$169,$FN210),SUMPRODUCT(INDEX($FO$325:$IH$396,GR$169,1+SwaptionShift):INDEX($FO$325:$IH$396,GR$169,SwaptionMonthsToGo+SwaptionShift),INDEX($FO$245:$IH$316,$FN210-GR$169,73-GR$169+SwaptionShift):INDEX($FO$245:$IH$316,$FN210-GR$169,72-GR$169+SwaptionMonthsToGo+SwaptionShift))/SQRT(SUM(INDEX($FO365:$IH365,1+SwaptionShift):INDEX($FO365:$IH365,SwaptionMonthsToGo+SwaptionShift))*SUM(INDEX($FO$325:$IH$396,GR$169,1+SwaptionShift):INDEX($FO$325:$IH$396,GR$169,SwaptionMonthsToGo+SwaptionShift))))))</f>
        <v/>
      </c>
      <c r="GS210" s="469" t="str">
        <f ca="1">IF(OR(GS$169&lt;SwaptionFirstMonthPosition+1,$FN210&lt;SwaptionFirstMonthPosition+1,GS$169&gt;SwaptionFirstMonthPosition+SwaptionNumOfMonths+1,$FN210&gt;SwaptionFirstMonthPosition+SwaptionNumOfMonths+1),"",IF($FN210=GS$169,1,IF($FN210&lt;GS$169,INDEX($FO$170:$IH$241,GS$169,$FN210),SUMPRODUCT(INDEX($FO$325:$IH$396,GS$169,1+SwaptionShift):INDEX($FO$325:$IH$396,GS$169,SwaptionMonthsToGo+SwaptionShift),INDEX($FO$245:$IH$316,$FN210-GS$169,73-GS$169+SwaptionShift):INDEX($FO$245:$IH$316,$FN210-GS$169,72-GS$169+SwaptionMonthsToGo+SwaptionShift))/SQRT(SUM(INDEX($FO365:$IH365,1+SwaptionShift):INDEX($FO365:$IH365,SwaptionMonthsToGo+SwaptionShift))*SUM(INDEX($FO$325:$IH$396,GS$169,1+SwaptionShift):INDEX($FO$325:$IH$396,GS$169,SwaptionMonthsToGo+SwaptionShift))))))</f>
        <v/>
      </c>
      <c r="GT210" s="469" t="str">
        <f ca="1">IF(OR(GT$169&lt;SwaptionFirstMonthPosition+1,$FN210&lt;SwaptionFirstMonthPosition+1,GT$169&gt;SwaptionFirstMonthPosition+SwaptionNumOfMonths+1,$FN210&gt;SwaptionFirstMonthPosition+SwaptionNumOfMonths+1),"",IF($FN210=GT$169,1,IF($FN210&lt;GT$169,INDEX($FO$170:$IH$241,GT$169,$FN210),SUMPRODUCT(INDEX($FO$325:$IH$396,GT$169,1+SwaptionShift):INDEX($FO$325:$IH$396,GT$169,SwaptionMonthsToGo+SwaptionShift),INDEX($FO$245:$IH$316,$FN210-GT$169,73-GT$169+SwaptionShift):INDEX($FO$245:$IH$316,$FN210-GT$169,72-GT$169+SwaptionMonthsToGo+SwaptionShift))/SQRT(SUM(INDEX($FO365:$IH365,1+SwaptionShift):INDEX($FO365:$IH365,SwaptionMonthsToGo+SwaptionShift))*SUM(INDEX($FO$325:$IH$396,GT$169,1+SwaptionShift):INDEX($FO$325:$IH$396,GT$169,SwaptionMonthsToGo+SwaptionShift))))))</f>
        <v/>
      </c>
      <c r="GU210" s="469" t="str">
        <f ca="1">IF(OR(GU$169&lt;SwaptionFirstMonthPosition+1,$FN210&lt;SwaptionFirstMonthPosition+1,GU$169&gt;SwaptionFirstMonthPosition+SwaptionNumOfMonths+1,$FN210&gt;SwaptionFirstMonthPosition+SwaptionNumOfMonths+1),"",IF($FN210=GU$169,1,IF($FN210&lt;GU$169,INDEX($FO$170:$IH$241,GU$169,$FN210),SUMPRODUCT(INDEX($FO$325:$IH$396,GU$169,1+SwaptionShift):INDEX($FO$325:$IH$396,GU$169,SwaptionMonthsToGo+SwaptionShift),INDEX($FO$245:$IH$316,$FN210-GU$169,73-GU$169+SwaptionShift):INDEX($FO$245:$IH$316,$FN210-GU$169,72-GU$169+SwaptionMonthsToGo+SwaptionShift))/SQRT(SUM(INDEX($FO365:$IH365,1+SwaptionShift):INDEX($FO365:$IH365,SwaptionMonthsToGo+SwaptionShift))*SUM(INDEX($FO$325:$IH$396,GU$169,1+SwaptionShift):INDEX($FO$325:$IH$396,GU$169,SwaptionMonthsToGo+SwaptionShift))))))</f>
        <v/>
      </c>
      <c r="GV210" s="469" t="str">
        <f ca="1">IF(OR(GV$169&lt;SwaptionFirstMonthPosition+1,$FN210&lt;SwaptionFirstMonthPosition+1,GV$169&gt;SwaptionFirstMonthPosition+SwaptionNumOfMonths+1,$FN210&gt;SwaptionFirstMonthPosition+SwaptionNumOfMonths+1),"",IF($FN210=GV$169,1,IF($FN210&lt;GV$169,INDEX($FO$170:$IH$241,GV$169,$FN210),SUMPRODUCT(INDEX($FO$325:$IH$396,GV$169,1+SwaptionShift):INDEX($FO$325:$IH$396,GV$169,SwaptionMonthsToGo+SwaptionShift),INDEX($FO$245:$IH$316,$FN210-GV$169,73-GV$169+SwaptionShift):INDEX($FO$245:$IH$316,$FN210-GV$169,72-GV$169+SwaptionMonthsToGo+SwaptionShift))/SQRT(SUM(INDEX($FO365:$IH365,1+SwaptionShift):INDEX($FO365:$IH365,SwaptionMonthsToGo+SwaptionShift))*SUM(INDEX($FO$325:$IH$396,GV$169,1+SwaptionShift):INDEX($FO$325:$IH$396,GV$169,SwaptionMonthsToGo+SwaptionShift))))))</f>
        <v/>
      </c>
      <c r="GW210" s="469" t="str">
        <f ca="1">IF(OR(GW$169&lt;SwaptionFirstMonthPosition+1,$FN210&lt;SwaptionFirstMonthPosition+1,GW$169&gt;SwaptionFirstMonthPosition+SwaptionNumOfMonths+1,$FN210&gt;SwaptionFirstMonthPosition+SwaptionNumOfMonths+1),"",IF($FN210=GW$169,1,IF($FN210&lt;GW$169,INDEX($FO$170:$IH$241,GW$169,$FN210),SUMPRODUCT(INDEX($FO$325:$IH$396,GW$169,1+SwaptionShift):INDEX($FO$325:$IH$396,GW$169,SwaptionMonthsToGo+SwaptionShift),INDEX($FO$245:$IH$316,$FN210-GW$169,73-GW$169+SwaptionShift):INDEX($FO$245:$IH$316,$FN210-GW$169,72-GW$169+SwaptionMonthsToGo+SwaptionShift))/SQRT(SUM(INDEX($FO365:$IH365,1+SwaptionShift):INDEX($FO365:$IH365,SwaptionMonthsToGo+SwaptionShift))*SUM(INDEX($FO$325:$IH$396,GW$169,1+SwaptionShift):INDEX($FO$325:$IH$396,GW$169,SwaptionMonthsToGo+SwaptionShift))))))</f>
        <v/>
      </c>
      <c r="GX210" s="469" t="str">
        <f ca="1">IF(OR(GX$169&lt;SwaptionFirstMonthPosition+1,$FN210&lt;SwaptionFirstMonthPosition+1,GX$169&gt;SwaptionFirstMonthPosition+SwaptionNumOfMonths+1,$FN210&gt;SwaptionFirstMonthPosition+SwaptionNumOfMonths+1),"",IF($FN210=GX$169,1,IF($FN210&lt;GX$169,INDEX($FO$170:$IH$241,GX$169,$FN210),SUMPRODUCT(INDEX($FO$325:$IH$396,GX$169,1+SwaptionShift):INDEX($FO$325:$IH$396,GX$169,SwaptionMonthsToGo+SwaptionShift),INDEX($FO$245:$IH$316,$FN210-GX$169,73-GX$169+SwaptionShift):INDEX($FO$245:$IH$316,$FN210-GX$169,72-GX$169+SwaptionMonthsToGo+SwaptionShift))/SQRT(SUM(INDEX($FO365:$IH365,1+SwaptionShift):INDEX($FO365:$IH365,SwaptionMonthsToGo+SwaptionShift))*SUM(INDEX($FO$325:$IH$396,GX$169,1+SwaptionShift):INDEX($FO$325:$IH$396,GX$169,SwaptionMonthsToGo+SwaptionShift))))))</f>
        <v/>
      </c>
      <c r="GY210" s="469" t="str">
        <f ca="1">IF(OR(GY$169&lt;SwaptionFirstMonthPosition+1,$FN210&lt;SwaptionFirstMonthPosition+1,GY$169&gt;SwaptionFirstMonthPosition+SwaptionNumOfMonths+1,$FN210&gt;SwaptionFirstMonthPosition+SwaptionNumOfMonths+1),"",IF($FN210=GY$169,1,IF($FN210&lt;GY$169,INDEX($FO$170:$IH$241,GY$169,$FN210),SUMPRODUCT(INDEX($FO$325:$IH$396,GY$169,1+SwaptionShift):INDEX($FO$325:$IH$396,GY$169,SwaptionMonthsToGo+SwaptionShift),INDEX($FO$245:$IH$316,$FN210-GY$169,73-GY$169+SwaptionShift):INDEX($FO$245:$IH$316,$FN210-GY$169,72-GY$169+SwaptionMonthsToGo+SwaptionShift))/SQRT(SUM(INDEX($FO365:$IH365,1+SwaptionShift):INDEX($FO365:$IH365,SwaptionMonthsToGo+SwaptionShift))*SUM(INDEX($FO$325:$IH$396,GY$169,1+SwaptionShift):INDEX($FO$325:$IH$396,GY$169,SwaptionMonthsToGo+SwaptionShift))))))</f>
        <v/>
      </c>
      <c r="GZ210" s="469" t="str">
        <f ca="1">IF(OR(GZ$169&lt;SwaptionFirstMonthPosition+1,$FN210&lt;SwaptionFirstMonthPosition+1,GZ$169&gt;SwaptionFirstMonthPosition+SwaptionNumOfMonths+1,$FN210&gt;SwaptionFirstMonthPosition+SwaptionNumOfMonths+1),"",IF($FN210=GZ$169,1,IF($FN210&lt;GZ$169,INDEX($FO$170:$IH$241,GZ$169,$FN210),SUMPRODUCT(INDEX($FO$325:$IH$396,GZ$169,1+SwaptionShift):INDEX($FO$325:$IH$396,GZ$169,SwaptionMonthsToGo+SwaptionShift),INDEX($FO$245:$IH$316,$FN210-GZ$169,73-GZ$169+SwaptionShift):INDEX($FO$245:$IH$316,$FN210-GZ$169,72-GZ$169+SwaptionMonthsToGo+SwaptionShift))/SQRT(SUM(INDEX($FO365:$IH365,1+SwaptionShift):INDEX($FO365:$IH365,SwaptionMonthsToGo+SwaptionShift))*SUM(INDEX($FO$325:$IH$396,GZ$169,1+SwaptionShift):INDEX($FO$325:$IH$396,GZ$169,SwaptionMonthsToGo+SwaptionShift))))))</f>
        <v/>
      </c>
      <c r="HA210" s="469" t="str">
        <f ca="1">IF(OR(HA$169&lt;SwaptionFirstMonthPosition+1,$FN210&lt;SwaptionFirstMonthPosition+1,HA$169&gt;SwaptionFirstMonthPosition+SwaptionNumOfMonths+1,$FN210&gt;SwaptionFirstMonthPosition+SwaptionNumOfMonths+1),"",IF($FN210=HA$169,1,IF($FN210&lt;HA$169,INDEX($FO$170:$IH$241,HA$169,$FN210),SUMPRODUCT(INDEX($FO$325:$IH$396,HA$169,1+SwaptionShift):INDEX($FO$325:$IH$396,HA$169,SwaptionMonthsToGo+SwaptionShift),INDEX($FO$245:$IH$316,$FN210-HA$169,73-HA$169+SwaptionShift):INDEX($FO$245:$IH$316,$FN210-HA$169,72-HA$169+SwaptionMonthsToGo+SwaptionShift))/SQRT(SUM(INDEX($FO365:$IH365,1+SwaptionShift):INDEX($FO365:$IH365,SwaptionMonthsToGo+SwaptionShift))*SUM(INDEX($FO$325:$IH$396,HA$169,1+SwaptionShift):INDEX($FO$325:$IH$396,HA$169,SwaptionMonthsToGo+SwaptionShift))))))</f>
        <v/>
      </c>
      <c r="HB210" s="469" t="str">
        <f ca="1">IF(OR(HB$169&lt;SwaptionFirstMonthPosition+1,$FN210&lt;SwaptionFirstMonthPosition+1,HB$169&gt;SwaptionFirstMonthPosition+SwaptionNumOfMonths+1,$FN210&gt;SwaptionFirstMonthPosition+SwaptionNumOfMonths+1),"",IF($FN210=HB$169,1,IF($FN210&lt;HB$169,INDEX($FO$170:$IH$241,HB$169,$FN210),SUMPRODUCT(INDEX($FO$325:$IH$396,HB$169,1+SwaptionShift):INDEX($FO$325:$IH$396,HB$169,SwaptionMonthsToGo+SwaptionShift),INDEX($FO$245:$IH$316,$FN210-HB$169,73-HB$169+SwaptionShift):INDEX($FO$245:$IH$316,$FN210-HB$169,72-HB$169+SwaptionMonthsToGo+SwaptionShift))/SQRT(SUM(INDEX($FO365:$IH365,1+SwaptionShift):INDEX($FO365:$IH365,SwaptionMonthsToGo+SwaptionShift))*SUM(INDEX($FO$325:$IH$396,HB$169,1+SwaptionShift):INDEX($FO$325:$IH$396,HB$169,SwaptionMonthsToGo+SwaptionShift))))))</f>
        <v/>
      </c>
      <c r="HC210" s="469" t="str">
        <f ca="1">IF(OR(HC$169&lt;SwaptionFirstMonthPosition+1,$FN210&lt;SwaptionFirstMonthPosition+1,HC$169&gt;SwaptionFirstMonthPosition+SwaptionNumOfMonths+1,$FN210&gt;SwaptionFirstMonthPosition+SwaptionNumOfMonths+1),"",IF($FN210=HC$169,1,IF($FN210&lt;HC$169,INDEX($FO$170:$IH$241,HC$169,$FN210),SUMPRODUCT(INDEX($FO$325:$IH$396,HC$169,1+SwaptionShift):INDEX($FO$325:$IH$396,HC$169,SwaptionMonthsToGo+SwaptionShift),INDEX($FO$245:$IH$316,$FN210-HC$169,73-HC$169+SwaptionShift):INDEX($FO$245:$IH$316,$FN210-HC$169,72-HC$169+SwaptionMonthsToGo+SwaptionShift))/SQRT(SUM(INDEX($FO365:$IH365,1+SwaptionShift):INDEX($FO365:$IH365,SwaptionMonthsToGo+SwaptionShift))*SUM(INDEX($FO$325:$IH$396,HC$169,1+SwaptionShift):INDEX($FO$325:$IH$396,HC$169,SwaptionMonthsToGo+SwaptionShift))))))</f>
        <v/>
      </c>
      <c r="HD210" s="469" t="str">
        <f ca="1">IF(OR(HD$169&lt;SwaptionFirstMonthPosition+1,$FN210&lt;SwaptionFirstMonthPosition+1,HD$169&gt;SwaptionFirstMonthPosition+SwaptionNumOfMonths+1,$FN210&gt;SwaptionFirstMonthPosition+SwaptionNumOfMonths+1),"",IF($FN210=HD$169,1,IF($FN210&lt;HD$169,INDEX($FO$170:$IH$241,HD$169,$FN210),SUMPRODUCT(INDEX($FO$325:$IH$396,HD$169,1+SwaptionShift):INDEX($FO$325:$IH$396,HD$169,SwaptionMonthsToGo+SwaptionShift),INDEX($FO$245:$IH$316,$FN210-HD$169,73-HD$169+SwaptionShift):INDEX($FO$245:$IH$316,$FN210-HD$169,72-HD$169+SwaptionMonthsToGo+SwaptionShift))/SQRT(SUM(INDEX($FO365:$IH365,1+SwaptionShift):INDEX($FO365:$IH365,SwaptionMonthsToGo+SwaptionShift))*SUM(INDEX($FO$325:$IH$396,HD$169,1+SwaptionShift):INDEX($FO$325:$IH$396,HD$169,SwaptionMonthsToGo+SwaptionShift))))))</f>
        <v/>
      </c>
      <c r="HE210" s="469" t="str">
        <f ca="1">IF(OR(HE$169&lt;SwaptionFirstMonthPosition+1,$FN210&lt;SwaptionFirstMonthPosition+1,HE$169&gt;SwaptionFirstMonthPosition+SwaptionNumOfMonths+1,$FN210&gt;SwaptionFirstMonthPosition+SwaptionNumOfMonths+1),"",IF($FN210=HE$169,1,IF($FN210&lt;HE$169,INDEX($FO$170:$IH$241,HE$169,$FN210),SUMPRODUCT(INDEX($FO$325:$IH$396,HE$169,1+SwaptionShift):INDEX($FO$325:$IH$396,HE$169,SwaptionMonthsToGo+SwaptionShift),INDEX($FO$245:$IH$316,$FN210-HE$169,73-HE$169+SwaptionShift):INDEX($FO$245:$IH$316,$FN210-HE$169,72-HE$169+SwaptionMonthsToGo+SwaptionShift))/SQRT(SUM(INDEX($FO365:$IH365,1+SwaptionShift):INDEX($FO365:$IH365,SwaptionMonthsToGo+SwaptionShift))*SUM(INDEX($FO$325:$IH$396,HE$169,1+SwaptionShift):INDEX($FO$325:$IH$396,HE$169,SwaptionMonthsToGo+SwaptionShift))))))</f>
        <v/>
      </c>
      <c r="HF210" s="469" t="str">
        <f ca="1">IF(OR(HF$169&lt;SwaptionFirstMonthPosition+1,$FN210&lt;SwaptionFirstMonthPosition+1,HF$169&gt;SwaptionFirstMonthPosition+SwaptionNumOfMonths+1,$FN210&gt;SwaptionFirstMonthPosition+SwaptionNumOfMonths+1),"",IF($FN210=HF$169,1,IF($FN210&lt;HF$169,INDEX($FO$170:$IH$241,HF$169,$FN210),SUMPRODUCT(INDEX($FO$325:$IH$396,HF$169,1+SwaptionShift):INDEX($FO$325:$IH$396,HF$169,SwaptionMonthsToGo+SwaptionShift),INDEX($FO$245:$IH$316,$FN210-HF$169,73-HF$169+SwaptionShift):INDEX($FO$245:$IH$316,$FN210-HF$169,72-HF$169+SwaptionMonthsToGo+SwaptionShift))/SQRT(SUM(INDEX($FO365:$IH365,1+SwaptionShift):INDEX($FO365:$IH365,SwaptionMonthsToGo+SwaptionShift))*SUM(INDEX($FO$325:$IH$396,HF$169,1+SwaptionShift):INDEX($FO$325:$IH$396,HF$169,SwaptionMonthsToGo+SwaptionShift))))))</f>
        <v/>
      </c>
      <c r="HG210" s="469" t="str">
        <f ca="1">IF(OR(HG$169&lt;SwaptionFirstMonthPosition+1,$FN210&lt;SwaptionFirstMonthPosition+1,HG$169&gt;SwaptionFirstMonthPosition+SwaptionNumOfMonths+1,$FN210&gt;SwaptionFirstMonthPosition+SwaptionNumOfMonths+1),"",IF($FN210=HG$169,1,IF($FN210&lt;HG$169,INDEX($FO$170:$IH$241,HG$169,$FN210),SUMPRODUCT(INDEX($FO$325:$IH$396,HG$169,1+SwaptionShift):INDEX($FO$325:$IH$396,HG$169,SwaptionMonthsToGo+SwaptionShift),INDEX($FO$245:$IH$316,$FN210-HG$169,73-HG$169+SwaptionShift):INDEX($FO$245:$IH$316,$FN210-HG$169,72-HG$169+SwaptionMonthsToGo+SwaptionShift))/SQRT(SUM(INDEX($FO365:$IH365,1+SwaptionShift):INDEX($FO365:$IH365,SwaptionMonthsToGo+SwaptionShift))*SUM(INDEX($FO$325:$IH$396,HG$169,1+SwaptionShift):INDEX($FO$325:$IH$396,HG$169,SwaptionMonthsToGo+SwaptionShift))))))</f>
        <v/>
      </c>
      <c r="HH210" s="469" t="str">
        <f ca="1">IF(OR(HH$169&lt;SwaptionFirstMonthPosition+1,$FN210&lt;SwaptionFirstMonthPosition+1,HH$169&gt;SwaptionFirstMonthPosition+SwaptionNumOfMonths+1,$FN210&gt;SwaptionFirstMonthPosition+SwaptionNumOfMonths+1),"",IF($FN210=HH$169,1,IF($FN210&lt;HH$169,INDEX($FO$170:$IH$241,HH$169,$FN210),SUMPRODUCT(INDEX($FO$325:$IH$396,HH$169,1+SwaptionShift):INDEX($FO$325:$IH$396,HH$169,SwaptionMonthsToGo+SwaptionShift),INDEX($FO$245:$IH$316,$FN210-HH$169,73-HH$169+SwaptionShift):INDEX($FO$245:$IH$316,$FN210-HH$169,72-HH$169+SwaptionMonthsToGo+SwaptionShift))/SQRT(SUM(INDEX($FO365:$IH365,1+SwaptionShift):INDEX($FO365:$IH365,SwaptionMonthsToGo+SwaptionShift))*SUM(INDEX($FO$325:$IH$396,HH$169,1+SwaptionShift):INDEX($FO$325:$IH$396,HH$169,SwaptionMonthsToGo+SwaptionShift))))))</f>
        <v/>
      </c>
      <c r="HI210" s="469" t="str">
        <f ca="1">IF(OR(HI$169&lt;SwaptionFirstMonthPosition+1,$FN210&lt;SwaptionFirstMonthPosition+1,HI$169&gt;SwaptionFirstMonthPosition+SwaptionNumOfMonths+1,$FN210&gt;SwaptionFirstMonthPosition+SwaptionNumOfMonths+1),"",IF($FN210=HI$169,1,IF($FN210&lt;HI$169,INDEX($FO$170:$IH$241,HI$169,$FN210),SUMPRODUCT(INDEX($FO$325:$IH$396,HI$169,1+SwaptionShift):INDEX($FO$325:$IH$396,HI$169,SwaptionMonthsToGo+SwaptionShift),INDEX($FO$245:$IH$316,$FN210-HI$169,73-HI$169+SwaptionShift):INDEX($FO$245:$IH$316,$FN210-HI$169,72-HI$169+SwaptionMonthsToGo+SwaptionShift))/SQRT(SUM(INDEX($FO365:$IH365,1+SwaptionShift):INDEX($FO365:$IH365,SwaptionMonthsToGo+SwaptionShift))*SUM(INDEX($FO$325:$IH$396,HI$169,1+SwaptionShift):INDEX($FO$325:$IH$396,HI$169,SwaptionMonthsToGo+SwaptionShift))))))</f>
        <v/>
      </c>
      <c r="HJ210" s="469" t="str">
        <f ca="1">IF(OR(HJ$169&lt;SwaptionFirstMonthPosition+1,$FN210&lt;SwaptionFirstMonthPosition+1,HJ$169&gt;SwaptionFirstMonthPosition+SwaptionNumOfMonths+1,$FN210&gt;SwaptionFirstMonthPosition+SwaptionNumOfMonths+1),"",IF($FN210=HJ$169,1,IF($FN210&lt;HJ$169,INDEX($FO$170:$IH$241,HJ$169,$FN210),SUMPRODUCT(INDEX($FO$325:$IH$396,HJ$169,1+SwaptionShift):INDEX($FO$325:$IH$396,HJ$169,SwaptionMonthsToGo+SwaptionShift),INDEX($FO$245:$IH$316,$FN210-HJ$169,73-HJ$169+SwaptionShift):INDEX($FO$245:$IH$316,$FN210-HJ$169,72-HJ$169+SwaptionMonthsToGo+SwaptionShift))/SQRT(SUM(INDEX($FO365:$IH365,1+SwaptionShift):INDEX($FO365:$IH365,SwaptionMonthsToGo+SwaptionShift))*SUM(INDEX($FO$325:$IH$396,HJ$169,1+SwaptionShift):INDEX($FO$325:$IH$396,HJ$169,SwaptionMonthsToGo+SwaptionShift))))))</f>
        <v/>
      </c>
      <c r="HK210" s="469" t="str">
        <f ca="1">IF(OR(HK$169&lt;SwaptionFirstMonthPosition+1,$FN210&lt;SwaptionFirstMonthPosition+1,HK$169&gt;SwaptionFirstMonthPosition+SwaptionNumOfMonths+1,$FN210&gt;SwaptionFirstMonthPosition+SwaptionNumOfMonths+1),"",IF($FN210=HK$169,1,IF($FN210&lt;HK$169,INDEX($FO$170:$IH$241,HK$169,$FN210),SUMPRODUCT(INDEX($FO$325:$IH$396,HK$169,1+SwaptionShift):INDEX($FO$325:$IH$396,HK$169,SwaptionMonthsToGo+SwaptionShift),INDEX($FO$245:$IH$316,$FN210-HK$169,73-HK$169+SwaptionShift):INDEX($FO$245:$IH$316,$FN210-HK$169,72-HK$169+SwaptionMonthsToGo+SwaptionShift))/SQRT(SUM(INDEX($FO365:$IH365,1+SwaptionShift):INDEX($FO365:$IH365,SwaptionMonthsToGo+SwaptionShift))*SUM(INDEX($FO$325:$IH$396,HK$169,1+SwaptionShift):INDEX($FO$325:$IH$396,HK$169,SwaptionMonthsToGo+SwaptionShift))))))</f>
        <v/>
      </c>
      <c r="HL210" s="469" t="str">
        <f ca="1">IF(OR(HL$169&lt;SwaptionFirstMonthPosition+1,$FN210&lt;SwaptionFirstMonthPosition+1,HL$169&gt;SwaptionFirstMonthPosition+SwaptionNumOfMonths+1,$FN210&gt;SwaptionFirstMonthPosition+SwaptionNumOfMonths+1),"",IF($FN210=HL$169,1,IF($FN210&lt;HL$169,INDEX($FO$170:$IH$241,HL$169,$FN210),SUMPRODUCT(INDEX($FO$325:$IH$396,HL$169,1+SwaptionShift):INDEX($FO$325:$IH$396,HL$169,SwaptionMonthsToGo+SwaptionShift),INDEX($FO$245:$IH$316,$FN210-HL$169,73-HL$169+SwaptionShift):INDEX($FO$245:$IH$316,$FN210-HL$169,72-HL$169+SwaptionMonthsToGo+SwaptionShift))/SQRT(SUM(INDEX($FO365:$IH365,1+SwaptionShift):INDEX($FO365:$IH365,SwaptionMonthsToGo+SwaptionShift))*SUM(INDEX($FO$325:$IH$396,HL$169,1+SwaptionShift):INDEX($FO$325:$IH$396,HL$169,SwaptionMonthsToGo+SwaptionShift))))))</f>
        <v/>
      </c>
      <c r="HM210" s="469" t="str">
        <f ca="1">IF(OR(HM$169&lt;SwaptionFirstMonthPosition+1,$FN210&lt;SwaptionFirstMonthPosition+1,HM$169&gt;SwaptionFirstMonthPosition+SwaptionNumOfMonths+1,$FN210&gt;SwaptionFirstMonthPosition+SwaptionNumOfMonths+1),"",IF($FN210=HM$169,1,IF($FN210&lt;HM$169,INDEX($FO$170:$IH$241,HM$169,$FN210),SUMPRODUCT(INDEX($FO$325:$IH$396,HM$169,1+SwaptionShift):INDEX($FO$325:$IH$396,HM$169,SwaptionMonthsToGo+SwaptionShift),INDEX($FO$245:$IH$316,$FN210-HM$169,73-HM$169+SwaptionShift):INDEX($FO$245:$IH$316,$FN210-HM$169,72-HM$169+SwaptionMonthsToGo+SwaptionShift))/SQRT(SUM(INDEX($FO365:$IH365,1+SwaptionShift):INDEX($FO365:$IH365,SwaptionMonthsToGo+SwaptionShift))*SUM(INDEX($FO$325:$IH$396,HM$169,1+SwaptionShift):INDEX($FO$325:$IH$396,HM$169,SwaptionMonthsToGo+SwaptionShift))))))</f>
        <v/>
      </c>
      <c r="HN210" s="469" t="str">
        <f ca="1">IF(OR(HN$169&lt;SwaptionFirstMonthPosition+1,$FN210&lt;SwaptionFirstMonthPosition+1,HN$169&gt;SwaptionFirstMonthPosition+SwaptionNumOfMonths+1,$FN210&gt;SwaptionFirstMonthPosition+SwaptionNumOfMonths+1),"",IF($FN210=HN$169,1,IF($FN210&lt;HN$169,INDEX($FO$170:$IH$241,HN$169,$FN210),SUMPRODUCT(INDEX($FO$325:$IH$396,HN$169,1+SwaptionShift):INDEX($FO$325:$IH$396,HN$169,SwaptionMonthsToGo+SwaptionShift),INDEX($FO$245:$IH$316,$FN210-HN$169,73-HN$169+SwaptionShift):INDEX($FO$245:$IH$316,$FN210-HN$169,72-HN$169+SwaptionMonthsToGo+SwaptionShift))/SQRT(SUM(INDEX($FO365:$IH365,1+SwaptionShift):INDEX($FO365:$IH365,SwaptionMonthsToGo+SwaptionShift))*SUM(INDEX($FO$325:$IH$396,HN$169,1+SwaptionShift):INDEX($FO$325:$IH$396,HN$169,SwaptionMonthsToGo+SwaptionShift))))))</f>
        <v/>
      </c>
      <c r="HO210" s="469" t="str">
        <f ca="1">IF(OR(HO$169&lt;SwaptionFirstMonthPosition+1,$FN210&lt;SwaptionFirstMonthPosition+1,HO$169&gt;SwaptionFirstMonthPosition+SwaptionNumOfMonths+1,$FN210&gt;SwaptionFirstMonthPosition+SwaptionNumOfMonths+1),"",IF($FN210=HO$169,1,IF($FN210&lt;HO$169,INDEX($FO$170:$IH$241,HO$169,$FN210),SUMPRODUCT(INDEX($FO$325:$IH$396,HO$169,1+SwaptionShift):INDEX($FO$325:$IH$396,HO$169,SwaptionMonthsToGo+SwaptionShift),INDEX($FO$245:$IH$316,$FN210-HO$169,73-HO$169+SwaptionShift):INDEX($FO$245:$IH$316,$FN210-HO$169,72-HO$169+SwaptionMonthsToGo+SwaptionShift))/SQRT(SUM(INDEX($FO365:$IH365,1+SwaptionShift):INDEX($FO365:$IH365,SwaptionMonthsToGo+SwaptionShift))*SUM(INDEX($FO$325:$IH$396,HO$169,1+SwaptionShift):INDEX($FO$325:$IH$396,HO$169,SwaptionMonthsToGo+SwaptionShift))))))</f>
        <v/>
      </c>
      <c r="HP210" s="469" t="str">
        <f ca="1">IF(OR(HP$169&lt;SwaptionFirstMonthPosition+1,$FN210&lt;SwaptionFirstMonthPosition+1,HP$169&gt;SwaptionFirstMonthPosition+SwaptionNumOfMonths+1,$FN210&gt;SwaptionFirstMonthPosition+SwaptionNumOfMonths+1),"",IF($FN210=HP$169,1,IF($FN210&lt;HP$169,INDEX($FO$170:$IH$241,HP$169,$FN210),SUMPRODUCT(INDEX($FO$325:$IH$396,HP$169,1+SwaptionShift):INDEX($FO$325:$IH$396,HP$169,SwaptionMonthsToGo+SwaptionShift),INDEX($FO$245:$IH$316,$FN210-HP$169,73-HP$169+SwaptionShift):INDEX($FO$245:$IH$316,$FN210-HP$169,72-HP$169+SwaptionMonthsToGo+SwaptionShift))/SQRT(SUM(INDEX($FO365:$IH365,1+SwaptionShift):INDEX($FO365:$IH365,SwaptionMonthsToGo+SwaptionShift))*SUM(INDEX($FO$325:$IH$396,HP$169,1+SwaptionShift):INDEX($FO$325:$IH$396,HP$169,SwaptionMonthsToGo+SwaptionShift))))))</f>
        <v/>
      </c>
      <c r="HQ210" s="469" t="str">
        <f ca="1">IF(OR(HQ$169&lt;SwaptionFirstMonthPosition+1,$FN210&lt;SwaptionFirstMonthPosition+1,HQ$169&gt;SwaptionFirstMonthPosition+SwaptionNumOfMonths+1,$FN210&gt;SwaptionFirstMonthPosition+SwaptionNumOfMonths+1),"",IF($FN210=HQ$169,1,IF($FN210&lt;HQ$169,INDEX($FO$170:$IH$241,HQ$169,$FN210),SUMPRODUCT(INDEX($FO$325:$IH$396,HQ$169,1+SwaptionShift):INDEX($FO$325:$IH$396,HQ$169,SwaptionMonthsToGo+SwaptionShift),INDEX($FO$245:$IH$316,$FN210-HQ$169,73-HQ$169+SwaptionShift):INDEX($FO$245:$IH$316,$FN210-HQ$169,72-HQ$169+SwaptionMonthsToGo+SwaptionShift))/SQRT(SUM(INDEX($FO365:$IH365,1+SwaptionShift):INDEX($FO365:$IH365,SwaptionMonthsToGo+SwaptionShift))*SUM(INDEX($FO$325:$IH$396,HQ$169,1+SwaptionShift):INDEX($FO$325:$IH$396,HQ$169,SwaptionMonthsToGo+SwaptionShift))))))</f>
        <v/>
      </c>
      <c r="HR210" s="469" t="str">
        <f ca="1">IF(OR(HR$169&lt;SwaptionFirstMonthPosition+1,$FN210&lt;SwaptionFirstMonthPosition+1,HR$169&gt;SwaptionFirstMonthPosition+SwaptionNumOfMonths+1,$FN210&gt;SwaptionFirstMonthPosition+SwaptionNumOfMonths+1),"",IF($FN210=HR$169,1,IF($FN210&lt;HR$169,INDEX($FO$170:$IH$241,HR$169,$FN210),SUMPRODUCT(INDEX($FO$325:$IH$396,HR$169,1+SwaptionShift):INDEX($FO$325:$IH$396,HR$169,SwaptionMonthsToGo+SwaptionShift),INDEX($FO$245:$IH$316,$FN210-HR$169,73-HR$169+SwaptionShift):INDEX($FO$245:$IH$316,$FN210-HR$169,72-HR$169+SwaptionMonthsToGo+SwaptionShift))/SQRT(SUM(INDEX($FO365:$IH365,1+SwaptionShift):INDEX($FO365:$IH365,SwaptionMonthsToGo+SwaptionShift))*SUM(INDEX($FO$325:$IH$396,HR$169,1+SwaptionShift):INDEX($FO$325:$IH$396,HR$169,SwaptionMonthsToGo+SwaptionShift))))))</f>
        <v/>
      </c>
      <c r="HS210" s="469" t="str">
        <f ca="1">IF(OR(HS$169&lt;SwaptionFirstMonthPosition+1,$FN210&lt;SwaptionFirstMonthPosition+1,HS$169&gt;SwaptionFirstMonthPosition+SwaptionNumOfMonths+1,$FN210&gt;SwaptionFirstMonthPosition+SwaptionNumOfMonths+1),"",IF($FN210=HS$169,1,IF($FN210&lt;HS$169,INDEX($FO$170:$IH$241,HS$169,$FN210),SUMPRODUCT(INDEX($FO$325:$IH$396,HS$169,1+SwaptionShift):INDEX($FO$325:$IH$396,HS$169,SwaptionMonthsToGo+SwaptionShift),INDEX($FO$245:$IH$316,$FN210-HS$169,73-HS$169+SwaptionShift):INDEX($FO$245:$IH$316,$FN210-HS$169,72-HS$169+SwaptionMonthsToGo+SwaptionShift))/SQRT(SUM(INDEX($FO365:$IH365,1+SwaptionShift):INDEX($FO365:$IH365,SwaptionMonthsToGo+SwaptionShift))*SUM(INDEX($FO$325:$IH$396,HS$169,1+SwaptionShift):INDEX($FO$325:$IH$396,HS$169,SwaptionMonthsToGo+SwaptionShift))))))</f>
        <v/>
      </c>
      <c r="HT210" s="469" t="str">
        <f ca="1">IF(OR(HT$169&lt;SwaptionFirstMonthPosition+1,$FN210&lt;SwaptionFirstMonthPosition+1,HT$169&gt;SwaptionFirstMonthPosition+SwaptionNumOfMonths+1,$FN210&gt;SwaptionFirstMonthPosition+SwaptionNumOfMonths+1),"",IF($FN210=HT$169,1,IF($FN210&lt;HT$169,INDEX($FO$170:$IH$241,HT$169,$FN210),SUMPRODUCT(INDEX($FO$325:$IH$396,HT$169,1+SwaptionShift):INDEX($FO$325:$IH$396,HT$169,SwaptionMonthsToGo+SwaptionShift),INDEX($FO$245:$IH$316,$FN210-HT$169,73-HT$169+SwaptionShift):INDEX($FO$245:$IH$316,$FN210-HT$169,72-HT$169+SwaptionMonthsToGo+SwaptionShift))/SQRT(SUM(INDEX($FO365:$IH365,1+SwaptionShift):INDEX($FO365:$IH365,SwaptionMonthsToGo+SwaptionShift))*SUM(INDEX($FO$325:$IH$396,HT$169,1+SwaptionShift):INDEX($FO$325:$IH$396,HT$169,SwaptionMonthsToGo+SwaptionShift))))))</f>
        <v/>
      </c>
      <c r="HU210" s="469" t="str">
        <f ca="1">IF(OR(HU$169&lt;SwaptionFirstMonthPosition+1,$FN210&lt;SwaptionFirstMonthPosition+1,HU$169&gt;SwaptionFirstMonthPosition+SwaptionNumOfMonths+1,$FN210&gt;SwaptionFirstMonthPosition+SwaptionNumOfMonths+1),"",IF($FN210=HU$169,1,IF($FN210&lt;HU$169,INDEX($FO$170:$IH$241,HU$169,$FN210),SUMPRODUCT(INDEX($FO$325:$IH$396,HU$169,1+SwaptionShift):INDEX($FO$325:$IH$396,HU$169,SwaptionMonthsToGo+SwaptionShift),INDEX($FO$245:$IH$316,$FN210-HU$169,73-HU$169+SwaptionShift):INDEX($FO$245:$IH$316,$FN210-HU$169,72-HU$169+SwaptionMonthsToGo+SwaptionShift))/SQRT(SUM(INDEX($FO365:$IH365,1+SwaptionShift):INDEX($FO365:$IH365,SwaptionMonthsToGo+SwaptionShift))*SUM(INDEX($FO$325:$IH$396,HU$169,1+SwaptionShift):INDEX($FO$325:$IH$396,HU$169,SwaptionMonthsToGo+SwaptionShift))))))</f>
        <v/>
      </c>
      <c r="HV210" s="469" t="str">
        <f ca="1">IF(OR(HV$169&lt;SwaptionFirstMonthPosition+1,$FN210&lt;SwaptionFirstMonthPosition+1,HV$169&gt;SwaptionFirstMonthPosition+SwaptionNumOfMonths+1,$FN210&gt;SwaptionFirstMonthPosition+SwaptionNumOfMonths+1),"",IF($FN210=HV$169,1,IF($FN210&lt;HV$169,INDEX($FO$170:$IH$241,HV$169,$FN210),SUMPRODUCT(INDEX($FO$325:$IH$396,HV$169,1+SwaptionShift):INDEX($FO$325:$IH$396,HV$169,SwaptionMonthsToGo+SwaptionShift),INDEX($FO$245:$IH$316,$FN210-HV$169,73-HV$169+SwaptionShift):INDEX($FO$245:$IH$316,$FN210-HV$169,72-HV$169+SwaptionMonthsToGo+SwaptionShift))/SQRT(SUM(INDEX($FO365:$IH365,1+SwaptionShift):INDEX($FO365:$IH365,SwaptionMonthsToGo+SwaptionShift))*SUM(INDEX($FO$325:$IH$396,HV$169,1+SwaptionShift):INDEX($FO$325:$IH$396,HV$169,SwaptionMonthsToGo+SwaptionShift))))))</f>
        <v/>
      </c>
      <c r="HW210" s="469" t="str">
        <f ca="1">IF(OR(HW$169&lt;SwaptionFirstMonthPosition+1,$FN210&lt;SwaptionFirstMonthPosition+1,HW$169&gt;SwaptionFirstMonthPosition+SwaptionNumOfMonths+1,$FN210&gt;SwaptionFirstMonthPosition+SwaptionNumOfMonths+1),"",IF($FN210=HW$169,1,IF($FN210&lt;HW$169,INDEX($FO$170:$IH$241,HW$169,$FN210),SUMPRODUCT(INDEX($FO$325:$IH$396,HW$169,1+SwaptionShift):INDEX($FO$325:$IH$396,HW$169,SwaptionMonthsToGo+SwaptionShift),INDEX($FO$245:$IH$316,$FN210-HW$169,73-HW$169+SwaptionShift):INDEX($FO$245:$IH$316,$FN210-HW$169,72-HW$169+SwaptionMonthsToGo+SwaptionShift))/SQRT(SUM(INDEX($FO365:$IH365,1+SwaptionShift):INDEX($FO365:$IH365,SwaptionMonthsToGo+SwaptionShift))*SUM(INDEX($FO$325:$IH$396,HW$169,1+SwaptionShift):INDEX($FO$325:$IH$396,HW$169,SwaptionMonthsToGo+SwaptionShift))))))</f>
        <v/>
      </c>
      <c r="HX210" s="469" t="str">
        <f ca="1">IF(OR(HX$169&lt;SwaptionFirstMonthPosition+1,$FN210&lt;SwaptionFirstMonthPosition+1,HX$169&gt;SwaptionFirstMonthPosition+SwaptionNumOfMonths+1,$FN210&gt;SwaptionFirstMonthPosition+SwaptionNumOfMonths+1),"",IF($FN210=HX$169,1,IF($FN210&lt;HX$169,INDEX($FO$170:$IH$241,HX$169,$FN210),SUMPRODUCT(INDEX($FO$325:$IH$396,HX$169,1+SwaptionShift):INDEX($FO$325:$IH$396,HX$169,SwaptionMonthsToGo+SwaptionShift),INDEX($FO$245:$IH$316,$FN210-HX$169,73-HX$169+SwaptionShift):INDEX($FO$245:$IH$316,$FN210-HX$169,72-HX$169+SwaptionMonthsToGo+SwaptionShift))/SQRT(SUM(INDEX($FO365:$IH365,1+SwaptionShift):INDEX($FO365:$IH365,SwaptionMonthsToGo+SwaptionShift))*SUM(INDEX($FO$325:$IH$396,HX$169,1+SwaptionShift):INDEX($FO$325:$IH$396,HX$169,SwaptionMonthsToGo+SwaptionShift))))))</f>
        <v/>
      </c>
      <c r="HY210" s="469" t="str">
        <f ca="1">IF(OR(HY$169&lt;SwaptionFirstMonthPosition+1,$FN210&lt;SwaptionFirstMonthPosition+1,HY$169&gt;SwaptionFirstMonthPosition+SwaptionNumOfMonths+1,$FN210&gt;SwaptionFirstMonthPosition+SwaptionNumOfMonths+1),"",IF($FN210=HY$169,1,IF($FN210&lt;HY$169,INDEX($FO$170:$IH$241,HY$169,$FN210),SUMPRODUCT(INDEX($FO$325:$IH$396,HY$169,1+SwaptionShift):INDEX($FO$325:$IH$396,HY$169,SwaptionMonthsToGo+SwaptionShift),INDEX($FO$245:$IH$316,$FN210-HY$169,73-HY$169+SwaptionShift):INDEX($FO$245:$IH$316,$FN210-HY$169,72-HY$169+SwaptionMonthsToGo+SwaptionShift))/SQRT(SUM(INDEX($FO365:$IH365,1+SwaptionShift):INDEX($FO365:$IH365,SwaptionMonthsToGo+SwaptionShift))*SUM(INDEX($FO$325:$IH$396,HY$169,1+SwaptionShift):INDEX($FO$325:$IH$396,HY$169,SwaptionMonthsToGo+SwaptionShift))))))</f>
        <v/>
      </c>
      <c r="HZ210" s="469" t="str">
        <f ca="1">IF(OR(HZ$169&lt;SwaptionFirstMonthPosition+1,$FN210&lt;SwaptionFirstMonthPosition+1,HZ$169&gt;SwaptionFirstMonthPosition+SwaptionNumOfMonths+1,$FN210&gt;SwaptionFirstMonthPosition+SwaptionNumOfMonths+1),"",IF($FN210=HZ$169,1,IF($FN210&lt;HZ$169,INDEX($FO$170:$IH$241,HZ$169,$FN210),SUMPRODUCT(INDEX($FO$325:$IH$396,HZ$169,1+SwaptionShift):INDEX($FO$325:$IH$396,HZ$169,SwaptionMonthsToGo+SwaptionShift),INDEX($FO$245:$IH$316,$FN210-HZ$169,73-HZ$169+SwaptionShift):INDEX($FO$245:$IH$316,$FN210-HZ$169,72-HZ$169+SwaptionMonthsToGo+SwaptionShift))/SQRT(SUM(INDEX($FO365:$IH365,1+SwaptionShift):INDEX($FO365:$IH365,SwaptionMonthsToGo+SwaptionShift))*SUM(INDEX($FO$325:$IH$396,HZ$169,1+SwaptionShift):INDEX($FO$325:$IH$396,HZ$169,SwaptionMonthsToGo+SwaptionShift))))))</f>
        <v/>
      </c>
      <c r="IA210" s="469" t="str">
        <f ca="1">IF(OR(IA$169&lt;SwaptionFirstMonthPosition+1,$FN210&lt;SwaptionFirstMonthPosition+1,IA$169&gt;SwaptionFirstMonthPosition+SwaptionNumOfMonths+1,$FN210&gt;SwaptionFirstMonthPosition+SwaptionNumOfMonths+1),"",IF($FN210=IA$169,1,IF($FN210&lt;IA$169,INDEX($FO$170:$IH$241,IA$169,$FN210),SUMPRODUCT(INDEX($FO$325:$IH$396,IA$169,1+SwaptionShift):INDEX($FO$325:$IH$396,IA$169,SwaptionMonthsToGo+SwaptionShift),INDEX($FO$245:$IH$316,$FN210-IA$169,73-IA$169+SwaptionShift):INDEX($FO$245:$IH$316,$FN210-IA$169,72-IA$169+SwaptionMonthsToGo+SwaptionShift))/SQRT(SUM(INDEX($FO365:$IH365,1+SwaptionShift):INDEX($FO365:$IH365,SwaptionMonthsToGo+SwaptionShift))*SUM(INDEX($FO$325:$IH$396,IA$169,1+SwaptionShift):INDEX($FO$325:$IH$396,IA$169,SwaptionMonthsToGo+SwaptionShift))))))</f>
        <v/>
      </c>
      <c r="IB210" s="469" t="str">
        <f ca="1">IF(OR(IB$169&lt;SwaptionFirstMonthPosition+1,$FN210&lt;SwaptionFirstMonthPosition+1,IB$169&gt;SwaptionFirstMonthPosition+SwaptionNumOfMonths+1,$FN210&gt;SwaptionFirstMonthPosition+SwaptionNumOfMonths+1),"",IF($FN210=IB$169,1,IF($FN210&lt;IB$169,INDEX($FO$170:$IH$241,IB$169,$FN210),SUMPRODUCT(INDEX($FO$325:$IH$396,IB$169,1+SwaptionShift):INDEX($FO$325:$IH$396,IB$169,SwaptionMonthsToGo+SwaptionShift),INDEX($FO$245:$IH$316,$FN210-IB$169,73-IB$169+SwaptionShift):INDEX($FO$245:$IH$316,$FN210-IB$169,72-IB$169+SwaptionMonthsToGo+SwaptionShift))/SQRT(SUM(INDEX($FO365:$IH365,1+SwaptionShift):INDEX($FO365:$IH365,SwaptionMonthsToGo+SwaptionShift))*SUM(INDEX($FO$325:$IH$396,IB$169,1+SwaptionShift):INDEX($FO$325:$IH$396,IB$169,SwaptionMonthsToGo+SwaptionShift))))))</f>
        <v/>
      </c>
      <c r="IC210" s="469" t="str">
        <f ca="1">IF(OR(IC$169&lt;SwaptionFirstMonthPosition+1,$FN210&lt;SwaptionFirstMonthPosition+1,IC$169&gt;SwaptionFirstMonthPosition+SwaptionNumOfMonths+1,$FN210&gt;SwaptionFirstMonthPosition+SwaptionNumOfMonths+1),"",IF($FN210=IC$169,1,IF($FN210&lt;IC$169,INDEX($FO$170:$IH$241,IC$169,$FN210),SUMPRODUCT(INDEX($FO$325:$IH$396,IC$169,1+SwaptionShift):INDEX($FO$325:$IH$396,IC$169,SwaptionMonthsToGo+SwaptionShift),INDEX($FO$245:$IH$316,$FN210-IC$169,73-IC$169+SwaptionShift):INDEX($FO$245:$IH$316,$FN210-IC$169,72-IC$169+SwaptionMonthsToGo+SwaptionShift))/SQRT(SUM(INDEX($FO365:$IH365,1+SwaptionShift):INDEX($FO365:$IH365,SwaptionMonthsToGo+SwaptionShift))*SUM(INDEX($FO$325:$IH$396,IC$169,1+SwaptionShift):INDEX($FO$325:$IH$396,IC$169,SwaptionMonthsToGo+SwaptionShift))))))</f>
        <v/>
      </c>
      <c r="ID210" s="469" t="str">
        <f ca="1">IF(OR(ID$169&lt;SwaptionFirstMonthPosition+1,$FN210&lt;SwaptionFirstMonthPosition+1,ID$169&gt;SwaptionFirstMonthPosition+SwaptionNumOfMonths+1,$FN210&gt;SwaptionFirstMonthPosition+SwaptionNumOfMonths+1),"",IF($FN210=ID$169,1,IF($FN210&lt;ID$169,INDEX($FO$170:$IH$241,ID$169,$FN210),SUMPRODUCT(INDEX($FO$325:$IH$396,ID$169,1+SwaptionShift):INDEX($FO$325:$IH$396,ID$169,SwaptionMonthsToGo+SwaptionShift),INDEX($FO$245:$IH$316,$FN210-ID$169,73-ID$169+SwaptionShift):INDEX($FO$245:$IH$316,$FN210-ID$169,72-ID$169+SwaptionMonthsToGo+SwaptionShift))/SQRT(SUM(INDEX($FO365:$IH365,1+SwaptionShift):INDEX($FO365:$IH365,SwaptionMonthsToGo+SwaptionShift))*SUM(INDEX($FO$325:$IH$396,ID$169,1+SwaptionShift):INDEX($FO$325:$IH$396,ID$169,SwaptionMonthsToGo+SwaptionShift))))))</f>
        <v/>
      </c>
      <c r="IE210" s="469" t="str">
        <f ca="1">IF(OR(IE$169&lt;SwaptionFirstMonthPosition+1,$FN210&lt;SwaptionFirstMonthPosition+1,IE$169&gt;SwaptionFirstMonthPosition+SwaptionNumOfMonths+1,$FN210&gt;SwaptionFirstMonthPosition+SwaptionNumOfMonths+1),"",IF($FN210=IE$169,1,IF($FN210&lt;IE$169,INDEX($FO$170:$IH$241,IE$169,$FN210),SUMPRODUCT(INDEX($FO$325:$IH$396,IE$169,1+SwaptionShift):INDEX($FO$325:$IH$396,IE$169,SwaptionMonthsToGo+SwaptionShift),INDEX($FO$245:$IH$316,$FN210-IE$169,73-IE$169+SwaptionShift):INDEX($FO$245:$IH$316,$FN210-IE$169,72-IE$169+SwaptionMonthsToGo+SwaptionShift))/SQRT(SUM(INDEX($FO365:$IH365,1+SwaptionShift):INDEX($FO365:$IH365,SwaptionMonthsToGo+SwaptionShift))*SUM(INDEX($FO$325:$IH$396,IE$169,1+SwaptionShift):INDEX($FO$325:$IH$396,IE$169,SwaptionMonthsToGo+SwaptionShift))))))</f>
        <v/>
      </c>
      <c r="IF210" s="469" t="str">
        <f ca="1">IF(OR(IF$169&lt;SwaptionFirstMonthPosition+1,$FN210&lt;SwaptionFirstMonthPosition+1,IF$169&gt;SwaptionFirstMonthPosition+SwaptionNumOfMonths+1,$FN210&gt;SwaptionFirstMonthPosition+SwaptionNumOfMonths+1),"",IF($FN210=IF$169,1,IF($FN210&lt;IF$169,INDEX($FO$170:$IH$241,IF$169,$FN210),SUMPRODUCT(INDEX($FO$325:$IH$396,IF$169,1+SwaptionShift):INDEX($FO$325:$IH$396,IF$169,SwaptionMonthsToGo+SwaptionShift),INDEX($FO$245:$IH$316,$FN210-IF$169,73-IF$169+SwaptionShift):INDEX($FO$245:$IH$316,$FN210-IF$169,72-IF$169+SwaptionMonthsToGo+SwaptionShift))/SQRT(SUM(INDEX($FO365:$IH365,1+SwaptionShift):INDEX($FO365:$IH365,SwaptionMonthsToGo+SwaptionShift))*SUM(INDEX($FO$325:$IH$396,IF$169,1+SwaptionShift):INDEX($FO$325:$IH$396,IF$169,SwaptionMonthsToGo+SwaptionShift))))))</f>
        <v/>
      </c>
      <c r="IG210" s="469" t="str">
        <f ca="1">IF(OR(IG$169&lt;SwaptionFirstMonthPosition+1,$FN210&lt;SwaptionFirstMonthPosition+1,IG$169&gt;SwaptionFirstMonthPosition+SwaptionNumOfMonths+1,$FN210&gt;SwaptionFirstMonthPosition+SwaptionNumOfMonths+1),"",IF($FN210=IG$169,1,IF($FN210&lt;IG$169,INDEX($FO$170:$IH$241,IG$169,$FN210),SUMPRODUCT(INDEX($FO$325:$IH$396,IG$169,1+SwaptionShift):INDEX($FO$325:$IH$396,IG$169,SwaptionMonthsToGo+SwaptionShift),INDEX($FO$245:$IH$316,$FN210-IG$169,73-IG$169+SwaptionShift):INDEX($FO$245:$IH$316,$FN210-IG$169,72-IG$169+SwaptionMonthsToGo+SwaptionShift))/SQRT(SUM(INDEX($FO365:$IH365,1+SwaptionShift):INDEX($FO365:$IH365,SwaptionMonthsToGo+SwaptionShift))*SUM(INDEX($FO$325:$IH$396,IG$169,1+SwaptionShift):INDEX($FO$325:$IH$396,IG$169,SwaptionMonthsToGo+SwaptionShift))))))</f>
        <v/>
      </c>
      <c r="IH210" s="662" t="str">
        <f ca="1">IF(OR(IH$169&lt;SwaptionFirstMonthPosition+1,$FN210&lt;SwaptionFirstMonthPosition+1,IH$169&gt;SwaptionFirstMonthPosition+SwaptionNumOfMonths+1,$FN210&gt;SwaptionFirstMonthPosition+SwaptionNumOfMonths+1),"",IF($FN210=IH$169,1,IF($FN210&lt;IH$169,INDEX($FO$170:$IH$241,IH$169,$FN210),SUMPRODUCT(INDEX($FO$325:$IH$396,IH$169,1+SwaptionShift):INDEX($FO$325:$IH$396,IH$169,SwaptionMonthsToGo+SwaptionShift),INDEX($FO$245:$IH$316,$FN210-IH$169,73-IH$169+SwaptionShift):INDEX($FO$245:$IH$316,$FN210-IH$169,72-IH$169+SwaptionMonthsToGo+SwaptionShift))/SQRT(SUM(INDEX($FO365:$IH365,1+SwaptionShift):INDEX($FO365:$IH365,SwaptionMonthsToGo+SwaptionShift))*SUM(INDEX($FO$325:$IH$396,IH$169,1+SwaptionShift):INDEX($FO$325:$IH$396,IH$169,SwaptionMonthsToGo+SwaptionShift))))))</f>
        <v/>
      </c>
      <c r="II210" s="242"/>
    </row>
    <row r="211" spans="8:243">
      <c r="H211" s="49" t="e">
        <f t="shared" ca="1" si="529"/>
        <v>#N/A</v>
      </c>
      <c r="I211" s="369">
        <f t="shared" si="530"/>
        <v>42826</v>
      </c>
      <c r="J211" s="367">
        <v>24.159999999999901</v>
      </c>
      <c r="K211" s="101" t="s">
        <v>267</v>
      </c>
      <c r="L211" s="382">
        <f t="shared" si="531"/>
        <v>24.159999999999858</v>
      </c>
      <c r="M211" s="163">
        <v>0.13470000000000001</v>
      </c>
      <c r="N211" s="372">
        <v>0</v>
      </c>
      <c r="O211" s="163">
        <f t="shared" si="595"/>
        <v>0.13470000000000001</v>
      </c>
      <c r="P211" s="367">
        <v>22.924094007790899</v>
      </c>
      <c r="Q211" s="101" t="s">
        <v>267</v>
      </c>
      <c r="R211" s="367">
        <f t="shared" ca="1" si="596"/>
        <v>22.924094007790892</v>
      </c>
      <c r="S211" s="814">
        <f t="shared" si="594"/>
        <v>0.34740724957737923</v>
      </c>
      <c r="T211" s="813">
        <f t="shared" si="550"/>
        <v>0.99999999985784704</v>
      </c>
      <c r="U211" s="532">
        <f t="shared" si="551"/>
        <v>0.99999999999999978</v>
      </c>
      <c r="V211" s="379">
        <v>0</v>
      </c>
      <c r="W211" s="424">
        <f t="shared" si="597"/>
        <v>24.192499999999903</v>
      </c>
      <c r="X211" s="405">
        <f t="shared" si="598"/>
        <v>24.192499999999857</v>
      </c>
      <c r="Y211" s="313">
        <f t="shared" si="599"/>
        <v>22.848499999999902</v>
      </c>
      <c r="Z211" s="313">
        <f t="shared" ca="1" si="600"/>
        <v>22.848499999999856</v>
      </c>
      <c r="AA211" s="419">
        <f t="shared" ref="AA211:AA258" si="623">IF(Q213="extra",INDEX(BrentSeasonalityTable,INT((BG211-1)/3)+1)*VLOOKUP(MAX(BF211,$AB$4),PriceSpreadTable,3),W211-Y211)</f>
        <v>1.3440000000000001</v>
      </c>
      <c r="AB211" s="423">
        <f t="shared" ref="AB211:AB258" ca="1" si="624">IF(Q213="extra",INDEX(BrentSeasonalityTable,INT((BG211-1)/3)+1)*VLOOKUP(MAX(BF211,$AB$4),PriceSpreadTable,3),X211-Z211)</f>
        <v>1.3440000000000001</v>
      </c>
      <c r="AC211" s="221">
        <v>42814</v>
      </c>
      <c r="AD211" s="221">
        <v>42810</v>
      </c>
      <c r="AE211" s="221">
        <v>42809</v>
      </c>
      <c r="AF211" s="221">
        <v>42805</v>
      </c>
      <c r="AG211" s="241" t="s">
        <v>497</v>
      </c>
      <c r="AH211" s="239" t="s">
        <v>497</v>
      </c>
      <c r="AI211" s="141">
        <v>20</v>
      </c>
      <c r="AJ211" s="41">
        <v>14</v>
      </c>
      <c r="AK211" s="41">
        <v>6</v>
      </c>
      <c r="AL211" s="285">
        <v>20</v>
      </c>
      <c r="AM211" s="41">
        <v>10</v>
      </c>
      <c r="AN211" s="142">
        <v>10</v>
      </c>
      <c r="AO211" s="364">
        <v>6.2481230337814997E-2</v>
      </c>
      <c r="AP211" s="145">
        <f t="shared" ca="1" si="532"/>
        <v>0.37234321086041233</v>
      </c>
      <c r="AQ211" s="364">
        <v>5.7520461873065802E-2</v>
      </c>
      <c r="AR211" s="145">
        <f t="shared" ca="1" si="552"/>
        <v>0.40510251221839239</v>
      </c>
      <c r="AS211" s="264">
        <f t="shared" si="601"/>
        <v>0.13418000000000002</v>
      </c>
      <c r="AT211" s="149">
        <f t="shared" si="533"/>
        <v>0.13470000000000001</v>
      </c>
      <c r="AU211" s="149">
        <f t="shared" ref="AU211:AU260" si="625">(AT212*AM211+AT213*AN211)/AL211</f>
        <v>0.13410000000000002</v>
      </c>
      <c r="AV211" s="263">
        <f t="shared" ca="1" si="560"/>
        <v>0.13284708623913807</v>
      </c>
      <c r="AW211" s="150" t="str">
        <f t="shared" ca="1" si="581"/>
        <v/>
      </c>
      <c r="AX211" s="149">
        <f t="shared" ca="1" si="553"/>
        <v>4.3830622774959178E-3</v>
      </c>
      <c r="AY211" s="149">
        <f t="shared" ca="1" si="554"/>
        <v>1.4184484660813626E-3</v>
      </c>
      <c r="AZ211" s="149">
        <f t="shared" ca="1" si="555"/>
        <v>1.5921806390387506E-3</v>
      </c>
      <c r="BA211" s="149">
        <f t="shared" ca="1" si="556"/>
        <v>1.0000000000000987E-4</v>
      </c>
      <c r="BB211" s="149">
        <f t="shared" ca="1" si="557"/>
        <v>1.0000000000000987E-4</v>
      </c>
      <c r="BC211" s="149">
        <f t="shared" ca="1" si="558"/>
        <v>1.0000000000000987E-4</v>
      </c>
      <c r="BD211" s="143">
        <f t="shared" ca="1" si="602"/>
        <v>0</v>
      </c>
      <c r="BE211" s="144">
        <f t="shared" ca="1" si="603"/>
        <v>0</v>
      </c>
      <c r="BF211" s="40">
        <f t="shared" si="604"/>
        <v>2017</v>
      </c>
      <c r="BG211" s="139">
        <f t="shared" si="605"/>
        <v>4</v>
      </c>
      <c r="BH211" s="140">
        <f t="shared" ca="1" si="606"/>
        <v>5820</v>
      </c>
      <c r="BI211" s="304">
        <f t="shared" ca="1" si="607"/>
        <v>15.978097193702943</v>
      </c>
      <c r="BJ211" s="42">
        <f t="shared" ref="BJ211:BJ260" ca="1" si="626">BI211+(BL211-BI211)*CHOOSE(Underlying,AJ211/AI211,AM211/AL211)</f>
        <v>16.033675564681722</v>
      </c>
      <c r="BK211" s="42">
        <f t="shared" ref="BK211:BK260" ca="1" si="627">BJ211+1/365.25</f>
        <v>16.036413415468854</v>
      </c>
      <c r="BL211" s="42">
        <f t="shared" ca="1" si="608"/>
        <v>16.057494866529773</v>
      </c>
      <c r="BM211" s="285">
        <f t="shared" si="609"/>
        <v>20</v>
      </c>
      <c r="BN211" s="41">
        <f t="shared" si="610"/>
        <v>14</v>
      </c>
      <c r="BO211" s="41">
        <f t="shared" si="611"/>
        <v>6</v>
      </c>
      <c r="BP211" s="297" t="str">
        <f t="shared" ref="BP211:BP260" ca="1" si="628">IF(BD211,IF(Underlying=1,X211,Z211)+UnderlyingPriceAsian-SwapPriceCurve,"")</f>
        <v/>
      </c>
      <c r="BQ211" s="297" t="str">
        <f t="shared" ref="BQ211:BQ260" ca="1" si="629">IF(BD211,Strike1/BP211-1,"")</f>
        <v/>
      </c>
      <c r="BR211" s="299" t="str">
        <f t="shared" ref="BR211:BR260" ca="1" si="630">IF(BD211,Strike2/BP211-1,"")</f>
        <v/>
      </c>
      <c r="BS211" s="153" t="str">
        <f t="shared" ref="BS211:BS260" ca="1" si="631">IF(BD211,IF(Underlying=1,L212,R212)+UnderlyingPriceAsian-SwapPriceCurve,"")</f>
        <v/>
      </c>
      <c r="BT211" s="153" t="str">
        <f t="shared" ref="BT211:BT260" ca="1" si="632">IF(BD211,IF(Underlying=1,L213,R213)+UnderlyingPriceAsian-SwapPriceCurve,"")</f>
        <v/>
      </c>
      <c r="BU211" s="300" t="str">
        <f t="shared" ref="BU211:BU260" ca="1" si="633">IF(BD211,IF(Underlying=1,O212,AT212),"")</f>
        <v/>
      </c>
      <c r="BV211" s="301" t="str">
        <f t="shared" ref="BV211:BV260" ca="1" si="634">IF(BD211,IF(Underlying=1,O213,AT213),"")</f>
        <v/>
      </c>
      <c r="BW211" s="300" t="str">
        <f t="shared" ref="BW211:BW260" ca="1" si="635">IF(BD211,IF(BQ211&gt;0,IF(BQ211&gt;0.2,BC211-BB211,IF(BQ211&gt;0.1,BB211-BA211,BA211)),IF(BQ211&lt;-0.2,AX211-AY211,IF(BQ211&lt;-0.1,AY211-AZ211,AZ211))),"")</f>
        <v/>
      </c>
      <c r="BX211" s="301" t="str">
        <f t="shared" ref="BX211:BX260" ca="1" si="636">IF(BD211,IF(BR211&gt;0,IF(BR211&gt;0.2,BC211-BB211,IF(BR211&gt;0.1,BB211-BA211,BA211)),IF(BR211&lt;-0.2,AX211-AY211,IF(BR211&lt;-0.1,AY211-AZ211,AZ211))),"")</f>
        <v/>
      </c>
      <c r="BY211" s="146" t="str">
        <f t="shared" ref="BY211:BY260" ca="1" si="637">IF($BD211,$BU211+IF(VolSkewFlag=1,IF(BQ211&gt;0,$BA211*MIN(BQ211/10%,1)+($BB211-$BA211)*MAX(0,MIN(BQ211/10%-1,1))+($BC211-$BB211)*MAX(0,BQ211/10%-2),$AZ211*MIN(-BQ211/10%,1)+($AY211-$AZ211)*MAX(0,MIN(-BQ211/10%-1,1))+($AX211-$AY211)*MAX(0,-BQ211/10%-2)),0),"")</f>
        <v/>
      </c>
      <c r="BZ211" s="146" t="str">
        <f t="shared" ref="BZ211:BZ260" ca="1" si="638">IF($BD211,$BV211+IF(VolSkewFlag=1,IF(BQ211&gt;0,$BA211*MIN(BQ211/10%,1)+($BB211-$BA211)*MAX(0,MIN(BQ211/10%-1,1))+($BC211-$BB211)*MAX(0,BQ211/10%-2),$AZ211*MIN(-BQ211/10%,1)+($AY211-$AZ211)*MAX(0,MIN(-BQ211/10%-1,1))+($AX211-$AY211)*MAX(0,-BQ211/10%-2)),0),"")</f>
        <v/>
      </c>
      <c r="CA211" s="146" t="str">
        <f t="shared" ref="CA211:CA260" ca="1" si="639">IF($BD211,$BU211+IF(VolSkewFlag=1,IF(BR211&gt;0,$BA211*MIN(BR211/10%,1)+($BB211-$BA211)*MAX(0,MIN(BR211/10%-1,1))+($BC211-$BB211)*MAX(0,BR211/10%-2),$AZ211*MIN(-BR211/10%,1)+($AY211-$AZ211)*MAX(0,MIN(-BR211/10%-1,1))+($AX211-$AY211)*MAX(0,-BR211/10%-2)),0),"")</f>
        <v/>
      </c>
      <c r="CB211" s="146" t="str">
        <f t="shared" ref="CB211:CB260" ca="1" si="640">IF($BD211,$BV211+IF(VolSkewFlag=1,IF(BR211&gt;0,$BA211*MIN(BR211/10%,1)+($BB211-$BA211)*MAX(0,MIN(BR211/10%-1,1))+($BC211-$BB211)*MAX(0,BR211/10%-2),$AZ211*MIN(-BR211/10%,1)+($AY211-$AZ211)*MAX(0,MIN(-BR211/10%-1,1))+($AX211-$AY211)*MAX(0,-BR211/10%-2)),0),"")</f>
        <v/>
      </c>
      <c r="CC211" s="302">
        <v>1</v>
      </c>
      <c r="CD211" s="154">
        <f ca="1">IF(BD211,_xll.xCrudeAPO(BS211,BT211,BY211,BZ211,S212,S213,BI211,BL211,BN211,BO211,0,Strike1,AO211,CC211,0,BL211,IF(OptControl=4,0,1),0,1),0)</f>
        <v>0</v>
      </c>
      <c r="CE211" s="155">
        <f ca="1">IF(BD211,_xll.xCrudeAPO(BS211,BT211,BY211,BZ211,S212,S213,BI211,BL211,BN211,BO211,0,Strike1,AO211,CC211,0,BL211,IF(OptControl=4,0,1),1,1)+_xll.xCrudeAPO(BS211,BT211,BY211,BZ211,S212,S213,BI211,BL211,BN211,BO211,0,Strike1,AO211,CC211,0,BL211,IF(OptControl=4,0,1),1,2)+IF(OR(VolSkewFlag=2,ABS(BQ211)&lt;0.0001),0,IF(BQ211&gt;0,-1,1)*CF211*Strike1/BP211^2*BW211/10%),0)</f>
        <v>0</v>
      </c>
      <c r="CF211" s="155">
        <f ca="1">IF(BD211,(_xll.xCrudeAPO(BS211,BT211,BY211,BZ211,S212,S213,BI211,BL211,BN211,BO211,0,Strike1,AO211,CC211,0,BL211,IF(OptControl=4,0,1),3,1)+_xll.xCrudeAPO(BS211,BT211,BY211,BZ211,S212,S213,BI211,BL211,BN211,BO211,0,Strike1,AO211,CC211,0,BL211,IF(OptControl=4,0,1),3,2))/100,0)</f>
        <v>0</v>
      </c>
      <c r="CG211" s="155">
        <f ca="1">IF(BD211,_xll.xCrudeAPO(BS211,BT211,BY211,BZ211,S212,S213,BI211-DaysForThetaCalculation/365.25,BL211-DaysForThetaCalculation/365.25,BN211,BO211,0,Strike1,AO211,CC211,0,BL211,IF(OptControl=4,0,1),0,1)-_xll.xCrudeAPO(BS211,BT211,BY211,BZ211,S212,S213,BI211,BL211,BN211,BO211,0,Strike1,AO211,CC211,0,BL211,IF(OptControl=4,0,1),0,1),0)</f>
        <v>0</v>
      </c>
      <c r="CH211" s="303">
        <f ca="1">IF(BD211,_xll.xCrudeAPO(BS211,BT211,CA211,CB211,S212,S213,BI211,BL211,BN211,BO211,0,Strike2,AO211,CC211,0,BL211,IF(OptControl=3,1,0),0,1),0)</f>
        <v>0</v>
      </c>
      <c r="CI211" s="155">
        <f ca="1">IF(BD211,_xll.xCrudeAPO(BS211,BT211,CA211,CB211,S212,S213,BI211,BL211,BN211,BO211,0,Strike2,AO211,CC211,0,BL211,IF(OptControl=3,1,0),1,1)+_xll.xCrudeAPO(BS211,BT211,CA211,CB211,S212,S213,BI211,BL211,BN211,BO211,0,Strike2,AO211,CC211,0,BL211,IF(OptControl=3,1,0),1,2)+IF(OR(VolSkewFlag=2,ABS(BR211)&lt;0.0001),0,IF(BR211&gt;0,-1,1)*CJ211*Strike2/BP211^2*BX211/10%),0)</f>
        <v>0</v>
      </c>
      <c r="CJ211" s="155">
        <f ca="1">IF(BD211,(_xll.xCrudeAPO(BS211,BT211,CA211,CB211,S212,S213,BI211,BL211,BN211,BO211,0,Strike2,AO211,CC211,0,BL211,IF(OptControl=3,1,0),3,1)+_xll.xCrudeAPO(BS211,BT211,CA211,CB211,S212,S213,BI211,BL211,BN211,BO211,0,Strike2,AO211,CC211,0,BL211,IF(OptControl=3,1,0),3,2))/100,0)</f>
        <v>0</v>
      </c>
      <c r="CK211" s="156">
        <f ca="1">IF(BD211,_xll.xCrudeAPO(BS211,BT211,CA211,CB211,S212,S213,BI211-DaysForThetaCalculation/365.25,BL211-DaysForThetaCalculation/365.25,BN211,BO211,0,Strike2,AO211,CC211,0,BL211,IF(OptControl=3,1,0),0,1)-_xll.xCrudeAPO(BS211,BT211,CA211,CB211,S212,S213,BI211,BL211,BN211,BO211,0,Strike2,AO211,CC211,0,BL211,IF(OptControl=3,1,0),0,1),0)</f>
        <v>0</v>
      </c>
      <c r="CL211" s="51"/>
      <c r="CM211" s="779" t="str">
        <f t="shared" ca="1" si="534"/>
        <v/>
      </c>
      <c r="CN211" s="783" t="str">
        <f t="shared" ca="1" si="535"/>
        <v/>
      </c>
      <c r="CO211" s="780" t="str">
        <f t="shared" ca="1" si="536"/>
        <v/>
      </c>
      <c r="CP211" s="780" t="str">
        <f t="shared" ca="1" si="537"/>
        <v/>
      </c>
      <c r="CQ211" s="780" t="str">
        <f t="shared" ca="1" si="538"/>
        <v/>
      </c>
      <c r="CR211" s="780" t="str">
        <f t="shared" ca="1" si="539"/>
        <v/>
      </c>
      <c r="CS211" s="781" t="str">
        <f t="shared" ca="1" si="540"/>
        <v/>
      </c>
      <c r="CT211" s="782" t="str">
        <f t="shared" ca="1" si="541"/>
        <v/>
      </c>
      <c r="CU211" s="782" t="str">
        <f t="shared" ca="1" si="542"/>
        <v/>
      </c>
      <c r="CV211" s="155">
        <f ca="1">IF(BD211,_xll.EURO(CN211,Strike1,AO211,AO211,CT211,CM211,IF(OptControl=4,0,1),0),0)</f>
        <v>0</v>
      </c>
      <c r="CW211" s="155">
        <f ca="1">IF(BD211,_xll.EURO(CN211,Strike1,AO211,AO211,CT211,CM211,IF(OptControl=4,0,1),1)+IF(OR(VolSkewFlag=2,ABS(CO211)&lt;0.0001),0,IF(CO211&gt;0,-1,1)*CX211*100*Strike1/CN211^2*CQ211/10%),0)</f>
        <v>0</v>
      </c>
      <c r="CX211" s="155">
        <f ca="1">IF(BD211,_xll.EURO(CN211,Strike1,AO211,AO211,CT211,CM211,IF(OptControl=4,0,1),3)/100,0)</f>
        <v>0</v>
      </c>
      <c r="CY211" s="155">
        <f ca="1">IF(BD211,_xll.EURO(CN211,Strike1,AO211,AO211,CT211,CM211,IF(OptControl=4,0,1),0)-_xll.EURO(CN211,Strike1,AO211,AO211,CT211,CM211-1,IF(OptControl=4,0,1),0),0)</f>
        <v>0</v>
      </c>
      <c r="CZ211" s="155">
        <f ca="1">IF(BD211,_xll.EURO(CN211,Strike2,AO211,AO211,CU211,CM211,IF(OptControl=3,1,0),0),0)</f>
        <v>0</v>
      </c>
      <c r="DA211" s="155">
        <f ca="1">IF(BD211,_xll.EURO(CN211,Strike2,AO211,AO211,CU211,CM211,IF(OptControl=3,1,0),1)+IF(OR(VolSkewFlag=2,ABS(CP211)&lt;0.0001),0,IF(CP211&gt;0,-1,1)*DB211*100*Strike2/CN211^2*CR211/10%),0)</f>
        <v>0</v>
      </c>
      <c r="DB211" s="155">
        <f ca="1">IF(BD211,_xll.EURO(CN211,Strike2,AO211,AO211,CU211,CM211,IF(OptControl=3,1,0),3)/100,0)</f>
        <v>0</v>
      </c>
      <c r="DC211" s="156">
        <f ca="1">IF(BD211,_xll.EURO(CN211,Strike2,AO211,AO211,CU211,CM211,IF(OptControl=3,1,0),0)-_xll.EURO(CN211,Strike2,AO211,AO211,CU211,CM211-1,IF(OptControl=3,1,0),0),0)</f>
        <v>0</v>
      </c>
      <c r="DE211" s="651">
        <f t="shared" ca="1" si="543"/>
        <v>42736</v>
      </c>
      <c r="DF211" s="465">
        <v>1E-4</v>
      </c>
      <c r="DG211" s="649">
        <v>1E-4</v>
      </c>
      <c r="DH211" s="650">
        <f t="shared" ca="1" si="612"/>
        <v>42736</v>
      </c>
      <c r="DI211" s="465">
        <v>1E-4</v>
      </c>
      <c r="DJ211" s="649">
        <v>1E-4</v>
      </c>
      <c r="DK211" s="651">
        <f t="shared" ca="1" si="613"/>
        <v>42736</v>
      </c>
      <c r="DL211" s="652">
        <f t="shared" si="614"/>
        <v>5.0100000000000006E-2</v>
      </c>
      <c r="DM211" s="651">
        <f t="shared" ca="1" si="615"/>
        <v>42736</v>
      </c>
      <c r="DN211" s="563">
        <f t="shared" si="616"/>
        <v>-0.12990000000000002</v>
      </c>
      <c r="DO211" s="803">
        <v>-0.13</v>
      </c>
      <c r="DP211" s="650">
        <f t="shared" ca="1" si="617"/>
        <v>42736</v>
      </c>
      <c r="DQ211" s="653">
        <v>1E-4</v>
      </c>
      <c r="DR211" s="590">
        <v>1E-4</v>
      </c>
      <c r="DS211" s="650">
        <f t="shared" ca="1" si="618"/>
        <v>42736</v>
      </c>
      <c r="DT211" s="653">
        <v>1E-4</v>
      </c>
      <c r="DU211" s="590">
        <v>1E-4</v>
      </c>
      <c r="DV211" s="651">
        <f t="shared" ca="1" si="619"/>
        <v>42736</v>
      </c>
      <c r="DW211" s="590">
        <v>1E-4</v>
      </c>
      <c r="DX211" s="651">
        <f t="shared" ca="1" si="620"/>
        <v>42736</v>
      </c>
      <c r="DY211" s="590">
        <f t="shared" si="621"/>
        <v>1E-4</v>
      </c>
      <c r="DZ211" s="1"/>
      <c r="EA211" s="857"/>
      <c r="EB211" s="857"/>
      <c r="EC211" s="857"/>
      <c r="ED211" s="868" t="e">
        <f t="shared" ca="1" si="566"/>
        <v>#NAME?</v>
      </c>
      <c r="EE211" s="863" t="e">
        <f t="shared" ref="EE211:EE260" ca="1" si="641">AS211+ED211</f>
        <v>#NAME?</v>
      </c>
      <c r="EF211" s="590" t="e">
        <f t="shared" ref="EF211:EF260" ca="1" si="642">AU211+ED211</f>
        <v>#NAME?</v>
      </c>
      <c r="EG211" s="862" t="str">
        <f t="shared" ca="1" si="622"/>
        <v/>
      </c>
      <c r="EH211" s="114" t="str">
        <f t="shared" ref="EH211:EH260" ca="1" si="643">IF($BD211,$EG211+IF(VolSkewFlag=1,IF(BQ211&gt;0,$BA211*MIN(BQ211/10%,1)+($BB211-$BA211)*MAX(0,MIN(BQ211/10%-1,1))+($BC211-$BB211)*MAX(0,BQ211/10%-2),$AZ211*MIN(-BQ211/10%,1)+($AY211-$AZ211)*MAX(0,MIN(-BQ211/10%-1,1))+($AX211-$AY211)*MAX(0,-BQ211/10%-2)),0),"")</f>
        <v/>
      </c>
      <c r="EI211" s="109" t="str">
        <f t="shared" ref="EI211:EI260" ca="1" si="644">IF($BD211,$EG211+IF(VolSkewFlag=1,IF(BR211&gt;0,$BA211*MIN(BR211/10%,1)+($BB211-$BA211)*MAX(0,MIN(BR211/10%-1,1))+($BC211-$BB211)*MAX(0,BR211/10%-2),$AZ211*MIN(-BR211/10%,1)+($AY211-$AZ211)*MAX(0,MIN(-BR211/10%-1,1))+($AX211-$AY211)*MAX(0,-BR211/10%-2)),0),"")</f>
        <v/>
      </c>
      <c r="EJ211" s="115">
        <f ca="1">IF(BD211,_xll.xASN(BP211,Strike1,AO211,EH211,0,BM211,0,BI211,BL211,IF(OptControl=4,0,1),0),0)</f>
        <v>0</v>
      </c>
      <c r="EK211" s="108">
        <f ca="1">IF(BD211,_xll.xASN(BP211,Strike2,AO211,EI211,0,BM211,0,BI211,BL211,IF(OptControl=3,1,0),0),0)</f>
        <v>0</v>
      </c>
      <c r="EP211" s="53"/>
      <c r="EQ211" s="1"/>
      <c r="ER211" s="103"/>
      <c r="ES211" s="103"/>
      <c r="ET211" s="1"/>
      <c r="EU211" s="667" t="s">
        <v>424</v>
      </c>
      <c r="EW211" s="53"/>
      <c r="EY211" s="104"/>
      <c r="FN211" s="657">
        <v>42</v>
      </c>
      <c r="FO211" s="469" t="str">
        <f ca="1">IF(OR(FO$169&lt;SwaptionFirstMonthPosition+1,$FN211&lt;SwaptionFirstMonthPosition+1,FO$169&gt;SwaptionFirstMonthPosition+SwaptionNumOfMonths+1,$FN211&gt;SwaptionFirstMonthPosition+SwaptionNumOfMonths+1),"",IF($FN211=FO$169,1,IF($FN211&lt;FO$169,INDEX($FO$170:$IH$241,FO$169,$FN211),SUMPRODUCT(INDEX($FO$325:$IH$396,FO$169,1+SwaptionShift):INDEX($FO$325:$IH$396,FO$169,SwaptionMonthsToGo+SwaptionShift),INDEX($FO$245:$IH$316,$FN211-FO$169,73-FO$169+SwaptionShift):INDEX($FO$245:$IH$316,$FN211-FO$169,72-FO$169+SwaptionMonthsToGo+SwaptionShift))/SQRT(SUM(INDEX($FO366:$IH366,1+SwaptionShift):INDEX($FO366:$IH366,SwaptionMonthsToGo+SwaptionShift))*SUM(INDEX($FO$325:$IH$396,FO$169,1+SwaptionShift):INDEX($FO$325:$IH$396,FO$169,SwaptionMonthsToGo+SwaptionShift))))))</f>
        <v/>
      </c>
      <c r="FP211" s="469" t="str">
        <f ca="1">IF(OR(FP$169&lt;SwaptionFirstMonthPosition+1,$FN211&lt;SwaptionFirstMonthPosition+1,FP$169&gt;SwaptionFirstMonthPosition+SwaptionNumOfMonths+1,$FN211&gt;SwaptionFirstMonthPosition+SwaptionNumOfMonths+1),"",IF($FN211=FP$169,1,IF($FN211&lt;FP$169,INDEX($FO$170:$IH$241,FP$169,$FN211),SUMPRODUCT(INDEX($FO$325:$IH$396,FP$169,1+SwaptionShift):INDEX($FO$325:$IH$396,FP$169,SwaptionMonthsToGo+SwaptionShift),INDEX($FO$245:$IH$316,$FN211-FP$169,73-FP$169+SwaptionShift):INDEX($FO$245:$IH$316,$FN211-FP$169,72-FP$169+SwaptionMonthsToGo+SwaptionShift))/SQRT(SUM(INDEX($FO366:$IH366,1+SwaptionShift):INDEX($FO366:$IH366,SwaptionMonthsToGo+SwaptionShift))*SUM(INDEX($FO$325:$IH$396,FP$169,1+SwaptionShift):INDEX($FO$325:$IH$396,FP$169,SwaptionMonthsToGo+SwaptionShift))))))</f>
        <v/>
      </c>
      <c r="FQ211" s="469" t="str">
        <f ca="1">IF(OR(FQ$169&lt;SwaptionFirstMonthPosition+1,$FN211&lt;SwaptionFirstMonthPosition+1,FQ$169&gt;SwaptionFirstMonthPosition+SwaptionNumOfMonths+1,$FN211&gt;SwaptionFirstMonthPosition+SwaptionNumOfMonths+1),"",IF($FN211=FQ$169,1,IF($FN211&lt;FQ$169,INDEX($FO$170:$IH$241,FQ$169,$FN211),SUMPRODUCT(INDEX($FO$325:$IH$396,FQ$169,1+SwaptionShift):INDEX($FO$325:$IH$396,FQ$169,SwaptionMonthsToGo+SwaptionShift),INDEX($FO$245:$IH$316,$FN211-FQ$169,73-FQ$169+SwaptionShift):INDEX($FO$245:$IH$316,$FN211-FQ$169,72-FQ$169+SwaptionMonthsToGo+SwaptionShift))/SQRT(SUM(INDEX($FO366:$IH366,1+SwaptionShift):INDEX($FO366:$IH366,SwaptionMonthsToGo+SwaptionShift))*SUM(INDEX($FO$325:$IH$396,FQ$169,1+SwaptionShift):INDEX($FO$325:$IH$396,FQ$169,SwaptionMonthsToGo+SwaptionShift))))))</f>
        <v/>
      </c>
      <c r="FR211" s="469" t="str">
        <f ca="1">IF(OR(FR$169&lt;SwaptionFirstMonthPosition+1,$FN211&lt;SwaptionFirstMonthPosition+1,FR$169&gt;SwaptionFirstMonthPosition+SwaptionNumOfMonths+1,$FN211&gt;SwaptionFirstMonthPosition+SwaptionNumOfMonths+1),"",IF($FN211=FR$169,1,IF($FN211&lt;FR$169,INDEX($FO$170:$IH$241,FR$169,$FN211),SUMPRODUCT(INDEX($FO$325:$IH$396,FR$169,1+SwaptionShift):INDEX($FO$325:$IH$396,FR$169,SwaptionMonthsToGo+SwaptionShift),INDEX($FO$245:$IH$316,$FN211-FR$169,73-FR$169+SwaptionShift):INDEX($FO$245:$IH$316,$FN211-FR$169,72-FR$169+SwaptionMonthsToGo+SwaptionShift))/SQRT(SUM(INDEX($FO366:$IH366,1+SwaptionShift):INDEX($FO366:$IH366,SwaptionMonthsToGo+SwaptionShift))*SUM(INDEX($FO$325:$IH$396,FR$169,1+SwaptionShift):INDEX($FO$325:$IH$396,FR$169,SwaptionMonthsToGo+SwaptionShift))))))</f>
        <v/>
      </c>
      <c r="FS211" s="469" t="str">
        <f ca="1">IF(OR(FS$169&lt;SwaptionFirstMonthPosition+1,$FN211&lt;SwaptionFirstMonthPosition+1,FS$169&gt;SwaptionFirstMonthPosition+SwaptionNumOfMonths+1,$FN211&gt;SwaptionFirstMonthPosition+SwaptionNumOfMonths+1),"",IF($FN211=FS$169,1,IF($FN211&lt;FS$169,INDEX($FO$170:$IH$241,FS$169,$FN211),SUMPRODUCT(INDEX($FO$325:$IH$396,FS$169,1+SwaptionShift):INDEX($FO$325:$IH$396,FS$169,SwaptionMonthsToGo+SwaptionShift),INDEX($FO$245:$IH$316,$FN211-FS$169,73-FS$169+SwaptionShift):INDEX($FO$245:$IH$316,$FN211-FS$169,72-FS$169+SwaptionMonthsToGo+SwaptionShift))/SQRT(SUM(INDEX($FO366:$IH366,1+SwaptionShift):INDEX($FO366:$IH366,SwaptionMonthsToGo+SwaptionShift))*SUM(INDEX($FO$325:$IH$396,FS$169,1+SwaptionShift):INDEX($FO$325:$IH$396,FS$169,SwaptionMonthsToGo+SwaptionShift))))))</f>
        <v/>
      </c>
      <c r="FT211" s="469" t="str">
        <f ca="1">IF(OR(FT$169&lt;SwaptionFirstMonthPosition+1,$FN211&lt;SwaptionFirstMonthPosition+1,FT$169&gt;SwaptionFirstMonthPosition+SwaptionNumOfMonths+1,$FN211&gt;SwaptionFirstMonthPosition+SwaptionNumOfMonths+1),"",IF($FN211=FT$169,1,IF($FN211&lt;FT$169,INDEX($FO$170:$IH$241,FT$169,$FN211),SUMPRODUCT(INDEX($FO$325:$IH$396,FT$169,1+SwaptionShift):INDEX($FO$325:$IH$396,FT$169,SwaptionMonthsToGo+SwaptionShift),INDEX($FO$245:$IH$316,$FN211-FT$169,73-FT$169+SwaptionShift):INDEX($FO$245:$IH$316,$FN211-FT$169,72-FT$169+SwaptionMonthsToGo+SwaptionShift))/SQRT(SUM(INDEX($FO366:$IH366,1+SwaptionShift):INDEX($FO366:$IH366,SwaptionMonthsToGo+SwaptionShift))*SUM(INDEX($FO$325:$IH$396,FT$169,1+SwaptionShift):INDEX($FO$325:$IH$396,FT$169,SwaptionMonthsToGo+SwaptionShift))))))</f>
        <v/>
      </c>
      <c r="FU211" s="469" t="str">
        <f ca="1">IF(OR(FU$169&lt;SwaptionFirstMonthPosition+1,$FN211&lt;SwaptionFirstMonthPosition+1,FU$169&gt;SwaptionFirstMonthPosition+SwaptionNumOfMonths+1,$FN211&gt;SwaptionFirstMonthPosition+SwaptionNumOfMonths+1),"",IF($FN211=FU$169,1,IF($FN211&lt;FU$169,INDEX($FO$170:$IH$241,FU$169,$FN211),SUMPRODUCT(INDEX($FO$325:$IH$396,FU$169,1+SwaptionShift):INDEX($FO$325:$IH$396,FU$169,SwaptionMonthsToGo+SwaptionShift),INDEX($FO$245:$IH$316,$FN211-FU$169,73-FU$169+SwaptionShift):INDEX($FO$245:$IH$316,$FN211-FU$169,72-FU$169+SwaptionMonthsToGo+SwaptionShift))/SQRT(SUM(INDEX($FO366:$IH366,1+SwaptionShift):INDEX($FO366:$IH366,SwaptionMonthsToGo+SwaptionShift))*SUM(INDEX($FO$325:$IH$396,FU$169,1+SwaptionShift):INDEX($FO$325:$IH$396,FU$169,SwaptionMonthsToGo+SwaptionShift))))))</f>
        <v/>
      </c>
      <c r="FV211" s="469" t="str">
        <f ca="1">IF(OR(FV$169&lt;SwaptionFirstMonthPosition+1,$FN211&lt;SwaptionFirstMonthPosition+1,FV$169&gt;SwaptionFirstMonthPosition+SwaptionNumOfMonths+1,$FN211&gt;SwaptionFirstMonthPosition+SwaptionNumOfMonths+1),"",IF($FN211=FV$169,1,IF($FN211&lt;FV$169,INDEX($FO$170:$IH$241,FV$169,$FN211),SUMPRODUCT(INDEX($FO$325:$IH$396,FV$169,1+SwaptionShift):INDEX($FO$325:$IH$396,FV$169,SwaptionMonthsToGo+SwaptionShift),INDEX($FO$245:$IH$316,$FN211-FV$169,73-FV$169+SwaptionShift):INDEX($FO$245:$IH$316,$FN211-FV$169,72-FV$169+SwaptionMonthsToGo+SwaptionShift))/SQRT(SUM(INDEX($FO366:$IH366,1+SwaptionShift):INDEX($FO366:$IH366,SwaptionMonthsToGo+SwaptionShift))*SUM(INDEX($FO$325:$IH$396,FV$169,1+SwaptionShift):INDEX($FO$325:$IH$396,FV$169,SwaptionMonthsToGo+SwaptionShift))))))</f>
        <v/>
      </c>
      <c r="FW211" s="469" t="str">
        <f ca="1">IF(OR(FW$169&lt;SwaptionFirstMonthPosition+1,$FN211&lt;SwaptionFirstMonthPosition+1,FW$169&gt;SwaptionFirstMonthPosition+SwaptionNumOfMonths+1,$FN211&gt;SwaptionFirstMonthPosition+SwaptionNumOfMonths+1),"",IF($FN211=FW$169,1,IF($FN211&lt;FW$169,INDEX($FO$170:$IH$241,FW$169,$FN211),SUMPRODUCT(INDEX($FO$325:$IH$396,FW$169,1+SwaptionShift):INDEX($FO$325:$IH$396,FW$169,SwaptionMonthsToGo+SwaptionShift),INDEX($FO$245:$IH$316,$FN211-FW$169,73-FW$169+SwaptionShift):INDEX($FO$245:$IH$316,$FN211-FW$169,72-FW$169+SwaptionMonthsToGo+SwaptionShift))/SQRT(SUM(INDEX($FO366:$IH366,1+SwaptionShift):INDEX($FO366:$IH366,SwaptionMonthsToGo+SwaptionShift))*SUM(INDEX($FO$325:$IH$396,FW$169,1+SwaptionShift):INDEX($FO$325:$IH$396,FW$169,SwaptionMonthsToGo+SwaptionShift))))))</f>
        <v/>
      </c>
      <c r="FX211" s="469" t="str">
        <f ca="1">IF(OR(FX$169&lt;SwaptionFirstMonthPosition+1,$FN211&lt;SwaptionFirstMonthPosition+1,FX$169&gt;SwaptionFirstMonthPosition+SwaptionNumOfMonths+1,$FN211&gt;SwaptionFirstMonthPosition+SwaptionNumOfMonths+1),"",IF($FN211=FX$169,1,IF($FN211&lt;FX$169,INDEX($FO$170:$IH$241,FX$169,$FN211),SUMPRODUCT(INDEX($FO$325:$IH$396,FX$169,1+SwaptionShift):INDEX($FO$325:$IH$396,FX$169,SwaptionMonthsToGo+SwaptionShift),INDEX($FO$245:$IH$316,$FN211-FX$169,73-FX$169+SwaptionShift):INDEX($FO$245:$IH$316,$FN211-FX$169,72-FX$169+SwaptionMonthsToGo+SwaptionShift))/SQRT(SUM(INDEX($FO366:$IH366,1+SwaptionShift):INDEX($FO366:$IH366,SwaptionMonthsToGo+SwaptionShift))*SUM(INDEX($FO$325:$IH$396,FX$169,1+SwaptionShift):INDEX($FO$325:$IH$396,FX$169,SwaptionMonthsToGo+SwaptionShift))))))</f>
        <v/>
      </c>
      <c r="FY211" s="469" t="str">
        <f ca="1">IF(OR(FY$169&lt;SwaptionFirstMonthPosition+1,$FN211&lt;SwaptionFirstMonthPosition+1,FY$169&gt;SwaptionFirstMonthPosition+SwaptionNumOfMonths+1,$FN211&gt;SwaptionFirstMonthPosition+SwaptionNumOfMonths+1),"",IF($FN211=FY$169,1,IF($FN211&lt;FY$169,INDEX($FO$170:$IH$241,FY$169,$FN211),SUMPRODUCT(INDEX($FO$325:$IH$396,FY$169,1+SwaptionShift):INDEX($FO$325:$IH$396,FY$169,SwaptionMonthsToGo+SwaptionShift),INDEX($FO$245:$IH$316,$FN211-FY$169,73-FY$169+SwaptionShift):INDEX($FO$245:$IH$316,$FN211-FY$169,72-FY$169+SwaptionMonthsToGo+SwaptionShift))/SQRT(SUM(INDEX($FO366:$IH366,1+SwaptionShift):INDEX($FO366:$IH366,SwaptionMonthsToGo+SwaptionShift))*SUM(INDEX($FO$325:$IH$396,FY$169,1+SwaptionShift):INDEX($FO$325:$IH$396,FY$169,SwaptionMonthsToGo+SwaptionShift))))))</f>
        <v/>
      </c>
      <c r="FZ211" s="469" t="str">
        <f ca="1">IF(OR(FZ$169&lt;SwaptionFirstMonthPosition+1,$FN211&lt;SwaptionFirstMonthPosition+1,FZ$169&gt;SwaptionFirstMonthPosition+SwaptionNumOfMonths+1,$FN211&gt;SwaptionFirstMonthPosition+SwaptionNumOfMonths+1),"",IF($FN211=FZ$169,1,IF($FN211&lt;FZ$169,INDEX($FO$170:$IH$241,FZ$169,$FN211),SUMPRODUCT(INDEX($FO$325:$IH$396,FZ$169,1+SwaptionShift):INDEX($FO$325:$IH$396,FZ$169,SwaptionMonthsToGo+SwaptionShift),INDEX($FO$245:$IH$316,$FN211-FZ$169,73-FZ$169+SwaptionShift):INDEX($FO$245:$IH$316,$FN211-FZ$169,72-FZ$169+SwaptionMonthsToGo+SwaptionShift))/SQRT(SUM(INDEX($FO366:$IH366,1+SwaptionShift):INDEX($FO366:$IH366,SwaptionMonthsToGo+SwaptionShift))*SUM(INDEX($FO$325:$IH$396,FZ$169,1+SwaptionShift):INDEX($FO$325:$IH$396,FZ$169,SwaptionMonthsToGo+SwaptionShift))))))</f>
        <v/>
      </c>
      <c r="GA211" s="469" t="str">
        <f ca="1">IF(OR(GA$169&lt;SwaptionFirstMonthPosition+1,$FN211&lt;SwaptionFirstMonthPosition+1,GA$169&gt;SwaptionFirstMonthPosition+SwaptionNumOfMonths+1,$FN211&gt;SwaptionFirstMonthPosition+SwaptionNumOfMonths+1),"",IF($FN211=GA$169,1,IF($FN211&lt;GA$169,INDEX($FO$170:$IH$241,GA$169,$FN211),SUMPRODUCT(INDEX($FO$325:$IH$396,GA$169,1+SwaptionShift):INDEX($FO$325:$IH$396,GA$169,SwaptionMonthsToGo+SwaptionShift),INDEX($FO$245:$IH$316,$FN211-GA$169,73-GA$169+SwaptionShift):INDEX($FO$245:$IH$316,$FN211-GA$169,72-GA$169+SwaptionMonthsToGo+SwaptionShift))/SQRT(SUM(INDEX($FO366:$IH366,1+SwaptionShift):INDEX($FO366:$IH366,SwaptionMonthsToGo+SwaptionShift))*SUM(INDEX($FO$325:$IH$396,GA$169,1+SwaptionShift):INDEX($FO$325:$IH$396,GA$169,SwaptionMonthsToGo+SwaptionShift))))))</f>
        <v/>
      </c>
      <c r="GB211" s="469" t="str">
        <f ca="1">IF(OR(GB$169&lt;SwaptionFirstMonthPosition+1,$FN211&lt;SwaptionFirstMonthPosition+1,GB$169&gt;SwaptionFirstMonthPosition+SwaptionNumOfMonths+1,$FN211&gt;SwaptionFirstMonthPosition+SwaptionNumOfMonths+1),"",IF($FN211=GB$169,1,IF($FN211&lt;GB$169,INDEX($FO$170:$IH$241,GB$169,$FN211),SUMPRODUCT(INDEX($FO$325:$IH$396,GB$169,1+SwaptionShift):INDEX($FO$325:$IH$396,GB$169,SwaptionMonthsToGo+SwaptionShift),INDEX($FO$245:$IH$316,$FN211-GB$169,73-GB$169+SwaptionShift):INDEX($FO$245:$IH$316,$FN211-GB$169,72-GB$169+SwaptionMonthsToGo+SwaptionShift))/SQRT(SUM(INDEX($FO366:$IH366,1+SwaptionShift):INDEX($FO366:$IH366,SwaptionMonthsToGo+SwaptionShift))*SUM(INDEX($FO$325:$IH$396,GB$169,1+SwaptionShift):INDEX($FO$325:$IH$396,GB$169,SwaptionMonthsToGo+SwaptionShift))))))</f>
        <v/>
      </c>
      <c r="GC211" s="469" t="str">
        <f ca="1">IF(OR(GC$169&lt;SwaptionFirstMonthPosition+1,$FN211&lt;SwaptionFirstMonthPosition+1,GC$169&gt;SwaptionFirstMonthPosition+SwaptionNumOfMonths+1,$FN211&gt;SwaptionFirstMonthPosition+SwaptionNumOfMonths+1),"",IF($FN211=GC$169,1,IF($FN211&lt;GC$169,INDEX($FO$170:$IH$241,GC$169,$FN211),SUMPRODUCT(INDEX($FO$325:$IH$396,GC$169,1+SwaptionShift):INDEX($FO$325:$IH$396,GC$169,SwaptionMonthsToGo+SwaptionShift),INDEX($FO$245:$IH$316,$FN211-GC$169,73-GC$169+SwaptionShift):INDEX($FO$245:$IH$316,$FN211-GC$169,72-GC$169+SwaptionMonthsToGo+SwaptionShift))/SQRT(SUM(INDEX($FO366:$IH366,1+SwaptionShift):INDEX($FO366:$IH366,SwaptionMonthsToGo+SwaptionShift))*SUM(INDEX($FO$325:$IH$396,GC$169,1+SwaptionShift):INDEX($FO$325:$IH$396,GC$169,SwaptionMonthsToGo+SwaptionShift))))))</f>
        <v/>
      </c>
      <c r="GD211" s="469" t="str">
        <f ca="1">IF(OR(GD$169&lt;SwaptionFirstMonthPosition+1,$FN211&lt;SwaptionFirstMonthPosition+1,GD$169&gt;SwaptionFirstMonthPosition+SwaptionNumOfMonths+1,$FN211&gt;SwaptionFirstMonthPosition+SwaptionNumOfMonths+1),"",IF($FN211=GD$169,1,IF($FN211&lt;GD$169,INDEX($FO$170:$IH$241,GD$169,$FN211),SUMPRODUCT(INDEX($FO$325:$IH$396,GD$169,1+SwaptionShift):INDEX($FO$325:$IH$396,GD$169,SwaptionMonthsToGo+SwaptionShift),INDEX($FO$245:$IH$316,$FN211-GD$169,73-GD$169+SwaptionShift):INDEX($FO$245:$IH$316,$FN211-GD$169,72-GD$169+SwaptionMonthsToGo+SwaptionShift))/SQRT(SUM(INDEX($FO366:$IH366,1+SwaptionShift):INDEX($FO366:$IH366,SwaptionMonthsToGo+SwaptionShift))*SUM(INDEX($FO$325:$IH$396,GD$169,1+SwaptionShift):INDEX($FO$325:$IH$396,GD$169,SwaptionMonthsToGo+SwaptionShift))))))</f>
        <v/>
      </c>
      <c r="GE211" s="469" t="str">
        <f ca="1">IF(OR(GE$169&lt;SwaptionFirstMonthPosition+1,$FN211&lt;SwaptionFirstMonthPosition+1,GE$169&gt;SwaptionFirstMonthPosition+SwaptionNumOfMonths+1,$FN211&gt;SwaptionFirstMonthPosition+SwaptionNumOfMonths+1),"",IF($FN211=GE$169,1,IF($FN211&lt;GE$169,INDEX($FO$170:$IH$241,GE$169,$FN211),SUMPRODUCT(INDEX($FO$325:$IH$396,GE$169,1+SwaptionShift):INDEX($FO$325:$IH$396,GE$169,SwaptionMonthsToGo+SwaptionShift),INDEX($FO$245:$IH$316,$FN211-GE$169,73-GE$169+SwaptionShift):INDEX($FO$245:$IH$316,$FN211-GE$169,72-GE$169+SwaptionMonthsToGo+SwaptionShift))/SQRT(SUM(INDEX($FO366:$IH366,1+SwaptionShift):INDEX($FO366:$IH366,SwaptionMonthsToGo+SwaptionShift))*SUM(INDEX($FO$325:$IH$396,GE$169,1+SwaptionShift):INDEX($FO$325:$IH$396,GE$169,SwaptionMonthsToGo+SwaptionShift))))))</f>
        <v/>
      </c>
      <c r="GF211" s="469" t="str">
        <f ca="1">IF(OR(GF$169&lt;SwaptionFirstMonthPosition+1,$FN211&lt;SwaptionFirstMonthPosition+1,GF$169&gt;SwaptionFirstMonthPosition+SwaptionNumOfMonths+1,$FN211&gt;SwaptionFirstMonthPosition+SwaptionNumOfMonths+1),"",IF($FN211=GF$169,1,IF($FN211&lt;GF$169,INDEX($FO$170:$IH$241,GF$169,$FN211),SUMPRODUCT(INDEX($FO$325:$IH$396,GF$169,1+SwaptionShift):INDEX($FO$325:$IH$396,GF$169,SwaptionMonthsToGo+SwaptionShift),INDEX($FO$245:$IH$316,$FN211-GF$169,73-GF$169+SwaptionShift):INDEX($FO$245:$IH$316,$FN211-GF$169,72-GF$169+SwaptionMonthsToGo+SwaptionShift))/SQRT(SUM(INDEX($FO366:$IH366,1+SwaptionShift):INDEX($FO366:$IH366,SwaptionMonthsToGo+SwaptionShift))*SUM(INDEX($FO$325:$IH$396,GF$169,1+SwaptionShift):INDEX($FO$325:$IH$396,GF$169,SwaptionMonthsToGo+SwaptionShift))))))</f>
        <v/>
      </c>
      <c r="GG211" s="469" t="str">
        <f ca="1">IF(OR(GG$169&lt;SwaptionFirstMonthPosition+1,$FN211&lt;SwaptionFirstMonthPosition+1,GG$169&gt;SwaptionFirstMonthPosition+SwaptionNumOfMonths+1,$FN211&gt;SwaptionFirstMonthPosition+SwaptionNumOfMonths+1),"",IF($FN211=GG$169,1,IF($FN211&lt;GG$169,INDEX($FO$170:$IH$241,GG$169,$FN211),SUMPRODUCT(INDEX($FO$325:$IH$396,GG$169,1+SwaptionShift):INDEX($FO$325:$IH$396,GG$169,SwaptionMonthsToGo+SwaptionShift),INDEX($FO$245:$IH$316,$FN211-GG$169,73-GG$169+SwaptionShift):INDEX($FO$245:$IH$316,$FN211-GG$169,72-GG$169+SwaptionMonthsToGo+SwaptionShift))/SQRT(SUM(INDEX($FO366:$IH366,1+SwaptionShift):INDEX($FO366:$IH366,SwaptionMonthsToGo+SwaptionShift))*SUM(INDEX($FO$325:$IH$396,GG$169,1+SwaptionShift):INDEX($FO$325:$IH$396,GG$169,SwaptionMonthsToGo+SwaptionShift))))))</f>
        <v/>
      </c>
      <c r="GH211" s="469" t="str">
        <f ca="1">IF(OR(GH$169&lt;SwaptionFirstMonthPosition+1,$FN211&lt;SwaptionFirstMonthPosition+1,GH$169&gt;SwaptionFirstMonthPosition+SwaptionNumOfMonths+1,$FN211&gt;SwaptionFirstMonthPosition+SwaptionNumOfMonths+1),"",IF($FN211=GH$169,1,IF($FN211&lt;GH$169,INDEX($FO$170:$IH$241,GH$169,$FN211),SUMPRODUCT(INDEX($FO$325:$IH$396,GH$169,1+SwaptionShift):INDEX($FO$325:$IH$396,GH$169,SwaptionMonthsToGo+SwaptionShift),INDEX($FO$245:$IH$316,$FN211-GH$169,73-GH$169+SwaptionShift):INDEX($FO$245:$IH$316,$FN211-GH$169,72-GH$169+SwaptionMonthsToGo+SwaptionShift))/SQRT(SUM(INDEX($FO366:$IH366,1+SwaptionShift):INDEX($FO366:$IH366,SwaptionMonthsToGo+SwaptionShift))*SUM(INDEX($FO$325:$IH$396,GH$169,1+SwaptionShift):INDEX($FO$325:$IH$396,GH$169,SwaptionMonthsToGo+SwaptionShift))))))</f>
        <v/>
      </c>
      <c r="GI211" s="469" t="str">
        <f ca="1">IF(OR(GI$169&lt;SwaptionFirstMonthPosition+1,$FN211&lt;SwaptionFirstMonthPosition+1,GI$169&gt;SwaptionFirstMonthPosition+SwaptionNumOfMonths+1,$FN211&gt;SwaptionFirstMonthPosition+SwaptionNumOfMonths+1),"",IF($FN211=GI$169,1,IF($FN211&lt;GI$169,INDEX($FO$170:$IH$241,GI$169,$FN211),SUMPRODUCT(INDEX($FO$325:$IH$396,GI$169,1+SwaptionShift):INDEX($FO$325:$IH$396,GI$169,SwaptionMonthsToGo+SwaptionShift),INDEX($FO$245:$IH$316,$FN211-GI$169,73-GI$169+SwaptionShift):INDEX($FO$245:$IH$316,$FN211-GI$169,72-GI$169+SwaptionMonthsToGo+SwaptionShift))/SQRT(SUM(INDEX($FO366:$IH366,1+SwaptionShift):INDEX($FO366:$IH366,SwaptionMonthsToGo+SwaptionShift))*SUM(INDEX($FO$325:$IH$396,GI$169,1+SwaptionShift):INDEX($FO$325:$IH$396,GI$169,SwaptionMonthsToGo+SwaptionShift))))))</f>
        <v/>
      </c>
      <c r="GJ211" s="469" t="str">
        <f ca="1">IF(OR(GJ$169&lt;SwaptionFirstMonthPosition+1,$FN211&lt;SwaptionFirstMonthPosition+1,GJ$169&gt;SwaptionFirstMonthPosition+SwaptionNumOfMonths+1,$FN211&gt;SwaptionFirstMonthPosition+SwaptionNumOfMonths+1),"",IF($FN211=GJ$169,1,IF($FN211&lt;GJ$169,INDEX($FO$170:$IH$241,GJ$169,$FN211),SUMPRODUCT(INDEX($FO$325:$IH$396,GJ$169,1+SwaptionShift):INDEX($FO$325:$IH$396,GJ$169,SwaptionMonthsToGo+SwaptionShift),INDEX($FO$245:$IH$316,$FN211-GJ$169,73-GJ$169+SwaptionShift):INDEX($FO$245:$IH$316,$FN211-GJ$169,72-GJ$169+SwaptionMonthsToGo+SwaptionShift))/SQRT(SUM(INDEX($FO366:$IH366,1+SwaptionShift):INDEX($FO366:$IH366,SwaptionMonthsToGo+SwaptionShift))*SUM(INDEX($FO$325:$IH$396,GJ$169,1+SwaptionShift):INDEX($FO$325:$IH$396,GJ$169,SwaptionMonthsToGo+SwaptionShift))))))</f>
        <v/>
      </c>
      <c r="GK211" s="469" t="str">
        <f ca="1">IF(OR(GK$169&lt;SwaptionFirstMonthPosition+1,$FN211&lt;SwaptionFirstMonthPosition+1,GK$169&gt;SwaptionFirstMonthPosition+SwaptionNumOfMonths+1,$FN211&gt;SwaptionFirstMonthPosition+SwaptionNumOfMonths+1),"",IF($FN211=GK$169,1,IF($FN211&lt;GK$169,INDEX($FO$170:$IH$241,GK$169,$FN211),SUMPRODUCT(INDEX($FO$325:$IH$396,GK$169,1+SwaptionShift):INDEX($FO$325:$IH$396,GK$169,SwaptionMonthsToGo+SwaptionShift),INDEX($FO$245:$IH$316,$FN211-GK$169,73-GK$169+SwaptionShift):INDEX($FO$245:$IH$316,$FN211-GK$169,72-GK$169+SwaptionMonthsToGo+SwaptionShift))/SQRT(SUM(INDEX($FO366:$IH366,1+SwaptionShift):INDEX($FO366:$IH366,SwaptionMonthsToGo+SwaptionShift))*SUM(INDEX($FO$325:$IH$396,GK$169,1+SwaptionShift):INDEX($FO$325:$IH$396,GK$169,SwaptionMonthsToGo+SwaptionShift))))))</f>
        <v/>
      </c>
      <c r="GL211" s="469" t="str">
        <f ca="1">IF(OR(GL$169&lt;SwaptionFirstMonthPosition+1,$FN211&lt;SwaptionFirstMonthPosition+1,GL$169&gt;SwaptionFirstMonthPosition+SwaptionNumOfMonths+1,$FN211&gt;SwaptionFirstMonthPosition+SwaptionNumOfMonths+1),"",IF($FN211=GL$169,1,IF($FN211&lt;GL$169,INDEX($FO$170:$IH$241,GL$169,$FN211),SUMPRODUCT(INDEX($FO$325:$IH$396,GL$169,1+SwaptionShift):INDEX($FO$325:$IH$396,GL$169,SwaptionMonthsToGo+SwaptionShift),INDEX($FO$245:$IH$316,$FN211-GL$169,73-GL$169+SwaptionShift):INDEX($FO$245:$IH$316,$FN211-GL$169,72-GL$169+SwaptionMonthsToGo+SwaptionShift))/SQRT(SUM(INDEX($FO366:$IH366,1+SwaptionShift):INDEX($FO366:$IH366,SwaptionMonthsToGo+SwaptionShift))*SUM(INDEX($FO$325:$IH$396,GL$169,1+SwaptionShift):INDEX($FO$325:$IH$396,GL$169,SwaptionMonthsToGo+SwaptionShift))))))</f>
        <v/>
      </c>
      <c r="GM211" s="469" t="str">
        <f ca="1">IF(OR(GM$169&lt;SwaptionFirstMonthPosition+1,$FN211&lt;SwaptionFirstMonthPosition+1,GM$169&gt;SwaptionFirstMonthPosition+SwaptionNumOfMonths+1,$FN211&gt;SwaptionFirstMonthPosition+SwaptionNumOfMonths+1),"",IF($FN211=GM$169,1,IF($FN211&lt;GM$169,INDEX($FO$170:$IH$241,GM$169,$FN211),SUMPRODUCT(INDEX($FO$325:$IH$396,GM$169,1+SwaptionShift):INDEX($FO$325:$IH$396,GM$169,SwaptionMonthsToGo+SwaptionShift),INDEX($FO$245:$IH$316,$FN211-GM$169,73-GM$169+SwaptionShift):INDEX($FO$245:$IH$316,$FN211-GM$169,72-GM$169+SwaptionMonthsToGo+SwaptionShift))/SQRT(SUM(INDEX($FO366:$IH366,1+SwaptionShift):INDEX($FO366:$IH366,SwaptionMonthsToGo+SwaptionShift))*SUM(INDEX($FO$325:$IH$396,GM$169,1+SwaptionShift):INDEX($FO$325:$IH$396,GM$169,SwaptionMonthsToGo+SwaptionShift))))))</f>
        <v/>
      </c>
      <c r="GN211" s="469" t="str">
        <f ca="1">IF(OR(GN$169&lt;SwaptionFirstMonthPosition+1,$FN211&lt;SwaptionFirstMonthPosition+1,GN$169&gt;SwaptionFirstMonthPosition+SwaptionNumOfMonths+1,$FN211&gt;SwaptionFirstMonthPosition+SwaptionNumOfMonths+1),"",IF($FN211=GN$169,1,IF($FN211&lt;GN$169,INDEX($FO$170:$IH$241,GN$169,$FN211),SUMPRODUCT(INDEX($FO$325:$IH$396,GN$169,1+SwaptionShift):INDEX($FO$325:$IH$396,GN$169,SwaptionMonthsToGo+SwaptionShift),INDEX($FO$245:$IH$316,$FN211-GN$169,73-GN$169+SwaptionShift):INDEX($FO$245:$IH$316,$FN211-GN$169,72-GN$169+SwaptionMonthsToGo+SwaptionShift))/SQRT(SUM(INDEX($FO366:$IH366,1+SwaptionShift):INDEX($FO366:$IH366,SwaptionMonthsToGo+SwaptionShift))*SUM(INDEX($FO$325:$IH$396,GN$169,1+SwaptionShift):INDEX($FO$325:$IH$396,GN$169,SwaptionMonthsToGo+SwaptionShift))))))</f>
        <v/>
      </c>
      <c r="GO211" s="469" t="str">
        <f ca="1">IF(OR(GO$169&lt;SwaptionFirstMonthPosition+1,$FN211&lt;SwaptionFirstMonthPosition+1,GO$169&gt;SwaptionFirstMonthPosition+SwaptionNumOfMonths+1,$FN211&gt;SwaptionFirstMonthPosition+SwaptionNumOfMonths+1),"",IF($FN211=GO$169,1,IF($FN211&lt;GO$169,INDEX($FO$170:$IH$241,GO$169,$FN211),SUMPRODUCT(INDEX($FO$325:$IH$396,GO$169,1+SwaptionShift):INDEX($FO$325:$IH$396,GO$169,SwaptionMonthsToGo+SwaptionShift),INDEX($FO$245:$IH$316,$FN211-GO$169,73-GO$169+SwaptionShift):INDEX($FO$245:$IH$316,$FN211-GO$169,72-GO$169+SwaptionMonthsToGo+SwaptionShift))/SQRT(SUM(INDEX($FO366:$IH366,1+SwaptionShift):INDEX($FO366:$IH366,SwaptionMonthsToGo+SwaptionShift))*SUM(INDEX($FO$325:$IH$396,GO$169,1+SwaptionShift):INDEX($FO$325:$IH$396,GO$169,SwaptionMonthsToGo+SwaptionShift))))))</f>
        <v/>
      </c>
      <c r="GP211" s="469" t="str">
        <f ca="1">IF(OR(GP$169&lt;SwaptionFirstMonthPosition+1,$FN211&lt;SwaptionFirstMonthPosition+1,GP$169&gt;SwaptionFirstMonthPosition+SwaptionNumOfMonths+1,$FN211&gt;SwaptionFirstMonthPosition+SwaptionNumOfMonths+1),"",IF($FN211=GP$169,1,IF($FN211&lt;GP$169,INDEX($FO$170:$IH$241,GP$169,$FN211),SUMPRODUCT(INDEX($FO$325:$IH$396,GP$169,1+SwaptionShift):INDEX($FO$325:$IH$396,GP$169,SwaptionMonthsToGo+SwaptionShift),INDEX($FO$245:$IH$316,$FN211-GP$169,73-GP$169+SwaptionShift):INDEX($FO$245:$IH$316,$FN211-GP$169,72-GP$169+SwaptionMonthsToGo+SwaptionShift))/SQRT(SUM(INDEX($FO366:$IH366,1+SwaptionShift):INDEX($FO366:$IH366,SwaptionMonthsToGo+SwaptionShift))*SUM(INDEX($FO$325:$IH$396,GP$169,1+SwaptionShift):INDEX($FO$325:$IH$396,GP$169,SwaptionMonthsToGo+SwaptionShift))))))</f>
        <v/>
      </c>
      <c r="GQ211" s="469" t="str">
        <f ca="1">IF(OR(GQ$169&lt;SwaptionFirstMonthPosition+1,$FN211&lt;SwaptionFirstMonthPosition+1,GQ$169&gt;SwaptionFirstMonthPosition+SwaptionNumOfMonths+1,$FN211&gt;SwaptionFirstMonthPosition+SwaptionNumOfMonths+1),"",IF($FN211=GQ$169,1,IF($FN211&lt;GQ$169,INDEX($FO$170:$IH$241,GQ$169,$FN211),SUMPRODUCT(INDEX($FO$325:$IH$396,GQ$169,1+SwaptionShift):INDEX($FO$325:$IH$396,GQ$169,SwaptionMonthsToGo+SwaptionShift),INDEX($FO$245:$IH$316,$FN211-GQ$169,73-GQ$169+SwaptionShift):INDEX($FO$245:$IH$316,$FN211-GQ$169,72-GQ$169+SwaptionMonthsToGo+SwaptionShift))/SQRT(SUM(INDEX($FO366:$IH366,1+SwaptionShift):INDEX($FO366:$IH366,SwaptionMonthsToGo+SwaptionShift))*SUM(INDEX($FO$325:$IH$396,GQ$169,1+SwaptionShift):INDEX($FO$325:$IH$396,GQ$169,SwaptionMonthsToGo+SwaptionShift))))))</f>
        <v/>
      </c>
      <c r="GR211" s="469" t="str">
        <f ca="1">IF(OR(GR$169&lt;SwaptionFirstMonthPosition+1,$FN211&lt;SwaptionFirstMonthPosition+1,GR$169&gt;SwaptionFirstMonthPosition+SwaptionNumOfMonths+1,$FN211&gt;SwaptionFirstMonthPosition+SwaptionNumOfMonths+1),"",IF($FN211=GR$169,1,IF($FN211&lt;GR$169,INDEX($FO$170:$IH$241,GR$169,$FN211),SUMPRODUCT(INDEX($FO$325:$IH$396,GR$169,1+SwaptionShift):INDEX($FO$325:$IH$396,GR$169,SwaptionMonthsToGo+SwaptionShift),INDEX($FO$245:$IH$316,$FN211-GR$169,73-GR$169+SwaptionShift):INDEX($FO$245:$IH$316,$FN211-GR$169,72-GR$169+SwaptionMonthsToGo+SwaptionShift))/SQRT(SUM(INDEX($FO366:$IH366,1+SwaptionShift):INDEX($FO366:$IH366,SwaptionMonthsToGo+SwaptionShift))*SUM(INDEX($FO$325:$IH$396,GR$169,1+SwaptionShift):INDEX($FO$325:$IH$396,GR$169,SwaptionMonthsToGo+SwaptionShift))))))</f>
        <v/>
      </c>
      <c r="GS211" s="469" t="str">
        <f ca="1">IF(OR(GS$169&lt;SwaptionFirstMonthPosition+1,$FN211&lt;SwaptionFirstMonthPosition+1,GS$169&gt;SwaptionFirstMonthPosition+SwaptionNumOfMonths+1,$FN211&gt;SwaptionFirstMonthPosition+SwaptionNumOfMonths+1),"",IF($FN211=GS$169,1,IF($FN211&lt;GS$169,INDEX($FO$170:$IH$241,GS$169,$FN211),SUMPRODUCT(INDEX($FO$325:$IH$396,GS$169,1+SwaptionShift):INDEX($FO$325:$IH$396,GS$169,SwaptionMonthsToGo+SwaptionShift),INDEX($FO$245:$IH$316,$FN211-GS$169,73-GS$169+SwaptionShift):INDEX($FO$245:$IH$316,$FN211-GS$169,72-GS$169+SwaptionMonthsToGo+SwaptionShift))/SQRT(SUM(INDEX($FO366:$IH366,1+SwaptionShift):INDEX($FO366:$IH366,SwaptionMonthsToGo+SwaptionShift))*SUM(INDEX($FO$325:$IH$396,GS$169,1+SwaptionShift):INDEX($FO$325:$IH$396,GS$169,SwaptionMonthsToGo+SwaptionShift))))))</f>
        <v/>
      </c>
      <c r="GT211" s="469" t="str">
        <f ca="1">IF(OR(GT$169&lt;SwaptionFirstMonthPosition+1,$FN211&lt;SwaptionFirstMonthPosition+1,GT$169&gt;SwaptionFirstMonthPosition+SwaptionNumOfMonths+1,$FN211&gt;SwaptionFirstMonthPosition+SwaptionNumOfMonths+1),"",IF($FN211=GT$169,1,IF($FN211&lt;GT$169,INDEX($FO$170:$IH$241,GT$169,$FN211),SUMPRODUCT(INDEX($FO$325:$IH$396,GT$169,1+SwaptionShift):INDEX($FO$325:$IH$396,GT$169,SwaptionMonthsToGo+SwaptionShift),INDEX($FO$245:$IH$316,$FN211-GT$169,73-GT$169+SwaptionShift):INDEX($FO$245:$IH$316,$FN211-GT$169,72-GT$169+SwaptionMonthsToGo+SwaptionShift))/SQRT(SUM(INDEX($FO366:$IH366,1+SwaptionShift):INDEX($FO366:$IH366,SwaptionMonthsToGo+SwaptionShift))*SUM(INDEX($FO$325:$IH$396,GT$169,1+SwaptionShift):INDEX($FO$325:$IH$396,GT$169,SwaptionMonthsToGo+SwaptionShift))))))</f>
        <v/>
      </c>
      <c r="GU211" s="469" t="str">
        <f ca="1">IF(OR(GU$169&lt;SwaptionFirstMonthPosition+1,$FN211&lt;SwaptionFirstMonthPosition+1,GU$169&gt;SwaptionFirstMonthPosition+SwaptionNumOfMonths+1,$FN211&gt;SwaptionFirstMonthPosition+SwaptionNumOfMonths+1),"",IF($FN211=GU$169,1,IF($FN211&lt;GU$169,INDEX($FO$170:$IH$241,GU$169,$FN211),SUMPRODUCT(INDEX($FO$325:$IH$396,GU$169,1+SwaptionShift):INDEX($FO$325:$IH$396,GU$169,SwaptionMonthsToGo+SwaptionShift),INDEX($FO$245:$IH$316,$FN211-GU$169,73-GU$169+SwaptionShift):INDEX($FO$245:$IH$316,$FN211-GU$169,72-GU$169+SwaptionMonthsToGo+SwaptionShift))/SQRT(SUM(INDEX($FO366:$IH366,1+SwaptionShift):INDEX($FO366:$IH366,SwaptionMonthsToGo+SwaptionShift))*SUM(INDEX($FO$325:$IH$396,GU$169,1+SwaptionShift):INDEX($FO$325:$IH$396,GU$169,SwaptionMonthsToGo+SwaptionShift))))))</f>
        <v/>
      </c>
      <c r="GV211" s="469" t="str">
        <f ca="1">IF(OR(GV$169&lt;SwaptionFirstMonthPosition+1,$FN211&lt;SwaptionFirstMonthPosition+1,GV$169&gt;SwaptionFirstMonthPosition+SwaptionNumOfMonths+1,$FN211&gt;SwaptionFirstMonthPosition+SwaptionNumOfMonths+1),"",IF($FN211=GV$169,1,IF($FN211&lt;GV$169,INDEX($FO$170:$IH$241,GV$169,$FN211),SUMPRODUCT(INDEX($FO$325:$IH$396,GV$169,1+SwaptionShift):INDEX($FO$325:$IH$396,GV$169,SwaptionMonthsToGo+SwaptionShift),INDEX($FO$245:$IH$316,$FN211-GV$169,73-GV$169+SwaptionShift):INDEX($FO$245:$IH$316,$FN211-GV$169,72-GV$169+SwaptionMonthsToGo+SwaptionShift))/SQRT(SUM(INDEX($FO366:$IH366,1+SwaptionShift):INDEX($FO366:$IH366,SwaptionMonthsToGo+SwaptionShift))*SUM(INDEX($FO$325:$IH$396,GV$169,1+SwaptionShift):INDEX($FO$325:$IH$396,GV$169,SwaptionMonthsToGo+SwaptionShift))))))</f>
        <v/>
      </c>
      <c r="GW211" s="469" t="str">
        <f ca="1">IF(OR(GW$169&lt;SwaptionFirstMonthPosition+1,$FN211&lt;SwaptionFirstMonthPosition+1,GW$169&gt;SwaptionFirstMonthPosition+SwaptionNumOfMonths+1,$FN211&gt;SwaptionFirstMonthPosition+SwaptionNumOfMonths+1),"",IF($FN211=GW$169,1,IF($FN211&lt;GW$169,INDEX($FO$170:$IH$241,GW$169,$FN211),SUMPRODUCT(INDEX($FO$325:$IH$396,GW$169,1+SwaptionShift):INDEX($FO$325:$IH$396,GW$169,SwaptionMonthsToGo+SwaptionShift),INDEX($FO$245:$IH$316,$FN211-GW$169,73-GW$169+SwaptionShift):INDEX($FO$245:$IH$316,$FN211-GW$169,72-GW$169+SwaptionMonthsToGo+SwaptionShift))/SQRT(SUM(INDEX($FO366:$IH366,1+SwaptionShift):INDEX($FO366:$IH366,SwaptionMonthsToGo+SwaptionShift))*SUM(INDEX($FO$325:$IH$396,GW$169,1+SwaptionShift):INDEX($FO$325:$IH$396,GW$169,SwaptionMonthsToGo+SwaptionShift))))))</f>
        <v/>
      </c>
      <c r="GX211" s="469" t="str">
        <f ca="1">IF(OR(GX$169&lt;SwaptionFirstMonthPosition+1,$FN211&lt;SwaptionFirstMonthPosition+1,GX$169&gt;SwaptionFirstMonthPosition+SwaptionNumOfMonths+1,$FN211&gt;SwaptionFirstMonthPosition+SwaptionNumOfMonths+1),"",IF($FN211=GX$169,1,IF($FN211&lt;GX$169,INDEX($FO$170:$IH$241,GX$169,$FN211),SUMPRODUCT(INDEX($FO$325:$IH$396,GX$169,1+SwaptionShift):INDEX($FO$325:$IH$396,GX$169,SwaptionMonthsToGo+SwaptionShift),INDEX($FO$245:$IH$316,$FN211-GX$169,73-GX$169+SwaptionShift):INDEX($FO$245:$IH$316,$FN211-GX$169,72-GX$169+SwaptionMonthsToGo+SwaptionShift))/SQRT(SUM(INDEX($FO366:$IH366,1+SwaptionShift):INDEX($FO366:$IH366,SwaptionMonthsToGo+SwaptionShift))*SUM(INDEX($FO$325:$IH$396,GX$169,1+SwaptionShift):INDEX($FO$325:$IH$396,GX$169,SwaptionMonthsToGo+SwaptionShift))))))</f>
        <v/>
      </c>
      <c r="GY211" s="469" t="str">
        <f ca="1">IF(OR(GY$169&lt;SwaptionFirstMonthPosition+1,$FN211&lt;SwaptionFirstMonthPosition+1,GY$169&gt;SwaptionFirstMonthPosition+SwaptionNumOfMonths+1,$FN211&gt;SwaptionFirstMonthPosition+SwaptionNumOfMonths+1),"",IF($FN211=GY$169,1,IF($FN211&lt;GY$169,INDEX($FO$170:$IH$241,GY$169,$FN211),SUMPRODUCT(INDEX($FO$325:$IH$396,GY$169,1+SwaptionShift):INDEX($FO$325:$IH$396,GY$169,SwaptionMonthsToGo+SwaptionShift),INDEX($FO$245:$IH$316,$FN211-GY$169,73-GY$169+SwaptionShift):INDEX($FO$245:$IH$316,$FN211-GY$169,72-GY$169+SwaptionMonthsToGo+SwaptionShift))/SQRT(SUM(INDEX($FO366:$IH366,1+SwaptionShift):INDEX($FO366:$IH366,SwaptionMonthsToGo+SwaptionShift))*SUM(INDEX($FO$325:$IH$396,GY$169,1+SwaptionShift):INDEX($FO$325:$IH$396,GY$169,SwaptionMonthsToGo+SwaptionShift))))))</f>
        <v/>
      </c>
      <c r="GZ211" s="469" t="str">
        <f ca="1">IF(OR(GZ$169&lt;SwaptionFirstMonthPosition+1,$FN211&lt;SwaptionFirstMonthPosition+1,GZ$169&gt;SwaptionFirstMonthPosition+SwaptionNumOfMonths+1,$FN211&gt;SwaptionFirstMonthPosition+SwaptionNumOfMonths+1),"",IF($FN211=GZ$169,1,IF($FN211&lt;GZ$169,INDEX($FO$170:$IH$241,GZ$169,$FN211),SUMPRODUCT(INDEX($FO$325:$IH$396,GZ$169,1+SwaptionShift):INDEX($FO$325:$IH$396,GZ$169,SwaptionMonthsToGo+SwaptionShift),INDEX($FO$245:$IH$316,$FN211-GZ$169,73-GZ$169+SwaptionShift):INDEX($FO$245:$IH$316,$FN211-GZ$169,72-GZ$169+SwaptionMonthsToGo+SwaptionShift))/SQRT(SUM(INDEX($FO366:$IH366,1+SwaptionShift):INDEX($FO366:$IH366,SwaptionMonthsToGo+SwaptionShift))*SUM(INDEX($FO$325:$IH$396,GZ$169,1+SwaptionShift):INDEX($FO$325:$IH$396,GZ$169,SwaptionMonthsToGo+SwaptionShift))))))</f>
        <v/>
      </c>
      <c r="HA211" s="469" t="str">
        <f ca="1">IF(OR(HA$169&lt;SwaptionFirstMonthPosition+1,$FN211&lt;SwaptionFirstMonthPosition+1,HA$169&gt;SwaptionFirstMonthPosition+SwaptionNumOfMonths+1,$FN211&gt;SwaptionFirstMonthPosition+SwaptionNumOfMonths+1),"",IF($FN211=HA$169,1,IF($FN211&lt;HA$169,INDEX($FO$170:$IH$241,HA$169,$FN211),SUMPRODUCT(INDEX($FO$325:$IH$396,HA$169,1+SwaptionShift):INDEX($FO$325:$IH$396,HA$169,SwaptionMonthsToGo+SwaptionShift),INDEX($FO$245:$IH$316,$FN211-HA$169,73-HA$169+SwaptionShift):INDEX($FO$245:$IH$316,$FN211-HA$169,72-HA$169+SwaptionMonthsToGo+SwaptionShift))/SQRT(SUM(INDEX($FO366:$IH366,1+SwaptionShift):INDEX($FO366:$IH366,SwaptionMonthsToGo+SwaptionShift))*SUM(INDEX($FO$325:$IH$396,HA$169,1+SwaptionShift):INDEX($FO$325:$IH$396,HA$169,SwaptionMonthsToGo+SwaptionShift))))))</f>
        <v/>
      </c>
      <c r="HB211" s="469" t="str">
        <f ca="1">IF(OR(HB$169&lt;SwaptionFirstMonthPosition+1,$FN211&lt;SwaptionFirstMonthPosition+1,HB$169&gt;SwaptionFirstMonthPosition+SwaptionNumOfMonths+1,$FN211&gt;SwaptionFirstMonthPosition+SwaptionNumOfMonths+1),"",IF($FN211=HB$169,1,IF($FN211&lt;HB$169,INDEX($FO$170:$IH$241,HB$169,$FN211),SUMPRODUCT(INDEX($FO$325:$IH$396,HB$169,1+SwaptionShift):INDEX($FO$325:$IH$396,HB$169,SwaptionMonthsToGo+SwaptionShift),INDEX($FO$245:$IH$316,$FN211-HB$169,73-HB$169+SwaptionShift):INDEX($FO$245:$IH$316,$FN211-HB$169,72-HB$169+SwaptionMonthsToGo+SwaptionShift))/SQRT(SUM(INDEX($FO366:$IH366,1+SwaptionShift):INDEX($FO366:$IH366,SwaptionMonthsToGo+SwaptionShift))*SUM(INDEX($FO$325:$IH$396,HB$169,1+SwaptionShift):INDEX($FO$325:$IH$396,HB$169,SwaptionMonthsToGo+SwaptionShift))))))</f>
        <v/>
      </c>
      <c r="HC211" s="469" t="str">
        <f ca="1">IF(OR(HC$169&lt;SwaptionFirstMonthPosition+1,$FN211&lt;SwaptionFirstMonthPosition+1,HC$169&gt;SwaptionFirstMonthPosition+SwaptionNumOfMonths+1,$FN211&gt;SwaptionFirstMonthPosition+SwaptionNumOfMonths+1),"",IF($FN211=HC$169,1,IF($FN211&lt;HC$169,INDEX($FO$170:$IH$241,HC$169,$FN211),SUMPRODUCT(INDEX($FO$325:$IH$396,HC$169,1+SwaptionShift):INDEX($FO$325:$IH$396,HC$169,SwaptionMonthsToGo+SwaptionShift),INDEX($FO$245:$IH$316,$FN211-HC$169,73-HC$169+SwaptionShift):INDEX($FO$245:$IH$316,$FN211-HC$169,72-HC$169+SwaptionMonthsToGo+SwaptionShift))/SQRT(SUM(INDEX($FO366:$IH366,1+SwaptionShift):INDEX($FO366:$IH366,SwaptionMonthsToGo+SwaptionShift))*SUM(INDEX($FO$325:$IH$396,HC$169,1+SwaptionShift):INDEX($FO$325:$IH$396,HC$169,SwaptionMonthsToGo+SwaptionShift))))))</f>
        <v/>
      </c>
      <c r="HD211" s="469" t="str">
        <f ca="1">IF(OR(HD$169&lt;SwaptionFirstMonthPosition+1,$FN211&lt;SwaptionFirstMonthPosition+1,HD$169&gt;SwaptionFirstMonthPosition+SwaptionNumOfMonths+1,$FN211&gt;SwaptionFirstMonthPosition+SwaptionNumOfMonths+1),"",IF($FN211=HD$169,1,IF($FN211&lt;HD$169,INDEX($FO$170:$IH$241,HD$169,$FN211),SUMPRODUCT(INDEX($FO$325:$IH$396,HD$169,1+SwaptionShift):INDEX($FO$325:$IH$396,HD$169,SwaptionMonthsToGo+SwaptionShift),INDEX($FO$245:$IH$316,$FN211-HD$169,73-HD$169+SwaptionShift):INDEX($FO$245:$IH$316,$FN211-HD$169,72-HD$169+SwaptionMonthsToGo+SwaptionShift))/SQRT(SUM(INDEX($FO366:$IH366,1+SwaptionShift):INDEX($FO366:$IH366,SwaptionMonthsToGo+SwaptionShift))*SUM(INDEX($FO$325:$IH$396,HD$169,1+SwaptionShift):INDEX($FO$325:$IH$396,HD$169,SwaptionMonthsToGo+SwaptionShift))))))</f>
        <v/>
      </c>
      <c r="HE211" s="469" t="str">
        <f ca="1">IF(OR(HE$169&lt;SwaptionFirstMonthPosition+1,$FN211&lt;SwaptionFirstMonthPosition+1,HE$169&gt;SwaptionFirstMonthPosition+SwaptionNumOfMonths+1,$FN211&gt;SwaptionFirstMonthPosition+SwaptionNumOfMonths+1),"",IF($FN211=HE$169,1,IF($FN211&lt;HE$169,INDEX($FO$170:$IH$241,HE$169,$FN211),SUMPRODUCT(INDEX($FO$325:$IH$396,HE$169,1+SwaptionShift):INDEX($FO$325:$IH$396,HE$169,SwaptionMonthsToGo+SwaptionShift),INDEX($FO$245:$IH$316,$FN211-HE$169,73-HE$169+SwaptionShift):INDEX($FO$245:$IH$316,$FN211-HE$169,72-HE$169+SwaptionMonthsToGo+SwaptionShift))/SQRT(SUM(INDEX($FO366:$IH366,1+SwaptionShift):INDEX($FO366:$IH366,SwaptionMonthsToGo+SwaptionShift))*SUM(INDEX($FO$325:$IH$396,HE$169,1+SwaptionShift):INDEX($FO$325:$IH$396,HE$169,SwaptionMonthsToGo+SwaptionShift))))))</f>
        <v/>
      </c>
      <c r="HF211" s="469" t="str">
        <f ca="1">IF(OR(HF$169&lt;SwaptionFirstMonthPosition+1,$FN211&lt;SwaptionFirstMonthPosition+1,HF$169&gt;SwaptionFirstMonthPosition+SwaptionNumOfMonths+1,$FN211&gt;SwaptionFirstMonthPosition+SwaptionNumOfMonths+1),"",IF($FN211=HF$169,1,IF($FN211&lt;HF$169,INDEX($FO$170:$IH$241,HF$169,$FN211),SUMPRODUCT(INDEX($FO$325:$IH$396,HF$169,1+SwaptionShift):INDEX($FO$325:$IH$396,HF$169,SwaptionMonthsToGo+SwaptionShift),INDEX($FO$245:$IH$316,$FN211-HF$169,73-HF$169+SwaptionShift):INDEX($FO$245:$IH$316,$FN211-HF$169,72-HF$169+SwaptionMonthsToGo+SwaptionShift))/SQRT(SUM(INDEX($FO366:$IH366,1+SwaptionShift):INDEX($FO366:$IH366,SwaptionMonthsToGo+SwaptionShift))*SUM(INDEX($FO$325:$IH$396,HF$169,1+SwaptionShift):INDEX($FO$325:$IH$396,HF$169,SwaptionMonthsToGo+SwaptionShift))))))</f>
        <v/>
      </c>
      <c r="HG211" s="469" t="str">
        <f ca="1">IF(OR(HG$169&lt;SwaptionFirstMonthPosition+1,$FN211&lt;SwaptionFirstMonthPosition+1,HG$169&gt;SwaptionFirstMonthPosition+SwaptionNumOfMonths+1,$FN211&gt;SwaptionFirstMonthPosition+SwaptionNumOfMonths+1),"",IF($FN211=HG$169,1,IF($FN211&lt;HG$169,INDEX($FO$170:$IH$241,HG$169,$FN211),SUMPRODUCT(INDEX($FO$325:$IH$396,HG$169,1+SwaptionShift):INDEX($FO$325:$IH$396,HG$169,SwaptionMonthsToGo+SwaptionShift),INDEX($FO$245:$IH$316,$FN211-HG$169,73-HG$169+SwaptionShift):INDEX($FO$245:$IH$316,$FN211-HG$169,72-HG$169+SwaptionMonthsToGo+SwaptionShift))/SQRT(SUM(INDEX($FO366:$IH366,1+SwaptionShift):INDEX($FO366:$IH366,SwaptionMonthsToGo+SwaptionShift))*SUM(INDEX($FO$325:$IH$396,HG$169,1+SwaptionShift):INDEX($FO$325:$IH$396,HG$169,SwaptionMonthsToGo+SwaptionShift))))))</f>
        <v/>
      </c>
      <c r="HH211" s="469" t="str">
        <f ca="1">IF(OR(HH$169&lt;SwaptionFirstMonthPosition+1,$FN211&lt;SwaptionFirstMonthPosition+1,HH$169&gt;SwaptionFirstMonthPosition+SwaptionNumOfMonths+1,$FN211&gt;SwaptionFirstMonthPosition+SwaptionNumOfMonths+1),"",IF($FN211=HH$169,1,IF($FN211&lt;HH$169,INDEX($FO$170:$IH$241,HH$169,$FN211),SUMPRODUCT(INDEX($FO$325:$IH$396,HH$169,1+SwaptionShift):INDEX($FO$325:$IH$396,HH$169,SwaptionMonthsToGo+SwaptionShift),INDEX($FO$245:$IH$316,$FN211-HH$169,73-HH$169+SwaptionShift):INDEX($FO$245:$IH$316,$FN211-HH$169,72-HH$169+SwaptionMonthsToGo+SwaptionShift))/SQRT(SUM(INDEX($FO366:$IH366,1+SwaptionShift):INDEX($FO366:$IH366,SwaptionMonthsToGo+SwaptionShift))*SUM(INDEX($FO$325:$IH$396,HH$169,1+SwaptionShift):INDEX($FO$325:$IH$396,HH$169,SwaptionMonthsToGo+SwaptionShift))))))</f>
        <v/>
      </c>
      <c r="HI211" s="469" t="str">
        <f ca="1">IF(OR(HI$169&lt;SwaptionFirstMonthPosition+1,$FN211&lt;SwaptionFirstMonthPosition+1,HI$169&gt;SwaptionFirstMonthPosition+SwaptionNumOfMonths+1,$FN211&gt;SwaptionFirstMonthPosition+SwaptionNumOfMonths+1),"",IF($FN211=HI$169,1,IF($FN211&lt;HI$169,INDEX($FO$170:$IH$241,HI$169,$FN211),SUMPRODUCT(INDEX($FO$325:$IH$396,HI$169,1+SwaptionShift):INDEX($FO$325:$IH$396,HI$169,SwaptionMonthsToGo+SwaptionShift),INDEX($FO$245:$IH$316,$FN211-HI$169,73-HI$169+SwaptionShift):INDEX($FO$245:$IH$316,$FN211-HI$169,72-HI$169+SwaptionMonthsToGo+SwaptionShift))/SQRT(SUM(INDEX($FO366:$IH366,1+SwaptionShift):INDEX($FO366:$IH366,SwaptionMonthsToGo+SwaptionShift))*SUM(INDEX($FO$325:$IH$396,HI$169,1+SwaptionShift):INDEX($FO$325:$IH$396,HI$169,SwaptionMonthsToGo+SwaptionShift))))))</f>
        <v/>
      </c>
      <c r="HJ211" s="469" t="str">
        <f ca="1">IF(OR(HJ$169&lt;SwaptionFirstMonthPosition+1,$FN211&lt;SwaptionFirstMonthPosition+1,HJ$169&gt;SwaptionFirstMonthPosition+SwaptionNumOfMonths+1,$FN211&gt;SwaptionFirstMonthPosition+SwaptionNumOfMonths+1),"",IF($FN211=HJ$169,1,IF($FN211&lt;HJ$169,INDEX($FO$170:$IH$241,HJ$169,$FN211),SUMPRODUCT(INDEX($FO$325:$IH$396,HJ$169,1+SwaptionShift):INDEX($FO$325:$IH$396,HJ$169,SwaptionMonthsToGo+SwaptionShift),INDEX($FO$245:$IH$316,$FN211-HJ$169,73-HJ$169+SwaptionShift):INDEX($FO$245:$IH$316,$FN211-HJ$169,72-HJ$169+SwaptionMonthsToGo+SwaptionShift))/SQRT(SUM(INDEX($FO366:$IH366,1+SwaptionShift):INDEX($FO366:$IH366,SwaptionMonthsToGo+SwaptionShift))*SUM(INDEX($FO$325:$IH$396,HJ$169,1+SwaptionShift):INDEX($FO$325:$IH$396,HJ$169,SwaptionMonthsToGo+SwaptionShift))))))</f>
        <v/>
      </c>
      <c r="HK211" s="469" t="str">
        <f ca="1">IF(OR(HK$169&lt;SwaptionFirstMonthPosition+1,$FN211&lt;SwaptionFirstMonthPosition+1,HK$169&gt;SwaptionFirstMonthPosition+SwaptionNumOfMonths+1,$FN211&gt;SwaptionFirstMonthPosition+SwaptionNumOfMonths+1),"",IF($FN211=HK$169,1,IF($FN211&lt;HK$169,INDEX($FO$170:$IH$241,HK$169,$FN211),SUMPRODUCT(INDEX($FO$325:$IH$396,HK$169,1+SwaptionShift):INDEX($FO$325:$IH$396,HK$169,SwaptionMonthsToGo+SwaptionShift),INDEX($FO$245:$IH$316,$FN211-HK$169,73-HK$169+SwaptionShift):INDEX($FO$245:$IH$316,$FN211-HK$169,72-HK$169+SwaptionMonthsToGo+SwaptionShift))/SQRT(SUM(INDEX($FO366:$IH366,1+SwaptionShift):INDEX($FO366:$IH366,SwaptionMonthsToGo+SwaptionShift))*SUM(INDEX($FO$325:$IH$396,HK$169,1+SwaptionShift):INDEX($FO$325:$IH$396,HK$169,SwaptionMonthsToGo+SwaptionShift))))))</f>
        <v/>
      </c>
      <c r="HL211" s="469" t="str">
        <f ca="1">IF(OR(HL$169&lt;SwaptionFirstMonthPosition+1,$FN211&lt;SwaptionFirstMonthPosition+1,HL$169&gt;SwaptionFirstMonthPosition+SwaptionNumOfMonths+1,$FN211&gt;SwaptionFirstMonthPosition+SwaptionNumOfMonths+1),"",IF($FN211=HL$169,1,IF($FN211&lt;HL$169,INDEX($FO$170:$IH$241,HL$169,$FN211),SUMPRODUCT(INDEX($FO$325:$IH$396,HL$169,1+SwaptionShift):INDEX($FO$325:$IH$396,HL$169,SwaptionMonthsToGo+SwaptionShift),INDEX($FO$245:$IH$316,$FN211-HL$169,73-HL$169+SwaptionShift):INDEX($FO$245:$IH$316,$FN211-HL$169,72-HL$169+SwaptionMonthsToGo+SwaptionShift))/SQRT(SUM(INDEX($FO366:$IH366,1+SwaptionShift):INDEX($FO366:$IH366,SwaptionMonthsToGo+SwaptionShift))*SUM(INDEX($FO$325:$IH$396,HL$169,1+SwaptionShift):INDEX($FO$325:$IH$396,HL$169,SwaptionMonthsToGo+SwaptionShift))))))</f>
        <v/>
      </c>
      <c r="HM211" s="469" t="str">
        <f ca="1">IF(OR(HM$169&lt;SwaptionFirstMonthPosition+1,$FN211&lt;SwaptionFirstMonthPosition+1,HM$169&gt;SwaptionFirstMonthPosition+SwaptionNumOfMonths+1,$FN211&gt;SwaptionFirstMonthPosition+SwaptionNumOfMonths+1),"",IF($FN211=HM$169,1,IF($FN211&lt;HM$169,INDEX($FO$170:$IH$241,HM$169,$FN211),SUMPRODUCT(INDEX($FO$325:$IH$396,HM$169,1+SwaptionShift):INDEX($FO$325:$IH$396,HM$169,SwaptionMonthsToGo+SwaptionShift),INDEX($FO$245:$IH$316,$FN211-HM$169,73-HM$169+SwaptionShift):INDEX($FO$245:$IH$316,$FN211-HM$169,72-HM$169+SwaptionMonthsToGo+SwaptionShift))/SQRT(SUM(INDEX($FO366:$IH366,1+SwaptionShift):INDEX($FO366:$IH366,SwaptionMonthsToGo+SwaptionShift))*SUM(INDEX($FO$325:$IH$396,HM$169,1+SwaptionShift):INDEX($FO$325:$IH$396,HM$169,SwaptionMonthsToGo+SwaptionShift))))))</f>
        <v/>
      </c>
      <c r="HN211" s="469" t="str">
        <f ca="1">IF(OR(HN$169&lt;SwaptionFirstMonthPosition+1,$FN211&lt;SwaptionFirstMonthPosition+1,HN$169&gt;SwaptionFirstMonthPosition+SwaptionNumOfMonths+1,$FN211&gt;SwaptionFirstMonthPosition+SwaptionNumOfMonths+1),"",IF($FN211=HN$169,1,IF($FN211&lt;HN$169,INDEX($FO$170:$IH$241,HN$169,$FN211),SUMPRODUCT(INDEX($FO$325:$IH$396,HN$169,1+SwaptionShift):INDEX($FO$325:$IH$396,HN$169,SwaptionMonthsToGo+SwaptionShift),INDEX($FO$245:$IH$316,$FN211-HN$169,73-HN$169+SwaptionShift):INDEX($FO$245:$IH$316,$FN211-HN$169,72-HN$169+SwaptionMonthsToGo+SwaptionShift))/SQRT(SUM(INDEX($FO366:$IH366,1+SwaptionShift):INDEX($FO366:$IH366,SwaptionMonthsToGo+SwaptionShift))*SUM(INDEX($FO$325:$IH$396,HN$169,1+SwaptionShift):INDEX($FO$325:$IH$396,HN$169,SwaptionMonthsToGo+SwaptionShift))))))</f>
        <v/>
      </c>
      <c r="HO211" s="469" t="str">
        <f ca="1">IF(OR(HO$169&lt;SwaptionFirstMonthPosition+1,$FN211&lt;SwaptionFirstMonthPosition+1,HO$169&gt;SwaptionFirstMonthPosition+SwaptionNumOfMonths+1,$FN211&gt;SwaptionFirstMonthPosition+SwaptionNumOfMonths+1),"",IF($FN211=HO$169,1,IF($FN211&lt;HO$169,INDEX($FO$170:$IH$241,HO$169,$FN211),SUMPRODUCT(INDEX($FO$325:$IH$396,HO$169,1+SwaptionShift):INDEX($FO$325:$IH$396,HO$169,SwaptionMonthsToGo+SwaptionShift),INDEX($FO$245:$IH$316,$FN211-HO$169,73-HO$169+SwaptionShift):INDEX($FO$245:$IH$316,$FN211-HO$169,72-HO$169+SwaptionMonthsToGo+SwaptionShift))/SQRT(SUM(INDEX($FO366:$IH366,1+SwaptionShift):INDEX($FO366:$IH366,SwaptionMonthsToGo+SwaptionShift))*SUM(INDEX($FO$325:$IH$396,HO$169,1+SwaptionShift):INDEX($FO$325:$IH$396,HO$169,SwaptionMonthsToGo+SwaptionShift))))))</f>
        <v/>
      </c>
      <c r="HP211" s="469" t="str">
        <f ca="1">IF(OR(HP$169&lt;SwaptionFirstMonthPosition+1,$FN211&lt;SwaptionFirstMonthPosition+1,HP$169&gt;SwaptionFirstMonthPosition+SwaptionNumOfMonths+1,$FN211&gt;SwaptionFirstMonthPosition+SwaptionNumOfMonths+1),"",IF($FN211=HP$169,1,IF($FN211&lt;HP$169,INDEX($FO$170:$IH$241,HP$169,$FN211),SUMPRODUCT(INDEX($FO$325:$IH$396,HP$169,1+SwaptionShift):INDEX($FO$325:$IH$396,HP$169,SwaptionMonthsToGo+SwaptionShift),INDEX($FO$245:$IH$316,$FN211-HP$169,73-HP$169+SwaptionShift):INDEX($FO$245:$IH$316,$FN211-HP$169,72-HP$169+SwaptionMonthsToGo+SwaptionShift))/SQRT(SUM(INDEX($FO366:$IH366,1+SwaptionShift):INDEX($FO366:$IH366,SwaptionMonthsToGo+SwaptionShift))*SUM(INDEX($FO$325:$IH$396,HP$169,1+SwaptionShift):INDEX($FO$325:$IH$396,HP$169,SwaptionMonthsToGo+SwaptionShift))))))</f>
        <v/>
      </c>
      <c r="HQ211" s="469" t="str">
        <f ca="1">IF(OR(HQ$169&lt;SwaptionFirstMonthPosition+1,$FN211&lt;SwaptionFirstMonthPosition+1,HQ$169&gt;SwaptionFirstMonthPosition+SwaptionNumOfMonths+1,$FN211&gt;SwaptionFirstMonthPosition+SwaptionNumOfMonths+1),"",IF($FN211=HQ$169,1,IF($FN211&lt;HQ$169,INDEX($FO$170:$IH$241,HQ$169,$FN211),SUMPRODUCT(INDEX($FO$325:$IH$396,HQ$169,1+SwaptionShift):INDEX($FO$325:$IH$396,HQ$169,SwaptionMonthsToGo+SwaptionShift),INDEX($FO$245:$IH$316,$FN211-HQ$169,73-HQ$169+SwaptionShift):INDEX($FO$245:$IH$316,$FN211-HQ$169,72-HQ$169+SwaptionMonthsToGo+SwaptionShift))/SQRT(SUM(INDEX($FO366:$IH366,1+SwaptionShift):INDEX($FO366:$IH366,SwaptionMonthsToGo+SwaptionShift))*SUM(INDEX($FO$325:$IH$396,HQ$169,1+SwaptionShift):INDEX($FO$325:$IH$396,HQ$169,SwaptionMonthsToGo+SwaptionShift))))))</f>
        <v/>
      </c>
      <c r="HR211" s="469" t="str">
        <f ca="1">IF(OR(HR$169&lt;SwaptionFirstMonthPosition+1,$FN211&lt;SwaptionFirstMonthPosition+1,HR$169&gt;SwaptionFirstMonthPosition+SwaptionNumOfMonths+1,$FN211&gt;SwaptionFirstMonthPosition+SwaptionNumOfMonths+1),"",IF($FN211=HR$169,1,IF($FN211&lt;HR$169,INDEX($FO$170:$IH$241,HR$169,$FN211),SUMPRODUCT(INDEX($FO$325:$IH$396,HR$169,1+SwaptionShift):INDEX($FO$325:$IH$396,HR$169,SwaptionMonthsToGo+SwaptionShift),INDEX($FO$245:$IH$316,$FN211-HR$169,73-HR$169+SwaptionShift):INDEX($FO$245:$IH$316,$FN211-HR$169,72-HR$169+SwaptionMonthsToGo+SwaptionShift))/SQRT(SUM(INDEX($FO366:$IH366,1+SwaptionShift):INDEX($FO366:$IH366,SwaptionMonthsToGo+SwaptionShift))*SUM(INDEX($FO$325:$IH$396,HR$169,1+SwaptionShift):INDEX($FO$325:$IH$396,HR$169,SwaptionMonthsToGo+SwaptionShift))))))</f>
        <v/>
      </c>
      <c r="HS211" s="469" t="str">
        <f ca="1">IF(OR(HS$169&lt;SwaptionFirstMonthPosition+1,$FN211&lt;SwaptionFirstMonthPosition+1,HS$169&gt;SwaptionFirstMonthPosition+SwaptionNumOfMonths+1,$FN211&gt;SwaptionFirstMonthPosition+SwaptionNumOfMonths+1),"",IF($FN211=HS$169,1,IF($FN211&lt;HS$169,INDEX($FO$170:$IH$241,HS$169,$FN211),SUMPRODUCT(INDEX($FO$325:$IH$396,HS$169,1+SwaptionShift):INDEX($FO$325:$IH$396,HS$169,SwaptionMonthsToGo+SwaptionShift),INDEX($FO$245:$IH$316,$FN211-HS$169,73-HS$169+SwaptionShift):INDEX($FO$245:$IH$316,$FN211-HS$169,72-HS$169+SwaptionMonthsToGo+SwaptionShift))/SQRT(SUM(INDEX($FO366:$IH366,1+SwaptionShift):INDEX($FO366:$IH366,SwaptionMonthsToGo+SwaptionShift))*SUM(INDEX($FO$325:$IH$396,HS$169,1+SwaptionShift):INDEX($FO$325:$IH$396,HS$169,SwaptionMonthsToGo+SwaptionShift))))))</f>
        <v/>
      </c>
      <c r="HT211" s="469" t="str">
        <f ca="1">IF(OR(HT$169&lt;SwaptionFirstMonthPosition+1,$FN211&lt;SwaptionFirstMonthPosition+1,HT$169&gt;SwaptionFirstMonthPosition+SwaptionNumOfMonths+1,$FN211&gt;SwaptionFirstMonthPosition+SwaptionNumOfMonths+1),"",IF($FN211=HT$169,1,IF($FN211&lt;HT$169,INDEX($FO$170:$IH$241,HT$169,$FN211),SUMPRODUCT(INDEX($FO$325:$IH$396,HT$169,1+SwaptionShift):INDEX($FO$325:$IH$396,HT$169,SwaptionMonthsToGo+SwaptionShift),INDEX($FO$245:$IH$316,$FN211-HT$169,73-HT$169+SwaptionShift):INDEX($FO$245:$IH$316,$FN211-HT$169,72-HT$169+SwaptionMonthsToGo+SwaptionShift))/SQRT(SUM(INDEX($FO366:$IH366,1+SwaptionShift):INDEX($FO366:$IH366,SwaptionMonthsToGo+SwaptionShift))*SUM(INDEX($FO$325:$IH$396,HT$169,1+SwaptionShift):INDEX($FO$325:$IH$396,HT$169,SwaptionMonthsToGo+SwaptionShift))))))</f>
        <v/>
      </c>
      <c r="HU211" s="469" t="str">
        <f ca="1">IF(OR(HU$169&lt;SwaptionFirstMonthPosition+1,$FN211&lt;SwaptionFirstMonthPosition+1,HU$169&gt;SwaptionFirstMonthPosition+SwaptionNumOfMonths+1,$FN211&gt;SwaptionFirstMonthPosition+SwaptionNumOfMonths+1),"",IF($FN211=HU$169,1,IF($FN211&lt;HU$169,INDEX($FO$170:$IH$241,HU$169,$FN211),SUMPRODUCT(INDEX($FO$325:$IH$396,HU$169,1+SwaptionShift):INDEX($FO$325:$IH$396,HU$169,SwaptionMonthsToGo+SwaptionShift),INDEX($FO$245:$IH$316,$FN211-HU$169,73-HU$169+SwaptionShift):INDEX($FO$245:$IH$316,$FN211-HU$169,72-HU$169+SwaptionMonthsToGo+SwaptionShift))/SQRT(SUM(INDEX($FO366:$IH366,1+SwaptionShift):INDEX($FO366:$IH366,SwaptionMonthsToGo+SwaptionShift))*SUM(INDEX($FO$325:$IH$396,HU$169,1+SwaptionShift):INDEX($FO$325:$IH$396,HU$169,SwaptionMonthsToGo+SwaptionShift))))))</f>
        <v/>
      </c>
      <c r="HV211" s="469" t="str">
        <f ca="1">IF(OR(HV$169&lt;SwaptionFirstMonthPosition+1,$FN211&lt;SwaptionFirstMonthPosition+1,HV$169&gt;SwaptionFirstMonthPosition+SwaptionNumOfMonths+1,$FN211&gt;SwaptionFirstMonthPosition+SwaptionNumOfMonths+1),"",IF($FN211=HV$169,1,IF($FN211&lt;HV$169,INDEX($FO$170:$IH$241,HV$169,$FN211),SUMPRODUCT(INDEX($FO$325:$IH$396,HV$169,1+SwaptionShift):INDEX($FO$325:$IH$396,HV$169,SwaptionMonthsToGo+SwaptionShift),INDEX($FO$245:$IH$316,$FN211-HV$169,73-HV$169+SwaptionShift):INDEX($FO$245:$IH$316,$FN211-HV$169,72-HV$169+SwaptionMonthsToGo+SwaptionShift))/SQRT(SUM(INDEX($FO366:$IH366,1+SwaptionShift):INDEX($FO366:$IH366,SwaptionMonthsToGo+SwaptionShift))*SUM(INDEX($FO$325:$IH$396,HV$169,1+SwaptionShift):INDEX($FO$325:$IH$396,HV$169,SwaptionMonthsToGo+SwaptionShift))))))</f>
        <v/>
      </c>
      <c r="HW211" s="469" t="str">
        <f ca="1">IF(OR(HW$169&lt;SwaptionFirstMonthPosition+1,$FN211&lt;SwaptionFirstMonthPosition+1,HW$169&gt;SwaptionFirstMonthPosition+SwaptionNumOfMonths+1,$FN211&gt;SwaptionFirstMonthPosition+SwaptionNumOfMonths+1),"",IF($FN211=HW$169,1,IF($FN211&lt;HW$169,INDEX($FO$170:$IH$241,HW$169,$FN211),SUMPRODUCT(INDEX($FO$325:$IH$396,HW$169,1+SwaptionShift):INDEX($FO$325:$IH$396,HW$169,SwaptionMonthsToGo+SwaptionShift),INDEX($FO$245:$IH$316,$FN211-HW$169,73-HW$169+SwaptionShift):INDEX($FO$245:$IH$316,$FN211-HW$169,72-HW$169+SwaptionMonthsToGo+SwaptionShift))/SQRT(SUM(INDEX($FO366:$IH366,1+SwaptionShift):INDEX($FO366:$IH366,SwaptionMonthsToGo+SwaptionShift))*SUM(INDEX($FO$325:$IH$396,HW$169,1+SwaptionShift):INDEX($FO$325:$IH$396,HW$169,SwaptionMonthsToGo+SwaptionShift))))))</f>
        <v/>
      </c>
      <c r="HX211" s="469" t="str">
        <f ca="1">IF(OR(HX$169&lt;SwaptionFirstMonthPosition+1,$FN211&lt;SwaptionFirstMonthPosition+1,HX$169&gt;SwaptionFirstMonthPosition+SwaptionNumOfMonths+1,$FN211&gt;SwaptionFirstMonthPosition+SwaptionNumOfMonths+1),"",IF($FN211=HX$169,1,IF($FN211&lt;HX$169,INDEX($FO$170:$IH$241,HX$169,$FN211),SUMPRODUCT(INDEX($FO$325:$IH$396,HX$169,1+SwaptionShift):INDEX($FO$325:$IH$396,HX$169,SwaptionMonthsToGo+SwaptionShift),INDEX($FO$245:$IH$316,$FN211-HX$169,73-HX$169+SwaptionShift):INDEX($FO$245:$IH$316,$FN211-HX$169,72-HX$169+SwaptionMonthsToGo+SwaptionShift))/SQRT(SUM(INDEX($FO366:$IH366,1+SwaptionShift):INDEX($FO366:$IH366,SwaptionMonthsToGo+SwaptionShift))*SUM(INDEX($FO$325:$IH$396,HX$169,1+SwaptionShift):INDEX($FO$325:$IH$396,HX$169,SwaptionMonthsToGo+SwaptionShift))))))</f>
        <v/>
      </c>
      <c r="HY211" s="469" t="str">
        <f ca="1">IF(OR(HY$169&lt;SwaptionFirstMonthPosition+1,$FN211&lt;SwaptionFirstMonthPosition+1,HY$169&gt;SwaptionFirstMonthPosition+SwaptionNumOfMonths+1,$FN211&gt;SwaptionFirstMonthPosition+SwaptionNumOfMonths+1),"",IF($FN211=HY$169,1,IF($FN211&lt;HY$169,INDEX($FO$170:$IH$241,HY$169,$FN211),SUMPRODUCT(INDEX($FO$325:$IH$396,HY$169,1+SwaptionShift):INDEX($FO$325:$IH$396,HY$169,SwaptionMonthsToGo+SwaptionShift),INDEX($FO$245:$IH$316,$FN211-HY$169,73-HY$169+SwaptionShift):INDEX($FO$245:$IH$316,$FN211-HY$169,72-HY$169+SwaptionMonthsToGo+SwaptionShift))/SQRT(SUM(INDEX($FO366:$IH366,1+SwaptionShift):INDEX($FO366:$IH366,SwaptionMonthsToGo+SwaptionShift))*SUM(INDEX($FO$325:$IH$396,HY$169,1+SwaptionShift):INDEX($FO$325:$IH$396,HY$169,SwaptionMonthsToGo+SwaptionShift))))))</f>
        <v/>
      </c>
      <c r="HZ211" s="469" t="str">
        <f ca="1">IF(OR(HZ$169&lt;SwaptionFirstMonthPosition+1,$FN211&lt;SwaptionFirstMonthPosition+1,HZ$169&gt;SwaptionFirstMonthPosition+SwaptionNumOfMonths+1,$FN211&gt;SwaptionFirstMonthPosition+SwaptionNumOfMonths+1),"",IF($FN211=HZ$169,1,IF($FN211&lt;HZ$169,INDEX($FO$170:$IH$241,HZ$169,$FN211),SUMPRODUCT(INDEX($FO$325:$IH$396,HZ$169,1+SwaptionShift):INDEX($FO$325:$IH$396,HZ$169,SwaptionMonthsToGo+SwaptionShift),INDEX($FO$245:$IH$316,$FN211-HZ$169,73-HZ$169+SwaptionShift):INDEX($FO$245:$IH$316,$FN211-HZ$169,72-HZ$169+SwaptionMonthsToGo+SwaptionShift))/SQRT(SUM(INDEX($FO366:$IH366,1+SwaptionShift):INDEX($FO366:$IH366,SwaptionMonthsToGo+SwaptionShift))*SUM(INDEX($FO$325:$IH$396,HZ$169,1+SwaptionShift):INDEX($FO$325:$IH$396,HZ$169,SwaptionMonthsToGo+SwaptionShift))))))</f>
        <v/>
      </c>
      <c r="IA211" s="469" t="str">
        <f ca="1">IF(OR(IA$169&lt;SwaptionFirstMonthPosition+1,$FN211&lt;SwaptionFirstMonthPosition+1,IA$169&gt;SwaptionFirstMonthPosition+SwaptionNumOfMonths+1,$FN211&gt;SwaptionFirstMonthPosition+SwaptionNumOfMonths+1),"",IF($FN211=IA$169,1,IF($FN211&lt;IA$169,INDEX($FO$170:$IH$241,IA$169,$FN211),SUMPRODUCT(INDEX($FO$325:$IH$396,IA$169,1+SwaptionShift):INDEX($FO$325:$IH$396,IA$169,SwaptionMonthsToGo+SwaptionShift),INDEX($FO$245:$IH$316,$FN211-IA$169,73-IA$169+SwaptionShift):INDEX($FO$245:$IH$316,$FN211-IA$169,72-IA$169+SwaptionMonthsToGo+SwaptionShift))/SQRT(SUM(INDEX($FO366:$IH366,1+SwaptionShift):INDEX($FO366:$IH366,SwaptionMonthsToGo+SwaptionShift))*SUM(INDEX($FO$325:$IH$396,IA$169,1+SwaptionShift):INDEX($FO$325:$IH$396,IA$169,SwaptionMonthsToGo+SwaptionShift))))))</f>
        <v/>
      </c>
      <c r="IB211" s="469" t="str">
        <f ca="1">IF(OR(IB$169&lt;SwaptionFirstMonthPosition+1,$FN211&lt;SwaptionFirstMonthPosition+1,IB$169&gt;SwaptionFirstMonthPosition+SwaptionNumOfMonths+1,$FN211&gt;SwaptionFirstMonthPosition+SwaptionNumOfMonths+1),"",IF($FN211=IB$169,1,IF($FN211&lt;IB$169,INDEX($FO$170:$IH$241,IB$169,$FN211),SUMPRODUCT(INDEX($FO$325:$IH$396,IB$169,1+SwaptionShift):INDEX($FO$325:$IH$396,IB$169,SwaptionMonthsToGo+SwaptionShift),INDEX($FO$245:$IH$316,$FN211-IB$169,73-IB$169+SwaptionShift):INDEX($FO$245:$IH$316,$FN211-IB$169,72-IB$169+SwaptionMonthsToGo+SwaptionShift))/SQRT(SUM(INDEX($FO366:$IH366,1+SwaptionShift):INDEX($FO366:$IH366,SwaptionMonthsToGo+SwaptionShift))*SUM(INDEX($FO$325:$IH$396,IB$169,1+SwaptionShift):INDEX($FO$325:$IH$396,IB$169,SwaptionMonthsToGo+SwaptionShift))))))</f>
        <v/>
      </c>
      <c r="IC211" s="469" t="str">
        <f ca="1">IF(OR(IC$169&lt;SwaptionFirstMonthPosition+1,$FN211&lt;SwaptionFirstMonthPosition+1,IC$169&gt;SwaptionFirstMonthPosition+SwaptionNumOfMonths+1,$FN211&gt;SwaptionFirstMonthPosition+SwaptionNumOfMonths+1),"",IF($FN211=IC$169,1,IF($FN211&lt;IC$169,INDEX($FO$170:$IH$241,IC$169,$FN211),SUMPRODUCT(INDEX($FO$325:$IH$396,IC$169,1+SwaptionShift):INDEX($FO$325:$IH$396,IC$169,SwaptionMonthsToGo+SwaptionShift),INDEX($FO$245:$IH$316,$FN211-IC$169,73-IC$169+SwaptionShift):INDEX($FO$245:$IH$316,$FN211-IC$169,72-IC$169+SwaptionMonthsToGo+SwaptionShift))/SQRT(SUM(INDEX($FO366:$IH366,1+SwaptionShift):INDEX($FO366:$IH366,SwaptionMonthsToGo+SwaptionShift))*SUM(INDEX($FO$325:$IH$396,IC$169,1+SwaptionShift):INDEX($FO$325:$IH$396,IC$169,SwaptionMonthsToGo+SwaptionShift))))))</f>
        <v/>
      </c>
      <c r="ID211" s="469" t="str">
        <f ca="1">IF(OR(ID$169&lt;SwaptionFirstMonthPosition+1,$FN211&lt;SwaptionFirstMonthPosition+1,ID$169&gt;SwaptionFirstMonthPosition+SwaptionNumOfMonths+1,$FN211&gt;SwaptionFirstMonthPosition+SwaptionNumOfMonths+1),"",IF($FN211=ID$169,1,IF($FN211&lt;ID$169,INDEX($FO$170:$IH$241,ID$169,$FN211),SUMPRODUCT(INDEX($FO$325:$IH$396,ID$169,1+SwaptionShift):INDEX($FO$325:$IH$396,ID$169,SwaptionMonthsToGo+SwaptionShift),INDEX($FO$245:$IH$316,$FN211-ID$169,73-ID$169+SwaptionShift):INDEX($FO$245:$IH$316,$FN211-ID$169,72-ID$169+SwaptionMonthsToGo+SwaptionShift))/SQRT(SUM(INDEX($FO366:$IH366,1+SwaptionShift):INDEX($FO366:$IH366,SwaptionMonthsToGo+SwaptionShift))*SUM(INDEX($FO$325:$IH$396,ID$169,1+SwaptionShift):INDEX($FO$325:$IH$396,ID$169,SwaptionMonthsToGo+SwaptionShift))))))</f>
        <v/>
      </c>
      <c r="IE211" s="469" t="str">
        <f ca="1">IF(OR(IE$169&lt;SwaptionFirstMonthPosition+1,$FN211&lt;SwaptionFirstMonthPosition+1,IE$169&gt;SwaptionFirstMonthPosition+SwaptionNumOfMonths+1,$FN211&gt;SwaptionFirstMonthPosition+SwaptionNumOfMonths+1),"",IF($FN211=IE$169,1,IF($FN211&lt;IE$169,INDEX($FO$170:$IH$241,IE$169,$FN211),SUMPRODUCT(INDEX($FO$325:$IH$396,IE$169,1+SwaptionShift):INDEX($FO$325:$IH$396,IE$169,SwaptionMonthsToGo+SwaptionShift),INDEX($FO$245:$IH$316,$FN211-IE$169,73-IE$169+SwaptionShift):INDEX($FO$245:$IH$316,$FN211-IE$169,72-IE$169+SwaptionMonthsToGo+SwaptionShift))/SQRT(SUM(INDEX($FO366:$IH366,1+SwaptionShift):INDEX($FO366:$IH366,SwaptionMonthsToGo+SwaptionShift))*SUM(INDEX($FO$325:$IH$396,IE$169,1+SwaptionShift):INDEX($FO$325:$IH$396,IE$169,SwaptionMonthsToGo+SwaptionShift))))))</f>
        <v/>
      </c>
      <c r="IF211" s="469" t="str">
        <f ca="1">IF(OR(IF$169&lt;SwaptionFirstMonthPosition+1,$FN211&lt;SwaptionFirstMonthPosition+1,IF$169&gt;SwaptionFirstMonthPosition+SwaptionNumOfMonths+1,$FN211&gt;SwaptionFirstMonthPosition+SwaptionNumOfMonths+1),"",IF($FN211=IF$169,1,IF($FN211&lt;IF$169,INDEX($FO$170:$IH$241,IF$169,$FN211),SUMPRODUCT(INDEX($FO$325:$IH$396,IF$169,1+SwaptionShift):INDEX($FO$325:$IH$396,IF$169,SwaptionMonthsToGo+SwaptionShift),INDEX($FO$245:$IH$316,$FN211-IF$169,73-IF$169+SwaptionShift):INDEX($FO$245:$IH$316,$FN211-IF$169,72-IF$169+SwaptionMonthsToGo+SwaptionShift))/SQRT(SUM(INDEX($FO366:$IH366,1+SwaptionShift):INDEX($FO366:$IH366,SwaptionMonthsToGo+SwaptionShift))*SUM(INDEX($FO$325:$IH$396,IF$169,1+SwaptionShift):INDEX($FO$325:$IH$396,IF$169,SwaptionMonthsToGo+SwaptionShift))))))</f>
        <v/>
      </c>
      <c r="IG211" s="469" t="str">
        <f ca="1">IF(OR(IG$169&lt;SwaptionFirstMonthPosition+1,$FN211&lt;SwaptionFirstMonthPosition+1,IG$169&gt;SwaptionFirstMonthPosition+SwaptionNumOfMonths+1,$FN211&gt;SwaptionFirstMonthPosition+SwaptionNumOfMonths+1),"",IF($FN211=IG$169,1,IF($FN211&lt;IG$169,INDEX($FO$170:$IH$241,IG$169,$FN211),SUMPRODUCT(INDEX($FO$325:$IH$396,IG$169,1+SwaptionShift):INDEX($FO$325:$IH$396,IG$169,SwaptionMonthsToGo+SwaptionShift),INDEX($FO$245:$IH$316,$FN211-IG$169,73-IG$169+SwaptionShift):INDEX($FO$245:$IH$316,$FN211-IG$169,72-IG$169+SwaptionMonthsToGo+SwaptionShift))/SQRT(SUM(INDEX($FO366:$IH366,1+SwaptionShift):INDEX($FO366:$IH366,SwaptionMonthsToGo+SwaptionShift))*SUM(INDEX($FO$325:$IH$396,IG$169,1+SwaptionShift):INDEX($FO$325:$IH$396,IG$169,SwaptionMonthsToGo+SwaptionShift))))))</f>
        <v/>
      </c>
      <c r="IH211" s="662" t="str">
        <f ca="1">IF(OR(IH$169&lt;SwaptionFirstMonthPosition+1,$FN211&lt;SwaptionFirstMonthPosition+1,IH$169&gt;SwaptionFirstMonthPosition+SwaptionNumOfMonths+1,$FN211&gt;SwaptionFirstMonthPosition+SwaptionNumOfMonths+1),"",IF($FN211=IH$169,1,IF($FN211&lt;IH$169,INDEX($FO$170:$IH$241,IH$169,$FN211),SUMPRODUCT(INDEX($FO$325:$IH$396,IH$169,1+SwaptionShift):INDEX($FO$325:$IH$396,IH$169,SwaptionMonthsToGo+SwaptionShift),INDEX($FO$245:$IH$316,$FN211-IH$169,73-IH$169+SwaptionShift):INDEX($FO$245:$IH$316,$FN211-IH$169,72-IH$169+SwaptionMonthsToGo+SwaptionShift))/SQRT(SUM(INDEX($FO366:$IH366,1+SwaptionShift):INDEX($FO366:$IH366,SwaptionMonthsToGo+SwaptionShift))*SUM(INDEX($FO$325:$IH$396,IH$169,1+SwaptionShift):INDEX($FO$325:$IH$396,IH$169,SwaptionMonthsToGo+SwaptionShift))))))</f>
        <v/>
      </c>
      <c r="II211" s="242"/>
    </row>
    <row r="212" spans="8:243">
      <c r="H212" s="49" t="e">
        <f t="shared" ref="H212:H260" ca="1" si="645">VLOOKUP(I212,$EN$20:$EP$54,3)</f>
        <v>#N/A</v>
      </c>
      <c r="I212" s="369">
        <f t="shared" ref="I212:I261" si="646">EOMONTH(I211,0)+1</f>
        <v>42856</v>
      </c>
      <c r="J212" s="367">
        <v>24.184999999999899</v>
      </c>
      <c r="K212" s="101" t="s">
        <v>267</v>
      </c>
      <c r="L212" s="382">
        <f t="shared" ref="L212:L260" si="647">IF(ISNUMBER(K212),J212+K212/100,IF(K212="extra",L211+VLOOKUP(BF212,PriceSpreadTable,2)/12,IF(K212="inter",interpolateprices($K$19:$L$200,ROW(K212)-ROW(FirstPricingMonth)+1),interpolatechanges($J$19:$K$200,ROW(K212)-ROW(FirstPricingMonth)+1))))</f>
        <v>24.184999999999857</v>
      </c>
      <c r="M212" s="163">
        <v>0.1343</v>
      </c>
      <c r="N212" s="372">
        <v>0</v>
      </c>
      <c r="O212" s="163">
        <f t="shared" si="595"/>
        <v>0.1343</v>
      </c>
      <c r="P212" s="367">
        <v>22.9766199940068</v>
      </c>
      <c r="Q212" s="101" t="s">
        <v>267</v>
      </c>
      <c r="R212" s="367">
        <f t="shared" ca="1" si="596"/>
        <v>22.976619994006761</v>
      </c>
      <c r="S212" s="814">
        <f t="shared" si="594"/>
        <v>0.34733317708160544</v>
      </c>
      <c r="T212" s="813">
        <f t="shared" si="550"/>
        <v>0.99999999987206234</v>
      </c>
      <c r="U212" s="532">
        <f t="shared" si="551"/>
        <v>0.99999999999999978</v>
      </c>
      <c r="V212" s="379">
        <v>0</v>
      </c>
      <c r="W212" s="424">
        <f t="shared" si="597"/>
        <v>24.218695652173814</v>
      </c>
      <c r="X212" s="405">
        <f t="shared" si="598"/>
        <v>24.218695652173768</v>
      </c>
      <c r="Y212" s="313">
        <f t="shared" si="599"/>
        <v>22.874695652173813</v>
      </c>
      <c r="Z212" s="313">
        <f t="shared" ca="1" si="600"/>
        <v>22.874695652173767</v>
      </c>
      <c r="AA212" s="419">
        <f t="shared" si="623"/>
        <v>1.3440000000000001</v>
      </c>
      <c r="AB212" s="423">
        <f t="shared" ca="1" si="624"/>
        <v>1.3440000000000001</v>
      </c>
      <c r="AC212" s="221">
        <v>42845</v>
      </c>
      <c r="AD212" s="221">
        <v>42841</v>
      </c>
      <c r="AE212" s="221">
        <v>42840</v>
      </c>
      <c r="AF212" s="221">
        <v>42836</v>
      </c>
      <c r="AG212" s="241" t="s">
        <v>497</v>
      </c>
      <c r="AH212" s="239" t="s">
        <v>497</v>
      </c>
      <c r="AI212" s="141">
        <v>23</v>
      </c>
      <c r="AJ212" s="41">
        <v>15</v>
      </c>
      <c r="AK212" s="41">
        <v>8</v>
      </c>
      <c r="AL212" s="285">
        <v>23</v>
      </c>
      <c r="AM212" s="41">
        <v>10</v>
      </c>
      <c r="AN212" s="142">
        <v>13</v>
      </c>
      <c r="AO212" s="364">
        <v>6.2525090896605309E-2</v>
      </c>
      <c r="AP212" s="145">
        <f t="shared" ref="AP212:AP260" ca="1" si="648">(1+AO212/2)^(-2*BL212)</f>
        <v>0.37014974398718248</v>
      </c>
      <c r="AQ212" s="364">
        <v>5.7624040966608003E-2</v>
      </c>
      <c r="AR212" s="145">
        <f t="shared" ca="1" si="552"/>
        <v>0.40250771233634924</v>
      </c>
      <c r="AS212" s="264">
        <f t="shared" si="601"/>
        <v>0.13376086956521741</v>
      </c>
      <c r="AT212" s="149">
        <f t="shared" ref="AT212:AT260" si="649">O212*VLOOKUP(BF212,BrentVolTable,2)+VLOOKUP(BF212,BrentVolTable,3)</f>
        <v>0.1343</v>
      </c>
      <c r="AU212" s="149">
        <f t="shared" si="625"/>
        <v>0.13367391304347828</v>
      </c>
      <c r="AV212" s="263">
        <f t="shared" ca="1" si="560"/>
        <v>0.13224966793756526</v>
      </c>
      <c r="AW212" s="150" t="str">
        <f t="shared" ca="1" si="581"/>
        <v/>
      </c>
      <c r="AX212" s="149">
        <f t="shared" ca="1" si="553"/>
        <v>4.3214880818230588E-3</v>
      </c>
      <c r="AY212" s="149">
        <f t="shared" ca="1" si="554"/>
        <v>1.3940428283152786E-3</v>
      </c>
      <c r="AZ212" s="149">
        <f t="shared" ca="1" si="555"/>
        <v>1.5732051739845334E-3</v>
      </c>
      <c r="BA212" s="149">
        <f t="shared" ca="1" si="556"/>
        <v>1.0000000000000995E-4</v>
      </c>
      <c r="BB212" s="149">
        <f t="shared" ca="1" si="557"/>
        <v>1.0000000000000995E-4</v>
      </c>
      <c r="BC212" s="149">
        <f t="shared" ca="1" si="558"/>
        <v>1.0000000000000995E-4</v>
      </c>
      <c r="BD212" s="143">
        <f t="shared" ca="1" si="602"/>
        <v>0</v>
      </c>
      <c r="BE212" s="144">
        <f t="shared" ca="1" si="603"/>
        <v>0</v>
      </c>
      <c r="BF212" s="40">
        <f t="shared" si="604"/>
        <v>2017</v>
      </c>
      <c r="BG212" s="139">
        <f t="shared" si="605"/>
        <v>5</v>
      </c>
      <c r="BH212" s="140">
        <f t="shared" ca="1" si="606"/>
        <v>5851</v>
      </c>
      <c r="BI212" s="304">
        <f t="shared" ca="1" si="607"/>
        <v>16.060232717316907</v>
      </c>
      <c r="BJ212" s="42">
        <f t="shared" ca="1" si="626"/>
        <v>16.113799363152097</v>
      </c>
      <c r="BK212" s="42">
        <f t="shared" ca="1" si="627"/>
        <v>16.116537213939228</v>
      </c>
      <c r="BL212" s="42">
        <f t="shared" ca="1" si="608"/>
        <v>16.142368240930868</v>
      </c>
      <c r="BM212" s="285">
        <f t="shared" si="609"/>
        <v>23</v>
      </c>
      <c r="BN212" s="41">
        <f t="shared" si="610"/>
        <v>15</v>
      </c>
      <c r="BO212" s="41">
        <f t="shared" si="611"/>
        <v>8</v>
      </c>
      <c r="BP212" s="297" t="str">
        <f t="shared" ca="1" si="628"/>
        <v/>
      </c>
      <c r="BQ212" s="297" t="str">
        <f t="shared" ca="1" si="629"/>
        <v/>
      </c>
      <c r="BR212" s="299" t="str">
        <f t="shared" ca="1" si="630"/>
        <v/>
      </c>
      <c r="BS212" s="153" t="str">
        <f t="shared" ca="1" si="631"/>
        <v/>
      </c>
      <c r="BT212" s="153" t="str">
        <f t="shared" ca="1" si="632"/>
        <v/>
      </c>
      <c r="BU212" s="300" t="str">
        <f t="shared" ca="1" si="633"/>
        <v/>
      </c>
      <c r="BV212" s="301" t="str">
        <f t="shared" ca="1" si="634"/>
        <v/>
      </c>
      <c r="BW212" s="300" t="str">
        <f t="shared" ca="1" si="635"/>
        <v/>
      </c>
      <c r="BX212" s="301" t="str">
        <f t="shared" ca="1" si="636"/>
        <v/>
      </c>
      <c r="BY212" s="146" t="str">
        <f t="shared" ca="1" si="637"/>
        <v/>
      </c>
      <c r="BZ212" s="146" t="str">
        <f t="shared" ca="1" si="638"/>
        <v/>
      </c>
      <c r="CA212" s="146" t="str">
        <f t="shared" ca="1" si="639"/>
        <v/>
      </c>
      <c r="CB212" s="146" t="str">
        <f t="shared" ca="1" si="640"/>
        <v/>
      </c>
      <c r="CC212" s="302">
        <v>1</v>
      </c>
      <c r="CD212" s="154">
        <f ca="1">IF(BD212,_xll.xCrudeAPO(BS212,BT212,BY212,BZ212,S213,S214,BI212,BL212,BN212,BO212,0,Strike1,AO212,CC212,0,BL212,IF(OptControl=4,0,1),0,1),0)</f>
        <v>0</v>
      </c>
      <c r="CE212" s="155">
        <f ca="1">IF(BD212,_xll.xCrudeAPO(BS212,BT212,BY212,BZ212,S213,S214,BI212,BL212,BN212,BO212,0,Strike1,AO212,CC212,0,BL212,IF(OptControl=4,0,1),1,1)+_xll.xCrudeAPO(BS212,BT212,BY212,BZ212,S213,S214,BI212,BL212,BN212,BO212,0,Strike1,AO212,CC212,0,BL212,IF(OptControl=4,0,1),1,2)+IF(OR(VolSkewFlag=2,ABS(BQ212)&lt;0.0001),0,IF(BQ212&gt;0,-1,1)*CF212*Strike1/BP212^2*BW212/10%),0)</f>
        <v>0</v>
      </c>
      <c r="CF212" s="155">
        <f ca="1">IF(BD212,(_xll.xCrudeAPO(BS212,BT212,BY212,BZ212,S213,S214,BI212,BL212,BN212,BO212,0,Strike1,AO212,CC212,0,BL212,IF(OptControl=4,0,1),3,1)+_xll.xCrudeAPO(BS212,BT212,BY212,BZ212,S213,S214,BI212,BL212,BN212,BO212,0,Strike1,AO212,CC212,0,BL212,IF(OptControl=4,0,1),3,2))/100,0)</f>
        <v>0</v>
      </c>
      <c r="CG212" s="155">
        <f ca="1">IF(BD212,_xll.xCrudeAPO(BS212,BT212,BY212,BZ212,S213,S214,BI212-DaysForThetaCalculation/365.25,BL212-DaysForThetaCalculation/365.25,BN212,BO212,0,Strike1,AO212,CC212,0,BL212,IF(OptControl=4,0,1),0,1)-_xll.xCrudeAPO(BS212,BT212,BY212,BZ212,S213,S214,BI212,BL212,BN212,BO212,0,Strike1,AO212,CC212,0,BL212,IF(OptControl=4,0,1),0,1),0)</f>
        <v>0</v>
      </c>
      <c r="CH212" s="303">
        <f ca="1">IF(BD212,_xll.xCrudeAPO(BS212,BT212,CA212,CB212,S213,S214,BI212,BL212,BN212,BO212,0,Strike2,AO212,CC212,0,BL212,IF(OptControl=3,1,0),0,1),0)</f>
        <v>0</v>
      </c>
      <c r="CI212" s="155">
        <f ca="1">IF(BD212,_xll.xCrudeAPO(BS212,BT212,CA212,CB212,S213,S214,BI212,BL212,BN212,BO212,0,Strike2,AO212,CC212,0,BL212,IF(OptControl=3,1,0),1,1)+_xll.xCrudeAPO(BS212,BT212,CA212,CB212,S213,S214,BI212,BL212,BN212,BO212,0,Strike2,AO212,CC212,0,BL212,IF(OptControl=3,1,0),1,2)+IF(OR(VolSkewFlag=2,ABS(BR212)&lt;0.0001),0,IF(BR212&gt;0,-1,1)*CJ212*Strike2/BP212^2*BX212/10%),0)</f>
        <v>0</v>
      </c>
      <c r="CJ212" s="155">
        <f ca="1">IF(BD212,(_xll.xCrudeAPO(BS212,BT212,CA212,CB212,S213,S214,BI212,BL212,BN212,BO212,0,Strike2,AO212,CC212,0,BL212,IF(OptControl=3,1,0),3,1)+_xll.xCrudeAPO(BS212,BT212,CA212,CB212,S213,S214,BI212,BL212,BN212,BO212,0,Strike2,AO212,CC212,0,BL212,IF(OptControl=3,1,0),3,2))/100,0)</f>
        <v>0</v>
      </c>
      <c r="CK212" s="156">
        <f ca="1">IF(BD212,_xll.xCrudeAPO(BS212,BT212,CA212,CB212,S213,S214,BI212-DaysForThetaCalculation/365.25,BL212-DaysForThetaCalculation/365.25,BN212,BO212,0,Strike2,AO212,CC212,0,BL212,IF(OptControl=3,1,0),0,1)-_xll.xCrudeAPO(BS212,BT212,CA212,CB212,S213,S214,BI212,BL212,BN212,BO212,0,Strike2,AO212,CC212,0,BL212,IF(OptControl=3,1,0),0,1),0)</f>
        <v>0</v>
      </c>
      <c r="CL212" s="51"/>
      <c r="CM212" s="779" t="str">
        <f t="shared" ref="CM212:CM260" ca="1" si="650">IF(BD212,CHOOSE(Underlying,AD212,AF212)-DateToday+1,"")</f>
        <v/>
      </c>
      <c r="CN212" s="783" t="str">
        <f t="shared" ref="CN212:CN260" ca="1" si="651">IF(BD212,CHOOSE(Underlying,L212,R212),"")</f>
        <v/>
      </c>
      <c r="CO212" s="780" t="str">
        <f t="shared" ref="CO212:CO260" ca="1" si="652">IF(BD212,Strike1/CN212-1,"")</f>
        <v/>
      </c>
      <c r="CP212" s="780" t="str">
        <f t="shared" ref="CP212:CP260" ca="1" si="653">IF(BD212,Strike2/CN212-1,"")</f>
        <v/>
      </c>
      <c r="CQ212" s="780" t="str">
        <f t="shared" ref="CQ212:CQ260" ca="1" si="654">IF(BD212,IF(CO212&gt;0,IF(CO212&gt;0.2,BC211-BB211,IF(CO212&gt;0.1,BB211-BA211,BA211)),IF(CO212&lt;-0.2,AX211-AY211,IF(CO212&lt;-0.1,AY211-AZ211,AZ211))),"")</f>
        <v/>
      </c>
      <c r="CR212" s="780" t="str">
        <f t="shared" ref="CR212:CR260" ca="1" si="655">IF(BD212,IF(CP212&gt;0,IF(CP212&gt;0.2,BC211-BB211,IF(CP212&gt;0.1,BB211-BA211,BA211)),IF(CP212&lt;-0.2,AX211-AY211,IF(CP212&lt;-0.1,AY211-AZ211,AZ211))),"")</f>
        <v/>
      </c>
      <c r="CS212" s="781" t="str">
        <f t="shared" ref="CS212:CS260" ca="1" si="656">IF(BD212,CHOOSE(Underlying,O212,AT212),"")</f>
        <v/>
      </c>
      <c r="CT212" s="782" t="str">
        <f t="shared" ref="CT212:CT260" ca="1" si="657">IF(BD212,CS212+IF(VolSkewFlag=1,IF(CO212&gt;0,BA211*MIN(CO212/10%,1)+(BB211-BA211)*MAX(0,MIN(CO212/10%-1,1))+(BC211-BB211)*MAX(0,CO212/10%-2),AZ211*MIN(-CO212/10%,1)+(AY211-AZ211)*MAX(0,MIN(-CO212/10%-1,1))+(AX211-AY211)*MAX(0,-CO212/10%-2)),0),"")</f>
        <v/>
      </c>
      <c r="CU212" s="782" t="str">
        <f t="shared" ref="CU212:CU260" ca="1" si="658">IF(BD212,CS212+IF(VolSkewFlag=1,IF(CP212&gt;0,BA211*MIN(CP212/10%,1)+(BB211-BA211)*MAX(0,MIN(CP212/10%-1,1))+(BC211-BB211)*MAX(0,CP212/10%-2),AZ211*MIN(-CP212/10%,1)+(AY211-AZ211)*MAX(0,MIN(-CP212/10%-1,1))+(AX211-AY211)*MAX(0,-CP212/10%-2)),0),"")</f>
        <v/>
      </c>
      <c r="CV212" s="155">
        <f ca="1">IF(BD212,_xll.EURO(CN212,Strike1,AO212,AO212,CT212,CM212,IF(OptControl=4,0,1),0),0)</f>
        <v>0</v>
      </c>
      <c r="CW212" s="155">
        <f ca="1">IF(BD212,_xll.EURO(CN212,Strike1,AO212,AO212,CT212,CM212,IF(OptControl=4,0,1),1)+IF(OR(VolSkewFlag=2,ABS(CO212)&lt;0.0001),0,IF(CO212&gt;0,-1,1)*CX212*100*Strike1/CN212^2*CQ212/10%),0)</f>
        <v>0</v>
      </c>
      <c r="CX212" s="155">
        <f ca="1">IF(BD212,_xll.EURO(CN212,Strike1,AO212,AO212,CT212,CM212,IF(OptControl=4,0,1),3)/100,0)</f>
        <v>0</v>
      </c>
      <c r="CY212" s="155">
        <f ca="1">IF(BD212,_xll.EURO(CN212,Strike1,AO212,AO212,CT212,CM212,IF(OptControl=4,0,1),0)-_xll.EURO(CN212,Strike1,AO212,AO212,CT212,CM212-1,IF(OptControl=4,0,1),0),0)</f>
        <v>0</v>
      </c>
      <c r="CZ212" s="155">
        <f ca="1">IF(BD212,_xll.EURO(CN212,Strike2,AO212,AO212,CU212,CM212,IF(OptControl=3,1,0),0),0)</f>
        <v>0</v>
      </c>
      <c r="DA212" s="155">
        <f ca="1">IF(BD212,_xll.EURO(CN212,Strike2,AO212,AO212,CU212,CM212,IF(OptControl=3,1,0),1)+IF(OR(VolSkewFlag=2,ABS(CP212)&lt;0.0001),0,IF(CP212&gt;0,-1,1)*DB212*100*Strike2/CN212^2*CR212/10%),0)</f>
        <v>0</v>
      </c>
      <c r="DB212" s="155">
        <f ca="1">IF(BD212,_xll.EURO(CN212,Strike2,AO212,AO212,CU212,CM212,IF(OptControl=3,1,0),3)/100,0)</f>
        <v>0</v>
      </c>
      <c r="DC212" s="156">
        <f ca="1">IF(BD212,_xll.EURO(CN212,Strike2,AO212,AO212,CU212,CM212,IF(OptControl=3,1,0),0)-_xll.EURO(CN212,Strike2,AO212,AO212,CU212,CM212-1,IF(OptControl=3,1,0),0),0)</f>
        <v>0</v>
      </c>
      <c r="DE212" s="651">
        <f t="shared" ref="DE212:DE260" ca="1" si="659">EOMONTH(DE211,0)+1</f>
        <v>42767</v>
      </c>
      <c r="DF212" s="465">
        <v>1E-4</v>
      </c>
      <c r="DG212" s="649">
        <v>1E-4</v>
      </c>
      <c r="DH212" s="650">
        <f t="shared" ca="1" si="612"/>
        <v>42767</v>
      </c>
      <c r="DI212" s="465">
        <v>1E-4</v>
      </c>
      <c r="DJ212" s="649">
        <v>1E-4</v>
      </c>
      <c r="DK212" s="651">
        <f t="shared" ca="1" si="613"/>
        <v>42767</v>
      </c>
      <c r="DL212" s="652">
        <f t="shared" si="614"/>
        <v>5.0100000000000006E-2</v>
      </c>
      <c r="DM212" s="651">
        <f t="shared" ca="1" si="615"/>
        <v>42767</v>
      </c>
      <c r="DN212" s="563">
        <f t="shared" si="616"/>
        <v>-0.12990000000000002</v>
      </c>
      <c r="DO212" s="803">
        <v>-0.13</v>
      </c>
      <c r="DP212" s="650">
        <f t="shared" ca="1" si="617"/>
        <v>42767</v>
      </c>
      <c r="DQ212" s="653">
        <v>1E-4</v>
      </c>
      <c r="DR212" s="590">
        <v>1E-4</v>
      </c>
      <c r="DS212" s="650">
        <f t="shared" ca="1" si="618"/>
        <v>42767</v>
      </c>
      <c r="DT212" s="653">
        <v>1E-4</v>
      </c>
      <c r="DU212" s="590">
        <v>1E-4</v>
      </c>
      <c r="DV212" s="651">
        <f t="shared" ca="1" si="619"/>
        <v>42767</v>
      </c>
      <c r="DW212" s="590">
        <v>1E-4</v>
      </c>
      <c r="DX212" s="651">
        <f t="shared" ca="1" si="620"/>
        <v>42767</v>
      </c>
      <c r="DY212" s="590">
        <f t="shared" si="621"/>
        <v>1E-4</v>
      </c>
      <c r="DZ212" s="1"/>
      <c r="EA212" s="857"/>
      <c r="EB212" s="857"/>
      <c r="EC212" s="857"/>
      <c r="ED212" s="868" t="e">
        <f t="shared" ca="1" si="566"/>
        <v>#NAME?</v>
      </c>
      <c r="EE212" s="863" t="e">
        <f t="shared" ca="1" si="641"/>
        <v>#NAME?</v>
      </c>
      <c r="EF212" s="590" t="e">
        <f t="shared" ca="1" si="642"/>
        <v>#NAME?</v>
      </c>
      <c r="EG212" s="862" t="str">
        <f t="shared" ca="1" si="622"/>
        <v/>
      </c>
      <c r="EH212" s="114" t="str">
        <f t="shared" ca="1" si="643"/>
        <v/>
      </c>
      <c r="EI212" s="109" t="str">
        <f t="shared" ca="1" si="644"/>
        <v/>
      </c>
      <c r="EJ212" s="115">
        <f ca="1">IF(BD212,_xll.xASN(BP212,Strike1,AO212,EH212,0,BM212,0,BI212,BL212,IF(OptControl=4,0,1),0),0)</f>
        <v>0</v>
      </c>
      <c r="EK212" s="108">
        <f ca="1">IF(BD212,_xll.xASN(BP212,Strike2,AO212,EI212,0,BM212,0,BI212,BL212,IF(OptControl=3,1,0),0),0)</f>
        <v>0</v>
      </c>
      <c r="EP212" s="53"/>
      <c r="EQ212" s="1"/>
      <c r="ER212" s="103"/>
      <c r="ES212" s="103"/>
      <c r="ET212" s="1"/>
      <c r="EU212" s="667" t="s">
        <v>425</v>
      </c>
      <c r="EW212" s="53"/>
      <c r="EY212" s="104"/>
      <c r="FN212" s="657">
        <v>43</v>
      </c>
      <c r="FO212" s="469" t="str">
        <f ca="1">IF(OR(FO$169&lt;SwaptionFirstMonthPosition+1,$FN212&lt;SwaptionFirstMonthPosition+1,FO$169&gt;SwaptionFirstMonthPosition+SwaptionNumOfMonths+1,$FN212&gt;SwaptionFirstMonthPosition+SwaptionNumOfMonths+1),"",IF($FN212=FO$169,1,IF($FN212&lt;FO$169,INDEX($FO$170:$IH$241,FO$169,$FN212),SUMPRODUCT(INDEX($FO$325:$IH$396,FO$169,1+SwaptionShift):INDEX($FO$325:$IH$396,FO$169,SwaptionMonthsToGo+SwaptionShift),INDEX($FO$245:$IH$316,$FN212-FO$169,73-FO$169+SwaptionShift):INDEX($FO$245:$IH$316,$FN212-FO$169,72-FO$169+SwaptionMonthsToGo+SwaptionShift))/SQRT(SUM(INDEX($FO367:$IH367,1+SwaptionShift):INDEX($FO367:$IH367,SwaptionMonthsToGo+SwaptionShift))*SUM(INDEX($FO$325:$IH$396,FO$169,1+SwaptionShift):INDEX($FO$325:$IH$396,FO$169,SwaptionMonthsToGo+SwaptionShift))))))</f>
        <v/>
      </c>
      <c r="FP212" s="469" t="str">
        <f ca="1">IF(OR(FP$169&lt;SwaptionFirstMonthPosition+1,$FN212&lt;SwaptionFirstMonthPosition+1,FP$169&gt;SwaptionFirstMonthPosition+SwaptionNumOfMonths+1,$FN212&gt;SwaptionFirstMonthPosition+SwaptionNumOfMonths+1),"",IF($FN212=FP$169,1,IF($FN212&lt;FP$169,INDEX($FO$170:$IH$241,FP$169,$FN212),SUMPRODUCT(INDEX($FO$325:$IH$396,FP$169,1+SwaptionShift):INDEX($FO$325:$IH$396,FP$169,SwaptionMonthsToGo+SwaptionShift),INDEX($FO$245:$IH$316,$FN212-FP$169,73-FP$169+SwaptionShift):INDEX($FO$245:$IH$316,$FN212-FP$169,72-FP$169+SwaptionMonthsToGo+SwaptionShift))/SQRT(SUM(INDEX($FO367:$IH367,1+SwaptionShift):INDEX($FO367:$IH367,SwaptionMonthsToGo+SwaptionShift))*SUM(INDEX($FO$325:$IH$396,FP$169,1+SwaptionShift):INDEX($FO$325:$IH$396,FP$169,SwaptionMonthsToGo+SwaptionShift))))))</f>
        <v/>
      </c>
      <c r="FQ212" s="469" t="str">
        <f ca="1">IF(OR(FQ$169&lt;SwaptionFirstMonthPosition+1,$FN212&lt;SwaptionFirstMonthPosition+1,FQ$169&gt;SwaptionFirstMonthPosition+SwaptionNumOfMonths+1,$FN212&gt;SwaptionFirstMonthPosition+SwaptionNumOfMonths+1),"",IF($FN212=FQ$169,1,IF($FN212&lt;FQ$169,INDEX($FO$170:$IH$241,FQ$169,$FN212),SUMPRODUCT(INDEX($FO$325:$IH$396,FQ$169,1+SwaptionShift):INDEX($FO$325:$IH$396,FQ$169,SwaptionMonthsToGo+SwaptionShift),INDEX($FO$245:$IH$316,$FN212-FQ$169,73-FQ$169+SwaptionShift):INDEX($FO$245:$IH$316,$FN212-FQ$169,72-FQ$169+SwaptionMonthsToGo+SwaptionShift))/SQRT(SUM(INDEX($FO367:$IH367,1+SwaptionShift):INDEX($FO367:$IH367,SwaptionMonthsToGo+SwaptionShift))*SUM(INDEX($FO$325:$IH$396,FQ$169,1+SwaptionShift):INDEX($FO$325:$IH$396,FQ$169,SwaptionMonthsToGo+SwaptionShift))))))</f>
        <v/>
      </c>
      <c r="FR212" s="469" t="str">
        <f ca="1">IF(OR(FR$169&lt;SwaptionFirstMonthPosition+1,$FN212&lt;SwaptionFirstMonthPosition+1,FR$169&gt;SwaptionFirstMonthPosition+SwaptionNumOfMonths+1,$FN212&gt;SwaptionFirstMonthPosition+SwaptionNumOfMonths+1),"",IF($FN212=FR$169,1,IF($FN212&lt;FR$169,INDEX($FO$170:$IH$241,FR$169,$FN212),SUMPRODUCT(INDEX($FO$325:$IH$396,FR$169,1+SwaptionShift):INDEX($FO$325:$IH$396,FR$169,SwaptionMonthsToGo+SwaptionShift),INDEX($FO$245:$IH$316,$FN212-FR$169,73-FR$169+SwaptionShift):INDEX($FO$245:$IH$316,$FN212-FR$169,72-FR$169+SwaptionMonthsToGo+SwaptionShift))/SQRT(SUM(INDEX($FO367:$IH367,1+SwaptionShift):INDEX($FO367:$IH367,SwaptionMonthsToGo+SwaptionShift))*SUM(INDEX($FO$325:$IH$396,FR$169,1+SwaptionShift):INDEX($FO$325:$IH$396,FR$169,SwaptionMonthsToGo+SwaptionShift))))))</f>
        <v/>
      </c>
      <c r="FS212" s="469" t="str">
        <f ca="1">IF(OR(FS$169&lt;SwaptionFirstMonthPosition+1,$FN212&lt;SwaptionFirstMonthPosition+1,FS$169&gt;SwaptionFirstMonthPosition+SwaptionNumOfMonths+1,$FN212&gt;SwaptionFirstMonthPosition+SwaptionNumOfMonths+1),"",IF($FN212=FS$169,1,IF($FN212&lt;FS$169,INDEX($FO$170:$IH$241,FS$169,$FN212),SUMPRODUCT(INDEX($FO$325:$IH$396,FS$169,1+SwaptionShift):INDEX($FO$325:$IH$396,FS$169,SwaptionMonthsToGo+SwaptionShift),INDEX($FO$245:$IH$316,$FN212-FS$169,73-FS$169+SwaptionShift):INDEX($FO$245:$IH$316,$FN212-FS$169,72-FS$169+SwaptionMonthsToGo+SwaptionShift))/SQRT(SUM(INDEX($FO367:$IH367,1+SwaptionShift):INDEX($FO367:$IH367,SwaptionMonthsToGo+SwaptionShift))*SUM(INDEX($FO$325:$IH$396,FS$169,1+SwaptionShift):INDEX($FO$325:$IH$396,FS$169,SwaptionMonthsToGo+SwaptionShift))))))</f>
        <v/>
      </c>
      <c r="FT212" s="469" t="str">
        <f ca="1">IF(OR(FT$169&lt;SwaptionFirstMonthPosition+1,$FN212&lt;SwaptionFirstMonthPosition+1,FT$169&gt;SwaptionFirstMonthPosition+SwaptionNumOfMonths+1,$FN212&gt;SwaptionFirstMonthPosition+SwaptionNumOfMonths+1),"",IF($FN212=FT$169,1,IF($FN212&lt;FT$169,INDEX($FO$170:$IH$241,FT$169,$FN212),SUMPRODUCT(INDEX($FO$325:$IH$396,FT$169,1+SwaptionShift):INDEX($FO$325:$IH$396,FT$169,SwaptionMonthsToGo+SwaptionShift),INDEX($FO$245:$IH$316,$FN212-FT$169,73-FT$169+SwaptionShift):INDEX($FO$245:$IH$316,$FN212-FT$169,72-FT$169+SwaptionMonthsToGo+SwaptionShift))/SQRT(SUM(INDEX($FO367:$IH367,1+SwaptionShift):INDEX($FO367:$IH367,SwaptionMonthsToGo+SwaptionShift))*SUM(INDEX($FO$325:$IH$396,FT$169,1+SwaptionShift):INDEX($FO$325:$IH$396,FT$169,SwaptionMonthsToGo+SwaptionShift))))))</f>
        <v/>
      </c>
      <c r="FU212" s="469" t="str">
        <f ca="1">IF(OR(FU$169&lt;SwaptionFirstMonthPosition+1,$FN212&lt;SwaptionFirstMonthPosition+1,FU$169&gt;SwaptionFirstMonthPosition+SwaptionNumOfMonths+1,$FN212&gt;SwaptionFirstMonthPosition+SwaptionNumOfMonths+1),"",IF($FN212=FU$169,1,IF($FN212&lt;FU$169,INDEX($FO$170:$IH$241,FU$169,$FN212),SUMPRODUCT(INDEX($FO$325:$IH$396,FU$169,1+SwaptionShift):INDEX($FO$325:$IH$396,FU$169,SwaptionMonthsToGo+SwaptionShift),INDEX($FO$245:$IH$316,$FN212-FU$169,73-FU$169+SwaptionShift):INDEX($FO$245:$IH$316,$FN212-FU$169,72-FU$169+SwaptionMonthsToGo+SwaptionShift))/SQRT(SUM(INDEX($FO367:$IH367,1+SwaptionShift):INDEX($FO367:$IH367,SwaptionMonthsToGo+SwaptionShift))*SUM(INDEX($FO$325:$IH$396,FU$169,1+SwaptionShift):INDEX($FO$325:$IH$396,FU$169,SwaptionMonthsToGo+SwaptionShift))))))</f>
        <v/>
      </c>
      <c r="FV212" s="469" t="str">
        <f ca="1">IF(OR(FV$169&lt;SwaptionFirstMonthPosition+1,$FN212&lt;SwaptionFirstMonthPosition+1,FV$169&gt;SwaptionFirstMonthPosition+SwaptionNumOfMonths+1,$FN212&gt;SwaptionFirstMonthPosition+SwaptionNumOfMonths+1),"",IF($FN212=FV$169,1,IF($FN212&lt;FV$169,INDEX($FO$170:$IH$241,FV$169,$FN212),SUMPRODUCT(INDEX($FO$325:$IH$396,FV$169,1+SwaptionShift):INDEX($FO$325:$IH$396,FV$169,SwaptionMonthsToGo+SwaptionShift),INDEX($FO$245:$IH$316,$FN212-FV$169,73-FV$169+SwaptionShift):INDEX($FO$245:$IH$316,$FN212-FV$169,72-FV$169+SwaptionMonthsToGo+SwaptionShift))/SQRT(SUM(INDEX($FO367:$IH367,1+SwaptionShift):INDEX($FO367:$IH367,SwaptionMonthsToGo+SwaptionShift))*SUM(INDEX($FO$325:$IH$396,FV$169,1+SwaptionShift):INDEX($FO$325:$IH$396,FV$169,SwaptionMonthsToGo+SwaptionShift))))))</f>
        <v/>
      </c>
      <c r="FW212" s="469" t="str">
        <f ca="1">IF(OR(FW$169&lt;SwaptionFirstMonthPosition+1,$FN212&lt;SwaptionFirstMonthPosition+1,FW$169&gt;SwaptionFirstMonthPosition+SwaptionNumOfMonths+1,$FN212&gt;SwaptionFirstMonthPosition+SwaptionNumOfMonths+1),"",IF($FN212=FW$169,1,IF($FN212&lt;FW$169,INDEX($FO$170:$IH$241,FW$169,$FN212),SUMPRODUCT(INDEX($FO$325:$IH$396,FW$169,1+SwaptionShift):INDEX($FO$325:$IH$396,FW$169,SwaptionMonthsToGo+SwaptionShift),INDEX($FO$245:$IH$316,$FN212-FW$169,73-FW$169+SwaptionShift):INDEX($FO$245:$IH$316,$FN212-FW$169,72-FW$169+SwaptionMonthsToGo+SwaptionShift))/SQRT(SUM(INDEX($FO367:$IH367,1+SwaptionShift):INDEX($FO367:$IH367,SwaptionMonthsToGo+SwaptionShift))*SUM(INDEX($FO$325:$IH$396,FW$169,1+SwaptionShift):INDEX($FO$325:$IH$396,FW$169,SwaptionMonthsToGo+SwaptionShift))))))</f>
        <v/>
      </c>
      <c r="FX212" s="469" t="str">
        <f ca="1">IF(OR(FX$169&lt;SwaptionFirstMonthPosition+1,$FN212&lt;SwaptionFirstMonthPosition+1,FX$169&gt;SwaptionFirstMonthPosition+SwaptionNumOfMonths+1,$FN212&gt;SwaptionFirstMonthPosition+SwaptionNumOfMonths+1),"",IF($FN212=FX$169,1,IF($FN212&lt;FX$169,INDEX($FO$170:$IH$241,FX$169,$FN212),SUMPRODUCT(INDEX($FO$325:$IH$396,FX$169,1+SwaptionShift):INDEX($FO$325:$IH$396,FX$169,SwaptionMonthsToGo+SwaptionShift),INDEX($FO$245:$IH$316,$FN212-FX$169,73-FX$169+SwaptionShift):INDEX($FO$245:$IH$316,$FN212-FX$169,72-FX$169+SwaptionMonthsToGo+SwaptionShift))/SQRT(SUM(INDEX($FO367:$IH367,1+SwaptionShift):INDEX($FO367:$IH367,SwaptionMonthsToGo+SwaptionShift))*SUM(INDEX($FO$325:$IH$396,FX$169,1+SwaptionShift):INDEX($FO$325:$IH$396,FX$169,SwaptionMonthsToGo+SwaptionShift))))))</f>
        <v/>
      </c>
      <c r="FY212" s="469" t="str">
        <f ca="1">IF(OR(FY$169&lt;SwaptionFirstMonthPosition+1,$FN212&lt;SwaptionFirstMonthPosition+1,FY$169&gt;SwaptionFirstMonthPosition+SwaptionNumOfMonths+1,$FN212&gt;SwaptionFirstMonthPosition+SwaptionNumOfMonths+1),"",IF($FN212=FY$169,1,IF($FN212&lt;FY$169,INDEX($FO$170:$IH$241,FY$169,$FN212),SUMPRODUCT(INDEX($FO$325:$IH$396,FY$169,1+SwaptionShift):INDEX($FO$325:$IH$396,FY$169,SwaptionMonthsToGo+SwaptionShift),INDEX($FO$245:$IH$316,$FN212-FY$169,73-FY$169+SwaptionShift):INDEX($FO$245:$IH$316,$FN212-FY$169,72-FY$169+SwaptionMonthsToGo+SwaptionShift))/SQRT(SUM(INDEX($FO367:$IH367,1+SwaptionShift):INDEX($FO367:$IH367,SwaptionMonthsToGo+SwaptionShift))*SUM(INDEX($FO$325:$IH$396,FY$169,1+SwaptionShift):INDEX($FO$325:$IH$396,FY$169,SwaptionMonthsToGo+SwaptionShift))))))</f>
        <v/>
      </c>
      <c r="FZ212" s="469" t="str">
        <f ca="1">IF(OR(FZ$169&lt;SwaptionFirstMonthPosition+1,$FN212&lt;SwaptionFirstMonthPosition+1,FZ$169&gt;SwaptionFirstMonthPosition+SwaptionNumOfMonths+1,$FN212&gt;SwaptionFirstMonthPosition+SwaptionNumOfMonths+1),"",IF($FN212=FZ$169,1,IF($FN212&lt;FZ$169,INDEX($FO$170:$IH$241,FZ$169,$FN212),SUMPRODUCT(INDEX($FO$325:$IH$396,FZ$169,1+SwaptionShift):INDEX($FO$325:$IH$396,FZ$169,SwaptionMonthsToGo+SwaptionShift),INDEX($FO$245:$IH$316,$FN212-FZ$169,73-FZ$169+SwaptionShift):INDEX($FO$245:$IH$316,$FN212-FZ$169,72-FZ$169+SwaptionMonthsToGo+SwaptionShift))/SQRT(SUM(INDEX($FO367:$IH367,1+SwaptionShift):INDEX($FO367:$IH367,SwaptionMonthsToGo+SwaptionShift))*SUM(INDEX($FO$325:$IH$396,FZ$169,1+SwaptionShift):INDEX($FO$325:$IH$396,FZ$169,SwaptionMonthsToGo+SwaptionShift))))))</f>
        <v/>
      </c>
      <c r="GA212" s="469" t="str">
        <f ca="1">IF(OR(GA$169&lt;SwaptionFirstMonthPosition+1,$FN212&lt;SwaptionFirstMonthPosition+1,GA$169&gt;SwaptionFirstMonthPosition+SwaptionNumOfMonths+1,$FN212&gt;SwaptionFirstMonthPosition+SwaptionNumOfMonths+1),"",IF($FN212=GA$169,1,IF($FN212&lt;GA$169,INDEX($FO$170:$IH$241,GA$169,$FN212),SUMPRODUCT(INDEX($FO$325:$IH$396,GA$169,1+SwaptionShift):INDEX($FO$325:$IH$396,GA$169,SwaptionMonthsToGo+SwaptionShift),INDEX($FO$245:$IH$316,$FN212-GA$169,73-GA$169+SwaptionShift):INDEX($FO$245:$IH$316,$FN212-GA$169,72-GA$169+SwaptionMonthsToGo+SwaptionShift))/SQRT(SUM(INDEX($FO367:$IH367,1+SwaptionShift):INDEX($FO367:$IH367,SwaptionMonthsToGo+SwaptionShift))*SUM(INDEX($FO$325:$IH$396,GA$169,1+SwaptionShift):INDEX($FO$325:$IH$396,GA$169,SwaptionMonthsToGo+SwaptionShift))))))</f>
        <v/>
      </c>
      <c r="GB212" s="469" t="str">
        <f ca="1">IF(OR(GB$169&lt;SwaptionFirstMonthPosition+1,$FN212&lt;SwaptionFirstMonthPosition+1,GB$169&gt;SwaptionFirstMonthPosition+SwaptionNumOfMonths+1,$FN212&gt;SwaptionFirstMonthPosition+SwaptionNumOfMonths+1),"",IF($FN212=GB$169,1,IF($FN212&lt;GB$169,INDEX($FO$170:$IH$241,GB$169,$FN212),SUMPRODUCT(INDEX($FO$325:$IH$396,GB$169,1+SwaptionShift):INDEX($FO$325:$IH$396,GB$169,SwaptionMonthsToGo+SwaptionShift),INDEX($FO$245:$IH$316,$FN212-GB$169,73-GB$169+SwaptionShift):INDEX($FO$245:$IH$316,$FN212-GB$169,72-GB$169+SwaptionMonthsToGo+SwaptionShift))/SQRT(SUM(INDEX($FO367:$IH367,1+SwaptionShift):INDEX($FO367:$IH367,SwaptionMonthsToGo+SwaptionShift))*SUM(INDEX($FO$325:$IH$396,GB$169,1+SwaptionShift):INDEX($FO$325:$IH$396,GB$169,SwaptionMonthsToGo+SwaptionShift))))))</f>
        <v/>
      </c>
      <c r="GC212" s="469" t="str">
        <f ca="1">IF(OR(GC$169&lt;SwaptionFirstMonthPosition+1,$FN212&lt;SwaptionFirstMonthPosition+1,GC$169&gt;SwaptionFirstMonthPosition+SwaptionNumOfMonths+1,$FN212&gt;SwaptionFirstMonthPosition+SwaptionNumOfMonths+1),"",IF($FN212=GC$169,1,IF($FN212&lt;GC$169,INDEX($FO$170:$IH$241,GC$169,$FN212),SUMPRODUCT(INDEX($FO$325:$IH$396,GC$169,1+SwaptionShift):INDEX($FO$325:$IH$396,GC$169,SwaptionMonthsToGo+SwaptionShift),INDEX($FO$245:$IH$316,$FN212-GC$169,73-GC$169+SwaptionShift):INDEX($FO$245:$IH$316,$FN212-GC$169,72-GC$169+SwaptionMonthsToGo+SwaptionShift))/SQRT(SUM(INDEX($FO367:$IH367,1+SwaptionShift):INDEX($FO367:$IH367,SwaptionMonthsToGo+SwaptionShift))*SUM(INDEX($FO$325:$IH$396,GC$169,1+SwaptionShift):INDEX($FO$325:$IH$396,GC$169,SwaptionMonthsToGo+SwaptionShift))))))</f>
        <v/>
      </c>
      <c r="GD212" s="469" t="str">
        <f ca="1">IF(OR(GD$169&lt;SwaptionFirstMonthPosition+1,$FN212&lt;SwaptionFirstMonthPosition+1,GD$169&gt;SwaptionFirstMonthPosition+SwaptionNumOfMonths+1,$FN212&gt;SwaptionFirstMonthPosition+SwaptionNumOfMonths+1),"",IF($FN212=GD$169,1,IF($FN212&lt;GD$169,INDEX($FO$170:$IH$241,GD$169,$FN212),SUMPRODUCT(INDEX($FO$325:$IH$396,GD$169,1+SwaptionShift):INDEX($FO$325:$IH$396,GD$169,SwaptionMonthsToGo+SwaptionShift),INDEX($FO$245:$IH$316,$FN212-GD$169,73-GD$169+SwaptionShift):INDEX($FO$245:$IH$316,$FN212-GD$169,72-GD$169+SwaptionMonthsToGo+SwaptionShift))/SQRT(SUM(INDEX($FO367:$IH367,1+SwaptionShift):INDEX($FO367:$IH367,SwaptionMonthsToGo+SwaptionShift))*SUM(INDEX($FO$325:$IH$396,GD$169,1+SwaptionShift):INDEX($FO$325:$IH$396,GD$169,SwaptionMonthsToGo+SwaptionShift))))))</f>
        <v/>
      </c>
      <c r="GE212" s="469" t="str">
        <f ca="1">IF(OR(GE$169&lt;SwaptionFirstMonthPosition+1,$FN212&lt;SwaptionFirstMonthPosition+1,GE$169&gt;SwaptionFirstMonthPosition+SwaptionNumOfMonths+1,$FN212&gt;SwaptionFirstMonthPosition+SwaptionNumOfMonths+1),"",IF($FN212=GE$169,1,IF($FN212&lt;GE$169,INDEX($FO$170:$IH$241,GE$169,$FN212),SUMPRODUCT(INDEX($FO$325:$IH$396,GE$169,1+SwaptionShift):INDEX($FO$325:$IH$396,GE$169,SwaptionMonthsToGo+SwaptionShift),INDEX($FO$245:$IH$316,$FN212-GE$169,73-GE$169+SwaptionShift):INDEX($FO$245:$IH$316,$FN212-GE$169,72-GE$169+SwaptionMonthsToGo+SwaptionShift))/SQRT(SUM(INDEX($FO367:$IH367,1+SwaptionShift):INDEX($FO367:$IH367,SwaptionMonthsToGo+SwaptionShift))*SUM(INDEX($FO$325:$IH$396,GE$169,1+SwaptionShift):INDEX($FO$325:$IH$396,GE$169,SwaptionMonthsToGo+SwaptionShift))))))</f>
        <v/>
      </c>
      <c r="GF212" s="469" t="str">
        <f ca="1">IF(OR(GF$169&lt;SwaptionFirstMonthPosition+1,$FN212&lt;SwaptionFirstMonthPosition+1,GF$169&gt;SwaptionFirstMonthPosition+SwaptionNumOfMonths+1,$FN212&gt;SwaptionFirstMonthPosition+SwaptionNumOfMonths+1),"",IF($FN212=GF$169,1,IF($FN212&lt;GF$169,INDEX($FO$170:$IH$241,GF$169,$FN212),SUMPRODUCT(INDEX($FO$325:$IH$396,GF$169,1+SwaptionShift):INDEX($FO$325:$IH$396,GF$169,SwaptionMonthsToGo+SwaptionShift),INDEX($FO$245:$IH$316,$FN212-GF$169,73-GF$169+SwaptionShift):INDEX($FO$245:$IH$316,$FN212-GF$169,72-GF$169+SwaptionMonthsToGo+SwaptionShift))/SQRT(SUM(INDEX($FO367:$IH367,1+SwaptionShift):INDEX($FO367:$IH367,SwaptionMonthsToGo+SwaptionShift))*SUM(INDEX($FO$325:$IH$396,GF$169,1+SwaptionShift):INDEX($FO$325:$IH$396,GF$169,SwaptionMonthsToGo+SwaptionShift))))))</f>
        <v/>
      </c>
      <c r="GG212" s="469" t="str">
        <f ca="1">IF(OR(GG$169&lt;SwaptionFirstMonthPosition+1,$FN212&lt;SwaptionFirstMonthPosition+1,GG$169&gt;SwaptionFirstMonthPosition+SwaptionNumOfMonths+1,$FN212&gt;SwaptionFirstMonthPosition+SwaptionNumOfMonths+1),"",IF($FN212=GG$169,1,IF($FN212&lt;GG$169,INDEX($FO$170:$IH$241,GG$169,$FN212),SUMPRODUCT(INDEX($FO$325:$IH$396,GG$169,1+SwaptionShift):INDEX($FO$325:$IH$396,GG$169,SwaptionMonthsToGo+SwaptionShift),INDEX($FO$245:$IH$316,$FN212-GG$169,73-GG$169+SwaptionShift):INDEX($FO$245:$IH$316,$FN212-GG$169,72-GG$169+SwaptionMonthsToGo+SwaptionShift))/SQRT(SUM(INDEX($FO367:$IH367,1+SwaptionShift):INDEX($FO367:$IH367,SwaptionMonthsToGo+SwaptionShift))*SUM(INDEX($FO$325:$IH$396,GG$169,1+SwaptionShift):INDEX($FO$325:$IH$396,GG$169,SwaptionMonthsToGo+SwaptionShift))))))</f>
        <v/>
      </c>
      <c r="GH212" s="469" t="str">
        <f ca="1">IF(OR(GH$169&lt;SwaptionFirstMonthPosition+1,$FN212&lt;SwaptionFirstMonthPosition+1,GH$169&gt;SwaptionFirstMonthPosition+SwaptionNumOfMonths+1,$FN212&gt;SwaptionFirstMonthPosition+SwaptionNumOfMonths+1),"",IF($FN212=GH$169,1,IF($FN212&lt;GH$169,INDEX($FO$170:$IH$241,GH$169,$FN212),SUMPRODUCT(INDEX($FO$325:$IH$396,GH$169,1+SwaptionShift):INDEX($FO$325:$IH$396,GH$169,SwaptionMonthsToGo+SwaptionShift),INDEX($FO$245:$IH$316,$FN212-GH$169,73-GH$169+SwaptionShift):INDEX($FO$245:$IH$316,$FN212-GH$169,72-GH$169+SwaptionMonthsToGo+SwaptionShift))/SQRT(SUM(INDEX($FO367:$IH367,1+SwaptionShift):INDEX($FO367:$IH367,SwaptionMonthsToGo+SwaptionShift))*SUM(INDEX($FO$325:$IH$396,GH$169,1+SwaptionShift):INDEX($FO$325:$IH$396,GH$169,SwaptionMonthsToGo+SwaptionShift))))))</f>
        <v/>
      </c>
      <c r="GI212" s="469" t="str">
        <f ca="1">IF(OR(GI$169&lt;SwaptionFirstMonthPosition+1,$FN212&lt;SwaptionFirstMonthPosition+1,GI$169&gt;SwaptionFirstMonthPosition+SwaptionNumOfMonths+1,$FN212&gt;SwaptionFirstMonthPosition+SwaptionNumOfMonths+1),"",IF($FN212=GI$169,1,IF($FN212&lt;GI$169,INDEX($FO$170:$IH$241,GI$169,$FN212),SUMPRODUCT(INDEX($FO$325:$IH$396,GI$169,1+SwaptionShift):INDEX($FO$325:$IH$396,GI$169,SwaptionMonthsToGo+SwaptionShift),INDEX($FO$245:$IH$316,$FN212-GI$169,73-GI$169+SwaptionShift):INDEX($FO$245:$IH$316,$FN212-GI$169,72-GI$169+SwaptionMonthsToGo+SwaptionShift))/SQRT(SUM(INDEX($FO367:$IH367,1+SwaptionShift):INDEX($FO367:$IH367,SwaptionMonthsToGo+SwaptionShift))*SUM(INDEX($FO$325:$IH$396,GI$169,1+SwaptionShift):INDEX($FO$325:$IH$396,GI$169,SwaptionMonthsToGo+SwaptionShift))))))</f>
        <v/>
      </c>
      <c r="GJ212" s="469" t="str">
        <f ca="1">IF(OR(GJ$169&lt;SwaptionFirstMonthPosition+1,$FN212&lt;SwaptionFirstMonthPosition+1,GJ$169&gt;SwaptionFirstMonthPosition+SwaptionNumOfMonths+1,$FN212&gt;SwaptionFirstMonthPosition+SwaptionNumOfMonths+1),"",IF($FN212=GJ$169,1,IF($FN212&lt;GJ$169,INDEX($FO$170:$IH$241,GJ$169,$FN212),SUMPRODUCT(INDEX($FO$325:$IH$396,GJ$169,1+SwaptionShift):INDEX($FO$325:$IH$396,GJ$169,SwaptionMonthsToGo+SwaptionShift),INDEX($FO$245:$IH$316,$FN212-GJ$169,73-GJ$169+SwaptionShift):INDEX($FO$245:$IH$316,$FN212-GJ$169,72-GJ$169+SwaptionMonthsToGo+SwaptionShift))/SQRT(SUM(INDEX($FO367:$IH367,1+SwaptionShift):INDEX($FO367:$IH367,SwaptionMonthsToGo+SwaptionShift))*SUM(INDEX($FO$325:$IH$396,GJ$169,1+SwaptionShift):INDEX($FO$325:$IH$396,GJ$169,SwaptionMonthsToGo+SwaptionShift))))))</f>
        <v/>
      </c>
      <c r="GK212" s="469" t="str">
        <f ca="1">IF(OR(GK$169&lt;SwaptionFirstMonthPosition+1,$FN212&lt;SwaptionFirstMonthPosition+1,GK$169&gt;SwaptionFirstMonthPosition+SwaptionNumOfMonths+1,$FN212&gt;SwaptionFirstMonthPosition+SwaptionNumOfMonths+1),"",IF($FN212=GK$169,1,IF($FN212&lt;GK$169,INDEX($FO$170:$IH$241,GK$169,$FN212),SUMPRODUCT(INDEX($FO$325:$IH$396,GK$169,1+SwaptionShift):INDEX($FO$325:$IH$396,GK$169,SwaptionMonthsToGo+SwaptionShift),INDEX($FO$245:$IH$316,$FN212-GK$169,73-GK$169+SwaptionShift):INDEX($FO$245:$IH$316,$FN212-GK$169,72-GK$169+SwaptionMonthsToGo+SwaptionShift))/SQRT(SUM(INDEX($FO367:$IH367,1+SwaptionShift):INDEX($FO367:$IH367,SwaptionMonthsToGo+SwaptionShift))*SUM(INDEX($FO$325:$IH$396,GK$169,1+SwaptionShift):INDEX($FO$325:$IH$396,GK$169,SwaptionMonthsToGo+SwaptionShift))))))</f>
        <v/>
      </c>
      <c r="GL212" s="469" t="str">
        <f ca="1">IF(OR(GL$169&lt;SwaptionFirstMonthPosition+1,$FN212&lt;SwaptionFirstMonthPosition+1,GL$169&gt;SwaptionFirstMonthPosition+SwaptionNumOfMonths+1,$FN212&gt;SwaptionFirstMonthPosition+SwaptionNumOfMonths+1),"",IF($FN212=GL$169,1,IF($FN212&lt;GL$169,INDEX($FO$170:$IH$241,GL$169,$FN212),SUMPRODUCT(INDEX($FO$325:$IH$396,GL$169,1+SwaptionShift):INDEX($FO$325:$IH$396,GL$169,SwaptionMonthsToGo+SwaptionShift),INDEX($FO$245:$IH$316,$FN212-GL$169,73-GL$169+SwaptionShift):INDEX($FO$245:$IH$316,$FN212-GL$169,72-GL$169+SwaptionMonthsToGo+SwaptionShift))/SQRT(SUM(INDEX($FO367:$IH367,1+SwaptionShift):INDEX($FO367:$IH367,SwaptionMonthsToGo+SwaptionShift))*SUM(INDEX($FO$325:$IH$396,GL$169,1+SwaptionShift):INDEX($FO$325:$IH$396,GL$169,SwaptionMonthsToGo+SwaptionShift))))))</f>
        <v/>
      </c>
      <c r="GM212" s="469" t="str">
        <f ca="1">IF(OR(GM$169&lt;SwaptionFirstMonthPosition+1,$FN212&lt;SwaptionFirstMonthPosition+1,GM$169&gt;SwaptionFirstMonthPosition+SwaptionNumOfMonths+1,$FN212&gt;SwaptionFirstMonthPosition+SwaptionNumOfMonths+1),"",IF($FN212=GM$169,1,IF($FN212&lt;GM$169,INDEX($FO$170:$IH$241,GM$169,$FN212),SUMPRODUCT(INDEX($FO$325:$IH$396,GM$169,1+SwaptionShift):INDEX($FO$325:$IH$396,GM$169,SwaptionMonthsToGo+SwaptionShift),INDEX($FO$245:$IH$316,$FN212-GM$169,73-GM$169+SwaptionShift):INDEX($FO$245:$IH$316,$FN212-GM$169,72-GM$169+SwaptionMonthsToGo+SwaptionShift))/SQRT(SUM(INDEX($FO367:$IH367,1+SwaptionShift):INDEX($FO367:$IH367,SwaptionMonthsToGo+SwaptionShift))*SUM(INDEX($FO$325:$IH$396,GM$169,1+SwaptionShift):INDEX($FO$325:$IH$396,GM$169,SwaptionMonthsToGo+SwaptionShift))))))</f>
        <v/>
      </c>
      <c r="GN212" s="469" t="str">
        <f ca="1">IF(OR(GN$169&lt;SwaptionFirstMonthPosition+1,$FN212&lt;SwaptionFirstMonthPosition+1,GN$169&gt;SwaptionFirstMonthPosition+SwaptionNumOfMonths+1,$FN212&gt;SwaptionFirstMonthPosition+SwaptionNumOfMonths+1),"",IF($FN212=GN$169,1,IF($FN212&lt;GN$169,INDEX($FO$170:$IH$241,GN$169,$FN212),SUMPRODUCT(INDEX($FO$325:$IH$396,GN$169,1+SwaptionShift):INDEX($FO$325:$IH$396,GN$169,SwaptionMonthsToGo+SwaptionShift),INDEX($FO$245:$IH$316,$FN212-GN$169,73-GN$169+SwaptionShift):INDEX($FO$245:$IH$316,$FN212-GN$169,72-GN$169+SwaptionMonthsToGo+SwaptionShift))/SQRT(SUM(INDEX($FO367:$IH367,1+SwaptionShift):INDEX($FO367:$IH367,SwaptionMonthsToGo+SwaptionShift))*SUM(INDEX($FO$325:$IH$396,GN$169,1+SwaptionShift):INDEX($FO$325:$IH$396,GN$169,SwaptionMonthsToGo+SwaptionShift))))))</f>
        <v/>
      </c>
      <c r="GO212" s="469" t="str">
        <f ca="1">IF(OR(GO$169&lt;SwaptionFirstMonthPosition+1,$FN212&lt;SwaptionFirstMonthPosition+1,GO$169&gt;SwaptionFirstMonthPosition+SwaptionNumOfMonths+1,$FN212&gt;SwaptionFirstMonthPosition+SwaptionNumOfMonths+1),"",IF($FN212=GO$169,1,IF($FN212&lt;GO$169,INDEX($FO$170:$IH$241,GO$169,$FN212),SUMPRODUCT(INDEX($FO$325:$IH$396,GO$169,1+SwaptionShift):INDEX($FO$325:$IH$396,GO$169,SwaptionMonthsToGo+SwaptionShift),INDEX($FO$245:$IH$316,$FN212-GO$169,73-GO$169+SwaptionShift):INDEX($FO$245:$IH$316,$FN212-GO$169,72-GO$169+SwaptionMonthsToGo+SwaptionShift))/SQRT(SUM(INDEX($FO367:$IH367,1+SwaptionShift):INDEX($FO367:$IH367,SwaptionMonthsToGo+SwaptionShift))*SUM(INDEX($FO$325:$IH$396,GO$169,1+SwaptionShift):INDEX($FO$325:$IH$396,GO$169,SwaptionMonthsToGo+SwaptionShift))))))</f>
        <v/>
      </c>
      <c r="GP212" s="469" t="str">
        <f ca="1">IF(OR(GP$169&lt;SwaptionFirstMonthPosition+1,$FN212&lt;SwaptionFirstMonthPosition+1,GP$169&gt;SwaptionFirstMonthPosition+SwaptionNumOfMonths+1,$FN212&gt;SwaptionFirstMonthPosition+SwaptionNumOfMonths+1),"",IF($FN212=GP$169,1,IF($FN212&lt;GP$169,INDEX($FO$170:$IH$241,GP$169,$FN212),SUMPRODUCT(INDEX($FO$325:$IH$396,GP$169,1+SwaptionShift):INDEX($FO$325:$IH$396,GP$169,SwaptionMonthsToGo+SwaptionShift),INDEX($FO$245:$IH$316,$FN212-GP$169,73-GP$169+SwaptionShift):INDEX($FO$245:$IH$316,$FN212-GP$169,72-GP$169+SwaptionMonthsToGo+SwaptionShift))/SQRT(SUM(INDEX($FO367:$IH367,1+SwaptionShift):INDEX($FO367:$IH367,SwaptionMonthsToGo+SwaptionShift))*SUM(INDEX($FO$325:$IH$396,GP$169,1+SwaptionShift):INDEX($FO$325:$IH$396,GP$169,SwaptionMonthsToGo+SwaptionShift))))))</f>
        <v/>
      </c>
      <c r="GQ212" s="469" t="str">
        <f ca="1">IF(OR(GQ$169&lt;SwaptionFirstMonthPosition+1,$FN212&lt;SwaptionFirstMonthPosition+1,GQ$169&gt;SwaptionFirstMonthPosition+SwaptionNumOfMonths+1,$FN212&gt;SwaptionFirstMonthPosition+SwaptionNumOfMonths+1),"",IF($FN212=GQ$169,1,IF($FN212&lt;GQ$169,INDEX($FO$170:$IH$241,GQ$169,$FN212),SUMPRODUCT(INDEX($FO$325:$IH$396,GQ$169,1+SwaptionShift):INDEX($FO$325:$IH$396,GQ$169,SwaptionMonthsToGo+SwaptionShift),INDEX($FO$245:$IH$316,$FN212-GQ$169,73-GQ$169+SwaptionShift):INDEX($FO$245:$IH$316,$FN212-GQ$169,72-GQ$169+SwaptionMonthsToGo+SwaptionShift))/SQRT(SUM(INDEX($FO367:$IH367,1+SwaptionShift):INDEX($FO367:$IH367,SwaptionMonthsToGo+SwaptionShift))*SUM(INDEX($FO$325:$IH$396,GQ$169,1+SwaptionShift):INDEX($FO$325:$IH$396,GQ$169,SwaptionMonthsToGo+SwaptionShift))))))</f>
        <v/>
      </c>
      <c r="GR212" s="469" t="str">
        <f ca="1">IF(OR(GR$169&lt;SwaptionFirstMonthPosition+1,$FN212&lt;SwaptionFirstMonthPosition+1,GR$169&gt;SwaptionFirstMonthPosition+SwaptionNumOfMonths+1,$FN212&gt;SwaptionFirstMonthPosition+SwaptionNumOfMonths+1),"",IF($FN212=GR$169,1,IF($FN212&lt;GR$169,INDEX($FO$170:$IH$241,GR$169,$FN212),SUMPRODUCT(INDEX($FO$325:$IH$396,GR$169,1+SwaptionShift):INDEX($FO$325:$IH$396,GR$169,SwaptionMonthsToGo+SwaptionShift),INDEX($FO$245:$IH$316,$FN212-GR$169,73-GR$169+SwaptionShift):INDEX($FO$245:$IH$316,$FN212-GR$169,72-GR$169+SwaptionMonthsToGo+SwaptionShift))/SQRT(SUM(INDEX($FO367:$IH367,1+SwaptionShift):INDEX($FO367:$IH367,SwaptionMonthsToGo+SwaptionShift))*SUM(INDEX($FO$325:$IH$396,GR$169,1+SwaptionShift):INDEX($FO$325:$IH$396,GR$169,SwaptionMonthsToGo+SwaptionShift))))))</f>
        <v/>
      </c>
      <c r="GS212" s="469" t="str">
        <f ca="1">IF(OR(GS$169&lt;SwaptionFirstMonthPosition+1,$FN212&lt;SwaptionFirstMonthPosition+1,GS$169&gt;SwaptionFirstMonthPosition+SwaptionNumOfMonths+1,$FN212&gt;SwaptionFirstMonthPosition+SwaptionNumOfMonths+1),"",IF($FN212=GS$169,1,IF($FN212&lt;GS$169,INDEX($FO$170:$IH$241,GS$169,$FN212),SUMPRODUCT(INDEX($FO$325:$IH$396,GS$169,1+SwaptionShift):INDEX($FO$325:$IH$396,GS$169,SwaptionMonthsToGo+SwaptionShift),INDEX($FO$245:$IH$316,$FN212-GS$169,73-GS$169+SwaptionShift):INDEX($FO$245:$IH$316,$FN212-GS$169,72-GS$169+SwaptionMonthsToGo+SwaptionShift))/SQRT(SUM(INDEX($FO367:$IH367,1+SwaptionShift):INDEX($FO367:$IH367,SwaptionMonthsToGo+SwaptionShift))*SUM(INDEX($FO$325:$IH$396,GS$169,1+SwaptionShift):INDEX($FO$325:$IH$396,GS$169,SwaptionMonthsToGo+SwaptionShift))))))</f>
        <v/>
      </c>
      <c r="GT212" s="469" t="str">
        <f ca="1">IF(OR(GT$169&lt;SwaptionFirstMonthPosition+1,$FN212&lt;SwaptionFirstMonthPosition+1,GT$169&gt;SwaptionFirstMonthPosition+SwaptionNumOfMonths+1,$FN212&gt;SwaptionFirstMonthPosition+SwaptionNumOfMonths+1),"",IF($FN212=GT$169,1,IF($FN212&lt;GT$169,INDEX($FO$170:$IH$241,GT$169,$FN212),SUMPRODUCT(INDEX($FO$325:$IH$396,GT$169,1+SwaptionShift):INDEX($FO$325:$IH$396,GT$169,SwaptionMonthsToGo+SwaptionShift),INDEX($FO$245:$IH$316,$FN212-GT$169,73-GT$169+SwaptionShift):INDEX($FO$245:$IH$316,$FN212-GT$169,72-GT$169+SwaptionMonthsToGo+SwaptionShift))/SQRT(SUM(INDEX($FO367:$IH367,1+SwaptionShift):INDEX($FO367:$IH367,SwaptionMonthsToGo+SwaptionShift))*SUM(INDEX($FO$325:$IH$396,GT$169,1+SwaptionShift):INDEX($FO$325:$IH$396,GT$169,SwaptionMonthsToGo+SwaptionShift))))))</f>
        <v/>
      </c>
      <c r="GU212" s="469" t="str">
        <f ca="1">IF(OR(GU$169&lt;SwaptionFirstMonthPosition+1,$FN212&lt;SwaptionFirstMonthPosition+1,GU$169&gt;SwaptionFirstMonthPosition+SwaptionNumOfMonths+1,$FN212&gt;SwaptionFirstMonthPosition+SwaptionNumOfMonths+1),"",IF($FN212=GU$169,1,IF($FN212&lt;GU$169,INDEX($FO$170:$IH$241,GU$169,$FN212),SUMPRODUCT(INDEX($FO$325:$IH$396,GU$169,1+SwaptionShift):INDEX($FO$325:$IH$396,GU$169,SwaptionMonthsToGo+SwaptionShift),INDEX($FO$245:$IH$316,$FN212-GU$169,73-GU$169+SwaptionShift):INDEX($FO$245:$IH$316,$FN212-GU$169,72-GU$169+SwaptionMonthsToGo+SwaptionShift))/SQRT(SUM(INDEX($FO367:$IH367,1+SwaptionShift):INDEX($FO367:$IH367,SwaptionMonthsToGo+SwaptionShift))*SUM(INDEX($FO$325:$IH$396,GU$169,1+SwaptionShift):INDEX($FO$325:$IH$396,GU$169,SwaptionMonthsToGo+SwaptionShift))))))</f>
        <v/>
      </c>
      <c r="GV212" s="469" t="str">
        <f ca="1">IF(OR(GV$169&lt;SwaptionFirstMonthPosition+1,$FN212&lt;SwaptionFirstMonthPosition+1,GV$169&gt;SwaptionFirstMonthPosition+SwaptionNumOfMonths+1,$FN212&gt;SwaptionFirstMonthPosition+SwaptionNumOfMonths+1),"",IF($FN212=GV$169,1,IF($FN212&lt;GV$169,INDEX($FO$170:$IH$241,GV$169,$FN212),SUMPRODUCT(INDEX($FO$325:$IH$396,GV$169,1+SwaptionShift):INDEX($FO$325:$IH$396,GV$169,SwaptionMonthsToGo+SwaptionShift),INDEX($FO$245:$IH$316,$FN212-GV$169,73-GV$169+SwaptionShift):INDEX($FO$245:$IH$316,$FN212-GV$169,72-GV$169+SwaptionMonthsToGo+SwaptionShift))/SQRT(SUM(INDEX($FO367:$IH367,1+SwaptionShift):INDEX($FO367:$IH367,SwaptionMonthsToGo+SwaptionShift))*SUM(INDEX($FO$325:$IH$396,GV$169,1+SwaptionShift):INDEX($FO$325:$IH$396,GV$169,SwaptionMonthsToGo+SwaptionShift))))))</f>
        <v/>
      </c>
      <c r="GW212" s="469" t="str">
        <f ca="1">IF(OR(GW$169&lt;SwaptionFirstMonthPosition+1,$FN212&lt;SwaptionFirstMonthPosition+1,GW$169&gt;SwaptionFirstMonthPosition+SwaptionNumOfMonths+1,$FN212&gt;SwaptionFirstMonthPosition+SwaptionNumOfMonths+1),"",IF($FN212=GW$169,1,IF($FN212&lt;GW$169,INDEX($FO$170:$IH$241,GW$169,$FN212),SUMPRODUCT(INDEX($FO$325:$IH$396,GW$169,1+SwaptionShift):INDEX($FO$325:$IH$396,GW$169,SwaptionMonthsToGo+SwaptionShift),INDEX($FO$245:$IH$316,$FN212-GW$169,73-GW$169+SwaptionShift):INDEX($FO$245:$IH$316,$FN212-GW$169,72-GW$169+SwaptionMonthsToGo+SwaptionShift))/SQRT(SUM(INDEX($FO367:$IH367,1+SwaptionShift):INDEX($FO367:$IH367,SwaptionMonthsToGo+SwaptionShift))*SUM(INDEX($FO$325:$IH$396,GW$169,1+SwaptionShift):INDEX($FO$325:$IH$396,GW$169,SwaptionMonthsToGo+SwaptionShift))))))</f>
        <v/>
      </c>
      <c r="GX212" s="469" t="str">
        <f ca="1">IF(OR(GX$169&lt;SwaptionFirstMonthPosition+1,$FN212&lt;SwaptionFirstMonthPosition+1,GX$169&gt;SwaptionFirstMonthPosition+SwaptionNumOfMonths+1,$FN212&gt;SwaptionFirstMonthPosition+SwaptionNumOfMonths+1),"",IF($FN212=GX$169,1,IF($FN212&lt;GX$169,INDEX($FO$170:$IH$241,GX$169,$FN212),SUMPRODUCT(INDEX($FO$325:$IH$396,GX$169,1+SwaptionShift):INDEX($FO$325:$IH$396,GX$169,SwaptionMonthsToGo+SwaptionShift),INDEX($FO$245:$IH$316,$FN212-GX$169,73-GX$169+SwaptionShift):INDEX($FO$245:$IH$316,$FN212-GX$169,72-GX$169+SwaptionMonthsToGo+SwaptionShift))/SQRT(SUM(INDEX($FO367:$IH367,1+SwaptionShift):INDEX($FO367:$IH367,SwaptionMonthsToGo+SwaptionShift))*SUM(INDEX($FO$325:$IH$396,GX$169,1+SwaptionShift):INDEX($FO$325:$IH$396,GX$169,SwaptionMonthsToGo+SwaptionShift))))))</f>
        <v/>
      </c>
      <c r="GY212" s="469" t="str">
        <f ca="1">IF(OR(GY$169&lt;SwaptionFirstMonthPosition+1,$FN212&lt;SwaptionFirstMonthPosition+1,GY$169&gt;SwaptionFirstMonthPosition+SwaptionNumOfMonths+1,$FN212&gt;SwaptionFirstMonthPosition+SwaptionNumOfMonths+1),"",IF($FN212=GY$169,1,IF($FN212&lt;GY$169,INDEX($FO$170:$IH$241,GY$169,$FN212),SUMPRODUCT(INDEX($FO$325:$IH$396,GY$169,1+SwaptionShift):INDEX($FO$325:$IH$396,GY$169,SwaptionMonthsToGo+SwaptionShift),INDEX($FO$245:$IH$316,$FN212-GY$169,73-GY$169+SwaptionShift):INDEX($FO$245:$IH$316,$FN212-GY$169,72-GY$169+SwaptionMonthsToGo+SwaptionShift))/SQRT(SUM(INDEX($FO367:$IH367,1+SwaptionShift):INDEX($FO367:$IH367,SwaptionMonthsToGo+SwaptionShift))*SUM(INDEX($FO$325:$IH$396,GY$169,1+SwaptionShift):INDEX($FO$325:$IH$396,GY$169,SwaptionMonthsToGo+SwaptionShift))))))</f>
        <v/>
      </c>
      <c r="GZ212" s="469" t="str">
        <f ca="1">IF(OR(GZ$169&lt;SwaptionFirstMonthPosition+1,$FN212&lt;SwaptionFirstMonthPosition+1,GZ$169&gt;SwaptionFirstMonthPosition+SwaptionNumOfMonths+1,$FN212&gt;SwaptionFirstMonthPosition+SwaptionNumOfMonths+1),"",IF($FN212=GZ$169,1,IF($FN212&lt;GZ$169,INDEX($FO$170:$IH$241,GZ$169,$FN212),SUMPRODUCT(INDEX($FO$325:$IH$396,GZ$169,1+SwaptionShift):INDEX($FO$325:$IH$396,GZ$169,SwaptionMonthsToGo+SwaptionShift),INDEX($FO$245:$IH$316,$FN212-GZ$169,73-GZ$169+SwaptionShift):INDEX($FO$245:$IH$316,$FN212-GZ$169,72-GZ$169+SwaptionMonthsToGo+SwaptionShift))/SQRT(SUM(INDEX($FO367:$IH367,1+SwaptionShift):INDEX($FO367:$IH367,SwaptionMonthsToGo+SwaptionShift))*SUM(INDEX($FO$325:$IH$396,GZ$169,1+SwaptionShift):INDEX($FO$325:$IH$396,GZ$169,SwaptionMonthsToGo+SwaptionShift))))))</f>
        <v/>
      </c>
      <c r="HA212" s="469" t="str">
        <f ca="1">IF(OR(HA$169&lt;SwaptionFirstMonthPosition+1,$FN212&lt;SwaptionFirstMonthPosition+1,HA$169&gt;SwaptionFirstMonthPosition+SwaptionNumOfMonths+1,$FN212&gt;SwaptionFirstMonthPosition+SwaptionNumOfMonths+1),"",IF($FN212=HA$169,1,IF($FN212&lt;HA$169,INDEX($FO$170:$IH$241,HA$169,$FN212),SUMPRODUCT(INDEX($FO$325:$IH$396,HA$169,1+SwaptionShift):INDEX($FO$325:$IH$396,HA$169,SwaptionMonthsToGo+SwaptionShift),INDEX($FO$245:$IH$316,$FN212-HA$169,73-HA$169+SwaptionShift):INDEX($FO$245:$IH$316,$FN212-HA$169,72-HA$169+SwaptionMonthsToGo+SwaptionShift))/SQRT(SUM(INDEX($FO367:$IH367,1+SwaptionShift):INDEX($FO367:$IH367,SwaptionMonthsToGo+SwaptionShift))*SUM(INDEX($FO$325:$IH$396,HA$169,1+SwaptionShift):INDEX($FO$325:$IH$396,HA$169,SwaptionMonthsToGo+SwaptionShift))))))</f>
        <v/>
      </c>
      <c r="HB212" s="469" t="str">
        <f ca="1">IF(OR(HB$169&lt;SwaptionFirstMonthPosition+1,$FN212&lt;SwaptionFirstMonthPosition+1,HB$169&gt;SwaptionFirstMonthPosition+SwaptionNumOfMonths+1,$FN212&gt;SwaptionFirstMonthPosition+SwaptionNumOfMonths+1),"",IF($FN212=HB$169,1,IF($FN212&lt;HB$169,INDEX($FO$170:$IH$241,HB$169,$FN212),SUMPRODUCT(INDEX($FO$325:$IH$396,HB$169,1+SwaptionShift):INDEX($FO$325:$IH$396,HB$169,SwaptionMonthsToGo+SwaptionShift),INDEX($FO$245:$IH$316,$FN212-HB$169,73-HB$169+SwaptionShift):INDEX($FO$245:$IH$316,$FN212-HB$169,72-HB$169+SwaptionMonthsToGo+SwaptionShift))/SQRT(SUM(INDEX($FO367:$IH367,1+SwaptionShift):INDEX($FO367:$IH367,SwaptionMonthsToGo+SwaptionShift))*SUM(INDEX($FO$325:$IH$396,HB$169,1+SwaptionShift):INDEX($FO$325:$IH$396,HB$169,SwaptionMonthsToGo+SwaptionShift))))))</f>
        <v/>
      </c>
      <c r="HC212" s="469" t="str">
        <f ca="1">IF(OR(HC$169&lt;SwaptionFirstMonthPosition+1,$FN212&lt;SwaptionFirstMonthPosition+1,HC$169&gt;SwaptionFirstMonthPosition+SwaptionNumOfMonths+1,$FN212&gt;SwaptionFirstMonthPosition+SwaptionNumOfMonths+1),"",IF($FN212=HC$169,1,IF($FN212&lt;HC$169,INDEX($FO$170:$IH$241,HC$169,$FN212),SUMPRODUCT(INDEX($FO$325:$IH$396,HC$169,1+SwaptionShift):INDEX($FO$325:$IH$396,HC$169,SwaptionMonthsToGo+SwaptionShift),INDEX($FO$245:$IH$316,$FN212-HC$169,73-HC$169+SwaptionShift):INDEX($FO$245:$IH$316,$FN212-HC$169,72-HC$169+SwaptionMonthsToGo+SwaptionShift))/SQRT(SUM(INDEX($FO367:$IH367,1+SwaptionShift):INDEX($FO367:$IH367,SwaptionMonthsToGo+SwaptionShift))*SUM(INDEX($FO$325:$IH$396,HC$169,1+SwaptionShift):INDEX($FO$325:$IH$396,HC$169,SwaptionMonthsToGo+SwaptionShift))))))</f>
        <v/>
      </c>
      <c r="HD212" s="469" t="str">
        <f ca="1">IF(OR(HD$169&lt;SwaptionFirstMonthPosition+1,$FN212&lt;SwaptionFirstMonthPosition+1,HD$169&gt;SwaptionFirstMonthPosition+SwaptionNumOfMonths+1,$FN212&gt;SwaptionFirstMonthPosition+SwaptionNumOfMonths+1),"",IF($FN212=HD$169,1,IF($FN212&lt;HD$169,INDEX($FO$170:$IH$241,HD$169,$FN212),SUMPRODUCT(INDEX($FO$325:$IH$396,HD$169,1+SwaptionShift):INDEX($FO$325:$IH$396,HD$169,SwaptionMonthsToGo+SwaptionShift),INDEX($FO$245:$IH$316,$FN212-HD$169,73-HD$169+SwaptionShift):INDEX($FO$245:$IH$316,$FN212-HD$169,72-HD$169+SwaptionMonthsToGo+SwaptionShift))/SQRT(SUM(INDEX($FO367:$IH367,1+SwaptionShift):INDEX($FO367:$IH367,SwaptionMonthsToGo+SwaptionShift))*SUM(INDEX($FO$325:$IH$396,HD$169,1+SwaptionShift):INDEX($FO$325:$IH$396,HD$169,SwaptionMonthsToGo+SwaptionShift))))))</f>
        <v/>
      </c>
      <c r="HE212" s="469" t="str">
        <f ca="1">IF(OR(HE$169&lt;SwaptionFirstMonthPosition+1,$FN212&lt;SwaptionFirstMonthPosition+1,HE$169&gt;SwaptionFirstMonthPosition+SwaptionNumOfMonths+1,$FN212&gt;SwaptionFirstMonthPosition+SwaptionNumOfMonths+1),"",IF($FN212=HE$169,1,IF($FN212&lt;HE$169,INDEX($FO$170:$IH$241,HE$169,$FN212),SUMPRODUCT(INDEX($FO$325:$IH$396,HE$169,1+SwaptionShift):INDEX($FO$325:$IH$396,HE$169,SwaptionMonthsToGo+SwaptionShift),INDEX($FO$245:$IH$316,$FN212-HE$169,73-HE$169+SwaptionShift):INDEX($FO$245:$IH$316,$FN212-HE$169,72-HE$169+SwaptionMonthsToGo+SwaptionShift))/SQRT(SUM(INDEX($FO367:$IH367,1+SwaptionShift):INDEX($FO367:$IH367,SwaptionMonthsToGo+SwaptionShift))*SUM(INDEX($FO$325:$IH$396,HE$169,1+SwaptionShift):INDEX($FO$325:$IH$396,HE$169,SwaptionMonthsToGo+SwaptionShift))))))</f>
        <v/>
      </c>
      <c r="HF212" s="469" t="str">
        <f ca="1">IF(OR(HF$169&lt;SwaptionFirstMonthPosition+1,$FN212&lt;SwaptionFirstMonthPosition+1,HF$169&gt;SwaptionFirstMonthPosition+SwaptionNumOfMonths+1,$FN212&gt;SwaptionFirstMonthPosition+SwaptionNumOfMonths+1),"",IF($FN212=HF$169,1,IF($FN212&lt;HF$169,INDEX($FO$170:$IH$241,HF$169,$FN212),SUMPRODUCT(INDEX($FO$325:$IH$396,HF$169,1+SwaptionShift):INDEX($FO$325:$IH$396,HF$169,SwaptionMonthsToGo+SwaptionShift),INDEX($FO$245:$IH$316,$FN212-HF$169,73-HF$169+SwaptionShift):INDEX($FO$245:$IH$316,$FN212-HF$169,72-HF$169+SwaptionMonthsToGo+SwaptionShift))/SQRT(SUM(INDEX($FO367:$IH367,1+SwaptionShift):INDEX($FO367:$IH367,SwaptionMonthsToGo+SwaptionShift))*SUM(INDEX($FO$325:$IH$396,HF$169,1+SwaptionShift):INDEX($FO$325:$IH$396,HF$169,SwaptionMonthsToGo+SwaptionShift))))))</f>
        <v/>
      </c>
      <c r="HG212" s="469" t="str">
        <f ca="1">IF(OR(HG$169&lt;SwaptionFirstMonthPosition+1,$FN212&lt;SwaptionFirstMonthPosition+1,HG$169&gt;SwaptionFirstMonthPosition+SwaptionNumOfMonths+1,$FN212&gt;SwaptionFirstMonthPosition+SwaptionNumOfMonths+1),"",IF($FN212=HG$169,1,IF($FN212&lt;HG$169,INDEX($FO$170:$IH$241,HG$169,$FN212),SUMPRODUCT(INDEX($FO$325:$IH$396,HG$169,1+SwaptionShift):INDEX($FO$325:$IH$396,HG$169,SwaptionMonthsToGo+SwaptionShift),INDEX($FO$245:$IH$316,$FN212-HG$169,73-HG$169+SwaptionShift):INDEX($FO$245:$IH$316,$FN212-HG$169,72-HG$169+SwaptionMonthsToGo+SwaptionShift))/SQRT(SUM(INDEX($FO367:$IH367,1+SwaptionShift):INDEX($FO367:$IH367,SwaptionMonthsToGo+SwaptionShift))*SUM(INDEX($FO$325:$IH$396,HG$169,1+SwaptionShift):INDEX($FO$325:$IH$396,HG$169,SwaptionMonthsToGo+SwaptionShift))))))</f>
        <v/>
      </c>
      <c r="HH212" s="469" t="str">
        <f ca="1">IF(OR(HH$169&lt;SwaptionFirstMonthPosition+1,$FN212&lt;SwaptionFirstMonthPosition+1,HH$169&gt;SwaptionFirstMonthPosition+SwaptionNumOfMonths+1,$FN212&gt;SwaptionFirstMonthPosition+SwaptionNumOfMonths+1),"",IF($FN212=HH$169,1,IF($FN212&lt;HH$169,INDEX($FO$170:$IH$241,HH$169,$FN212),SUMPRODUCT(INDEX($FO$325:$IH$396,HH$169,1+SwaptionShift):INDEX($FO$325:$IH$396,HH$169,SwaptionMonthsToGo+SwaptionShift),INDEX($FO$245:$IH$316,$FN212-HH$169,73-HH$169+SwaptionShift):INDEX($FO$245:$IH$316,$FN212-HH$169,72-HH$169+SwaptionMonthsToGo+SwaptionShift))/SQRT(SUM(INDEX($FO367:$IH367,1+SwaptionShift):INDEX($FO367:$IH367,SwaptionMonthsToGo+SwaptionShift))*SUM(INDEX($FO$325:$IH$396,HH$169,1+SwaptionShift):INDEX($FO$325:$IH$396,HH$169,SwaptionMonthsToGo+SwaptionShift))))))</f>
        <v/>
      </c>
      <c r="HI212" s="469" t="str">
        <f ca="1">IF(OR(HI$169&lt;SwaptionFirstMonthPosition+1,$FN212&lt;SwaptionFirstMonthPosition+1,HI$169&gt;SwaptionFirstMonthPosition+SwaptionNumOfMonths+1,$FN212&gt;SwaptionFirstMonthPosition+SwaptionNumOfMonths+1),"",IF($FN212=HI$169,1,IF($FN212&lt;HI$169,INDEX($FO$170:$IH$241,HI$169,$FN212),SUMPRODUCT(INDEX($FO$325:$IH$396,HI$169,1+SwaptionShift):INDEX($FO$325:$IH$396,HI$169,SwaptionMonthsToGo+SwaptionShift),INDEX($FO$245:$IH$316,$FN212-HI$169,73-HI$169+SwaptionShift):INDEX($FO$245:$IH$316,$FN212-HI$169,72-HI$169+SwaptionMonthsToGo+SwaptionShift))/SQRT(SUM(INDEX($FO367:$IH367,1+SwaptionShift):INDEX($FO367:$IH367,SwaptionMonthsToGo+SwaptionShift))*SUM(INDEX($FO$325:$IH$396,HI$169,1+SwaptionShift):INDEX($FO$325:$IH$396,HI$169,SwaptionMonthsToGo+SwaptionShift))))))</f>
        <v/>
      </c>
      <c r="HJ212" s="469" t="str">
        <f ca="1">IF(OR(HJ$169&lt;SwaptionFirstMonthPosition+1,$FN212&lt;SwaptionFirstMonthPosition+1,HJ$169&gt;SwaptionFirstMonthPosition+SwaptionNumOfMonths+1,$FN212&gt;SwaptionFirstMonthPosition+SwaptionNumOfMonths+1),"",IF($FN212=HJ$169,1,IF($FN212&lt;HJ$169,INDEX($FO$170:$IH$241,HJ$169,$FN212),SUMPRODUCT(INDEX($FO$325:$IH$396,HJ$169,1+SwaptionShift):INDEX($FO$325:$IH$396,HJ$169,SwaptionMonthsToGo+SwaptionShift),INDEX($FO$245:$IH$316,$FN212-HJ$169,73-HJ$169+SwaptionShift):INDEX($FO$245:$IH$316,$FN212-HJ$169,72-HJ$169+SwaptionMonthsToGo+SwaptionShift))/SQRT(SUM(INDEX($FO367:$IH367,1+SwaptionShift):INDEX($FO367:$IH367,SwaptionMonthsToGo+SwaptionShift))*SUM(INDEX($FO$325:$IH$396,HJ$169,1+SwaptionShift):INDEX($FO$325:$IH$396,HJ$169,SwaptionMonthsToGo+SwaptionShift))))))</f>
        <v/>
      </c>
      <c r="HK212" s="469" t="str">
        <f ca="1">IF(OR(HK$169&lt;SwaptionFirstMonthPosition+1,$FN212&lt;SwaptionFirstMonthPosition+1,HK$169&gt;SwaptionFirstMonthPosition+SwaptionNumOfMonths+1,$FN212&gt;SwaptionFirstMonthPosition+SwaptionNumOfMonths+1),"",IF($FN212=HK$169,1,IF($FN212&lt;HK$169,INDEX($FO$170:$IH$241,HK$169,$FN212),SUMPRODUCT(INDEX($FO$325:$IH$396,HK$169,1+SwaptionShift):INDEX($FO$325:$IH$396,HK$169,SwaptionMonthsToGo+SwaptionShift),INDEX($FO$245:$IH$316,$FN212-HK$169,73-HK$169+SwaptionShift):INDEX($FO$245:$IH$316,$FN212-HK$169,72-HK$169+SwaptionMonthsToGo+SwaptionShift))/SQRT(SUM(INDEX($FO367:$IH367,1+SwaptionShift):INDEX($FO367:$IH367,SwaptionMonthsToGo+SwaptionShift))*SUM(INDEX($FO$325:$IH$396,HK$169,1+SwaptionShift):INDEX($FO$325:$IH$396,HK$169,SwaptionMonthsToGo+SwaptionShift))))))</f>
        <v/>
      </c>
      <c r="HL212" s="469" t="str">
        <f ca="1">IF(OR(HL$169&lt;SwaptionFirstMonthPosition+1,$FN212&lt;SwaptionFirstMonthPosition+1,HL$169&gt;SwaptionFirstMonthPosition+SwaptionNumOfMonths+1,$FN212&gt;SwaptionFirstMonthPosition+SwaptionNumOfMonths+1),"",IF($FN212=HL$169,1,IF($FN212&lt;HL$169,INDEX($FO$170:$IH$241,HL$169,$FN212),SUMPRODUCT(INDEX($FO$325:$IH$396,HL$169,1+SwaptionShift):INDEX($FO$325:$IH$396,HL$169,SwaptionMonthsToGo+SwaptionShift),INDEX($FO$245:$IH$316,$FN212-HL$169,73-HL$169+SwaptionShift):INDEX($FO$245:$IH$316,$FN212-HL$169,72-HL$169+SwaptionMonthsToGo+SwaptionShift))/SQRT(SUM(INDEX($FO367:$IH367,1+SwaptionShift):INDEX($FO367:$IH367,SwaptionMonthsToGo+SwaptionShift))*SUM(INDEX($FO$325:$IH$396,HL$169,1+SwaptionShift):INDEX($FO$325:$IH$396,HL$169,SwaptionMonthsToGo+SwaptionShift))))))</f>
        <v/>
      </c>
      <c r="HM212" s="469" t="str">
        <f ca="1">IF(OR(HM$169&lt;SwaptionFirstMonthPosition+1,$FN212&lt;SwaptionFirstMonthPosition+1,HM$169&gt;SwaptionFirstMonthPosition+SwaptionNumOfMonths+1,$FN212&gt;SwaptionFirstMonthPosition+SwaptionNumOfMonths+1),"",IF($FN212=HM$169,1,IF($FN212&lt;HM$169,INDEX($FO$170:$IH$241,HM$169,$FN212),SUMPRODUCT(INDEX($FO$325:$IH$396,HM$169,1+SwaptionShift):INDEX($FO$325:$IH$396,HM$169,SwaptionMonthsToGo+SwaptionShift),INDEX($FO$245:$IH$316,$FN212-HM$169,73-HM$169+SwaptionShift):INDEX($FO$245:$IH$316,$FN212-HM$169,72-HM$169+SwaptionMonthsToGo+SwaptionShift))/SQRT(SUM(INDEX($FO367:$IH367,1+SwaptionShift):INDEX($FO367:$IH367,SwaptionMonthsToGo+SwaptionShift))*SUM(INDEX($FO$325:$IH$396,HM$169,1+SwaptionShift):INDEX($FO$325:$IH$396,HM$169,SwaptionMonthsToGo+SwaptionShift))))))</f>
        <v/>
      </c>
      <c r="HN212" s="469" t="str">
        <f ca="1">IF(OR(HN$169&lt;SwaptionFirstMonthPosition+1,$FN212&lt;SwaptionFirstMonthPosition+1,HN$169&gt;SwaptionFirstMonthPosition+SwaptionNumOfMonths+1,$FN212&gt;SwaptionFirstMonthPosition+SwaptionNumOfMonths+1),"",IF($FN212=HN$169,1,IF($FN212&lt;HN$169,INDEX($FO$170:$IH$241,HN$169,$FN212),SUMPRODUCT(INDEX($FO$325:$IH$396,HN$169,1+SwaptionShift):INDEX($FO$325:$IH$396,HN$169,SwaptionMonthsToGo+SwaptionShift),INDEX($FO$245:$IH$316,$FN212-HN$169,73-HN$169+SwaptionShift):INDEX($FO$245:$IH$316,$FN212-HN$169,72-HN$169+SwaptionMonthsToGo+SwaptionShift))/SQRT(SUM(INDEX($FO367:$IH367,1+SwaptionShift):INDEX($FO367:$IH367,SwaptionMonthsToGo+SwaptionShift))*SUM(INDEX($FO$325:$IH$396,HN$169,1+SwaptionShift):INDEX($FO$325:$IH$396,HN$169,SwaptionMonthsToGo+SwaptionShift))))))</f>
        <v/>
      </c>
      <c r="HO212" s="469" t="str">
        <f ca="1">IF(OR(HO$169&lt;SwaptionFirstMonthPosition+1,$FN212&lt;SwaptionFirstMonthPosition+1,HO$169&gt;SwaptionFirstMonthPosition+SwaptionNumOfMonths+1,$FN212&gt;SwaptionFirstMonthPosition+SwaptionNumOfMonths+1),"",IF($FN212=HO$169,1,IF($FN212&lt;HO$169,INDEX($FO$170:$IH$241,HO$169,$FN212),SUMPRODUCT(INDEX($FO$325:$IH$396,HO$169,1+SwaptionShift):INDEX($FO$325:$IH$396,HO$169,SwaptionMonthsToGo+SwaptionShift),INDEX($FO$245:$IH$316,$FN212-HO$169,73-HO$169+SwaptionShift):INDEX($FO$245:$IH$316,$FN212-HO$169,72-HO$169+SwaptionMonthsToGo+SwaptionShift))/SQRT(SUM(INDEX($FO367:$IH367,1+SwaptionShift):INDEX($FO367:$IH367,SwaptionMonthsToGo+SwaptionShift))*SUM(INDEX($FO$325:$IH$396,HO$169,1+SwaptionShift):INDEX($FO$325:$IH$396,HO$169,SwaptionMonthsToGo+SwaptionShift))))))</f>
        <v/>
      </c>
      <c r="HP212" s="469" t="str">
        <f ca="1">IF(OR(HP$169&lt;SwaptionFirstMonthPosition+1,$FN212&lt;SwaptionFirstMonthPosition+1,HP$169&gt;SwaptionFirstMonthPosition+SwaptionNumOfMonths+1,$FN212&gt;SwaptionFirstMonthPosition+SwaptionNumOfMonths+1),"",IF($FN212=HP$169,1,IF($FN212&lt;HP$169,INDEX($FO$170:$IH$241,HP$169,$FN212),SUMPRODUCT(INDEX($FO$325:$IH$396,HP$169,1+SwaptionShift):INDEX($FO$325:$IH$396,HP$169,SwaptionMonthsToGo+SwaptionShift),INDEX($FO$245:$IH$316,$FN212-HP$169,73-HP$169+SwaptionShift):INDEX($FO$245:$IH$316,$FN212-HP$169,72-HP$169+SwaptionMonthsToGo+SwaptionShift))/SQRT(SUM(INDEX($FO367:$IH367,1+SwaptionShift):INDEX($FO367:$IH367,SwaptionMonthsToGo+SwaptionShift))*SUM(INDEX($FO$325:$IH$396,HP$169,1+SwaptionShift):INDEX($FO$325:$IH$396,HP$169,SwaptionMonthsToGo+SwaptionShift))))))</f>
        <v/>
      </c>
      <c r="HQ212" s="469" t="str">
        <f ca="1">IF(OR(HQ$169&lt;SwaptionFirstMonthPosition+1,$FN212&lt;SwaptionFirstMonthPosition+1,HQ$169&gt;SwaptionFirstMonthPosition+SwaptionNumOfMonths+1,$FN212&gt;SwaptionFirstMonthPosition+SwaptionNumOfMonths+1),"",IF($FN212=HQ$169,1,IF($FN212&lt;HQ$169,INDEX($FO$170:$IH$241,HQ$169,$FN212),SUMPRODUCT(INDEX($FO$325:$IH$396,HQ$169,1+SwaptionShift):INDEX($FO$325:$IH$396,HQ$169,SwaptionMonthsToGo+SwaptionShift),INDEX($FO$245:$IH$316,$FN212-HQ$169,73-HQ$169+SwaptionShift):INDEX($FO$245:$IH$316,$FN212-HQ$169,72-HQ$169+SwaptionMonthsToGo+SwaptionShift))/SQRT(SUM(INDEX($FO367:$IH367,1+SwaptionShift):INDEX($FO367:$IH367,SwaptionMonthsToGo+SwaptionShift))*SUM(INDEX($FO$325:$IH$396,HQ$169,1+SwaptionShift):INDEX($FO$325:$IH$396,HQ$169,SwaptionMonthsToGo+SwaptionShift))))))</f>
        <v/>
      </c>
      <c r="HR212" s="469" t="str">
        <f ca="1">IF(OR(HR$169&lt;SwaptionFirstMonthPosition+1,$FN212&lt;SwaptionFirstMonthPosition+1,HR$169&gt;SwaptionFirstMonthPosition+SwaptionNumOfMonths+1,$FN212&gt;SwaptionFirstMonthPosition+SwaptionNumOfMonths+1),"",IF($FN212=HR$169,1,IF($FN212&lt;HR$169,INDEX($FO$170:$IH$241,HR$169,$FN212),SUMPRODUCT(INDEX($FO$325:$IH$396,HR$169,1+SwaptionShift):INDEX($FO$325:$IH$396,HR$169,SwaptionMonthsToGo+SwaptionShift),INDEX($FO$245:$IH$316,$FN212-HR$169,73-HR$169+SwaptionShift):INDEX($FO$245:$IH$316,$FN212-HR$169,72-HR$169+SwaptionMonthsToGo+SwaptionShift))/SQRT(SUM(INDEX($FO367:$IH367,1+SwaptionShift):INDEX($FO367:$IH367,SwaptionMonthsToGo+SwaptionShift))*SUM(INDEX($FO$325:$IH$396,HR$169,1+SwaptionShift):INDEX($FO$325:$IH$396,HR$169,SwaptionMonthsToGo+SwaptionShift))))))</f>
        <v/>
      </c>
      <c r="HS212" s="469" t="str">
        <f ca="1">IF(OR(HS$169&lt;SwaptionFirstMonthPosition+1,$FN212&lt;SwaptionFirstMonthPosition+1,HS$169&gt;SwaptionFirstMonthPosition+SwaptionNumOfMonths+1,$FN212&gt;SwaptionFirstMonthPosition+SwaptionNumOfMonths+1),"",IF($FN212=HS$169,1,IF($FN212&lt;HS$169,INDEX($FO$170:$IH$241,HS$169,$FN212),SUMPRODUCT(INDEX($FO$325:$IH$396,HS$169,1+SwaptionShift):INDEX($FO$325:$IH$396,HS$169,SwaptionMonthsToGo+SwaptionShift),INDEX($FO$245:$IH$316,$FN212-HS$169,73-HS$169+SwaptionShift):INDEX($FO$245:$IH$316,$FN212-HS$169,72-HS$169+SwaptionMonthsToGo+SwaptionShift))/SQRT(SUM(INDEX($FO367:$IH367,1+SwaptionShift):INDEX($FO367:$IH367,SwaptionMonthsToGo+SwaptionShift))*SUM(INDEX($FO$325:$IH$396,HS$169,1+SwaptionShift):INDEX($FO$325:$IH$396,HS$169,SwaptionMonthsToGo+SwaptionShift))))))</f>
        <v/>
      </c>
      <c r="HT212" s="469" t="str">
        <f ca="1">IF(OR(HT$169&lt;SwaptionFirstMonthPosition+1,$FN212&lt;SwaptionFirstMonthPosition+1,HT$169&gt;SwaptionFirstMonthPosition+SwaptionNumOfMonths+1,$FN212&gt;SwaptionFirstMonthPosition+SwaptionNumOfMonths+1),"",IF($FN212=HT$169,1,IF($FN212&lt;HT$169,INDEX($FO$170:$IH$241,HT$169,$FN212),SUMPRODUCT(INDEX($FO$325:$IH$396,HT$169,1+SwaptionShift):INDEX($FO$325:$IH$396,HT$169,SwaptionMonthsToGo+SwaptionShift),INDEX($FO$245:$IH$316,$FN212-HT$169,73-HT$169+SwaptionShift):INDEX($FO$245:$IH$316,$FN212-HT$169,72-HT$169+SwaptionMonthsToGo+SwaptionShift))/SQRT(SUM(INDEX($FO367:$IH367,1+SwaptionShift):INDEX($FO367:$IH367,SwaptionMonthsToGo+SwaptionShift))*SUM(INDEX($FO$325:$IH$396,HT$169,1+SwaptionShift):INDEX($FO$325:$IH$396,HT$169,SwaptionMonthsToGo+SwaptionShift))))))</f>
        <v/>
      </c>
      <c r="HU212" s="469" t="str">
        <f ca="1">IF(OR(HU$169&lt;SwaptionFirstMonthPosition+1,$FN212&lt;SwaptionFirstMonthPosition+1,HU$169&gt;SwaptionFirstMonthPosition+SwaptionNumOfMonths+1,$FN212&gt;SwaptionFirstMonthPosition+SwaptionNumOfMonths+1),"",IF($FN212=HU$169,1,IF($FN212&lt;HU$169,INDEX($FO$170:$IH$241,HU$169,$FN212),SUMPRODUCT(INDEX($FO$325:$IH$396,HU$169,1+SwaptionShift):INDEX($FO$325:$IH$396,HU$169,SwaptionMonthsToGo+SwaptionShift),INDEX($FO$245:$IH$316,$FN212-HU$169,73-HU$169+SwaptionShift):INDEX($FO$245:$IH$316,$FN212-HU$169,72-HU$169+SwaptionMonthsToGo+SwaptionShift))/SQRT(SUM(INDEX($FO367:$IH367,1+SwaptionShift):INDEX($FO367:$IH367,SwaptionMonthsToGo+SwaptionShift))*SUM(INDEX($FO$325:$IH$396,HU$169,1+SwaptionShift):INDEX($FO$325:$IH$396,HU$169,SwaptionMonthsToGo+SwaptionShift))))))</f>
        <v/>
      </c>
      <c r="HV212" s="469" t="str">
        <f ca="1">IF(OR(HV$169&lt;SwaptionFirstMonthPosition+1,$FN212&lt;SwaptionFirstMonthPosition+1,HV$169&gt;SwaptionFirstMonthPosition+SwaptionNumOfMonths+1,$FN212&gt;SwaptionFirstMonthPosition+SwaptionNumOfMonths+1),"",IF($FN212=HV$169,1,IF($FN212&lt;HV$169,INDEX($FO$170:$IH$241,HV$169,$FN212),SUMPRODUCT(INDEX($FO$325:$IH$396,HV$169,1+SwaptionShift):INDEX($FO$325:$IH$396,HV$169,SwaptionMonthsToGo+SwaptionShift),INDEX($FO$245:$IH$316,$FN212-HV$169,73-HV$169+SwaptionShift):INDEX($FO$245:$IH$316,$FN212-HV$169,72-HV$169+SwaptionMonthsToGo+SwaptionShift))/SQRT(SUM(INDEX($FO367:$IH367,1+SwaptionShift):INDEX($FO367:$IH367,SwaptionMonthsToGo+SwaptionShift))*SUM(INDEX($FO$325:$IH$396,HV$169,1+SwaptionShift):INDEX($FO$325:$IH$396,HV$169,SwaptionMonthsToGo+SwaptionShift))))))</f>
        <v/>
      </c>
      <c r="HW212" s="469" t="str">
        <f ca="1">IF(OR(HW$169&lt;SwaptionFirstMonthPosition+1,$FN212&lt;SwaptionFirstMonthPosition+1,HW$169&gt;SwaptionFirstMonthPosition+SwaptionNumOfMonths+1,$FN212&gt;SwaptionFirstMonthPosition+SwaptionNumOfMonths+1),"",IF($FN212=HW$169,1,IF($FN212&lt;HW$169,INDEX($FO$170:$IH$241,HW$169,$FN212),SUMPRODUCT(INDEX($FO$325:$IH$396,HW$169,1+SwaptionShift):INDEX($FO$325:$IH$396,HW$169,SwaptionMonthsToGo+SwaptionShift),INDEX($FO$245:$IH$316,$FN212-HW$169,73-HW$169+SwaptionShift):INDEX($FO$245:$IH$316,$FN212-HW$169,72-HW$169+SwaptionMonthsToGo+SwaptionShift))/SQRT(SUM(INDEX($FO367:$IH367,1+SwaptionShift):INDEX($FO367:$IH367,SwaptionMonthsToGo+SwaptionShift))*SUM(INDEX($FO$325:$IH$396,HW$169,1+SwaptionShift):INDEX($FO$325:$IH$396,HW$169,SwaptionMonthsToGo+SwaptionShift))))))</f>
        <v/>
      </c>
      <c r="HX212" s="469" t="str">
        <f ca="1">IF(OR(HX$169&lt;SwaptionFirstMonthPosition+1,$FN212&lt;SwaptionFirstMonthPosition+1,HX$169&gt;SwaptionFirstMonthPosition+SwaptionNumOfMonths+1,$FN212&gt;SwaptionFirstMonthPosition+SwaptionNumOfMonths+1),"",IF($FN212=HX$169,1,IF($FN212&lt;HX$169,INDEX($FO$170:$IH$241,HX$169,$FN212),SUMPRODUCT(INDEX($FO$325:$IH$396,HX$169,1+SwaptionShift):INDEX($FO$325:$IH$396,HX$169,SwaptionMonthsToGo+SwaptionShift),INDEX($FO$245:$IH$316,$FN212-HX$169,73-HX$169+SwaptionShift):INDEX($FO$245:$IH$316,$FN212-HX$169,72-HX$169+SwaptionMonthsToGo+SwaptionShift))/SQRT(SUM(INDEX($FO367:$IH367,1+SwaptionShift):INDEX($FO367:$IH367,SwaptionMonthsToGo+SwaptionShift))*SUM(INDEX($FO$325:$IH$396,HX$169,1+SwaptionShift):INDEX($FO$325:$IH$396,HX$169,SwaptionMonthsToGo+SwaptionShift))))))</f>
        <v/>
      </c>
      <c r="HY212" s="469" t="str">
        <f ca="1">IF(OR(HY$169&lt;SwaptionFirstMonthPosition+1,$FN212&lt;SwaptionFirstMonthPosition+1,HY$169&gt;SwaptionFirstMonthPosition+SwaptionNumOfMonths+1,$FN212&gt;SwaptionFirstMonthPosition+SwaptionNumOfMonths+1),"",IF($FN212=HY$169,1,IF($FN212&lt;HY$169,INDEX($FO$170:$IH$241,HY$169,$FN212),SUMPRODUCT(INDEX($FO$325:$IH$396,HY$169,1+SwaptionShift):INDEX($FO$325:$IH$396,HY$169,SwaptionMonthsToGo+SwaptionShift),INDEX($FO$245:$IH$316,$FN212-HY$169,73-HY$169+SwaptionShift):INDEX($FO$245:$IH$316,$FN212-HY$169,72-HY$169+SwaptionMonthsToGo+SwaptionShift))/SQRT(SUM(INDEX($FO367:$IH367,1+SwaptionShift):INDEX($FO367:$IH367,SwaptionMonthsToGo+SwaptionShift))*SUM(INDEX($FO$325:$IH$396,HY$169,1+SwaptionShift):INDEX($FO$325:$IH$396,HY$169,SwaptionMonthsToGo+SwaptionShift))))))</f>
        <v/>
      </c>
      <c r="HZ212" s="469" t="str">
        <f ca="1">IF(OR(HZ$169&lt;SwaptionFirstMonthPosition+1,$FN212&lt;SwaptionFirstMonthPosition+1,HZ$169&gt;SwaptionFirstMonthPosition+SwaptionNumOfMonths+1,$FN212&gt;SwaptionFirstMonthPosition+SwaptionNumOfMonths+1),"",IF($FN212=HZ$169,1,IF($FN212&lt;HZ$169,INDEX($FO$170:$IH$241,HZ$169,$FN212),SUMPRODUCT(INDEX($FO$325:$IH$396,HZ$169,1+SwaptionShift):INDEX($FO$325:$IH$396,HZ$169,SwaptionMonthsToGo+SwaptionShift),INDEX($FO$245:$IH$316,$FN212-HZ$169,73-HZ$169+SwaptionShift):INDEX($FO$245:$IH$316,$FN212-HZ$169,72-HZ$169+SwaptionMonthsToGo+SwaptionShift))/SQRT(SUM(INDEX($FO367:$IH367,1+SwaptionShift):INDEX($FO367:$IH367,SwaptionMonthsToGo+SwaptionShift))*SUM(INDEX($FO$325:$IH$396,HZ$169,1+SwaptionShift):INDEX($FO$325:$IH$396,HZ$169,SwaptionMonthsToGo+SwaptionShift))))))</f>
        <v/>
      </c>
      <c r="IA212" s="469" t="str">
        <f ca="1">IF(OR(IA$169&lt;SwaptionFirstMonthPosition+1,$FN212&lt;SwaptionFirstMonthPosition+1,IA$169&gt;SwaptionFirstMonthPosition+SwaptionNumOfMonths+1,$FN212&gt;SwaptionFirstMonthPosition+SwaptionNumOfMonths+1),"",IF($FN212=IA$169,1,IF($FN212&lt;IA$169,INDEX($FO$170:$IH$241,IA$169,$FN212),SUMPRODUCT(INDEX($FO$325:$IH$396,IA$169,1+SwaptionShift):INDEX($FO$325:$IH$396,IA$169,SwaptionMonthsToGo+SwaptionShift),INDEX($FO$245:$IH$316,$FN212-IA$169,73-IA$169+SwaptionShift):INDEX($FO$245:$IH$316,$FN212-IA$169,72-IA$169+SwaptionMonthsToGo+SwaptionShift))/SQRT(SUM(INDEX($FO367:$IH367,1+SwaptionShift):INDEX($FO367:$IH367,SwaptionMonthsToGo+SwaptionShift))*SUM(INDEX($FO$325:$IH$396,IA$169,1+SwaptionShift):INDEX($FO$325:$IH$396,IA$169,SwaptionMonthsToGo+SwaptionShift))))))</f>
        <v/>
      </c>
      <c r="IB212" s="469" t="str">
        <f ca="1">IF(OR(IB$169&lt;SwaptionFirstMonthPosition+1,$FN212&lt;SwaptionFirstMonthPosition+1,IB$169&gt;SwaptionFirstMonthPosition+SwaptionNumOfMonths+1,$FN212&gt;SwaptionFirstMonthPosition+SwaptionNumOfMonths+1),"",IF($FN212=IB$169,1,IF($FN212&lt;IB$169,INDEX($FO$170:$IH$241,IB$169,$FN212),SUMPRODUCT(INDEX($FO$325:$IH$396,IB$169,1+SwaptionShift):INDEX($FO$325:$IH$396,IB$169,SwaptionMonthsToGo+SwaptionShift),INDEX($FO$245:$IH$316,$FN212-IB$169,73-IB$169+SwaptionShift):INDEX($FO$245:$IH$316,$FN212-IB$169,72-IB$169+SwaptionMonthsToGo+SwaptionShift))/SQRT(SUM(INDEX($FO367:$IH367,1+SwaptionShift):INDEX($FO367:$IH367,SwaptionMonthsToGo+SwaptionShift))*SUM(INDEX($FO$325:$IH$396,IB$169,1+SwaptionShift):INDEX($FO$325:$IH$396,IB$169,SwaptionMonthsToGo+SwaptionShift))))))</f>
        <v/>
      </c>
      <c r="IC212" s="469" t="str">
        <f ca="1">IF(OR(IC$169&lt;SwaptionFirstMonthPosition+1,$FN212&lt;SwaptionFirstMonthPosition+1,IC$169&gt;SwaptionFirstMonthPosition+SwaptionNumOfMonths+1,$FN212&gt;SwaptionFirstMonthPosition+SwaptionNumOfMonths+1),"",IF($FN212=IC$169,1,IF($FN212&lt;IC$169,INDEX($FO$170:$IH$241,IC$169,$FN212),SUMPRODUCT(INDEX($FO$325:$IH$396,IC$169,1+SwaptionShift):INDEX($FO$325:$IH$396,IC$169,SwaptionMonthsToGo+SwaptionShift),INDEX($FO$245:$IH$316,$FN212-IC$169,73-IC$169+SwaptionShift):INDEX($FO$245:$IH$316,$FN212-IC$169,72-IC$169+SwaptionMonthsToGo+SwaptionShift))/SQRT(SUM(INDEX($FO367:$IH367,1+SwaptionShift):INDEX($FO367:$IH367,SwaptionMonthsToGo+SwaptionShift))*SUM(INDEX($FO$325:$IH$396,IC$169,1+SwaptionShift):INDEX($FO$325:$IH$396,IC$169,SwaptionMonthsToGo+SwaptionShift))))))</f>
        <v/>
      </c>
      <c r="ID212" s="469" t="str">
        <f ca="1">IF(OR(ID$169&lt;SwaptionFirstMonthPosition+1,$FN212&lt;SwaptionFirstMonthPosition+1,ID$169&gt;SwaptionFirstMonthPosition+SwaptionNumOfMonths+1,$FN212&gt;SwaptionFirstMonthPosition+SwaptionNumOfMonths+1),"",IF($FN212=ID$169,1,IF($FN212&lt;ID$169,INDEX($FO$170:$IH$241,ID$169,$FN212),SUMPRODUCT(INDEX($FO$325:$IH$396,ID$169,1+SwaptionShift):INDEX($FO$325:$IH$396,ID$169,SwaptionMonthsToGo+SwaptionShift),INDEX($FO$245:$IH$316,$FN212-ID$169,73-ID$169+SwaptionShift):INDEX($FO$245:$IH$316,$FN212-ID$169,72-ID$169+SwaptionMonthsToGo+SwaptionShift))/SQRT(SUM(INDEX($FO367:$IH367,1+SwaptionShift):INDEX($FO367:$IH367,SwaptionMonthsToGo+SwaptionShift))*SUM(INDEX($FO$325:$IH$396,ID$169,1+SwaptionShift):INDEX($FO$325:$IH$396,ID$169,SwaptionMonthsToGo+SwaptionShift))))))</f>
        <v/>
      </c>
      <c r="IE212" s="469" t="str">
        <f ca="1">IF(OR(IE$169&lt;SwaptionFirstMonthPosition+1,$FN212&lt;SwaptionFirstMonthPosition+1,IE$169&gt;SwaptionFirstMonthPosition+SwaptionNumOfMonths+1,$FN212&gt;SwaptionFirstMonthPosition+SwaptionNumOfMonths+1),"",IF($FN212=IE$169,1,IF($FN212&lt;IE$169,INDEX($FO$170:$IH$241,IE$169,$FN212),SUMPRODUCT(INDEX($FO$325:$IH$396,IE$169,1+SwaptionShift):INDEX($FO$325:$IH$396,IE$169,SwaptionMonthsToGo+SwaptionShift),INDEX($FO$245:$IH$316,$FN212-IE$169,73-IE$169+SwaptionShift):INDEX($FO$245:$IH$316,$FN212-IE$169,72-IE$169+SwaptionMonthsToGo+SwaptionShift))/SQRT(SUM(INDEX($FO367:$IH367,1+SwaptionShift):INDEX($FO367:$IH367,SwaptionMonthsToGo+SwaptionShift))*SUM(INDEX($FO$325:$IH$396,IE$169,1+SwaptionShift):INDEX($FO$325:$IH$396,IE$169,SwaptionMonthsToGo+SwaptionShift))))))</f>
        <v/>
      </c>
      <c r="IF212" s="469" t="str">
        <f ca="1">IF(OR(IF$169&lt;SwaptionFirstMonthPosition+1,$FN212&lt;SwaptionFirstMonthPosition+1,IF$169&gt;SwaptionFirstMonthPosition+SwaptionNumOfMonths+1,$FN212&gt;SwaptionFirstMonthPosition+SwaptionNumOfMonths+1),"",IF($FN212=IF$169,1,IF($FN212&lt;IF$169,INDEX($FO$170:$IH$241,IF$169,$FN212),SUMPRODUCT(INDEX($FO$325:$IH$396,IF$169,1+SwaptionShift):INDEX($FO$325:$IH$396,IF$169,SwaptionMonthsToGo+SwaptionShift),INDEX($FO$245:$IH$316,$FN212-IF$169,73-IF$169+SwaptionShift):INDEX($FO$245:$IH$316,$FN212-IF$169,72-IF$169+SwaptionMonthsToGo+SwaptionShift))/SQRT(SUM(INDEX($FO367:$IH367,1+SwaptionShift):INDEX($FO367:$IH367,SwaptionMonthsToGo+SwaptionShift))*SUM(INDEX($FO$325:$IH$396,IF$169,1+SwaptionShift):INDEX($FO$325:$IH$396,IF$169,SwaptionMonthsToGo+SwaptionShift))))))</f>
        <v/>
      </c>
      <c r="IG212" s="469" t="str">
        <f ca="1">IF(OR(IG$169&lt;SwaptionFirstMonthPosition+1,$FN212&lt;SwaptionFirstMonthPosition+1,IG$169&gt;SwaptionFirstMonthPosition+SwaptionNumOfMonths+1,$FN212&gt;SwaptionFirstMonthPosition+SwaptionNumOfMonths+1),"",IF($FN212=IG$169,1,IF($FN212&lt;IG$169,INDEX($FO$170:$IH$241,IG$169,$FN212),SUMPRODUCT(INDEX($FO$325:$IH$396,IG$169,1+SwaptionShift):INDEX($FO$325:$IH$396,IG$169,SwaptionMonthsToGo+SwaptionShift),INDEX($FO$245:$IH$316,$FN212-IG$169,73-IG$169+SwaptionShift):INDEX($FO$245:$IH$316,$FN212-IG$169,72-IG$169+SwaptionMonthsToGo+SwaptionShift))/SQRT(SUM(INDEX($FO367:$IH367,1+SwaptionShift):INDEX($FO367:$IH367,SwaptionMonthsToGo+SwaptionShift))*SUM(INDEX($FO$325:$IH$396,IG$169,1+SwaptionShift):INDEX($FO$325:$IH$396,IG$169,SwaptionMonthsToGo+SwaptionShift))))))</f>
        <v/>
      </c>
      <c r="IH212" s="662" t="str">
        <f ca="1">IF(OR(IH$169&lt;SwaptionFirstMonthPosition+1,$FN212&lt;SwaptionFirstMonthPosition+1,IH$169&gt;SwaptionFirstMonthPosition+SwaptionNumOfMonths+1,$FN212&gt;SwaptionFirstMonthPosition+SwaptionNumOfMonths+1),"",IF($FN212=IH$169,1,IF($FN212&lt;IH$169,INDEX($FO$170:$IH$241,IH$169,$FN212),SUMPRODUCT(INDEX($FO$325:$IH$396,IH$169,1+SwaptionShift):INDEX($FO$325:$IH$396,IH$169,SwaptionMonthsToGo+SwaptionShift),INDEX($FO$245:$IH$316,$FN212-IH$169,73-IH$169+SwaptionShift):INDEX($FO$245:$IH$316,$FN212-IH$169,72-IH$169+SwaptionMonthsToGo+SwaptionShift))/SQRT(SUM(INDEX($FO367:$IH367,1+SwaptionShift):INDEX($FO367:$IH367,SwaptionMonthsToGo+SwaptionShift))*SUM(INDEX($FO$325:$IH$396,IH$169,1+SwaptionShift):INDEX($FO$325:$IH$396,IH$169,SwaptionMonthsToGo+SwaptionShift))))))</f>
        <v/>
      </c>
      <c r="II212" s="242"/>
    </row>
    <row r="213" spans="8:243">
      <c r="H213" s="49" t="e">
        <f t="shared" ca="1" si="645"/>
        <v>#N/A</v>
      </c>
      <c r="I213" s="369">
        <f t="shared" si="646"/>
        <v>42887</v>
      </c>
      <c r="J213" s="367">
        <v>24.209999999999901</v>
      </c>
      <c r="K213" s="101" t="s">
        <v>267</v>
      </c>
      <c r="L213" s="382">
        <f t="shared" si="647"/>
        <v>24.209999999999855</v>
      </c>
      <c r="M213" s="163">
        <v>0.13390000000000002</v>
      </c>
      <c r="N213" s="372">
        <v>0</v>
      </c>
      <c r="O213" s="163">
        <f t="shared" si="595"/>
        <v>0.13390000000000002</v>
      </c>
      <c r="P213" s="367">
        <v>22.720380005993</v>
      </c>
      <c r="Q213" s="101" t="s">
        <v>267</v>
      </c>
      <c r="R213" s="367">
        <f t="shared" ca="1" si="596"/>
        <v>22.720380005992951</v>
      </c>
      <c r="S213" s="814">
        <f t="shared" si="594"/>
        <v>0.34725984531078941</v>
      </c>
      <c r="T213" s="813">
        <f t="shared" ref="T213:T260" si="660">SQRT((1-(1-T212^2/U212)*T$18)*U213)</f>
        <v>0.99999999988485611</v>
      </c>
      <c r="U213" s="532">
        <f t="shared" ref="U213:U260" si="661">1-(1-U212)*U$18</f>
        <v>0.99999999999999978</v>
      </c>
      <c r="V213" s="379">
        <v>0</v>
      </c>
      <c r="W213" s="424">
        <f t="shared" si="597"/>
        <v>24.244090909090811</v>
      </c>
      <c r="X213" s="405">
        <f t="shared" si="598"/>
        <v>24.244090909090765</v>
      </c>
      <c r="Y213" s="313">
        <f t="shared" si="599"/>
        <v>22.90009090909081</v>
      </c>
      <c r="Z213" s="313">
        <f t="shared" ca="1" si="600"/>
        <v>22.900090909090764</v>
      </c>
      <c r="AA213" s="419">
        <f t="shared" si="623"/>
        <v>1.3440000000000001</v>
      </c>
      <c r="AB213" s="423">
        <f t="shared" ca="1" si="624"/>
        <v>1.3440000000000001</v>
      </c>
      <c r="AC213" s="221">
        <v>42875</v>
      </c>
      <c r="AD213" s="221">
        <v>42871</v>
      </c>
      <c r="AE213" s="221">
        <v>42870</v>
      </c>
      <c r="AF213" s="221">
        <v>42866</v>
      </c>
      <c r="AG213" s="241" t="s">
        <v>497</v>
      </c>
      <c r="AH213" s="239" t="s">
        <v>497</v>
      </c>
      <c r="AI213" s="141">
        <v>22</v>
      </c>
      <c r="AJ213" s="41">
        <v>14</v>
      </c>
      <c r="AK213" s="41">
        <v>8</v>
      </c>
      <c r="AL213" s="285">
        <v>22</v>
      </c>
      <c r="AM213" s="41">
        <v>10</v>
      </c>
      <c r="AN213" s="142">
        <v>12</v>
      </c>
      <c r="AO213" s="364">
        <v>6.2570413474692707E-2</v>
      </c>
      <c r="AP213" s="145">
        <f t="shared" ca="1" si="648"/>
        <v>0.36802015634519331</v>
      </c>
      <c r="AQ213" s="364">
        <v>5.7731072775336401E-2</v>
      </c>
      <c r="AR213" s="145">
        <f t="shared" ref="AR213:AR260" ca="1" si="662">(1+AQ213/2)^(-2*BH213/365.25)</f>
        <v>0.3999634361430357</v>
      </c>
      <c r="AS213" s="264">
        <f t="shared" si="601"/>
        <v>0.13335454545454548</v>
      </c>
      <c r="AT213" s="149">
        <f t="shared" si="649"/>
        <v>0.13390000000000002</v>
      </c>
      <c r="AU213" s="149">
        <f t="shared" si="625"/>
        <v>0.13328181818181817</v>
      </c>
      <c r="AV213" s="263">
        <f t="shared" ca="1" si="560"/>
        <v>0.13191981452588208</v>
      </c>
      <c r="AW213" s="150" t="str">
        <f t="shared" ca="1" si="581"/>
        <v/>
      </c>
      <c r="AX213" s="149">
        <f t="shared" ref="AX213:AX260" ca="1" si="663">IF($AW213="",AX212^2/AX211,INDEX(U$5:U$8,$AW213)^((INDEX($T$5:$T$8,$AW213+1)-($I213-DateToday+15))/(INDEX($T$5:$T$8,$AW213+1)-INDEX($T$5:$T$8,$AW213)))/INDEX(U$5:U$8,$AW213+1)^((INDEX($T$5:$T$8,$AW213)-($I213-DateToday+15))/(INDEX($T$5:$T$8,$AW213+1)-INDEX($T$5:$T$8,$AW213))))</f>
        <v>4.2607788936113592E-3</v>
      </c>
      <c r="AY213" s="149">
        <f t="shared" ref="AY213:AY260" ca="1" si="664">IF($AW213="",AY212^2/AY211,INDEX(V$5:V$8,$AW213)^((INDEX($T$5:$T$8,$AW213+1)-($I213-DateToday+15))/(INDEX($T$5:$T$8,$AW213+1)-INDEX($T$5:$T$8,$AW213)))/INDEX(V$5:V$8,$AW213+1)^((INDEX($T$5:$T$8,$AW213)-($I213-DateToday+15))/(INDEX($T$5:$T$8,$AW213+1)-INDEX($T$5:$T$8,$AW213))))</f>
        <v>1.3700571107429927E-3</v>
      </c>
      <c r="AZ213" s="149">
        <f t="shared" ref="AZ213:AZ260" ca="1" si="665">IF($AW213="",AZ212^2/AZ211,INDEX(W$5:W$8,$AW213)^((INDEX($T$5:$T$8,$AW213+1)-($I213-DateToday+15))/(INDEX($T$5:$T$8,$AW213+1)-INDEX($T$5:$T$8,$AW213)))/INDEX(W$5:W$8,$AW213+1)^((INDEX($T$5:$T$8,$AW213)-($I213-DateToday+15))/(INDEX($T$5:$T$8,$AW213+1)-INDEX($T$5:$T$8,$AW213))))</f>
        <v>1.554455856809015E-3</v>
      </c>
      <c r="BA213" s="149">
        <f t="shared" ref="BA213:BA260" ca="1" si="666">IF($AW213="",BA212^2/BA211,INDEX(X$5:X$8,$AW213)^((INDEX($T$5:$T$8,$AW213+1)-($I213-DateToday+15))/(INDEX($T$5:$T$8,$AW213+1)-INDEX($T$5:$T$8,$AW213)))/INDEX(X$5:X$8,$AW213+1)^((INDEX($T$5:$T$8,$AW213)-($I213-DateToday+15))/(INDEX($T$5:$T$8,$AW213+1)-INDEX($T$5:$T$8,$AW213))))</f>
        <v>1.0000000000001003E-4</v>
      </c>
      <c r="BB213" s="149">
        <f t="shared" ref="BB213:BB260" ca="1" si="667">IF($AW213="",BB212^2/BB211,INDEX(Y$5:Y$8,$AW213)^((INDEX($T$5:$T$8,$AW213+1)-($I213-DateToday+15))/(INDEX($T$5:$T$8,$AW213+1)-INDEX($T$5:$T$8,$AW213)))/INDEX(Y$5:Y$8,$AW213+1)^((INDEX($T$5:$T$8,$AW213)-($I213-DateToday+15))/(INDEX($T$5:$T$8,$AW213+1)-INDEX($T$5:$T$8,$AW213))))</f>
        <v>1.0000000000001003E-4</v>
      </c>
      <c r="BC213" s="149">
        <f t="shared" ref="BC213:BC260" ca="1" si="668">IF($AW213="",BC212^2/BC211,INDEX(Z$5:Z$8,$AW213)^((INDEX($T$5:$T$8,$AW213+1)-($I213-DateToday+15))/(INDEX($T$5:$T$8,$AW213+1)-INDEX($T$5:$T$8,$AW213)))/INDEX(Z$5:Z$8,$AW213+1)^((INDEX($T$5:$T$8,$AW213)-($I213-DateToday+15))/(INDEX($T$5:$T$8,$AW213+1)-INDEX($T$5:$T$8,$AW213))))</f>
        <v>1.0000000000001003E-4</v>
      </c>
      <c r="BD213" s="143">
        <f t="shared" ca="1" si="602"/>
        <v>0</v>
      </c>
      <c r="BE213" s="144">
        <f t="shared" ca="1" si="603"/>
        <v>0</v>
      </c>
      <c r="BF213" s="40">
        <f t="shared" si="604"/>
        <v>2017</v>
      </c>
      <c r="BG213" s="139">
        <f t="shared" si="605"/>
        <v>6</v>
      </c>
      <c r="BH213" s="140">
        <f t="shared" ca="1" si="606"/>
        <v>5881</v>
      </c>
      <c r="BI213" s="304">
        <f t="shared" ca="1" si="607"/>
        <v>16.145106091718002</v>
      </c>
      <c r="BJ213" s="42">
        <f t="shared" ca="1" si="626"/>
        <v>16.195631883516892</v>
      </c>
      <c r="BK213" s="42">
        <f t="shared" ca="1" si="627"/>
        <v>16.198369734304023</v>
      </c>
      <c r="BL213" s="42">
        <f t="shared" ca="1" si="608"/>
        <v>16.224503764544831</v>
      </c>
      <c r="BM213" s="285">
        <f t="shared" si="609"/>
        <v>22</v>
      </c>
      <c r="BN213" s="41">
        <f t="shared" si="610"/>
        <v>14</v>
      </c>
      <c r="BO213" s="41">
        <f t="shared" si="611"/>
        <v>8</v>
      </c>
      <c r="BP213" s="297" t="str">
        <f t="shared" ca="1" si="628"/>
        <v/>
      </c>
      <c r="BQ213" s="297" t="str">
        <f t="shared" ca="1" si="629"/>
        <v/>
      </c>
      <c r="BR213" s="299" t="str">
        <f t="shared" ca="1" si="630"/>
        <v/>
      </c>
      <c r="BS213" s="153" t="str">
        <f t="shared" ca="1" si="631"/>
        <v/>
      </c>
      <c r="BT213" s="153" t="str">
        <f t="shared" ca="1" si="632"/>
        <v/>
      </c>
      <c r="BU213" s="300" t="str">
        <f t="shared" ca="1" si="633"/>
        <v/>
      </c>
      <c r="BV213" s="301" t="str">
        <f t="shared" ca="1" si="634"/>
        <v/>
      </c>
      <c r="BW213" s="300" t="str">
        <f t="shared" ca="1" si="635"/>
        <v/>
      </c>
      <c r="BX213" s="301" t="str">
        <f t="shared" ca="1" si="636"/>
        <v/>
      </c>
      <c r="BY213" s="146" t="str">
        <f t="shared" ca="1" si="637"/>
        <v/>
      </c>
      <c r="BZ213" s="146" t="str">
        <f t="shared" ca="1" si="638"/>
        <v/>
      </c>
      <c r="CA213" s="146" t="str">
        <f t="shared" ca="1" si="639"/>
        <v/>
      </c>
      <c r="CB213" s="146" t="str">
        <f t="shared" ca="1" si="640"/>
        <v/>
      </c>
      <c r="CC213" s="302">
        <v>1</v>
      </c>
      <c r="CD213" s="154">
        <f ca="1">IF(BD213,_xll.xCrudeAPO(BS213,BT213,BY213,BZ213,S214,S215,BI213,BL213,BN213,BO213,0,Strike1,AO213,CC213,0,BL213,IF(OptControl=4,0,1),0,1),0)</f>
        <v>0</v>
      </c>
      <c r="CE213" s="155">
        <f ca="1">IF(BD213,_xll.xCrudeAPO(BS213,BT213,BY213,BZ213,S214,S215,BI213,BL213,BN213,BO213,0,Strike1,AO213,CC213,0,BL213,IF(OptControl=4,0,1),1,1)+_xll.xCrudeAPO(BS213,BT213,BY213,BZ213,S214,S215,BI213,BL213,BN213,BO213,0,Strike1,AO213,CC213,0,BL213,IF(OptControl=4,0,1),1,2)+IF(OR(VolSkewFlag=2,ABS(BQ213)&lt;0.0001),0,IF(BQ213&gt;0,-1,1)*CF213*Strike1/BP213^2*BW213/10%),0)</f>
        <v>0</v>
      </c>
      <c r="CF213" s="155">
        <f ca="1">IF(BD213,(_xll.xCrudeAPO(BS213,BT213,BY213,BZ213,S214,S215,BI213,BL213,BN213,BO213,0,Strike1,AO213,CC213,0,BL213,IF(OptControl=4,0,1),3,1)+_xll.xCrudeAPO(BS213,BT213,BY213,BZ213,S214,S215,BI213,BL213,BN213,BO213,0,Strike1,AO213,CC213,0,BL213,IF(OptControl=4,0,1),3,2))/100,0)</f>
        <v>0</v>
      </c>
      <c r="CG213" s="155">
        <f ca="1">IF(BD213,_xll.xCrudeAPO(BS213,BT213,BY213,BZ213,S214,S215,BI213-DaysForThetaCalculation/365.25,BL213-DaysForThetaCalculation/365.25,BN213,BO213,0,Strike1,AO213,CC213,0,BL213,IF(OptControl=4,0,1),0,1)-_xll.xCrudeAPO(BS213,BT213,BY213,BZ213,S214,S215,BI213,BL213,BN213,BO213,0,Strike1,AO213,CC213,0,BL213,IF(OptControl=4,0,1),0,1),0)</f>
        <v>0</v>
      </c>
      <c r="CH213" s="303">
        <f ca="1">IF(BD213,_xll.xCrudeAPO(BS213,BT213,CA213,CB213,S214,S215,BI213,BL213,BN213,BO213,0,Strike2,AO213,CC213,0,BL213,IF(OptControl=3,1,0),0,1),0)</f>
        <v>0</v>
      </c>
      <c r="CI213" s="155">
        <f ca="1">IF(BD213,_xll.xCrudeAPO(BS213,BT213,CA213,CB213,S214,S215,BI213,BL213,BN213,BO213,0,Strike2,AO213,CC213,0,BL213,IF(OptControl=3,1,0),1,1)+_xll.xCrudeAPO(BS213,BT213,CA213,CB213,S214,S215,BI213,BL213,BN213,BO213,0,Strike2,AO213,CC213,0,BL213,IF(OptControl=3,1,0),1,2)+IF(OR(VolSkewFlag=2,ABS(BR213)&lt;0.0001),0,IF(BR213&gt;0,-1,1)*CJ213*Strike2/BP213^2*BX213/10%),0)</f>
        <v>0</v>
      </c>
      <c r="CJ213" s="155">
        <f ca="1">IF(BD213,(_xll.xCrudeAPO(BS213,BT213,CA213,CB213,S214,S215,BI213,BL213,BN213,BO213,0,Strike2,AO213,CC213,0,BL213,IF(OptControl=3,1,0),3,1)+_xll.xCrudeAPO(BS213,BT213,CA213,CB213,S214,S215,BI213,BL213,BN213,BO213,0,Strike2,AO213,CC213,0,BL213,IF(OptControl=3,1,0),3,2))/100,0)</f>
        <v>0</v>
      </c>
      <c r="CK213" s="156">
        <f ca="1">IF(BD213,_xll.xCrudeAPO(BS213,BT213,CA213,CB213,S214,S215,BI213-DaysForThetaCalculation/365.25,BL213-DaysForThetaCalculation/365.25,BN213,BO213,0,Strike2,AO213,CC213,0,BL213,IF(OptControl=3,1,0),0,1)-_xll.xCrudeAPO(BS213,BT213,CA213,CB213,S214,S215,BI213,BL213,BN213,BO213,0,Strike2,AO213,CC213,0,BL213,IF(OptControl=3,1,0),0,1),0)</f>
        <v>0</v>
      </c>
      <c r="CL213" s="51"/>
      <c r="CM213" s="779" t="str">
        <f t="shared" ca="1" si="650"/>
        <v/>
      </c>
      <c r="CN213" s="783" t="str">
        <f t="shared" ca="1" si="651"/>
        <v/>
      </c>
      <c r="CO213" s="780" t="str">
        <f t="shared" ca="1" si="652"/>
        <v/>
      </c>
      <c r="CP213" s="780" t="str">
        <f t="shared" ca="1" si="653"/>
        <v/>
      </c>
      <c r="CQ213" s="780" t="str">
        <f t="shared" ca="1" si="654"/>
        <v/>
      </c>
      <c r="CR213" s="780" t="str">
        <f t="shared" ca="1" si="655"/>
        <v/>
      </c>
      <c r="CS213" s="781" t="str">
        <f t="shared" ca="1" si="656"/>
        <v/>
      </c>
      <c r="CT213" s="782" t="str">
        <f t="shared" ca="1" si="657"/>
        <v/>
      </c>
      <c r="CU213" s="782" t="str">
        <f t="shared" ca="1" si="658"/>
        <v/>
      </c>
      <c r="CV213" s="155">
        <f ca="1">IF(BD213,_xll.EURO(CN213,Strike1,AO213,AO213,CT213,CM213,IF(OptControl=4,0,1),0),0)</f>
        <v>0</v>
      </c>
      <c r="CW213" s="155">
        <f ca="1">IF(BD213,_xll.EURO(CN213,Strike1,AO213,AO213,CT213,CM213,IF(OptControl=4,0,1),1)+IF(OR(VolSkewFlag=2,ABS(CO213)&lt;0.0001),0,IF(CO213&gt;0,-1,1)*CX213*100*Strike1/CN213^2*CQ213/10%),0)</f>
        <v>0</v>
      </c>
      <c r="CX213" s="155">
        <f ca="1">IF(BD213,_xll.EURO(CN213,Strike1,AO213,AO213,CT213,CM213,IF(OptControl=4,0,1),3)/100,0)</f>
        <v>0</v>
      </c>
      <c r="CY213" s="155">
        <f ca="1">IF(BD213,_xll.EURO(CN213,Strike1,AO213,AO213,CT213,CM213,IF(OptControl=4,0,1),0)-_xll.EURO(CN213,Strike1,AO213,AO213,CT213,CM213-1,IF(OptControl=4,0,1),0),0)</f>
        <v>0</v>
      </c>
      <c r="CZ213" s="155">
        <f ca="1">IF(BD213,_xll.EURO(CN213,Strike2,AO213,AO213,CU213,CM213,IF(OptControl=3,1,0),0),0)</f>
        <v>0</v>
      </c>
      <c r="DA213" s="155">
        <f ca="1">IF(BD213,_xll.EURO(CN213,Strike2,AO213,AO213,CU213,CM213,IF(OptControl=3,1,0),1)+IF(OR(VolSkewFlag=2,ABS(CP213)&lt;0.0001),0,IF(CP213&gt;0,-1,1)*DB213*100*Strike2/CN213^2*CR213/10%),0)</f>
        <v>0</v>
      </c>
      <c r="DB213" s="155">
        <f ca="1">IF(BD213,_xll.EURO(CN213,Strike2,AO213,AO213,CU213,CM213,IF(OptControl=3,1,0),3)/100,0)</f>
        <v>0</v>
      </c>
      <c r="DC213" s="156">
        <f ca="1">IF(BD213,_xll.EURO(CN213,Strike2,AO213,AO213,CU213,CM213,IF(OptControl=3,1,0),0)-_xll.EURO(CN213,Strike2,AO213,AO213,CU213,CM213-1,IF(OptControl=3,1,0),0),0)</f>
        <v>0</v>
      </c>
      <c r="DE213" s="651">
        <f t="shared" ca="1" si="659"/>
        <v>42795</v>
      </c>
      <c r="DF213" s="465">
        <v>1E-4</v>
      </c>
      <c r="DG213" s="649">
        <v>1E-4</v>
      </c>
      <c r="DH213" s="650">
        <f t="shared" ca="1" si="612"/>
        <v>42795</v>
      </c>
      <c r="DI213" s="465">
        <v>1E-4</v>
      </c>
      <c r="DJ213" s="649">
        <v>1E-4</v>
      </c>
      <c r="DK213" s="651">
        <f t="shared" ca="1" si="613"/>
        <v>42795</v>
      </c>
      <c r="DL213" s="652">
        <f t="shared" si="614"/>
        <v>5.0100000000000006E-2</v>
      </c>
      <c r="DM213" s="651">
        <f t="shared" ca="1" si="615"/>
        <v>42795</v>
      </c>
      <c r="DN213" s="563">
        <f t="shared" si="616"/>
        <v>-0.12990000000000002</v>
      </c>
      <c r="DO213" s="803">
        <v>-0.13</v>
      </c>
      <c r="DP213" s="650">
        <f t="shared" ca="1" si="617"/>
        <v>42795</v>
      </c>
      <c r="DQ213" s="653">
        <v>1E-4</v>
      </c>
      <c r="DR213" s="590">
        <v>1E-4</v>
      </c>
      <c r="DS213" s="650">
        <f t="shared" ca="1" si="618"/>
        <v>42795</v>
      </c>
      <c r="DT213" s="653">
        <v>1E-4</v>
      </c>
      <c r="DU213" s="590">
        <v>1E-4</v>
      </c>
      <c r="DV213" s="651">
        <f t="shared" ca="1" si="619"/>
        <v>42795</v>
      </c>
      <c r="DW213" s="590">
        <v>1E-4</v>
      </c>
      <c r="DX213" s="651">
        <f t="shared" ca="1" si="620"/>
        <v>42795</v>
      </c>
      <c r="DY213" s="590">
        <f t="shared" si="621"/>
        <v>1E-4</v>
      </c>
      <c r="DZ213" s="1"/>
      <c r="EA213" s="857"/>
      <c r="EB213" s="857"/>
      <c r="EC213" s="857"/>
      <c r="ED213" s="868" t="e">
        <f t="shared" ca="1" si="566"/>
        <v>#NAME?</v>
      </c>
      <c r="EE213" s="863" t="e">
        <f t="shared" ca="1" si="641"/>
        <v>#NAME?</v>
      </c>
      <c r="EF213" s="590" t="e">
        <f t="shared" ca="1" si="642"/>
        <v>#NAME?</v>
      </c>
      <c r="EG213" s="862" t="str">
        <f t="shared" ca="1" si="622"/>
        <v/>
      </c>
      <c r="EH213" s="114" t="str">
        <f t="shared" ca="1" si="643"/>
        <v/>
      </c>
      <c r="EI213" s="109" t="str">
        <f t="shared" ca="1" si="644"/>
        <v/>
      </c>
      <c r="EJ213" s="115">
        <f ca="1">IF(BD213,_xll.xASN(BP213,Strike1,AO213,EH213,0,BM213,0,BI213,BL213,IF(OptControl=4,0,1),0),0)</f>
        <v>0</v>
      </c>
      <c r="EK213" s="108">
        <f ca="1">IF(BD213,_xll.xASN(BP213,Strike2,AO213,EI213,0,BM213,0,BI213,BL213,IF(OptControl=3,1,0),0),0)</f>
        <v>0</v>
      </c>
      <c r="EP213" s="53"/>
      <c r="EQ213" s="1"/>
      <c r="ER213" s="103"/>
      <c r="ES213" s="103"/>
      <c r="ET213" s="1"/>
      <c r="EU213" s="667" t="s">
        <v>426</v>
      </c>
      <c r="EW213" s="53"/>
      <c r="EY213" s="104"/>
      <c r="FN213" s="657">
        <v>44</v>
      </c>
      <c r="FO213" s="469" t="str">
        <f ca="1">IF(OR(FO$169&lt;SwaptionFirstMonthPosition+1,$FN213&lt;SwaptionFirstMonthPosition+1,FO$169&gt;SwaptionFirstMonthPosition+SwaptionNumOfMonths+1,$FN213&gt;SwaptionFirstMonthPosition+SwaptionNumOfMonths+1),"",IF($FN213=FO$169,1,IF($FN213&lt;FO$169,INDEX($FO$170:$IH$241,FO$169,$FN213),SUMPRODUCT(INDEX($FO$325:$IH$396,FO$169,1+SwaptionShift):INDEX($FO$325:$IH$396,FO$169,SwaptionMonthsToGo+SwaptionShift),INDEX($FO$245:$IH$316,$FN213-FO$169,73-FO$169+SwaptionShift):INDEX($FO$245:$IH$316,$FN213-FO$169,72-FO$169+SwaptionMonthsToGo+SwaptionShift))/SQRT(SUM(INDEX($FO368:$IH368,1+SwaptionShift):INDEX($FO368:$IH368,SwaptionMonthsToGo+SwaptionShift))*SUM(INDEX($FO$325:$IH$396,FO$169,1+SwaptionShift):INDEX($FO$325:$IH$396,FO$169,SwaptionMonthsToGo+SwaptionShift))))))</f>
        <v/>
      </c>
      <c r="FP213" s="469" t="str">
        <f ca="1">IF(OR(FP$169&lt;SwaptionFirstMonthPosition+1,$FN213&lt;SwaptionFirstMonthPosition+1,FP$169&gt;SwaptionFirstMonthPosition+SwaptionNumOfMonths+1,$FN213&gt;SwaptionFirstMonthPosition+SwaptionNumOfMonths+1),"",IF($FN213=FP$169,1,IF($FN213&lt;FP$169,INDEX($FO$170:$IH$241,FP$169,$FN213),SUMPRODUCT(INDEX($FO$325:$IH$396,FP$169,1+SwaptionShift):INDEX($FO$325:$IH$396,FP$169,SwaptionMonthsToGo+SwaptionShift),INDEX($FO$245:$IH$316,$FN213-FP$169,73-FP$169+SwaptionShift):INDEX($FO$245:$IH$316,$FN213-FP$169,72-FP$169+SwaptionMonthsToGo+SwaptionShift))/SQRT(SUM(INDEX($FO368:$IH368,1+SwaptionShift):INDEX($FO368:$IH368,SwaptionMonthsToGo+SwaptionShift))*SUM(INDEX($FO$325:$IH$396,FP$169,1+SwaptionShift):INDEX($FO$325:$IH$396,FP$169,SwaptionMonthsToGo+SwaptionShift))))))</f>
        <v/>
      </c>
      <c r="FQ213" s="469" t="str">
        <f ca="1">IF(OR(FQ$169&lt;SwaptionFirstMonthPosition+1,$FN213&lt;SwaptionFirstMonthPosition+1,FQ$169&gt;SwaptionFirstMonthPosition+SwaptionNumOfMonths+1,$FN213&gt;SwaptionFirstMonthPosition+SwaptionNumOfMonths+1),"",IF($FN213=FQ$169,1,IF($FN213&lt;FQ$169,INDEX($FO$170:$IH$241,FQ$169,$FN213),SUMPRODUCT(INDEX($FO$325:$IH$396,FQ$169,1+SwaptionShift):INDEX($FO$325:$IH$396,FQ$169,SwaptionMonthsToGo+SwaptionShift),INDEX($FO$245:$IH$316,$FN213-FQ$169,73-FQ$169+SwaptionShift):INDEX($FO$245:$IH$316,$FN213-FQ$169,72-FQ$169+SwaptionMonthsToGo+SwaptionShift))/SQRT(SUM(INDEX($FO368:$IH368,1+SwaptionShift):INDEX($FO368:$IH368,SwaptionMonthsToGo+SwaptionShift))*SUM(INDEX($FO$325:$IH$396,FQ$169,1+SwaptionShift):INDEX($FO$325:$IH$396,FQ$169,SwaptionMonthsToGo+SwaptionShift))))))</f>
        <v/>
      </c>
      <c r="FR213" s="469" t="str">
        <f ca="1">IF(OR(FR$169&lt;SwaptionFirstMonthPosition+1,$FN213&lt;SwaptionFirstMonthPosition+1,FR$169&gt;SwaptionFirstMonthPosition+SwaptionNumOfMonths+1,$FN213&gt;SwaptionFirstMonthPosition+SwaptionNumOfMonths+1),"",IF($FN213=FR$169,1,IF($FN213&lt;FR$169,INDEX($FO$170:$IH$241,FR$169,$FN213),SUMPRODUCT(INDEX($FO$325:$IH$396,FR$169,1+SwaptionShift):INDEX($FO$325:$IH$396,FR$169,SwaptionMonthsToGo+SwaptionShift),INDEX($FO$245:$IH$316,$FN213-FR$169,73-FR$169+SwaptionShift):INDEX($FO$245:$IH$316,$FN213-FR$169,72-FR$169+SwaptionMonthsToGo+SwaptionShift))/SQRT(SUM(INDEX($FO368:$IH368,1+SwaptionShift):INDEX($FO368:$IH368,SwaptionMonthsToGo+SwaptionShift))*SUM(INDEX($FO$325:$IH$396,FR$169,1+SwaptionShift):INDEX($FO$325:$IH$396,FR$169,SwaptionMonthsToGo+SwaptionShift))))))</f>
        <v/>
      </c>
      <c r="FS213" s="469" t="str">
        <f ca="1">IF(OR(FS$169&lt;SwaptionFirstMonthPosition+1,$FN213&lt;SwaptionFirstMonthPosition+1,FS$169&gt;SwaptionFirstMonthPosition+SwaptionNumOfMonths+1,$FN213&gt;SwaptionFirstMonthPosition+SwaptionNumOfMonths+1),"",IF($FN213=FS$169,1,IF($FN213&lt;FS$169,INDEX($FO$170:$IH$241,FS$169,$FN213),SUMPRODUCT(INDEX($FO$325:$IH$396,FS$169,1+SwaptionShift):INDEX($FO$325:$IH$396,FS$169,SwaptionMonthsToGo+SwaptionShift),INDEX($FO$245:$IH$316,$FN213-FS$169,73-FS$169+SwaptionShift):INDEX($FO$245:$IH$316,$FN213-FS$169,72-FS$169+SwaptionMonthsToGo+SwaptionShift))/SQRT(SUM(INDEX($FO368:$IH368,1+SwaptionShift):INDEX($FO368:$IH368,SwaptionMonthsToGo+SwaptionShift))*SUM(INDEX($FO$325:$IH$396,FS$169,1+SwaptionShift):INDEX($FO$325:$IH$396,FS$169,SwaptionMonthsToGo+SwaptionShift))))))</f>
        <v/>
      </c>
      <c r="FT213" s="469" t="str">
        <f ca="1">IF(OR(FT$169&lt;SwaptionFirstMonthPosition+1,$FN213&lt;SwaptionFirstMonthPosition+1,FT$169&gt;SwaptionFirstMonthPosition+SwaptionNumOfMonths+1,$FN213&gt;SwaptionFirstMonthPosition+SwaptionNumOfMonths+1),"",IF($FN213=FT$169,1,IF($FN213&lt;FT$169,INDEX($FO$170:$IH$241,FT$169,$FN213),SUMPRODUCT(INDEX($FO$325:$IH$396,FT$169,1+SwaptionShift):INDEX($FO$325:$IH$396,FT$169,SwaptionMonthsToGo+SwaptionShift),INDEX($FO$245:$IH$316,$FN213-FT$169,73-FT$169+SwaptionShift):INDEX($FO$245:$IH$316,$FN213-FT$169,72-FT$169+SwaptionMonthsToGo+SwaptionShift))/SQRT(SUM(INDEX($FO368:$IH368,1+SwaptionShift):INDEX($FO368:$IH368,SwaptionMonthsToGo+SwaptionShift))*SUM(INDEX($FO$325:$IH$396,FT$169,1+SwaptionShift):INDEX($FO$325:$IH$396,FT$169,SwaptionMonthsToGo+SwaptionShift))))))</f>
        <v/>
      </c>
      <c r="FU213" s="469" t="str">
        <f ca="1">IF(OR(FU$169&lt;SwaptionFirstMonthPosition+1,$FN213&lt;SwaptionFirstMonthPosition+1,FU$169&gt;SwaptionFirstMonthPosition+SwaptionNumOfMonths+1,$FN213&gt;SwaptionFirstMonthPosition+SwaptionNumOfMonths+1),"",IF($FN213=FU$169,1,IF($FN213&lt;FU$169,INDEX($FO$170:$IH$241,FU$169,$FN213),SUMPRODUCT(INDEX($FO$325:$IH$396,FU$169,1+SwaptionShift):INDEX($FO$325:$IH$396,FU$169,SwaptionMonthsToGo+SwaptionShift),INDEX($FO$245:$IH$316,$FN213-FU$169,73-FU$169+SwaptionShift):INDEX($FO$245:$IH$316,$FN213-FU$169,72-FU$169+SwaptionMonthsToGo+SwaptionShift))/SQRT(SUM(INDEX($FO368:$IH368,1+SwaptionShift):INDEX($FO368:$IH368,SwaptionMonthsToGo+SwaptionShift))*SUM(INDEX($FO$325:$IH$396,FU$169,1+SwaptionShift):INDEX($FO$325:$IH$396,FU$169,SwaptionMonthsToGo+SwaptionShift))))))</f>
        <v/>
      </c>
      <c r="FV213" s="469" t="str">
        <f ca="1">IF(OR(FV$169&lt;SwaptionFirstMonthPosition+1,$FN213&lt;SwaptionFirstMonthPosition+1,FV$169&gt;SwaptionFirstMonthPosition+SwaptionNumOfMonths+1,$FN213&gt;SwaptionFirstMonthPosition+SwaptionNumOfMonths+1),"",IF($FN213=FV$169,1,IF($FN213&lt;FV$169,INDEX($FO$170:$IH$241,FV$169,$FN213),SUMPRODUCT(INDEX($FO$325:$IH$396,FV$169,1+SwaptionShift):INDEX($FO$325:$IH$396,FV$169,SwaptionMonthsToGo+SwaptionShift),INDEX($FO$245:$IH$316,$FN213-FV$169,73-FV$169+SwaptionShift):INDEX($FO$245:$IH$316,$FN213-FV$169,72-FV$169+SwaptionMonthsToGo+SwaptionShift))/SQRT(SUM(INDEX($FO368:$IH368,1+SwaptionShift):INDEX($FO368:$IH368,SwaptionMonthsToGo+SwaptionShift))*SUM(INDEX($FO$325:$IH$396,FV$169,1+SwaptionShift):INDEX($FO$325:$IH$396,FV$169,SwaptionMonthsToGo+SwaptionShift))))))</f>
        <v/>
      </c>
      <c r="FW213" s="469" t="str">
        <f ca="1">IF(OR(FW$169&lt;SwaptionFirstMonthPosition+1,$FN213&lt;SwaptionFirstMonthPosition+1,FW$169&gt;SwaptionFirstMonthPosition+SwaptionNumOfMonths+1,$FN213&gt;SwaptionFirstMonthPosition+SwaptionNumOfMonths+1),"",IF($FN213=FW$169,1,IF($FN213&lt;FW$169,INDEX($FO$170:$IH$241,FW$169,$FN213),SUMPRODUCT(INDEX($FO$325:$IH$396,FW$169,1+SwaptionShift):INDEX($FO$325:$IH$396,FW$169,SwaptionMonthsToGo+SwaptionShift),INDEX($FO$245:$IH$316,$FN213-FW$169,73-FW$169+SwaptionShift):INDEX($FO$245:$IH$316,$FN213-FW$169,72-FW$169+SwaptionMonthsToGo+SwaptionShift))/SQRT(SUM(INDEX($FO368:$IH368,1+SwaptionShift):INDEX($FO368:$IH368,SwaptionMonthsToGo+SwaptionShift))*SUM(INDEX($FO$325:$IH$396,FW$169,1+SwaptionShift):INDEX($FO$325:$IH$396,FW$169,SwaptionMonthsToGo+SwaptionShift))))))</f>
        <v/>
      </c>
      <c r="FX213" s="469" t="str">
        <f ca="1">IF(OR(FX$169&lt;SwaptionFirstMonthPosition+1,$FN213&lt;SwaptionFirstMonthPosition+1,FX$169&gt;SwaptionFirstMonthPosition+SwaptionNumOfMonths+1,$FN213&gt;SwaptionFirstMonthPosition+SwaptionNumOfMonths+1),"",IF($FN213=FX$169,1,IF($FN213&lt;FX$169,INDEX($FO$170:$IH$241,FX$169,$FN213),SUMPRODUCT(INDEX($FO$325:$IH$396,FX$169,1+SwaptionShift):INDEX($FO$325:$IH$396,FX$169,SwaptionMonthsToGo+SwaptionShift),INDEX($FO$245:$IH$316,$FN213-FX$169,73-FX$169+SwaptionShift):INDEX($FO$245:$IH$316,$FN213-FX$169,72-FX$169+SwaptionMonthsToGo+SwaptionShift))/SQRT(SUM(INDEX($FO368:$IH368,1+SwaptionShift):INDEX($FO368:$IH368,SwaptionMonthsToGo+SwaptionShift))*SUM(INDEX($FO$325:$IH$396,FX$169,1+SwaptionShift):INDEX($FO$325:$IH$396,FX$169,SwaptionMonthsToGo+SwaptionShift))))))</f>
        <v/>
      </c>
      <c r="FY213" s="469" t="str">
        <f ca="1">IF(OR(FY$169&lt;SwaptionFirstMonthPosition+1,$FN213&lt;SwaptionFirstMonthPosition+1,FY$169&gt;SwaptionFirstMonthPosition+SwaptionNumOfMonths+1,$FN213&gt;SwaptionFirstMonthPosition+SwaptionNumOfMonths+1),"",IF($FN213=FY$169,1,IF($FN213&lt;FY$169,INDEX($FO$170:$IH$241,FY$169,$FN213),SUMPRODUCT(INDEX($FO$325:$IH$396,FY$169,1+SwaptionShift):INDEX($FO$325:$IH$396,FY$169,SwaptionMonthsToGo+SwaptionShift),INDEX($FO$245:$IH$316,$FN213-FY$169,73-FY$169+SwaptionShift):INDEX($FO$245:$IH$316,$FN213-FY$169,72-FY$169+SwaptionMonthsToGo+SwaptionShift))/SQRT(SUM(INDEX($FO368:$IH368,1+SwaptionShift):INDEX($FO368:$IH368,SwaptionMonthsToGo+SwaptionShift))*SUM(INDEX($FO$325:$IH$396,FY$169,1+SwaptionShift):INDEX($FO$325:$IH$396,FY$169,SwaptionMonthsToGo+SwaptionShift))))))</f>
        <v/>
      </c>
      <c r="FZ213" s="469" t="str">
        <f ca="1">IF(OR(FZ$169&lt;SwaptionFirstMonthPosition+1,$FN213&lt;SwaptionFirstMonthPosition+1,FZ$169&gt;SwaptionFirstMonthPosition+SwaptionNumOfMonths+1,$FN213&gt;SwaptionFirstMonthPosition+SwaptionNumOfMonths+1),"",IF($FN213=FZ$169,1,IF($FN213&lt;FZ$169,INDEX($FO$170:$IH$241,FZ$169,$FN213),SUMPRODUCT(INDEX($FO$325:$IH$396,FZ$169,1+SwaptionShift):INDEX($FO$325:$IH$396,FZ$169,SwaptionMonthsToGo+SwaptionShift),INDEX($FO$245:$IH$316,$FN213-FZ$169,73-FZ$169+SwaptionShift):INDEX($FO$245:$IH$316,$FN213-FZ$169,72-FZ$169+SwaptionMonthsToGo+SwaptionShift))/SQRT(SUM(INDEX($FO368:$IH368,1+SwaptionShift):INDEX($FO368:$IH368,SwaptionMonthsToGo+SwaptionShift))*SUM(INDEX($FO$325:$IH$396,FZ$169,1+SwaptionShift):INDEX($FO$325:$IH$396,FZ$169,SwaptionMonthsToGo+SwaptionShift))))))</f>
        <v/>
      </c>
      <c r="GA213" s="469" t="str">
        <f ca="1">IF(OR(GA$169&lt;SwaptionFirstMonthPosition+1,$FN213&lt;SwaptionFirstMonthPosition+1,GA$169&gt;SwaptionFirstMonthPosition+SwaptionNumOfMonths+1,$FN213&gt;SwaptionFirstMonthPosition+SwaptionNumOfMonths+1),"",IF($FN213=GA$169,1,IF($FN213&lt;GA$169,INDEX($FO$170:$IH$241,GA$169,$FN213),SUMPRODUCT(INDEX($FO$325:$IH$396,GA$169,1+SwaptionShift):INDEX($FO$325:$IH$396,GA$169,SwaptionMonthsToGo+SwaptionShift),INDEX($FO$245:$IH$316,$FN213-GA$169,73-GA$169+SwaptionShift):INDEX($FO$245:$IH$316,$FN213-GA$169,72-GA$169+SwaptionMonthsToGo+SwaptionShift))/SQRT(SUM(INDEX($FO368:$IH368,1+SwaptionShift):INDEX($FO368:$IH368,SwaptionMonthsToGo+SwaptionShift))*SUM(INDEX($FO$325:$IH$396,GA$169,1+SwaptionShift):INDEX($FO$325:$IH$396,GA$169,SwaptionMonthsToGo+SwaptionShift))))))</f>
        <v/>
      </c>
      <c r="GB213" s="469" t="str">
        <f ca="1">IF(OR(GB$169&lt;SwaptionFirstMonthPosition+1,$FN213&lt;SwaptionFirstMonthPosition+1,GB$169&gt;SwaptionFirstMonthPosition+SwaptionNumOfMonths+1,$FN213&gt;SwaptionFirstMonthPosition+SwaptionNumOfMonths+1),"",IF($FN213=GB$169,1,IF($FN213&lt;GB$169,INDEX($FO$170:$IH$241,GB$169,$FN213),SUMPRODUCT(INDEX($FO$325:$IH$396,GB$169,1+SwaptionShift):INDEX($FO$325:$IH$396,GB$169,SwaptionMonthsToGo+SwaptionShift),INDEX($FO$245:$IH$316,$FN213-GB$169,73-GB$169+SwaptionShift):INDEX($FO$245:$IH$316,$FN213-GB$169,72-GB$169+SwaptionMonthsToGo+SwaptionShift))/SQRT(SUM(INDEX($FO368:$IH368,1+SwaptionShift):INDEX($FO368:$IH368,SwaptionMonthsToGo+SwaptionShift))*SUM(INDEX($FO$325:$IH$396,GB$169,1+SwaptionShift):INDEX($FO$325:$IH$396,GB$169,SwaptionMonthsToGo+SwaptionShift))))))</f>
        <v/>
      </c>
      <c r="GC213" s="469" t="str">
        <f ca="1">IF(OR(GC$169&lt;SwaptionFirstMonthPosition+1,$FN213&lt;SwaptionFirstMonthPosition+1,GC$169&gt;SwaptionFirstMonthPosition+SwaptionNumOfMonths+1,$FN213&gt;SwaptionFirstMonthPosition+SwaptionNumOfMonths+1),"",IF($FN213=GC$169,1,IF($FN213&lt;GC$169,INDEX($FO$170:$IH$241,GC$169,$FN213),SUMPRODUCT(INDEX($FO$325:$IH$396,GC$169,1+SwaptionShift):INDEX($FO$325:$IH$396,GC$169,SwaptionMonthsToGo+SwaptionShift),INDEX($FO$245:$IH$316,$FN213-GC$169,73-GC$169+SwaptionShift):INDEX($FO$245:$IH$316,$FN213-GC$169,72-GC$169+SwaptionMonthsToGo+SwaptionShift))/SQRT(SUM(INDEX($FO368:$IH368,1+SwaptionShift):INDEX($FO368:$IH368,SwaptionMonthsToGo+SwaptionShift))*SUM(INDEX($FO$325:$IH$396,GC$169,1+SwaptionShift):INDEX($FO$325:$IH$396,GC$169,SwaptionMonthsToGo+SwaptionShift))))))</f>
        <v/>
      </c>
      <c r="GD213" s="469" t="str">
        <f ca="1">IF(OR(GD$169&lt;SwaptionFirstMonthPosition+1,$FN213&lt;SwaptionFirstMonthPosition+1,GD$169&gt;SwaptionFirstMonthPosition+SwaptionNumOfMonths+1,$FN213&gt;SwaptionFirstMonthPosition+SwaptionNumOfMonths+1),"",IF($FN213=GD$169,1,IF($FN213&lt;GD$169,INDEX($FO$170:$IH$241,GD$169,$FN213),SUMPRODUCT(INDEX($FO$325:$IH$396,GD$169,1+SwaptionShift):INDEX($FO$325:$IH$396,GD$169,SwaptionMonthsToGo+SwaptionShift),INDEX($FO$245:$IH$316,$FN213-GD$169,73-GD$169+SwaptionShift):INDEX($FO$245:$IH$316,$FN213-GD$169,72-GD$169+SwaptionMonthsToGo+SwaptionShift))/SQRT(SUM(INDEX($FO368:$IH368,1+SwaptionShift):INDEX($FO368:$IH368,SwaptionMonthsToGo+SwaptionShift))*SUM(INDEX($FO$325:$IH$396,GD$169,1+SwaptionShift):INDEX($FO$325:$IH$396,GD$169,SwaptionMonthsToGo+SwaptionShift))))))</f>
        <v/>
      </c>
      <c r="GE213" s="469" t="str">
        <f ca="1">IF(OR(GE$169&lt;SwaptionFirstMonthPosition+1,$FN213&lt;SwaptionFirstMonthPosition+1,GE$169&gt;SwaptionFirstMonthPosition+SwaptionNumOfMonths+1,$FN213&gt;SwaptionFirstMonthPosition+SwaptionNumOfMonths+1),"",IF($FN213=GE$169,1,IF($FN213&lt;GE$169,INDEX($FO$170:$IH$241,GE$169,$FN213),SUMPRODUCT(INDEX($FO$325:$IH$396,GE$169,1+SwaptionShift):INDEX($FO$325:$IH$396,GE$169,SwaptionMonthsToGo+SwaptionShift),INDEX($FO$245:$IH$316,$FN213-GE$169,73-GE$169+SwaptionShift):INDEX($FO$245:$IH$316,$FN213-GE$169,72-GE$169+SwaptionMonthsToGo+SwaptionShift))/SQRT(SUM(INDEX($FO368:$IH368,1+SwaptionShift):INDEX($FO368:$IH368,SwaptionMonthsToGo+SwaptionShift))*SUM(INDEX($FO$325:$IH$396,GE$169,1+SwaptionShift):INDEX($FO$325:$IH$396,GE$169,SwaptionMonthsToGo+SwaptionShift))))))</f>
        <v/>
      </c>
      <c r="GF213" s="469" t="str">
        <f ca="1">IF(OR(GF$169&lt;SwaptionFirstMonthPosition+1,$FN213&lt;SwaptionFirstMonthPosition+1,GF$169&gt;SwaptionFirstMonthPosition+SwaptionNumOfMonths+1,$FN213&gt;SwaptionFirstMonthPosition+SwaptionNumOfMonths+1),"",IF($FN213=GF$169,1,IF($FN213&lt;GF$169,INDEX($FO$170:$IH$241,GF$169,$FN213),SUMPRODUCT(INDEX($FO$325:$IH$396,GF$169,1+SwaptionShift):INDEX($FO$325:$IH$396,GF$169,SwaptionMonthsToGo+SwaptionShift),INDEX($FO$245:$IH$316,$FN213-GF$169,73-GF$169+SwaptionShift):INDEX($FO$245:$IH$316,$FN213-GF$169,72-GF$169+SwaptionMonthsToGo+SwaptionShift))/SQRT(SUM(INDEX($FO368:$IH368,1+SwaptionShift):INDEX($FO368:$IH368,SwaptionMonthsToGo+SwaptionShift))*SUM(INDEX($FO$325:$IH$396,GF$169,1+SwaptionShift):INDEX($FO$325:$IH$396,GF$169,SwaptionMonthsToGo+SwaptionShift))))))</f>
        <v/>
      </c>
      <c r="GG213" s="469" t="str">
        <f ca="1">IF(OR(GG$169&lt;SwaptionFirstMonthPosition+1,$FN213&lt;SwaptionFirstMonthPosition+1,GG$169&gt;SwaptionFirstMonthPosition+SwaptionNumOfMonths+1,$FN213&gt;SwaptionFirstMonthPosition+SwaptionNumOfMonths+1),"",IF($FN213=GG$169,1,IF($FN213&lt;GG$169,INDEX($FO$170:$IH$241,GG$169,$FN213),SUMPRODUCT(INDEX($FO$325:$IH$396,GG$169,1+SwaptionShift):INDEX($FO$325:$IH$396,GG$169,SwaptionMonthsToGo+SwaptionShift),INDEX($FO$245:$IH$316,$FN213-GG$169,73-GG$169+SwaptionShift):INDEX($FO$245:$IH$316,$FN213-GG$169,72-GG$169+SwaptionMonthsToGo+SwaptionShift))/SQRT(SUM(INDEX($FO368:$IH368,1+SwaptionShift):INDEX($FO368:$IH368,SwaptionMonthsToGo+SwaptionShift))*SUM(INDEX($FO$325:$IH$396,GG$169,1+SwaptionShift):INDEX($FO$325:$IH$396,GG$169,SwaptionMonthsToGo+SwaptionShift))))))</f>
        <v/>
      </c>
      <c r="GH213" s="469" t="str">
        <f ca="1">IF(OR(GH$169&lt;SwaptionFirstMonthPosition+1,$FN213&lt;SwaptionFirstMonthPosition+1,GH$169&gt;SwaptionFirstMonthPosition+SwaptionNumOfMonths+1,$FN213&gt;SwaptionFirstMonthPosition+SwaptionNumOfMonths+1),"",IF($FN213=GH$169,1,IF($FN213&lt;GH$169,INDEX($FO$170:$IH$241,GH$169,$FN213),SUMPRODUCT(INDEX($FO$325:$IH$396,GH$169,1+SwaptionShift):INDEX($FO$325:$IH$396,GH$169,SwaptionMonthsToGo+SwaptionShift),INDEX($FO$245:$IH$316,$FN213-GH$169,73-GH$169+SwaptionShift):INDEX($FO$245:$IH$316,$FN213-GH$169,72-GH$169+SwaptionMonthsToGo+SwaptionShift))/SQRT(SUM(INDEX($FO368:$IH368,1+SwaptionShift):INDEX($FO368:$IH368,SwaptionMonthsToGo+SwaptionShift))*SUM(INDEX($FO$325:$IH$396,GH$169,1+SwaptionShift):INDEX($FO$325:$IH$396,GH$169,SwaptionMonthsToGo+SwaptionShift))))))</f>
        <v/>
      </c>
      <c r="GI213" s="469" t="str">
        <f ca="1">IF(OR(GI$169&lt;SwaptionFirstMonthPosition+1,$FN213&lt;SwaptionFirstMonthPosition+1,GI$169&gt;SwaptionFirstMonthPosition+SwaptionNumOfMonths+1,$FN213&gt;SwaptionFirstMonthPosition+SwaptionNumOfMonths+1),"",IF($FN213=GI$169,1,IF($FN213&lt;GI$169,INDEX($FO$170:$IH$241,GI$169,$FN213),SUMPRODUCT(INDEX($FO$325:$IH$396,GI$169,1+SwaptionShift):INDEX($FO$325:$IH$396,GI$169,SwaptionMonthsToGo+SwaptionShift),INDEX($FO$245:$IH$316,$FN213-GI$169,73-GI$169+SwaptionShift):INDEX($FO$245:$IH$316,$FN213-GI$169,72-GI$169+SwaptionMonthsToGo+SwaptionShift))/SQRT(SUM(INDEX($FO368:$IH368,1+SwaptionShift):INDEX($FO368:$IH368,SwaptionMonthsToGo+SwaptionShift))*SUM(INDEX($FO$325:$IH$396,GI$169,1+SwaptionShift):INDEX($FO$325:$IH$396,GI$169,SwaptionMonthsToGo+SwaptionShift))))))</f>
        <v/>
      </c>
      <c r="GJ213" s="469" t="str">
        <f ca="1">IF(OR(GJ$169&lt;SwaptionFirstMonthPosition+1,$FN213&lt;SwaptionFirstMonthPosition+1,GJ$169&gt;SwaptionFirstMonthPosition+SwaptionNumOfMonths+1,$FN213&gt;SwaptionFirstMonthPosition+SwaptionNumOfMonths+1),"",IF($FN213=GJ$169,1,IF($FN213&lt;GJ$169,INDEX($FO$170:$IH$241,GJ$169,$FN213),SUMPRODUCT(INDEX($FO$325:$IH$396,GJ$169,1+SwaptionShift):INDEX($FO$325:$IH$396,GJ$169,SwaptionMonthsToGo+SwaptionShift),INDEX($FO$245:$IH$316,$FN213-GJ$169,73-GJ$169+SwaptionShift):INDEX($FO$245:$IH$316,$FN213-GJ$169,72-GJ$169+SwaptionMonthsToGo+SwaptionShift))/SQRT(SUM(INDEX($FO368:$IH368,1+SwaptionShift):INDEX($FO368:$IH368,SwaptionMonthsToGo+SwaptionShift))*SUM(INDEX($FO$325:$IH$396,GJ$169,1+SwaptionShift):INDEX($FO$325:$IH$396,GJ$169,SwaptionMonthsToGo+SwaptionShift))))))</f>
        <v/>
      </c>
      <c r="GK213" s="469" t="str">
        <f ca="1">IF(OR(GK$169&lt;SwaptionFirstMonthPosition+1,$FN213&lt;SwaptionFirstMonthPosition+1,GK$169&gt;SwaptionFirstMonthPosition+SwaptionNumOfMonths+1,$FN213&gt;SwaptionFirstMonthPosition+SwaptionNumOfMonths+1),"",IF($FN213=GK$169,1,IF($FN213&lt;GK$169,INDEX($FO$170:$IH$241,GK$169,$FN213),SUMPRODUCT(INDEX($FO$325:$IH$396,GK$169,1+SwaptionShift):INDEX($FO$325:$IH$396,GK$169,SwaptionMonthsToGo+SwaptionShift),INDEX($FO$245:$IH$316,$FN213-GK$169,73-GK$169+SwaptionShift):INDEX($FO$245:$IH$316,$FN213-GK$169,72-GK$169+SwaptionMonthsToGo+SwaptionShift))/SQRT(SUM(INDEX($FO368:$IH368,1+SwaptionShift):INDEX($FO368:$IH368,SwaptionMonthsToGo+SwaptionShift))*SUM(INDEX($FO$325:$IH$396,GK$169,1+SwaptionShift):INDEX($FO$325:$IH$396,GK$169,SwaptionMonthsToGo+SwaptionShift))))))</f>
        <v/>
      </c>
      <c r="GL213" s="469" t="str">
        <f ca="1">IF(OR(GL$169&lt;SwaptionFirstMonthPosition+1,$FN213&lt;SwaptionFirstMonthPosition+1,GL$169&gt;SwaptionFirstMonthPosition+SwaptionNumOfMonths+1,$FN213&gt;SwaptionFirstMonthPosition+SwaptionNumOfMonths+1),"",IF($FN213=GL$169,1,IF($FN213&lt;GL$169,INDEX($FO$170:$IH$241,GL$169,$FN213),SUMPRODUCT(INDEX($FO$325:$IH$396,GL$169,1+SwaptionShift):INDEX($FO$325:$IH$396,GL$169,SwaptionMonthsToGo+SwaptionShift),INDEX($FO$245:$IH$316,$FN213-GL$169,73-GL$169+SwaptionShift):INDEX($FO$245:$IH$316,$FN213-GL$169,72-GL$169+SwaptionMonthsToGo+SwaptionShift))/SQRT(SUM(INDEX($FO368:$IH368,1+SwaptionShift):INDEX($FO368:$IH368,SwaptionMonthsToGo+SwaptionShift))*SUM(INDEX($FO$325:$IH$396,GL$169,1+SwaptionShift):INDEX($FO$325:$IH$396,GL$169,SwaptionMonthsToGo+SwaptionShift))))))</f>
        <v/>
      </c>
      <c r="GM213" s="469" t="str">
        <f ca="1">IF(OR(GM$169&lt;SwaptionFirstMonthPosition+1,$FN213&lt;SwaptionFirstMonthPosition+1,GM$169&gt;SwaptionFirstMonthPosition+SwaptionNumOfMonths+1,$FN213&gt;SwaptionFirstMonthPosition+SwaptionNumOfMonths+1),"",IF($FN213=GM$169,1,IF($FN213&lt;GM$169,INDEX($FO$170:$IH$241,GM$169,$FN213),SUMPRODUCT(INDEX($FO$325:$IH$396,GM$169,1+SwaptionShift):INDEX($FO$325:$IH$396,GM$169,SwaptionMonthsToGo+SwaptionShift),INDEX($FO$245:$IH$316,$FN213-GM$169,73-GM$169+SwaptionShift):INDEX($FO$245:$IH$316,$FN213-GM$169,72-GM$169+SwaptionMonthsToGo+SwaptionShift))/SQRT(SUM(INDEX($FO368:$IH368,1+SwaptionShift):INDEX($FO368:$IH368,SwaptionMonthsToGo+SwaptionShift))*SUM(INDEX($FO$325:$IH$396,GM$169,1+SwaptionShift):INDEX($FO$325:$IH$396,GM$169,SwaptionMonthsToGo+SwaptionShift))))))</f>
        <v/>
      </c>
      <c r="GN213" s="469" t="str">
        <f ca="1">IF(OR(GN$169&lt;SwaptionFirstMonthPosition+1,$FN213&lt;SwaptionFirstMonthPosition+1,GN$169&gt;SwaptionFirstMonthPosition+SwaptionNumOfMonths+1,$FN213&gt;SwaptionFirstMonthPosition+SwaptionNumOfMonths+1),"",IF($FN213=GN$169,1,IF($FN213&lt;GN$169,INDEX($FO$170:$IH$241,GN$169,$FN213),SUMPRODUCT(INDEX($FO$325:$IH$396,GN$169,1+SwaptionShift):INDEX($FO$325:$IH$396,GN$169,SwaptionMonthsToGo+SwaptionShift),INDEX($FO$245:$IH$316,$FN213-GN$169,73-GN$169+SwaptionShift):INDEX($FO$245:$IH$316,$FN213-GN$169,72-GN$169+SwaptionMonthsToGo+SwaptionShift))/SQRT(SUM(INDEX($FO368:$IH368,1+SwaptionShift):INDEX($FO368:$IH368,SwaptionMonthsToGo+SwaptionShift))*SUM(INDEX($FO$325:$IH$396,GN$169,1+SwaptionShift):INDEX($FO$325:$IH$396,GN$169,SwaptionMonthsToGo+SwaptionShift))))))</f>
        <v/>
      </c>
      <c r="GO213" s="469" t="str">
        <f ca="1">IF(OR(GO$169&lt;SwaptionFirstMonthPosition+1,$FN213&lt;SwaptionFirstMonthPosition+1,GO$169&gt;SwaptionFirstMonthPosition+SwaptionNumOfMonths+1,$FN213&gt;SwaptionFirstMonthPosition+SwaptionNumOfMonths+1),"",IF($FN213=GO$169,1,IF($FN213&lt;GO$169,INDEX($FO$170:$IH$241,GO$169,$FN213),SUMPRODUCT(INDEX($FO$325:$IH$396,GO$169,1+SwaptionShift):INDEX($FO$325:$IH$396,GO$169,SwaptionMonthsToGo+SwaptionShift),INDEX($FO$245:$IH$316,$FN213-GO$169,73-GO$169+SwaptionShift):INDEX($FO$245:$IH$316,$FN213-GO$169,72-GO$169+SwaptionMonthsToGo+SwaptionShift))/SQRT(SUM(INDEX($FO368:$IH368,1+SwaptionShift):INDEX($FO368:$IH368,SwaptionMonthsToGo+SwaptionShift))*SUM(INDEX($FO$325:$IH$396,GO$169,1+SwaptionShift):INDEX($FO$325:$IH$396,GO$169,SwaptionMonthsToGo+SwaptionShift))))))</f>
        <v/>
      </c>
      <c r="GP213" s="469" t="str">
        <f ca="1">IF(OR(GP$169&lt;SwaptionFirstMonthPosition+1,$FN213&lt;SwaptionFirstMonthPosition+1,GP$169&gt;SwaptionFirstMonthPosition+SwaptionNumOfMonths+1,$FN213&gt;SwaptionFirstMonthPosition+SwaptionNumOfMonths+1),"",IF($FN213=GP$169,1,IF($FN213&lt;GP$169,INDEX($FO$170:$IH$241,GP$169,$FN213),SUMPRODUCT(INDEX($FO$325:$IH$396,GP$169,1+SwaptionShift):INDEX($FO$325:$IH$396,GP$169,SwaptionMonthsToGo+SwaptionShift),INDEX($FO$245:$IH$316,$FN213-GP$169,73-GP$169+SwaptionShift):INDEX($FO$245:$IH$316,$FN213-GP$169,72-GP$169+SwaptionMonthsToGo+SwaptionShift))/SQRT(SUM(INDEX($FO368:$IH368,1+SwaptionShift):INDEX($FO368:$IH368,SwaptionMonthsToGo+SwaptionShift))*SUM(INDEX($FO$325:$IH$396,GP$169,1+SwaptionShift):INDEX($FO$325:$IH$396,GP$169,SwaptionMonthsToGo+SwaptionShift))))))</f>
        <v/>
      </c>
      <c r="GQ213" s="469" t="str">
        <f ca="1">IF(OR(GQ$169&lt;SwaptionFirstMonthPosition+1,$FN213&lt;SwaptionFirstMonthPosition+1,GQ$169&gt;SwaptionFirstMonthPosition+SwaptionNumOfMonths+1,$FN213&gt;SwaptionFirstMonthPosition+SwaptionNumOfMonths+1),"",IF($FN213=GQ$169,1,IF($FN213&lt;GQ$169,INDEX($FO$170:$IH$241,GQ$169,$FN213),SUMPRODUCT(INDEX($FO$325:$IH$396,GQ$169,1+SwaptionShift):INDEX($FO$325:$IH$396,GQ$169,SwaptionMonthsToGo+SwaptionShift),INDEX($FO$245:$IH$316,$FN213-GQ$169,73-GQ$169+SwaptionShift):INDEX($FO$245:$IH$316,$FN213-GQ$169,72-GQ$169+SwaptionMonthsToGo+SwaptionShift))/SQRT(SUM(INDEX($FO368:$IH368,1+SwaptionShift):INDEX($FO368:$IH368,SwaptionMonthsToGo+SwaptionShift))*SUM(INDEX($FO$325:$IH$396,GQ$169,1+SwaptionShift):INDEX($FO$325:$IH$396,GQ$169,SwaptionMonthsToGo+SwaptionShift))))))</f>
        <v/>
      </c>
      <c r="GR213" s="469" t="str">
        <f ca="1">IF(OR(GR$169&lt;SwaptionFirstMonthPosition+1,$FN213&lt;SwaptionFirstMonthPosition+1,GR$169&gt;SwaptionFirstMonthPosition+SwaptionNumOfMonths+1,$FN213&gt;SwaptionFirstMonthPosition+SwaptionNumOfMonths+1),"",IF($FN213=GR$169,1,IF($FN213&lt;GR$169,INDEX($FO$170:$IH$241,GR$169,$FN213),SUMPRODUCT(INDEX($FO$325:$IH$396,GR$169,1+SwaptionShift):INDEX($FO$325:$IH$396,GR$169,SwaptionMonthsToGo+SwaptionShift),INDEX($FO$245:$IH$316,$FN213-GR$169,73-GR$169+SwaptionShift):INDEX($FO$245:$IH$316,$FN213-GR$169,72-GR$169+SwaptionMonthsToGo+SwaptionShift))/SQRT(SUM(INDEX($FO368:$IH368,1+SwaptionShift):INDEX($FO368:$IH368,SwaptionMonthsToGo+SwaptionShift))*SUM(INDEX($FO$325:$IH$396,GR$169,1+SwaptionShift):INDEX($FO$325:$IH$396,GR$169,SwaptionMonthsToGo+SwaptionShift))))))</f>
        <v/>
      </c>
      <c r="GS213" s="469" t="str">
        <f ca="1">IF(OR(GS$169&lt;SwaptionFirstMonthPosition+1,$FN213&lt;SwaptionFirstMonthPosition+1,GS$169&gt;SwaptionFirstMonthPosition+SwaptionNumOfMonths+1,$FN213&gt;SwaptionFirstMonthPosition+SwaptionNumOfMonths+1),"",IF($FN213=GS$169,1,IF($FN213&lt;GS$169,INDEX($FO$170:$IH$241,GS$169,$FN213),SUMPRODUCT(INDEX($FO$325:$IH$396,GS$169,1+SwaptionShift):INDEX($FO$325:$IH$396,GS$169,SwaptionMonthsToGo+SwaptionShift),INDEX($FO$245:$IH$316,$FN213-GS$169,73-GS$169+SwaptionShift):INDEX($FO$245:$IH$316,$FN213-GS$169,72-GS$169+SwaptionMonthsToGo+SwaptionShift))/SQRT(SUM(INDEX($FO368:$IH368,1+SwaptionShift):INDEX($FO368:$IH368,SwaptionMonthsToGo+SwaptionShift))*SUM(INDEX($FO$325:$IH$396,GS$169,1+SwaptionShift):INDEX($FO$325:$IH$396,GS$169,SwaptionMonthsToGo+SwaptionShift))))))</f>
        <v/>
      </c>
      <c r="GT213" s="469" t="str">
        <f ca="1">IF(OR(GT$169&lt;SwaptionFirstMonthPosition+1,$FN213&lt;SwaptionFirstMonthPosition+1,GT$169&gt;SwaptionFirstMonthPosition+SwaptionNumOfMonths+1,$FN213&gt;SwaptionFirstMonthPosition+SwaptionNumOfMonths+1),"",IF($FN213=GT$169,1,IF($FN213&lt;GT$169,INDEX($FO$170:$IH$241,GT$169,$FN213),SUMPRODUCT(INDEX($FO$325:$IH$396,GT$169,1+SwaptionShift):INDEX($FO$325:$IH$396,GT$169,SwaptionMonthsToGo+SwaptionShift),INDEX($FO$245:$IH$316,$FN213-GT$169,73-GT$169+SwaptionShift):INDEX($FO$245:$IH$316,$FN213-GT$169,72-GT$169+SwaptionMonthsToGo+SwaptionShift))/SQRT(SUM(INDEX($FO368:$IH368,1+SwaptionShift):INDEX($FO368:$IH368,SwaptionMonthsToGo+SwaptionShift))*SUM(INDEX($FO$325:$IH$396,GT$169,1+SwaptionShift):INDEX($FO$325:$IH$396,GT$169,SwaptionMonthsToGo+SwaptionShift))))))</f>
        <v/>
      </c>
      <c r="GU213" s="469" t="str">
        <f ca="1">IF(OR(GU$169&lt;SwaptionFirstMonthPosition+1,$FN213&lt;SwaptionFirstMonthPosition+1,GU$169&gt;SwaptionFirstMonthPosition+SwaptionNumOfMonths+1,$FN213&gt;SwaptionFirstMonthPosition+SwaptionNumOfMonths+1),"",IF($FN213=GU$169,1,IF($FN213&lt;GU$169,INDEX($FO$170:$IH$241,GU$169,$FN213),SUMPRODUCT(INDEX($FO$325:$IH$396,GU$169,1+SwaptionShift):INDEX($FO$325:$IH$396,GU$169,SwaptionMonthsToGo+SwaptionShift),INDEX($FO$245:$IH$316,$FN213-GU$169,73-GU$169+SwaptionShift):INDEX($FO$245:$IH$316,$FN213-GU$169,72-GU$169+SwaptionMonthsToGo+SwaptionShift))/SQRT(SUM(INDEX($FO368:$IH368,1+SwaptionShift):INDEX($FO368:$IH368,SwaptionMonthsToGo+SwaptionShift))*SUM(INDEX($FO$325:$IH$396,GU$169,1+SwaptionShift):INDEX($FO$325:$IH$396,GU$169,SwaptionMonthsToGo+SwaptionShift))))))</f>
        <v/>
      </c>
      <c r="GV213" s="469" t="str">
        <f ca="1">IF(OR(GV$169&lt;SwaptionFirstMonthPosition+1,$FN213&lt;SwaptionFirstMonthPosition+1,GV$169&gt;SwaptionFirstMonthPosition+SwaptionNumOfMonths+1,$FN213&gt;SwaptionFirstMonthPosition+SwaptionNumOfMonths+1),"",IF($FN213=GV$169,1,IF($FN213&lt;GV$169,INDEX($FO$170:$IH$241,GV$169,$FN213),SUMPRODUCT(INDEX($FO$325:$IH$396,GV$169,1+SwaptionShift):INDEX($FO$325:$IH$396,GV$169,SwaptionMonthsToGo+SwaptionShift),INDEX($FO$245:$IH$316,$FN213-GV$169,73-GV$169+SwaptionShift):INDEX($FO$245:$IH$316,$FN213-GV$169,72-GV$169+SwaptionMonthsToGo+SwaptionShift))/SQRT(SUM(INDEX($FO368:$IH368,1+SwaptionShift):INDEX($FO368:$IH368,SwaptionMonthsToGo+SwaptionShift))*SUM(INDEX($FO$325:$IH$396,GV$169,1+SwaptionShift):INDEX($FO$325:$IH$396,GV$169,SwaptionMonthsToGo+SwaptionShift))))))</f>
        <v/>
      </c>
      <c r="GW213" s="469" t="str">
        <f ca="1">IF(OR(GW$169&lt;SwaptionFirstMonthPosition+1,$FN213&lt;SwaptionFirstMonthPosition+1,GW$169&gt;SwaptionFirstMonthPosition+SwaptionNumOfMonths+1,$FN213&gt;SwaptionFirstMonthPosition+SwaptionNumOfMonths+1),"",IF($FN213=GW$169,1,IF($FN213&lt;GW$169,INDEX($FO$170:$IH$241,GW$169,$FN213),SUMPRODUCT(INDEX($FO$325:$IH$396,GW$169,1+SwaptionShift):INDEX($FO$325:$IH$396,GW$169,SwaptionMonthsToGo+SwaptionShift),INDEX($FO$245:$IH$316,$FN213-GW$169,73-GW$169+SwaptionShift):INDEX($FO$245:$IH$316,$FN213-GW$169,72-GW$169+SwaptionMonthsToGo+SwaptionShift))/SQRT(SUM(INDEX($FO368:$IH368,1+SwaptionShift):INDEX($FO368:$IH368,SwaptionMonthsToGo+SwaptionShift))*SUM(INDEX($FO$325:$IH$396,GW$169,1+SwaptionShift):INDEX($FO$325:$IH$396,GW$169,SwaptionMonthsToGo+SwaptionShift))))))</f>
        <v/>
      </c>
      <c r="GX213" s="469" t="str">
        <f ca="1">IF(OR(GX$169&lt;SwaptionFirstMonthPosition+1,$FN213&lt;SwaptionFirstMonthPosition+1,GX$169&gt;SwaptionFirstMonthPosition+SwaptionNumOfMonths+1,$FN213&gt;SwaptionFirstMonthPosition+SwaptionNumOfMonths+1),"",IF($FN213=GX$169,1,IF($FN213&lt;GX$169,INDEX($FO$170:$IH$241,GX$169,$FN213),SUMPRODUCT(INDEX($FO$325:$IH$396,GX$169,1+SwaptionShift):INDEX($FO$325:$IH$396,GX$169,SwaptionMonthsToGo+SwaptionShift),INDEX($FO$245:$IH$316,$FN213-GX$169,73-GX$169+SwaptionShift):INDEX($FO$245:$IH$316,$FN213-GX$169,72-GX$169+SwaptionMonthsToGo+SwaptionShift))/SQRT(SUM(INDEX($FO368:$IH368,1+SwaptionShift):INDEX($FO368:$IH368,SwaptionMonthsToGo+SwaptionShift))*SUM(INDEX($FO$325:$IH$396,GX$169,1+SwaptionShift):INDEX($FO$325:$IH$396,GX$169,SwaptionMonthsToGo+SwaptionShift))))))</f>
        <v/>
      </c>
      <c r="GY213" s="469" t="str">
        <f ca="1">IF(OR(GY$169&lt;SwaptionFirstMonthPosition+1,$FN213&lt;SwaptionFirstMonthPosition+1,GY$169&gt;SwaptionFirstMonthPosition+SwaptionNumOfMonths+1,$FN213&gt;SwaptionFirstMonthPosition+SwaptionNumOfMonths+1),"",IF($FN213=GY$169,1,IF($FN213&lt;GY$169,INDEX($FO$170:$IH$241,GY$169,$FN213),SUMPRODUCT(INDEX($FO$325:$IH$396,GY$169,1+SwaptionShift):INDEX($FO$325:$IH$396,GY$169,SwaptionMonthsToGo+SwaptionShift),INDEX($FO$245:$IH$316,$FN213-GY$169,73-GY$169+SwaptionShift):INDEX($FO$245:$IH$316,$FN213-GY$169,72-GY$169+SwaptionMonthsToGo+SwaptionShift))/SQRT(SUM(INDEX($FO368:$IH368,1+SwaptionShift):INDEX($FO368:$IH368,SwaptionMonthsToGo+SwaptionShift))*SUM(INDEX($FO$325:$IH$396,GY$169,1+SwaptionShift):INDEX($FO$325:$IH$396,GY$169,SwaptionMonthsToGo+SwaptionShift))))))</f>
        <v/>
      </c>
      <c r="GZ213" s="469" t="str">
        <f ca="1">IF(OR(GZ$169&lt;SwaptionFirstMonthPosition+1,$FN213&lt;SwaptionFirstMonthPosition+1,GZ$169&gt;SwaptionFirstMonthPosition+SwaptionNumOfMonths+1,$FN213&gt;SwaptionFirstMonthPosition+SwaptionNumOfMonths+1),"",IF($FN213=GZ$169,1,IF($FN213&lt;GZ$169,INDEX($FO$170:$IH$241,GZ$169,$FN213),SUMPRODUCT(INDEX($FO$325:$IH$396,GZ$169,1+SwaptionShift):INDEX($FO$325:$IH$396,GZ$169,SwaptionMonthsToGo+SwaptionShift),INDEX($FO$245:$IH$316,$FN213-GZ$169,73-GZ$169+SwaptionShift):INDEX($FO$245:$IH$316,$FN213-GZ$169,72-GZ$169+SwaptionMonthsToGo+SwaptionShift))/SQRT(SUM(INDEX($FO368:$IH368,1+SwaptionShift):INDEX($FO368:$IH368,SwaptionMonthsToGo+SwaptionShift))*SUM(INDEX($FO$325:$IH$396,GZ$169,1+SwaptionShift):INDEX($FO$325:$IH$396,GZ$169,SwaptionMonthsToGo+SwaptionShift))))))</f>
        <v/>
      </c>
      <c r="HA213" s="469" t="str">
        <f ca="1">IF(OR(HA$169&lt;SwaptionFirstMonthPosition+1,$FN213&lt;SwaptionFirstMonthPosition+1,HA$169&gt;SwaptionFirstMonthPosition+SwaptionNumOfMonths+1,$FN213&gt;SwaptionFirstMonthPosition+SwaptionNumOfMonths+1),"",IF($FN213=HA$169,1,IF($FN213&lt;HA$169,INDEX($FO$170:$IH$241,HA$169,$FN213),SUMPRODUCT(INDEX($FO$325:$IH$396,HA$169,1+SwaptionShift):INDEX($FO$325:$IH$396,HA$169,SwaptionMonthsToGo+SwaptionShift),INDEX($FO$245:$IH$316,$FN213-HA$169,73-HA$169+SwaptionShift):INDEX($FO$245:$IH$316,$FN213-HA$169,72-HA$169+SwaptionMonthsToGo+SwaptionShift))/SQRT(SUM(INDEX($FO368:$IH368,1+SwaptionShift):INDEX($FO368:$IH368,SwaptionMonthsToGo+SwaptionShift))*SUM(INDEX($FO$325:$IH$396,HA$169,1+SwaptionShift):INDEX($FO$325:$IH$396,HA$169,SwaptionMonthsToGo+SwaptionShift))))))</f>
        <v/>
      </c>
      <c r="HB213" s="469" t="str">
        <f ca="1">IF(OR(HB$169&lt;SwaptionFirstMonthPosition+1,$FN213&lt;SwaptionFirstMonthPosition+1,HB$169&gt;SwaptionFirstMonthPosition+SwaptionNumOfMonths+1,$FN213&gt;SwaptionFirstMonthPosition+SwaptionNumOfMonths+1),"",IF($FN213=HB$169,1,IF($FN213&lt;HB$169,INDEX($FO$170:$IH$241,HB$169,$FN213),SUMPRODUCT(INDEX($FO$325:$IH$396,HB$169,1+SwaptionShift):INDEX($FO$325:$IH$396,HB$169,SwaptionMonthsToGo+SwaptionShift),INDEX($FO$245:$IH$316,$FN213-HB$169,73-HB$169+SwaptionShift):INDEX($FO$245:$IH$316,$FN213-HB$169,72-HB$169+SwaptionMonthsToGo+SwaptionShift))/SQRT(SUM(INDEX($FO368:$IH368,1+SwaptionShift):INDEX($FO368:$IH368,SwaptionMonthsToGo+SwaptionShift))*SUM(INDEX($FO$325:$IH$396,HB$169,1+SwaptionShift):INDEX($FO$325:$IH$396,HB$169,SwaptionMonthsToGo+SwaptionShift))))))</f>
        <v/>
      </c>
      <c r="HC213" s="469" t="str">
        <f ca="1">IF(OR(HC$169&lt;SwaptionFirstMonthPosition+1,$FN213&lt;SwaptionFirstMonthPosition+1,HC$169&gt;SwaptionFirstMonthPosition+SwaptionNumOfMonths+1,$FN213&gt;SwaptionFirstMonthPosition+SwaptionNumOfMonths+1),"",IF($FN213=HC$169,1,IF($FN213&lt;HC$169,INDEX($FO$170:$IH$241,HC$169,$FN213),SUMPRODUCT(INDEX($FO$325:$IH$396,HC$169,1+SwaptionShift):INDEX($FO$325:$IH$396,HC$169,SwaptionMonthsToGo+SwaptionShift),INDEX($FO$245:$IH$316,$FN213-HC$169,73-HC$169+SwaptionShift):INDEX($FO$245:$IH$316,$FN213-HC$169,72-HC$169+SwaptionMonthsToGo+SwaptionShift))/SQRT(SUM(INDEX($FO368:$IH368,1+SwaptionShift):INDEX($FO368:$IH368,SwaptionMonthsToGo+SwaptionShift))*SUM(INDEX($FO$325:$IH$396,HC$169,1+SwaptionShift):INDEX($FO$325:$IH$396,HC$169,SwaptionMonthsToGo+SwaptionShift))))))</f>
        <v/>
      </c>
      <c r="HD213" s="469" t="str">
        <f ca="1">IF(OR(HD$169&lt;SwaptionFirstMonthPosition+1,$FN213&lt;SwaptionFirstMonthPosition+1,HD$169&gt;SwaptionFirstMonthPosition+SwaptionNumOfMonths+1,$FN213&gt;SwaptionFirstMonthPosition+SwaptionNumOfMonths+1),"",IF($FN213=HD$169,1,IF($FN213&lt;HD$169,INDEX($FO$170:$IH$241,HD$169,$FN213),SUMPRODUCT(INDEX($FO$325:$IH$396,HD$169,1+SwaptionShift):INDEX($FO$325:$IH$396,HD$169,SwaptionMonthsToGo+SwaptionShift),INDEX($FO$245:$IH$316,$FN213-HD$169,73-HD$169+SwaptionShift):INDEX($FO$245:$IH$316,$FN213-HD$169,72-HD$169+SwaptionMonthsToGo+SwaptionShift))/SQRT(SUM(INDEX($FO368:$IH368,1+SwaptionShift):INDEX($FO368:$IH368,SwaptionMonthsToGo+SwaptionShift))*SUM(INDEX($FO$325:$IH$396,HD$169,1+SwaptionShift):INDEX($FO$325:$IH$396,HD$169,SwaptionMonthsToGo+SwaptionShift))))))</f>
        <v/>
      </c>
      <c r="HE213" s="469" t="str">
        <f ca="1">IF(OR(HE$169&lt;SwaptionFirstMonthPosition+1,$FN213&lt;SwaptionFirstMonthPosition+1,HE$169&gt;SwaptionFirstMonthPosition+SwaptionNumOfMonths+1,$FN213&gt;SwaptionFirstMonthPosition+SwaptionNumOfMonths+1),"",IF($FN213=HE$169,1,IF($FN213&lt;HE$169,INDEX($FO$170:$IH$241,HE$169,$FN213),SUMPRODUCT(INDEX($FO$325:$IH$396,HE$169,1+SwaptionShift):INDEX($FO$325:$IH$396,HE$169,SwaptionMonthsToGo+SwaptionShift),INDEX($FO$245:$IH$316,$FN213-HE$169,73-HE$169+SwaptionShift):INDEX($FO$245:$IH$316,$FN213-HE$169,72-HE$169+SwaptionMonthsToGo+SwaptionShift))/SQRT(SUM(INDEX($FO368:$IH368,1+SwaptionShift):INDEX($FO368:$IH368,SwaptionMonthsToGo+SwaptionShift))*SUM(INDEX($FO$325:$IH$396,HE$169,1+SwaptionShift):INDEX($FO$325:$IH$396,HE$169,SwaptionMonthsToGo+SwaptionShift))))))</f>
        <v/>
      </c>
      <c r="HF213" s="469" t="str">
        <f ca="1">IF(OR(HF$169&lt;SwaptionFirstMonthPosition+1,$FN213&lt;SwaptionFirstMonthPosition+1,HF$169&gt;SwaptionFirstMonthPosition+SwaptionNumOfMonths+1,$FN213&gt;SwaptionFirstMonthPosition+SwaptionNumOfMonths+1),"",IF($FN213=HF$169,1,IF($FN213&lt;HF$169,INDEX($FO$170:$IH$241,HF$169,$FN213),SUMPRODUCT(INDEX($FO$325:$IH$396,HF$169,1+SwaptionShift):INDEX($FO$325:$IH$396,HF$169,SwaptionMonthsToGo+SwaptionShift),INDEX($FO$245:$IH$316,$FN213-HF$169,73-HF$169+SwaptionShift):INDEX($FO$245:$IH$316,$FN213-HF$169,72-HF$169+SwaptionMonthsToGo+SwaptionShift))/SQRT(SUM(INDEX($FO368:$IH368,1+SwaptionShift):INDEX($FO368:$IH368,SwaptionMonthsToGo+SwaptionShift))*SUM(INDEX($FO$325:$IH$396,HF$169,1+SwaptionShift):INDEX($FO$325:$IH$396,HF$169,SwaptionMonthsToGo+SwaptionShift))))))</f>
        <v/>
      </c>
      <c r="HG213" s="469" t="str">
        <f ca="1">IF(OR(HG$169&lt;SwaptionFirstMonthPosition+1,$FN213&lt;SwaptionFirstMonthPosition+1,HG$169&gt;SwaptionFirstMonthPosition+SwaptionNumOfMonths+1,$FN213&gt;SwaptionFirstMonthPosition+SwaptionNumOfMonths+1),"",IF($FN213=HG$169,1,IF($FN213&lt;HG$169,INDEX($FO$170:$IH$241,HG$169,$FN213),SUMPRODUCT(INDEX($FO$325:$IH$396,HG$169,1+SwaptionShift):INDEX($FO$325:$IH$396,HG$169,SwaptionMonthsToGo+SwaptionShift),INDEX($FO$245:$IH$316,$FN213-HG$169,73-HG$169+SwaptionShift):INDEX($FO$245:$IH$316,$FN213-HG$169,72-HG$169+SwaptionMonthsToGo+SwaptionShift))/SQRT(SUM(INDEX($FO368:$IH368,1+SwaptionShift):INDEX($FO368:$IH368,SwaptionMonthsToGo+SwaptionShift))*SUM(INDEX($FO$325:$IH$396,HG$169,1+SwaptionShift):INDEX($FO$325:$IH$396,HG$169,SwaptionMonthsToGo+SwaptionShift))))))</f>
        <v/>
      </c>
      <c r="HH213" s="469" t="str">
        <f ca="1">IF(OR(HH$169&lt;SwaptionFirstMonthPosition+1,$FN213&lt;SwaptionFirstMonthPosition+1,HH$169&gt;SwaptionFirstMonthPosition+SwaptionNumOfMonths+1,$FN213&gt;SwaptionFirstMonthPosition+SwaptionNumOfMonths+1),"",IF($FN213=HH$169,1,IF($FN213&lt;HH$169,INDEX($FO$170:$IH$241,HH$169,$FN213),SUMPRODUCT(INDEX($FO$325:$IH$396,HH$169,1+SwaptionShift):INDEX($FO$325:$IH$396,HH$169,SwaptionMonthsToGo+SwaptionShift),INDEX($FO$245:$IH$316,$FN213-HH$169,73-HH$169+SwaptionShift):INDEX($FO$245:$IH$316,$FN213-HH$169,72-HH$169+SwaptionMonthsToGo+SwaptionShift))/SQRT(SUM(INDEX($FO368:$IH368,1+SwaptionShift):INDEX($FO368:$IH368,SwaptionMonthsToGo+SwaptionShift))*SUM(INDEX($FO$325:$IH$396,HH$169,1+SwaptionShift):INDEX($FO$325:$IH$396,HH$169,SwaptionMonthsToGo+SwaptionShift))))))</f>
        <v/>
      </c>
      <c r="HI213" s="469" t="str">
        <f ca="1">IF(OR(HI$169&lt;SwaptionFirstMonthPosition+1,$FN213&lt;SwaptionFirstMonthPosition+1,HI$169&gt;SwaptionFirstMonthPosition+SwaptionNumOfMonths+1,$FN213&gt;SwaptionFirstMonthPosition+SwaptionNumOfMonths+1),"",IF($FN213=HI$169,1,IF($FN213&lt;HI$169,INDEX($FO$170:$IH$241,HI$169,$FN213),SUMPRODUCT(INDEX($FO$325:$IH$396,HI$169,1+SwaptionShift):INDEX($FO$325:$IH$396,HI$169,SwaptionMonthsToGo+SwaptionShift),INDEX($FO$245:$IH$316,$FN213-HI$169,73-HI$169+SwaptionShift):INDEX($FO$245:$IH$316,$FN213-HI$169,72-HI$169+SwaptionMonthsToGo+SwaptionShift))/SQRT(SUM(INDEX($FO368:$IH368,1+SwaptionShift):INDEX($FO368:$IH368,SwaptionMonthsToGo+SwaptionShift))*SUM(INDEX($FO$325:$IH$396,HI$169,1+SwaptionShift):INDEX($FO$325:$IH$396,HI$169,SwaptionMonthsToGo+SwaptionShift))))))</f>
        <v/>
      </c>
      <c r="HJ213" s="469" t="str">
        <f ca="1">IF(OR(HJ$169&lt;SwaptionFirstMonthPosition+1,$FN213&lt;SwaptionFirstMonthPosition+1,HJ$169&gt;SwaptionFirstMonthPosition+SwaptionNumOfMonths+1,$FN213&gt;SwaptionFirstMonthPosition+SwaptionNumOfMonths+1),"",IF($FN213=HJ$169,1,IF($FN213&lt;HJ$169,INDEX($FO$170:$IH$241,HJ$169,$FN213),SUMPRODUCT(INDEX($FO$325:$IH$396,HJ$169,1+SwaptionShift):INDEX($FO$325:$IH$396,HJ$169,SwaptionMonthsToGo+SwaptionShift),INDEX($FO$245:$IH$316,$FN213-HJ$169,73-HJ$169+SwaptionShift):INDEX($FO$245:$IH$316,$FN213-HJ$169,72-HJ$169+SwaptionMonthsToGo+SwaptionShift))/SQRT(SUM(INDEX($FO368:$IH368,1+SwaptionShift):INDEX($FO368:$IH368,SwaptionMonthsToGo+SwaptionShift))*SUM(INDEX($FO$325:$IH$396,HJ$169,1+SwaptionShift):INDEX($FO$325:$IH$396,HJ$169,SwaptionMonthsToGo+SwaptionShift))))))</f>
        <v/>
      </c>
      <c r="HK213" s="469" t="str">
        <f ca="1">IF(OR(HK$169&lt;SwaptionFirstMonthPosition+1,$FN213&lt;SwaptionFirstMonthPosition+1,HK$169&gt;SwaptionFirstMonthPosition+SwaptionNumOfMonths+1,$FN213&gt;SwaptionFirstMonthPosition+SwaptionNumOfMonths+1),"",IF($FN213=HK$169,1,IF($FN213&lt;HK$169,INDEX($FO$170:$IH$241,HK$169,$FN213),SUMPRODUCT(INDEX($FO$325:$IH$396,HK$169,1+SwaptionShift):INDEX($FO$325:$IH$396,HK$169,SwaptionMonthsToGo+SwaptionShift),INDEX($FO$245:$IH$316,$FN213-HK$169,73-HK$169+SwaptionShift):INDEX($FO$245:$IH$316,$FN213-HK$169,72-HK$169+SwaptionMonthsToGo+SwaptionShift))/SQRT(SUM(INDEX($FO368:$IH368,1+SwaptionShift):INDEX($FO368:$IH368,SwaptionMonthsToGo+SwaptionShift))*SUM(INDEX($FO$325:$IH$396,HK$169,1+SwaptionShift):INDEX($FO$325:$IH$396,HK$169,SwaptionMonthsToGo+SwaptionShift))))))</f>
        <v/>
      </c>
      <c r="HL213" s="469" t="str">
        <f ca="1">IF(OR(HL$169&lt;SwaptionFirstMonthPosition+1,$FN213&lt;SwaptionFirstMonthPosition+1,HL$169&gt;SwaptionFirstMonthPosition+SwaptionNumOfMonths+1,$FN213&gt;SwaptionFirstMonthPosition+SwaptionNumOfMonths+1),"",IF($FN213=HL$169,1,IF($FN213&lt;HL$169,INDEX($FO$170:$IH$241,HL$169,$FN213),SUMPRODUCT(INDEX($FO$325:$IH$396,HL$169,1+SwaptionShift):INDEX($FO$325:$IH$396,HL$169,SwaptionMonthsToGo+SwaptionShift),INDEX($FO$245:$IH$316,$FN213-HL$169,73-HL$169+SwaptionShift):INDEX($FO$245:$IH$316,$FN213-HL$169,72-HL$169+SwaptionMonthsToGo+SwaptionShift))/SQRT(SUM(INDEX($FO368:$IH368,1+SwaptionShift):INDEX($FO368:$IH368,SwaptionMonthsToGo+SwaptionShift))*SUM(INDEX($FO$325:$IH$396,HL$169,1+SwaptionShift):INDEX($FO$325:$IH$396,HL$169,SwaptionMonthsToGo+SwaptionShift))))))</f>
        <v/>
      </c>
      <c r="HM213" s="469" t="str">
        <f ca="1">IF(OR(HM$169&lt;SwaptionFirstMonthPosition+1,$FN213&lt;SwaptionFirstMonthPosition+1,HM$169&gt;SwaptionFirstMonthPosition+SwaptionNumOfMonths+1,$FN213&gt;SwaptionFirstMonthPosition+SwaptionNumOfMonths+1),"",IF($FN213=HM$169,1,IF($FN213&lt;HM$169,INDEX($FO$170:$IH$241,HM$169,$FN213),SUMPRODUCT(INDEX($FO$325:$IH$396,HM$169,1+SwaptionShift):INDEX($FO$325:$IH$396,HM$169,SwaptionMonthsToGo+SwaptionShift),INDEX($FO$245:$IH$316,$FN213-HM$169,73-HM$169+SwaptionShift):INDEX($FO$245:$IH$316,$FN213-HM$169,72-HM$169+SwaptionMonthsToGo+SwaptionShift))/SQRT(SUM(INDEX($FO368:$IH368,1+SwaptionShift):INDEX($FO368:$IH368,SwaptionMonthsToGo+SwaptionShift))*SUM(INDEX($FO$325:$IH$396,HM$169,1+SwaptionShift):INDEX($FO$325:$IH$396,HM$169,SwaptionMonthsToGo+SwaptionShift))))))</f>
        <v/>
      </c>
      <c r="HN213" s="469" t="str">
        <f ca="1">IF(OR(HN$169&lt;SwaptionFirstMonthPosition+1,$FN213&lt;SwaptionFirstMonthPosition+1,HN$169&gt;SwaptionFirstMonthPosition+SwaptionNumOfMonths+1,$FN213&gt;SwaptionFirstMonthPosition+SwaptionNumOfMonths+1),"",IF($FN213=HN$169,1,IF($FN213&lt;HN$169,INDEX($FO$170:$IH$241,HN$169,$FN213),SUMPRODUCT(INDEX($FO$325:$IH$396,HN$169,1+SwaptionShift):INDEX($FO$325:$IH$396,HN$169,SwaptionMonthsToGo+SwaptionShift),INDEX($FO$245:$IH$316,$FN213-HN$169,73-HN$169+SwaptionShift):INDEX($FO$245:$IH$316,$FN213-HN$169,72-HN$169+SwaptionMonthsToGo+SwaptionShift))/SQRT(SUM(INDEX($FO368:$IH368,1+SwaptionShift):INDEX($FO368:$IH368,SwaptionMonthsToGo+SwaptionShift))*SUM(INDEX($FO$325:$IH$396,HN$169,1+SwaptionShift):INDEX($FO$325:$IH$396,HN$169,SwaptionMonthsToGo+SwaptionShift))))))</f>
        <v/>
      </c>
      <c r="HO213" s="469" t="str">
        <f ca="1">IF(OR(HO$169&lt;SwaptionFirstMonthPosition+1,$FN213&lt;SwaptionFirstMonthPosition+1,HO$169&gt;SwaptionFirstMonthPosition+SwaptionNumOfMonths+1,$FN213&gt;SwaptionFirstMonthPosition+SwaptionNumOfMonths+1),"",IF($FN213=HO$169,1,IF($FN213&lt;HO$169,INDEX($FO$170:$IH$241,HO$169,$FN213),SUMPRODUCT(INDEX($FO$325:$IH$396,HO$169,1+SwaptionShift):INDEX($FO$325:$IH$396,HO$169,SwaptionMonthsToGo+SwaptionShift),INDEX($FO$245:$IH$316,$FN213-HO$169,73-HO$169+SwaptionShift):INDEX($FO$245:$IH$316,$FN213-HO$169,72-HO$169+SwaptionMonthsToGo+SwaptionShift))/SQRT(SUM(INDEX($FO368:$IH368,1+SwaptionShift):INDEX($FO368:$IH368,SwaptionMonthsToGo+SwaptionShift))*SUM(INDEX($FO$325:$IH$396,HO$169,1+SwaptionShift):INDEX($FO$325:$IH$396,HO$169,SwaptionMonthsToGo+SwaptionShift))))))</f>
        <v/>
      </c>
      <c r="HP213" s="469" t="str">
        <f ca="1">IF(OR(HP$169&lt;SwaptionFirstMonthPosition+1,$FN213&lt;SwaptionFirstMonthPosition+1,HP$169&gt;SwaptionFirstMonthPosition+SwaptionNumOfMonths+1,$FN213&gt;SwaptionFirstMonthPosition+SwaptionNumOfMonths+1),"",IF($FN213=HP$169,1,IF($FN213&lt;HP$169,INDEX($FO$170:$IH$241,HP$169,$FN213),SUMPRODUCT(INDEX($FO$325:$IH$396,HP$169,1+SwaptionShift):INDEX($FO$325:$IH$396,HP$169,SwaptionMonthsToGo+SwaptionShift),INDEX($FO$245:$IH$316,$FN213-HP$169,73-HP$169+SwaptionShift):INDEX($FO$245:$IH$316,$FN213-HP$169,72-HP$169+SwaptionMonthsToGo+SwaptionShift))/SQRT(SUM(INDEX($FO368:$IH368,1+SwaptionShift):INDEX($FO368:$IH368,SwaptionMonthsToGo+SwaptionShift))*SUM(INDEX($FO$325:$IH$396,HP$169,1+SwaptionShift):INDEX($FO$325:$IH$396,HP$169,SwaptionMonthsToGo+SwaptionShift))))))</f>
        <v/>
      </c>
      <c r="HQ213" s="469" t="str">
        <f ca="1">IF(OR(HQ$169&lt;SwaptionFirstMonthPosition+1,$FN213&lt;SwaptionFirstMonthPosition+1,HQ$169&gt;SwaptionFirstMonthPosition+SwaptionNumOfMonths+1,$FN213&gt;SwaptionFirstMonthPosition+SwaptionNumOfMonths+1),"",IF($FN213=HQ$169,1,IF($FN213&lt;HQ$169,INDEX($FO$170:$IH$241,HQ$169,$FN213),SUMPRODUCT(INDEX($FO$325:$IH$396,HQ$169,1+SwaptionShift):INDEX($FO$325:$IH$396,HQ$169,SwaptionMonthsToGo+SwaptionShift),INDEX($FO$245:$IH$316,$FN213-HQ$169,73-HQ$169+SwaptionShift):INDEX($FO$245:$IH$316,$FN213-HQ$169,72-HQ$169+SwaptionMonthsToGo+SwaptionShift))/SQRT(SUM(INDEX($FO368:$IH368,1+SwaptionShift):INDEX($FO368:$IH368,SwaptionMonthsToGo+SwaptionShift))*SUM(INDEX($FO$325:$IH$396,HQ$169,1+SwaptionShift):INDEX($FO$325:$IH$396,HQ$169,SwaptionMonthsToGo+SwaptionShift))))))</f>
        <v/>
      </c>
      <c r="HR213" s="469" t="str">
        <f ca="1">IF(OR(HR$169&lt;SwaptionFirstMonthPosition+1,$FN213&lt;SwaptionFirstMonthPosition+1,HR$169&gt;SwaptionFirstMonthPosition+SwaptionNumOfMonths+1,$FN213&gt;SwaptionFirstMonthPosition+SwaptionNumOfMonths+1),"",IF($FN213=HR$169,1,IF($FN213&lt;HR$169,INDEX($FO$170:$IH$241,HR$169,$FN213),SUMPRODUCT(INDEX($FO$325:$IH$396,HR$169,1+SwaptionShift):INDEX($FO$325:$IH$396,HR$169,SwaptionMonthsToGo+SwaptionShift),INDEX($FO$245:$IH$316,$FN213-HR$169,73-HR$169+SwaptionShift):INDEX($FO$245:$IH$316,$FN213-HR$169,72-HR$169+SwaptionMonthsToGo+SwaptionShift))/SQRT(SUM(INDEX($FO368:$IH368,1+SwaptionShift):INDEX($FO368:$IH368,SwaptionMonthsToGo+SwaptionShift))*SUM(INDEX($FO$325:$IH$396,HR$169,1+SwaptionShift):INDEX($FO$325:$IH$396,HR$169,SwaptionMonthsToGo+SwaptionShift))))))</f>
        <v/>
      </c>
      <c r="HS213" s="469" t="str">
        <f ca="1">IF(OR(HS$169&lt;SwaptionFirstMonthPosition+1,$FN213&lt;SwaptionFirstMonthPosition+1,HS$169&gt;SwaptionFirstMonthPosition+SwaptionNumOfMonths+1,$FN213&gt;SwaptionFirstMonthPosition+SwaptionNumOfMonths+1),"",IF($FN213=HS$169,1,IF($FN213&lt;HS$169,INDEX($FO$170:$IH$241,HS$169,$FN213),SUMPRODUCT(INDEX($FO$325:$IH$396,HS$169,1+SwaptionShift):INDEX($FO$325:$IH$396,HS$169,SwaptionMonthsToGo+SwaptionShift),INDEX($FO$245:$IH$316,$FN213-HS$169,73-HS$169+SwaptionShift):INDEX($FO$245:$IH$316,$FN213-HS$169,72-HS$169+SwaptionMonthsToGo+SwaptionShift))/SQRT(SUM(INDEX($FO368:$IH368,1+SwaptionShift):INDEX($FO368:$IH368,SwaptionMonthsToGo+SwaptionShift))*SUM(INDEX($FO$325:$IH$396,HS$169,1+SwaptionShift):INDEX($FO$325:$IH$396,HS$169,SwaptionMonthsToGo+SwaptionShift))))))</f>
        <v/>
      </c>
      <c r="HT213" s="469" t="str">
        <f ca="1">IF(OR(HT$169&lt;SwaptionFirstMonthPosition+1,$FN213&lt;SwaptionFirstMonthPosition+1,HT$169&gt;SwaptionFirstMonthPosition+SwaptionNumOfMonths+1,$FN213&gt;SwaptionFirstMonthPosition+SwaptionNumOfMonths+1),"",IF($FN213=HT$169,1,IF($FN213&lt;HT$169,INDEX($FO$170:$IH$241,HT$169,$FN213),SUMPRODUCT(INDEX($FO$325:$IH$396,HT$169,1+SwaptionShift):INDEX($FO$325:$IH$396,HT$169,SwaptionMonthsToGo+SwaptionShift),INDEX($FO$245:$IH$316,$FN213-HT$169,73-HT$169+SwaptionShift):INDEX($FO$245:$IH$316,$FN213-HT$169,72-HT$169+SwaptionMonthsToGo+SwaptionShift))/SQRT(SUM(INDEX($FO368:$IH368,1+SwaptionShift):INDEX($FO368:$IH368,SwaptionMonthsToGo+SwaptionShift))*SUM(INDEX($FO$325:$IH$396,HT$169,1+SwaptionShift):INDEX($FO$325:$IH$396,HT$169,SwaptionMonthsToGo+SwaptionShift))))))</f>
        <v/>
      </c>
      <c r="HU213" s="469" t="str">
        <f ca="1">IF(OR(HU$169&lt;SwaptionFirstMonthPosition+1,$FN213&lt;SwaptionFirstMonthPosition+1,HU$169&gt;SwaptionFirstMonthPosition+SwaptionNumOfMonths+1,$FN213&gt;SwaptionFirstMonthPosition+SwaptionNumOfMonths+1),"",IF($FN213=HU$169,1,IF($FN213&lt;HU$169,INDEX($FO$170:$IH$241,HU$169,$FN213),SUMPRODUCT(INDEX($FO$325:$IH$396,HU$169,1+SwaptionShift):INDEX($FO$325:$IH$396,HU$169,SwaptionMonthsToGo+SwaptionShift),INDEX($FO$245:$IH$316,$FN213-HU$169,73-HU$169+SwaptionShift):INDEX($FO$245:$IH$316,$FN213-HU$169,72-HU$169+SwaptionMonthsToGo+SwaptionShift))/SQRT(SUM(INDEX($FO368:$IH368,1+SwaptionShift):INDEX($FO368:$IH368,SwaptionMonthsToGo+SwaptionShift))*SUM(INDEX($FO$325:$IH$396,HU$169,1+SwaptionShift):INDEX($FO$325:$IH$396,HU$169,SwaptionMonthsToGo+SwaptionShift))))))</f>
        <v/>
      </c>
      <c r="HV213" s="469" t="str">
        <f ca="1">IF(OR(HV$169&lt;SwaptionFirstMonthPosition+1,$FN213&lt;SwaptionFirstMonthPosition+1,HV$169&gt;SwaptionFirstMonthPosition+SwaptionNumOfMonths+1,$FN213&gt;SwaptionFirstMonthPosition+SwaptionNumOfMonths+1),"",IF($FN213=HV$169,1,IF($FN213&lt;HV$169,INDEX($FO$170:$IH$241,HV$169,$FN213),SUMPRODUCT(INDEX($FO$325:$IH$396,HV$169,1+SwaptionShift):INDEX($FO$325:$IH$396,HV$169,SwaptionMonthsToGo+SwaptionShift),INDEX($FO$245:$IH$316,$FN213-HV$169,73-HV$169+SwaptionShift):INDEX($FO$245:$IH$316,$FN213-HV$169,72-HV$169+SwaptionMonthsToGo+SwaptionShift))/SQRT(SUM(INDEX($FO368:$IH368,1+SwaptionShift):INDEX($FO368:$IH368,SwaptionMonthsToGo+SwaptionShift))*SUM(INDEX($FO$325:$IH$396,HV$169,1+SwaptionShift):INDEX($FO$325:$IH$396,HV$169,SwaptionMonthsToGo+SwaptionShift))))))</f>
        <v/>
      </c>
      <c r="HW213" s="469" t="str">
        <f ca="1">IF(OR(HW$169&lt;SwaptionFirstMonthPosition+1,$FN213&lt;SwaptionFirstMonthPosition+1,HW$169&gt;SwaptionFirstMonthPosition+SwaptionNumOfMonths+1,$FN213&gt;SwaptionFirstMonthPosition+SwaptionNumOfMonths+1),"",IF($FN213=HW$169,1,IF($FN213&lt;HW$169,INDEX($FO$170:$IH$241,HW$169,$FN213),SUMPRODUCT(INDEX($FO$325:$IH$396,HW$169,1+SwaptionShift):INDEX($FO$325:$IH$396,HW$169,SwaptionMonthsToGo+SwaptionShift),INDEX($FO$245:$IH$316,$FN213-HW$169,73-HW$169+SwaptionShift):INDEX($FO$245:$IH$316,$FN213-HW$169,72-HW$169+SwaptionMonthsToGo+SwaptionShift))/SQRT(SUM(INDEX($FO368:$IH368,1+SwaptionShift):INDEX($FO368:$IH368,SwaptionMonthsToGo+SwaptionShift))*SUM(INDEX($FO$325:$IH$396,HW$169,1+SwaptionShift):INDEX($FO$325:$IH$396,HW$169,SwaptionMonthsToGo+SwaptionShift))))))</f>
        <v/>
      </c>
      <c r="HX213" s="469" t="str">
        <f ca="1">IF(OR(HX$169&lt;SwaptionFirstMonthPosition+1,$FN213&lt;SwaptionFirstMonthPosition+1,HX$169&gt;SwaptionFirstMonthPosition+SwaptionNumOfMonths+1,$FN213&gt;SwaptionFirstMonthPosition+SwaptionNumOfMonths+1),"",IF($FN213=HX$169,1,IF($FN213&lt;HX$169,INDEX($FO$170:$IH$241,HX$169,$FN213),SUMPRODUCT(INDEX($FO$325:$IH$396,HX$169,1+SwaptionShift):INDEX($FO$325:$IH$396,HX$169,SwaptionMonthsToGo+SwaptionShift),INDEX($FO$245:$IH$316,$FN213-HX$169,73-HX$169+SwaptionShift):INDEX($FO$245:$IH$316,$FN213-HX$169,72-HX$169+SwaptionMonthsToGo+SwaptionShift))/SQRT(SUM(INDEX($FO368:$IH368,1+SwaptionShift):INDEX($FO368:$IH368,SwaptionMonthsToGo+SwaptionShift))*SUM(INDEX($FO$325:$IH$396,HX$169,1+SwaptionShift):INDEX($FO$325:$IH$396,HX$169,SwaptionMonthsToGo+SwaptionShift))))))</f>
        <v/>
      </c>
      <c r="HY213" s="469" t="str">
        <f ca="1">IF(OR(HY$169&lt;SwaptionFirstMonthPosition+1,$FN213&lt;SwaptionFirstMonthPosition+1,HY$169&gt;SwaptionFirstMonthPosition+SwaptionNumOfMonths+1,$FN213&gt;SwaptionFirstMonthPosition+SwaptionNumOfMonths+1),"",IF($FN213=HY$169,1,IF($FN213&lt;HY$169,INDEX($FO$170:$IH$241,HY$169,$FN213),SUMPRODUCT(INDEX($FO$325:$IH$396,HY$169,1+SwaptionShift):INDEX($FO$325:$IH$396,HY$169,SwaptionMonthsToGo+SwaptionShift),INDEX($FO$245:$IH$316,$FN213-HY$169,73-HY$169+SwaptionShift):INDEX($FO$245:$IH$316,$FN213-HY$169,72-HY$169+SwaptionMonthsToGo+SwaptionShift))/SQRT(SUM(INDEX($FO368:$IH368,1+SwaptionShift):INDEX($FO368:$IH368,SwaptionMonthsToGo+SwaptionShift))*SUM(INDEX($FO$325:$IH$396,HY$169,1+SwaptionShift):INDEX($FO$325:$IH$396,HY$169,SwaptionMonthsToGo+SwaptionShift))))))</f>
        <v/>
      </c>
      <c r="HZ213" s="469" t="str">
        <f ca="1">IF(OR(HZ$169&lt;SwaptionFirstMonthPosition+1,$FN213&lt;SwaptionFirstMonthPosition+1,HZ$169&gt;SwaptionFirstMonthPosition+SwaptionNumOfMonths+1,$FN213&gt;SwaptionFirstMonthPosition+SwaptionNumOfMonths+1),"",IF($FN213=HZ$169,1,IF($FN213&lt;HZ$169,INDEX($FO$170:$IH$241,HZ$169,$FN213),SUMPRODUCT(INDEX($FO$325:$IH$396,HZ$169,1+SwaptionShift):INDEX($FO$325:$IH$396,HZ$169,SwaptionMonthsToGo+SwaptionShift),INDEX($FO$245:$IH$316,$FN213-HZ$169,73-HZ$169+SwaptionShift):INDEX($FO$245:$IH$316,$FN213-HZ$169,72-HZ$169+SwaptionMonthsToGo+SwaptionShift))/SQRT(SUM(INDEX($FO368:$IH368,1+SwaptionShift):INDEX($FO368:$IH368,SwaptionMonthsToGo+SwaptionShift))*SUM(INDEX($FO$325:$IH$396,HZ$169,1+SwaptionShift):INDEX($FO$325:$IH$396,HZ$169,SwaptionMonthsToGo+SwaptionShift))))))</f>
        <v/>
      </c>
      <c r="IA213" s="469" t="str">
        <f ca="1">IF(OR(IA$169&lt;SwaptionFirstMonthPosition+1,$FN213&lt;SwaptionFirstMonthPosition+1,IA$169&gt;SwaptionFirstMonthPosition+SwaptionNumOfMonths+1,$FN213&gt;SwaptionFirstMonthPosition+SwaptionNumOfMonths+1),"",IF($FN213=IA$169,1,IF($FN213&lt;IA$169,INDEX($FO$170:$IH$241,IA$169,$FN213),SUMPRODUCT(INDEX($FO$325:$IH$396,IA$169,1+SwaptionShift):INDEX($FO$325:$IH$396,IA$169,SwaptionMonthsToGo+SwaptionShift),INDEX($FO$245:$IH$316,$FN213-IA$169,73-IA$169+SwaptionShift):INDEX($FO$245:$IH$316,$FN213-IA$169,72-IA$169+SwaptionMonthsToGo+SwaptionShift))/SQRT(SUM(INDEX($FO368:$IH368,1+SwaptionShift):INDEX($FO368:$IH368,SwaptionMonthsToGo+SwaptionShift))*SUM(INDEX($FO$325:$IH$396,IA$169,1+SwaptionShift):INDEX($FO$325:$IH$396,IA$169,SwaptionMonthsToGo+SwaptionShift))))))</f>
        <v/>
      </c>
      <c r="IB213" s="469" t="str">
        <f ca="1">IF(OR(IB$169&lt;SwaptionFirstMonthPosition+1,$FN213&lt;SwaptionFirstMonthPosition+1,IB$169&gt;SwaptionFirstMonthPosition+SwaptionNumOfMonths+1,$FN213&gt;SwaptionFirstMonthPosition+SwaptionNumOfMonths+1),"",IF($FN213=IB$169,1,IF($FN213&lt;IB$169,INDEX($FO$170:$IH$241,IB$169,$FN213),SUMPRODUCT(INDEX($FO$325:$IH$396,IB$169,1+SwaptionShift):INDEX($FO$325:$IH$396,IB$169,SwaptionMonthsToGo+SwaptionShift),INDEX($FO$245:$IH$316,$FN213-IB$169,73-IB$169+SwaptionShift):INDEX($FO$245:$IH$316,$FN213-IB$169,72-IB$169+SwaptionMonthsToGo+SwaptionShift))/SQRT(SUM(INDEX($FO368:$IH368,1+SwaptionShift):INDEX($FO368:$IH368,SwaptionMonthsToGo+SwaptionShift))*SUM(INDEX($FO$325:$IH$396,IB$169,1+SwaptionShift):INDEX($FO$325:$IH$396,IB$169,SwaptionMonthsToGo+SwaptionShift))))))</f>
        <v/>
      </c>
      <c r="IC213" s="469" t="str">
        <f ca="1">IF(OR(IC$169&lt;SwaptionFirstMonthPosition+1,$FN213&lt;SwaptionFirstMonthPosition+1,IC$169&gt;SwaptionFirstMonthPosition+SwaptionNumOfMonths+1,$FN213&gt;SwaptionFirstMonthPosition+SwaptionNumOfMonths+1),"",IF($FN213=IC$169,1,IF($FN213&lt;IC$169,INDEX($FO$170:$IH$241,IC$169,$FN213),SUMPRODUCT(INDEX($FO$325:$IH$396,IC$169,1+SwaptionShift):INDEX($FO$325:$IH$396,IC$169,SwaptionMonthsToGo+SwaptionShift),INDEX($FO$245:$IH$316,$FN213-IC$169,73-IC$169+SwaptionShift):INDEX($FO$245:$IH$316,$FN213-IC$169,72-IC$169+SwaptionMonthsToGo+SwaptionShift))/SQRT(SUM(INDEX($FO368:$IH368,1+SwaptionShift):INDEX($FO368:$IH368,SwaptionMonthsToGo+SwaptionShift))*SUM(INDEX($FO$325:$IH$396,IC$169,1+SwaptionShift):INDEX($FO$325:$IH$396,IC$169,SwaptionMonthsToGo+SwaptionShift))))))</f>
        <v/>
      </c>
      <c r="ID213" s="469" t="str">
        <f ca="1">IF(OR(ID$169&lt;SwaptionFirstMonthPosition+1,$FN213&lt;SwaptionFirstMonthPosition+1,ID$169&gt;SwaptionFirstMonthPosition+SwaptionNumOfMonths+1,$FN213&gt;SwaptionFirstMonthPosition+SwaptionNumOfMonths+1),"",IF($FN213=ID$169,1,IF($FN213&lt;ID$169,INDEX($FO$170:$IH$241,ID$169,$FN213),SUMPRODUCT(INDEX($FO$325:$IH$396,ID$169,1+SwaptionShift):INDEX($FO$325:$IH$396,ID$169,SwaptionMonthsToGo+SwaptionShift),INDEX($FO$245:$IH$316,$FN213-ID$169,73-ID$169+SwaptionShift):INDEX($FO$245:$IH$316,$FN213-ID$169,72-ID$169+SwaptionMonthsToGo+SwaptionShift))/SQRT(SUM(INDEX($FO368:$IH368,1+SwaptionShift):INDEX($FO368:$IH368,SwaptionMonthsToGo+SwaptionShift))*SUM(INDEX($FO$325:$IH$396,ID$169,1+SwaptionShift):INDEX($FO$325:$IH$396,ID$169,SwaptionMonthsToGo+SwaptionShift))))))</f>
        <v/>
      </c>
      <c r="IE213" s="469" t="str">
        <f ca="1">IF(OR(IE$169&lt;SwaptionFirstMonthPosition+1,$FN213&lt;SwaptionFirstMonthPosition+1,IE$169&gt;SwaptionFirstMonthPosition+SwaptionNumOfMonths+1,$FN213&gt;SwaptionFirstMonthPosition+SwaptionNumOfMonths+1),"",IF($FN213=IE$169,1,IF($FN213&lt;IE$169,INDEX($FO$170:$IH$241,IE$169,$FN213),SUMPRODUCT(INDEX($FO$325:$IH$396,IE$169,1+SwaptionShift):INDEX($FO$325:$IH$396,IE$169,SwaptionMonthsToGo+SwaptionShift),INDEX($FO$245:$IH$316,$FN213-IE$169,73-IE$169+SwaptionShift):INDEX($FO$245:$IH$316,$FN213-IE$169,72-IE$169+SwaptionMonthsToGo+SwaptionShift))/SQRT(SUM(INDEX($FO368:$IH368,1+SwaptionShift):INDEX($FO368:$IH368,SwaptionMonthsToGo+SwaptionShift))*SUM(INDEX($FO$325:$IH$396,IE$169,1+SwaptionShift):INDEX($FO$325:$IH$396,IE$169,SwaptionMonthsToGo+SwaptionShift))))))</f>
        <v/>
      </c>
      <c r="IF213" s="469" t="str">
        <f ca="1">IF(OR(IF$169&lt;SwaptionFirstMonthPosition+1,$FN213&lt;SwaptionFirstMonthPosition+1,IF$169&gt;SwaptionFirstMonthPosition+SwaptionNumOfMonths+1,$FN213&gt;SwaptionFirstMonthPosition+SwaptionNumOfMonths+1),"",IF($FN213=IF$169,1,IF($FN213&lt;IF$169,INDEX($FO$170:$IH$241,IF$169,$FN213),SUMPRODUCT(INDEX($FO$325:$IH$396,IF$169,1+SwaptionShift):INDEX($FO$325:$IH$396,IF$169,SwaptionMonthsToGo+SwaptionShift),INDEX($FO$245:$IH$316,$FN213-IF$169,73-IF$169+SwaptionShift):INDEX($FO$245:$IH$316,$FN213-IF$169,72-IF$169+SwaptionMonthsToGo+SwaptionShift))/SQRT(SUM(INDEX($FO368:$IH368,1+SwaptionShift):INDEX($FO368:$IH368,SwaptionMonthsToGo+SwaptionShift))*SUM(INDEX($FO$325:$IH$396,IF$169,1+SwaptionShift):INDEX($FO$325:$IH$396,IF$169,SwaptionMonthsToGo+SwaptionShift))))))</f>
        <v/>
      </c>
      <c r="IG213" s="469" t="str">
        <f ca="1">IF(OR(IG$169&lt;SwaptionFirstMonthPosition+1,$FN213&lt;SwaptionFirstMonthPosition+1,IG$169&gt;SwaptionFirstMonthPosition+SwaptionNumOfMonths+1,$FN213&gt;SwaptionFirstMonthPosition+SwaptionNumOfMonths+1),"",IF($FN213=IG$169,1,IF($FN213&lt;IG$169,INDEX($FO$170:$IH$241,IG$169,$FN213),SUMPRODUCT(INDEX($FO$325:$IH$396,IG$169,1+SwaptionShift):INDEX($FO$325:$IH$396,IG$169,SwaptionMonthsToGo+SwaptionShift),INDEX($FO$245:$IH$316,$FN213-IG$169,73-IG$169+SwaptionShift):INDEX($FO$245:$IH$316,$FN213-IG$169,72-IG$169+SwaptionMonthsToGo+SwaptionShift))/SQRT(SUM(INDEX($FO368:$IH368,1+SwaptionShift):INDEX($FO368:$IH368,SwaptionMonthsToGo+SwaptionShift))*SUM(INDEX($FO$325:$IH$396,IG$169,1+SwaptionShift):INDEX($FO$325:$IH$396,IG$169,SwaptionMonthsToGo+SwaptionShift))))))</f>
        <v/>
      </c>
      <c r="IH213" s="662" t="str">
        <f ca="1">IF(OR(IH$169&lt;SwaptionFirstMonthPosition+1,$FN213&lt;SwaptionFirstMonthPosition+1,IH$169&gt;SwaptionFirstMonthPosition+SwaptionNumOfMonths+1,$FN213&gt;SwaptionFirstMonthPosition+SwaptionNumOfMonths+1),"",IF($FN213=IH$169,1,IF($FN213&lt;IH$169,INDEX($FO$170:$IH$241,IH$169,$FN213),SUMPRODUCT(INDEX($FO$325:$IH$396,IH$169,1+SwaptionShift):INDEX($FO$325:$IH$396,IH$169,SwaptionMonthsToGo+SwaptionShift),INDEX($FO$245:$IH$316,$FN213-IH$169,73-IH$169+SwaptionShift):INDEX($FO$245:$IH$316,$FN213-IH$169,72-IH$169+SwaptionMonthsToGo+SwaptionShift))/SQRT(SUM(INDEX($FO368:$IH368,1+SwaptionShift):INDEX($FO368:$IH368,SwaptionMonthsToGo+SwaptionShift))*SUM(INDEX($FO$325:$IH$396,IH$169,1+SwaptionShift):INDEX($FO$325:$IH$396,IH$169,SwaptionMonthsToGo+SwaptionShift))))))</f>
        <v/>
      </c>
      <c r="II213" s="242"/>
    </row>
    <row r="214" spans="8:243">
      <c r="H214" s="49" t="e">
        <f t="shared" ca="1" si="645"/>
        <v>#N/A</v>
      </c>
      <c r="I214" s="369">
        <f t="shared" si="646"/>
        <v>42917</v>
      </c>
      <c r="J214" s="367">
        <v>24.2349999999999</v>
      </c>
      <c r="K214" s="101" t="s">
        <v>267</v>
      </c>
      <c r="L214" s="382">
        <f t="shared" si="647"/>
        <v>24.234999999999854</v>
      </c>
      <c r="M214" s="163">
        <v>0.13350000000000001</v>
      </c>
      <c r="N214" s="372">
        <v>0</v>
      </c>
      <c r="O214" s="163">
        <f t="shared" si="595"/>
        <v>0.13350000000000001</v>
      </c>
      <c r="P214" s="367">
        <v>22.993399995389801</v>
      </c>
      <c r="Q214" s="101" t="s">
        <v>267</v>
      </c>
      <c r="R214" s="367">
        <f t="shared" ca="1" si="596"/>
        <v>22.99339999538978</v>
      </c>
      <c r="S214" s="814">
        <f t="shared" si="594"/>
        <v>0.34718724685768149</v>
      </c>
      <c r="T214" s="813">
        <f t="shared" si="660"/>
        <v>0.99999999989637045</v>
      </c>
      <c r="U214" s="532">
        <f t="shared" si="661"/>
        <v>0.99999999999999978</v>
      </c>
      <c r="V214" s="379">
        <v>0</v>
      </c>
      <c r="W214" s="424">
        <f t="shared" si="597"/>
        <v>24.268749999999905</v>
      </c>
      <c r="X214" s="405">
        <f t="shared" si="598"/>
        <v>24.268749999999851</v>
      </c>
      <c r="Y214" s="313">
        <f t="shared" si="599"/>
        <v>22.950349999999904</v>
      </c>
      <c r="Z214" s="313">
        <f t="shared" ca="1" si="600"/>
        <v>22.950349999999851</v>
      </c>
      <c r="AA214" s="419">
        <f t="shared" si="623"/>
        <v>1.3184</v>
      </c>
      <c r="AB214" s="423">
        <f t="shared" ca="1" si="624"/>
        <v>1.3184</v>
      </c>
      <c r="AC214" s="221">
        <v>42906</v>
      </c>
      <c r="AD214" s="221">
        <v>42902</v>
      </c>
      <c r="AE214" s="221">
        <v>42901</v>
      </c>
      <c r="AF214" s="221">
        <v>42897</v>
      </c>
      <c r="AG214" s="241" t="s">
        <v>497</v>
      </c>
      <c r="AH214" s="239" t="s">
        <v>497</v>
      </c>
      <c r="AI214" s="141">
        <v>20</v>
      </c>
      <c r="AJ214" s="41">
        <v>13</v>
      </c>
      <c r="AK214" s="41">
        <v>7</v>
      </c>
      <c r="AL214" s="285">
        <v>21</v>
      </c>
      <c r="AM214" s="41">
        <v>10</v>
      </c>
      <c r="AN214" s="142">
        <v>11</v>
      </c>
      <c r="AO214" s="364">
        <v>6.2614274034780995E-2</v>
      </c>
      <c r="AP214" s="145">
        <f t="shared" ca="1" si="648"/>
        <v>0.36584688353143219</v>
      </c>
      <c r="AQ214" s="364">
        <v>5.7834652021264303E-2</v>
      </c>
      <c r="AR214" s="145">
        <f t="shared" ca="1" si="662"/>
        <v>0.39738803224422375</v>
      </c>
      <c r="AS214" s="264">
        <f t="shared" si="601"/>
        <v>0.13296000000000002</v>
      </c>
      <c r="AT214" s="149">
        <f t="shared" si="649"/>
        <v>0.13350000000000001</v>
      </c>
      <c r="AU214" s="149">
        <f t="shared" si="625"/>
        <v>0.1328904761904762</v>
      </c>
      <c r="AV214" s="263">
        <f t="shared" ref="AV214:AV260" ca="1" si="669">SQRT(MAX(0.000000000001,(O214^2*BH214-S214^2*(BH214-BH213))/BH213))</f>
        <v>0.13145648815565605</v>
      </c>
      <c r="AW214" s="150" t="str">
        <f t="shared" ca="1" si="581"/>
        <v/>
      </c>
      <c r="AX214" s="149">
        <f t="shared" ca="1" si="663"/>
        <v>4.200922561051125E-3</v>
      </c>
      <c r="AY214" s="149">
        <f t="shared" ca="1" si="664"/>
        <v>1.3464840882728745E-3</v>
      </c>
      <c r="AZ214" s="149">
        <f t="shared" ca="1" si="665"/>
        <v>1.5359299923022019E-3</v>
      </c>
      <c r="BA214" s="149">
        <f t="shared" ca="1" si="666"/>
        <v>1.0000000000001011E-4</v>
      </c>
      <c r="BB214" s="149">
        <f t="shared" ca="1" si="667"/>
        <v>1.0000000000001011E-4</v>
      </c>
      <c r="BC214" s="149">
        <f t="shared" ca="1" si="668"/>
        <v>1.0000000000001011E-4</v>
      </c>
      <c r="BD214" s="143">
        <f t="shared" ca="1" si="602"/>
        <v>0</v>
      </c>
      <c r="BE214" s="144">
        <f t="shared" ca="1" si="603"/>
        <v>0</v>
      </c>
      <c r="BF214" s="40">
        <f t="shared" si="604"/>
        <v>2017</v>
      </c>
      <c r="BG214" s="139">
        <f t="shared" si="605"/>
        <v>7</v>
      </c>
      <c r="BH214" s="140">
        <f t="shared" ca="1" si="606"/>
        <v>5912</v>
      </c>
      <c r="BI214" s="304">
        <f t="shared" ca="1" si="607"/>
        <v>16.227241615331966</v>
      </c>
      <c r="BJ214" s="42">
        <f t="shared" ca="1" si="626"/>
        <v>16.28062970568104</v>
      </c>
      <c r="BK214" s="42">
        <f t="shared" ca="1" si="627"/>
        <v>16.283367556468171</v>
      </c>
      <c r="BL214" s="42">
        <f t="shared" ca="1" si="608"/>
        <v>16.309377138945926</v>
      </c>
      <c r="BM214" s="285">
        <f t="shared" si="609"/>
        <v>20</v>
      </c>
      <c r="BN214" s="41">
        <f t="shared" si="610"/>
        <v>13</v>
      </c>
      <c r="BO214" s="41">
        <f t="shared" si="611"/>
        <v>7</v>
      </c>
      <c r="BP214" s="297" t="str">
        <f t="shared" ca="1" si="628"/>
        <v/>
      </c>
      <c r="BQ214" s="297" t="str">
        <f t="shared" ca="1" si="629"/>
        <v/>
      </c>
      <c r="BR214" s="299" t="str">
        <f t="shared" ca="1" si="630"/>
        <v/>
      </c>
      <c r="BS214" s="153" t="str">
        <f t="shared" ca="1" si="631"/>
        <v/>
      </c>
      <c r="BT214" s="153" t="str">
        <f t="shared" ca="1" si="632"/>
        <v/>
      </c>
      <c r="BU214" s="300" t="str">
        <f t="shared" ca="1" si="633"/>
        <v/>
      </c>
      <c r="BV214" s="301" t="str">
        <f t="shared" ca="1" si="634"/>
        <v/>
      </c>
      <c r="BW214" s="300" t="str">
        <f t="shared" ca="1" si="635"/>
        <v/>
      </c>
      <c r="BX214" s="301" t="str">
        <f t="shared" ca="1" si="636"/>
        <v/>
      </c>
      <c r="BY214" s="146" t="str">
        <f t="shared" ca="1" si="637"/>
        <v/>
      </c>
      <c r="BZ214" s="146" t="str">
        <f t="shared" ca="1" si="638"/>
        <v/>
      </c>
      <c r="CA214" s="146" t="str">
        <f t="shared" ca="1" si="639"/>
        <v/>
      </c>
      <c r="CB214" s="146" t="str">
        <f t="shared" ca="1" si="640"/>
        <v/>
      </c>
      <c r="CC214" s="302">
        <v>1</v>
      </c>
      <c r="CD214" s="154">
        <f ca="1">IF(BD214,_xll.xCrudeAPO(BS214,BT214,BY214,BZ214,S215,S216,BI214,BL214,BN214,BO214,0,Strike1,AO214,CC214,0,BL214,IF(OptControl=4,0,1),0,1),0)</f>
        <v>0</v>
      </c>
      <c r="CE214" s="155">
        <f ca="1">IF(BD214,_xll.xCrudeAPO(BS214,BT214,BY214,BZ214,S215,S216,BI214,BL214,BN214,BO214,0,Strike1,AO214,CC214,0,BL214,IF(OptControl=4,0,1),1,1)+_xll.xCrudeAPO(BS214,BT214,BY214,BZ214,S215,S216,BI214,BL214,BN214,BO214,0,Strike1,AO214,CC214,0,BL214,IF(OptControl=4,0,1),1,2)+IF(OR(VolSkewFlag=2,ABS(BQ214)&lt;0.0001),0,IF(BQ214&gt;0,-1,1)*CF214*Strike1/BP214^2*BW214/10%),0)</f>
        <v>0</v>
      </c>
      <c r="CF214" s="155">
        <f ca="1">IF(BD214,(_xll.xCrudeAPO(BS214,BT214,BY214,BZ214,S215,S216,BI214,BL214,BN214,BO214,0,Strike1,AO214,CC214,0,BL214,IF(OptControl=4,0,1),3,1)+_xll.xCrudeAPO(BS214,BT214,BY214,BZ214,S215,S216,BI214,BL214,BN214,BO214,0,Strike1,AO214,CC214,0,BL214,IF(OptControl=4,0,1),3,2))/100,0)</f>
        <v>0</v>
      </c>
      <c r="CG214" s="155">
        <f ca="1">IF(BD214,_xll.xCrudeAPO(BS214,BT214,BY214,BZ214,S215,S216,BI214-DaysForThetaCalculation/365.25,BL214-DaysForThetaCalculation/365.25,BN214,BO214,0,Strike1,AO214,CC214,0,BL214,IF(OptControl=4,0,1),0,1)-_xll.xCrudeAPO(BS214,BT214,BY214,BZ214,S215,S216,BI214,BL214,BN214,BO214,0,Strike1,AO214,CC214,0,BL214,IF(OptControl=4,0,1),0,1),0)</f>
        <v>0</v>
      </c>
      <c r="CH214" s="303">
        <f ca="1">IF(BD214,_xll.xCrudeAPO(BS214,BT214,CA214,CB214,S215,S216,BI214,BL214,BN214,BO214,0,Strike2,AO214,CC214,0,BL214,IF(OptControl=3,1,0),0,1),0)</f>
        <v>0</v>
      </c>
      <c r="CI214" s="155">
        <f ca="1">IF(BD214,_xll.xCrudeAPO(BS214,BT214,CA214,CB214,S215,S216,BI214,BL214,BN214,BO214,0,Strike2,AO214,CC214,0,BL214,IF(OptControl=3,1,0),1,1)+_xll.xCrudeAPO(BS214,BT214,CA214,CB214,S215,S216,BI214,BL214,BN214,BO214,0,Strike2,AO214,CC214,0,BL214,IF(OptControl=3,1,0),1,2)+IF(OR(VolSkewFlag=2,ABS(BR214)&lt;0.0001),0,IF(BR214&gt;0,-1,1)*CJ214*Strike2/BP214^2*BX214/10%),0)</f>
        <v>0</v>
      </c>
      <c r="CJ214" s="155">
        <f ca="1">IF(BD214,(_xll.xCrudeAPO(BS214,BT214,CA214,CB214,S215,S216,BI214,BL214,BN214,BO214,0,Strike2,AO214,CC214,0,BL214,IF(OptControl=3,1,0),3,1)+_xll.xCrudeAPO(BS214,BT214,CA214,CB214,S215,S216,BI214,BL214,BN214,BO214,0,Strike2,AO214,CC214,0,BL214,IF(OptControl=3,1,0),3,2))/100,0)</f>
        <v>0</v>
      </c>
      <c r="CK214" s="156">
        <f ca="1">IF(BD214,_xll.xCrudeAPO(BS214,BT214,CA214,CB214,S215,S216,BI214-DaysForThetaCalculation/365.25,BL214-DaysForThetaCalculation/365.25,BN214,BO214,0,Strike2,AO214,CC214,0,BL214,IF(OptControl=3,1,0),0,1)-_xll.xCrudeAPO(BS214,BT214,CA214,CB214,S215,S216,BI214,BL214,BN214,BO214,0,Strike2,AO214,CC214,0,BL214,IF(OptControl=3,1,0),0,1),0)</f>
        <v>0</v>
      </c>
      <c r="CL214" s="51"/>
      <c r="CM214" s="779" t="str">
        <f t="shared" ca="1" si="650"/>
        <v/>
      </c>
      <c r="CN214" s="783" t="str">
        <f t="shared" ca="1" si="651"/>
        <v/>
      </c>
      <c r="CO214" s="780" t="str">
        <f t="shared" ca="1" si="652"/>
        <v/>
      </c>
      <c r="CP214" s="780" t="str">
        <f t="shared" ca="1" si="653"/>
        <v/>
      </c>
      <c r="CQ214" s="780" t="str">
        <f t="shared" ca="1" si="654"/>
        <v/>
      </c>
      <c r="CR214" s="780" t="str">
        <f t="shared" ca="1" si="655"/>
        <v/>
      </c>
      <c r="CS214" s="781" t="str">
        <f t="shared" ca="1" si="656"/>
        <v/>
      </c>
      <c r="CT214" s="782" t="str">
        <f t="shared" ca="1" si="657"/>
        <v/>
      </c>
      <c r="CU214" s="782" t="str">
        <f t="shared" ca="1" si="658"/>
        <v/>
      </c>
      <c r="CV214" s="155">
        <f ca="1">IF(BD214,_xll.EURO(CN214,Strike1,AO214,AO214,CT214,CM214,IF(OptControl=4,0,1),0),0)</f>
        <v>0</v>
      </c>
      <c r="CW214" s="155">
        <f ca="1">IF(BD214,_xll.EURO(CN214,Strike1,AO214,AO214,CT214,CM214,IF(OptControl=4,0,1),1)+IF(OR(VolSkewFlag=2,ABS(CO214)&lt;0.0001),0,IF(CO214&gt;0,-1,1)*CX214*100*Strike1/CN214^2*CQ214/10%),0)</f>
        <v>0</v>
      </c>
      <c r="CX214" s="155">
        <f ca="1">IF(BD214,_xll.EURO(CN214,Strike1,AO214,AO214,CT214,CM214,IF(OptControl=4,0,1),3)/100,0)</f>
        <v>0</v>
      </c>
      <c r="CY214" s="155">
        <f ca="1">IF(BD214,_xll.EURO(CN214,Strike1,AO214,AO214,CT214,CM214,IF(OptControl=4,0,1),0)-_xll.EURO(CN214,Strike1,AO214,AO214,CT214,CM214-1,IF(OptControl=4,0,1),0),0)</f>
        <v>0</v>
      </c>
      <c r="CZ214" s="155">
        <f ca="1">IF(BD214,_xll.EURO(CN214,Strike2,AO214,AO214,CU214,CM214,IF(OptControl=3,1,0),0),0)</f>
        <v>0</v>
      </c>
      <c r="DA214" s="155">
        <f ca="1">IF(BD214,_xll.EURO(CN214,Strike2,AO214,AO214,CU214,CM214,IF(OptControl=3,1,0),1)+IF(OR(VolSkewFlag=2,ABS(CP214)&lt;0.0001),0,IF(CP214&gt;0,-1,1)*DB214*100*Strike2/CN214^2*CR214/10%),0)</f>
        <v>0</v>
      </c>
      <c r="DB214" s="155">
        <f ca="1">IF(BD214,_xll.EURO(CN214,Strike2,AO214,AO214,CU214,CM214,IF(OptControl=3,1,0),3)/100,0)</f>
        <v>0</v>
      </c>
      <c r="DC214" s="156">
        <f ca="1">IF(BD214,_xll.EURO(CN214,Strike2,AO214,AO214,CU214,CM214,IF(OptControl=3,1,0),0)-_xll.EURO(CN214,Strike2,AO214,AO214,CU214,CM214-1,IF(OptControl=3,1,0),0),0)</f>
        <v>0</v>
      </c>
      <c r="DE214" s="651">
        <f t="shared" ca="1" si="659"/>
        <v>42826</v>
      </c>
      <c r="DF214" s="465">
        <v>1E-4</v>
      </c>
      <c r="DG214" s="649">
        <v>1E-4</v>
      </c>
      <c r="DH214" s="650">
        <f t="shared" ca="1" si="612"/>
        <v>42826</v>
      </c>
      <c r="DI214" s="465">
        <v>1E-4</v>
      </c>
      <c r="DJ214" s="649">
        <v>1E-4</v>
      </c>
      <c r="DK214" s="651">
        <f t="shared" ca="1" si="613"/>
        <v>42826</v>
      </c>
      <c r="DL214" s="652">
        <f t="shared" si="614"/>
        <v>5.0100000000000006E-2</v>
      </c>
      <c r="DM214" s="651">
        <f t="shared" ca="1" si="615"/>
        <v>42826</v>
      </c>
      <c r="DN214" s="563">
        <f t="shared" si="616"/>
        <v>-0.12990000000000002</v>
      </c>
      <c r="DO214" s="803">
        <v>-0.13</v>
      </c>
      <c r="DP214" s="650">
        <f t="shared" ca="1" si="617"/>
        <v>42826</v>
      </c>
      <c r="DQ214" s="653">
        <v>1E-4</v>
      </c>
      <c r="DR214" s="590">
        <v>1E-4</v>
      </c>
      <c r="DS214" s="650">
        <f t="shared" ca="1" si="618"/>
        <v>42826</v>
      </c>
      <c r="DT214" s="653">
        <v>1E-4</v>
      </c>
      <c r="DU214" s="590">
        <v>1E-4</v>
      </c>
      <c r="DV214" s="651">
        <f t="shared" ca="1" si="619"/>
        <v>42826</v>
      </c>
      <c r="DW214" s="590">
        <v>1E-4</v>
      </c>
      <c r="DX214" s="651">
        <f t="shared" ca="1" si="620"/>
        <v>42826</v>
      </c>
      <c r="DY214" s="590">
        <f t="shared" si="621"/>
        <v>1E-4</v>
      </c>
      <c r="DZ214" s="1"/>
      <c r="EA214" s="857"/>
      <c r="EB214" s="857"/>
      <c r="EC214" s="857"/>
      <c r="ED214" s="868" t="e">
        <f t="shared" ca="1" si="566"/>
        <v>#NAME?</v>
      </c>
      <c r="EE214" s="863" t="e">
        <f t="shared" ca="1" si="641"/>
        <v>#NAME?</v>
      </c>
      <c r="EF214" s="590" t="e">
        <f t="shared" ca="1" si="642"/>
        <v>#NAME?</v>
      </c>
      <c r="EG214" s="862" t="str">
        <f t="shared" ca="1" si="622"/>
        <v/>
      </c>
      <c r="EH214" s="114" t="str">
        <f t="shared" ca="1" si="643"/>
        <v/>
      </c>
      <c r="EI214" s="109" t="str">
        <f t="shared" ca="1" si="644"/>
        <v/>
      </c>
      <c r="EJ214" s="115">
        <f ca="1">IF(BD214,_xll.xASN(BP214,Strike1,AO214,EH214,0,BM214,0,BI214,BL214,IF(OptControl=4,0,1),0),0)</f>
        <v>0</v>
      </c>
      <c r="EK214" s="108">
        <f ca="1">IF(BD214,_xll.xASN(BP214,Strike2,AO214,EI214,0,BM214,0,BI214,BL214,IF(OptControl=3,1,0),0),0)</f>
        <v>0</v>
      </c>
      <c r="EP214" s="53"/>
      <c r="EQ214" s="1"/>
      <c r="ER214" s="103"/>
      <c r="ES214" s="103"/>
      <c r="ET214" s="1"/>
      <c r="EU214" s="667" t="s">
        <v>427</v>
      </c>
      <c r="EW214" s="53"/>
      <c r="EY214" s="104"/>
      <c r="FN214" s="657">
        <v>45</v>
      </c>
      <c r="FO214" s="469" t="str">
        <f ca="1">IF(OR(FO$169&lt;SwaptionFirstMonthPosition+1,$FN214&lt;SwaptionFirstMonthPosition+1,FO$169&gt;SwaptionFirstMonthPosition+SwaptionNumOfMonths+1,$FN214&gt;SwaptionFirstMonthPosition+SwaptionNumOfMonths+1),"",IF($FN214=FO$169,1,IF($FN214&lt;FO$169,INDEX($FO$170:$IH$241,FO$169,$FN214),SUMPRODUCT(INDEX($FO$325:$IH$396,FO$169,1+SwaptionShift):INDEX($FO$325:$IH$396,FO$169,SwaptionMonthsToGo+SwaptionShift),INDEX($FO$245:$IH$316,$FN214-FO$169,73-FO$169+SwaptionShift):INDEX($FO$245:$IH$316,$FN214-FO$169,72-FO$169+SwaptionMonthsToGo+SwaptionShift))/SQRT(SUM(INDEX($FO369:$IH369,1+SwaptionShift):INDEX($FO369:$IH369,SwaptionMonthsToGo+SwaptionShift))*SUM(INDEX($FO$325:$IH$396,FO$169,1+SwaptionShift):INDEX($FO$325:$IH$396,FO$169,SwaptionMonthsToGo+SwaptionShift))))))</f>
        <v/>
      </c>
      <c r="FP214" s="469" t="str">
        <f ca="1">IF(OR(FP$169&lt;SwaptionFirstMonthPosition+1,$FN214&lt;SwaptionFirstMonthPosition+1,FP$169&gt;SwaptionFirstMonthPosition+SwaptionNumOfMonths+1,$FN214&gt;SwaptionFirstMonthPosition+SwaptionNumOfMonths+1),"",IF($FN214=FP$169,1,IF($FN214&lt;FP$169,INDEX($FO$170:$IH$241,FP$169,$FN214),SUMPRODUCT(INDEX($FO$325:$IH$396,FP$169,1+SwaptionShift):INDEX($FO$325:$IH$396,FP$169,SwaptionMonthsToGo+SwaptionShift),INDEX($FO$245:$IH$316,$FN214-FP$169,73-FP$169+SwaptionShift):INDEX($FO$245:$IH$316,$FN214-FP$169,72-FP$169+SwaptionMonthsToGo+SwaptionShift))/SQRT(SUM(INDEX($FO369:$IH369,1+SwaptionShift):INDEX($FO369:$IH369,SwaptionMonthsToGo+SwaptionShift))*SUM(INDEX($FO$325:$IH$396,FP$169,1+SwaptionShift):INDEX($FO$325:$IH$396,FP$169,SwaptionMonthsToGo+SwaptionShift))))))</f>
        <v/>
      </c>
      <c r="FQ214" s="469" t="str">
        <f ca="1">IF(OR(FQ$169&lt;SwaptionFirstMonthPosition+1,$FN214&lt;SwaptionFirstMonthPosition+1,FQ$169&gt;SwaptionFirstMonthPosition+SwaptionNumOfMonths+1,$FN214&gt;SwaptionFirstMonthPosition+SwaptionNumOfMonths+1),"",IF($FN214=FQ$169,1,IF($FN214&lt;FQ$169,INDEX($FO$170:$IH$241,FQ$169,$FN214),SUMPRODUCT(INDEX($FO$325:$IH$396,FQ$169,1+SwaptionShift):INDEX($FO$325:$IH$396,FQ$169,SwaptionMonthsToGo+SwaptionShift),INDEX($FO$245:$IH$316,$FN214-FQ$169,73-FQ$169+SwaptionShift):INDEX($FO$245:$IH$316,$FN214-FQ$169,72-FQ$169+SwaptionMonthsToGo+SwaptionShift))/SQRT(SUM(INDEX($FO369:$IH369,1+SwaptionShift):INDEX($FO369:$IH369,SwaptionMonthsToGo+SwaptionShift))*SUM(INDEX($FO$325:$IH$396,FQ$169,1+SwaptionShift):INDEX($FO$325:$IH$396,FQ$169,SwaptionMonthsToGo+SwaptionShift))))))</f>
        <v/>
      </c>
      <c r="FR214" s="469" t="str">
        <f ca="1">IF(OR(FR$169&lt;SwaptionFirstMonthPosition+1,$FN214&lt;SwaptionFirstMonthPosition+1,FR$169&gt;SwaptionFirstMonthPosition+SwaptionNumOfMonths+1,$FN214&gt;SwaptionFirstMonthPosition+SwaptionNumOfMonths+1),"",IF($FN214=FR$169,1,IF($FN214&lt;FR$169,INDEX($FO$170:$IH$241,FR$169,$FN214),SUMPRODUCT(INDEX($FO$325:$IH$396,FR$169,1+SwaptionShift):INDEX($FO$325:$IH$396,FR$169,SwaptionMonthsToGo+SwaptionShift),INDEX($FO$245:$IH$316,$FN214-FR$169,73-FR$169+SwaptionShift):INDEX($FO$245:$IH$316,$FN214-FR$169,72-FR$169+SwaptionMonthsToGo+SwaptionShift))/SQRT(SUM(INDEX($FO369:$IH369,1+SwaptionShift):INDEX($FO369:$IH369,SwaptionMonthsToGo+SwaptionShift))*SUM(INDEX($FO$325:$IH$396,FR$169,1+SwaptionShift):INDEX($FO$325:$IH$396,FR$169,SwaptionMonthsToGo+SwaptionShift))))))</f>
        <v/>
      </c>
      <c r="FS214" s="469" t="str">
        <f ca="1">IF(OR(FS$169&lt;SwaptionFirstMonthPosition+1,$FN214&lt;SwaptionFirstMonthPosition+1,FS$169&gt;SwaptionFirstMonthPosition+SwaptionNumOfMonths+1,$FN214&gt;SwaptionFirstMonthPosition+SwaptionNumOfMonths+1),"",IF($FN214=FS$169,1,IF($FN214&lt;FS$169,INDEX($FO$170:$IH$241,FS$169,$FN214),SUMPRODUCT(INDEX($FO$325:$IH$396,FS$169,1+SwaptionShift):INDEX($FO$325:$IH$396,FS$169,SwaptionMonthsToGo+SwaptionShift),INDEX($FO$245:$IH$316,$FN214-FS$169,73-FS$169+SwaptionShift):INDEX($FO$245:$IH$316,$FN214-FS$169,72-FS$169+SwaptionMonthsToGo+SwaptionShift))/SQRT(SUM(INDEX($FO369:$IH369,1+SwaptionShift):INDEX($FO369:$IH369,SwaptionMonthsToGo+SwaptionShift))*SUM(INDEX($FO$325:$IH$396,FS$169,1+SwaptionShift):INDEX($FO$325:$IH$396,FS$169,SwaptionMonthsToGo+SwaptionShift))))))</f>
        <v/>
      </c>
      <c r="FT214" s="469" t="str">
        <f ca="1">IF(OR(FT$169&lt;SwaptionFirstMonthPosition+1,$FN214&lt;SwaptionFirstMonthPosition+1,FT$169&gt;SwaptionFirstMonthPosition+SwaptionNumOfMonths+1,$FN214&gt;SwaptionFirstMonthPosition+SwaptionNumOfMonths+1),"",IF($FN214=FT$169,1,IF($FN214&lt;FT$169,INDEX($FO$170:$IH$241,FT$169,$FN214),SUMPRODUCT(INDEX($FO$325:$IH$396,FT$169,1+SwaptionShift):INDEX($FO$325:$IH$396,FT$169,SwaptionMonthsToGo+SwaptionShift),INDEX($FO$245:$IH$316,$FN214-FT$169,73-FT$169+SwaptionShift):INDEX($FO$245:$IH$316,$FN214-FT$169,72-FT$169+SwaptionMonthsToGo+SwaptionShift))/SQRT(SUM(INDEX($FO369:$IH369,1+SwaptionShift):INDEX($FO369:$IH369,SwaptionMonthsToGo+SwaptionShift))*SUM(INDEX($FO$325:$IH$396,FT$169,1+SwaptionShift):INDEX($FO$325:$IH$396,FT$169,SwaptionMonthsToGo+SwaptionShift))))))</f>
        <v/>
      </c>
      <c r="FU214" s="469" t="str">
        <f ca="1">IF(OR(FU$169&lt;SwaptionFirstMonthPosition+1,$FN214&lt;SwaptionFirstMonthPosition+1,FU$169&gt;SwaptionFirstMonthPosition+SwaptionNumOfMonths+1,$FN214&gt;SwaptionFirstMonthPosition+SwaptionNumOfMonths+1),"",IF($FN214=FU$169,1,IF($FN214&lt;FU$169,INDEX($FO$170:$IH$241,FU$169,$FN214),SUMPRODUCT(INDEX($FO$325:$IH$396,FU$169,1+SwaptionShift):INDEX($FO$325:$IH$396,FU$169,SwaptionMonthsToGo+SwaptionShift),INDEX($FO$245:$IH$316,$FN214-FU$169,73-FU$169+SwaptionShift):INDEX($FO$245:$IH$316,$FN214-FU$169,72-FU$169+SwaptionMonthsToGo+SwaptionShift))/SQRT(SUM(INDEX($FO369:$IH369,1+SwaptionShift):INDEX($FO369:$IH369,SwaptionMonthsToGo+SwaptionShift))*SUM(INDEX($FO$325:$IH$396,FU$169,1+SwaptionShift):INDEX($FO$325:$IH$396,FU$169,SwaptionMonthsToGo+SwaptionShift))))))</f>
        <v/>
      </c>
      <c r="FV214" s="469" t="str">
        <f ca="1">IF(OR(FV$169&lt;SwaptionFirstMonthPosition+1,$FN214&lt;SwaptionFirstMonthPosition+1,FV$169&gt;SwaptionFirstMonthPosition+SwaptionNumOfMonths+1,$FN214&gt;SwaptionFirstMonthPosition+SwaptionNumOfMonths+1),"",IF($FN214=FV$169,1,IF($FN214&lt;FV$169,INDEX($FO$170:$IH$241,FV$169,$FN214),SUMPRODUCT(INDEX($FO$325:$IH$396,FV$169,1+SwaptionShift):INDEX($FO$325:$IH$396,FV$169,SwaptionMonthsToGo+SwaptionShift),INDEX($FO$245:$IH$316,$FN214-FV$169,73-FV$169+SwaptionShift):INDEX($FO$245:$IH$316,$FN214-FV$169,72-FV$169+SwaptionMonthsToGo+SwaptionShift))/SQRT(SUM(INDEX($FO369:$IH369,1+SwaptionShift):INDEX($FO369:$IH369,SwaptionMonthsToGo+SwaptionShift))*SUM(INDEX($FO$325:$IH$396,FV$169,1+SwaptionShift):INDEX($FO$325:$IH$396,FV$169,SwaptionMonthsToGo+SwaptionShift))))))</f>
        <v/>
      </c>
      <c r="FW214" s="469" t="str">
        <f ca="1">IF(OR(FW$169&lt;SwaptionFirstMonthPosition+1,$FN214&lt;SwaptionFirstMonthPosition+1,FW$169&gt;SwaptionFirstMonthPosition+SwaptionNumOfMonths+1,$FN214&gt;SwaptionFirstMonthPosition+SwaptionNumOfMonths+1),"",IF($FN214=FW$169,1,IF($FN214&lt;FW$169,INDEX($FO$170:$IH$241,FW$169,$FN214),SUMPRODUCT(INDEX($FO$325:$IH$396,FW$169,1+SwaptionShift):INDEX($FO$325:$IH$396,FW$169,SwaptionMonthsToGo+SwaptionShift),INDEX($FO$245:$IH$316,$FN214-FW$169,73-FW$169+SwaptionShift):INDEX($FO$245:$IH$316,$FN214-FW$169,72-FW$169+SwaptionMonthsToGo+SwaptionShift))/SQRT(SUM(INDEX($FO369:$IH369,1+SwaptionShift):INDEX($FO369:$IH369,SwaptionMonthsToGo+SwaptionShift))*SUM(INDEX($FO$325:$IH$396,FW$169,1+SwaptionShift):INDEX($FO$325:$IH$396,FW$169,SwaptionMonthsToGo+SwaptionShift))))))</f>
        <v/>
      </c>
      <c r="FX214" s="469" t="str">
        <f ca="1">IF(OR(FX$169&lt;SwaptionFirstMonthPosition+1,$FN214&lt;SwaptionFirstMonthPosition+1,FX$169&gt;SwaptionFirstMonthPosition+SwaptionNumOfMonths+1,$FN214&gt;SwaptionFirstMonthPosition+SwaptionNumOfMonths+1),"",IF($FN214=FX$169,1,IF($FN214&lt;FX$169,INDEX($FO$170:$IH$241,FX$169,$FN214),SUMPRODUCT(INDEX($FO$325:$IH$396,FX$169,1+SwaptionShift):INDEX($FO$325:$IH$396,FX$169,SwaptionMonthsToGo+SwaptionShift),INDEX($FO$245:$IH$316,$FN214-FX$169,73-FX$169+SwaptionShift):INDEX($FO$245:$IH$316,$FN214-FX$169,72-FX$169+SwaptionMonthsToGo+SwaptionShift))/SQRT(SUM(INDEX($FO369:$IH369,1+SwaptionShift):INDEX($FO369:$IH369,SwaptionMonthsToGo+SwaptionShift))*SUM(INDEX($FO$325:$IH$396,FX$169,1+SwaptionShift):INDEX($FO$325:$IH$396,FX$169,SwaptionMonthsToGo+SwaptionShift))))))</f>
        <v/>
      </c>
      <c r="FY214" s="469" t="str">
        <f ca="1">IF(OR(FY$169&lt;SwaptionFirstMonthPosition+1,$FN214&lt;SwaptionFirstMonthPosition+1,FY$169&gt;SwaptionFirstMonthPosition+SwaptionNumOfMonths+1,$FN214&gt;SwaptionFirstMonthPosition+SwaptionNumOfMonths+1),"",IF($FN214=FY$169,1,IF($FN214&lt;FY$169,INDEX($FO$170:$IH$241,FY$169,$FN214),SUMPRODUCT(INDEX($FO$325:$IH$396,FY$169,1+SwaptionShift):INDEX($FO$325:$IH$396,FY$169,SwaptionMonthsToGo+SwaptionShift),INDEX($FO$245:$IH$316,$FN214-FY$169,73-FY$169+SwaptionShift):INDEX($FO$245:$IH$316,$FN214-FY$169,72-FY$169+SwaptionMonthsToGo+SwaptionShift))/SQRT(SUM(INDEX($FO369:$IH369,1+SwaptionShift):INDEX($FO369:$IH369,SwaptionMonthsToGo+SwaptionShift))*SUM(INDEX($FO$325:$IH$396,FY$169,1+SwaptionShift):INDEX($FO$325:$IH$396,FY$169,SwaptionMonthsToGo+SwaptionShift))))))</f>
        <v/>
      </c>
      <c r="FZ214" s="469" t="str">
        <f ca="1">IF(OR(FZ$169&lt;SwaptionFirstMonthPosition+1,$FN214&lt;SwaptionFirstMonthPosition+1,FZ$169&gt;SwaptionFirstMonthPosition+SwaptionNumOfMonths+1,$FN214&gt;SwaptionFirstMonthPosition+SwaptionNumOfMonths+1),"",IF($FN214=FZ$169,1,IF($FN214&lt;FZ$169,INDEX($FO$170:$IH$241,FZ$169,$FN214),SUMPRODUCT(INDEX($FO$325:$IH$396,FZ$169,1+SwaptionShift):INDEX($FO$325:$IH$396,FZ$169,SwaptionMonthsToGo+SwaptionShift),INDEX($FO$245:$IH$316,$FN214-FZ$169,73-FZ$169+SwaptionShift):INDEX($FO$245:$IH$316,$FN214-FZ$169,72-FZ$169+SwaptionMonthsToGo+SwaptionShift))/SQRT(SUM(INDEX($FO369:$IH369,1+SwaptionShift):INDEX($FO369:$IH369,SwaptionMonthsToGo+SwaptionShift))*SUM(INDEX($FO$325:$IH$396,FZ$169,1+SwaptionShift):INDEX($FO$325:$IH$396,FZ$169,SwaptionMonthsToGo+SwaptionShift))))))</f>
        <v/>
      </c>
      <c r="GA214" s="469" t="str">
        <f ca="1">IF(OR(GA$169&lt;SwaptionFirstMonthPosition+1,$FN214&lt;SwaptionFirstMonthPosition+1,GA$169&gt;SwaptionFirstMonthPosition+SwaptionNumOfMonths+1,$FN214&gt;SwaptionFirstMonthPosition+SwaptionNumOfMonths+1),"",IF($FN214=GA$169,1,IF($FN214&lt;GA$169,INDEX($FO$170:$IH$241,GA$169,$FN214),SUMPRODUCT(INDEX($FO$325:$IH$396,GA$169,1+SwaptionShift):INDEX($FO$325:$IH$396,GA$169,SwaptionMonthsToGo+SwaptionShift),INDEX($FO$245:$IH$316,$FN214-GA$169,73-GA$169+SwaptionShift):INDEX($FO$245:$IH$316,$FN214-GA$169,72-GA$169+SwaptionMonthsToGo+SwaptionShift))/SQRT(SUM(INDEX($FO369:$IH369,1+SwaptionShift):INDEX($FO369:$IH369,SwaptionMonthsToGo+SwaptionShift))*SUM(INDEX($FO$325:$IH$396,GA$169,1+SwaptionShift):INDEX($FO$325:$IH$396,GA$169,SwaptionMonthsToGo+SwaptionShift))))))</f>
        <v/>
      </c>
      <c r="GB214" s="469" t="str">
        <f ca="1">IF(OR(GB$169&lt;SwaptionFirstMonthPosition+1,$FN214&lt;SwaptionFirstMonthPosition+1,GB$169&gt;SwaptionFirstMonthPosition+SwaptionNumOfMonths+1,$FN214&gt;SwaptionFirstMonthPosition+SwaptionNumOfMonths+1),"",IF($FN214=GB$169,1,IF($FN214&lt;GB$169,INDEX($FO$170:$IH$241,GB$169,$FN214),SUMPRODUCT(INDEX($FO$325:$IH$396,GB$169,1+SwaptionShift):INDEX($FO$325:$IH$396,GB$169,SwaptionMonthsToGo+SwaptionShift),INDEX($FO$245:$IH$316,$FN214-GB$169,73-GB$169+SwaptionShift):INDEX($FO$245:$IH$316,$FN214-GB$169,72-GB$169+SwaptionMonthsToGo+SwaptionShift))/SQRT(SUM(INDEX($FO369:$IH369,1+SwaptionShift):INDEX($FO369:$IH369,SwaptionMonthsToGo+SwaptionShift))*SUM(INDEX($FO$325:$IH$396,GB$169,1+SwaptionShift):INDEX($FO$325:$IH$396,GB$169,SwaptionMonthsToGo+SwaptionShift))))))</f>
        <v/>
      </c>
      <c r="GC214" s="469" t="str">
        <f ca="1">IF(OR(GC$169&lt;SwaptionFirstMonthPosition+1,$FN214&lt;SwaptionFirstMonthPosition+1,GC$169&gt;SwaptionFirstMonthPosition+SwaptionNumOfMonths+1,$FN214&gt;SwaptionFirstMonthPosition+SwaptionNumOfMonths+1),"",IF($FN214=GC$169,1,IF($FN214&lt;GC$169,INDEX($FO$170:$IH$241,GC$169,$FN214),SUMPRODUCT(INDEX($FO$325:$IH$396,GC$169,1+SwaptionShift):INDEX($FO$325:$IH$396,GC$169,SwaptionMonthsToGo+SwaptionShift),INDEX($FO$245:$IH$316,$FN214-GC$169,73-GC$169+SwaptionShift):INDEX($FO$245:$IH$316,$FN214-GC$169,72-GC$169+SwaptionMonthsToGo+SwaptionShift))/SQRT(SUM(INDEX($FO369:$IH369,1+SwaptionShift):INDEX($FO369:$IH369,SwaptionMonthsToGo+SwaptionShift))*SUM(INDEX($FO$325:$IH$396,GC$169,1+SwaptionShift):INDEX($FO$325:$IH$396,GC$169,SwaptionMonthsToGo+SwaptionShift))))))</f>
        <v/>
      </c>
      <c r="GD214" s="469" t="str">
        <f ca="1">IF(OR(GD$169&lt;SwaptionFirstMonthPosition+1,$FN214&lt;SwaptionFirstMonthPosition+1,GD$169&gt;SwaptionFirstMonthPosition+SwaptionNumOfMonths+1,$FN214&gt;SwaptionFirstMonthPosition+SwaptionNumOfMonths+1),"",IF($FN214=GD$169,1,IF($FN214&lt;GD$169,INDEX($FO$170:$IH$241,GD$169,$FN214),SUMPRODUCT(INDEX($FO$325:$IH$396,GD$169,1+SwaptionShift):INDEX($FO$325:$IH$396,GD$169,SwaptionMonthsToGo+SwaptionShift),INDEX($FO$245:$IH$316,$FN214-GD$169,73-GD$169+SwaptionShift):INDEX($FO$245:$IH$316,$FN214-GD$169,72-GD$169+SwaptionMonthsToGo+SwaptionShift))/SQRT(SUM(INDEX($FO369:$IH369,1+SwaptionShift):INDEX($FO369:$IH369,SwaptionMonthsToGo+SwaptionShift))*SUM(INDEX($FO$325:$IH$396,GD$169,1+SwaptionShift):INDEX($FO$325:$IH$396,GD$169,SwaptionMonthsToGo+SwaptionShift))))))</f>
        <v/>
      </c>
      <c r="GE214" s="469" t="str">
        <f ca="1">IF(OR(GE$169&lt;SwaptionFirstMonthPosition+1,$FN214&lt;SwaptionFirstMonthPosition+1,GE$169&gt;SwaptionFirstMonthPosition+SwaptionNumOfMonths+1,$FN214&gt;SwaptionFirstMonthPosition+SwaptionNumOfMonths+1),"",IF($FN214=GE$169,1,IF($FN214&lt;GE$169,INDEX($FO$170:$IH$241,GE$169,$FN214),SUMPRODUCT(INDEX($FO$325:$IH$396,GE$169,1+SwaptionShift):INDEX($FO$325:$IH$396,GE$169,SwaptionMonthsToGo+SwaptionShift),INDEX($FO$245:$IH$316,$FN214-GE$169,73-GE$169+SwaptionShift):INDEX($FO$245:$IH$316,$FN214-GE$169,72-GE$169+SwaptionMonthsToGo+SwaptionShift))/SQRT(SUM(INDEX($FO369:$IH369,1+SwaptionShift):INDEX($FO369:$IH369,SwaptionMonthsToGo+SwaptionShift))*SUM(INDEX($FO$325:$IH$396,GE$169,1+SwaptionShift):INDEX($FO$325:$IH$396,GE$169,SwaptionMonthsToGo+SwaptionShift))))))</f>
        <v/>
      </c>
      <c r="GF214" s="469" t="str">
        <f ca="1">IF(OR(GF$169&lt;SwaptionFirstMonthPosition+1,$FN214&lt;SwaptionFirstMonthPosition+1,GF$169&gt;SwaptionFirstMonthPosition+SwaptionNumOfMonths+1,$FN214&gt;SwaptionFirstMonthPosition+SwaptionNumOfMonths+1),"",IF($FN214=GF$169,1,IF($FN214&lt;GF$169,INDEX($FO$170:$IH$241,GF$169,$FN214),SUMPRODUCT(INDEX($FO$325:$IH$396,GF$169,1+SwaptionShift):INDEX($FO$325:$IH$396,GF$169,SwaptionMonthsToGo+SwaptionShift),INDEX($FO$245:$IH$316,$FN214-GF$169,73-GF$169+SwaptionShift):INDEX($FO$245:$IH$316,$FN214-GF$169,72-GF$169+SwaptionMonthsToGo+SwaptionShift))/SQRT(SUM(INDEX($FO369:$IH369,1+SwaptionShift):INDEX($FO369:$IH369,SwaptionMonthsToGo+SwaptionShift))*SUM(INDEX($FO$325:$IH$396,GF$169,1+SwaptionShift):INDEX($FO$325:$IH$396,GF$169,SwaptionMonthsToGo+SwaptionShift))))))</f>
        <v/>
      </c>
      <c r="GG214" s="469" t="str">
        <f ca="1">IF(OR(GG$169&lt;SwaptionFirstMonthPosition+1,$FN214&lt;SwaptionFirstMonthPosition+1,GG$169&gt;SwaptionFirstMonthPosition+SwaptionNumOfMonths+1,$FN214&gt;SwaptionFirstMonthPosition+SwaptionNumOfMonths+1),"",IF($FN214=GG$169,1,IF($FN214&lt;GG$169,INDEX($FO$170:$IH$241,GG$169,$FN214),SUMPRODUCT(INDEX($FO$325:$IH$396,GG$169,1+SwaptionShift):INDEX($FO$325:$IH$396,GG$169,SwaptionMonthsToGo+SwaptionShift),INDEX($FO$245:$IH$316,$FN214-GG$169,73-GG$169+SwaptionShift):INDEX($FO$245:$IH$316,$FN214-GG$169,72-GG$169+SwaptionMonthsToGo+SwaptionShift))/SQRT(SUM(INDEX($FO369:$IH369,1+SwaptionShift):INDEX($FO369:$IH369,SwaptionMonthsToGo+SwaptionShift))*SUM(INDEX($FO$325:$IH$396,GG$169,1+SwaptionShift):INDEX($FO$325:$IH$396,GG$169,SwaptionMonthsToGo+SwaptionShift))))))</f>
        <v/>
      </c>
      <c r="GH214" s="469" t="str">
        <f ca="1">IF(OR(GH$169&lt;SwaptionFirstMonthPosition+1,$FN214&lt;SwaptionFirstMonthPosition+1,GH$169&gt;SwaptionFirstMonthPosition+SwaptionNumOfMonths+1,$FN214&gt;SwaptionFirstMonthPosition+SwaptionNumOfMonths+1),"",IF($FN214=GH$169,1,IF($FN214&lt;GH$169,INDEX($FO$170:$IH$241,GH$169,$FN214),SUMPRODUCT(INDEX($FO$325:$IH$396,GH$169,1+SwaptionShift):INDEX($FO$325:$IH$396,GH$169,SwaptionMonthsToGo+SwaptionShift),INDEX($FO$245:$IH$316,$FN214-GH$169,73-GH$169+SwaptionShift):INDEX($FO$245:$IH$316,$FN214-GH$169,72-GH$169+SwaptionMonthsToGo+SwaptionShift))/SQRT(SUM(INDEX($FO369:$IH369,1+SwaptionShift):INDEX($FO369:$IH369,SwaptionMonthsToGo+SwaptionShift))*SUM(INDEX($FO$325:$IH$396,GH$169,1+SwaptionShift):INDEX($FO$325:$IH$396,GH$169,SwaptionMonthsToGo+SwaptionShift))))))</f>
        <v/>
      </c>
      <c r="GI214" s="469" t="str">
        <f ca="1">IF(OR(GI$169&lt;SwaptionFirstMonthPosition+1,$FN214&lt;SwaptionFirstMonthPosition+1,GI$169&gt;SwaptionFirstMonthPosition+SwaptionNumOfMonths+1,$FN214&gt;SwaptionFirstMonthPosition+SwaptionNumOfMonths+1),"",IF($FN214=GI$169,1,IF($FN214&lt;GI$169,INDEX($FO$170:$IH$241,GI$169,$FN214),SUMPRODUCT(INDEX($FO$325:$IH$396,GI$169,1+SwaptionShift):INDEX($FO$325:$IH$396,GI$169,SwaptionMonthsToGo+SwaptionShift),INDEX($FO$245:$IH$316,$FN214-GI$169,73-GI$169+SwaptionShift):INDEX($FO$245:$IH$316,$FN214-GI$169,72-GI$169+SwaptionMonthsToGo+SwaptionShift))/SQRT(SUM(INDEX($FO369:$IH369,1+SwaptionShift):INDEX($FO369:$IH369,SwaptionMonthsToGo+SwaptionShift))*SUM(INDEX($FO$325:$IH$396,GI$169,1+SwaptionShift):INDEX($FO$325:$IH$396,GI$169,SwaptionMonthsToGo+SwaptionShift))))))</f>
        <v/>
      </c>
      <c r="GJ214" s="469" t="str">
        <f ca="1">IF(OR(GJ$169&lt;SwaptionFirstMonthPosition+1,$FN214&lt;SwaptionFirstMonthPosition+1,GJ$169&gt;SwaptionFirstMonthPosition+SwaptionNumOfMonths+1,$FN214&gt;SwaptionFirstMonthPosition+SwaptionNumOfMonths+1),"",IF($FN214=GJ$169,1,IF($FN214&lt;GJ$169,INDEX($FO$170:$IH$241,GJ$169,$FN214),SUMPRODUCT(INDEX($FO$325:$IH$396,GJ$169,1+SwaptionShift):INDEX($FO$325:$IH$396,GJ$169,SwaptionMonthsToGo+SwaptionShift),INDEX($FO$245:$IH$316,$FN214-GJ$169,73-GJ$169+SwaptionShift):INDEX($FO$245:$IH$316,$FN214-GJ$169,72-GJ$169+SwaptionMonthsToGo+SwaptionShift))/SQRT(SUM(INDEX($FO369:$IH369,1+SwaptionShift):INDEX($FO369:$IH369,SwaptionMonthsToGo+SwaptionShift))*SUM(INDEX($FO$325:$IH$396,GJ$169,1+SwaptionShift):INDEX($FO$325:$IH$396,GJ$169,SwaptionMonthsToGo+SwaptionShift))))))</f>
        <v/>
      </c>
      <c r="GK214" s="469" t="str">
        <f ca="1">IF(OR(GK$169&lt;SwaptionFirstMonthPosition+1,$FN214&lt;SwaptionFirstMonthPosition+1,GK$169&gt;SwaptionFirstMonthPosition+SwaptionNumOfMonths+1,$FN214&gt;SwaptionFirstMonthPosition+SwaptionNumOfMonths+1),"",IF($FN214=GK$169,1,IF($FN214&lt;GK$169,INDEX($FO$170:$IH$241,GK$169,$FN214),SUMPRODUCT(INDEX($FO$325:$IH$396,GK$169,1+SwaptionShift):INDEX($FO$325:$IH$396,GK$169,SwaptionMonthsToGo+SwaptionShift),INDEX($FO$245:$IH$316,$FN214-GK$169,73-GK$169+SwaptionShift):INDEX($FO$245:$IH$316,$FN214-GK$169,72-GK$169+SwaptionMonthsToGo+SwaptionShift))/SQRT(SUM(INDEX($FO369:$IH369,1+SwaptionShift):INDEX($FO369:$IH369,SwaptionMonthsToGo+SwaptionShift))*SUM(INDEX($FO$325:$IH$396,GK$169,1+SwaptionShift):INDEX($FO$325:$IH$396,GK$169,SwaptionMonthsToGo+SwaptionShift))))))</f>
        <v/>
      </c>
      <c r="GL214" s="469" t="str">
        <f ca="1">IF(OR(GL$169&lt;SwaptionFirstMonthPosition+1,$FN214&lt;SwaptionFirstMonthPosition+1,GL$169&gt;SwaptionFirstMonthPosition+SwaptionNumOfMonths+1,$FN214&gt;SwaptionFirstMonthPosition+SwaptionNumOfMonths+1),"",IF($FN214=GL$169,1,IF($FN214&lt;GL$169,INDEX($FO$170:$IH$241,GL$169,$FN214),SUMPRODUCT(INDEX($FO$325:$IH$396,GL$169,1+SwaptionShift):INDEX($FO$325:$IH$396,GL$169,SwaptionMonthsToGo+SwaptionShift),INDEX($FO$245:$IH$316,$FN214-GL$169,73-GL$169+SwaptionShift):INDEX($FO$245:$IH$316,$FN214-GL$169,72-GL$169+SwaptionMonthsToGo+SwaptionShift))/SQRT(SUM(INDEX($FO369:$IH369,1+SwaptionShift):INDEX($FO369:$IH369,SwaptionMonthsToGo+SwaptionShift))*SUM(INDEX($FO$325:$IH$396,GL$169,1+SwaptionShift):INDEX($FO$325:$IH$396,GL$169,SwaptionMonthsToGo+SwaptionShift))))))</f>
        <v/>
      </c>
      <c r="GM214" s="469" t="str">
        <f ca="1">IF(OR(GM$169&lt;SwaptionFirstMonthPosition+1,$FN214&lt;SwaptionFirstMonthPosition+1,GM$169&gt;SwaptionFirstMonthPosition+SwaptionNumOfMonths+1,$FN214&gt;SwaptionFirstMonthPosition+SwaptionNumOfMonths+1),"",IF($FN214=GM$169,1,IF($FN214&lt;GM$169,INDEX($FO$170:$IH$241,GM$169,$FN214),SUMPRODUCT(INDEX($FO$325:$IH$396,GM$169,1+SwaptionShift):INDEX($FO$325:$IH$396,GM$169,SwaptionMonthsToGo+SwaptionShift),INDEX($FO$245:$IH$316,$FN214-GM$169,73-GM$169+SwaptionShift):INDEX($FO$245:$IH$316,$FN214-GM$169,72-GM$169+SwaptionMonthsToGo+SwaptionShift))/SQRT(SUM(INDEX($FO369:$IH369,1+SwaptionShift):INDEX($FO369:$IH369,SwaptionMonthsToGo+SwaptionShift))*SUM(INDEX($FO$325:$IH$396,GM$169,1+SwaptionShift):INDEX($FO$325:$IH$396,GM$169,SwaptionMonthsToGo+SwaptionShift))))))</f>
        <v/>
      </c>
      <c r="GN214" s="469" t="str">
        <f ca="1">IF(OR(GN$169&lt;SwaptionFirstMonthPosition+1,$FN214&lt;SwaptionFirstMonthPosition+1,GN$169&gt;SwaptionFirstMonthPosition+SwaptionNumOfMonths+1,$FN214&gt;SwaptionFirstMonthPosition+SwaptionNumOfMonths+1),"",IF($FN214=GN$169,1,IF($FN214&lt;GN$169,INDEX($FO$170:$IH$241,GN$169,$FN214),SUMPRODUCT(INDEX($FO$325:$IH$396,GN$169,1+SwaptionShift):INDEX($FO$325:$IH$396,GN$169,SwaptionMonthsToGo+SwaptionShift),INDEX($FO$245:$IH$316,$FN214-GN$169,73-GN$169+SwaptionShift):INDEX($FO$245:$IH$316,$FN214-GN$169,72-GN$169+SwaptionMonthsToGo+SwaptionShift))/SQRT(SUM(INDEX($FO369:$IH369,1+SwaptionShift):INDEX($FO369:$IH369,SwaptionMonthsToGo+SwaptionShift))*SUM(INDEX($FO$325:$IH$396,GN$169,1+SwaptionShift):INDEX($FO$325:$IH$396,GN$169,SwaptionMonthsToGo+SwaptionShift))))))</f>
        <v/>
      </c>
      <c r="GO214" s="469" t="str">
        <f ca="1">IF(OR(GO$169&lt;SwaptionFirstMonthPosition+1,$FN214&lt;SwaptionFirstMonthPosition+1,GO$169&gt;SwaptionFirstMonthPosition+SwaptionNumOfMonths+1,$FN214&gt;SwaptionFirstMonthPosition+SwaptionNumOfMonths+1),"",IF($FN214=GO$169,1,IF($FN214&lt;GO$169,INDEX($FO$170:$IH$241,GO$169,$FN214),SUMPRODUCT(INDEX($FO$325:$IH$396,GO$169,1+SwaptionShift):INDEX($FO$325:$IH$396,GO$169,SwaptionMonthsToGo+SwaptionShift),INDEX($FO$245:$IH$316,$FN214-GO$169,73-GO$169+SwaptionShift):INDEX($FO$245:$IH$316,$FN214-GO$169,72-GO$169+SwaptionMonthsToGo+SwaptionShift))/SQRT(SUM(INDEX($FO369:$IH369,1+SwaptionShift):INDEX($FO369:$IH369,SwaptionMonthsToGo+SwaptionShift))*SUM(INDEX($FO$325:$IH$396,GO$169,1+SwaptionShift):INDEX($FO$325:$IH$396,GO$169,SwaptionMonthsToGo+SwaptionShift))))))</f>
        <v/>
      </c>
      <c r="GP214" s="469" t="str">
        <f ca="1">IF(OR(GP$169&lt;SwaptionFirstMonthPosition+1,$FN214&lt;SwaptionFirstMonthPosition+1,GP$169&gt;SwaptionFirstMonthPosition+SwaptionNumOfMonths+1,$FN214&gt;SwaptionFirstMonthPosition+SwaptionNumOfMonths+1),"",IF($FN214=GP$169,1,IF($FN214&lt;GP$169,INDEX($FO$170:$IH$241,GP$169,$FN214),SUMPRODUCT(INDEX($FO$325:$IH$396,GP$169,1+SwaptionShift):INDEX($FO$325:$IH$396,GP$169,SwaptionMonthsToGo+SwaptionShift),INDEX($FO$245:$IH$316,$FN214-GP$169,73-GP$169+SwaptionShift):INDEX($FO$245:$IH$316,$FN214-GP$169,72-GP$169+SwaptionMonthsToGo+SwaptionShift))/SQRT(SUM(INDEX($FO369:$IH369,1+SwaptionShift):INDEX($FO369:$IH369,SwaptionMonthsToGo+SwaptionShift))*SUM(INDEX($FO$325:$IH$396,GP$169,1+SwaptionShift):INDEX($FO$325:$IH$396,GP$169,SwaptionMonthsToGo+SwaptionShift))))))</f>
        <v/>
      </c>
      <c r="GQ214" s="469" t="str">
        <f ca="1">IF(OR(GQ$169&lt;SwaptionFirstMonthPosition+1,$FN214&lt;SwaptionFirstMonthPosition+1,GQ$169&gt;SwaptionFirstMonthPosition+SwaptionNumOfMonths+1,$FN214&gt;SwaptionFirstMonthPosition+SwaptionNumOfMonths+1),"",IF($FN214=GQ$169,1,IF($FN214&lt;GQ$169,INDEX($FO$170:$IH$241,GQ$169,$FN214),SUMPRODUCT(INDEX($FO$325:$IH$396,GQ$169,1+SwaptionShift):INDEX($FO$325:$IH$396,GQ$169,SwaptionMonthsToGo+SwaptionShift),INDEX($FO$245:$IH$316,$FN214-GQ$169,73-GQ$169+SwaptionShift):INDEX($FO$245:$IH$316,$FN214-GQ$169,72-GQ$169+SwaptionMonthsToGo+SwaptionShift))/SQRT(SUM(INDEX($FO369:$IH369,1+SwaptionShift):INDEX($FO369:$IH369,SwaptionMonthsToGo+SwaptionShift))*SUM(INDEX($FO$325:$IH$396,GQ$169,1+SwaptionShift):INDEX($FO$325:$IH$396,GQ$169,SwaptionMonthsToGo+SwaptionShift))))))</f>
        <v/>
      </c>
      <c r="GR214" s="469" t="str">
        <f ca="1">IF(OR(GR$169&lt;SwaptionFirstMonthPosition+1,$FN214&lt;SwaptionFirstMonthPosition+1,GR$169&gt;SwaptionFirstMonthPosition+SwaptionNumOfMonths+1,$FN214&gt;SwaptionFirstMonthPosition+SwaptionNumOfMonths+1),"",IF($FN214=GR$169,1,IF($FN214&lt;GR$169,INDEX($FO$170:$IH$241,GR$169,$FN214),SUMPRODUCT(INDEX($FO$325:$IH$396,GR$169,1+SwaptionShift):INDEX($FO$325:$IH$396,GR$169,SwaptionMonthsToGo+SwaptionShift),INDEX($FO$245:$IH$316,$FN214-GR$169,73-GR$169+SwaptionShift):INDEX($FO$245:$IH$316,$FN214-GR$169,72-GR$169+SwaptionMonthsToGo+SwaptionShift))/SQRT(SUM(INDEX($FO369:$IH369,1+SwaptionShift):INDEX($FO369:$IH369,SwaptionMonthsToGo+SwaptionShift))*SUM(INDEX($FO$325:$IH$396,GR$169,1+SwaptionShift):INDEX($FO$325:$IH$396,GR$169,SwaptionMonthsToGo+SwaptionShift))))))</f>
        <v/>
      </c>
      <c r="GS214" s="469" t="str">
        <f ca="1">IF(OR(GS$169&lt;SwaptionFirstMonthPosition+1,$FN214&lt;SwaptionFirstMonthPosition+1,GS$169&gt;SwaptionFirstMonthPosition+SwaptionNumOfMonths+1,$FN214&gt;SwaptionFirstMonthPosition+SwaptionNumOfMonths+1),"",IF($FN214=GS$169,1,IF($FN214&lt;GS$169,INDEX($FO$170:$IH$241,GS$169,$FN214),SUMPRODUCT(INDEX($FO$325:$IH$396,GS$169,1+SwaptionShift):INDEX($FO$325:$IH$396,GS$169,SwaptionMonthsToGo+SwaptionShift),INDEX($FO$245:$IH$316,$FN214-GS$169,73-GS$169+SwaptionShift):INDEX($FO$245:$IH$316,$FN214-GS$169,72-GS$169+SwaptionMonthsToGo+SwaptionShift))/SQRT(SUM(INDEX($FO369:$IH369,1+SwaptionShift):INDEX($FO369:$IH369,SwaptionMonthsToGo+SwaptionShift))*SUM(INDEX($FO$325:$IH$396,GS$169,1+SwaptionShift):INDEX($FO$325:$IH$396,GS$169,SwaptionMonthsToGo+SwaptionShift))))))</f>
        <v/>
      </c>
      <c r="GT214" s="469" t="str">
        <f ca="1">IF(OR(GT$169&lt;SwaptionFirstMonthPosition+1,$FN214&lt;SwaptionFirstMonthPosition+1,GT$169&gt;SwaptionFirstMonthPosition+SwaptionNumOfMonths+1,$FN214&gt;SwaptionFirstMonthPosition+SwaptionNumOfMonths+1),"",IF($FN214=GT$169,1,IF($FN214&lt;GT$169,INDEX($FO$170:$IH$241,GT$169,$FN214),SUMPRODUCT(INDEX($FO$325:$IH$396,GT$169,1+SwaptionShift):INDEX($FO$325:$IH$396,GT$169,SwaptionMonthsToGo+SwaptionShift),INDEX($FO$245:$IH$316,$FN214-GT$169,73-GT$169+SwaptionShift):INDEX($FO$245:$IH$316,$FN214-GT$169,72-GT$169+SwaptionMonthsToGo+SwaptionShift))/SQRT(SUM(INDEX($FO369:$IH369,1+SwaptionShift):INDEX($FO369:$IH369,SwaptionMonthsToGo+SwaptionShift))*SUM(INDEX($FO$325:$IH$396,GT$169,1+SwaptionShift):INDEX($FO$325:$IH$396,GT$169,SwaptionMonthsToGo+SwaptionShift))))))</f>
        <v/>
      </c>
      <c r="GU214" s="469" t="str">
        <f ca="1">IF(OR(GU$169&lt;SwaptionFirstMonthPosition+1,$FN214&lt;SwaptionFirstMonthPosition+1,GU$169&gt;SwaptionFirstMonthPosition+SwaptionNumOfMonths+1,$FN214&gt;SwaptionFirstMonthPosition+SwaptionNumOfMonths+1),"",IF($FN214=GU$169,1,IF($FN214&lt;GU$169,INDEX($FO$170:$IH$241,GU$169,$FN214),SUMPRODUCT(INDEX($FO$325:$IH$396,GU$169,1+SwaptionShift):INDEX($FO$325:$IH$396,GU$169,SwaptionMonthsToGo+SwaptionShift),INDEX($FO$245:$IH$316,$FN214-GU$169,73-GU$169+SwaptionShift):INDEX($FO$245:$IH$316,$FN214-GU$169,72-GU$169+SwaptionMonthsToGo+SwaptionShift))/SQRT(SUM(INDEX($FO369:$IH369,1+SwaptionShift):INDEX($FO369:$IH369,SwaptionMonthsToGo+SwaptionShift))*SUM(INDEX($FO$325:$IH$396,GU$169,1+SwaptionShift):INDEX($FO$325:$IH$396,GU$169,SwaptionMonthsToGo+SwaptionShift))))))</f>
        <v/>
      </c>
      <c r="GV214" s="469" t="str">
        <f ca="1">IF(OR(GV$169&lt;SwaptionFirstMonthPosition+1,$FN214&lt;SwaptionFirstMonthPosition+1,GV$169&gt;SwaptionFirstMonthPosition+SwaptionNumOfMonths+1,$FN214&gt;SwaptionFirstMonthPosition+SwaptionNumOfMonths+1),"",IF($FN214=GV$169,1,IF($FN214&lt;GV$169,INDEX($FO$170:$IH$241,GV$169,$FN214),SUMPRODUCT(INDEX($FO$325:$IH$396,GV$169,1+SwaptionShift):INDEX($FO$325:$IH$396,GV$169,SwaptionMonthsToGo+SwaptionShift),INDEX($FO$245:$IH$316,$FN214-GV$169,73-GV$169+SwaptionShift):INDEX($FO$245:$IH$316,$FN214-GV$169,72-GV$169+SwaptionMonthsToGo+SwaptionShift))/SQRT(SUM(INDEX($FO369:$IH369,1+SwaptionShift):INDEX($FO369:$IH369,SwaptionMonthsToGo+SwaptionShift))*SUM(INDEX($FO$325:$IH$396,GV$169,1+SwaptionShift):INDEX($FO$325:$IH$396,GV$169,SwaptionMonthsToGo+SwaptionShift))))))</f>
        <v/>
      </c>
      <c r="GW214" s="469" t="str">
        <f ca="1">IF(OR(GW$169&lt;SwaptionFirstMonthPosition+1,$FN214&lt;SwaptionFirstMonthPosition+1,GW$169&gt;SwaptionFirstMonthPosition+SwaptionNumOfMonths+1,$FN214&gt;SwaptionFirstMonthPosition+SwaptionNumOfMonths+1),"",IF($FN214=GW$169,1,IF($FN214&lt;GW$169,INDEX($FO$170:$IH$241,GW$169,$FN214),SUMPRODUCT(INDEX($FO$325:$IH$396,GW$169,1+SwaptionShift):INDEX($FO$325:$IH$396,GW$169,SwaptionMonthsToGo+SwaptionShift),INDEX($FO$245:$IH$316,$FN214-GW$169,73-GW$169+SwaptionShift):INDEX($FO$245:$IH$316,$FN214-GW$169,72-GW$169+SwaptionMonthsToGo+SwaptionShift))/SQRT(SUM(INDEX($FO369:$IH369,1+SwaptionShift):INDEX($FO369:$IH369,SwaptionMonthsToGo+SwaptionShift))*SUM(INDEX($FO$325:$IH$396,GW$169,1+SwaptionShift):INDEX($FO$325:$IH$396,GW$169,SwaptionMonthsToGo+SwaptionShift))))))</f>
        <v/>
      </c>
      <c r="GX214" s="469" t="str">
        <f ca="1">IF(OR(GX$169&lt;SwaptionFirstMonthPosition+1,$FN214&lt;SwaptionFirstMonthPosition+1,GX$169&gt;SwaptionFirstMonthPosition+SwaptionNumOfMonths+1,$FN214&gt;SwaptionFirstMonthPosition+SwaptionNumOfMonths+1),"",IF($FN214=GX$169,1,IF($FN214&lt;GX$169,INDEX($FO$170:$IH$241,GX$169,$FN214),SUMPRODUCT(INDEX($FO$325:$IH$396,GX$169,1+SwaptionShift):INDEX($FO$325:$IH$396,GX$169,SwaptionMonthsToGo+SwaptionShift),INDEX($FO$245:$IH$316,$FN214-GX$169,73-GX$169+SwaptionShift):INDEX($FO$245:$IH$316,$FN214-GX$169,72-GX$169+SwaptionMonthsToGo+SwaptionShift))/SQRT(SUM(INDEX($FO369:$IH369,1+SwaptionShift):INDEX($FO369:$IH369,SwaptionMonthsToGo+SwaptionShift))*SUM(INDEX($FO$325:$IH$396,GX$169,1+SwaptionShift):INDEX($FO$325:$IH$396,GX$169,SwaptionMonthsToGo+SwaptionShift))))))</f>
        <v/>
      </c>
      <c r="GY214" s="469" t="str">
        <f ca="1">IF(OR(GY$169&lt;SwaptionFirstMonthPosition+1,$FN214&lt;SwaptionFirstMonthPosition+1,GY$169&gt;SwaptionFirstMonthPosition+SwaptionNumOfMonths+1,$FN214&gt;SwaptionFirstMonthPosition+SwaptionNumOfMonths+1),"",IF($FN214=GY$169,1,IF($FN214&lt;GY$169,INDEX($FO$170:$IH$241,GY$169,$FN214),SUMPRODUCT(INDEX($FO$325:$IH$396,GY$169,1+SwaptionShift):INDEX($FO$325:$IH$396,GY$169,SwaptionMonthsToGo+SwaptionShift),INDEX($FO$245:$IH$316,$FN214-GY$169,73-GY$169+SwaptionShift):INDEX($FO$245:$IH$316,$FN214-GY$169,72-GY$169+SwaptionMonthsToGo+SwaptionShift))/SQRT(SUM(INDEX($FO369:$IH369,1+SwaptionShift):INDEX($FO369:$IH369,SwaptionMonthsToGo+SwaptionShift))*SUM(INDEX($FO$325:$IH$396,GY$169,1+SwaptionShift):INDEX($FO$325:$IH$396,GY$169,SwaptionMonthsToGo+SwaptionShift))))))</f>
        <v/>
      </c>
      <c r="GZ214" s="469" t="str">
        <f ca="1">IF(OR(GZ$169&lt;SwaptionFirstMonthPosition+1,$FN214&lt;SwaptionFirstMonthPosition+1,GZ$169&gt;SwaptionFirstMonthPosition+SwaptionNumOfMonths+1,$FN214&gt;SwaptionFirstMonthPosition+SwaptionNumOfMonths+1),"",IF($FN214=GZ$169,1,IF($FN214&lt;GZ$169,INDEX($FO$170:$IH$241,GZ$169,$FN214),SUMPRODUCT(INDEX($FO$325:$IH$396,GZ$169,1+SwaptionShift):INDEX($FO$325:$IH$396,GZ$169,SwaptionMonthsToGo+SwaptionShift),INDEX($FO$245:$IH$316,$FN214-GZ$169,73-GZ$169+SwaptionShift):INDEX($FO$245:$IH$316,$FN214-GZ$169,72-GZ$169+SwaptionMonthsToGo+SwaptionShift))/SQRT(SUM(INDEX($FO369:$IH369,1+SwaptionShift):INDEX($FO369:$IH369,SwaptionMonthsToGo+SwaptionShift))*SUM(INDEX($FO$325:$IH$396,GZ$169,1+SwaptionShift):INDEX($FO$325:$IH$396,GZ$169,SwaptionMonthsToGo+SwaptionShift))))))</f>
        <v/>
      </c>
      <c r="HA214" s="469" t="str">
        <f ca="1">IF(OR(HA$169&lt;SwaptionFirstMonthPosition+1,$FN214&lt;SwaptionFirstMonthPosition+1,HA$169&gt;SwaptionFirstMonthPosition+SwaptionNumOfMonths+1,$FN214&gt;SwaptionFirstMonthPosition+SwaptionNumOfMonths+1),"",IF($FN214=HA$169,1,IF($FN214&lt;HA$169,INDEX($FO$170:$IH$241,HA$169,$FN214),SUMPRODUCT(INDEX($FO$325:$IH$396,HA$169,1+SwaptionShift):INDEX($FO$325:$IH$396,HA$169,SwaptionMonthsToGo+SwaptionShift),INDEX($FO$245:$IH$316,$FN214-HA$169,73-HA$169+SwaptionShift):INDEX($FO$245:$IH$316,$FN214-HA$169,72-HA$169+SwaptionMonthsToGo+SwaptionShift))/SQRT(SUM(INDEX($FO369:$IH369,1+SwaptionShift):INDEX($FO369:$IH369,SwaptionMonthsToGo+SwaptionShift))*SUM(INDEX($FO$325:$IH$396,HA$169,1+SwaptionShift):INDEX($FO$325:$IH$396,HA$169,SwaptionMonthsToGo+SwaptionShift))))))</f>
        <v/>
      </c>
      <c r="HB214" s="469" t="str">
        <f ca="1">IF(OR(HB$169&lt;SwaptionFirstMonthPosition+1,$FN214&lt;SwaptionFirstMonthPosition+1,HB$169&gt;SwaptionFirstMonthPosition+SwaptionNumOfMonths+1,$FN214&gt;SwaptionFirstMonthPosition+SwaptionNumOfMonths+1),"",IF($FN214=HB$169,1,IF($FN214&lt;HB$169,INDEX($FO$170:$IH$241,HB$169,$FN214),SUMPRODUCT(INDEX($FO$325:$IH$396,HB$169,1+SwaptionShift):INDEX($FO$325:$IH$396,HB$169,SwaptionMonthsToGo+SwaptionShift),INDEX($FO$245:$IH$316,$FN214-HB$169,73-HB$169+SwaptionShift):INDEX($FO$245:$IH$316,$FN214-HB$169,72-HB$169+SwaptionMonthsToGo+SwaptionShift))/SQRT(SUM(INDEX($FO369:$IH369,1+SwaptionShift):INDEX($FO369:$IH369,SwaptionMonthsToGo+SwaptionShift))*SUM(INDEX($FO$325:$IH$396,HB$169,1+SwaptionShift):INDEX($FO$325:$IH$396,HB$169,SwaptionMonthsToGo+SwaptionShift))))))</f>
        <v/>
      </c>
      <c r="HC214" s="469" t="str">
        <f ca="1">IF(OR(HC$169&lt;SwaptionFirstMonthPosition+1,$FN214&lt;SwaptionFirstMonthPosition+1,HC$169&gt;SwaptionFirstMonthPosition+SwaptionNumOfMonths+1,$FN214&gt;SwaptionFirstMonthPosition+SwaptionNumOfMonths+1),"",IF($FN214=HC$169,1,IF($FN214&lt;HC$169,INDEX($FO$170:$IH$241,HC$169,$FN214),SUMPRODUCT(INDEX($FO$325:$IH$396,HC$169,1+SwaptionShift):INDEX($FO$325:$IH$396,HC$169,SwaptionMonthsToGo+SwaptionShift),INDEX($FO$245:$IH$316,$FN214-HC$169,73-HC$169+SwaptionShift):INDEX($FO$245:$IH$316,$FN214-HC$169,72-HC$169+SwaptionMonthsToGo+SwaptionShift))/SQRT(SUM(INDEX($FO369:$IH369,1+SwaptionShift):INDEX($FO369:$IH369,SwaptionMonthsToGo+SwaptionShift))*SUM(INDEX($FO$325:$IH$396,HC$169,1+SwaptionShift):INDEX($FO$325:$IH$396,HC$169,SwaptionMonthsToGo+SwaptionShift))))))</f>
        <v/>
      </c>
      <c r="HD214" s="469" t="str">
        <f ca="1">IF(OR(HD$169&lt;SwaptionFirstMonthPosition+1,$FN214&lt;SwaptionFirstMonthPosition+1,HD$169&gt;SwaptionFirstMonthPosition+SwaptionNumOfMonths+1,$FN214&gt;SwaptionFirstMonthPosition+SwaptionNumOfMonths+1),"",IF($FN214=HD$169,1,IF($FN214&lt;HD$169,INDEX($FO$170:$IH$241,HD$169,$FN214),SUMPRODUCT(INDEX($FO$325:$IH$396,HD$169,1+SwaptionShift):INDEX($FO$325:$IH$396,HD$169,SwaptionMonthsToGo+SwaptionShift),INDEX($FO$245:$IH$316,$FN214-HD$169,73-HD$169+SwaptionShift):INDEX($FO$245:$IH$316,$FN214-HD$169,72-HD$169+SwaptionMonthsToGo+SwaptionShift))/SQRT(SUM(INDEX($FO369:$IH369,1+SwaptionShift):INDEX($FO369:$IH369,SwaptionMonthsToGo+SwaptionShift))*SUM(INDEX($FO$325:$IH$396,HD$169,1+SwaptionShift):INDEX($FO$325:$IH$396,HD$169,SwaptionMonthsToGo+SwaptionShift))))))</f>
        <v/>
      </c>
      <c r="HE214" s="469" t="str">
        <f ca="1">IF(OR(HE$169&lt;SwaptionFirstMonthPosition+1,$FN214&lt;SwaptionFirstMonthPosition+1,HE$169&gt;SwaptionFirstMonthPosition+SwaptionNumOfMonths+1,$FN214&gt;SwaptionFirstMonthPosition+SwaptionNumOfMonths+1),"",IF($FN214=HE$169,1,IF($FN214&lt;HE$169,INDEX($FO$170:$IH$241,HE$169,$FN214),SUMPRODUCT(INDEX($FO$325:$IH$396,HE$169,1+SwaptionShift):INDEX($FO$325:$IH$396,HE$169,SwaptionMonthsToGo+SwaptionShift),INDEX($FO$245:$IH$316,$FN214-HE$169,73-HE$169+SwaptionShift):INDEX($FO$245:$IH$316,$FN214-HE$169,72-HE$169+SwaptionMonthsToGo+SwaptionShift))/SQRT(SUM(INDEX($FO369:$IH369,1+SwaptionShift):INDEX($FO369:$IH369,SwaptionMonthsToGo+SwaptionShift))*SUM(INDEX($FO$325:$IH$396,HE$169,1+SwaptionShift):INDEX($FO$325:$IH$396,HE$169,SwaptionMonthsToGo+SwaptionShift))))))</f>
        <v/>
      </c>
      <c r="HF214" s="469" t="str">
        <f ca="1">IF(OR(HF$169&lt;SwaptionFirstMonthPosition+1,$FN214&lt;SwaptionFirstMonthPosition+1,HF$169&gt;SwaptionFirstMonthPosition+SwaptionNumOfMonths+1,$FN214&gt;SwaptionFirstMonthPosition+SwaptionNumOfMonths+1),"",IF($FN214=HF$169,1,IF($FN214&lt;HF$169,INDEX($FO$170:$IH$241,HF$169,$FN214),SUMPRODUCT(INDEX($FO$325:$IH$396,HF$169,1+SwaptionShift):INDEX($FO$325:$IH$396,HF$169,SwaptionMonthsToGo+SwaptionShift),INDEX($FO$245:$IH$316,$FN214-HF$169,73-HF$169+SwaptionShift):INDEX($FO$245:$IH$316,$FN214-HF$169,72-HF$169+SwaptionMonthsToGo+SwaptionShift))/SQRT(SUM(INDEX($FO369:$IH369,1+SwaptionShift):INDEX($FO369:$IH369,SwaptionMonthsToGo+SwaptionShift))*SUM(INDEX($FO$325:$IH$396,HF$169,1+SwaptionShift):INDEX($FO$325:$IH$396,HF$169,SwaptionMonthsToGo+SwaptionShift))))))</f>
        <v/>
      </c>
      <c r="HG214" s="469" t="str">
        <f ca="1">IF(OR(HG$169&lt;SwaptionFirstMonthPosition+1,$FN214&lt;SwaptionFirstMonthPosition+1,HG$169&gt;SwaptionFirstMonthPosition+SwaptionNumOfMonths+1,$FN214&gt;SwaptionFirstMonthPosition+SwaptionNumOfMonths+1),"",IF($FN214=HG$169,1,IF($FN214&lt;HG$169,INDEX($FO$170:$IH$241,HG$169,$FN214),SUMPRODUCT(INDEX($FO$325:$IH$396,HG$169,1+SwaptionShift):INDEX($FO$325:$IH$396,HG$169,SwaptionMonthsToGo+SwaptionShift),INDEX($FO$245:$IH$316,$FN214-HG$169,73-HG$169+SwaptionShift):INDEX($FO$245:$IH$316,$FN214-HG$169,72-HG$169+SwaptionMonthsToGo+SwaptionShift))/SQRT(SUM(INDEX($FO369:$IH369,1+SwaptionShift):INDEX($FO369:$IH369,SwaptionMonthsToGo+SwaptionShift))*SUM(INDEX($FO$325:$IH$396,HG$169,1+SwaptionShift):INDEX($FO$325:$IH$396,HG$169,SwaptionMonthsToGo+SwaptionShift))))))</f>
        <v/>
      </c>
      <c r="HH214" s="469" t="str">
        <f ca="1">IF(OR(HH$169&lt;SwaptionFirstMonthPosition+1,$FN214&lt;SwaptionFirstMonthPosition+1,HH$169&gt;SwaptionFirstMonthPosition+SwaptionNumOfMonths+1,$FN214&gt;SwaptionFirstMonthPosition+SwaptionNumOfMonths+1),"",IF($FN214=HH$169,1,IF($FN214&lt;HH$169,INDEX($FO$170:$IH$241,HH$169,$FN214),SUMPRODUCT(INDEX($FO$325:$IH$396,HH$169,1+SwaptionShift):INDEX($FO$325:$IH$396,HH$169,SwaptionMonthsToGo+SwaptionShift),INDEX($FO$245:$IH$316,$FN214-HH$169,73-HH$169+SwaptionShift):INDEX($FO$245:$IH$316,$FN214-HH$169,72-HH$169+SwaptionMonthsToGo+SwaptionShift))/SQRT(SUM(INDEX($FO369:$IH369,1+SwaptionShift):INDEX($FO369:$IH369,SwaptionMonthsToGo+SwaptionShift))*SUM(INDEX($FO$325:$IH$396,HH$169,1+SwaptionShift):INDEX($FO$325:$IH$396,HH$169,SwaptionMonthsToGo+SwaptionShift))))))</f>
        <v/>
      </c>
      <c r="HI214" s="469" t="str">
        <f ca="1">IF(OR(HI$169&lt;SwaptionFirstMonthPosition+1,$FN214&lt;SwaptionFirstMonthPosition+1,HI$169&gt;SwaptionFirstMonthPosition+SwaptionNumOfMonths+1,$FN214&gt;SwaptionFirstMonthPosition+SwaptionNumOfMonths+1),"",IF($FN214=HI$169,1,IF($FN214&lt;HI$169,INDEX($FO$170:$IH$241,HI$169,$FN214),SUMPRODUCT(INDEX($FO$325:$IH$396,HI$169,1+SwaptionShift):INDEX($FO$325:$IH$396,HI$169,SwaptionMonthsToGo+SwaptionShift),INDEX($FO$245:$IH$316,$FN214-HI$169,73-HI$169+SwaptionShift):INDEX($FO$245:$IH$316,$FN214-HI$169,72-HI$169+SwaptionMonthsToGo+SwaptionShift))/SQRT(SUM(INDEX($FO369:$IH369,1+SwaptionShift):INDEX($FO369:$IH369,SwaptionMonthsToGo+SwaptionShift))*SUM(INDEX($FO$325:$IH$396,HI$169,1+SwaptionShift):INDEX($FO$325:$IH$396,HI$169,SwaptionMonthsToGo+SwaptionShift))))))</f>
        <v/>
      </c>
      <c r="HJ214" s="469" t="str">
        <f ca="1">IF(OR(HJ$169&lt;SwaptionFirstMonthPosition+1,$FN214&lt;SwaptionFirstMonthPosition+1,HJ$169&gt;SwaptionFirstMonthPosition+SwaptionNumOfMonths+1,$FN214&gt;SwaptionFirstMonthPosition+SwaptionNumOfMonths+1),"",IF($FN214=HJ$169,1,IF($FN214&lt;HJ$169,INDEX($FO$170:$IH$241,HJ$169,$FN214),SUMPRODUCT(INDEX($FO$325:$IH$396,HJ$169,1+SwaptionShift):INDEX($FO$325:$IH$396,HJ$169,SwaptionMonthsToGo+SwaptionShift),INDEX($FO$245:$IH$316,$FN214-HJ$169,73-HJ$169+SwaptionShift):INDEX($FO$245:$IH$316,$FN214-HJ$169,72-HJ$169+SwaptionMonthsToGo+SwaptionShift))/SQRT(SUM(INDEX($FO369:$IH369,1+SwaptionShift):INDEX($FO369:$IH369,SwaptionMonthsToGo+SwaptionShift))*SUM(INDEX($FO$325:$IH$396,HJ$169,1+SwaptionShift):INDEX($FO$325:$IH$396,HJ$169,SwaptionMonthsToGo+SwaptionShift))))))</f>
        <v/>
      </c>
      <c r="HK214" s="469" t="str">
        <f ca="1">IF(OR(HK$169&lt;SwaptionFirstMonthPosition+1,$FN214&lt;SwaptionFirstMonthPosition+1,HK$169&gt;SwaptionFirstMonthPosition+SwaptionNumOfMonths+1,$FN214&gt;SwaptionFirstMonthPosition+SwaptionNumOfMonths+1),"",IF($FN214=HK$169,1,IF($FN214&lt;HK$169,INDEX($FO$170:$IH$241,HK$169,$FN214),SUMPRODUCT(INDEX($FO$325:$IH$396,HK$169,1+SwaptionShift):INDEX($FO$325:$IH$396,HK$169,SwaptionMonthsToGo+SwaptionShift),INDEX($FO$245:$IH$316,$FN214-HK$169,73-HK$169+SwaptionShift):INDEX($FO$245:$IH$316,$FN214-HK$169,72-HK$169+SwaptionMonthsToGo+SwaptionShift))/SQRT(SUM(INDEX($FO369:$IH369,1+SwaptionShift):INDEX($FO369:$IH369,SwaptionMonthsToGo+SwaptionShift))*SUM(INDEX($FO$325:$IH$396,HK$169,1+SwaptionShift):INDEX($FO$325:$IH$396,HK$169,SwaptionMonthsToGo+SwaptionShift))))))</f>
        <v/>
      </c>
      <c r="HL214" s="469" t="str">
        <f ca="1">IF(OR(HL$169&lt;SwaptionFirstMonthPosition+1,$FN214&lt;SwaptionFirstMonthPosition+1,HL$169&gt;SwaptionFirstMonthPosition+SwaptionNumOfMonths+1,$FN214&gt;SwaptionFirstMonthPosition+SwaptionNumOfMonths+1),"",IF($FN214=HL$169,1,IF($FN214&lt;HL$169,INDEX($FO$170:$IH$241,HL$169,$FN214),SUMPRODUCT(INDEX($FO$325:$IH$396,HL$169,1+SwaptionShift):INDEX($FO$325:$IH$396,HL$169,SwaptionMonthsToGo+SwaptionShift),INDEX($FO$245:$IH$316,$FN214-HL$169,73-HL$169+SwaptionShift):INDEX($FO$245:$IH$316,$FN214-HL$169,72-HL$169+SwaptionMonthsToGo+SwaptionShift))/SQRT(SUM(INDEX($FO369:$IH369,1+SwaptionShift):INDEX($FO369:$IH369,SwaptionMonthsToGo+SwaptionShift))*SUM(INDEX($FO$325:$IH$396,HL$169,1+SwaptionShift):INDEX($FO$325:$IH$396,HL$169,SwaptionMonthsToGo+SwaptionShift))))))</f>
        <v/>
      </c>
      <c r="HM214" s="469" t="str">
        <f ca="1">IF(OR(HM$169&lt;SwaptionFirstMonthPosition+1,$FN214&lt;SwaptionFirstMonthPosition+1,HM$169&gt;SwaptionFirstMonthPosition+SwaptionNumOfMonths+1,$FN214&gt;SwaptionFirstMonthPosition+SwaptionNumOfMonths+1),"",IF($FN214=HM$169,1,IF($FN214&lt;HM$169,INDEX($FO$170:$IH$241,HM$169,$FN214),SUMPRODUCT(INDEX($FO$325:$IH$396,HM$169,1+SwaptionShift):INDEX($FO$325:$IH$396,HM$169,SwaptionMonthsToGo+SwaptionShift),INDEX($FO$245:$IH$316,$FN214-HM$169,73-HM$169+SwaptionShift):INDEX($FO$245:$IH$316,$FN214-HM$169,72-HM$169+SwaptionMonthsToGo+SwaptionShift))/SQRT(SUM(INDEX($FO369:$IH369,1+SwaptionShift):INDEX($FO369:$IH369,SwaptionMonthsToGo+SwaptionShift))*SUM(INDEX($FO$325:$IH$396,HM$169,1+SwaptionShift):INDEX($FO$325:$IH$396,HM$169,SwaptionMonthsToGo+SwaptionShift))))))</f>
        <v/>
      </c>
      <c r="HN214" s="469" t="str">
        <f ca="1">IF(OR(HN$169&lt;SwaptionFirstMonthPosition+1,$FN214&lt;SwaptionFirstMonthPosition+1,HN$169&gt;SwaptionFirstMonthPosition+SwaptionNumOfMonths+1,$FN214&gt;SwaptionFirstMonthPosition+SwaptionNumOfMonths+1),"",IF($FN214=HN$169,1,IF($FN214&lt;HN$169,INDEX($FO$170:$IH$241,HN$169,$FN214),SUMPRODUCT(INDEX($FO$325:$IH$396,HN$169,1+SwaptionShift):INDEX($FO$325:$IH$396,HN$169,SwaptionMonthsToGo+SwaptionShift),INDEX($FO$245:$IH$316,$FN214-HN$169,73-HN$169+SwaptionShift):INDEX($FO$245:$IH$316,$FN214-HN$169,72-HN$169+SwaptionMonthsToGo+SwaptionShift))/SQRT(SUM(INDEX($FO369:$IH369,1+SwaptionShift):INDEX($FO369:$IH369,SwaptionMonthsToGo+SwaptionShift))*SUM(INDEX($FO$325:$IH$396,HN$169,1+SwaptionShift):INDEX($FO$325:$IH$396,HN$169,SwaptionMonthsToGo+SwaptionShift))))))</f>
        <v/>
      </c>
      <c r="HO214" s="469" t="str">
        <f ca="1">IF(OR(HO$169&lt;SwaptionFirstMonthPosition+1,$FN214&lt;SwaptionFirstMonthPosition+1,HO$169&gt;SwaptionFirstMonthPosition+SwaptionNumOfMonths+1,$FN214&gt;SwaptionFirstMonthPosition+SwaptionNumOfMonths+1),"",IF($FN214=HO$169,1,IF($FN214&lt;HO$169,INDEX($FO$170:$IH$241,HO$169,$FN214),SUMPRODUCT(INDEX($FO$325:$IH$396,HO$169,1+SwaptionShift):INDEX($FO$325:$IH$396,HO$169,SwaptionMonthsToGo+SwaptionShift),INDEX($FO$245:$IH$316,$FN214-HO$169,73-HO$169+SwaptionShift):INDEX($FO$245:$IH$316,$FN214-HO$169,72-HO$169+SwaptionMonthsToGo+SwaptionShift))/SQRT(SUM(INDEX($FO369:$IH369,1+SwaptionShift):INDEX($FO369:$IH369,SwaptionMonthsToGo+SwaptionShift))*SUM(INDEX($FO$325:$IH$396,HO$169,1+SwaptionShift):INDEX($FO$325:$IH$396,HO$169,SwaptionMonthsToGo+SwaptionShift))))))</f>
        <v/>
      </c>
      <c r="HP214" s="469" t="str">
        <f ca="1">IF(OR(HP$169&lt;SwaptionFirstMonthPosition+1,$FN214&lt;SwaptionFirstMonthPosition+1,HP$169&gt;SwaptionFirstMonthPosition+SwaptionNumOfMonths+1,$FN214&gt;SwaptionFirstMonthPosition+SwaptionNumOfMonths+1),"",IF($FN214=HP$169,1,IF($FN214&lt;HP$169,INDEX($FO$170:$IH$241,HP$169,$FN214),SUMPRODUCT(INDEX($FO$325:$IH$396,HP$169,1+SwaptionShift):INDEX($FO$325:$IH$396,HP$169,SwaptionMonthsToGo+SwaptionShift),INDEX($FO$245:$IH$316,$FN214-HP$169,73-HP$169+SwaptionShift):INDEX($FO$245:$IH$316,$FN214-HP$169,72-HP$169+SwaptionMonthsToGo+SwaptionShift))/SQRT(SUM(INDEX($FO369:$IH369,1+SwaptionShift):INDEX($FO369:$IH369,SwaptionMonthsToGo+SwaptionShift))*SUM(INDEX($FO$325:$IH$396,HP$169,1+SwaptionShift):INDEX($FO$325:$IH$396,HP$169,SwaptionMonthsToGo+SwaptionShift))))))</f>
        <v/>
      </c>
      <c r="HQ214" s="469" t="str">
        <f ca="1">IF(OR(HQ$169&lt;SwaptionFirstMonthPosition+1,$FN214&lt;SwaptionFirstMonthPosition+1,HQ$169&gt;SwaptionFirstMonthPosition+SwaptionNumOfMonths+1,$FN214&gt;SwaptionFirstMonthPosition+SwaptionNumOfMonths+1),"",IF($FN214=HQ$169,1,IF($FN214&lt;HQ$169,INDEX($FO$170:$IH$241,HQ$169,$FN214),SUMPRODUCT(INDEX($FO$325:$IH$396,HQ$169,1+SwaptionShift):INDEX($FO$325:$IH$396,HQ$169,SwaptionMonthsToGo+SwaptionShift),INDEX($FO$245:$IH$316,$FN214-HQ$169,73-HQ$169+SwaptionShift):INDEX($FO$245:$IH$316,$FN214-HQ$169,72-HQ$169+SwaptionMonthsToGo+SwaptionShift))/SQRT(SUM(INDEX($FO369:$IH369,1+SwaptionShift):INDEX($FO369:$IH369,SwaptionMonthsToGo+SwaptionShift))*SUM(INDEX($FO$325:$IH$396,HQ$169,1+SwaptionShift):INDEX($FO$325:$IH$396,HQ$169,SwaptionMonthsToGo+SwaptionShift))))))</f>
        <v/>
      </c>
      <c r="HR214" s="469" t="str">
        <f ca="1">IF(OR(HR$169&lt;SwaptionFirstMonthPosition+1,$FN214&lt;SwaptionFirstMonthPosition+1,HR$169&gt;SwaptionFirstMonthPosition+SwaptionNumOfMonths+1,$FN214&gt;SwaptionFirstMonthPosition+SwaptionNumOfMonths+1),"",IF($FN214=HR$169,1,IF($FN214&lt;HR$169,INDEX($FO$170:$IH$241,HR$169,$FN214),SUMPRODUCT(INDEX($FO$325:$IH$396,HR$169,1+SwaptionShift):INDEX($FO$325:$IH$396,HR$169,SwaptionMonthsToGo+SwaptionShift),INDEX($FO$245:$IH$316,$FN214-HR$169,73-HR$169+SwaptionShift):INDEX($FO$245:$IH$316,$FN214-HR$169,72-HR$169+SwaptionMonthsToGo+SwaptionShift))/SQRT(SUM(INDEX($FO369:$IH369,1+SwaptionShift):INDEX($FO369:$IH369,SwaptionMonthsToGo+SwaptionShift))*SUM(INDEX($FO$325:$IH$396,HR$169,1+SwaptionShift):INDEX($FO$325:$IH$396,HR$169,SwaptionMonthsToGo+SwaptionShift))))))</f>
        <v/>
      </c>
      <c r="HS214" s="469" t="str">
        <f ca="1">IF(OR(HS$169&lt;SwaptionFirstMonthPosition+1,$FN214&lt;SwaptionFirstMonthPosition+1,HS$169&gt;SwaptionFirstMonthPosition+SwaptionNumOfMonths+1,$FN214&gt;SwaptionFirstMonthPosition+SwaptionNumOfMonths+1),"",IF($FN214=HS$169,1,IF($FN214&lt;HS$169,INDEX($FO$170:$IH$241,HS$169,$FN214),SUMPRODUCT(INDEX($FO$325:$IH$396,HS$169,1+SwaptionShift):INDEX($FO$325:$IH$396,HS$169,SwaptionMonthsToGo+SwaptionShift),INDEX($FO$245:$IH$316,$FN214-HS$169,73-HS$169+SwaptionShift):INDEX($FO$245:$IH$316,$FN214-HS$169,72-HS$169+SwaptionMonthsToGo+SwaptionShift))/SQRT(SUM(INDEX($FO369:$IH369,1+SwaptionShift):INDEX($FO369:$IH369,SwaptionMonthsToGo+SwaptionShift))*SUM(INDEX($FO$325:$IH$396,HS$169,1+SwaptionShift):INDEX($FO$325:$IH$396,HS$169,SwaptionMonthsToGo+SwaptionShift))))))</f>
        <v/>
      </c>
      <c r="HT214" s="469" t="str">
        <f ca="1">IF(OR(HT$169&lt;SwaptionFirstMonthPosition+1,$FN214&lt;SwaptionFirstMonthPosition+1,HT$169&gt;SwaptionFirstMonthPosition+SwaptionNumOfMonths+1,$FN214&gt;SwaptionFirstMonthPosition+SwaptionNumOfMonths+1),"",IF($FN214=HT$169,1,IF($FN214&lt;HT$169,INDEX($FO$170:$IH$241,HT$169,$FN214),SUMPRODUCT(INDEX($FO$325:$IH$396,HT$169,1+SwaptionShift):INDEX($FO$325:$IH$396,HT$169,SwaptionMonthsToGo+SwaptionShift),INDEX($FO$245:$IH$316,$FN214-HT$169,73-HT$169+SwaptionShift):INDEX($FO$245:$IH$316,$FN214-HT$169,72-HT$169+SwaptionMonthsToGo+SwaptionShift))/SQRT(SUM(INDEX($FO369:$IH369,1+SwaptionShift):INDEX($FO369:$IH369,SwaptionMonthsToGo+SwaptionShift))*SUM(INDEX($FO$325:$IH$396,HT$169,1+SwaptionShift):INDEX($FO$325:$IH$396,HT$169,SwaptionMonthsToGo+SwaptionShift))))))</f>
        <v/>
      </c>
      <c r="HU214" s="469" t="str">
        <f ca="1">IF(OR(HU$169&lt;SwaptionFirstMonthPosition+1,$FN214&lt;SwaptionFirstMonthPosition+1,HU$169&gt;SwaptionFirstMonthPosition+SwaptionNumOfMonths+1,$FN214&gt;SwaptionFirstMonthPosition+SwaptionNumOfMonths+1),"",IF($FN214=HU$169,1,IF($FN214&lt;HU$169,INDEX($FO$170:$IH$241,HU$169,$FN214),SUMPRODUCT(INDEX($FO$325:$IH$396,HU$169,1+SwaptionShift):INDEX($FO$325:$IH$396,HU$169,SwaptionMonthsToGo+SwaptionShift),INDEX($FO$245:$IH$316,$FN214-HU$169,73-HU$169+SwaptionShift):INDEX($FO$245:$IH$316,$FN214-HU$169,72-HU$169+SwaptionMonthsToGo+SwaptionShift))/SQRT(SUM(INDEX($FO369:$IH369,1+SwaptionShift):INDEX($FO369:$IH369,SwaptionMonthsToGo+SwaptionShift))*SUM(INDEX($FO$325:$IH$396,HU$169,1+SwaptionShift):INDEX($FO$325:$IH$396,HU$169,SwaptionMonthsToGo+SwaptionShift))))))</f>
        <v/>
      </c>
      <c r="HV214" s="469" t="str">
        <f ca="1">IF(OR(HV$169&lt;SwaptionFirstMonthPosition+1,$FN214&lt;SwaptionFirstMonthPosition+1,HV$169&gt;SwaptionFirstMonthPosition+SwaptionNumOfMonths+1,$FN214&gt;SwaptionFirstMonthPosition+SwaptionNumOfMonths+1),"",IF($FN214=HV$169,1,IF($FN214&lt;HV$169,INDEX($FO$170:$IH$241,HV$169,$FN214),SUMPRODUCT(INDEX($FO$325:$IH$396,HV$169,1+SwaptionShift):INDEX($FO$325:$IH$396,HV$169,SwaptionMonthsToGo+SwaptionShift),INDEX($FO$245:$IH$316,$FN214-HV$169,73-HV$169+SwaptionShift):INDEX($FO$245:$IH$316,$FN214-HV$169,72-HV$169+SwaptionMonthsToGo+SwaptionShift))/SQRT(SUM(INDEX($FO369:$IH369,1+SwaptionShift):INDEX($FO369:$IH369,SwaptionMonthsToGo+SwaptionShift))*SUM(INDEX($FO$325:$IH$396,HV$169,1+SwaptionShift):INDEX($FO$325:$IH$396,HV$169,SwaptionMonthsToGo+SwaptionShift))))))</f>
        <v/>
      </c>
      <c r="HW214" s="469" t="str">
        <f ca="1">IF(OR(HW$169&lt;SwaptionFirstMonthPosition+1,$FN214&lt;SwaptionFirstMonthPosition+1,HW$169&gt;SwaptionFirstMonthPosition+SwaptionNumOfMonths+1,$FN214&gt;SwaptionFirstMonthPosition+SwaptionNumOfMonths+1),"",IF($FN214=HW$169,1,IF($FN214&lt;HW$169,INDEX($FO$170:$IH$241,HW$169,$FN214),SUMPRODUCT(INDEX($FO$325:$IH$396,HW$169,1+SwaptionShift):INDEX($FO$325:$IH$396,HW$169,SwaptionMonthsToGo+SwaptionShift),INDEX($FO$245:$IH$316,$FN214-HW$169,73-HW$169+SwaptionShift):INDEX($FO$245:$IH$316,$FN214-HW$169,72-HW$169+SwaptionMonthsToGo+SwaptionShift))/SQRT(SUM(INDEX($FO369:$IH369,1+SwaptionShift):INDEX($FO369:$IH369,SwaptionMonthsToGo+SwaptionShift))*SUM(INDEX($FO$325:$IH$396,HW$169,1+SwaptionShift):INDEX($FO$325:$IH$396,HW$169,SwaptionMonthsToGo+SwaptionShift))))))</f>
        <v/>
      </c>
      <c r="HX214" s="469" t="str">
        <f ca="1">IF(OR(HX$169&lt;SwaptionFirstMonthPosition+1,$FN214&lt;SwaptionFirstMonthPosition+1,HX$169&gt;SwaptionFirstMonthPosition+SwaptionNumOfMonths+1,$FN214&gt;SwaptionFirstMonthPosition+SwaptionNumOfMonths+1),"",IF($FN214=HX$169,1,IF($FN214&lt;HX$169,INDEX($FO$170:$IH$241,HX$169,$FN214),SUMPRODUCT(INDEX($FO$325:$IH$396,HX$169,1+SwaptionShift):INDEX($FO$325:$IH$396,HX$169,SwaptionMonthsToGo+SwaptionShift),INDEX($FO$245:$IH$316,$FN214-HX$169,73-HX$169+SwaptionShift):INDEX($FO$245:$IH$316,$FN214-HX$169,72-HX$169+SwaptionMonthsToGo+SwaptionShift))/SQRT(SUM(INDEX($FO369:$IH369,1+SwaptionShift):INDEX($FO369:$IH369,SwaptionMonthsToGo+SwaptionShift))*SUM(INDEX($FO$325:$IH$396,HX$169,1+SwaptionShift):INDEX($FO$325:$IH$396,HX$169,SwaptionMonthsToGo+SwaptionShift))))))</f>
        <v/>
      </c>
      <c r="HY214" s="469" t="str">
        <f ca="1">IF(OR(HY$169&lt;SwaptionFirstMonthPosition+1,$FN214&lt;SwaptionFirstMonthPosition+1,HY$169&gt;SwaptionFirstMonthPosition+SwaptionNumOfMonths+1,$FN214&gt;SwaptionFirstMonthPosition+SwaptionNumOfMonths+1),"",IF($FN214=HY$169,1,IF($FN214&lt;HY$169,INDEX($FO$170:$IH$241,HY$169,$FN214),SUMPRODUCT(INDEX($FO$325:$IH$396,HY$169,1+SwaptionShift):INDEX($FO$325:$IH$396,HY$169,SwaptionMonthsToGo+SwaptionShift),INDEX($FO$245:$IH$316,$FN214-HY$169,73-HY$169+SwaptionShift):INDEX($FO$245:$IH$316,$FN214-HY$169,72-HY$169+SwaptionMonthsToGo+SwaptionShift))/SQRT(SUM(INDEX($FO369:$IH369,1+SwaptionShift):INDEX($FO369:$IH369,SwaptionMonthsToGo+SwaptionShift))*SUM(INDEX($FO$325:$IH$396,HY$169,1+SwaptionShift):INDEX($FO$325:$IH$396,HY$169,SwaptionMonthsToGo+SwaptionShift))))))</f>
        <v/>
      </c>
      <c r="HZ214" s="469" t="str">
        <f ca="1">IF(OR(HZ$169&lt;SwaptionFirstMonthPosition+1,$FN214&lt;SwaptionFirstMonthPosition+1,HZ$169&gt;SwaptionFirstMonthPosition+SwaptionNumOfMonths+1,$FN214&gt;SwaptionFirstMonthPosition+SwaptionNumOfMonths+1),"",IF($FN214=HZ$169,1,IF($FN214&lt;HZ$169,INDEX($FO$170:$IH$241,HZ$169,$FN214),SUMPRODUCT(INDEX($FO$325:$IH$396,HZ$169,1+SwaptionShift):INDEX($FO$325:$IH$396,HZ$169,SwaptionMonthsToGo+SwaptionShift),INDEX($FO$245:$IH$316,$FN214-HZ$169,73-HZ$169+SwaptionShift):INDEX($FO$245:$IH$316,$FN214-HZ$169,72-HZ$169+SwaptionMonthsToGo+SwaptionShift))/SQRT(SUM(INDEX($FO369:$IH369,1+SwaptionShift):INDEX($FO369:$IH369,SwaptionMonthsToGo+SwaptionShift))*SUM(INDEX($FO$325:$IH$396,HZ$169,1+SwaptionShift):INDEX($FO$325:$IH$396,HZ$169,SwaptionMonthsToGo+SwaptionShift))))))</f>
        <v/>
      </c>
      <c r="IA214" s="469" t="str">
        <f ca="1">IF(OR(IA$169&lt;SwaptionFirstMonthPosition+1,$FN214&lt;SwaptionFirstMonthPosition+1,IA$169&gt;SwaptionFirstMonthPosition+SwaptionNumOfMonths+1,$FN214&gt;SwaptionFirstMonthPosition+SwaptionNumOfMonths+1),"",IF($FN214=IA$169,1,IF($FN214&lt;IA$169,INDEX($FO$170:$IH$241,IA$169,$FN214),SUMPRODUCT(INDEX($FO$325:$IH$396,IA$169,1+SwaptionShift):INDEX($FO$325:$IH$396,IA$169,SwaptionMonthsToGo+SwaptionShift),INDEX($FO$245:$IH$316,$FN214-IA$169,73-IA$169+SwaptionShift):INDEX($FO$245:$IH$316,$FN214-IA$169,72-IA$169+SwaptionMonthsToGo+SwaptionShift))/SQRT(SUM(INDEX($FO369:$IH369,1+SwaptionShift):INDEX($FO369:$IH369,SwaptionMonthsToGo+SwaptionShift))*SUM(INDEX($FO$325:$IH$396,IA$169,1+SwaptionShift):INDEX($FO$325:$IH$396,IA$169,SwaptionMonthsToGo+SwaptionShift))))))</f>
        <v/>
      </c>
      <c r="IB214" s="469" t="str">
        <f ca="1">IF(OR(IB$169&lt;SwaptionFirstMonthPosition+1,$FN214&lt;SwaptionFirstMonthPosition+1,IB$169&gt;SwaptionFirstMonthPosition+SwaptionNumOfMonths+1,$FN214&gt;SwaptionFirstMonthPosition+SwaptionNumOfMonths+1),"",IF($FN214=IB$169,1,IF($FN214&lt;IB$169,INDEX($FO$170:$IH$241,IB$169,$FN214),SUMPRODUCT(INDEX($FO$325:$IH$396,IB$169,1+SwaptionShift):INDEX($FO$325:$IH$396,IB$169,SwaptionMonthsToGo+SwaptionShift),INDEX($FO$245:$IH$316,$FN214-IB$169,73-IB$169+SwaptionShift):INDEX($FO$245:$IH$316,$FN214-IB$169,72-IB$169+SwaptionMonthsToGo+SwaptionShift))/SQRT(SUM(INDEX($FO369:$IH369,1+SwaptionShift):INDEX($FO369:$IH369,SwaptionMonthsToGo+SwaptionShift))*SUM(INDEX($FO$325:$IH$396,IB$169,1+SwaptionShift):INDEX($FO$325:$IH$396,IB$169,SwaptionMonthsToGo+SwaptionShift))))))</f>
        <v/>
      </c>
      <c r="IC214" s="469" t="str">
        <f ca="1">IF(OR(IC$169&lt;SwaptionFirstMonthPosition+1,$FN214&lt;SwaptionFirstMonthPosition+1,IC$169&gt;SwaptionFirstMonthPosition+SwaptionNumOfMonths+1,$FN214&gt;SwaptionFirstMonthPosition+SwaptionNumOfMonths+1),"",IF($FN214=IC$169,1,IF($FN214&lt;IC$169,INDEX($FO$170:$IH$241,IC$169,$FN214),SUMPRODUCT(INDEX($FO$325:$IH$396,IC$169,1+SwaptionShift):INDEX($FO$325:$IH$396,IC$169,SwaptionMonthsToGo+SwaptionShift),INDEX($FO$245:$IH$316,$FN214-IC$169,73-IC$169+SwaptionShift):INDEX($FO$245:$IH$316,$FN214-IC$169,72-IC$169+SwaptionMonthsToGo+SwaptionShift))/SQRT(SUM(INDEX($FO369:$IH369,1+SwaptionShift):INDEX($FO369:$IH369,SwaptionMonthsToGo+SwaptionShift))*SUM(INDEX($FO$325:$IH$396,IC$169,1+SwaptionShift):INDEX($FO$325:$IH$396,IC$169,SwaptionMonthsToGo+SwaptionShift))))))</f>
        <v/>
      </c>
      <c r="ID214" s="469" t="str">
        <f ca="1">IF(OR(ID$169&lt;SwaptionFirstMonthPosition+1,$FN214&lt;SwaptionFirstMonthPosition+1,ID$169&gt;SwaptionFirstMonthPosition+SwaptionNumOfMonths+1,$FN214&gt;SwaptionFirstMonthPosition+SwaptionNumOfMonths+1),"",IF($FN214=ID$169,1,IF($FN214&lt;ID$169,INDEX($FO$170:$IH$241,ID$169,$FN214),SUMPRODUCT(INDEX($FO$325:$IH$396,ID$169,1+SwaptionShift):INDEX($FO$325:$IH$396,ID$169,SwaptionMonthsToGo+SwaptionShift),INDEX($FO$245:$IH$316,$FN214-ID$169,73-ID$169+SwaptionShift):INDEX($FO$245:$IH$316,$FN214-ID$169,72-ID$169+SwaptionMonthsToGo+SwaptionShift))/SQRT(SUM(INDEX($FO369:$IH369,1+SwaptionShift):INDEX($FO369:$IH369,SwaptionMonthsToGo+SwaptionShift))*SUM(INDEX($FO$325:$IH$396,ID$169,1+SwaptionShift):INDEX($FO$325:$IH$396,ID$169,SwaptionMonthsToGo+SwaptionShift))))))</f>
        <v/>
      </c>
      <c r="IE214" s="469" t="str">
        <f ca="1">IF(OR(IE$169&lt;SwaptionFirstMonthPosition+1,$FN214&lt;SwaptionFirstMonthPosition+1,IE$169&gt;SwaptionFirstMonthPosition+SwaptionNumOfMonths+1,$FN214&gt;SwaptionFirstMonthPosition+SwaptionNumOfMonths+1),"",IF($FN214=IE$169,1,IF($FN214&lt;IE$169,INDEX($FO$170:$IH$241,IE$169,$FN214),SUMPRODUCT(INDEX($FO$325:$IH$396,IE$169,1+SwaptionShift):INDEX($FO$325:$IH$396,IE$169,SwaptionMonthsToGo+SwaptionShift),INDEX($FO$245:$IH$316,$FN214-IE$169,73-IE$169+SwaptionShift):INDEX($FO$245:$IH$316,$FN214-IE$169,72-IE$169+SwaptionMonthsToGo+SwaptionShift))/SQRT(SUM(INDEX($FO369:$IH369,1+SwaptionShift):INDEX($FO369:$IH369,SwaptionMonthsToGo+SwaptionShift))*SUM(INDEX($FO$325:$IH$396,IE$169,1+SwaptionShift):INDEX($FO$325:$IH$396,IE$169,SwaptionMonthsToGo+SwaptionShift))))))</f>
        <v/>
      </c>
      <c r="IF214" s="469" t="str">
        <f ca="1">IF(OR(IF$169&lt;SwaptionFirstMonthPosition+1,$FN214&lt;SwaptionFirstMonthPosition+1,IF$169&gt;SwaptionFirstMonthPosition+SwaptionNumOfMonths+1,$FN214&gt;SwaptionFirstMonthPosition+SwaptionNumOfMonths+1),"",IF($FN214=IF$169,1,IF($FN214&lt;IF$169,INDEX($FO$170:$IH$241,IF$169,$FN214),SUMPRODUCT(INDEX($FO$325:$IH$396,IF$169,1+SwaptionShift):INDEX($FO$325:$IH$396,IF$169,SwaptionMonthsToGo+SwaptionShift),INDEX($FO$245:$IH$316,$FN214-IF$169,73-IF$169+SwaptionShift):INDEX($FO$245:$IH$316,$FN214-IF$169,72-IF$169+SwaptionMonthsToGo+SwaptionShift))/SQRT(SUM(INDEX($FO369:$IH369,1+SwaptionShift):INDEX($FO369:$IH369,SwaptionMonthsToGo+SwaptionShift))*SUM(INDEX($FO$325:$IH$396,IF$169,1+SwaptionShift):INDEX($FO$325:$IH$396,IF$169,SwaptionMonthsToGo+SwaptionShift))))))</f>
        <v/>
      </c>
      <c r="IG214" s="469" t="str">
        <f ca="1">IF(OR(IG$169&lt;SwaptionFirstMonthPosition+1,$FN214&lt;SwaptionFirstMonthPosition+1,IG$169&gt;SwaptionFirstMonthPosition+SwaptionNumOfMonths+1,$FN214&gt;SwaptionFirstMonthPosition+SwaptionNumOfMonths+1),"",IF($FN214=IG$169,1,IF($FN214&lt;IG$169,INDEX($FO$170:$IH$241,IG$169,$FN214),SUMPRODUCT(INDEX($FO$325:$IH$396,IG$169,1+SwaptionShift):INDEX($FO$325:$IH$396,IG$169,SwaptionMonthsToGo+SwaptionShift),INDEX($FO$245:$IH$316,$FN214-IG$169,73-IG$169+SwaptionShift):INDEX($FO$245:$IH$316,$FN214-IG$169,72-IG$169+SwaptionMonthsToGo+SwaptionShift))/SQRT(SUM(INDEX($FO369:$IH369,1+SwaptionShift):INDEX($FO369:$IH369,SwaptionMonthsToGo+SwaptionShift))*SUM(INDEX($FO$325:$IH$396,IG$169,1+SwaptionShift):INDEX($FO$325:$IH$396,IG$169,SwaptionMonthsToGo+SwaptionShift))))))</f>
        <v/>
      </c>
      <c r="IH214" s="662" t="str">
        <f ca="1">IF(OR(IH$169&lt;SwaptionFirstMonthPosition+1,$FN214&lt;SwaptionFirstMonthPosition+1,IH$169&gt;SwaptionFirstMonthPosition+SwaptionNumOfMonths+1,$FN214&gt;SwaptionFirstMonthPosition+SwaptionNumOfMonths+1),"",IF($FN214=IH$169,1,IF($FN214&lt;IH$169,INDEX($FO$170:$IH$241,IH$169,$FN214),SUMPRODUCT(INDEX($FO$325:$IH$396,IH$169,1+SwaptionShift):INDEX($FO$325:$IH$396,IH$169,SwaptionMonthsToGo+SwaptionShift),INDEX($FO$245:$IH$316,$FN214-IH$169,73-IH$169+SwaptionShift):INDEX($FO$245:$IH$316,$FN214-IH$169,72-IH$169+SwaptionMonthsToGo+SwaptionShift))/SQRT(SUM(INDEX($FO369:$IH369,1+SwaptionShift):INDEX($FO369:$IH369,SwaptionMonthsToGo+SwaptionShift))*SUM(INDEX($FO$325:$IH$396,IH$169,1+SwaptionShift):INDEX($FO$325:$IH$396,IH$169,SwaptionMonthsToGo+SwaptionShift))))))</f>
        <v/>
      </c>
      <c r="II214" s="242"/>
    </row>
    <row r="215" spans="8:243">
      <c r="H215" s="49" t="e">
        <f t="shared" ca="1" si="645"/>
        <v>#N/A</v>
      </c>
      <c r="I215" s="369">
        <f t="shared" si="646"/>
        <v>42948</v>
      </c>
      <c r="J215" s="367">
        <v>24.259999999999902</v>
      </c>
      <c r="K215" s="101" t="s">
        <v>267</v>
      </c>
      <c r="L215" s="382">
        <f t="shared" si="647"/>
        <v>24.259999999999852</v>
      </c>
      <c r="M215" s="163">
        <v>0.1331</v>
      </c>
      <c r="N215" s="372">
        <v>0</v>
      </c>
      <c r="O215" s="163">
        <f t="shared" si="595"/>
        <v>0.1331</v>
      </c>
      <c r="P215" s="367">
        <v>22.8223333371749</v>
      </c>
      <c r="Q215" s="101" t="s">
        <v>267</v>
      </c>
      <c r="R215" s="367">
        <f t="shared" ca="1" si="596"/>
        <v>22.822333337174921</v>
      </c>
      <c r="S215" s="814">
        <f t="shared" si="594"/>
        <v>0.34711537438910467</v>
      </c>
      <c r="T215" s="813">
        <f t="shared" si="660"/>
        <v>0.99999999990673338</v>
      </c>
      <c r="U215" s="532">
        <f t="shared" si="661"/>
        <v>0.99999999999999978</v>
      </c>
      <c r="V215" s="379">
        <v>0</v>
      </c>
      <c r="W215" s="424">
        <f t="shared" si="597"/>
        <v>24.294782608695552</v>
      </c>
      <c r="X215" s="405">
        <f t="shared" si="598"/>
        <v>24.294782608695503</v>
      </c>
      <c r="Y215" s="313">
        <f t="shared" si="599"/>
        <v>22.976382608695552</v>
      </c>
      <c r="Z215" s="313">
        <f t="shared" ca="1" si="600"/>
        <v>22.976382608695502</v>
      </c>
      <c r="AA215" s="419">
        <f t="shared" si="623"/>
        <v>1.3184</v>
      </c>
      <c r="AB215" s="423">
        <f t="shared" ca="1" si="624"/>
        <v>1.3184</v>
      </c>
      <c r="AC215" s="221">
        <v>42936</v>
      </c>
      <c r="AD215" s="221">
        <v>42932</v>
      </c>
      <c r="AE215" s="221">
        <v>42931</v>
      </c>
      <c r="AF215" s="221">
        <v>42927</v>
      </c>
      <c r="AG215" s="241" t="s">
        <v>497</v>
      </c>
      <c r="AH215" s="239" t="s">
        <v>497</v>
      </c>
      <c r="AI215" s="141">
        <v>23</v>
      </c>
      <c r="AJ215" s="41">
        <v>14</v>
      </c>
      <c r="AK215" s="41">
        <v>9</v>
      </c>
      <c r="AL215" s="285">
        <v>23</v>
      </c>
      <c r="AM215" s="41">
        <v>10</v>
      </c>
      <c r="AN215" s="142">
        <v>13</v>
      </c>
      <c r="AO215" s="364">
        <v>6.26595966142105E-2</v>
      </c>
      <c r="AP215" s="145">
        <f t="shared" ca="1" si="648"/>
        <v>0.36367537229205815</v>
      </c>
      <c r="AQ215" s="364">
        <v>5.7941683987449803E-2</v>
      </c>
      <c r="AR215" s="145">
        <f t="shared" ca="1" si="662"/>
        <v>0.3948626856596309</v>
      </c>
      <c r="AS215" s="264">
        <f t="shared" si="601"/>
        <v>0.13254347826086957</v>
      </c>
      <c r="AT215" s="149">
        <f t="shared" si="649"/>
        <v>0.1331</v>
      </c>
      <c r="AU215" s="149">
        <f t="shared" si="625"/>
        <v>0.13247391304347825</v>
      </c>
      <c r="AV215" s="263">
        <f t="shared" ca="1" si="669"/>
        <v>0.1311262511055877</v>
      </c>
      <c r="AW215" s="150" t="str">
        <f t="shared" ca="1" si="581"/>
        <v/>
      </c>
      <c r="AX215" s="149">
        <f t="shared" ca="1" si="663"/>
        <v>4.1419071030438827E-3</v>
      </c>
      <c r="AY215" s="149">
        <f t="shared" ca="1" si="664"/>
        <v>1.3233166601272696E-3</v>
      </c>
      <c r="AZ215" s="149">
        <f t="shared" ca="1" si="665"/>
        <v>1.5176249173753703E-3</v>
      </c>
      <c r="BA215" s="149">
        <f t="shared" ca="1" si="666"/>
        <v>1.000000000000102E-4</v>
      </c>
      <c r="BB215" s="149">
        <f t="shared" ca="1" si="667"/>
        <v>1.000000000000102E-4</v>
      </c>
      <c r="BC215" s="149">
        <f t="shared" ca="1" si="668"/>
        <v>1.000000000000102E-4</v>
      </c>
      <c r="BD215" s="143">
        <f t="shared" ca="1" si="602"/>
        <v>0</v>
      </c>
      <c r="BE215" s="144">
        <f t="shared" ca="1" si="603"/>
        <v>0</v>
      </c>
      <c r="BF215" s="40">
        <f t="shared" si="604"/>
        <v>2017</v>
      </c>
      <c r="BG215" s="139">
        <f t="shared" si="605"/>
        <v>8</v>
      </c>
      <c r="BH215" s="140">
        <f t="shared" ca="1" si="606"/>
        <v>5942</v>
      </c>
      <c r="BI215" s="304">
        <f t="shared" ca="1" si="607"/>
        <v>16.312114989733061</v>
      </c>
      <c r="BJ215" s="42">
        <f t="shared" ca="1" si="626"/>
        <v>16.362110525845907</v>
      </c>
      <c r="BK215" s="42">
        <f t="shared" ca="1" si="627"/>
        <v>16.364848376633038</v>
      </c>
      <c r="BL215" s="42">
        <f t="shared" ca="1" si="608"/>
        <v>16.394250513347021</v>
      </c>
      <c r="BM215" s="285">
        <f t="shared" si="609"/>
        <v>23</v>
      </c>
      <c r="BN215" s="41">
        <f t="shared" si="610"/>
        <v>14</v>
      </c>
      <c r="BO215" s="41">
        <f t="shared" si="611"/>
        <v>9</v>
      </c>
      <c r="BP215" s="297" t="str">
        <f t="shared" ca="1" si="628"/>
        <v/>
      </c>
      <c r="BQ215" s="297" t="str">
        <f t="shared" ca="1" si="629"/>
        <v/>
      </c>
      <c r="BR215" s="299" t="str">
        <f t="shared" ca="1" si="630"/>
        <v/>
      </c>
      <c r="BS215" s="153" t="str">
        <f t="shared" ca="1" si="631"/>
        <v/>
      </c>
      <c r="BT215" s="153" t="str">
        <f t="shared" ca="1" si="632"/>
        <v/>
      </c>
      <c r="BU215" s="300" t="str">
        <f t="shared" ca="1" si="633"/>
        <v/>
      </c>
      <c r="BV215" s="301" t="str">
        <f t="shared" ca="1" si="634"/>
        <v/>
      </c>
      <c r="BW215" s="300" t="str">
        <f t="shared" ca="1" si="635"/>
        <v/>
      </c>
      <c r="BX215" s="301" t="str">
        <f t="shared" ca="1" si="636"/>
        <v/>
      </c>
      <c r="BY215" s="146" t="str">
        <f t="shared" ca="1" si="637"/>
        <v/>
      </c>
      <c r="BZ215" s="146" t="str">
        <f t="shared" ca="1" si="638"/>
        <v/>
      </c>
      <c r="CA215" s="146" t="str">
        <f t="shared" ca="1" si="639"/>
        <v/>
      </c>
      <c r="CB215" s="146" t="str">
        <f t="shared" ca="1" si="640"/>
        <v/>
      </c>
      <c r="CC215" s="302">
        <v>1</v>
      </c>
      <c r="CD215" s="154">
        <f ca="1">IF(BD215,_xll.xCrudeAPO(BS215,BT215,BY215,BZ215,S216,S217,BI215,BL215,BN215,BO215,0,Strike1,AO215,CC215,0,BL215,IF(OptControl=4,0,1),0,1),0)</f>
        <v>0</v>
      </c>
      <c r="CE215" s="155">
        <f ca="1">IF(BD215,_xll.xCrudeAPO(BS215,BT215,BY215,BZ215,S216,S217,BI215,BL215,BN215,BO215,0,Strike1,AO215,CC215,0,BL215,IF(OptControl=4,0,1),1,1)+_xll.xCrudeAPO(BS215,BT215,BY215,BZ215,S216,S217,BI215,BL215,BN215,BO215,0,Strike1,AO215,CC215,0,BL215,IF(OptControl=4,0,1),1,2)+IF(OR(VolSkewFlag=2,ABS(BQ215)&lt;0.0001),0,IF(BQ215&gt;0,-1,1)*CF215*Strike1/BP215^2*BW215/10%),0)</f>
        <v>0</v>
      </c>
      <c r="CF215" s="155">
        <f ca="1">IF(BD215,(_xll.xCrudeAPO(BS215,BT215,BY215,BZ215,S216,S217,BI215,BL215,BN215,BO215,0,Strike1,AO215,CC215,0,BL215,IF(OptControl=4,0,1),3,1)+_xll.xCrudeAPO(BS215,BT215,BY215,BZ215,S216,S217,BI215,BL215,BN215,BO215,0,Strike1,AO215,CC215,0,BL215,IF(OptControl=4,0,1),3,2))/100,0)</f>
        <v>0</v>
      </c>
      <c r="CG215" s="155">
        <f ca="1">IF(BD215,_xll.xCrudeAPO(BS215,BT215,BY215,BZ215,S216,S217,BI215-DaysForThetaCalculation/365.25,BL215-DaysForThetaCalculation/365.25,BN215,BO215,0,Strike1,AO215,CC215,0,BL215,IF(OptControl=4,0,1),0,1)-_xll.xCrudeAPO(BS215,BT215,BY215,BZ215,S216,S217,BI215,BL215,BN215,BO215,0,Strike1,AO215,CC215,0,BL215,IF(OptControl=4,0,1),0,1),0)</f>
        <v>0</v>
      </c>
      <c r="CH215" s="303">
        <f ca="1">IF(BD215,_xll.xCrudeAPO(BS215,BT215,CA215,CB215,S216,S217,BI215,BL215,BN215,BO215,0,Strike2,AO215,CC215,0,BL215,IF(OptControl=3,1,0),0,1),0)</f>
        <v>0</v>
      </c>
      <c r="CI215" s="155">
        <f ca="1">IF(BD215,_xll.xCrudeAPO(BS215,BT215,CA215,CB215,S216,S217,BI215,BL215,BN215,BO215,0,Strike2,AO215,CC215,0,BL215,IF(OptControl=3,1,0),1,1)+_xll.xCrudeAPO(BS215,BT215,CA215,CB215,S216,S217,BI215,BL215,BN215,BO215,0,Strike2,AO215,CC215,0,BL215,IF(OptControl=3,1,0),1,2)+IF(OR(VolSkewFlag=2,ABS(BR215)&lt;0.0001),0,IF(BR215&gt;0,-1,1)*CJ215*Strike2/BP215^2*BX215/10%),0)</f>
        <v>0</v>
      </c>
      <c r="CJ215" s="155">
        <f ca="1">IF(BD215,(_xll.xCrudeAPO(BS215,BT215,CA215,CB215,S216,S217,BI215,BL215,BN215,BO215,0,Strike2,AO215,CC215,0,BL215,IF(OptControl=3,1,0),3,1)+_xll.xCrudeAPO(BS215,BT215,CA215,CB215,S216,S217,BI215,BL215,BN215,BO215,0,Strike2,AO215,CC215,0,BL215,IF(OptControl=3,1,0),3,2))/100,0)</f>
        <v>0</v>
      </c>
      <c r="CK215" s="156">
        <f ca="1">IF(BD215,_xll.xCrudeAPO(BS215,BT215,CA215,CB215,S216,S217,BI215-DaysForThetaCalculation/365.25,BL215-DaysForThetaCalculation/365.25,BN215,BO215,0,Strike2,AO215,CC215,0,BL215,IF(OptControl=3,1,0),0,1)-_xll.xCrudeAPO(BS215,BT215,CA215,CB215,S216,S217,BI215,BL215,BN215,BO215,0,Strike2,AO215,CC215,0,BL215,IF(OptControl=3,1,0),0,1),0)</f>
        <v>0</v>
      </c>
      <c r="CL215" s="51"/>
      <c r="CM215" s="779" t="str">
        <f t="shared" ca="1" si="650"/>
        <v/>
      </c>
      <c r="CN215" s="783" t="str">
        <f t="shared" ca="1" si="651"/>
        <v/>
      </c>
      <c r="CO215" s="780" t="str">
        <f t="shared" ca="1" si="652"/>
        <v/>
      </c>
      <c r="CP215" s="780" t="str">
        <f t="shared" ca="1" si="653"/>
        <v/>
      </c>
      <c r="CQ215" s="780" t="str">
        <f t="shared" ca="1" si="654"/>
        <v/>
      </c>
      <c r="CR215" s="780" t="str">
        <f t="shared" ca="1" si="655"/>
        <v/>
      </c>
      <c r="CS215" s="781" t="str">
        <f t="shared" ca="1" si="656"/>
        <v/>
      </c>
      <c r="CT215" s="782" t="str">
        <f t="shared" ca="1" si="657"/>
        <v/>
      </c>
      <c r="CU215" s="782" t="str">
        <f t="shared" ca="1" si="658"/>
        <v/>
      </c>
      <c r="CV215" s="155">
        <f ca="1">IF(BD215,_xll.EURO(CN215,Strike1,AO215,AO215,CT215,CM215,IF(OptControl=4,0,1),0),0)</f>
        <v>0</v>
      </c>
      <c r="CW215" s="155">
        <f ca="1">IF(BD215,_xll.EURO(CN215,Strike1,AO215,AO215,CT215,CM215,IF(OptControl=4,0,1),1)+IF(OR(VolSkewFlag=2,ABS(CO215)&lt;0.0001),0,IF(CO215&gt;0,-1,1)*CX215*100*Strike1/CN215^2*CQ215/10%),0)</f>
        <v>0</v>
      </c>
      <c r="CX215" s="155">
        <f ca="1">IF(BD215,_xll.EURO(CN215,Strike1,AO215,AO215,CT215,CM215,IF(OptControl=4,0,1),3)/100,0)</f>
        <v>0</v>
      </c>
      <c r="CY215" s="155">
        <f ca="1">IF(BD215,_xll.EURO(CN215,Strike1,AO215,AO215,CT215,CM215,IF(OptControl=4,0,1),0)-_xll.EURO(CN215,Strike1,AO215,AO215,CT215,CM215-1,IF(OptControl=4,0,1),0),0)</f>
        <v>0</v>
      </c>
      <c r="CZ215" s="155">
        <f ca="1">IF(BD215,_xll.EURO(CN215,Strike2,AO215,AO215,CU215,CM215,IF(OptControl=3,1,0),0),0)</f>
        <v>0</v>
      </c>
      <c r="DA215" s="155">
        <f ca="1">IF(BD215,_xll.EURO(CN215,Strike2,AO215,AO215,CU215,CM215,IF(OptControl=3,1,0),1)+IF(OR(VolSkewFlag=2,ABS(CP215)&lt;0.0001),0,IF(CP215&gt;0,-1,1)*DB215*100*Strike2/CN215^2*CR215/10%),0)</f>
        <v>0</v>
      </c>
      <c r="DB215" s="155">
        <f ca="1">IF(BD215,_xll.EURO(CN215,Strike2,AO215,AO215,CU215,CM215,IF(OptControl=3,1,0),3)/100,0)</f>
        <v>0</v>
      </c>
      <c r="DC215" s="156">
        <f ca="1">IF(BD215,_xll.EURO(CN215,Strike2,AO215,AO215,CU215,CM215,IF(OptControl=3,1,0),0)-_xll.EURO(CN215,Strike2,AO215,AO215,CU215,CM215-1,IF(OptControl=3,1,0),0),0)</f>
        <v>0</v>
      </c>
      <c r="DE215" s="651">
        <f t="shared" ca="1" si="659"/>
        <v>42856</v>
      </c>
      <c r="DF215" s="465">
        <v>1E-4</v>
      </c>
      <c r="DG215" s="649">
        <v>1E-4</v>
      </c>
      <c r="DH215" s="650">
        <f t="shared" ca="1" si="612"/>
        <v>42856</v>
      </c>
      <c r="DI215" s="465">
        <v>1E-4</v>
      </c>
      <c r="DJ215" s="649">
        <v>1E-4</v>
      </c>
      <c r="DK215" s="651">
        <f t="shared" ca="1" si="613"/>
        <v>42856</v>
      </c>
      <c r="DL215" s="652">
        <f t="shared" si="614"/>
        <v>5.0100000000000006E-2</v>
      </c>
      <c r="DM215" s="651">
        <f t="shared" ca="1" si="615"/>
        <v>42856</v>
      </c>
      <c r="DN215" s="563">
        <f t="shared" si="616"/>
        <v>-0.12990000000000002</v>
      </c>
      <c r="DO215" s="803">
        <v>-0.13</v>
      </c>
      <c r="DP215" s="650">
        <f t="shared" ca="1" si="617"/>
        <v>42856</v>
      </c>
      <c r="DQ215" s="653">
        <v>1E-4</v>
      </c>
      <c r="DR215" s="590">
        <v>1E-4</v>
      </c>
      <c r="DS215" s="650">
        <f t="shared" ca="1" si="618"/>
        <v>42856</v>
      </c>
      <c r="DT215" s="653">
        <v>1E-4</v>
      </c>
      <c r="DU215" s="590">
        <v>1E-4</v>
      </c>
      <c r="DV215" s="651">
        <f t="shared" ca="1" si="619"/>
        <v>42856</v>
      </c>
      <c r="DW215" s="590">
        <v>1E-4</v>
      </c>
      <c r="DX215" s="651">
        <f t="shared" ca="1" si="620"/>
        <v>42856</v>
      </c>
      <c r="DY215" s="590">
        <f t="shared" si="621"/>
        <v>1E-4</v>
      </c>
      <c r="DZ215" s="1"/>
      <c r="EA215" s="857"/>
      <c r="EB215" s="857"/>
      <c r="EC215" s="857"/>
      <c r="ED215" s="868" t="e">
        <f t="shared" ca="1" si="566"/>
        <v>#NAME?</v>
      </c>
      <c r="EE215" s="863" t="e">
        <f t="shared" ca="1" si="641"/>
        <v>#NAME?</v>
      </c>
      <c r="EF215" s="590" t="e">
        <f t="shared" ca="1" si="642"/>
        <v>#NAME?</v>
      </c>
      <c r="EG215" s="862" t="str">
        <f t="shared" ca="1" si="622"/>
        <v/>
      </c>
      <c r="EH215" s="114" t="str">
        <f t="shared" ca="1" si="643"/>
        <v/>
      </c>
      <c r="EI215" s="109" t="str">
        <f t="shared" ca="1" si="644"/>
        <v/>
      </c>
      <c r="EJ215" s="115">
        <f ca="1">IF(BD215,_xll.xASN(BP215,Strike1,AO215,EH215,0,BM215,0,BI215,BL215,IF(OptControl=4,0,1),0),0)</f>
        <v>0</v>
      </c>
      <c r="EK215" s="108">
        <f ca="1">IF(BD215,_xll.xASN(BP215,Strike2,AO215,EI215,0,BM215,0,BI215,BL215,IF(OptControl=3,1,0),0),0)</f>
        <v>0</v>
      </c>
      <c r="EP215" s="53"/>
      <c r="EQ215" s="1"/>
      <c r="ER215" s="103"/>
      <c r="ES215" s="103"/>
      <c r="ET215" s="1"/>
      <c r="EU215" s="667" t="s">
        <v>428</v>
      </c>
      <c r="EW215" s="53"/>
      <c r="EY215" s="104"/>
      <c r="FN215" s="657">
        <v>46</v>
      </c>
      <c r="FO215" s="469" t="str">
        <f ca="1">IF(OR(FO$169&lt;SwaptionFirstMonthPosition+1,$FN215&lt;SwaptionFirstMonthPosition+1,FO$169&gt;SwaptionFirstMonthPosition+SwaptionNumOfMonths+1,$FN215&gt;SwaptionFirstMonthPosition+SwaptionNumOfMonths+1),"",IF($FN215=FO$169,1,IF($FN215&lt;FO$169,INDEX($FO$170:$IH$241,FO$169,$FN215),SUMPRODUCT(INDEX($FO$325:$IH$396,FO$169,1+SwaptionShift):INDEX($FO$325:$IH$396,FO$169,SwaptionMonthsToGo+SwaptionShift),INDEX($FO$245:$IH$316,$FN215-FO$169,73-FO$169+SwaptionShift):INDEX($FO$245:$IH$316,$FN215-FO$169,72-FO$169+SwaptionMonthsToGo+SwaptionShift))/SQRT(SUM(INDEX($FO370:$IH370,1+SwaptionShift):INDEX($FO370:$IH370,SwaptionMonthsToGo+SwaptionShift))*SUM(INDEX($FO$325:$IH$396,FO$169,1+SwaptionShift):INDEX($FO$325:$IH$396,FO$169,SwaptionMonthsToGo+SwaptionShift))))))</f>
        <v/>
      </c>
      <c r="FP215" s="469" t="str">
        <f ca="1">IF(OR(FP$169&lt;SwaptionFirstMonthPosition+1,$FN215&lt;SwaptionFirstMonthPosition+1,FP$169&gt;SwaptionFirstMonthPosition+SwaptionNumOfMonths+1,$FN215&gt;SwaptionFirstMonthPosition+SwaptionNumOfMonths+1),"",IF($FN215=FP$169,1,IF($FN215&lt;FP$169,INDEX($FO$170:$IH$241,FP$169,$FN215),SUMPRODUCT(INDEX($FO$325:$IH$396,FP$169,1+SwaptionShift):INDEX($FO$325:$IH$396,FP$169,SwaptionMonthsToGo+SwaptionShift),INDEX($FO$245:$IH$316,$FN215-FP$169,73-FP$169+SwaptionShift):INDEX($FO$245:$IH$316,$FN215-FP$169,72-FP$169+SwaptionMonthsToGo+SwaptionShift))/SQRT(SUM(INDEX($FO370:$IH370,1+SwaptionShift):INDEX($FO370:$IH370,SwaptionMonthsToGo+SwaptionShift))*SUM(INDEX($FO$325:$IH$396,FP$169,1+SwaptionShift):INDEX($FO$325:$IH$396,FP$169,SwaptionMonthsToGo+SwaptionShift))))))</f>
        <v/>
      </c>
      <c r="FQ215" s="469" t="str">
        <f ca="1">IF(OR(FQ$169&lt;SwaptionFirstMonthPosition+1,$FN215&lt;SwaptionFirstMonthPosition+1,FQ$169&gt;SwaptionFirstMonthPosition+SwaptionNumOfMonths+1,$FN215&gt;SwaptionFirstMonthPosition+SwaptionNumOfMonths+1),"",IF($FN215=FQ$169,1,IF($FN215&lt;FQ$169,INDEX($FO$170:$IH$241,FQ$169,$FN215),SUMPRODUCT(INDEX($FO$325:$IH$396,FQ$169,1+SwaptionShift):INDEX($FO$325:$IH$396,FQ$169,SwaptionMonthsToGo+SwaptionShift),INDEX($FO$245:$IH$316,$FN215-FQ$169,73-FQ$169+SwaptionShift):INDEX($FO$245:$IH$316,$FN215-FQ$169,72-FQ$169+SwaptionMonthsToGo+SwaptionShift))/SQRT(SUM(INDEX($FO370:$IH370,1+SwaptionShift):INDEX($FO370:$IH370,SwaptionMonthsToGo+SwaptionShift))*SUM(INDEX($FO$325:$IH$396,FQ$169,1+SwaptionShift):INDEX($FO$325:$IH$396,FQ$169,SwaptionMonthsToGo+SwaptionShift))))))</f>
        <v/>
      </c>
      <c r="FR215" s="469" t="str">
        <f ca="1">IF(OR(FR$169&lt;SwaptionFirstMonthPosition+1,$FN215&lt;SwaptionFirstMonthPosition+1,FR$169&gt;SwaptionFirstMonthPosition+SwaptionNumOfMonths+1,$FN215&gt;SwaptionFirstMonthPosition+SwaptionNumOfMonths+1),"",IF($FN215=FR$169,1,IF($FN215&lt;FR$169,INDEX($FO$170:$IH$241,FR$169,$FN215),SUMPRODUCT(INDEX($FO$325:$IH$396,FR$169,1+SwaptionShift):INDEX($FO$325:$IH$396,FR$169,SwaptionMonthsToGo+SwaptionShift),INDEX($FO$245:$IH$316,$FN215-FR$169,73-FR$169+SwaptionShift):INDEX($FO$245:$IH$316,$FN215-FR$169,72-FR$169+SwaptionMonthsToGo+SwaptionShift))/SQRT(SUM(INDEX($FO370:$IH370,1+SwaptionShift):INDEX($FO370:$IH370,SwaptionMonthsToGo+SwaptionShift))*SUM(INDEX($FO$325:$IH$396,FR$169,1+SwaptionShift):INDEX($FO$325:$IH$396,FR$169,SwaptionMonthsToGo+SwaptionShift))))))</f>
        <v/>
      </c>
      <c r="FS215" s="469" t="str">
        <f ca="1">IF(OR(FS$169&lt;SwaptionFirstMonthPosition+1,$FN215&lt;SwaptionFirstMonthPosition+1,FS$169&gt;SwaptionFirstMonthPosition+SwaptionNumOfMonths+1,$FN215&gt;SwaptionFirstMonthPosition+SwaptionNumOfMonths+1),"",IF($FN215=FS$169,1,IF($FN215&lt;FS$169,INDEX($FO$170:$IH$241,FS$169,$FN215),SUMPRODUCT(INDEX($FO$325:$IH$396,FS$169,1+SwaptionShift):INDEX($FO$325:$IH$396,FS$169,SwaptionMonthsToGo+SwaptionShift),INDEX($FO$245:$IH$316,$FN215-FS$169,73-FS$169+SwaptionShift):INDEX($FO$245:$IH$316,$FN215-FS$169,72-FS$169+SwaptionMonthsToGo+SwaptionShift))/SQRT(SUM(INDEX($FO370:$IH370,1+SwaptionShift):INDEX($FO370:$IH370,SwaptionMonthsToGo+SwaptionShift))*SUM(INDEX($FO$325:$IH$396,FS$169,1+SwaptionShift):INDEX($FO$325:$IH$396,FS$169,SwaptionMonthsToGo+SwaptionShift))))))</f>
        <v/>
      </c>
      <c r="FT215" s="469" t="str">
        <f ca="1">IF(OR(FT$169&lt;SwaptionFirstMonthPosition+1,$FN215&lt;SwaptionFirstMonthPosition+1,FT$169&gt;SwaptionFirstMonthPosition+SwaptionNumOfMonths+1,$FN215&gt;SwaptionFirstMonthPosition+SwaptionNumOfMonths+1),"",IF($FN215=FT$169,1,IF($FN215&lt;FT$169,INDEX($FO$170:$IH$241,FT$169,$FN215),SUMPRODUCT(INDEX($FO$325:$IH$396,FT$169,1+SwaptionShift):INDEX($FO$325:$IH$396,FT$169,SwaptionMonthsToGo+SwaptionShift),INDEX($FO$245:$IH$316,$FN215-FT$169,73-FT$169+SwaptionShift):INDEX($FO$245:$IH$316,$FN215-FT$169,72-FT$169+SwaptionMonthsToGo+SwaptionShift))/SQRT(SUM(INDEX($FO370:$IH370,1+SwaptionShift):INDEX($FO370:$IH370,SwaptionMonthsToGo+SwaptionShift))*SUM(INDEX($FO$325:$IH$396,FT$169,1+SwaptionShift):INDEX($FO$325:$IH$396,FT$169,SwaptionMonthsToGo+SwaptionShift))))))</f>
        <v/>
      </c>
      <c r="FU215" s="469" t="str">
        <f ca="1">IF(OR(FU$169&lt;SwaptionFirstMonthPosition+1,$FN215&lt;SwaptionFirstMonthPosition+1,FU$169&gt;SwaptionFirstMonthPosition+SwaptionNumOfMonths+1,$FN215&gt;SwaptionFirstMonthPosition+SwaptionNumOfMonths+1),"",IF($FN215=FU$169,1,IF($FN215&lt;FU$169,INDEX($FO$170:$IH$241,FU$169,$FN215),SUMPRODUCT(INDEX($FO$325:$IH$396,FU$169,1+SwaptionShift):INDEX($FO$325:$IH$396,FU$169,SwaptionMonthsToGo+SwaptionShift),INDEX($FO$245:$IH$316,$FN215-FU$169,73-FU$169+SwaptionShift):INDEX($FO$245:$IH$316,$FN215-FU$169,72-FU$169+SwaptionMonthsToGo+SwaptionShift))/SQRT(SUM(INDEX($FO370:$IH370,1+SwaptionShift):INDEX($FO370:$IH370,SwaptionMonthsToGo+SwaptionShift))*SUM(INDEX($FO$325:$IH$396,FU$169,1+SwaptionShift):INDEX($FO$325:$IH$396,FU$169,SwaptionMonthsToGo+SwaptionShift))))))</f>
        <v/>
      </c>
      <c r="FV215" s="469" t="str">
        <f ca="1">IF(OR(FV$169&lt;SwaptionFirstMonthPosition+1,$FN215&lt;SwaptionFirstMonthPosition+1,FV$169&gt;SwaptionFirstMonthPosition+SwaptionNumOfMonths+1,$FN215&gt;SwaptionFirstMonthPosition+SwaptionNumOfMonths+1),"",IF($FN215=FV$169,1,IF($FN215&lt;FV$169,INDEX($FO$170:$IH$241,FV$169,$FN215),SUMPRODUCT(INDEX($FO$325:$IH$396,FV$169,1+SwaptionShift):INDEX($FO$325:$IH$396,FV$169,SwaptionMonthsToGo+SwaptionShift),INDEX($FO$245:$IH$316,$FN215-FV$169,73-FV$169+SwaptionShift):INDEX($FO$245:$IH$316,$FN215-FV$169,72-FV$169+SwaptionMonthsToGo+SwaptionShift))/SQRT(SUM(INDEX($FO370:$IH370,1+SwaptionShift):INDEX($FO370:$IH370,SwaptionMonthsToGo+SwaptionShift))*SUM(INDEX($FO$325:$IH$396,FV$169,1+SwaptionShift):INDEX($FO$325:$IH$396,FV$169,SwaptionMonthsToGo+SwaptionShift))))))</f>
        <v/>
      </c>
      <c r="FW215" s="469" t="str">
        <f ca="1">IF(OR(FW$169&lt;SwaptionFirstMonthPosition+1,$FN215&lt;SwaptionFirstMonthPosition+1,FW$169&gt;SwaptionFirstMonthPosition+SwaptionNumOfMonths+1,$FN215&gt;SwaptionFirstMonthPosition+SwaptionNumOfMonths+1),"",IF($FN215=FW$169,1,IF($FN215&lt;FW$169,INDEX($FO$170:$IH$241,FW$169,$FN215),SUMPRODUCT(INDEX($FO$325:$IH$396,FW$169,1+SwaptionShift):INDEX($FO$325:$IH$396,FW$169,SwaptionMonthsToGo+SwaptionShift),INDEX($FO$245:$IH$316,$FN215-FW$169,73-FW$169+SwaptionShift):INDEX($FO$245:$IH$316,$FN215-FW$169,72-FW$169+SwaptionMonthsToGo+SwaptionShift))/SQRT(SUM(INDEX($FO370:$IH370,1+SwaptionShift):INDEX($FO370:$IH370,SwaptionMonthsToGo+SwaptionShift))*SUM(INDEX($FO$325:$IH$396,FW$169,1+SwaptionShift):INDEX($FO$325:$IH$396,FW$169,SwaptionMonthsToGo+SwaptionShift))))))</f>
        <v/>
      </c>
      <c r="FX215" s="469" t="str">
        <f ca="1">IF(OR(FX$169&lt;SwaptionFirstMonthPosition+1,$FN215&lt;SwaptionFirstMonthPosition+1,FX$169&gt;SwaptionFirstMonthPosition+SwaptionNumOfMonths+1,$FN215&gt;SwaptionFirstMonthPosition+SwaptionNumOfMonths+1),"",IF($FN215=FX$169,1,IF($FN215&lt;FX$169,INDEX($FO$170:$IH$241,FX$169,$FN215),SUMPRODUCT(INDEX($FO$325:$IH$396,FX$169,1+SwaptionShift):INDEX($FO$325:$IH$396,FX$169,SwaptionMonthsToGo+SwaptionShift),INDEX($FO$245:$IH$316,$FN215-FX$169,73-FX$169+SwaptionShift):INDEX($FO$245:$IH$316,$FN215-FX$169,72-FX$169+SwaptionMonthsToGo+SwaptionShift))/SQRT(SUM(INDEX($FO370:$IH370,1+SwaptionShift):INDEX($FO370:$IH370,SwaptionMonthsToGo+SwaptionShift))*SUM(INDEX($FO$325:$IH$396,FX$169,1+SwaptionShift):INDEX($FO$325:$IH$396,FX$169,SwaptionMonthsToGo+SwaptionShift))))))</f>
        <v/>
      </c>
      <c r="FY215" s="469" t="str">
        <f ca="1">IF(OR(FY$169&lt;SwaptionFirstMonthPosition+1,$FN215&lt;SwaptionFirstMonthPosition+1,FY$169&gt;SwaptionFirstMonthPosition+SwaptionNumOfMonths+1,$FN215&gt;SwaptionFirstMonthPosition+SwaptionNumOfMonths+1),"",IF($FN215=FY$169,1,IF($FN215&lt;FY$169,INDEX($FO$170:$IH$241,FY$169,$FN215),SUMPRODUCT(INDEX($FO$325:$IH$396,FY$169,1+SwaptionShift):INDEX($FO$325:$IH$396,FY$169,SwaptionMonthsToGo+SwaptionShift),INDEX($FO$245:$IH$316,$FN215-FY$169,73-FY$169+SwaptionShift):INDEX($FO$245:$IH$316,$FN215-FY$169,72-FY$169+SwaptionMonthsToGo+SwaptionShift))/SQRT(SUM(INDEX($FO370:$IH370,1+SwaptionShift):INDEX($FO370:$IH370,SwaptionMonthsToGo+SwaptionShift))*SUM(INDEX($FO$325:$IH$396,FY$169,1+SwaptionShift):INDEX($FO$325:$IH$396,FY$169,SwaptionMonthsToGo+SwaptionShift))))))</f>
        <v/>
      </c>
      <c r="FZ215" s="469" t="str">
        <f ca="1">IF(OR(FZ$169&lt;SwaptionFirstMonthPosition+1,$FN215&lt;SwaptionFirstMonthPosition+1,FZ$169&gt;SwaptionFirstMonthPosition+SwaptionNumOfMonths+1,$FN215&gt;SwaptionFirstMonthPosition+SwaptionNumOfMonths+1),"",IF($FN215=FZ$169,1,IF($FN215&lt;FZ$169,INDEX($FO$170:$IH$241,FZ$169,$FN215),SUMPRODUCT(INDEX($FO$325:$IH$396,FZ$169,1+SwaptionShift):INDEX($FO$325:$IH$396,FZ$169,SwaptionMonthsToGo+SwaptionShift),INDEX($FO$245:$IH$316,$FN215-FZ$169,73-FZ$169+SwaptionShift):INDEX($FO$245:$IH$316,$FN215-FZ$169,72-FZ$169+SwaptionMonthsToGo+SwaptionShift))/SQRT(SUM(INDEX($FO370:$IH370,1+SwaptionShift):INDEX($FO370:$IH370,SwaptionMonthsToGo+SwaptionShift))*SUM(INDEX($FO$325:$IH$396,FZ$169,1+SwaptionShift):INDEX($FO$325:$IH$396,FZ$169,SwaptionMonthsToGo+SwaptionShift))))))</f>
        <v/>
      </c>
      <c r="GA215" s="469" t="str">
        <f ca="1">IF(OR(GA$169&lt;SwaptionFirstMonthPosition+1,$FN215&lt;SwaptionFirstMonthPosition+1,GA$169&gt;SwaptionFirstMonthPosition+SwaptionNumOfMonths+1,$FN215&gt;SwaptionFirstMonthPosition+SwaptionNumOfMonths+1),"",IF($FN215=GA$169,1,IF($FN215&lt;GA$169,INDEX($FO$170:$IH$241,GA$169,$FN215),SUMPRODUCT(INDEX($FO$325:$IH$396,GA$169,1+SwaptionShift):INDEX($FO$325:$IH$396,GA$169,SwaptionMonthsToGo+SwaptionShift),INDEX($FO$245:$IH$316,$FN215-GA$169,73-GA$169+SwaptionShift):INDEX($FO$245:$IH$316,$FN215-GA$169,72-GA$169+SwaptionMonthsToGo+SwaptionShift))/SQRT(SUM(INDEX($FO370:$IH370,1+SwaptionShift):INDEX($FO370:$IH370,SwaptionMonthsToGo+SwaptionShift))*SUM(INDEX($FO$325:$IH$396,GA$169,1+SwaptionShift):INDEX($FO$325:$IH$396,GA$169,SwaptionMonthsToGo+SwaptionShift))))))</f>
        <v/>
      </c>
      <c r="GB215" s="469" t="str">
        <f ca="1">IF(OR(GB$169&lt;SwaptionFirstMonthPosition+1,$FN215&lt;SwaptionFirstMonthPosition+1,GB$169&gt;SwaptionFirstMonthPosition+SwaptionNumOfMonths+1,$FN215&gt;SwaptionFirstMonthPosition+SwaptionNumOfMonths+1),"",IF($FN215=GB$169,1,IF($FN215&lt;GB$169,INDEX($FO$170:$IH$241,GB$169,$FN215),SUMPRODUCT(INDEX($FO$325:$IH$396,GB$169,1+SwaptionShift):INDEX($FO$325:$IH$396,GB$169,SwaptionMonthsToGo+SwaptionShift),INDEX($FO$245:$IH$316,$FN215-GB$169,73-GB$169+SwaptionShift):INDEX($FO$245:$IH$316,$FN215-GB$169,72-GB$169+SwaptionMonthsToGo+SwaptionShift))/SQRT(SUM(INDEX($FO370:$IH370,1+SwaptionShift):INDEX($FO370:$IH370,SwaptionMonthsToGo+SwaptionShift))*SUM(INDEX($FO$325:$IH$396,GB$169,1+SwaptionShift):INDEX($FO$325:$IH$396,GB$169,SwaptionMonthsToGo+SwaptionShift))))))</f>
        <v/>
      </c>
      <c r="GC215" s="469" t="str">
        <f ca="1">IF(OR(GC$169&lt;SwaptionFirstMonthPosition+1,$FN215&lt;SwaptionFirstMonthPosition+1,GC$169&gt;SwaptionFirstMonthPosition+SwaptionNumOfMonths+1,$FN215&gt;SwaptionFirstMonthPosition+SwaptionNumOfMonths+1),"",IF($FN215=GC$169,1,IF($FN215&lt;GC$169,INDEX($FO$170:$IH$241,GC$169,$FN215),SUMPRODUCT(INDEX($FO$325:$IH$396,GC$169,1+SwaptionShift):INDEX($FO$325:$IH$396,GC$169,SwaptionMonthsToGo+SwaptionShift),INDEX($FO$245:$IH$316,$FN215-GC$169,73-GC$169+SwaptionShift):INDEX($FO$245:$IH$316,$FN215-GC$169,72-GC$169+SwaptionMonthsToGo+SwaptionShift))/SQRT(SUM(INDEX($FO370:$IH370,1+SwaptionShift):INDEX($FO370:$IH370,SwaptionMonthsToGo+SwaptionShift))*SUM(INDEX($FO$325:$IH$396,GC$169,1+SwaptionShift):INDEX($FO$325:$IH$396,GC$169,SwaptionMonthsToGo+SwaptionShift))))))</f>
        <v/>
      </c>
      <c r="GD215" s="469" t="str">
        <f ca="1">IF(OR(GD$169&lt;SwaptionFirstMonthPosition+1,$FN215&lt;SwaptionFirstMonthPosition+1,GD$169&gt;SwaptionFirstMonthPosition+SwaptionNumOfMonths+1,$FN215&gt;SwaptionFirstMonthPosition+SwaptionNumOfMonths+1),"",IF($FN215=GD$169,1,IF($FN215&lt;GD$169,INDEX($FO$170:$IH$241,GD$169,$FN215),SUMPRODUCT(INDEX($FO$325:$IH$396,GD$169,1+SwaptionShift):INDEX($FO$325:$IH$396,GD$169,SwaptionMonthsToGo+SwaptionShift),INDEX($FO$245:$IH$316,$FN215-GD$169,73-GD$169+SwaptionShift):INDEX($FO$245:$IH$316,$FN215-GD$169,72-GD$169+SwaptionMonthsToGo+SwaptionShift))/SQRT(SUM(INDEX($FO370:$IH370,1+SwaptionShift):INDEX($FO370:$IH370,SwaptionMonthsToGo+SwaptionShift))*SUM(INDEX($FO$325:$IH$396,GD$169,1+SwaptionShift):INDEX($FO$325:$IH$396,GD$169,SwaptionMonthsToGo+SwaptionShift))))))</f>
        <v/>
      </c>
      <c r="GE215" s="469" t="str">
        <f ca="1">IF(OR(GE$169&lt;SwaptionFirstMonthPosition+1,$FN215&lt;SwaptionFirstMonthPosition+1,GE$169&gt;SwaptionFirstMonthPosition+SwaptionNumOfMonths+1,$FN215&gt;SwaptionFirstMonthPosition+SwaptionNumOfMonths+1),"",IF($FN215=GE$169,1,IF($FN215&lt;GE$169,INDEX($FO$170:$IH$241,GE$169,$FN215),SUMPRODUCT(INDEX($FO$325:$IH$396,GE$169,1+SwaptionShift):INDEX($FO$325:$IH$396,GE$169,SwaptionMonthsToGo+SwaptionShift),INDEX($FO$245:$IH$316,$FN215-GE$169,73-GE$169+SwaptionShift):INDEX($FO$245:$IH$316,$FN215-GE$169,72-GE$169+SwaptionMonthsToGo+SwaptionShift))/SQRT(SUM(INDEX($FO370:$IH370,1+SwaptionShift):INDEX($FO370:$IH370,SwaptionMonthsToGo+SwaptionShift))*SUM(INDEX($FO$325:$IH$396,GE$169,1+SwaptionShift):INDEX($FO$325:$IH$396,GE$169,SwaptionMonthsToGo+SwaptionShift))))))</f>
        <v/>
      </c>
      <c r="GF215" s="469" t="str">
        <f ca="1">IF(OR(GF$169&lt;SwaptionFirstMonthPosition+1,$FN215&lt;SwaptionFirstMonthPosition+1,GF$169&gt;SwaptionFirstMonthPosition+SwaptionNumOfMonths+1,$FN215&gt;SwaptionFirstMonthPosition+SwaptionNumOfMonths+1),"",IF($FN215=GF$169,1,IF($FN215&lt;GF$169,INDEX($FO$170:$IH$241,GF$169,$FN215),SUMPRODUCT(INDEX($FO$325:$IH$396,GF$169,1+SwaptionShift):INDEX($FO$325:$IH$396,GF$169,SwaptionMonthsToGo+SwaptionShift),INDEX($FO$245:$IH$316,$FN215-GF$169,73-GF$169+SwaptionShift):INDEX($FO$245:$IH$316,$FN215-GF$169,72-GF$169+SwaptionMonthsToGo+SwaptionShift))/SQRT(SUM(INDEX($FO370:$IH370,1+SwaptionShift):INDEX($FO370:$IH370,SwaptionMonthsToGo+SwaptionShift))*SUM(INDEX($FO$325:$IH$396,GF$169,1+SwaptionShift):INDEX($FO$325:$IH$396,GF$169,SwaptionMonthsToGo+SwaptionShift))))))</f>
        <v/>
      </c>
      <c r="GG215" s="469" t="str">
        <f ca="1">IF(OR(GG$169&lt;SwaptionFirstMonthPosition+1,$FN215&lt;SwaptionFirstMonthPosition+1,GG$169&gt;SwaptionFirstMonthPosition+SwaptionNumOfMonths+1,$FN215&gt;SwaptionFirstMonthPosition+SwaptionNumOfMonths+1),"",IF($FN215=GG$169,1,IF($FN215&lt;GG$169,INDEX($FO$170:$IH$241,GG$169,$FN215),SUMPRODUCT(INDEX($FO$325:$IH$396,GG$169,1+SwaptionShift):INDEX($FO$325:$IH$396,GG$169,SwaptionMonthsToGo+SwaptionShift),INDEX($FO$245:$IH$316,$FN215-GG$169,73-GG$169+SwaptionShift):INDEX($FO$245:$IH$316,$FN215-GG$169,72-GG$169+SwaptionMonthsToGo+SwaptionShift))/SQRT(SUM(INDEX($FO370:$IH370,1+SwaptionShift):INDEX($FO370:$IH370,SwaptionMonthsToGo+SwaptionShift))*SUM(INDEX($FO$325:$IH$396,GG$169,1+SwaptionShift):INDEX($FO$325:$IH$396,GG$169,SwaptionMonthsToGo+SwaptionShift))))))</f>
        <v/>
      </c>
      <c r="GH215" s="469" t="str">
        <f ca="1">IF(OR(GH$169&lt;SwaptionFirstMonthPosition+1,$FN215&lt;SwaptionFirstMonthPosition+1,GH$169&gt;SwaptionFirstMonthPosition+SwaptionNumOfMonths+1,$FN215&gt;SwaptionFirstMonthPosition+SwaptionNumOfMonths+1),"",IF($FN215=GH$169,1,IF($FN215&lt;GH$169,INDEX($FO$170:$IH$241,GH$169,$FN215),SUMPRODUCT(INDEX($FO$325:$IH$396,GH$169,1+SwaptionShift):INDEX($FO$325:$IH$396,GH$169,SwaptionMonthsToGo+SwaptionShift),INDEX($FO$245:$IH$316,$FN215-GH$169,73-GH$169+SwaptionShift):INDEX($FO$245:$IH$316,$FN215-GH$169,72-GH$169+SwaptionMonthsToGo+SwaptionShift))/SQRT(SUM(INDEX($FO370:$IH370,1+SwaptionShift):INDEX($FO370:$IH370,SwaptionMonthsToGo+SwaptionShift))*SUM(INDEX($FO$325:$IH$396,GH$169,1+SwaptionShift):INDEX($FO$325:$IH$396,GH$169,SwaptionMonthsToGo+SwaptionShift))))))</f>
        <v/>
      </c>
      <c r="GI215" s="469" t="str">
        <f ca="1">IF(OR(GI$169&lt;SwaptionFirstMonthPosition+1,$FN215&lt;SwaptionFirstMonthPosition+1,GI$169&gt;SwaptionFirstMonthPosition+SwaptionNumOfMonths+1,$FN215&gt;SwaptionFirstMonthPosition+SwaptionNumOfMonths+1),"",IF($FN215=GI$169,1,IF($FN215&lt;GI$169,INDEX($FO$170:$IH$241,GI$169,$FN215),SUMPRODUCT(INDEX($FO$325:$IH$396,GI$169,1+SwaptionShift):INDEX($FO$325:$IH$396,GI$169,SwaptionMonthsToGo+SwaptionShift),INDEX($FO$245:$IH$316,$FN215-GI$169,73-GI$169+SwaptionShift):INDEX($FO$245:$IH$316,$FN215-GI$169,72-GI$169+SwaptionMonthsToGo+SwaptionShift))/SQRT(SUM(INDEX($FO370:$IH370,1+SwaptionShift):INDEX($FO370:$IH370,SwaptionMonthsToGo+SwaptionShift))*SUM(INDEX($FO$325:$IH$396,GI$169,1+SwaptionShift):INDEX($FO$325:$IH$396,GI$169,SwaptionMonthsToGo+SwaptionShift))))))</f>
        <v/>
      </c>
      <c r="GJ215" s="469" t="str">
        <f ca="1">IF(OR(GJ$169&lt;SwaptionFirstMonthPosition+1,$FN215&lt;SwaptionFirstMonthPosition+1,GJ$169&gt;SwaptionFirstMonthPosition+SwaptionNumOfMonths+1,$FN215&gt;SwaptionFirstMonthPosition+SwaptionNumOfMonths+1),"",IF($FN215=GJ$169,1,IF($FN215&lt;GJ$169,INDEX($FO$170:$IH$241,GJ$169,$FN215),SUMPRODUCT(INDEX($FO$325:$IH$396,GJ$169,1+SwaptionShift):INDEX($FO$325:$IH$396,GJ$169,SwaptionMonthsToGo+SwaptionShift),INDEX($FO$245:$IH$316,$FN215-GJ$169,73-GJ$169+SwaptionShift):INDEX($FO$245:$IH$316,$FN215-GJ$169,72-GJ$169+SwaptionMonthsToGo+SwaptionShift))/SQRT(SUM(INDEX($FO370:$IH370,1+SwaptionShift):INDEX($FO370:$IH370,SwaptionMonthsToGo+SwaptionShift))*SUM(INDEX($FO$325:$IH$396,GJ$169,1+SwaptionShift):INDEX($FO$325:$IH$396,GJ$169,SwaptionMonthsToGo+SwaptionShift))))))</f>
        <v/>
      </c>
      <c r="GK215" s="469" t="str">
        <f ca="1">IF(OR(GK$169&lt;SwaptionFirstMonthPosition+1,$FN215&lt;SwaptionFirstMonthPosition+1,GK$169&gt;SwaptionFirstMonthPosition+SwaptionNumOfMonths+1,$FN215&gt;SwaptionFirstMonthPosition+SwaptionNumOfMonths+1),"",IF($FN215=GK$169,1,IF($FN215&lt;GK$169,INDEX($FO$170:$IH$241,GK$169,$FN215),SUMPRODUCT(INDEX($FO$325:$IH$396,GK$169,1+SwaptionShift):INDEX($FO$325:$IH$396,GK$169,SwaptionMonthsToGo+SwaptionShift),INDEX($FO$245:$IH$316,$FN215-GK$169,73-GK$169+SwaptionShift):INDEX($FO$245:$IH$316,$FN215-GK$169,72-GK$169+SwaptionMonthsToGo+SwaptionShift))/SQRT(SUM(INDEX($FO370:$IH370,1+SwaptionShift):INDEX($FO370:$IH370,SwaptionMonthsToGo+SwaptionShift))*SUM(INDEX($FO$325:$IH$396,GK$169,1+SwaptionShift):INDEX($FO$325:$IH$396,GK$169,SwaptionMonthsToGo+SwaptionShift))))))</f>
        <v/>
      </c>
      <c r="GL215" s="469" t="str">
        <f ca="1">IF(OR(GL$169&lt;SwaptionFirstMonthPosition+1,$FN215&lt;SwaptionFirstMonthPosition+1,GL$169&gt;SwaptionFirstMonthPosition+SwaptionNumOfMonths+1,$FN215&gt;SwaptionFirstMonthPosition+SwaptionNumOfMonths+1),"",IF($FN215=GL$169,1,IF($FN215&lt;GL$169,INDEX($FO$170:$IH$241,GL$169,$FN215),SUMPRODUCT(INDEX($FO$325:$IH$396,GL$169,1+SwaptionShift):INDEX($FO$325:$IH$396,GL$169,SwaptionMonthsToGo+SwaptionShift),INDEX($FO$245:$IH$316,$FN215-GL$169,73-GL$169+SwaptionShift):INDEX($FO$245:$IH$316,$FN215-GL$169,72-GL$169+SwaptionMonthsToGo+SwaptionShift))/SQRT(SUM(INDEX($FO370:$IH370,1+SwaptionShift):INDEX($FO370:$IH370,SwaptionMonthsToGo+SwaptionShift))*SUM(INDEX($FO$325:$IH$396,GL$169,1+SwaptionShift):INDEX($FO$325:$IH$396,GL$169,SwaptionMonthsToGo+SwaptionShift))))))</f>
        <v/>
      </c>
      <c r="GM215" s="469" t="str">
        <f ca="1">IF(OR(GM$169&lt;SwaptionFirstMonthPosition+1,$FN215&lt;SwaptionFirstMonthPosition+1,GM$169&gt;SwaptionFirstMonthPosition+SwaptionNumOfMonths+1,$FN215&gt;SwaptionFirstMonthPosition+SwaptionNumOfMonths+1),"",IF($FN215=GM$169,1,IF($FN215&lt;GM$169,INDEX($FO$170:$IH$241,GM$169,$FN215),SUMPRODUCT(INDEX($FO$325:$IH$396,GM$169,1+SwaptionShift):INDEX($FO$325:$IH$396,GM$169,SwaptionMonthsToGo+SwaptionShift),INDEX($FO$245:$IH$316,$FN215-GM$169,73-GM$169+SwaptionShift):INDEX($FO$245:$IH$316,$FN215-GM$169,72-GM$169+SwaptionMonthsToGo+SwaptionShift))/SQRT(SUM(INDEX($FO370:$IH370,1+SwaptionShift):INDEX($FO370:$IH370,SwaptionMonthsToGo+SwaptionShift))*SUM(INDEX($FO$325:$IH$396,GM$169,1+SwaptionShift):INDEX($FO$325:$IH$396,GM$169,SwaptionMonthsToGo+SwaptionShift))))))</f>
        <v/>
      </c>
      <c r="GN215" s="469" t="str">
        <f ca="1">IF(OR(GN$169&lt;SwaptionFirstMonthPosition+1,$FN215&lt;SwaptionFirstMonthPosition+1,GN$169&gt;SwaptionFirstMonthPosition+SwaptionNumOfMonths+1,$FN215&gt;SwaptionFirstMonthPosition+SwaptionNumOfMonths+1),"",IF($FN215=GN$169,1,IF($FN215&lt;GN$169,INDEX($FO$170:$IH$241,GN$169,$FN215),SUMPRODUCT(INDEX($FO$325:$IH$396,GN$169,1+SwaptionShift):INDEX($FO$325:$IH$396,GN$169,SwaptionMonthsToGo+SwaptionShift),INDEX($FO$245:$IH$316,$FN215-GN$169,73-GN$169+SwaptionShift):INDEX($FO$245:$IH$316,$FN215-GN$169,72-GN$169+SwaptionMonthsToGo+SwaptionShift))/SQRT(SUM(INDEX($FO370:$IH370,1+SwaptionShift):INDEX($FO370:$IH370,SwaptionMonthsToGo+SwaptionShift))*SUM(INDEX($FO$325:$IH$396,GN$169,1+SwaptionShift):INDEX($FO$325:$IH$396,GN$169,SwaptionMonthsToGo+SwaptionShift))))))</f>
        <v/>
      </c>
      <c r="GO215" s="469" t="str">
        <f ca="1">IF(OR(GO$169&lt;SwaptionFirstMonthPosition+1,$FN215&lt;SwaptionFirstMonthPosition+1,GO$169&gt;SwaptionFirstMonthPosition+SwaptionNumOfMonths+1,$FN215&gt;SwaptionFirstMonthPosition+SwaptionNumOfMonths+1),"",IF($FN215=GO$169,1,IF($FN215&lt;GO$169,INDEX($FO$170:$IH$241,GO$169,$FN215),SUMPRODUCT(INDEX($FO$325:$IH$396,GO$169,1+SwaptionShift):INDEX($FO$325:$IH$396,GO$169,SwaptionMonthsToGo+SwaptionShift),INDEX($FO$245:$IH$316,$FN215-GO$169,73-GO$169+SwaptionShift):INDEX($FO$245:$IH$316,$FN215-GO$169,72-GO$169+SwaptionMonthsToGo+SwaptionShift))/SQRT(SUM(INDEX($FO370:$IH370,1+SwaptionShift):INDEX($FO370:$IH370,SwaptionMonthsToGo+SwaptionShift))*SUM(INDEX($FO$325:$IH$396,GO$169,1+SwaptionShift):INDEX($FO$325:$IH$396,GO$169,SwaptionMonthsToGo+SwaptionShift))))))</f>
        <v/>
      </c>
      <c r="GP215" s="469" t="str">
        <f ca="1">IF(OR(GP$169&lt;SwaptionFirstMonthPosition+1,$FN215&lt;SwaptionFirstMonthPosition+1,GP$169&gt;SwaptionFirstMonthPosition+SwaptionNumOfMonths+1,$FN215&gt;SwaptionFirstMonthPosition+SwaptionNumOfMonths+1),"",IF($FN215=GP$169,1,IF($FN215&lt;GP$169,INDEX($FO$170:$IH$241,GP$169,$FN215),SUMPRODUCT(INDEX($FO$325:$IH$396,GP$169,1+SwaptionShift):INDEX($FO$325:$IH$396,GP$169,SwaptionMonthsToGo+SwaptionShift),INDEX($FO$245:$IH$316,$FN215-GP$169,73-GP$169+SwaptionShift):INDEX($FO$245:$IH$316,$FN215-GP$169,72-GP$169+SwaptionMonthsToGo+SwaptionShift))/SQRT(SUM(INDEX($FO370:$IH370,1+SwaptionShift):INDEX($FO370:$IH370,SwaptionMonthsToGo+SwaptionShift))*SUM(INDEX($FO$325:$IH$396,GP$169,1+SwaptionShift):INDEX($FO$325:$IH$396,GP$169,SwaptionMonthsToGo+SwaptionShift))))))</f>
        <v/>
      </c>
      <c r="GQ215" s="469" t="str">
        <f ca="1">IF(OR(GQ$169&lt;SwaptionFirstMonthPosition+1,$FN215&lt;SwaptionFirstMonthPosition+1,GQ$169&gt;SwaptionFirstMonthPosition+SwaptionNumOfMonths+1,$FN215&gt;SwaptionFirstMonthPosition+SwaptionNumOfMonths+1),"",IF($FN215=GQ$169,1,IF($FN215&lt;GQ$169,INDEX($FO$170:$IH$241,GQ$169,$FN215),SUMPRODUCT(INDEX($FO$325:$IH$396,GQ$169,1+SwaptionShift):INDEX($FO$325:$IH$396,GQ$169,SwaptionMonthsToGo+SwaptionShift),INDEX($FO$245:$IH$316,$FN215-GQ$169,73-GQ$169+SwaptionShift):INDEX($FO$245:$IH$316,$FN215-GQ$169,72-GQ$169+SwaptionMonthsToGo+SwaptionShift))/SQRT(SUM(INDEX($FO370:$IH370,1+SwaptionShift):INDEX($FO370:$IH370,SwaptionMonthsToGo+SwaptionShift))*SUM(INDEX($FO$325:$IH$396,GQ$169,1+SwaptionShift):INDEX($FO$325:$IH$396,GQ$169,SwaptionMonthsToGo+SwaptionShift))))))</f>
        <v/>
      </c>
      <c r="GR215" s="469" t="str">
        <f ca="1">IF(OR(GR$169&lt;SwaptionFirstMonthPosition+1,$FN215&lt;SwaptionFirstMonthPosition+1,GR$169&gt;SwaptionFirstMonthPosition+SwaptionNumOfMonths+1,$FN215&gt;SwaptionFirstMonthPosition+SwaptionNumOfMonths+1),"",IF($FN215=GR$169,1,IF($FN215&lt;GR$169,INDEX($FO$170:$IH$241,GR$169,$FN215),SUMPRODUCT(INDEX($FO$325:$IH$396,GR$169,1+SwaptionShift):INDEX($FO$325:$IH$396,GR$169,SwaptionMonthsToGo+SwaptionShift),INDEX($FO$245:$IH$316,$FN215-GR$169,73-GR$169+SwaptionShift):INDEX($FO$245:$IH$316,$FN215-GR$169,72-GR$169+SwaptionMonthsToGo+SwaptionShift))/SQRT(SUM(INDEX($FO370:$IH370,1+SwaptionShift):INDEX($FO370:$IH370,SwaptionMonthsToGo+SwaptionShift))*SUM(INDEX($FO$325:$IH$396,GR$169,1+SwaptionShift):INDEX($FO$325:$IH$396,GR$169,SwaptionMonthsToGo+SwaptionShift))))))</f>
        <v/>
      </c>
      <c r="GS215" s="469" t="str">
        <f ca="1">IF(OR(GS$169&lt;SwaptionFirstMonthPosition+1,$FN215&lt;SwaptionFirstMonthPosition+1,GS$169&gt;SwaptionFirstMonthPosition+SwaptionNumOfMonths+1,$FN215&gt;SwaptionFirstMonthPosition+SwaptionNumOfMonths+1),"",IF($FN215=GS$169,1,IF($FN215&lt;GS$169,INDEX($FO$170:$IH$241,GS$169,$FN215),SUMPRODUCT(INDEX($FO$325:$IH$396,GS$169,1+SwaptionShift):INDEX($FO$325:$IH$396,GS$169,SwaptionMonthsToGo+SwaptionShift),INDEX($FO$245:$IH$316,$FN215-GS$169,73-GS$169+SwaptionShift):INDEX($FO$245:$IH$316,$FN215-GS$169,72-GS$169+SwaptionMonthsToGo+SwaptionShift))/SQRT(SUM(INDEX($FO370:$IH370,1+SwaptionShift):INDEX($FO370:$IH370,SwaptionMonthsToGo+SwaptionShift))*SUM(INDEX($FO$325:$IH$396,GS$169,1+SwaptionShift):INDEX($FO$325:$IH$396,GS$169,SwaptionMonthsToGo+SwaptionShift))))))</f>
        <v/>
      </c>
      <c r="GT215" s="469" t="str">
        <f ca="1">IF(OR(GT$169&lt;SwaptionFirstMonthPosition+1,$FN215&lt;SwaptionFirstMonthPosition+1,GT$169&gt;SwaptionFirstMonthPosition+SwaptionNumOfMonths+1,$FN215&gt;SwaptionFirstMonthPosition+SwaptionNumOfMonths+1),"",IF($FN215=GT$169,1,IF($FN215&lt;GT$169,INDEX($FO$170:$IH$241,GT$169,$FN215),SUMPRODUCT(INDEX($FO$325:$IH$396,GT$169,1+SwaptionShift):INDEX($FO$325:$IH$396,GT$169,SwaptionMonthsToGo+SwaptionShift),INDEX($FO$245:$IH$316,$FN215-GT$169,73-GT$169+SwaptionShift):INDEX($FO$245:$IH$316,$FN215-GT$169,72-GT$169+SwaptionMonthsToGo+SwaptionShift))/SQRT(SUM(INDEX($FO370:$IH370,1+SwaptionShift):INDEX($FO370:$IH370,SwaptionMonthsToGo+SwaptionShift))*SUM(INDEX($FO$325:$IH$396,GT$169,1+SwaptionShift):INDEX($FO$325:$IH$396,GT$169,SwaptionMonthsToGo+SwaptionShift))))))</f>
        <v/>
      </c>
      <c r="GU215" s="469" t="str">
        <f ca="1">IF(OR(GU$169&lt;SwaptionFirstMonthPosition+1,$FN215&lt;SwaptionFirstMonthPosition+1,GU$169&gt;SwaptionFirstMonthPosition+SwaptionNumOfMonths+1,$FN215&gt;SwaptionFirstMonthPosition+SwaptionNumOfMonths+1),"",IF($FN215=GU$169,1,IF($FN215&lt;GU$169,INDEX($FO$170:$IH$241,GU$169,$FN215),SUMPRODUCT(INDEX($FO$325:$IH$396,GU$169,1+SwaptionShift):INDEX($FO$325:$IH$396,GU$169,SwaptionMonthsToGo+SwaptionShift),INDEX($FO$245:$IH$316,$FN215-GU$169,73-GU$169+SwaptionShift):INDEX($FO$245:$IH$316,$FN215-GU$169,72-GU$169+SwaptionMonthsToGo+SwaptionShift))/SQRT(SUM(INDEX($FO370:$IH370,1+SwaptionShift):INDEX($FO370:$IH370,SwaptionMonthsToGo+SwaptionShift))*SUM(INDEX($FO$325:$IH$396,GU$169,1+SwaptionShift):INDEX($FO$325:$IH$396,GU$169,SwaptionMonthsToGo+SwaptionShift))))))</f>
        <v/>
      </c>
      <c r="GV215" s="469" t="str">
        <f ca="1">IF(OR(GV$169&lt;SwaptionFirstMonthPosition+1,$FN215&lt;SwaptionFirstMonthPosition+1,GV$169&gt;SwaptionFirstMonthPosition+SwaptionNumOfMonths+1,$FN215&gt;SwaptionFirstMonthPosition+SwaptionNumOfMonths+1),"",IF($FN215=GV$169,1,IF($FN215&lt;GV$169,INDEX($FO$170:$IH$241,GV$169,$FN215),SUMPRODUCT(INDEX($FO$325:$IH$396,GV$169,1+SwaptionShift):INDEX($FO$325:$IH$396,GV$169,SwaptionMonthsToGo+SwaptionShift),INDEX($FO$245:$IH$316,$FN215-GV$169,73-GV$169+SwaptionShift):INDEX($FO$245:$IH$316,$FN215-GV$169,72-GV$169+SwaptionMonthsToGo+SwaptionShift))/SQRT(SUM(INDEX($FO370:$IH370,1+SwaptionShift):INDEX($FO370:$IH370,SwaptionMonthsToGo+SwaptionShift))*SUM(INDEX($FO$325:$IH$396,GV$169,1+SwaptionShift):INDEX($FO$325:$IH$396,GV$169,SwaptionMonthsToGo+SwaptionShift))))))</f>
        <v/>
      </c>
      <c r="GW215" s="469" t="str">
        <f ca="1">IF(OR(GW$169&lt;SwaptionFirstMonthPosition+1,$FN215&lt;SwaptionFirstMonthPosition+1,GW$169&gt;SwaptionFirstMonthPosition+SwaptionNumOfMonths+1,$FN215&gt;SwaptionFirstMonthPosition+SwaptionNumOfMonths+1),"",IF($FN215=GW$169,1,IF($FN215&lt;GW$169,INDEX($FO$170:$IH$241,GW$169,$FN215),SUMPRODUCT(INDEX($FO$325:$IH$396,GW$169,1+SwaptionShift):INDEX($FO$325:$IH$396,GW$169,SwaptionMonthsToGo+SwaptionShift),INDEX($FO$245:$IH$316,$FN215-GW$169,73-GW$169+SwaptionShift):INDEX($FO$245:$IH$316,$FN215-GW$169,72-GW$169+SwaptionMonthsToGo+SwaptionShift))/SQRT(SUM(INDEX($FO370:$IH370,1+SwaptionShift):INDEX($FO370:$IH370,SwaptionMonthsToGo+SwaptionShift))*SUM(INDEX($FO$325:$IH$396,GW$169,1+SwaptionShift):INDEX($FO$325:$IH$396,GW$169,SwaptionMonthsToGo+SwaptionShift))))))</f>
        <v/>
      </c>
      <c r="GX215" s="469" t="str">
        <f ca="1">IF(OR(GX$169&lt;SwaptionFirstMonthPosition+1,$FN215&lt;SwaptionFirstMonthPosition+1,GX$169&gt;SwaptionFirstMonthPosition+SwaptionNumOfMonths+1,$FN215&gt;SwaptionFirstMonthPosition+SwaptionNumOfMonths+1),"",IF($FN215=GX$169,1,IF($FN215&lt;GX$169,INDEX($FO$170:$IH$241,GX$169,$FN215),SUMPRODUCT(INDEX($FO$325:$IH$396,GX$169,1+SwaptionShift):INDEX($FO$325:$IH$396,GX$169,SwaptionMonthsToGo+SwaptionShift),INDEX($FO$245:$IH$316,$FN215-GX$169,73-GX$169+SwaptionShift):INDEX($FO$245:$IH$316,$FN215-GX$169,72-GX$169+SwaptionMonthsToGo+SwaptionShift))/SQRT(SUM(INDEX($FO370:$IH370,1+SwaptionShift):INDEX($FO370:$IH370,SwaptionMonthsToGo+SwaptionShift))*SUM(INDEX($FO$325:$IH$396,GX$169,1+SwaptionShift):INDEX($FO$325:$IH$396,GX$169,SwaptionMonthsToGo+SwaptionShift))))))</f>
        <v/>
      </c>
      <c r="GY215" s="469" t="str">
        <f ca="1">IF(OR(GY$169&lt;SwaptionFirstMonthPosition+1,$FN215&lt;SwaptionFirstMonthPosition+1,GY$169&gt;SwaptionFirstMonthPosition+SwaptionNumOfMonths+1,$FN215&gt;SwaptionFirstMonthPosition+SwaptionNumOfMonths+1),"",IF($FN215=GY$169,1,IF($FN215&lt;GY$169,INDEX($FO$170:$IH$241,GY$169,$FN215),SUMPRODUCT(INDEX($FO$325:$IH$396,GY$169,1+SwaptionShift):INDEX($FO$325:$IH$396,GY$169,SwaptionMonthsToGo+SwaptionShift),INDEX($FO$245:$IH$316,$FN215-GY$169,73-GY$169+SwaptionShift):INDEX($FO$245:$IH$316,$FN215-GY$169,72-GY$169+SwaptionMonthsToGo+SwaptionShift))/SQRT(SUM(INDEX($FO370:$IH370,1+SwaptionShift):INDEX($FO370:$IH370,SwaptionMonthsToGo+SwaptionShift))*SUM(INDEX($FO$325:$IH$396,GY$169,1+SwaptionShift):INDEX($FO$325:$IH$396,GY$169,SwaptionMonthsToGo+SwaptionShift))))))</f>
        <v/>
      </c>
      <c r="GZ215" s="469" t="str">
        <f ca="1">IF(OR(GZ$169&lt;SwaptionFirstMonthPosition+1,$FN215&lt;SwaptionFirstMonthPosition+1,GZ$169&gt;SwaptionFirstMonthPosition+SwaptionNumOfMonths+1,$FN215&gt;SwaptionFirstMonthPosition+SwaptionNumOfMonths+1),"",IF($FN215=GZ$169,1,IF($FN215&lt;GZ$169,INDEX($FO$170:$IH$241,GZ$169,$FN215),SUMPRODUCT(INDEX($FO$325:$IH$396,GZ$169,1+SwaptionShift):INDEX($FO$325:$IH$396,GZ$169,SwaptionMonthsToGo+SwaptionShift),INDEX($FO$245:$IH$316,$FN215-GZ$169,73-GZ$169+SwaptionShift):INDEX($FO$245:$IH$316,$FN215-GZ$169,72-GZ$169+SwaptionMonthsToGo+SwaptionShift))/SQRT(SUM(INDEX($FO370:$IH370,1+SwaptionShift):INDEX($FO370:$IH370,SwaptionMonthsToGo+SwaptionShift))*SUM(INDEX($FO$325:$IH$396,GZ$169,1+SwaptionShift):INDEX($FO$325:$IH$396,GZ$169,SwaptionMonthsToGo+SwaptionShift))))))</f>
        <v/>
      </c>
      <c r="HA215" s="469" t="str">
        <f ca="1">IF(OR(HA$169&lt;SwaptionFirstMonthPosition+1,$FN215&lt;SwaptionFirstMonthPosition+1,HA$169&gt;SwaptionFirstMonthPosition+SwaptionNumOfMonths+1,$FN215&gt;SwaptionFirstMonthPosition+SwaptionNumOfMonths+1),"",IF($FN215=HA$169,1,IF($FN215&lt;HA$169,INDEX($FO$170:$IH$241,HA$169,$FN215),SUMPRODUCT(INDEX($FO$325:$IH$396,HA$169,1+SwaptionShift):INDEX($FO$325:$IH$396,HA$169,SwaptionMonthsToGo+SwaptionShift),INDEX($FO$245:$IH$316,$FN215-HA$169,73-HA$169+SwaptionShift):INDEX($FO$245:$IH$316,$FN215-HA$169,72-HA$169+SwaptionMonthsToGo+SwaptionShift))/SQRT(SUM(INDEX($FO370:$IH370,1+SwaptionShift):INDEX($FO370:$IH370,SwaptionMonthsToGo+SwaptionShift))*SUM(INDEX($FO$325:$IH$396,HA$169,1+SwaptionShift):INDEX($FO$325:$IH$396,HA$169,SwaptionMonthsToGo+SwaptionShift))))))</f>
        <v/>
      </c>
      <c r="HB215" s="469" t="str">
        <f ca="1">IF(OR(HB$169&lt;SwaptionFirstMonthPosition+1,$FN215&lt;SwaptionFirstMonthPosition+1,HB$169&gt;SwaptionFirstMonthPosition+SwaptionNumOfMonths+1,$FN215&gt;SwaptionFirstMonthPosition+SwaptionNumOfMonths+1),"",IF($FN215=HB$169,1,IF($FN215&lt;HB$169,INDEX($FO$170:$IH$241,HB$169,$FN215),SUMPRODUCT(INDEX($FO$325:$IH$396,HB$169,1+SwaptionShift):INDEX($FO$325:$IH$396,HB$169,SwaptionMonthsToGo+SwaptionShift),INDEX($FO$245:$IH$316,$FN215-HB$169,73-HB$169+SwaptionShift):INDEX($FO$245:$IH$316,$FN215-HB$169,72-HB$169+SwaptionMonthsToGo+SwaptionShift))/SQRT(SUM(INDEX($FO370:$IH370,1+SwaptionShift):INDEX($FO370:$IH370,SwaptionMonthsToGo+SwaptionShift))*SUM(INDEX($FO$325:$IH$396,HB$169,1+SwaptionShift):INDEX($FO$325:$IH$396,HB$169,SwaptionMonthsToGo+SwaptionShift))))))</f>
        <v/>
      </c>
      <c r="HC215" s="469" t="str">
        <f ca="1">IF(OR(HC$169&lt;SwaptionFirstMonthPosition+1,$FN215&lt;SwaptionFirstMonthPosition+1,HC$169&gt;SwaptionFirstMonthPosition+SwaptionNumOfMonths+1,$FN215&gt;SwaptionFirstMonthPosition+SwaptionNumOfMonths+1),"",IF($FN215=HC$169,1,IF($FN215&lt;HC$169,INDEX($FO$170:$IH$241,HC$169,$FN215),SUMPRODUCT(INDEX($FO$325:$IH$396,HC$169,1+SwaptionShift):INDEX($FO$325:$IH$396,HC$169,SwaptionMonthsToGo+SwaptionShift),INDEX($FO$245:$IH$316,$FN215-HC$169,73-HC$169+SwaptionShift):INDEX($FO$245:$IH$316,$FN215-HC$169,72-HC$169+SwaptionMonthsToGo+SwaptionShift))/SQRT(SUM(INDEX($FO370:$IH370,1+SwaptionShift):INDEX($FO370:$IH370,SwaptionMonthsToGo+SwaptionShift))*SUM(INDEX($FO$325:$IH$396,HC$169,1+SwaptionShift):INDEX($FO$325:$IH$396,HC$169,SwaptionMonthsToGo+SwaptionShift))))))</f>
        <v/>
      </c>
      <c r="HD215" s="469" t="str">
        <f ca="1">IF(OR(HD$169&lt;SwaptionFirstMonthPosition+1,$FN215&lt;SwaptionFirstMonthPosition+1,HD$169&gt;SwaptionFirstMonthPosition+SwaptionNumOfMonths+1,$FN215&gt;SwaptionFirstMonthPosition+SwaptionNumOfMonths+1),"",IF($FN215=HD$169,1,IF($FN215&lt;HD$169,INDEX($FO$170:$IH$241,HD$169,$FN215),SUMPRODUCT(INDEX($FO$325:$IH$396,HD$169,1+SwaptionShift):INDEX($FO$325:$IH$396,HD$169,SwaptionMonthsToGo+SwaptionShift),INDEX($FO$245:$IH$316,$FN215-HD$169,73-HD$169+SwaptionShift):INDEX($FO$245:$IH$316,$FN215-HD$169,72-HD$169+SwaptionMonthsToGo+SwaptionShift))/SQRT(SUM(INDEX($FO370:$IH370,1+SwaptionShift):INDEX($FO370:$IH370,SwaptionMonthsToGo+SwaptionShift))*SUM(INDEX($FO$325:$IH$396,HD$169,1+SwaptionShift):INDEX($FO$325:$IH$396,HD$169,SwaptionMonthsToGo+SwaptionShift))))))</f>
        <v/>
      </c>
      <c r="HE215" s="469" t="str">
        <f ca="1">IF(OR(HE$169&lt;SwaptionFirstMonthPosition+1,$FN215&lt;SwaptionFirstMonthPosition+1,HE$169&gt;SwaptionFirstMonthPosition+SwaptionNumOfMonths+1,$FN215&gt;SwaptionFirstMonthPosition+SwaptionNumOfMonths+1),"",IF($FN215=HE$169,1,IF($FN215&lt;HE$169,INDEX($FO$170:$IH$241,HE$169,$FN215),SUMPRODUCT(INDEX($FO$325:$IH$396,HE$169,1+SwaptionShift):INDEX($FO$325:$IH$396,HE$169,SwaptionMonthsToGo+SwaptionShift),INDEX($FO$245:$IH$316,$FN215-HE$169,73-HE$169+SwaptionShift):INDEX($FO$245:$IH$316,$FN215-HE$169,72-HE$169+SwaptionMonthsToGo+SwaptionShift))/SQRT(SUM(INDEX($FO370:$IH370,1+SwaptionShift):INDEX($FO370:$IH370,SwaptionMonthsToGo+SwaptionShift))*SUM(INDEX($FO$325:$IH$396,HE$169,1+SwaptionShift):INDEX($FO$325:$IH$396,HE$169,SwaptionMonthsToGo+SwaptionShift))))))</f>
        <v/>
      </c>
      <c r="HF215" s="469" t="str">
        <f ca="1">IF(OR(HF$169&lt;SwaptionFirstMonthPosition+1,$FN215&lt;SwaptionFirstMonthPosition+1,HF$169&gt;SwaptionFirstMonthPosition+SwaptionNumOfMonths+1,$FN215&gt;SwaptionFirstMonthPosition+SwaptionNumOfMonths+1),"",IF($FN215=HF$169,1,IF($FN215&lt;HF$169,INDEX($FO$170:$IH$241,HF$169,$FN215),SUMPRODUCT(INDEX($FO$325:$IH$396,HF$169,1+SwaptionShift):INDEX($FO$325:$IH$396,HF$169,SwaptionMonthsToGo+SwaptionShift),INDEX($FO$245:$IH$316,$FN215-HF$169,73-HF$169+SwaptionShift):INDEX($FO$245:$IH$316,$FN215-HF$169,72-HF$169+SwaptionMonthsToGo+SwaptionShift))/SQRT(SUM(INDEX($FO370:$IH370,1+SwaptionShift):INDEX($FO370:$IH370,SwaptionMonthsToGo+SwaptionShift))*SUM(INDEX($FO$325:$IH$396,HF$169,1+SwaptionShift):INDEX($FO$325:$IH$396,HF$169,SwaptionMonthsToGo+SwaptionShift))))))</f>
        <v/>
      </c>
      <c r="HG215" s="469" t="str">
        <f ca="1">IF(OR(HG$169&lt;SwaptionFirstMonthPosition+1,$FN215&lt;SwaptionFirstMonthPosition+1,HG$169&gt;SwaptionFirstMonthPosition+SwaptionNumOfMonths+1,$FN215&gt;SwaptionFirstMonthPosition+SwaptionNumOfMonths+1),"",IF($FN215=HG$169,1,IF($FN215&lt;HG$169,INDEX($FO$170:$IH$241,HG$169,$FN215),SUMPRODUCT(INDEX($FO$325:$IH$396,HG$169,1+SwaptionShift):INDEX($FO$325:$IH$396,HG$169,SwaptionMonthsToGo+SwaptionShift),INDEX($FO$245:$IH$316,$FN215-HG$169,73-HG$169+SwaptionShift):INDEX($FO$245:$IH$316,$FN215-HG$169,72-HG$169+SwaptionMonthsToGo+SwaptionShift))/SQRT(SUM(INDEX($FO370:$IH370,1+SwaptionShift):INDEX($FO370:$IH370,SwaptionMonthsToGo+SwaptionShift))*SUM(INDEX($FO$325:$IH$396,HG$169,1+SwaptionShift):INDEX($FO$325:$IH$396,HG$169,SwaptionMonthsToGo+SwaptionShift))))))</f>
        <v/>
      </c>
      <c r="HH215" s="469" t="str">
        <f ca="1">IF(OR(HH$169&lt;SwaptionFirstMonthPosition+1,$FN215&lt;SwaptionFirstMonthPosition+1,HH$169&gt;SwaptionFirstMonthPosition+SwaptionNumOfMonths+1,$FN215&gt;SwaptionFirstMonthPosition+SwaptionNumOfMonths+1),"",IF($FN215=HH$169,1,IF($FN215&lt;HH$169,INDEX($FO$170:$IH$241,HH$169,$FN215),SUMPRODUCT(INDEX($FO$325:$IH$396,HH$169,1+SwaptionShift):INDEX($FO$325:$IH$396,HH$169,SwaptionMonthsToGo+SwaptionShift),INDEX($FO$245:$IH$316,$FN215-HH$169,73-HH$169+SwaptionShift):INDEX($FO$245:$IH$316,$FN215-HH$169,72-HH$169+SwaptionMonthsToGo+SwaptionShift))/SQRT(SUM(INDEX($FO370:$IH370,1+SwaptionShift):INDEX($FO370:$IH370,SwaptionMonthsToGo+SwaptionShift))*SUM(INDEX($FO$325:$IH$396,HH$169,1+SwaptionShift):INDEX($FO$325:$IH$396,HH$169,SwaptionMonthsToGo+SwaptionShift))))))</f>
        <v/>
      </c>
      <c r="HI215" s="469" t="str">
        <f ca="1">IF(OR(HI$169&lt;SwaptionFirstMonthPosition+1,$FN215&lt;SwaptionFirstMonthPosition+1,HI$169&gt;SwaptionFirstMonthPosition+SwaptionNumOfMonths+1,$FN215&gt;SwaptionFirstMonthPosition+SwaptionNumOfMonths+1),"",IF($FN215=HI$169,1,IF($FN215&lt;HI$169,INDEX($FO$170:$IH$241,HI$169,$FN215),SUMPRODUCT(INDEX($FO$325:$IH$396,HI$169,1+SwaptionShift):INDEX($FO$325:$IH$396,HI$169,SwaptionMonthsToGo+SwaptionShift),INDEX($FO$245:$IH$316,$FN215-HI$169,73-HI$169+SwaptionShift):INDEX($FO$245:$IH$316,$FN215-HI$169,72-HI$169+SwaptionMonthsToGo+SwaptionShift))/SQRT(SUM(INDEX($FO370:$IH370,1+SwaptionShift):INDEX($FO370:$IH370,SwaptionMonthsToGo+SwaptionShift))*SUM(INDEX($FO$325:$IH$396,HI$169,1+SwaptionShift):INDEX($FO$325:$IH$396,HI$169,SwaptionMonthsToGo+SwaptionShift))))))</f>
        <v/>
      </c>
      <c r="HJ215" s="469" t="str">
        <f ca="1">IF(OR(HJ$169&lt;SwaptionFirstMonthPosition+1,$FN215&lt;SwaptionFirstMonthPosition+1,HJ$169&gt;SwaptionFirstMonthPosition+SwaptionNumOfMonths+1,$FN215&gt;SwaptionFirstMonthPosition+SwaptionNumOfMonths+1),"",IF($FN215=HJ$169,1,IF($FN215&lt;HJ$169,INDEX($FO$170:$IH$241,HJ$169,$FN215),SUMPRODUCT(INDEX($FO$325:$IH$396,HJ$169,1+SwaptionShift):INDEX($FO$325:$IH$396,HJ$169,SwaptionMonthsToGo+SwaptionShift),INDEX($FO$245:$IH$316,$FN215-HJ$169,73-HJ$169+SwaptionShift):INDEX($FO$245:$IH$316,$FN215-HJ$169,72-HJ$169+SwaptionMonthsToGo+SwaptionShift))/SQRT(SUM(INDEX($FO370:$IH370,1+SwaptionShift):INDEX($FO370:$IH370,SwaptionMonthsToGo+SwaptionShift))*SUM(INDEX($FO$325:$IH$396,HJ$169,1+SwaptionShift):INDEX($FO$325:$IH$396,HJ$169,SwaptionMonthsToGo+SwaptionShift))))))</f>
        <v/>
      </c>
      <c r="HK215" s="469" t="str">
        <f ca="1">IF(OR(HK$169&lt;SwaptionFirstMonthPosition+1,$FN215&lt;SwaptionFirstMonthPosition+1,HK$169&gt;SwaptionFirstMonthPosition+SwaptionNumOfMonths+1,$FN215&gt;SwaptionFirstMonthPosition+SwaptionNumOfMonths+1),"",IF($FN215=HK$169,1,IF($FN215&lt;HK$169,INDEX($FO$170:$IH$241,HK$169,$FN215),SUMPRODUCT(INDEX($FO$325:$IH$396,HK$169,1+SwaptionShift):INDEX($FO$325:$IH$396,HK$169,SwaptionMonthsToGo+SwaptionShift),INDEX($FO$245:$IH$316,$FN215-HK$169,73-HK$169+SwaptionShift):INDEX($FO$245:$IH$316,$FN215-HK$169,72-HK$169+SwaptionMonthsToGo+SwaptionShift))/SQRT(SUM(INDEX($FO370:$IH370,1+SwaptionShift):INDEX($FO370:$IH370,SwaptionMonthsToGo+SwaptionShift))*SUM(INDEX($FO$325:$IH$396,HK$169,1+SwaptionShift):INDEX($FO$325:$IH$396,HK$169,SwaptionMonthsToGo+SwaptionShift))))))</f>
        <v/>
      </c>
      <c r="HL215" s="469" t="str">
        <f ca="1">IF(OR(HL$169&lt;SwaptionFirstMonthPosition+1,$FN215&lt;SwaptionFirstMonthPosition+1,HL$169&gt;SwaptionFirstMonthPosition+SwaptionNumOfMonths+1,$FN215&gt;SwaptionFirstMonthPosition+SwaptionNumOfMonths+1),"",IF($FN215=HL$169,1,IF($FN215&lt;HL$169,INDEX($FO$170:$IH$241,HL$169,$FN215),SUMPRODUCT(INDEX($FO$325:$IH$396,HL$169,1+SwaptionShift):INDEX($FO$325:$IH$396,HL$169,SwaptionMonthsToGo+SwaptionShift),INDEX($FO$245:$IH$316,$FN215-HL$169,73-HL$169+SwaptionShift):INDEX($FO$245:$IH$316,$FN215-HL$169,72-HL$169+SwaptionMonthsToGo+SwaptionShift))/SQRT(SUM(INDEX($FO370:$IH370,1+SwaptionShift):INDEX($FO370:$IH370,SwaptionMonthsToGo+SwaptionShift))*SUM(INDEX($FO$325:$IH$396,HL$169,1+SwaptionShift):INDEX($FO$325:$IH$396,HL$169,SwaptionMonthsToGo+SwaptionShift))))))</f>
        <v/>
      </c>
      <c r="HM215" s="469" t="str">
        <f ca="1">IF(OR(HM$169&lt;SwaptionFirstMonthPosition+1,$FN215&lt;SwaptionFirstMonthPosition+1,HM$169&gt;SwaptionFirstMonthPosition+SwaptionNumOfMonths+1,$FN215&gt;SwaptionFirstMonthPosition+SwaptionNumOfMonths+1),"",IF($FN215=HM$169,1,IF($FN215&lt;HM$169,INDEX($FO$170:$IH$241,HM$169,$FN215),SUMPRODUCT(INDEX($FO$325:$IH$396,HM$169,1+SwaptionShift):INDEX($FO$325:$IH$396,HM$169,SwaptionMonthsToGo+SwaptionShift),INDEX($FO$245:$IH$316,$FN215-HM$169,73-HM$169+SwaptionShift):INDEX($FO$245:$IH$316,$FN215-HM$169,72-HM$169+SwaptionMonthsToGo+SwaptionShift))/SQRT(SUM(INDEX($FO370:$IH370,1+SwaptionShift):INDEX($FO370:$IH370,SwaptionMonthsToGo+SwaptionShift))*SUM(INDEX($FO$325:$IH$396,HM$169,1+SwaptionShift):INDEX($FO$325:$IH$396,HM$169,SwaptionMonthsToGo+SwaptionShift))))))</f>
        <v/>
      </c>
      <c r="HN215" s="469" t="str">
        <f ca="1">IF(OR(HN$169&lt;SwaptionFirstMonthPosition+1,$FN215&lt;SwaptionFirstMonthPosition+1,HN$169&gt;SwaptionFirstMonthPosition+SwaptionNumOfMonths+1,$FN215&gt;SwaptionFirstMonthPosition+SwaptionNumOfMonths+1),"",IF($FN215=HN$169,1,IF($FN215&lt;HN$169,INDEX($FO$170:$IH$241,HN$169,$FN215),SUMPRODUCT(INDEX($FO$325:$IH$396,HN$169,1+SwaptionShift):INDEX($FO$325:$IH$396,HN$169,SwaptionMonthsToGo+SwaptionShift),INDEX($FO$245:$IH$316,$FN215-HN$169,73-HN$169+SwaptionShift):INDEX($FO$245:$IH$316,$FN215-HN$169,72-HN$169+SwaptionMonthsToGo+SwaptionShift))/SQRT(SUM(INDEX($FO370:$IH370,1+SwaptionShift):INDEX($FO370:$IH370,SwaptionMonthsToGo+SwaptionShift))*SUM(INDEX($FO$325:$IH$396,HN$169,1+SwaptionShift):INDEX($FO$325:$IH$396,HN$169,SwaptionMonthsToGo+SwaptionShift))))))</f>
        <v/>
      </c>
      <c r="HO215" s="469" t="str">
        <f ca="1">IF(OR(HO$169&lt;SwaptionFirstMonthPosition+1,$FN215&lt;SwaptionFirstMonthPosition+1,HO$169&gt;SwaptionFirstMonthPosition+SwaptionNumOfMonths+1,$FN215&gt;SwaptionFirstMonthPosition+SwaptionNumOfMonths+1),"",IF($FN215=HO$169,1,IF($FN215&lt;HO$169,INDEX($FO$170:$IH$241,HO$169,$FN215),SUMPRODUCT(INDEX($FO$325:$IH$396,HO$169,1+SwaptionShift):INDEX($FO$325:$IH$396,HO$169,SwaptionMonthsToGo+SwaptionShift),INDEX($FO$245:$IH$316,$FN215-HO$169,73-HO$169+SwaptionShift):INDEX($FO$245:$IH$316,$FN215-HO$169,72-HO$169+SwaptionMonthsToGo+SwaptionShift))/SQRT(SUM(INDEX($FO370:$IH370,1+SwaptionShift):INDEX($FO370:$IH370,SwaptionMonthsToGo+SwaptionShift))*SUM(INDEX($FO$325:$IH$396,HO$169,1+SwaptionShift):INDEX($FO$325:$IH$396,HO$169,SwaptionMonthsToGo+SwaptionShift))))))</f>
        <v/>
      </c>
      <c r="HP215" s="469" t="str">
        <f ca="1">IF(OR(HP$169&lt;SwaptionFirstMonthPosition+1,$FN215&lt;SwaptionFirstMonthPosition+1,HP$169&gt;SwaptionFirstMonthPosition+SwaptionNumOfMonths+1,$FN215&gt;SwaptionFirstMonthPosition+SwaptionNumOfMonths+1),"",IF($FN215=HP$169,1,IF($FN215&lt;HP$169,INDEX($FO$170:$IH$241,HP$169,$FN215),SUMPRODUCT(INDEX($FO$325:$IH$396,HP$169,1+SwaptionShift):INDEX($FO$325:$IH$396,HP$169,SwaptionMonthsToGo+SwaptionShift),INDEX($FO$245:$IH$316,$FN215-HP$169,73-HP$169+SwaptionShift):INDEX($FO$245:$IH$316,$FN215-HP$169,72-HP$169+SwaptionMonthsToGo+SwaptionShift))/SQRT(SUM(INDEX($FO370:$IH370,1+SwaptionShift):INDEX($FO370:$IH370,SwaptionMonthsToGo+SwaptionShift))*SUM(INDEX($FO$325:$IH$396,HP$169,1+SwaptionShift):INDEX($FO$325:$IH$396,HP$169,SwaptionMonthsToGo+SwaptionShift))))))</f>
        <v/>
      </c>
      <c r="HQ215" s="469" t="str">
        <f ca="1">IF(OR(HQ$169&lt;SwaptionFirstMonthPosition+1,$FN215&lt;SwaptionFirstMonthPosition+1,HQ$169&gt;SwaptionFirstMonthPosition+SwaptionNumOfMonths+1,$FN215&gt;SwaptionFirstMonthPosition+SwaptionNumOfMonths+1),"",IF($FN215=HQ$169,1,IF($FN215&lt;HQ$169,INDEX($FO$170:$IH$241,HQ$169,$FN215),SUMPRODUCT(INDEX($FO$325:$IH$396,HQ$169,1+SwaptionShift):INDEX($FO$325:$IH$396,HQ$169,SwaptionMonthsToGo+SwaptionShift),INDEX($FO$245:$IH$316,$FN215-HQ$169,73-HQ$169+SwaptionShift):INDEX($FO$245:$IH$316,$FN215-HQ$169,72-HQ$169+SwaptionMonthsToGo+SwaptionShift))/SQRT(SUM(INDEX($FO370:$IH370,1+SwaptionShift):INDEX($FO370:$IH370,SwaptionMonthsToGo+SwaptionShift))*SUM(INDEX($FO$325:$IH$396,HQ$169,1+SwaptionShift):INDEX($FO$325:$IH$396,HQ$169,SwaptionMonthsToGo+SwaptionShift))))))</f>
        <v/>
      </c>
      <c r="HR215" s="469" t="str">
        <f ca="1">IF(OR(HR$169&lt;SwaptionFirstMonthPosition+1,$FN215&lt;SwaptionFirstMonthPosition+1,HR$169&gt;SwaptionFirstMonthPosition+SwaptionNumOfMonths+1,$FN215&gt;SwaptionFirstMonthPosition+SwaptionNumOfMonths+1),"",IF($FN215=HR$169,1,IF($FN215&lt;HR$169,INDEX($FO$170:$IH$241,HR$169,$FN215),SUMPRODUCT(INDEX($FO$325:$IH$396,HR$169,1+SwaptionShift):INDEX($FO$325:$IH$396,HR$169,SwaptionMonthsToGo+SwaptionShift),INDEX($FO$245:$IH$316,$FN215-HR$169,73-HR$169+SwaptionShift):INDEX($FO$245:$IH$316,$FN215-HR$169,72-HR$169+SwaptionMonthsToGo+SwaptionShift))/SQRT(SUM(INDEX($FO370:$IH370,1+SwaptionShift):INDEX($FO370:$IH370,SwaptionMonthsToGo+SwaptionShift))*SUM(INDEX($FO$325:$IH$396,HR$169,1+SwaptionShift):INDEX($FO$325:$IH$396,HR$169,SwaptionMonthsToGo+SwaptionShift))))))</f>
        <v/>
      </c>
      <c r="HS215" s="469" t="str">
        <f ca="1">IF(OR(HS$169&lt;SwaptionFirstMonthPosition+1,$FN215&lt;SwaptionFirstMonthPosition+1,HS$169&gt;SwaptionFirstMonthPosition+SwaptionNumOfMonths+1,$FN215&gt;SwaptionFirstMonthPosition+SwaptionNumOfMonths+1),"",IF($FN215=HS$169,1,IF($FN215&lt;HS$169,INDEX($FO$170:$IH$241,HS$169,$FN215),SUMPRODUCT(INDEX($FO$325:$IH$396,HS$169,1+SwaptionShift):INDEX($FO$325:$IH$396,HS$169,SwaptionMonthsToGo+SwaptionShift),INDEX($FO$245:$IH$316,$FN215-HS$169,73-HS$169+SwaptionShift):INDEX($FO$245:$IH$316,$FN215-HS$169,72-HS$169+SwaptionMonthsToGo+SwaptionShift))/SQRT(SUM(INDEX($FO370:$IH370,1+SwaptionShift):INDEX($FO370:$IH370,SwaptionMonthsToGo+SwaptionShift))*SUM(INDEX($FO$325:$IH$396,HS$169,1+SwaptionShift):INDEX($FO$325:$IH$396,HS$169,SwaptionMonthsToGo+SwaptionShift))))))</f>
        <v/>
      </c>
      <c r="HT215" s="469" t="str">
        <f ca="1">IF(OR(HT$169&lt;SwaptionFirstMonthPosition+1,$FN215&lt;SwaptionFirstMonthPosition+1,HT$169&gt;SwaptionFirstMonthPosition+SwaptionNumOfMonths+1,$FN215&gt;SwaptionFirstMonthPosition+SwaptionNumOfMonths+1),"",IF($FN215=HT$169,1,IF($FN215&lt;HT$169,INDEX($FO$170:$IH$241,HT$169,$FN215),SUMPRODUCT(INDEX($FO$325:$IH$396,HT$169,1+SwaptionShift):INDEX($FO$325:$IH$396,HT$169,SwaptionMonthsToGo+SwaptionShift),INDEX($FO$245:$IH$316,$FN215-HT$169,73-HT$169+SwaptionShift):INDEX($FO$245:$IH$316,$FN215-HT$169,72-HT$169+SwaptionMonthsToGo+SwaptionShift))/SQRT(SUM(INDEX($FO370:$IH370,1+SwaptionShift):INDEX($FO370:$IH370,SwaptionMonthsToGo+SwaptionShift))*SUM(INDEX($FO$325:$IH$396,HT$169,1+SwaptionShift):INDEX($FO$325:$IH$396,HT$169,SwaptionMonthsToGo+SwaptionShift))))))</f>
        <v/>
      </c>
      <c r="HU215" s="469" t="str">
        <f ca="1">IF(OR(HU$169&lt;SwaptionFirstMonthPosition+1,$FN215&lt;SwaptionFirstMonthPosition+1,HU$169&gt;SwaptionFirstMonthPosition+SwaptionNumOfMonths+1,$FN215&gt;SwaptionFirstMonthPosition+SwaptionNumOfMonths+1),"",IF($FN215=HU$169,1,IF($FN215&lt;HU$169,INDEX($FO$170:$IH$241,HU$169,$FN215),SUMPRODUCT(INDEX($FO$325:$IH$396,HU$169,1+SwaptionShift):INDEX($FO$325:$IH$396,HU$169,SwaptionMonthsToGo+SwaptionShift),INDEX($FO$245:$IH$316,$FN215-HU$169,73-HU$169+SwaptionShift):INDEX($FO$245:$IH$316,$FN215-HU$169,72-HU$169+SwaptionMonthsToGo+SwaptionShift))/SQRT(SUM(INDEX($FO370:$IH370,1+SwaptionShift):INDEX($FO370:$IH370,SwaptionMonthsToGo+SwaptionShift))*SUM(INDEX($FO$325:$IH$396,HU$169,1+SwaptionShift):INDEX($FO$325:$IH$396,HU$169,SwaptionMonthsToGo+SwaptionShift))))))</f>
        <v/>
      </c>
      <c r="HV215" s="469" t="str">
        <f ca="1">IF(OR(HV$169&lt;SwaptionFirstMonthPosition+1,$FN215&lt;SwaptionFirstMonthPosition+1,HV$169&gt;SwaptionFirstMonthPosition+SwaptionNumOfMonths+1,$FN215&gt;SwaptionFirstMonthPosition+SwaptionNumOfMonths+1),"",IF($FN215=HV$169,1,IF($FN215&lt;HV$169,INDEX($FO$170:$IH$241,HV$169,$FN215),SUMPRODUCT(INDEX($FO$325:$IH$396,HV$169,1+SwaptionShift):INDEX($FO$325:$IH$396,HV$169,SwaptionMonthsToGo+SwaptionShift),INDEX($FO$245:$IH$316,$FN215-HV$169,73-HV$169+SwaptionShift):INDEX($FO$245:$IH$316,$FN215-HV$169,72-HV$169+SwaptionMonthsToGo+SwaptionShift))/SQRT(SUM(INDEX($FO370:$IH370,1+SwaptionShift):INDEX($FO370:$IH370,SwaptionMonthsToGo+SwaptionShift))*SUM(INDEX($FO$325:$IH$396,HV$169,1+SwaptionShift):INDEX($FO$325:$IH$396,HV$169,SwaptionMonthsToGo+SwaptionShift))))))</f>
        <v/>
      </c>
      <c r="HW215" s="469" t="str">
        <f ca="1">IF(OR(HW$169&lt;SwaptionFirstMonthPosition+1,$FN215&lt;SwaptionFirstMonthPosition+1,HW$169&gt;SwaptionFirstMonthPosition+SwaptionNumOfMonths+1,$FN215&gt;SwaptionFirstMonthPosition+SwaptionNumOfMonths+1),"",IF($FN215=HW$169,1,IF($FN215&lt;HW$169,INDEX($FO$170:$IH$241,HW$169,$FN215),SUMPRODUCT(INDEX($FO$325:$IH$396,HW$169,1+SwaptionShift):INDEX($FO$325:$IH$396,HW$169,SwaptionMonthsToGo+SwaptionShift),INDEX($FO$245:$IH$316,$FN215-HW$169,73-HW$169+SwaptionShift):INDEX($FO$245:$IH$316,$FN215-HW$169,72-HW$169+SwaptionMonthsToGo+SwaptionShift))/SQRT(SUM(INDEX($FO370:$IH370,1+SwaptionShift):INDEX($FO370:$IH370,SwaptionMonthsToGo+SwaptionShift))*SUM(INDEX($FO$325:$IH$396,HW$169,1+SwaptionShift):INDEX($FO$325:$IH$396,HW$169,SwaptionMonthsToGo+SwaptionShift))))))</f>
        <v/>
      </c>
      <c r="HX215" s="469" t="str">
        <f ca="1">IF(OR(HX$169&lt;SwaptionFirstMonthPosition+1,$FN215&lt;SwaptionFirstMonthPosition+1,HX$169&gt;SwaptionFirstMonthPosition+SwaptionNumOfMonths+1,$FN215&gt;SwaptionFirstMonthPosition+SwaptionNumOfMonths+1),"",IF($FN215=HX$169,1,IF($FN215&lt;HX$169,INDEX($FO$170:$IH$241,HX$169,$FN215),SUMPRODUCT(INDEX($FO$325:$IH$396,HX$169,1+SwaptionShift):INDEX($FO$325:$IH$396,HX$169,SwaptionMonthsToGo+SwaptionShift),INDEX($FO$245:$IH$316,$FN215-HX$169,73-HX$169+SwaptionShift):INDEX($FO$245:$IH$316,$FN215-HX$169,72-HX$169+SwaptionMonthsToGo+SwaptionShift))/SQRT(SUM(INDEX($FO370:$IH370,1+SwaptionShift):INDEX($FO370:$IH370,SwaptionMonthsToGo+SwaptionShift))*SUM(INDEX($FO$325:$IH$396,HX$169,1+SwaptionShift):INDEX($FO$325:$IH$396,HX$169,SwaptionMonthsToGo+SwaptionShift))))))</f>
        <v/>
      </c>
      <c r="HY215" s="469" t="str">
        <f ca="1">IF(OR(HY$169&lt;SwaptionFirstMonthPosition+1,$FN215&lt;SwaptionFirstMonthPosition+1,HY$169&gt;SwaptionFirstMonthPosition+SwaptionNumOfMonths+1,$FN215&gt;SwaptionFirstMonthPosition+SwaptionNumOfMonths+1),"",IF($FN215=HY$169,1,IF($FN215&lt;HY$169,INDEX($FO$170:$IH$241,HY$169,$FN215),SUMPRODUCT(INDEX($FO$325:$IH$396,HY$169,1+SwaptionShift):INDEX($FO$325:$IH$396,HY$169,SwaptionMonthsToGo+SwaptionShift),INDEX($FO$245:$IH$316,$FN215-HY$169,73-HY$169+SwaptionShift):INDEX($FO$245:$IH$316,$FN215-HY$169,72-HY$169+SwaptionMonthsToGo+SwaptionShift))/SQRT(SUM(INDEX($FO370:$IH370,1+SwaptionShift):INDEX($FO370:$IH370,SwaptionMonthsToGo+SwaptionShift))*SUM(INDEX($FO$325:$IH$396,HY$169,1+SwaptionShift):INDEX($FO$325:$IH$396,HY$169,SwaptionMonthsToGo+SwaptionShift))))))</f>
        <v/>
      </c>
      <c r="HZ215" s="469" t="str">
        <f ca="1">IF(OR(HZ$169&lt;SwaptionFirstMonthPosition+1,$FN215&lt;SwaptionFirstMonthPosition+1,HZ$169&gt;SwaptionFirstMonthPosition+SwaptionNumOfMonths+1,$FN215&gt;SwaptionFirstMonthPosition+SwaptionNumOfMonths+1),"",IF($FN215=HZ$169,1,IF($FN215&lt;HZ$169,INDEX($FO$170:$IH$241,HZ$169,$FN215),SUMPRODUCT(INDEX($FO$325:$IH$396,HZ$169,1+SwaptionShift):INDEX($FO$325:$IH$396,HZ$169,SwaptionMonthsToGo+SwaptionShift),INDEX($FO$245:$IH$316,$FN215-HZ$169,73-HZ$169+SwaptionShift):INDEX($FO$245:$IH$316,$FN215-HZ$169,72-HZ$169+SwaptionMonthsToGo+SwaptionShift))/SQRT(SUM(INDEX($FO370:$IH370,1+SwaptionShift):INDEX($FO370:$IH370,SwaptionMonthsToGo+SwaptionShift))*SUM(INDEX($FO$325:$IH$396,HZ$169,1+SwaptionShift):INDEX($FO$325:$IH$396,HZ$169,SwaptionMonthsToGo+SwaptionShift))))))</f>
        <v/>
      </c>
      <c r="IA215" s="469" t="str">
        <f ca="1">IF(OR(IA$169&lt;SwaptionFirstMonthPosition+1,$FN215&lt;SwaptionFirstMonthPosition+1,IA$169&gt;SwaptionFirstMonthPosition+SwaptionNumOfMonths+1,$FN215&gt;SwaptionFirstMonthPosition+SwaptionNumOfMonths+1),"",IF($FN215=IA$169,1,IF($FN215&lt;IA$169,INDEX($FO$170:$IH$241,IA$169,$FN215),SUMPRODUCT(INDEX($FO$325:$IH$396,IA$169,1+SwaptionShift):INDEX($FO$325:$IH$396,IA$169,SwaptionMonthsToGo+SwaptionShift),INDEX($FO$245:$IH$316,$FN215-IA$169,73-IA$169+SwaptionShift):INDEX($FO$245:$IH$316,$FN215-IA$169,72-IA$169+SwaptionMonthsToGo+SwaptionShift))/SQRT(SUM(INDEX($FO370:$IH370,1+SwaptionShift):INDEX($FO370:$IH370,SwaptionMonthsToGo+SwaptionShift))*SUM(INDEX($FO$325:$IH$396,IA$169,1+SwaptionShift):INDEX($FO$325:$IH$396,IA$169,SwaptionMonthsToGo+SwaptionShift))))))</f>
        <v/>
      </c>
      <c r="IB215" s="469" t="str">
        <f ca="1">IF(OR(IB$169&lt;SwaptionFirstMonthPosition+1,$FN215&lt;SwaptionFirstMonthPosition+1,IB$169&gt;SwaptionFirstMonthPosition+SwaptionNumOfMonths+1,$FN215&gt;SwaptionFirstMonthPosition+SwaptionNumOfMonths+1),"",IF($FN215=IB$169,1,IF($FN215&lt;IB$169,INDEX($FO$170:$IH$241,IB$169,$FN215),SUMPRODUCT(INDEX($FO$325:$IH$396,IB$169,1+SwaptionShift):INDEX($FO$325:$IH$396,IB$169,SwaptionMonthsToGo+SwaptionShift),INDEX($FO$245:$IH$316,$FN215-IB$169,73-IB$169+SwaptionShift):INDEX($FO$245:$IH$316,$FN215-IB$169,72-IB$169+SwaptionMonthsToGo+SwaptionShift))/SQRT(SUM(INDEX($FO370:$IH370,1+SwaptionShift):INDEX($FO370:$IH370,SwaptionMonthsToGo+SwaptionShift))*SUM(INDEX($FO$325:$IH$396,IB$169,1+SwaptionShift):INDEX($FO$325:$IH$396,IB$169,SwaptionMonthsToGo+SwaptionShift))))))</f>
        <v/>
      </c>
      <c r="IC215" s="469" t="str">
        <f ca="1">IF(OR(IC$169&lt;SwaptionFirstMonthPosition+1,$FN215&lt;SwaptionFirstMonthPosition+1,IC$169&gt;SwaptionFirstMonthPosition+SwaptionNumOfMonths+1,$FN215&gt;SwaptionFirstMonthPosition+SwaptionNumOfMonths+1),"",IF($FN215=IC$169,1,IF($FN215&lt;IC$169,INDEX($FO$170:$IH$241,IC$169,$FN215),SUMPRODUCT(INDEX($FO$325:$IH$396,IC$169,1+SwaptionShift):INDEX($FO$325:$IH$396,IC$169,SwaptionMonthsToGo+SwaptionShift),INDEX($FO$245:$IH$316,$FN215-IC$169,73-IC$169+SwaptionShift):INDEX($FO$245:$IH$316,$FN215-IC$169,72-IC$169+SwaptionMonthsToGo+SwaptionShift))/SQRT(SUM(INDEX($FO370:$IH370,1+SwaptionShift):INDEX($FO370:$IH370,SwaptionMonthsToGo+SwaptionShift))*SUM(INDEX($FO$325:$IH$396,IC$169,1+SwaptionShift):INDEX($FO$325:$IH$396,IC$169,SwaptionMonthsToGo+SwaptionShift))))))</f>
        <v/>
      </c>
      <c r="ID215" s="469" t="str">
        <f ca="1">IF(OR(ID$169&lt;SwaptionFirstMonthPosition+1,$FN215&lt;SwaptionFirstMonthPosition+1,ID$169&gt;SwaptionFirstMonthPosition+SwaptionNumOfMonths+1,$FN215&gt;SwaptionFirstMonthPosition+SwaptionNumOfMonths+1),"",IF($FN215=ID$169,1,IF($FN215&lt;ID$169,INDEX($FO$170:$IH$241,ID$169,$FN215),SUMPRODUCT(INDEX($FO$325:$IH$396,ID$169,1+SwaptionShift):INDEX($FO$325:$IH$396,ID$169,SwaptionMonthsToGo+SwaptionShift),INDEX($FO$245:$IH$316,$FN215-ID$169,73-ID$169+SwaptionShift):INDEX($FO$245:$IH$316,$FN215-ID$169,72-ID$169+SwaptionMonthsToGo+SwaptionShift))/SQRT(SUM(INDEX($FO370:$IH370,1+SwaptionShift):INDEX($FO370:$IH370,SwaptionMonthsToGo+SwaptionShift))*SUM(INDEX($FO$325:$IH$396,ID$169,1+SwaptionShift):INDEX($FO$325:$IH$396,ID$169,SwaptionMonthsToGo+SwaptionShift))))))</f>
        <v/>
      </c>
      <c r="IE215" s="469" t="str">
        <f ca="1">IF(OR(IE$169&lt;SwaptionFirstMonthPosition+1,$FN215&lt;SwaptionFirstMonthPosition+1,IE$169&gt;SwaptionFirstMonthPosition+SwaptionNumOfMonths+1,$FN215&gt;SwaptionFirstMonthPosition+SwaptionNumOfMonths+1),"",IF($FN215=IE$169,1,IF($FN215&lt;IE$169,INDEX($FO$170:$IH$241,IE$169,$FN215),SUMPRODUCT(INDEX($FO$325:$IH$396,IE$169,1+SwaptionShift):INDEX($FO$325:$IH$396,IE$169,SwaptionMonthsToGo+SwaptionShift),INDEX($FO$245:$IH$316,$FN215-IE$169,73-IE$169+SwaptionShift):INDEX($FO$245:$IH$316,$FN215-IE$169,72-IE$169+SwaptionMonthsToGo+SwaptionShift))/SQRT(SUM(INDEX($FO370:$IH370,1+SwaptionShift):INDEX($FO370:$IH370,SwaptionMonthsToGo+SwaptionShift))*SUM(INDEX($FO$325:$IH$396,IE$169,1+SwaptionShift):INDEX($FO$325:$IH$396,IE$169,SwaptionMonthsToGo+SwaptionShift))))))</f>
        <v/>
      </c>
      <c r="IF215" s="469" t="str">
        <f ca="1">IF(OR(IF$169&lt;SwaptionFirstMonthPosition+1,$FN215&lt;SwaptionFirstMonthPosition+1,IF$169&gt;SwaptionFirstMonthPosition+SwaptionNumOfMonths+1,$FN215&gt;SwaptionFirstMonthPosition+SwaptionNumOfMonths+1),"",IF($FN215=IF$169,1,IF($FN215&lt;IF$169,INDEX($FO$170:$IH$241,IF$169,$FN215),SUMPRODUCT(INDEX($FO$325:$IH$396,IF$169,1+SwaptionShift):INDEX($FO$325:$IH$396,IF$169,SwaptionMonthsToGo+SwaptionShift),INDEX($FO$245:$IH$316,$FN215-IF$169,73-IF$169+SwaptionShift):INDEX($FO$245:$IH$316,$FN215-IF$169,72-IF$169+SwaptionMonthsToGo+SwaptionShift))/SQRT(SUM(INDEX($FO370:$IH370,1+SwaptionShift):INDEX($FO370:$IH370,SwaptionMonthsToGo+SwaptionShift))*SUM(INDEX($FO$325:$IH$396,IF$169,1+SwaptionShift):INDEX($FO$325:$IH$396,IF$169,SwaptionMonthsToGo+SwaptionShift))))))</f>
        <v/>
      </c>
      <c r="IG215" s="469" t="str">
        <f ca="1">IF(OR(IG$169&lt;SwaptionFirstMonthPosition+1,$FN215&lt;SwaptionFirstMonthPosition+1,IG$169&gt;SwaptionFirstMonthPosition+SwaptionNumOfMonths+1,$FN215&gt;SwaptionFirstMonthPosition+SwaptionNumOfMonths+1),"",IF($FN215=IG$169,1,IF($FN215&lt;IG$169,INDEX($FO$170:$IH$241,IG$169,$FN215),SUMPRODUCT(INDEX($FO$325:$IH$396,IG$169,1+SwaptionShift):INDEX($FO$325:$IH$396,IG$169,SwaptionMonthsToGo+SwaptionShift),INDEX($FO$245:$IH$316,$FN215-IG$169,73-IG$169+SwaptionShift):INDEX($FO$245:$IH$316,$FN215-IG$169,72-IG$169+SwaptionMonthsToGo+SwaptionShift))/SQRT(SUM(INDEX($FO370:$IH370,1+SwaptionShift):INDEX($FO370:$IH370,SwaptionMonthsToGo+SwaptionShift))*SUM(INDEX($FO$325:$IH$396,IG$169,1+SwaptionShift):INDEX($FO$325:$IH$396,IG$169,SwaptionMonthsToGo+SwaptionShift))))))</f>
        <v/>
      </c>
      <c r="IH215" s="662" t="str">
        <f ca="1">IF(OR(IH$169&lt;SwaptionFirstMonthPosition+1,$FN215&lt;SwaptionFirstMonthPosition+1,IH$169&gt;SwaptionFirstMonthPosition+SwaptionNumOfMonths+1,$FN215&gt;SwaptionFirstMonthPosition+SwaptionNumOfMonths+1),"",IF($FN215=IH$169,1,IF($FN215&lt;IH$169,INDEX($FO$170:$IH$241,IH$169,$FN215),SUMPRODUCT(INDEX($FO$325:$IH$396,IH$169,1+SwaptionShift):INDEX($FO$325:$IH$396,IH$169,SwaptionMonthsToGo+SwaptionShift),INDEX($FO$245:$IH$316,$FN215-IH$169,73-IH$169+SwaptionShift):INDEX($FO$245:$IH$316,$FN215-IH$169,72-IH$169+SwaptionMonthsToGo+SwaptionShift))/SQRT(SUM(INDEX($FO370:$IH370,1+SwaptionShift):INDEX($FO370:$IH370,SwaptionMonthsToGo+SwaptionShift))*SUM(INDEX($FO$325:$IH$396,IH$169,1+SwaptionShift):INDEX($FO$325:$IH$396,IH$169,SwaptionMonthsToGo+SwaptionShift))))))</f>
        <v/>
      </c>
      <c r="II215" s="242"/>
    </row>
    <row r="216" spans="8:243">
      <c r="H216" s="49" t="e">
        <f t="shared" ca="1" si="645"/>
        <v>#N/A</v>
      </c>
      <c r="I216" s="369">
        <f t="shared" si="646"/>
        <v>42979</v>
      </c>
      <c r="J216" s="367">
        <v>24.284999999999901</v>
      </c>
      <c r="K216" s="101" t="s">
        <v>267</v>
      </c>
      <c r="L216" s="382">
        <f t="shared" si="647"/>
        <v>24.284999999999851</v>
      </c>
      <c r="M216" s="163">
        <v>0.13270000000000001</v>
      </c>
      <c r="N216" s="372">
        <v>0</v>
      </c>
      <c r="O216" s="163">
        <f t="shared" si="595"/>
        <v>0.13270000000000001</v>
      </c>
      <c r="P216" s="367">
        <v>23.066728784386196</v>
      </c>
      <c r="Q216" s="101" t="s">
        <v>267</v>
      </c>
      <c r="R216" s="367">
        <f t="shared" ca="1" si="596"/>
        <v>23.066728784386154</v>
      </c>
      <c r="S216" s="814">
        <f t="shared" si="594"/>
        <v>0.34704422064521362</v>
      </c>
      <c r="T216" s="813">
        <f t="shared" si="660"/>
        <v>0.99999999991606003</v>
      </c>
      <c r="U216" s="532">
        <f t="shared" si="661"/>
        <v>0.99999999999999978</v>
      </c>
      <c r="V216" s="379">
        <v>0</v>
      </c>
      <c r="W216" s="424">
        <f t="shared" si="597"/>
        <v>24.3183333333332</v>
      </c>
      <c r="X216" s="405">
        <f t="shared" si="598"/>
        <v>24.318333333333182</v>
      </c>
      <c r="Y216" s="313">
        <f t="shared" si="599"/>
        <v>22.9999333333332</v>
      </c>
      <c r="Z216" s="313">
        <f t="shared" ca="1" si="600"/>
        <v>22.999933333333182</v>
      </c>
      <c r="AA216" s="419">
        <f t="shared" si="623"/>
        <v>1.3184</v>
      </c>
      <c r="AB216" s="423">
        <f t="shared" ca="1" si="624"/>
        <v>1.3184</v>
      </c>
      <c r="AC216" s="221">
        <v>42967</v>
      </c>
      <c r="AD216" s="221">
        <v>42963</v>
      </c>
      <c r="AE216" s="221">
        <v>42962</v>
      </c>
      <c r="AF216" s="221">
        <v>42958</v>
      </c>
      <c r="AG216" s="241" t="s">
        <v>497</v>
      </c>
      <c r="AH216" s="239" t="s">
        <v>497</v>
      </c>
      <c r="AI216" s="141">
        <v>21</v>
      </c>
      <c r="AJ216" s="41">
        <v>14</v>
      </c>
      <c r="AK216" s="41">
        <v>7</v>
      </c>
      <c r="AL216" s="285">
        <v>21</v>
      </c>
      <c r="AM216" s="41">
        <v>10</v>
      </c>
      <c r="AN216" s="142">
        <v>11</v>
      </c>
      <c r="AO216" s="364">
        <v>6.2704919194320807E-2</v>
      </c>
      <c r="AP216" s="145">
        <f t="shared" ca="1" si="648"/>
        <v>0.36157517481582674</v>
      </c>
      <c r="AQ216" s="364">
        <v>5.8048716033649604E-2</v>
      </c>
      <c r="AR216" s="145">
        <f t="shared" ca="1" si="662"/>
        <v>0.39228525459087771</v>
      </c>
      <c r="AS216" s="264">
        <f t="shared" si="601"/>
        <v>0.13216666666666668</v>
      </c>
      <c r="AT216" s="149">
        <f t="shared" si="649"/>
        <v>0.13270000000000001</v>
      </c>
      <c r="AU216" s="149">
        <f t="shared" si="625"/>
        <v>0.1320904761904762</v>
      </c>
      <c r="AV216" s="263">
        <f t="shared" ca="1" si="669"/>
        <v>0.13066297737467664</v>
      </c>
      <c r="AW216" s="150" t="str">
        <f t="shared" ca="1" si="581"/>
        <v/>
      </c>
      <c r="AX216" s="149">
        <f t="shared" ca="1" si="663"/>
        <v>4.0837207068041906E-3</v>
      </c>
      <c r="AY216" s="149">
        <f t="shared" ca="1" si="664"/>
        <v>1.3005478477035707E-3</v>
      </c>
      <c r="AZ216" s="149">
        <f t="shared" ca="1" si="665"/>
        <v>1.4995380006782473E-3</v>
      </c>
      <c r="BA216" s="149">
        <f t="shared" ca="1" si="666"/>
        <v>1.0000000000001029E-4</v>
      </c>
      <c r="BB216" s="149">
        <f t="shared" ca="1" si="667"/>
        <v>1.0000000000001029E-4</v>
      </c>
      <c r="BC216" s="149">
        <f t="shared" ca="1" si="668"/>
        <v>1.0000000000001029E-4</v>
      </c>
      <c r="BD216" s="143">
        <f t="shared" ca="1" si="602"/>
        <v>0</v>
      </c>
      <c r="BE216" s="144">
        <f t="shared" ca="1" si="603"/>
        <v>0</v>
      </c>
      <c r="BF216" s="40">
        <f t="shared" si="604"/>
        <v>2017</v>
      </c>
      <c r="BG216" s="139">
        <f t="shared" si="605"/>
        <v>9</v>
      </c>
      <c r="BH216" s="140">
        <f t="shared" ca="1" si="606"/>
        <v>5973</v>
      </c>
      <c r="BI216" s="304">
        <f t="shared" ca="1" si="607"/>
        <v>16.396988364134156</v>
      </c>
      <c r="BJ216" s="42">
        <f t="shared" ca="1" si="626"/>
        <v>16.449920146018709</v>
      </c>
      <c r="BK216" s="42">
        <f t="shared" ca="1" si="627"/>
        <v>16.45265799680584</v>
      </c>
      <c r="BL216" s="42">
        <f t="shared" ca="1" si="608"/>
        <v>16.476386036960985</v>
      </c>
      <c r="BM216" s="285">
        <f t="shared" si="609"/>
        <v>21</v>
      </c>
      <c r="BN216" s="41">
        <f t="shared" si="610"/>
        <v>14</v>
      </c>
      <c r="BO216" s="41">
        <f t="shared" si="611"/>
        <v>7</v>
      </c>
      <c r="BP216" s="297" t="str">
        <f t="shared" ca="1" si="628"/>
        <v/>
      </c>
      <c r="BQ216" s="297" t="str">
        <f t="shared" ca="1" si="629"/>
        <v/>
      </c>
      <c r="BR216" s="299" t="str">
        <f t="shared" ca="1" si="630"/>
        <v/>
      </c>
      <c r="BS216" s="153" t="str">
        <f t="shared" ca="1" si="631"/>
        <v/>
      </c>
      <c r="BT216" s="153" t="str">
        <f t="shared" ca="1" si="632"/>
        <v/>
      </c>
      <c r="BU216" s="300" t="str">
        <f t="shared" ca="1" si="633"/>
        <v/>
      </c>
      <c r="BV216" s="301" t="str">
        <f t="shared" ca="1" si="634"/>
        <v/>
      </c>
      <c r="BW216" s="300" t="str">
        <f t="shared" ca="1" si="635"/>
        <v/>
      </c>
      <c r="BX216" s="301" t="str">
        <f t="shared" ca="1" si="636"/>
        <v/>
      </c>
      <c r="BY216" s="146" t="str">
        <f t="shared" ca="1" si="637"/>
        <v/>
      </c>
      <c r="BZ216" s="146" t="str">
        <f t="shared" ca="1" si="638"/>
        <v/>
      </c>
      <c r="CA216" s="146" t="str">
        <f t="shared" ca="1" si="639"/>
        <v/>
      </c>
      <c r="CB216" s="146" t="str">
        <f t="shared" ca="1" si="640"/>
        <v/>
      </c>
      <c r="CC216" s="302">
        <v>1</v>
      </c>
      <c r="CD216" s="154">
        <f ca="1">IF(BD216,_xll.xCrudeAPO(BS216,BT216,BY216,BZ216,S217,S218,BI216,BL216,BN216,BO216,0,Strike1,AO216,CC216,0,BL216,IF(OptControl=4,0,1),0,1),0)</f>
        <v>0</v>
      </c>
      <c r="CE216" s="155">
        <f ca="1">IF(BD216,_xll.xCrudeAPO(BS216,BT216,BY216,BZ216,S217,S218,BI216,BL216,BN216,BO216,0,Strike1,AO216,CC216,0,BL216,IF(OptControl=4,0,1),1,1)+_xll.xCrudeAPO(BS216,BT216,BY216,BZ216,S217,S218,BI216,BL216,BN216,BO216,0,Strike1,AO216,CC216,0,BL216,IF(OptControl=4,0,1),1,2)+IF(OR(VolSkewFlag=2,ABS(BQ216)&lt;0.0001),0,IF(BQ216&gt;0,-1,1)*CF216*Strike1/BP216^2*BW216/10%),0)</f>
        <v>0</v>
      </c>
      <c r="CF216" s="155">
        <f ca="1">IF(BD216,(_xll.xCrudeAPO(BS216,BT216,BY216,BZ216,S217,S218,BI216,BL216,BN216,BO216,0,Strike1,AO216,CC216,0,BL216,IF(OptControl=4,0,1),3,1)+_xll.xCrudeAPO(BS216,BT216,BY216,BZ216,S217,S218,BI216,BL216,BN216,BO216,0,Strike1,AO216,CC216,0,BL216,IF(OptControl=4,0,1),3,2))/100,0)</f>
        <v>0</v>
      </c>
      <c r="CG216" s="155">
        <f ca="1">IF(BD216,_xll.xCrudeAPO(BS216,BT216,BY216,BZ216,S217,S218,BI216-DaysForThetaCalculation/365.25,BL216-DaysForThetaCalculation/365.25,BN216,BO216,0,Strike1,AO216,CC216,0,BL216,IF(OptControl=4,0,1),0,1)-_xll.xCrudeAPO(BS216,BT216,BY216,BZ216,S217,S218,BI216,BL216,BN216,BO216,0,Strike1,AO216,CC216,0,BL216,IF(OptControl=4,0,1),0,1),0)</f>
        <v>0</v>
      </c>
      <c r="CH216" s="303">
        <f ca="1">IF(BD216,_xll.xCrudeAPO(BS216,BT216,CA216,CB216,S217,S218,BI216,BL216,BN216,BO216,0,Strike2,AO216,CC216,0,BL216,IF(OptControl=3,1,0),0,1),0)</f>
        <v>0</v>
      </c>
      <c r="CI216" s="155">
        <f ca="1">IF(BD216,_xll.xCrudeAPO(BS216,BT216,CA216,CB216,S217,S218,BI216,BL216,BN216,BO216,0,Strike2,AO216,CC216,0,BL216,IF(OptControl=3,1,0),1,1)+_xll.xCrudeAPO(BS216,BT216,CA216,CB216,S217,S218,BI216,BL216,BN216,BO216,0,Strike2,AO216,CC216,0,BL216,IF(OptControl=3,1,0),1,2)+IF(OR(VolSkewFlag=2,ABS(BR216)&lt;0.0001),0,IF(BR216&gt;0,-1,1)*CJ216*Strike2/BP216^2*BX216/10%),0)</f>
        <v>0</v>
      </c>
      <c r="CJ216" s="155">
        <f ca="1">IF(BD216,(_xll.xCrudeAPO(BS216,BT216,CA216,CB216,S217,S218,BI216,BL216,BN216,BO216,0,Strike2,AO216,CC216,0,BL216,IF(OptControl=3,1,0),3,1)+_xll.xCrudeAPO(BS216,BT216,CA216,CB216,S217,S218,BI216,BL216,BN216,BO216,0,Strike2,AO216,CC216,0,BL216,IF(OptControl=3,1,0),3,2))/100,0)</f>
        <v>0</v>
      </c>
      <c r="CK216" s="156">
        <f ca="1">IF(BD216,_xll.xCrudeAPO(BS216,BT216,CA216,CB216,S217,S218,BI216-DaysForThetaCalculation/365.25,BL216-DaysForThetaCalculation/365.25,BN216,BO216,0,Strike2,AO216,CC216,0,BL216,IF(OptControl=3,1,0),0,1)-_xll.xCrudeAPO(BS216,BT216,CA216,CB216,S217,S218,BI216,BL216,BN216,BO216,0,Strike2,AO216,CC216,0,BL216,IF(OptControl=3,1,0),0,1),0)</f>
        <v>0</v>
      </c>
      <c r="CL216" s="51"/>
      <c r="CM216" s="779" t="str">
        <f t="shared" ca="1" si="650"/>
        <v/>
      </c>
      <c r="CN216" s="783" t="str">
        <f t="shared" ca="1" si="651"/>
        <v/>
      </c>
      <c r="CO216" s="780" t="str">
        <f t="shared" ca="1" si="652"/>
        <v/>
      </c>
      <c r="CP216" s="780" t="str">
        <f t="shared" ca="1" si="653"/>
        <v/>
      </c>
      <c r="CQ216" s="780" t="str">
        <f t="shared" ca="1" si="654"/>
        <v/>
      </c>
      <c r="CR216" s="780" t="str">
        <f t="shared" ca="1" si="655"/>
        <v/>
      </c>
      <c r="CS216" s="781" t="str">
        <f t="shared" ca="1" si="656"/>
        <v/>
      </c>
      <c r="CT216" s="782" t="str">
        <f t="shared" ca="1" si="657"/>
        <v/>
      </c>
      <c r="CU216" s="782" t="str">
        <f t="shared" ca="1" si="658"/>
        <v/>
      </c>
      <c r="CV216" s="155">
        <f ca="1">IF(BD216,_xll.EURO(CN216,Strike1,AO216,AO216,CT216,CM216,IF(OptControl=4,0,1),0),0)</f>
        <v>0</v>
      </c>
      <c r="CW216" s="155">
        <f ca="1">IF(BD216,_xll.EURO(CN216,Strike1,AO216,AO216,CT216,CM216,IF(OptControl=4,0,1),1)+IF(OR(VolSkewFlag=2,ABS(CO216)&lt;0.0001),0,IF(CO216&gt;0,-1,1)*CX216*100*Strike1/CN216^2*CQ216/10%),0)</f>
        <v>0</v>
      </c>
      <c r="CX216" s="155">
        <f ca="1">IF(BD216,_xll.EURO(CN216,Strike1,AO216,AO216,CT216,CM216,IF(OptControl=4,0,1),3)/100,0)</f>
        <v>0</v>
      </c>
      <c r="CY216" s="155">
        <f ca="1">IF(BD216,_xll.EURO(CN216,Strike1,AO216,AO216,CT216,CM216,IF(OptControl=4,0,1),0)-_xll.EURO(CN216,Strike1,AO216,AO216,CT216,CM216-1,IF(OptControl=4,0,1),0),0)</f>
        <v>0</v>
      </c>
      <c r="CZ216" s="155">
        <f ca="1">IF(BD216,_xll.EURO(CN216,Strike2,AO216,AO216,CU216,CM216,IF(OptControl=3,1,0),0),0)</f>
        <v>0</v>
      </c>
      <c r="DA216" s="155">
        <f ca="1">IF(BD216,_xll.EURO(CN216,Strike2,AO216,AO216,CU216,CM216,IF(OptControl=3,1,0),1)+IF(OR(VolSkewFlag=2,ABS(CP216)&lt;0.0001),0,IF(CP216&gt;0,-1,1)*DB216*100*Strike2/CN216^2*CR216/10%),0)</f>
        <v>0</v>
      </c>
      <c r="DB216" s="155">
        <f ca="1">IF(BD216,_xll.EURO(CN216,Strike2,AO216,AO216,CU216,CM216,IF(OptControl=3,1,0),3)/100,0)</f>
        <v>0</v>
      </c>
      <c r="DC216" s="156">
        <f ca="1">IF(BD216,_xll.EURO(CN216,Strike2,AO216,AO216,CU216,CM216,IF(OptControl=3,1,0),0)-_xll.EURO(CN216,Strike2,AO216,AO216,CU216,CM216-1,IF(OptControl=3,1,0),0),0)</f>
        <v>0</v>
      </c>
      <c r="DE216" s="651">
        <f t="shared" ca="1" si="659"/>
        <v>42887</v>
      </c>
      <c r="DF216" s="465">
        <v>1E-4</v>
      </c>
      <c r="DG216" s="649">
        <v>1E-4</v>
      </c>
      <c r="DH216" s="650">
        <f t="shared" ca="1" si="612"/>
        <v>42887</v>
      </c>
      <c r="DI216" s="465">
        <v>1E-4</v>
      </c>
      <c r="DJ216" s="649">
        <v>1E-4</v>
      </c>
      <c r="DK216" s="651">
        <f t="shared" ca="1" si="613"/>
        <v>42887</v>
      </c>
      <c r="DL216" s="652">
        <f t="shared" si="614"/>
        <v>5.0100000000000006E-2</v>
      </c>
      <c r="DM216" s="651">
        <f t="shared" ca="1" si="615"/>
        <v>42887</v>
      </c>
      <c r="DN216" s="563">
        <f t="shared" si="616"/>
        <v>-0.12990000000000002</v>
      </c>
      <c r="DO216" s="803">
        <v>-0.13</v>
      </c>
      <c r="DP216" s="650">
        <f t="shared" ca="1" si="617"/>
        <v>42887</v>
      </c>
      <c r="DQ216" s="653">
        <v>1E-4</v>
      </c>
      <c r="DR216" s="590">
        <v>1E-4</v>
      </c>
      <c r="DS216" s="650">
        <f t="shared" ca="1" si="618"/>
        <v>42887</v>
      </c>
      <c r="DT216" s="653">
        <v>1E-4</v>
      </c>
      <c r="DU216" s="590">
        <v>1E-4</v>
      </c>
      <c r="DV216" s="651">
        <f t="shared" ca="1" si="619"/>
        <v>42887</v>
      </c>
      <c r="DW216" s="590">
        <v>1E-4</v>
      </c>
      <c r="DX216" s="651">
        <f t="shared" ca="1" si="620"/>
        <v>42887</v>
      </c>
      <c r="DY216" s="590">
        <f t="shared" si="621"/>
        <v>1E-4</v>
      </c>
      <c r="DZ216" s="1"/>
      <c r="EA216" s="857"/>
      <c r="EB216" s="857"/>
      <c r="EC216" s="857"/>
      <c r="ED216" s="868" t="e">
        <f t="shared" ca="1" si="566"/>
        <v>#NAME?</v>
      </c>
      <c r="EE216" s="863" t="e">
        <f t="shared" ca="1" si="641"/>
        <v>#NAME?</v>
      </c>
      <c r="EF216" s="590" t="e">
        <f t="shared" ca="1" si="642"/>
        <v>#NAME?</v>
      </c>
      <c r="EG216" s="862" t="str">
        <f t="shared" ca="1" si="622"/>
        <v/>
      </c>
      <c r="EH216" s="114" t="str">
        <f t="shared" ca="1" si="643"/>
        <v/>
      </c>
      <c r="EI216" s="109" t="str">
        <f t="shared" ca="1" si="644"/>
        <v/>
      </c>
      <c r="EJ216" s="115">
        <f ca="1">IF(BD216,_xll.xASN(BP216,Strike1,AO216,EH216,0,BM216,0,BI216,BL216,IF(OptControl=4,0,1),0),0)</f>
        <v>0</v>
      </c>
      <c r="EK216" s="108">
        <f ca="1">IF(BD216,_xll.xASN(BP216,Strike2,AO216,EI216,0,BM216,0,BI216,BL216,IF(OptControl=3,1,0),0),0)</f>
        <v>0</v>
      </c>
      <c r="EP216" s="53"/>
      <c r="EQ216" s="1"/>
      <c r="ER216" s="103"/>
      <c r="ES216" s="103"/>
      <c r="ET216" s="1"/>
      <c r="EU216" s="667" t="s">
        <v>429</v>
      </c>
      <c r="EW216" s="53"/>
      <c r="EY216" s="104"/>
      <c r="FN216" s="657">
        <v>47</v>
      </c>
      <c r="FO216" s="469" t="str">
        <f ca="1">IF(OR(FO$169&lt;SwaptionFirstMonthPosition+1,$FN216&lt;SwaptionFirstMonthPosition+1,FO$169&gt;SwaptionFirstMonthPosition+SwaptionNumOfMonths+1,$FN216&gt;SwaptionFirstMonthPosition+SwaptionNumOfMonths+1),"",IF($FN216=FO$169,1,IF($FN216&lt;FO$169,INDEX($FO$170:$IH$241,FO$169,$FN216),SUMPRODUCT(INDEX($FO$325:$IH$396,FO$169,1+SwaptionShift):INDEX($FO$325:$IH$396,FO$169,SwaptionMonthsToGo+SwaptionShift),INDEX($FO$245:$IH$316,$FN216-FO$169,73-FO$169+SwaptionShift):INDEX($FO$245:$IH$316,$FN216-FO$169,72-FO$169+SwaptionMonthsToGo+SwaptionShift))/SQRT(SUM(INDEX($FO371:$IH371,1+SwaptionShift):INDEX($FO371:$IH371,SwaptionMonthsToGo+SwaptionShift))*SUM(INDEX($FO$325:$IH$396,FO$169,1+SwaptionShift):INDEX($FO$325:$IH$396,FO$169,SwaptionMonthsToGo+SwaptionShift))))))</f>
        <v/>
      </c>
      <c r="FP216" s="469" t="str">
        <f ca="1">IF(OR(FP$169&lt;SwaptionFirstMonthPosition+1,$FN216&lt;SwaptionFirstMonthPosition+1,FP$169&gt;SwaptionFirstMonthPosition+SwaptionNumOfMonths+1,$FN216&gt;SwaptionFirstMonthPosition+SwaptionNumOfMonths+1),"",IF($FN216=FP$169,1,IF($FN216&lt;FP$169,INDEX($FO$170:$IH$241,FP$169,$FN216),SUMPRODUCT(INDEX($FO$325:$IH$396,FP$169,1+SwaptionShift):INDEX($FO$325:$IH$396,FP$169,SwaptionMonthsToGo+SwaptionShift),INDEX($FO$245:$IH$316,$FN216-FP$169,73-FP$169+SwaptionShift):INDEX($FO$245:$IH$316,$FN216-FP$169,72-FP$169+SwaptionMonthsToGo+SwaptionShift))/SQRT(SUM(INDEX($FO371:$IH371,1+SwaptionShift):INDEX($FO371:$IH371,SwaptionMonthsToGo+SwaptionShift))*SUM(INDEX($FO$325:$IH$396,FP$169,1+SwaptionShift):INDEX($FO$325:$IH$396,FP$169,SwaptionMonthsToGo+SwaptionShift))))))</f>
        <v/>
      </c>
      <c r="FQ216" s="469" t="str">
        <f ca="1">IF(OR(FQ$169&lt;SwaptionFirstMonthPosition+1,$FN216&lt;SwaptionFirstMonthPosition+1,FQ$169&gt;SwaptionFirstMonthPosition+SwaptionNumOfMonths+1,$FN216&gt;SwaptionFirstMonthPosition+SwaptionNumOfMonths+1),"",IF($FN216=FQ$169,1,IF($FN216&lt;FQ$169,INDEX($FO$170:$IH$241,FQ$169,$FN216),SUMPRODUCT(INDEX($FO$325:$IH$396,FQ$169,1+SwaptionShift):INDEX($FO$325:$IH$396,FQ$169,SwaptionMonthsToGo+SwaptionShift),INDEX($FO$245:$IH$316,$FN216-FQ$169,73-FQ$169+SwaptionShift):INDEX($FO$245:$IH$316,$FN216-FQ$169,72-FQ$169+SwaptionMonthsToGo+SwaptionShift))/SQRT(SUM(INDEX($FO371:$IH371,1+SwaptionShift):INDEX($FO371:$IH371,SwaptionMonthsToGo+SwaptionShift))*SUM(INDEX($FO$325:$IH$396,FQ$169,1+SwaptionShift):INDEX($FO$325:$IH$396,FQ$169,SwaptionMonthsToGo+SwaptionShift))))))</f>
        <v/>
      </c>
      <c r="FR216" s="469" t="str">
        <f ca="1">IF(OR(FR$169&lt;SwaptionFirstMonthPosition+1,$FN216&lt;SwaptionFirstMonthPosition+1,FR$169&gt;SwaptionFirstMonthPosition+SwaptionNumOfMonths+1,$FN216&gt;SwaptionFirstMonthPosition+SwaptionNumOfMonths+1),"",IF($FN216=FR$169,1,IF($FN216&lt;FR$169,INDEX($FO$170:$IH$241,FR$169,$FN216),SUMPRODUCT(INDEX($FO$325:$IH$396,FR$169,1+SwaptionShift):INDEX($FO$325:$IH$396,FR$169,SwaptionMonthsToGo+SwaptionShift),INDEX($FO$245:$IH$316,$FN216-FR$169,73-FR$169+SwaptionShift):INDEX($FO$245:$IH$316,$FN216-FR$169,72-FR$169+SwaptionMonthsToGo+SwaptionShift))/SQRT(SUM(INDEX($FO371:$IH371,1+SwaptionShift):INDEX($FO371:$IH371,SwaptionMonthsToGo+SwaptionShift))*SUM(INDEX($FO$325:$IH$396,FR$169,1+SwaptionShift):INDEX($FO$325:$IH$396,FR$169,SwaptionMonthsToGo+SwaptionShift))))))</f>
        <v/>
      </c>
      <c r="FS216" s="469" t="str">
        <f ca="1">IF(OR(FS$169&lt;SwaptionFirstMonthPosition+1,$FN216&lt;SwaptionFirstMonthPosition+1,FS$169&gt;SwaptionFirstMonthPosition+SwaptionNumOfMonths+1,$FN216&gt;SwaptionFirstMonthPosition+SwaptionNumOfMonths+1),"",IF($FN216=FS$169,1,IF($FN216&lt;FS$169,INDEX($FO$170:$IH$241,FS$169,$FN216),SUMPRODUCT(INDEX($FO$325:$IH$396,FS$169,1+SwaptionShift):INDEX($FO$325:$IH$396,FS$169,SwaptionMonthsToGo+SwaptionShift),INDEX($FO$245:$IH$316,$FN216-FS$169,73-FS$169+SwaptionShift):INDEX($FO$245:$IH$316,$FN216-FS$169,72-FS$169+SwaptionMonthsToGo+SwaptionShift))/SQRT(SUM(INDEX($FO371:$IH371,1+SwaptionShift):INDEX($FO371:$IH371,SwaptionMonthsToGo+SwaptionShift))*SUM(INDEX($FO$325:$IH$396,FS$169,1+SwaptionShift):INDEX($FO$325:$IH$396,FS$169,SwaptionMonthsToGo+SwaptionShift))))))</f>
        <v/>
      </c>
      <c r="FT216" s="469" t="str">
        <f ca="1">IF(OR(FT$169&lt;SwaptionFirstMonthPosition+1,$FN216&lt;SwaptionFirstMonthPosition+1,FT$169&gt;SwaptionFirstMonthPosition+SwaptionNumOfMonths+1,$FN216&gt;SwaptionFirstMonthPosition+SwaptionNumOfMonths+1),"",IF($FN216=FT$169,1,IF($FN216&lt;FT$169,INDEX($FO$170:$IH$241,FT$169,$FN216),SUMPRODUCT(INDEX($FO$325:$IH$396,FT$169,1+SwaptionShift):INDEX($FO$325:$IH$396,FT$169,SwaptionMonthsToGo+SwaptionShift),INDEX($FO$245:$IH$316,$FN216-FT$169,73-FT$169+SwaptionShift):INDEX($FO$245:$IH$316,$FN216-FT$169,72-FT$169+SwaptionMonthsToGo+SwaptionShift))/SQRT(SUM(INDEX($FO371:$IH371,1+SwaptionShift):INDEX($FO371:$IH371,SwaptionMonthsToGo+SwaptionShift))*SUM(INDEX($FO$325:$IH$396,FT$169,1+SwaptionShift):INDEX($FO$325:$IH$396,FT$169,SwaptionMonthsToGo+SwaptionShift))))))</f>
        <v/>
      </c>
      <c r="FU216" s="469" t="str">
        <f ca="1">IF(OR(FU$169&lt;SwaptionFirstMonthPosition+1,$FN216&lt;SwaptionFirstMonthPosition+1,FU$169&gt;SwaptionFirstMonthPosition+SwaptionNumOfMonths+1,$FN216&gt;SwaptionFirstMonthPosition+SwaptionNumOfMonths+1),"",IF($FN216=FU$169,1,IF($FN216&lt;FU$169,INDEX($FO$170:$IH$241,FU$169,$FN216),SUMPRODUCT(INDEX($FO$325:$IH$396,FU$169,1+SwaptionShift):INDEX($FO$325:$IH$396,FU$169,SwaptionMonthsToGo+SwaptionShift),INDEX($FO$245:$IH$316,$FN216-FU$169,73-FU$169+SwaptionShift):INDEX($FO$245:$IH$316,$FN216-FU$169,72-FU$169+SwaptionMonthsToGo+SwaptionShift))/SQRT(SUM(INDEX($FO371:$IH371,1+SwaptionShift):INDEX($FO371:$IH371,SwaptionMonthsToGo+SwaptionShift))*SUM(INDEX($FO$325:$IH$396,FU$169,1+SwaptionShift):INDEX($FO$325:$IH$396,FU$169,SwaptionMonthsToGo+SwaptionShift))))))</f>
        <v/>
      </c>
      <c r="FV216" s="469" t="str">
        <f ca="1">IF(OR(FV$169&lt;SwaptionFirstMonthPosition+1,$FN216&lt;SwaptionFirstMonthPosition+1,FV$169&gt;SwaptionFirstMonthPosition+SwaptionNumOfMonths+1,$FN216&gt;SwaptionFirstMonthPosition+SwaptionNumOfMonths+1),"",IF($FN216=FV$169,1,IF($FN216&lt;FV$169,INDEX($FO$170:$IH$241,FV$169,$FN216),SUMPRODUCT(INDEX($FO$325:$IH$396,FV$169,1+SwaptionShift):INDEX($FO$325:$IH$396,FV$169,SwaptionMonthsToGo+SwaptionShift),INDEX($FO$245:$IH$316,$FN216-FV$169,73-FV$169+SwaptionShift):INDEX($FO$245:$IH$316,$FN216-FV$169,72-FV$169+SwaptionMonthsToGo+SwaptionShift))/SQRT(SUM(INDEX($FO371:$IH371,1+SwaptionShift):INDEX($FO371:$IH371,SwaptionMonthsToGo+SwaptionShift))*SUM(INDEX($FO$325:$IH$396,FV$169,1+SwaptionShift):INDEX($FO$325:$IH$396,FV$169,SwaptionMonthsToGo+SwaptionShift))))))</f>
        <v/>
      </c>
      <c r="FW216" s="469" t="str">
        <f ca="1">IF(OR(FW$169&lt;SwaptionFirstMonthPosition+1,$FN216&lt;SwaptionFirstMonthPosition+1,FW$169&gt;SwaptionFirstMonthPosition+SwaptionNumOfMonths+1,$FN216&gt;SwaptionFirstMonthPosition+SwaptionNumOfMonths+1),"",IF($FN216=FW$169,1,IF($FN216&lt;FW$169,INDEX($FO$170:$IH$241,FW$169,$FN216),SUMPRODUCT(INDEX($FO$325:$IH$396,FW$169,1+SwaptionShift):INDEX($FO$325:$IH$396,FW$169,SwaptionMonthsToGo+SwaptionShift),INDEX($FO$245:$IH$316,$FN216-FW$169,73-FW$169+SwaptionShift):INDEX($FO$245:$IH$316,$FN216-FW$169,72-FW$169+SwaptionMonthsToGo+SwaptionShift))/SQRT(SUM(INDEX($FO371:$IH371,1+SwaptionShift):INDEX($FO371:$IH371,SwaptionMonthsToGo+SwaptionShift))*SUM(INDEX($FO$325:$IH$396,FW$169,1+SwaptionShift):INDEX($FO$325:$IH$396,FW$169,SwaptionMonthsToGo+SwaptionShift))))))</f>
        <v/>
      </c>
      <c r="FX216" s="469" t="str">
        <f ca="1">IF(OR(FX$169&lt;SwaptionFirstMonthPosition+1,$FN216&lt;SwaptionFirstMonthPosition+1,FX$169&gt;SwaptionFirstMonthPosition+SwaptionNumOfMonths+1,$FN216&gt;SwaptionFirstMonthPosition+SwaptionNumOfMonths+1),"",IF($FN216=FX$169,1,IF($FN216&lt;FX$169,INDEX($FO$170:$IH$241,FX$169,$FN216),SUMPRODUCT(INDEX($FO$325:$IH$396,FX$169,1+SwaptionShift):INDEX($FO$325:$IH$396,FX$169,SwaptionMonthsToGo+SwaptionShift),INDEX($FO$245:$IH$316,$FN216-FX$169,73-FX$169+SwaptionShift):INDEX($FO$245:$IH$316,$FN216-FX$169,72-FX$169+SwaptionMonthsToGo+SwaptionShift))/SQRT(SUM(INDEX($FO371:$IH371,1+SwaptionShift):INDEX($FO371:$IH371,SwaptionMonthsToGo+SwaptionShift))*SUM(INDEX($FO$325:$IH$396,FX$169,1+SwaptionShift):INDEX($FO$325:$IH$396,FX$169,SwaptionMonthsToGo+SwaptionShift))))))</f>
        <v/>
      </c>
      <c r="FY216" s="469" t="str">
        <f ca="1">IF(OR(FY$169&lt;SwaptionFirstMonthPosition+1,$FN216&lt;SwaptionFirstMonthPosition+1,FY$169&gt;SwaptionFirstMonthPosition+SwaptionNumOfMonths+1,$FN216&gt;SwaptionFirstMonthPosition+SwaptionNumOfMonths+1),"",IF($FN216=FY$169,1,IF($FN216&lt;FY$169,INDEX($FO$170:$IH$241,FY$169,$FN216),SUMPRODUCT(INDEX($FO$325:$IH$396,FY$169,1+SwaptionShift):INDEX($FO$325:$IH$396,FY$169,SwaptionMonthsToGo+SwaptionShift),INDEX($FO$245:$IH$316,$FN216-FY$169,73-FY$169+SwaptionShift):INDEX($FO$245:$IH$316,$FN216-FY$169,72-FY$169+SwaptionMonthsToGo+SwaptionShift))/SQRT(SUM(INDEX($FO371:$IH371,1+SwaptionShift):INDEX($FO371:$IH371,SwaptionMonthsToGo+SwaptionShift))*SUM(INDEX($FO$325:$IH$396,FY$169,1+SwaptionShift):INDEX($FO$325:$IH$396,FY$169,SwaptionMonthsToGo+SwaptionShift))))))</f>
        <v/>
      </c>
      <c r="FZ216" s="469" t="str">
        <f ca="1">IF(OR(FZ$169&lt;SwaptionFirstMonthPosition+1,$FN216&lt;SwaptionFirstMonthPosition+1,FZ$169&gt;SwaptionFirstMonthPosition+SwaptionNumOfMonths+1,$FN216&gt;SwaptionFirstMonthPosition+SwaptionNumOfMonths+1),"",IF($FN216=FZ$169,1,IF($FN216&lt;FZ$169,INDEX($FO$170:$IH$241,FZ$169,$FN216),SUMPRODUCT(INDEX($FO$325:$IH$396,FZ$169,1+SwaptionShift):INDEX($FO$325:$IH$396,FZ$169,SwaptionMonthsToGo+SwaptionShift),INDEX($FO$245:$IH$316,$FN216-FZ$169,73-FZ$169+SwaptionShift):INDEX($FO$245:$IH$316,$FN216-FZ$169,72-FZ$169+SwaptionMonthsToGo+SwaptionShift))/SQRT(SUM(INDEX($FO371:$IH371,1+SwaptionShift):INDEX($FO371:$IH371,SwaptionMonthsToGo+SwaptionShift))*SUM(INDEX($FO$325:$IH$396,FZ$169,1+SwaptionShift):INDEX($FO$325:$IH$396,FZ$169,SwaptionMonthsToGo+SwaptionShift))))))</f>
        <v/>
      </c>
      <c r="GA216" s="469" t="str">
        <f ca="1">IF(OR(GA$169&lt;SwaptionFirstMonthPosition+1,$FN216&lt;SwaptionFirstMonthPosition+1,GA$169&gt;SwaptionFirstMonthPosition+SwaptionNumOfMonths+1,$FN216&gt;SwaptionFirstMonthPosition+SwaptionNumOfMonths+1),"",IF($FN216=GA$169,1,IF($FN216&lt;GA$169,INDEX($FO$170:$IH$241,GA$169,$FN216),SUMPRODUCT(INDEX($FO$325:$IH$396,GA$169,1+SwaptionShift):INDEX($FO$325:$IH$396,GA$169,SwaptionMonthsToGo+SwaptionShift),INDEX($FO$245:$IH$316,$FN216-GA$169,73-GA$169+SwaptionShift):INDEX($FO$245:$IH$316,$FN216-GA$169,72-GA$169+SwaptionMonthsToGo+SwaptionShift))/SQRT(SUM(INDEX($FO371:$IH371,1+SwaptionShift):INDEX($FO371:$IH371,SwaptionMonthsToGo+SwaptionShift))*SUM(INDEX($FO$325:$IH$396,GA$169,1+SwaptionShift):INDEX($FO$325:$IH$396,GA$169,SwaptionMonthsToGo+SwaptionShift))))))</f>
        <v/>
      </c>
      <c r="GB216" s="469" t="str">
        <f ca="1">IF(OR(GB$169&lt;SwaptionFirstMonthPosition+1,$FN216&lt;SwaptionFirstMonthPosition+1,GB$169&gt;SwaptionFirstMonthPosition+SwaptionNumOfMonths+1,$FN216&gt;SwaptionFirstMonthPosition+SwaptionNumOfMonths+1),"",IF($FN216=GB$169,1,IF($FN216&lt;GB$169,INDEX($FO$170:$IH$241,GB$169,$FN216),SUMPRODUCT(INDEX($FO$325:$IH$396,GB$169,1+SwaptionShift):INDEX($FO$325:$IH$396,GB$169,SwaptionMonthsToGo+SwaptionShift),INDEX($FO$245:$IH$316,$FN216-GB$169,73-GB$169+SwaptionShift):INDEX($FO$245:$IH$316,$FN216-GB$169,72-GB$169+SwaptionMonthsToGo+SwaptionShift))/SQRT(SUM(INDEX($FO371:$IH371,1+SwaptionShift):INDEX($FO371:$IH371,SwaptionMonthsToGo+SwaptionShift))*SUM(INDEX($FO$325:$IH$396,GB$169,1+SwaptionShift):INDEX($FO$325:$IH$396,GB$169,SwaptionMonthsToGo+SwaptionShift))))))</f>
        <v/>
      </c>
      <c r="GC216" s="469" t="str">
        <f ca="1">IF(OR(GC$169&lt;SwaptionFirstMonthPosition+1,$FN216&lt;SwaptionFirstMonthPosition+1,GC$169&gt;SwaptionFirstMonthPosition+SwaptionNumOfMonths+1,$FN216&gt;SwaptionFirstMonthPosition+SwaptionNumOfMonths+1),"",IF($FN216=GC$169,1,IF($FN216&lt;GC$169,INDEX($FO$170:$IH$241,GC$169,$FN216),SUMPRODUCT(INDEX($FO$325:$IH$396,GC$169,1+SwaptionShift):INDEX($FO$325:$IH$396,GC$169,SwaptionMonthsToGo+SwaptionShift),INDEX($FO$245:$IH$316,$FN216-GC$169,73-GC$169+SwaptionShift):INDEX($FO$245:$IH$316,$FN216-GC$169,72-GC$169+SwaptionMonthsToGo+SwaptionShift))/SQRT(SUM(INDEX($FO371:$IH371,1+SwaptionShift):INDEX($FO371:$IH371,SwaptionMonthsToGo+SwaptionShift))*SUM(INDEX($FO$325:$IH$396,GC$169,1+SwaptionShift):INDEX($FO$325:$IH$396,GC$169,SwaptionMonthsToGo+SwaptionShift))))))</f>
        <v/>
      </c>
      <c r="GD216" s="469" t="str">
        <f ca="1">IF(OR(GD$169&lt;SwaptionFirstMonthPosition+1,$FN216&lt;SwaptionFirstMonthPosition+1,GD$169&gt;SwaptionFirstMonthPosition+SwaptionNumOfMonths+1,$FN216&gt;SwaptionFirstMonthPosition+SwaptionNumOfMonths+1),"",IF($FN216=GD$169,1,IF($FN216&lt;GD$169,INDEX($FO$170:$IH$241,GD$169,$FN216),SUMPRODUCT(INDEX($FO$325:$IH$396,GD$169,1+SwaptionShift):INDEX($FO$325:$IH$396,GD$169,SwaptionMonthsToGo+SwaptionShift),INDEX($FO$245:$IH$316,$FN216-GD$169,73-GD$169+SwaptionShift):INDEX($FO$245:$IH$316,$FN216-GD$169,72-GD$169+SwaptionMonthsToGo+SwaptionShift))/SQRT(SUM(INDEX($FO371:$IH371,1+SwaptionShift):INDEX($FO371:$IH371,SwaptionMonthsToGo+SwaptionShift))*SUM(INDEX($FO$325:$IH$396,GD$169,1+SwaptionShift):INDEX($FO$325:$IH$396,GD$169,SwaptionMonthsToGo+SwaptionShift))))))</f>
        <v/>
      </c>
      <c r="GE216" s="469" t="str">
        <f ca="1">IF(OR(GE$169&lt;SwaptionFirstMonthPosition+1,$FN216&lt;SwaptionFirstMonthPosition+1,GE$169&gt;SwaptionFirstMonthPosition+SwaptionNumOfMonths+1,$FN216&gt;SwaptionFirstMonthPosition+SwaptionNumOfMonths+1),"",IF($FN216=GE$169,1,IF($FN216&lt;GE$169,INDEX($FO$170:$IH$241,GE$169,$FN216),SUMPRODUCT(INDEX($FO$325:$IH$396,GE$169,1+SwaptionShift):INDEX($FO$325:$IH$396,GE$169,SwaptionMonthsToGo+SwaptionShift),INDEX($FO$245:$IH$316,$FN216-GE$169,73-GE$169+SwaptionShift):INDEX($FO$245:$IH$316,$FN216-GE$169,72-GE$169+SwaptionMonthsToGo+SwaptionShift))/SQRT(SUM(INDEX($FO371:$IH371,1+SwaptionShift):INDEX($FO371:$IH371,SwaptionMonthsToGo+SwaptionShift))*SUM(INDEX($FO$325:$IH$396,GE$169,1+SwaptionShift):INDEX($FO$325:$IH$396,GE$169,SwaptionMonthsToGo+SwaptionShift))))))</f>
        <v/>
      </c>
      <c r="GF216" s="469" t="str">
        <f ca="1">IF(OR(GF$169&lt;SwaptionFirstMonthPosition+1,$FN216&lt;SwaptionFirstMonthPosition+1,GF$169&gt;SwaptionFirstMonthPosition+SwaptionNumOfMonths+1,$FN216&gt;SwaptionFirstMonthPosition+SwaptionNumOfMonths+1),"",IF($FN216=GF$169,1,IF($FN216&lt;GF$169,INDEX($FO$170:$IH$241,GF$169,$FN216),SUMPRODUCT(INDEX($FO$325:$IH$396,GF$169,1+SwaptionShift):INDEX($FO$325:$IH$396,GF$169,SwaptionMonthsToGo+SwaptionShift),INDEX($FO$245:$IH$316,$FN216-GF$169,73-GF$169+SwaptionShift):INDEX($FO$245:$IH$316,$FN216-GF$169,72-GF$169+SwaptionMonthsToGo+SwaptionShift))/SQRT(SUM(INDEX($FO371:$IH371,1+SwaptionShift):INDEX($FO371:$IH371,SwaptionMonthsToGo+SwaptionShift))*SUM(INDEX($FO$325:$IH$396,GF$169,1+SwaptionShift):INDEX($FO$325:$IH$396,GF$169,SwaptionMonthsToGo+SwaptionShift))))))</f>
        <v/>
      </c>
      <c r="GG216" s="469" t="str">
        <f ca="1">IF(OR(GG$169&lt;SwaptionFirstMonthPosition+1,$FN216&lt;SwaptionFirstMonthPosition+1,GG$169&gt;SwaptionFirstMonthPosition+SwaptionNumOfMonths+1,$FN216&gt;SwaptionFirstMonthPosition+SwaptionNumOfMonths+1),"",IF($FN216=GG$169,1,IF($FN216&lt;GG$169,INDEX($FO$170:$IH$241,GG$169,$FN216),SUMPRODUCT(INDEX($FO$325:$IH$396,GG$169,1+SwaptionShift):INDEX($FO$325:$IH$396,GG$169,SwaptionMonthsToGo+SwaptionShift),INDEX($FO$245:$IH$316,$FN216-GG$169,73-GG$169+SwaptionShift):INDEX($FO$245:$IH$316,$FN216-GG$169,72-GG$169+SwaptionMonthsToGo+SwaptionShift))/SQRT(SUM(INDEX($FO371:$IH371,1+SwaptionShift):INDEX($FO371:$IH371,SwaptionMonthsToGo+SwaptionShift))*SUM(INDEX($FO$325:$IH$396,GG$169,1+SwaptionShift):INDEX($FO$325:$IH$396,GG$169,SwaptionMonthsToGo+SwaptionShift))))))</f>
        <v/>
      </c>
      <c r="GH216" s="469" t="str">
        <f ca="1">IF(OR(GH$169&lt;SwaptionFirstMonthPosition+1,$FN216&lt;SwaptionFirstMonthPosition+1,GH$169&gt;SwaptionFirstMonthPosition+SwaptionNumOfMonths+1,$FN216&gt;SwaptionFirstMonthPosition+SwaptionNumOfMonths+1),"",IF($FN216=GH$169,1,IF($FN216&lt;GH$169,INDEX($FO$170:$IH$241,GH$169,$FN216),SUMPRODUCT(INDEX($FO$325:$IH$396,GH$169,1+SwaptionShift):INDEX($FO$325:$IH$396,GH$169,SwaptionMonthsToGo+SwaptionShift),INDEX($FO$245:$IH$316,$FN216-GH$169,73-GH$169+SwaptionShift):INDEX($FO$245:$IH$316,$FN216-GH$169,72-GH$169+SwaptionMonthsToGo+SwaptionShift))/SQRT(SUM(INDEX($FO371:$IH371,1+SwaptionShift):INDEX($FO371:$IH371,SwaptionMonthsToGo+SwaptionShift))*SUM(INDEX($FO$325:$IH$396,GH$169,1+SwaptionShift):INDEX($FO$325:$IH$396,GH$169,SwaptionMonthsToGo+SwaptionShift))))))</f>
        <v/>
      </c>
      <c r="GI216" s="469" t="str">
        <f ca="1">IF(OR(GI$169&lt;SwaptionFirstMonthPosition+1,$FN216&lt;SwaptionFirstMonthPosition+1,GI$169&gt;SwaptionFirstMonthPosition+SwaptionNumOfMonths+1,$FN216&gt;SwaptionFirstMonthPosition+SwaptionNumOfMonths+1),"",IF($FN216=GI$169,1,IF($FN216&lt;GI$169,INDEX($FO$170:$IH$241,GI$169,$FN216),SUMPRODUCT(INDEX($FO$325:$IH$396,GI$169,1+SwaptionShift):INDEX($FO$325:$IH$396,GI$169,SwaptionMonthsToGo+SwaptionShift),INDEX($FO$245:$IH$316,$FN216-GI$169,73-GI$169+SwaptionShift):INDEX($FO$245:$IH$316,$FN216-GI$169,72-GI$169+SwaptionMonthsToGo+SwaptionShift))/SQRT(SUM(INDEX($FO371:$IH371,1+SwaptionShift):INDEX($FO371:$IH371,SwaptionMonthsToGo+SwaptionShift))*SUM(INDEX($FO$325:$IH$396,GI$169,1+SwaptionShift):INDEX($FO$325:$IH$396,GI$169,SwaptionMonthsToGo+SwaptionShift))))))</f>
        <v/>
      </c>
      <c r="GJ216" s="469" t="str">
        <f ca="1">IF(OR(GJ$169&lt;SwaptionFirstMonthPosition+1,$FN216&lt;SwaptionFirstMonthPosition+1,GJ$169&gt;SwaptionFirstMonthPosition+SwaptionNumOfMonths+1,$FN216&gt;SwaptionFirstMonthPosition+SwaptionNumOfMonths+1),"",IF($FN216=GJ$169,1,IF($FN216&lt;GJ$169,INDEX($FO$170:$IH$241,GJ$169,$FN216),SUMPRODUCT(INDEX($FO$325:$IH$396,GJ$169,1+SwaptionShift):INDEX($FO$325:$IH$396,GJ$169,SwaptionMonthsToGo+SwaptionShift),INDEX($FO$245:$IH$316,$FN216-GJ$169,73-GJ$169+SwaptionShift):INDEX($FO$245:$IH$316,$FN216-GJ$169,72-GJ$169+SwaptionMonthsToGo+SwaptionShift))/SQRT(SUM(INDEX($FO371:$IH371,1+SwaptionShift):INDEX($FO371:$IH371,SwaptionMonthsToGo+SwaptionShift))*SUM(INDEX($FO$325:$IH$396,GJ$169,1+SwaptionShift):INDEX($FO$325:$IH$396,GJ$169,SwaptionMonthsToGo+SwaptionShift))))))</f>
        <v/>
      </c>
      <c r="GK216" s="469" t="str">
        <f ca="1">IF(OR(GK$169&lt;SwaptionFirstMonthPosition+1,$FN216&lt;SwaptionFirstMonthPosition+1,GK$169&gt;SwaptionFirstMonthPosition+SwaptionNumOfMonths+1,$FN216&gt;SwaptionFirstMonthPosition+SwaptionNumOfMonths+1),"",IF($FN216=GK$169,1,IF($FN216&lt;GK$169,INDEX($FO$170:$IH$241,GK$169,$FN216),SUMPRODUCT(INDEX($FO$325:$IH$396,GK$169,1+SwaptionShift):INDEX($FO$325:$IH$396,GK$169,SwaptionMonthsToGo+SwaptionShift),INDEX($FO$245:$IH$316,$FN216-GK$169,73-GK$169+SwaptionShift):INDEX($FO$245:$IH$316,$FN216-GK$169,72-GK$169+SwaptionMonthsToGo+SwaptionShift))/SQRT(SUM(INDEX($FO371:$IH371,1+SwaptionShift):INDEX($FO371:$IH371,SwaptionMonthsToGo+SwaptionShift))*SUM(INDEX($FO$325:$IH$396,GK$169,1+SwaptionShift):INDEX($FO$325:$IH$396,GK$169,SwaptionMonthsToGo+SwaptionShift))))))</f>
        <v/>
      </c>
      <c r="GL216" s="469" t="str">
        <f ca="1">IF(OR(GL$169&lt;SwaptionFirstMonthPosition+1,$FN216&lt;SwaptionFirstMonthPosition+1,GL$169&gt;SwaptionFirstMonthPosition+SwaptionNumOfMonths+1,$FN216&gt;SwaptionFirstMonthPosition+SwaptionNumOfMonths+1),"",IF($FN216=GL$169,1,IF($FN216&lt;GL$169,INDEX($FO$170:$IH$241,GL$169,$FN216),SUMPRODUCT(INDEX($FO$325:$IH$396,GL$169,1+SwaptionShift):INDEX($FO$325:$IH$396,GL$169,SwaptionMonthsToGo+SwaptionShift),INDEX($FO$245:$IH$316,$FN216-GL$169,73-GL$169+SwaptionShift):INDEX($FO$245:$IH$316,$FN216-GL$169,72-GL$169+SwaptionMonthsToGo+SwaptionShift))/SQRT(SUM(INDEX($FO371:$IH371,1+SwaptionShift):INDEX($FO371:$IH371,SwaptionMonthsToGo+SwaptionShift))*SUM(INDEX($FO$325:$IH$396,GL$169,1+SwaptionShift):INDEX($FO$325:$IH$396,GL$169,SwaptionMonthsToGo+SwaptionShift))))))</f>
        <v/>
      </c>
      <c r="GM216" s="469" t="str">
        <f ca="1">IF(OR(GM$169&lt;SwaptionFirstMonthPosition+1,$FN216&lt;SwaptionFirstMonthPosition+1,GM$169&gt;SwaptionFirstMonthPosition+SwaptionNumOfMonths+1,$FN216&gt;SwaptionFirstMonthPosition+SwaptionNumOfMonths+1),"",IF($FN216=GM$169,1,IF($FN216&lt;GM$169,INDEX($FO$170:$IH$241,GM$169,$FN216),SUMPRODUCT(INDEX($FO$325:$IH$396,GM$169,1+SwaptionShift):INDEX($FO$325:$IH$396,GM$169,SwaptionMonthsToGo+SwaptionShift),INDEX($FO$245:$IH$316,$FN216-GM$169,73-GM$169+SwaptionShift):INDEX($FO$245:$IH$316,$FN216-GM$169,72-GM$169+SwaptionMonthsToGo+SwaptionShift))/SQRT(SUM(INDEX($FO371:$IH371,1+SwaptionShift):INDEX($FO371:$IH371,SwaptionMonthsToGo+SwaptionShift))*SUM(INDEX($FO$325:$IH$396,GM$169,1+SwaptionShift):INDEX($FO$325:$IH$396,GM$169,SwaptionMonthsToGo+SwaptionShift))))))</f>
        <v/>
      </c>
      <c r="GN216" s="469" t="str">
        <f ca="1">IF(OR(GN$169&lt;SwaptionFirstMonthPosition+1,$FN216&lt;SwaptionFirstMonthPosition+1,GN$169&gt;SwaptionFirstMonthPosition+SwaptionNumOfMonths+1,$FN216&gt;SwaptionFirstMonthPosition+SwaptionNumOfMonths+1),"",IF($FN216=GN$169,1,IF($FN216&lt;GN$169,INDEX($FO$170:$IH$241,GN$169,$FN216),SUMPRODUCT(INDEX($FO$325:$IH$396,GN$169,1+SwaptionShift):INDEX($FO$325:$IH$396,GN$169,SwaptionMonthsToGo+SwaptionShift),INDEX($FO$245:$IH$316,$FN216-GN$169,73-GN$169+SwaptionShift):INDEX($FO$245:$IH$316,$FN216-GN$169,72-GN$169+SwaptionMonthsToGo+SwaptionShift))/SQRT(SUM(INDEX($FO371:$IH371,1+SwaptionShift):INDEX($FO371:$IH371,SwaptionMonthsToGo+SwaptionShift))*SUM(INDEX($FO$325:$IH$396,GN$169,1+SwaptionShift):INDEX($FO$325:$IH$396,GN$169,SwaptionMonthsToGo+SwaptionShift))))))</f>
        <v/>
      </c>
      <c r="GO216" s="469" t="str">
        <f ca="1">IF(OR(GO$169&lt;SwaptionFirstMonthPosition+1,$FN216&lt;SwaptionFirstMonthPosition+1,GO$169&gt;SwaptionFirstMonthPosition+SwaptionNumOfMonths+1,$FN216&gt;SwaptionFirstMonthPosition+SwaptionNumOfMonths+1),"",IF($FN216=GO$169,1,IF($FN216&lt;GO$169,INDEX($FO$170:$IH$241,GO$169,$FN216),SUMPRODUCT(INDEX($FO$325:$IH$396,GO$169,1+SwaptionShift):INDEX($FO$325:$IH$396,GO$169,SwaptionMonthsToGo+SwaptionShift),INDEX($FO$245:$IH$316,$FN216-GO$169,73-GO$169+SwaptionShift):INDEX($FO$245:$IH$316,$FN216-GO$169,72-GO$169+SwaptionMonthsToGo+SwaptionShift))/SQRT(SUM(INDEX($FO371:$IH371,1+SwaptionShift):INDEX($FO371:$IH371,SwaptionMonthsToGo+SwaptionShift))*SUM(INDEX($FO$325:$IH$396,GO$169,1+SwaptionShift):INDEX($FO$325:$IH$396,GO$169,SwaptionMonthsToGo+SwaptionShift))))))</f>
        <v/>
      </c>
      <c r="GP216" s="469" t="str">
        <f ca="1">IF(OR(GP$169&lt;SwaptionFirstMonthPosition+1,$FN216&lt;SwaptionFirstMonthPosition+1,GP$169&gt;SwaptionFirstMonthPosition+SwaptionNumOfMonths+1,$FN216&gt;SwaptionFirstMonthPosition+SwaptionNumOfMonths+1),"",IF($FN216=GP$169,1,IF($FN216&lt;GP$169,INDEX($FO$170:$IH$241,GP$169,$FN216),SUMPRODUCT(INDEX($FO$325:$IH$396,GP$169,1+SwaptionShift):INDEX($FO$325:$IH$396,GP$169,SwaptionMonthsToGo+SwaptionShift),INDEX($FO$245:$IH$316,$FN216-GP$169,73-GP$169+SwaptionShift):INDEX($FO$245:$IH$316,$FN216-GP$169,72-GP$169+SwaptionMonthsToGo+SwaptionShift))/SQRT(SUM(INDEX($FO371:$IH371,1+SwaptionShift):INDEX($FO371:$IH371,SwaptionMonthsToGo+SwaptionShift))*SUM(INDEX($FO$325:$IH$396,GP$169,1+SwaptionShift):INDEX($FO$325:$IH$396,GP$169,SwaptionMonthsToGo+SwaptionShift))))))</f>
        <v/>
      </c>
      <c r="GQ216" s="469" t="str">
        <f ca="1">IF(OR(GQ$169&lt;SwaptionFirstMonthPosition+1,$FN216&lt;SwaptionFirstMonthPosition+1,GQ$169&gt;SwaptionFirstMonthPosition+SwaptionNumOfMonths+1,$FN216&gt;SwaptionFirstMonthPosition+SwaptionNumOfMonths+1),"",IF($FN216=GQ$169,1,IF($FN216&lt;GQ$169,INDEX($FO$170:$IH$241,GQ$169,$FN216),SUMPRODUCT(INDEX($FO$325:$IH$396,GQ$169,1+SwaptionShift):INDEX($FO$325:$IH$396,GQ$169,SwaptionMonthsToGo+SwaptionShift),INDEX($FO$245:$IH$316,$FN216-GQ$169,73-GQ$169+SwaptionShift):INDEX($FO$245:$IH$316,$FN216-GQ$169,72-GQ$169+SwaptionMonthsToGo+SwaptionShift))/SQRT(SUM(INDEX($FO371:$IH371,1+SwaptionShift):INDEX($FO371:$IH371,SwaptionMonthsToGo+SwaptionShift))*SUM(INDEX($FO$325:$IH$396,GQ$169,1+SwaptionShift):INDEX($FO$325:$IH$396,GQ$169,SwaptionMonthsToGo+SwaptionShift))))))</f>
        <v/>
      </c>
      <c r="GR216" s="469" t="str">
        <f ca="1">IF(OR(GR$169&lt;SwaptionFirstMonthPosition+1,$FN216&lt;SwaptionFirstMonthPosition+1,GR$169&gt;SwaptionFirstMonthPosition+SwaptionNumOfMonths+1,$FN216&gt;SwaptionFirstMonthPosition+SwaptionNumOfMonths+1),"",IF($FN216=GR$169,1,IF($FN216&lt;GR$169,INDEX($FO$170:$IH$241,GR$169,$FN216),SUMPRODUCT(INDEX($FO$325:$IH$396,GR$169,1+SwaptionShift):INDEX($FO$325:$IH$396,GR$169,SwaptionMonthsToGo+SwaptionShift),INDEX($FO$245:$IH$316,$FN216-GR$169,73-GR$169+SwaptionShift):INDEX($FO$245:$IH$316,$FN216-GR$169,72-GR$169+SwaptionMonthsToGo+SwaptionShift))/SQRT(SUM(INDEX($FO371:$IH371,1+SwaptionShift):INDEX($FO371:$IH371,SwaptionMonthsToGo+SwaptionShift))*SUM(INDEX($FO$325:$IH$396,GR$169,1+SwaptionShift):INDEX($FO$325:$IH$396,GR$169,SwaptionMonthsToGo+SwaptionShift))))))</f>
        <v/>
      </c>
      <c r="GS216" s="469" t="str">
        <f ca="1">IF(OR(GS$169&lt;SwaptionFirstMonthPosition+1,$FN216&lt;SwaptionFirstMonthPosition+1,GS$169&gt;SwaptionFirstMonthPosition+SwaptionNumOfMonths+1,$FN216&gt;SwaptionFirstMonthPosition+SwaptionNumOfMonths+1),"",IF($FN216=GS$169,1,IF($FN216&lt;GS$169,INDEX($FO$170:$IH$241,GS$169,$FN216),SUMPRODUCT(INDEX($FO$325:$IH$396,GS$169,1+SwaptionShift):INDEX($FO$325:$IH$396,GS$169,SwaptionMonthsToGo+SwaptionShift),INDEX($FO$245:$IH$316,$FN216-GS$169,73-GS$169+SwaptionShift):INDEX($FO$245:$IH$316,$FN216-GS$169,72-GS$169+SwaptionMonthsToGo+SwaptionShift))/SQRT(SUM(INDEX($FO371:$IH371,1+SwaptionShift):INDEX($FO371:$IH371,SwaptionMonthsToGo+SwaptionShift))*SUM(INDEX($FO$325:$IH$396,GS$169,1+SwaptionShift):INDEX($FO$325:$IH$396,GS$169,SwaptionMonthsToGo+SwaptionShift))))))</f>
        <v/>
      </c>
      <c r="GT216" s="469" t="str">
        <f ca="1">IF(OR(GT$169&lt;SwaptionFirstMonthPosition+1,$FN216&lt;SwaptionFirstMonthPosition+1,GT$169&gt;SwaptionFirstMonthPosition+SwaptionNumOfMonths+1,$FN216&gt;SwaptionFirstMonthPosition+SwaptionNumOfMonths+1),"",IF($FN216=GT$169,1,IF($FN216&lt;GT$169,INDEX($FO$170:$IH$241,GT$169,$FN216),SUMPRODUCT(INDEX($FO$325:$IH$396,GT$169,1+SwaptionShift):INDEX($FO$325:$IH$396,GT$169,SwaptionMonthsToGo+SwaptionShift),INDEX($FO$245:$IH$316,$FN216-GT$169,73-GT$169+SwaptionShift):INDEX($FO$245:$IH$316,$FN216-GT$169,72-GT$169+SwaptionMonthsToGo+SwaptionShift))/SQRT(SUM(INDEX($FO371:$IH371,1+SwaptionShift):INDEX($FO371:$IH371,SwaptionMonthsToGo+SwaptionShift))*SUM(INDEX($FO$325:$IH$396,GT$169,1+SwaptionShift):INDEX($FO$325:$IH$396,GT$169,SwaptionMonthsToGo+SwaptionShift))))))</f>
        <v/>
      </c>
      <c r="GU216" s="469" t="str">
        <f ca="1">IF(OR(GU$169&lt;SwaptionFirstMonthPosition+1,$FN216&lt;SwaptionFirstMonthPosition+1,GU$169&gt;SwaptionFirstMonthPosition+SwaptionNumOfMonths+1,$FN216&gt;SwaptionFirstMonthPosition+SwaptionNumOfMonths+1),"",IF($FN216=GU$169,1,IF($FN216&lt;GU$169,INDEX($FO$170:$IH$241,GU$169,$FN216),SUMPRODUCT(INDEX($FO$325:$IH$396,GU$169,1+SwaptionShift):INDEX($FO$325:$IH$396,GU$169,SwaptionMonthsToGo+SwaptionShift),INDEX($FO$245:$IH$316,$FN216-GU$169,73-GU$169+SwaptionShift):INDEX($FO$245:$IH$316,$FN216-GU$169,72-GU$169+SwaptionMonthsToGo+SwaptionShift))/SQRT(SUM(INDEX($FO371:$IH371,1+SwaptionShift):INDEX($FO371:$IH371,SwaptionMonthsToGo+SwaptionShift))*SUM(INDEX($FO$325:$IH$396,GU$169,1+SwaptionShift):INDEX($FO$325:$IH$396,GU$169,SwaptionMonthsToGo+SwaptionShift))))))</f>
        <v/>
      </c>
      <c r="GV216" s="469" t="str">
        <f ca="1">IF(OR(GV$169&lt;SwaptionFirstMonthPosition+1,$FN216&lt;SwaptionFirstMonthPosition+1,GV$169&gt;SwaptionFirstMonthPosition+SwaptionNumOfMonths+1,$FN216&gt;SwaptionFirstMonthPosition+SwaptionNumOfMonths+1),"",IF($FN216=GV$169,1,IF($FN216&lt;GV$169,INDEX($FO$170:$IH$241,GV$169,$FN216),SUMPRODUCT(INDEX($FO$325:$IH$396,GV$169,1+SwaptionShift):INDEX($FO$325:$IH$396,GV$169,SwaptionMonthsToGo+SwaptionShift),INDEX($FO$245:$IH$316,$FN216-GV$169,73-GV$169+SwaptionShift):INDEX($FO$245:$IH$316,$FN216-GV$169,72-GV$169+SwaptionMonthsToGo+SwaptionShift))/SQRT(SUM(INDEX($FO371:$IH371,1+SwaptionShift):INDEX($FO371:$IH371,SwaptionMonthsToGo+SwaptionShift))*SUM(INDEX($FO$325:$IH$396,GV$169,1+SwaptionShift):INDEX($FO$325:$IH$396,GV$169,SwaptionMonthsToGo+SwaptionShift))))))</f>
        <v/>
      </c>
      <c r="GW216" s="469" t="str">
        <f ca="1">IF(OR(GW$169&lt;SwaptionFirstMonthPosition+1,$FN216&lt;SwaptionFirstMonthPosition+1,GW$169&gt;SwaptionFirstMonthPosition+SwaptionNumOfMonths+1,$FN216&gt;SwaptionFirstMonthPosition+SwaptionNumOfMonths+1),"",IF($FN216=GW$169,1,IF($FN216&lt;GW$169,INDEX($FO$170:$IH$241,GW$169,$FN216),SUMPRODUCT(INDEX($FO$325:$IH$396,GW$169,1+SwaptionShift):INDEX($FO$325:$IH$396,GW$169,SwaptionMonthsToGo+SwaptionShift),INDEX($FO$245:$IH$316,$FN216-GW$169,73-GW$169+SwaptionShift):INDEX($FO$245:$IH$316,$FN216-GW$169,72-GW$169+SwaptionMonthsToGo+SwaptionShift))/SQRT(SUM(INDEX($FO371:$IH371,1+SwaptionShift):INDEX($FO371:$IH371,SwaptionMonthsToGo+SwaptionShift))*SUM(INDEX($FO$325:$IH$396,GW$169,1+SwaptionShift):INDEX($FO$325:$IH$396,GW$169,SwaptionMonthsToGo+SwaptionShift))))))</f>
        <v/>
      </c>
      <c r="GX216" s="469" t="str">
        <f ca="1">IF(OR(GX$169&lt;SwaptionFirstMonthPosition+1,$FN216&lt;SwaptionFirstMonthPosition+1,GX$169&gt;SwaptionFirstMonthPosition+SwaptionNumOfMonths+1,$FN216&gt;SwaptionFirstMonthPosition+SwaptionNumOfMonths+1),"",IF($FN216=GX$169,1,IF($FN216&lt;GX$169,INDEX($FO$170:$IH$241,GX$169,$FN216),SUMPRODUCT(INDEX($FO$325:$IH$396,GX$169,1+SwaptionShift):INDEX($FO$325:$IH$396,GX$169,SwaptionMonthsToGo+SwaptionShift),INDEX($FO$245:$IH$316,$FN216-GX$169,73-GX$169+SwaptionShift):INDEX($FO$245:$IH$316,$FN216-GX$169,72-GX$169+SwaptionMonthsToGo+SwaptionShift))/SQRT(SUM(INDEX($FO371:$IH371,1+SwaptionShift):INDEX($FO371:$IH371,SwaptionMonthsToGo+SwaptionShift))*SUM(INDEX($FO$325:$IH$396,GX$169,1+SwaptionShift):INDEX($FO$325:$IH$396,GX$169,SwaptionMonthsToGo+SwaptionShift))))))</f>
        <v/>
      </c>
      <c r="GY216" s="469" t="str">
        <f ca="1">IF(OR(GY$169&lt;SwaptionFirstMonthPosition+1,$FN216&lt;SwaptionFirstMonthPosition+1,GY$169&gt;SwaptionFirstMonthPosition+SwaptionNumOfMonths+1,$FN216&gt;SwaptionFirstMonthPosition+SwaptionNumOfMonths+1),"",IF($FN216=GY$169,1,IF($FN216&lt;GY$169,INDEX($FO$170:$IH$241,GY$169,$FN216),SUMPRODUCT(INDEX($FO$325:$IH$396,GY$169,1+SwaptionShift):INDEX($FO$325:$IH$396,GY$169,SwaptionMonthsToGo+SwaptionShift),INDEX($FO$245:$IH$316,$FN216-GY$169,73-GY$169+SwaptionShift):INDEX($FO$245:$IH$316,$FN216-GY$169,72-GY$169+SwaptionMonthsToGo+SwaptionShift))/SQRT(SUM(INDEX($FO371:$IH371,1+SwaptionShift):INDEX($FO371:$IH371,SwaptionMonthsToGo+SwaptionShift))*SUM(INDEX($FO$325:$IH$396,GY$169,1+SwaptionShift):INDEX($FO$325:$IH$396,GY$169,SwaptionMonthsToGo+SwaptionShift))))))</f>
        <v/>
      </c>
      <c r="GZ216" s="469" t="str">
        <f ca="1">IF(OR(GZ$169&lt;SwaptionFirstMonthPosition+1,$FN216&lt;SwaptionFirstMonthPosition+1,GZ$169&gt;SwaptionFirstMonthPosition+SwaptionNumOfMonths+1,$FN216&gt;SwaptionFirstMonthPosition+SwaptionNumOfMonths+1),"",IF($FN216=GZ$169,1,IF($FN216&lt;GZ$169,INDEX($FO$170:$IH$241,GZ$169,$FN216),SUMPRODUCT(INDEX($FO$325:$IH$396,GZ$169,1+SwaptionShift):INDEX($FO$325:$IH$396,GZ$169,SwaptionMonthsToGo+SwaptionShift),INDEX($FO$245:$IH$316,$FN216-GZ$169,73-GZ$169+SwaptionShift):INDEX($FO$245:$IH$316,$FN216-GZ$169,72-GZ$169+SwaptionMonthsToGo+SwaptionShift))/SQRT(SUM(INDEX($FO371:$IH371,1+SwaptionShift):INDEX($FO371:$IH371,SwaptionMonthsToGo+SwaptionShift))*SUM(INDEX($FO$325:$IH$396,GZ$169,1+SwaptionShift):INDEX($FO$325:$IH$396,GZ$169,SwaptionMonthsToGo+SwaptionShift))))))</f>
        <v/>
      </c>
      <c r="HA216" s="469" t="str">
        <f ca="1">IF(OR(HA$169&lt;SwaptionFirstMonthPosition+1,$FN216&lt;SwaptionFirstMonthPosition+1,HA$169&gt;SwaptionFirstMonthPosition+SwaptionNumOfMonths+1,$FN216&gt;SwaptionFirstMonthPosition+SwaptionNumOfMonths+1),"",IF($FN216=HA$169,1,IF($FN216&lt;HA$169,INDEX($FO$170:$IH$241,HA$169,$FN216),SUMPRODUCT(INDEX($FO$325:$IH$396,HA$169,1+SwaptionShift):INDEX($FO$325:$IH$396,HA$169,SwaptionMonthsToGo+SwaptionShift),INDEX($FO$245:$IH$316,$FN216-HA$169,73-HA$169+SwaptionShift):INDEX($FO$245:$IH$316,$FN216-HA$169,72-HA$169+SwaptionMonthsToGo+SwaptionShift))/SQRT(SUM(INDEX($FO371:$IH371,1+SwaptionShift):INDEX($FO371:$IH371,SwaptionMonthsToGo+SwaptionShift))*SUM(INDEX($FO$325:$IH$396,HA$169,1+SwaptionShift):INDEX($FO$325:$IH$396,HA$169,SwaptionMonthsToGo+SwaptionShift))))))</f>
        <v/>
      </c>
      <c r="HB216" s="469" t="str">
        <f ca="1">IF(OR(HB$169&lt;SwaptionFirstMonthPosition+1,$FN216&lt;SwaptionFirstMonthPosition+1,HB$169&gt;SwaptionFirstMonthPosition+SwaptionNumOfMonths+1,$FN216&gt;SwaptionFirstMonthPosition+SwaptionNumOfMonths+1),"",IF($FN216=HB$169,1,IF($FN216&lt;HB$169,INDEX($FO$170:$IH$241,HB$169,$FN216),SUMPRODUCT(INDEX($FO$325:$IH$396,HB$169,1+SwaptionShift):INDEX($FO$325:$IH$396,HB$169,SwaptionMonthsToGo+SwaptionShift),INDEX($FO$245:$IH$316,$FN216-HB$169,73-HB$169+SwaptionShift):INDEX($FO$245:$IH$316,$FN216-HB$169,72-HB$169+SwaptionMonthsToGo+SwaptionShift))/SQRT(SUM(INDEX($FO371:$IH371,1+SwaptionShift):INDEX($FO371:$IH371,SwaptionMonthsToGo+SwaptionShift))*SUM(INDEX($FO$325:$IH$396,HB$169,1+SwaptionShift):INDEX($FO$325:$IH$396,HB$169,SwaptionMonthsToGo+SwaptionShift))))))</f>
        <v/>
      </c>
      <c r="HC216" s="469" t="str">
        <f ca="1">IF(OR(HC$169&lt;SwaptionFirstMonthPosition+1,$FN216&lt;SwaptionFirstMonthPosition+1,HC$169&gt;SwaptionFirstMonthPosition+SwaptionNumOfMonths+1,$FN216&gt;SwaptionFirstMonthPosition+SwaptionNumOfMonths+1),"",IF($FN216=HC$169,1,IF($FN216&lt;HC$169,INDEX($FO$170:$IH$241,HC$169,$FN216),SUMPRODUCT(INDEX($FO$325:$IH$396,HC$169,1+SwaptionShift):INDEX($FO$325:$IH$396,HC$169,SwaptionMonthsToGo+SwaptionShift),INDEX($FO$245:$IH$316,$FN216-HC$169,73-HC$169+SwaptionShift):INDEX($FO$245:$IH$316,$FN216-HC$169,72-HC$169+SwaptionMonthsToGo+SwaptionShift))/SQRT(SUM(INDEX($FO371:$IH371,1+SwaptionShift):INDEX($FO371:$IH371,SwaptionMonthsToGo+SwaptionShift))*SUM(INDEX($FO$325:$IH$396,HC$169,1+SwaptionShift):INDEX($FO$325:$IH$396,HC$169,SwaptionMonthsToGo+SwaptionShift))))))</f>
        <v/>
      </c>
      <c r="HD216" s="469" t="str">
        <f ca="1">IF(OR(HD$169&lt;SwaptionFirstMonthPosition+1,$FN216&lt;SwaptionFirstMonthPosition+1,HD$169&gt;SwaptionFirstMonthPosition+SwaptionNumOfMonths+1,$FN216&gt;SwaptionFirstMonthPosition+SwaptionNumOfMonths+1),"",IF($FN216=HD$169,1,IF($FN216&lt;HD$169,INDEX($FO$170:$IH$241,HD$169,$FN216),SUMPRODUCT(INDEX($FO$325:$IH$396,HD$169,1+SwaptionShift):INDEX($FO$325:$IH$396,HD$169,SwaptionMonthsToGo+SwaptionShift),INDEX($FO$245:$IH$316,$FN216-HD$169,73-HD$169+SwaptionShift):INDEX($FO$245:$IH$316,$FN216-HD$169,72-HD$169+SwaptionMonthsToGo+SwaptionShift))/SQRT(SUM(INDEX($FO371:$IH371,1+SwaptionShift):INDEX($FO371:$IH371,SwaptionMonthsToGo+SwaptionShift))*SUM(INDEX($FO$325:$IH$396,HD$169,1+SwaptionShift):INDEX($FO$325:$IH$396,HD$169,SwaptionMonthsToGo+SwaptionShift))))))</f>
        <v/>
      </c>
      <c r="HE216" s="469" t="str">
        <f ca="1">IF(OR(HE$169&lt;SwaptionFirstMonthPosition+1,$FN216&lt;SwaptionFirstMonthPosition+1,HE$169&gt;SwaptionFirstMonthPosition+SwaptionNumOfMonths+1,$FN216&gt;SwaptionFirstMonthPosition+SwaptionNumOfMonths+1),"",IF($FN216=HE$169,1,IF($FN216&lt;HE$169,INDEX($FO$170:$IH$241,HE$169,$FN216),SUMPRODUCT(INDEX($FO$325:$IH$396,HE$169,1+SwaptionShift):INDEX($FO$325:$IH$396,HE$169,SwaptionMonthsToGo+SwaptionShift),INDEX($FO$245:$IH$316,$FN216-HE$169,73-HE$169+SwaptionShift):INDEX($FO$245:$IH$316,$FN216-HE$169,72-HE$169+SwaptionMonthsToGo+SwaptionShift))/SQRT(SUM(INDEX($FO371:$IH371,1+SwaptionShift):INDEX($FO371:$IH371,SwaptionMonthsToGo+SwaptionShift))*SUM(INDEX($FO$325:$IH$396,HE$169,1+SwaptionShift):INDEX($FO$325:$IH$396,HE$169,SwaptionMonthsToGo+SwaptionShift))))))</f>
        <v/>
      </c>
      <c r="HF216" s="469" t="str">
        <f ca="1">IF(OR(HF$169&lt;SwaptionFirstMonthPosition+1,$FN216&lt;SwaptionFirstMonthPosition+1,HF$169&gt;SwaptionFirstMonthPosition+SwaptionNumOfMonths+1,$FN216&gt;SwaptionFirstMonthPosition+SwaptionNumOfMonths+1),"",IF($FN216=HF$169,1,IF($FN216&lt;HF$169,INDEX($FO$170:$IH$241,HF$169,$FN216),SUMPRODUCT(INDEX($FO$325:$IH$396,HF$169,1+SwaptionShift):INDEX($FO$325:$IH$396,HF$169,SwaptionMonthsToGo+SwaptionShift),INDEX($FO$245:$IH$316,$FN216-HF$169,73-HF$169+SwaptionShift):INDEX($FO$245:$IH$316,$FN216-HF$169,72-HF$169+SwaptionMonthsToGo+SwaptionShift))/SQRT(SUM(INDEX($FO371:$IH371,1+SwaptionShift):INDEX($FO371:$IH371,SwaptionMonthsToGo+SwaptionShift))*SUM(INDEX($FO$325:$IH$396,HF$169,1+SwaptionShift):INDEX($FO$325:$IH$396,HF$169,SwaptionMonthsToGo+SwaptionShift))))))</f>
        <v/>
      </c>
      <c r="HG216" s="469" t="str">
        <f ca="1">IF(OR(HG$169&lt;SwaptionFirstMonthPosition+1,$FN216&lt;SwaptionFirstMonthPosition+1,HG$169&gt;SwaptionFirstMonthPosition+SwaptionNumOfMonths+1,$FN216&gt;SwaptionFirstMonthPosition+SwaptionNumOfMonths+1),"",IF($FN216=HG$169,1,IF($FN216&lt;HG$169,INDEX($FO$170:$IH$241,HG$169,$FN216),SUMPRODUCT(INDEX($FO$325:$IH$396,HG$169,1+SwaptionShift):INDEX($FO$325:$IH$396,HG$169,SwaptionMonthsToGo+SwaptionShift),INDEX($FO$245:$IH$316,$FN216-HG$169,73-HG$169+SwaptionShift):INDEX($FO$245:$IH$316,$FN216-HG$169,72-HG$169+SwaptionMonthsToGo+SwaptionShift))/SQRT(SUM(INDEX($FO371:$IH371,1+SwaptionShift):INDEX($FO371:$IH371,SwaptionMonthsToGo+SwaptionShift))*SUM(INDEX($FO$325:$IH$396,HG$169,1+SwaptionShift):INDEX($FO$325:$IH$396,HG$169,SwaptionMonthsToGo+SwaptionShift))))))</f>
        <v/>
      </c>
      <c r="HH216" s="469" t="str">
        <f ca="1">IF(OR(HH$169&lt;SwaptionFirstMonthPosition+1,$FN216&lt;SwaptionFirstMonthPosition+1,HH$169&gt;SwaptionFirstMonthPosition+SwaptionNumOfMonths+1,$FN216&gt;SwaptionFirstMonthPosition+SwaptionNumOfMonths+1),"",IF($FN216=HH$169,1,IF($FN216&lt;HH$169,INDEX($FO$170:$IH$241,HH$169,$FN216),SUMPRODUCT(INDEX($FO$325:$IH$396,HH$169,1+SwaptionShift):INDEX($FO$325:$IH$396,HH$169,SwaptionMonthsToGo+SwaptionShift),INDEX($FO$245:$IH$316,$FN216-HH$169,73-HH$169+SwaptionShift):INDEX($FO$245:$IH$316,$FN216-HH$169,72-HH$169+SwaptionMonthsToGo+SwaptionShift))/SQRT(SUM(INDEX($FO371:$IH371,1+SwaptionShift):INDEX($FO371:$IH371,SwaptionMonthsToGo+SwaptionShift))*SUM(INDEX($FO$325:$IH$396,HH$169,1+SwaptionShift):INDEX($FO$325:$IH$396,HH$169,SwaptionMonthsToGo+SwaptionShift))))))</f>
        <v/>
      </c>
      <c r="HI216" s="469" t="str">
        <f ca="1">IF(OR(HI$169&lt;SwaptionFirstMonthPosition+1,$FN216&lt;SwaptionFirstMonthPosition+1,HI$169&gt;SwaptionFirstMonthPosition+SwaptionNumOfMonths+1,$FN216&gt;SwaptionFirstMonthPosition+SwaptionNumOfMonths+1),"",IF($FN216=HI$169,1,IF($FN216&lt;HI$169,INDEX($FO$170:$IH$241,HI$169,$FN216),SUMPRODUCT(INDEX($FO$325:$IH$396,HI$169,1+SwaptionShift):INDEX($FO$325:$IH$396,HI$169,SwaptionMonthsToGo+SwaptionShift),INDEX($FO$245:$IH$316,$FN216-HI$169,73-HI$169+SwaptionShift):INDEX($FO$245:$IH$316,$FN216-HI$169,72-HI$169+SwaptionMonthsToGo+SwaptionShift))/SQRT(SUM(INDEX($FO371:$IH371,1+SwaptionShift):INDEX($FO371:$IH371,SwaptionMonthsToGo+SwaptionShift))*SUM(INDEX($FO$325:$IH$396,HI$169,1+SwaptionShift):INDEX($FO$325:$IH$396,HI$169,SwaptionMonthsToGo+SwaptionShift))))))</f>
        <v/>
      </c>
      <c r="HJ216" s="469" t="str">
        <f ca="1">IF(OR(HJ$169&lt;SwaptionFirstMonthPosition+1,$FN216&lt;SwaptionFirstMonthPosition+1,HJ$169&gt;SwaptionFirstMonthPosition+SwaptionNumOfMonths+1,$FN216&gt;SwaptionFirstMonthPosition+SwaptionNumOfMonths+1),"",IF($FN216=HJ$169,1,IF($FN216&lt;HJ$169,INDEX($FO$170:$IH$241,HJ$169,$FN216),SUMPRODUCT(INDEX($FO$325:$IH$396,HJ$169,1+SwaptionShift):INDEX($FO$325:$IH$396,HJ$169,SwaptionMonthsToGo+SwaptionShift),INDEX($FO$245:$IH$316,$FN216-HJ$169,73-HJ$169+SwaptionShift):INDEX($FO$245:$IH$316,$FN216-HJ$169,72-HJ$169+SwaptionMonthsToGo+SwaptionShift))/SQRT(SUM(INDEX($FO371:$IH371,1+SwaptionShift):INDEX($FO371:$IH371,SwaptionMonthsToGo+SwaptionShift))*SUM(INDEX($FO$325:$IH$396,HJ$169,1+SwaptionShift):INDEX($FO$325:$IH$396,HJ$169,SwaptionMonthsToGo+SwaptionShift))))))</f>
        <v/>
      </c>
      <c r="HK216" s="469" t="str">
        <f ca="1">IF(OR(HK$169&lt;SwaptionFirstMonthPosition+1,$FN216&lt;SwaptionFirstMonthPosition+1,HK$169&gt;SwaptionFirstMonthPosition+SwaptionNumOfMonths+1,$FN216&gt;SwaptionFirstMonthPosition+SwaptionNumOfMonths+1),"",IF($FN216=HK$169,1,IF($FN216&lt;HK$169,INDEX($FO$170:$IH$241,HK$169,$FN216),SUMPRODUCT(INDEX($FO$325:$IH$396,HK$169,1+SwaptionShift):INDEX($FO$325:$IH$396,HK$169,SwaptionMonthsToGo+SwaptionShift),INDEX($FO$245:$IH$316,$FN216-HK$169,73-HK$169+SwaptionShift):INDEX($FO$245:$IH$316,$FN216-HK$169,72-HK$169+SwaptionMonthsToGo+SwaptionShift))/SQRT(SUM(INDEX($FO371:$IH371,1+SwaptionShift):INDEX($FO371:$IH371,SwaptionMonthsToGo+SwaptionShift))*SUM(INDEX($FO$325:$IH$396,HK$169,1+SwaptionShift):INDEX($FO$325:$IH$396,HK$169,SwaptionMonthsToGo+SwaptionShift))))))</f>
        <v/>
      </c>
      <c r="HL216" s="469" t="str">
        <f ca="1">IF(OR(HL$169&lt;SwaptionFirstMonthPosition+1,$FN216&lt;SwaptionFirstMonthPosition+1,HL$169&gt;SwaptionFirstMonthPosition+SwaptionNumOfMonths+1,$FN216&gt;SwaptionFirstMonthPosition+SwaptionNumOfMonths+1),"",IF($FN216=HL$169,1,IF($FN216&lt;HL$169,INDEX($FO$170:$IH$241,HL$169,$FN216),SUMPRODUCT(INDEX($FO$325:$IH$396,HL$169,1+SwaptionShift):INDEX($FO$325:$IH$396,HL$169,SwaptionMonthsToGo+SwaptionShift),INDEX($FO$245:$IH$316,$FN216-HL$169,73-HL$169+SwaptionShift):INDEX($FO$245:$IH$316,$FN216-HL$169,72-HL$169+SwaptionMonthsToGo+SwaptionShift))/SQRT(SUM(INDEX($FO371:$IH371,1+SwaptionShift):INDEX($FO371:$IH371,SwaptionMonthsToGo+SwaptionShift))*SUM(INDEX($FO$325:$IH$396,HL$169,1+SwaptionShift):INDEX($FO$325:$IH$396,HL$169,SwaptionMonthsToGo+SwaptionShift))))))</f>
        <v/>
      </c>
      <c r="HM216" s="469" t="str">
        <f ca="1">IF(OR(HM$169&lt;SwaptionFirstMonthPosition+1,$FN216&lt;SwaptionFirstMonthPosition+1,HM$169&gt;SwaptionFirstMonthPosition+SwaptionNumOfMonths+1,$FN216&gt;SwaptionFirstMonthPosition+SwaptionNumOfMonths+1),"",IF($FN216=HM$169,1,IF($FN216&lt;HM$169,INDEX($FO$170:$IH$241,HM$169,$FN216),SUMPRODUCT(INDEX($FO$325:$IH$396,HM$169,1+SwaptionShift):INDEX($FO$325:$IH$396,HM$169,SwaptionMonthsToGo+SwaptionShift),INDEX($FO$245:$IH$316,$FN216-HM$169,73-HM$169+SwaptionShift):INDEX($FO$245:$IH$316,$FN216-HM$169,72-HM$169+SwaptionMonthsToGo+SwaptionShift))/SQRT(SUM(INDEX($FO371:$IH371,1+SwaptionShift):INDEX($FO371:$IH371,SwaptionMonthsToGo+SwaptionShift))*SUM(INDEX($FO$325:$IH$396,HM$169,1+SwaptionShift):INDEX($FO$325:$IH$396,HM$169,SwaptionMonthsToGo+SwaptionShift))))))</f>
        <v/>
      </c>
      <c r="HN216" s="469" t="str">
        <f ca="1">IF(OR(HN$169&lt;SwaptionFirstMonthPosition+1,$FN216&lt;SwaptionFirstMonthPosition+1,HN$169&gt;SwaptionFirstMonthPosition+SwaptionNumOfMonths+1,$FN216&gt;SwaptionFirstMonthPosition+SwaptionNumOfMonths+1),"",IF($FN216=HN$169,1,IF($FN216&lt;HN$169,INDEX($FO$170:$IH$241,HN$169,$FN216),SUMPRODUCT(INDEX($FO$325:$IH$396,HN$169,1+SwaptionShift):INDEX($FO$325:$IH$396,HN$169,SwaptionMonthsToGo+SwaptionShift),INDEX($FO$245:$IH$316,$FN216-HN$169,73-HN$169+SwaptionShift):INDEX($FO$245:$IH$316,$FN216-HN$169,72-HN$169+SwaptionMonthsToGo+SwaptionShift))/SQRT(SUM(INDEX($FO371:$IH371,1+SwaptionShift):INDEX($FO371:$IH371,SwaptionMonthsToGo+SwaptionShift))*SUM(INDEX($FO$325:$IH$396,HN$169,1+SwaptionShift):INDEX($FO$325:$IH$396,HN$169,SwaptionMonthsToGo+SwaptionShift))))))</f>
        <v/>
      </c>
      <c r="HO216" s="469" t="str">
        <f ca="1">IF(OR(HO$169&lt;SwaptionFirstMonthPosition+1,$FN216&lt;SwaptionFirstMonthPosition+1,HO$169&gt;SwaptionFirstMonthPosition+SwaptionNumOfMonths+1,$FN216&gt;SwaptionFirstMonthPosition+SwaptionNumOfMonths+1),"",IF($FN216=HO$169,1,IF($FN216&lt;HO$169,INDEX($FO$170:$IH$241,HO$169,$FN216),SUMPRODUCT(INDEX($FO$325:$IH$396,HO$169,1+SwaptionShift):INDEX($FO$325:$IH$396,HO$169,SwaptionMonthsToGo+SwaptionShift),INDEX($FO$245:$IH$316,$FN216-HO$169,73-HO$169+SwaptionShift):INDEX($FO$245:$IH$316,$FN216-HO$169,72-HO$169+SwaptionMonthsToGo+SwaptionShift))/SQRT(SUM(INDEX($FO371:$IH371,1+SwaptionShift):INDEX($FO371:$IH371,SwaptionMonthsToGo+SwaptionShift))*SUM(INDEX($FO$325:$IH$396,HO$169,1+SwaptionShift):INDEX($FO$325:$IH$396,HO$169,SwaptionMonthsToGo+SwaptionShift))))))</f>
        <v/>
      </c>
      <c r="HP216" s="469" t="str">
        <f ca="1">IF(OR(HP$169&lt;SwaptionFirstMonthPosition+1,$FN216&lt;SwaptionFirstMonthPosition+1,HP$169&gt;SwaptionFirstMonthPosition+SwaptionNumOfMonths+1,$FN216&gt;SwaptionFirstMonthPosition+SwaptionNumOfMonths+1),"",IF($FN216=HP$169,1,IF($FN216&lt;HP$169,INDEX($FO$170:$IH$241,HP$169,$FN216),SUMPRODUCT(INDEX($FO$325:$IH$396,HP$169,1+SwaptionShift):INDEX($FO$325:$IH$396,HP$169,SwaptionMonthsToGo+SwaptionShift),INDEX($FO$245:$IH$316,$FN216-HP$169,73-HP$169+SwaptionShift):INDEX($FO$245:$IH$316,$FN216-HP$169,72-HP$169+SwaptionMonthsToGo+SwaptionShift))/SQRT(SUM(INDEX($FO371:$IH371,1+SwaptionShift):INDEX($FO371:$IH371,SwaptionMonthsToGo+SwaptionShift))*SUM(INDEX($FO$325:$IH$396,HP$169,1+SwaptionShift):INDEX($FO$325:$IH$396,HP$169,SwaptionMonthsToGo+SwaptionShift))))))</f>
        <v/>
      </c>
      <c r="HQ216" s="469" t="str">
        <f ca="1">IF(OR(HQ$169&lt;SwaptionFirstMonthPosition+1,$FN216&lt;SwaptionFirstMonthPosition+1,HQ$169&gt;SwaptionFirstMonthPosition+SwaptionNumOfMonths+1,$FN216&gt;SwaptionFirstMonthPosition+SwaptionNumOfMonths+1),"",IF($FN216=HQ$169,1,IF($FN216&lt;HQ$169,INDEX($FO$170:$IH$241,HQ$169,$FN216),SUMPRODUCT(INDEX($FO$325:$IH$396,HQ$169,1+SwaptionShift):INDEX($FO$325:$IH$396,HQ$169,SwaptionMonthsToGo+SwaptionShift),INDEX($FO$245:$IH$316,$FN216-HQ$169,73-HQ$169+SwaptionShift):INDEX($FO$245:$IH$316,$FN216-HQ$169,72-HQ$169+SwaptionMonthsToGo+SwaptionShift))/SQRT(SUM(INDEX($FO371:$IH371,1+SwaptionShift):INDEX($FO371:$IH371,SwaptionMonthsToGo+SwaptionShift))*SUM(INDEX($FO$325:$IH$396,HQ$169,1+SwaptionShift):INDEX($FO$325:$IH$396,HQ$169,SwaptionMonthsToGo+SwaptionShift))))))</f>
        <v/>
      </c>
      <c r="HR216" s="469" t="str">
        <f ca="1">IF(OR(HR$169&lt;SwaptionFirstMonthPosition+1,$FN216&lt;SwaptionFirstMonthPosition+1,HR$169&gt;SwaptionFirstMonthPosition+SwaptionNumOfMonths+1,$FN216&gt;SwaptionFirstMonthPosition+SwaptionNumOfMonths+1),"",IF($FN216=HR$169,1,IF($FN216&lt;HR$169,INDEX($FO$170:$IH$241,HR$169,$FN216),SUMPRODUCT(INDEX($FO$325:$IH$396,HR$169,1+SwaptionShift):INDEX($FO$325:$IH$396,HR$169,SwaptionMonthsToGo+SwaptionShift),INDEX($FO$245:$IH$316,$FN216-HR$169,73-HR$169+SwaptionShift):INDEX($FO$245:$IH$316,$FN216-HR$169,72-HR$169+SwaptionMonthsToGo+SwaptionShift))/SQRT(SUM(INDEX($FO371:$IH371,1+SwaptionShift):INDEX($FO371:$IH371,SwaptionMonthsToGo+SwaptionShift))*SUM(INDEX($FO$325:$IH$396,HR$169,1+SwaptionShift):INDEX($FO$325:$IH$396,HR$169,SwaptionMonthsToGo+SwaptionShift))))))</f>
        <v/>
      </c>
      <c r="HS216" s="469" t="str">
        <f ca="1">IF(OR(HS$169&lt;SwaptionFirstMonthPosition+1,$FN216&lt;SwaptionFirstMonthPosition+1,HS$169&gt;SwaptionFirstMonthPosition+SwaptionNumOfMonths+1,$FN216&gt;SwaptionFirstMonthPosition+SwaptionNumOfMonths+1),"",IF($FN216=HS$169,1,IF($FN216&lt;HS$169,INDEX($FO$170:$IH$241,HS$169,$FN216),SUMPRODUCT(INDEX($FO$325:$IH$396,HS$169,1+SwaptionShift):INDEX($FO$325:$IH$396,HS$169,SwaptionMonthsToGo+SwaptionShift),INDEX($FO$245:$IH$316,$FN216-HS$169,73-HS$169+SwaptionShift):INDEX($FO$245:$IH$316,$FN216-HS$169,72-HS$169+SwaptionMonthsToGo+SwaptionShift))/SQRT(SUM(INDEX($FO371:$IH371,1+SwaptionShift):INDEX($FO371:$IH371,SwaptionMonthsToGo+SwaptionShift))*SUM(INDEX($FO$325:$IH$396,HS$169,1+SwaptionShift):INDEX($FO$325:$IH$396,HS$169,SwaptionMonthsToGo+SwaptionShift))))))</f>
        <v/>
      </c>
      <c r="HT216" s="469" t="str">
        <f ca="1">IF(OR(HT$169&lt;SwaptionFirstMonthPosition+1,$FN216&lt;SwaptionFirstMonthPosition+1,HT$169&gt;SwaptionFirstMonthPosition+SwaptionNumOfMonths+1,$FN216&gt;SwaptionFirstMonthPosition+SwaptionNumOfMonths+1),"",IF($FN216=HT$169,1,IF($FN216&lt;HT$169,INDEX($FO$170:$IH$241,HT$169,$FN216),SUMPRODUCT(INDEX($FO$325:$IH$396,HT$169,1+SwaptionShift):INDEX($FO$325:$IH$396,HT$169,SwaptionMonthsToGo+SwaptionShift),INDEX($FO$245:$IH$316,$FN216-HT$169,73-HT$169+SwaptionShift):INDEX($FO$245:$IH$316,$FN216-HT$169,72-HT$169+SwaptionMonthsToGo+SwaptionShift))/SQRT(SUM(INDEX($FO371:$IH371,1+SwaptionShift):INDEX($FO371:$IH371,SwaptionMonthsToGo+SwaptionShift))*SUM(INDEX($FO$325:$IH$396,HT$169,1+SwaptionShift):INDEX($FO$325:$IH$396,HT$169,SwaptionMonthsToGo+SwaptionShift))))))</f>
        <v/>
      </c>
      <c r="HU216" s="469" t="str">
        <f ca="1">IF(OR(HU$169&lt;SwaptionFirstMonthPosition+1,$FN216&lt;SwaptionFirstMonthPosition+1,HU$169&gt;SwaptionFirstMonthPosition+SwaptionNumOfMonths+1,$FN216&gt;SwaptionFirstMonthPosition+SwaptionNumOfMonths+1),"",IF($FN216=HU$169,1,IF($FN216&lt;HU$169,INDEX($FO$170:$IH$241,HU$169,$FN216),SUMPRODUCT(INDEX($FO$325:$IH$396,HU$169,1+SwaptionShift):INDEX($FO$325:$IH$396,HU$169,SwaptionMonthsToGo+SwaptionShift),INDEX($FO$245:$IH$316,$FN216-HU$169,73-HU$169+SwaptionShift):INDEX($FO$245:$IH$316,$FN216-HU$169,72-HU$169+SwaptionMonthsToGo+SwaptionShift))/SQRT(SUM(INDEX($FO371:$IH371,1+SwaptionShift):INDEX($FO371:$IH371,SwaptionMonthsToGo+SwaptionShift))*SUM(INDEX($FO$325:$IH$396,HU$169,1+SwaptionShift):INDEX($FO$325:$IH$396,HU$169,SwaptionMonthsToGo+SwaptionShift))))))</f>
        <v/>
      </c>
      <c r="HV216" s="469" t="str">
        <f ca="1">IF(OR(HV$169&lt;SwaptionFirstMonthPosition+1,$FN216&lt;SwaptionFirstMonthPosition+1,HV$169&gt;SwaptionFirstMonthPosition+SwaptionNumOfMonths+1,$FN216&gt;SwaptionFirstMonthPosition+SwaptionNumOfMonths+1),"",IF($FN216=HV$169,1,IF($FN216&lt;HV$169,INDEX($FO$170:$IH$241,HV$169,$FN216),SUMPRODUCT(INDEX($FO$325:$IH$396,HV$169,1+SwaptionShift):INDEX($FO$325:$IH$396,HV$169,SwaptionMonthsToGo+SwaptionShift),INDEX($FO$245:$IH$316,$FN216-HV$169,73-HV$169+SwaptionShift):INDEX($FO$245:$IH$316,$FN216-HV$169,72-HV$169+SwaptionMonthsToGo+SwaptionShift))/SQRT(SUM(INDEX($FO371:$IH371,1+SwaptionShift):INDEX($FO371:$IH371,SwaptionMonthsToGo+SwaptionShift))*SUM(INDEX($FO$325:$IH$396,HV$169,1+SwaptionShift):INDEX($FO$325:$IH$396,HV$169,SwaptionMonthsToGo+SwaptionShift))))))</f>
        <v/>
      </c>
      <c r="HW216" s="469" t="str">
        <f ca="1">IF(OR(HW$169&lt;SwaptionFirstMonthPosition+1,$FN216&lt;SwaptionFirstMonthPosition+1,HW$169&gt;SwaptionFirstMonthPosition+SwaptionNumOfMonths+1,$FN216&gt;SwaptionFirstMonthPosition+SwaptionNumOfMonths+1),"",IF($FN216=HW$169,1,IF($FN216&lt;HW$169,INDEX($FO$170:$IH$241,HW$169,$FN216),SUMPRODUCT(INDEX($FO$325:$IH$396,HW$169,1+SwaptionShift):INDEX($FO$325:$IH$396,HW$169,SwaptionMonthsToGo+SwaptionShift),INDEX($FO$245:$IH$316,$FN216-HW$169,73-HW$169+SwaptionShift):INDEX($FO$245:$IH$316,$FN216-HW$169,72-HW$169+SwaptionMonthsToGo+SwaptionShift))/SQRT(SUM(INDEX($FO371:$IH371,1+SwaptionShift):INDEX($FO371:$IH371,SwaptionMonthsToGo+SwaptionShift))*SUM(INDEX($FO$325:$IH$396,HW$169,1+SwaptionShift):INDEX($FO$325:$IH$396,HW$169,SwaptionMonthsToGo+SwaptionShift))))))</f>
        <v/>
      </c>
      <c r="HX216" s="469" t="str">
        <f ca="1">IF(OR(HX$169&lt;SwaptionFirstMonthPosition+1,$FN216&lt;SwaptionFirstMonthPosition+1,HX$169&gt;SwaptionFirstMonthPosition+SwaptionNumOfMonths+1,$FN216&gt;SwaptionFirstMonthPosition+SwaptionNumOfMonths+1),"",IF($FN216=HX$169,1,IF($FN216&lt;HX$169,INDEX($FO$170:$IH$241,HX$169,$FN216),SUMPRODUCT(INDEX($FO$325:$IH$396,HX$169,1+SwaptionShift):INDEX($FO$325:$IH$396,HX$169,SwaptionMonthsToGo+SwaptionShift),INDEX($FO$245:$IH$316,$FN216-HX$169,73-HX$169+SwaptionShift):INDEX($FO$245:$IH$316,$FN216-HX$169,72-HX$169+SwaptionMonthsToGo+SwaptionShift))/SQRT(SUM(INDEX($FO371:$IH371,1+SwaptionShift):INDEX($FO371:$IH371,SwaptionMonthsToGo+SwaptionShift))*SUM(INDEX($FO$325:$IH$396,HX$169,1+SwaptionShift):INDEX($FO$325:$IH$396,HX$169,SwaptionMonthsToGo+SwaptionShift))))))</f>
        <v/>
      </c>
      <c r="HY216" s="469" t="str">
        <f ca="1">IF(OR(HY$169&lt;SwaptionFirstMonthPosition+1,$FN216&lt;SwaptionFirstMonthPosition+1,HY$169&gt;SwaptionFirstMonthPosition+SwaptionNumOfMonths+1,$FN216&gt;SwaptionFirstMonthPosition+SwaptionNumOfMonths+1),"",IF($FN216=HY$169,1,IF($FN216&lt;HY$169,INDEX($FO$170:$IH$241,HY$169,$FN216),SUMPRODUCT(INDEX($FO$325:$IH$396,HY$169,1+SwaptionShift):INDEX($FO$325:$IH$396,HY$169,SwaptionMonthsToGo+SwaptionShift),INDEX($FO$245:$IH$316,$FN216-HY$169,73-HY$169+SwaptionShift):INDEX($FO$245:$IH$316,$FN216-HY$169,72-HY$169+SwaptionMonthsToGo+SwaptionShift))/SQRT(SUM(INDEX($FO371:$IH371,1+SwaptionShift):INDEX($FO371:$IH371,SwaptionMonthsToGo+SwaptionShift))*SUM(INDEX($FO$325:$IH$396,HY$169,1+SwaptionShift):INDEX($FO$325:$IH$396,HY$169,SwaptionMonthsToGo+SwaptionShift))))))</f>
        <v/>
      </c>
      <c r="HZ216" s="469" t="str">
        <f ca="1">IF(OR(HZ$169&lt;SwaptionFirstMonthPosition+1,$FN216&lt;SwaptionFirstMonthPosition+1,HZ$169&gt;SwaptionFirstMonthPosition+SwaptionNumOfMonths+1,$FN216&gt;SwaptionFirstMonthPosition+SwaptionNumOfMonths+1),"",IF($FN216=HZ$169,1,IF($FN216&lt;HZ$169,INDEX($FO$170:$IH$241,HZ$169,$FN216),SUMPRODUCT(INDEX($FO$325:$IH$396,HZ$169,1+SwaptionShift):INDEX($FO$325:$IH$396,HZ$169,SwaptionMonthsToGo+SwaptionShift),INDEX($FO$245:$IH$316,$FN216-HZ$169,73-HZ$169+SwaptionShift):INDEX($FO$245:$IH$316,$FN216-HZ$169,72-HZ$169+SwaptionMonthsToGo+SwaptionShift))/SQRT(SUM(INDEX($FO371:$IH371,1+SwaptionShift):INDEX($FO371:$IH371,SwaptionMonthsToGo+SwaptionShift))*SUM(INDEX($FO$325:$IH$396,HZ$169,1+SwaptionShift):INDEX($FO$325:$IH$396,HZ$169,SwaptionMonthsToGo+SwaptionShift))))))</f>
        <v/>
      </c>
      <c r="IA216" s="469" t="str">
        <f ca="1">IF(OR(IA$169&lt;SwaptionFirstMonthPosition+1,$FN216&lt;SwaptionFirstMonthPosition+1,IA$169&gt;SwaptionFirstMonthPosition+SwaptionNumOfMonths+1,$FN216&gt;SwaptionFirstMonthPosition+SwaptionNumOfMonths+1),"",IF($FN216=IA$169,1,IF($FN216&lt;IA$169,INDEX($FO$170:$IH$241,IA$169,$FN216),SUMPRODUCT(INDEX($FO$325:$IH$396,IA$169,1+SwaptionShift):INDEX($FO$325:$IH$396,IA$169,SwaptionMonthsToGo+SwaptionShift),INDEX($FO$245:$IH$316,$FN216-IA$169,73-IA$169+SwaptionShift):INDEX($FO$245:$IH$316,$FN216-IA$169,72-IA$169+SwaptionMonthsToGo+SwaptionShift))/SQRT(SUM(INDEX($FO371:$IH371,1+SwaptionShift):INDEX($FO371:$IH371,SwaptionMonthsToGo+SwaptionShift))*SUM(INDEX($FO$325:$IH$396,IA$169,1+SwaptionShift):INDEX($FO$325:$IH$396,IA$169,SwaptionMonthsToGo+SwaptionShift))))))</f>
        <v/>
      </c>
      <c r="IB216" s="469" t="str">
        <f ca="1">IF(OR(IB$169&lt;SwaptionFirstMonthPosition+1,$FN216&lt;SwaptionFirstMonthPosition+1,IB$169&gt;SwaptionFirstMonthPosition+SwaptionNumOfMonths+1,$FN216&gt;SwaptionFirstMonthPosition+SwaptionNumOfMonths+1),"",IF($FN216=IB$169,1,IF($FN216&lt;IB$169,INDEX($FO$170:$IH$241,IB$169,$FN216),SUMPRODUCT(INDEX($FO$325:$IH$396,IB$169,1+SwaptionShift):INDEX($FO$325:$IH$396,IB$169,SwaptionMonthsToGo+SwaptionShift),INDEX($FO$245:$IH$316,$FN216-IB$169,73-IB$169+SwaptionShift):INDEX($FO$245:$IH$316,$FN216-IB$169,72-IB$169+SwaptionMonthsToGo+SwaptionShift))/SQRT(SUM(INDEX($FO371:$IH371,1+SwaptionShift):INDEX($FO371:$IH371,SwaptionMonthsToGo+SwaptionShift))*SUM(INDEX($FO$325:$IH$396,IB$169,1+SwaptionShift):INDEX($FO$325:$IH$396,IB$169,SwaptionMonthsToGo+SwaptionShift))))))</f>
        <v/>
      </c>
      <c r="IC216" s="469" t="str">
        <f ca="1">IF(OR(IC$169&lt;SwaptionFirstMonthPosition+1,$FN216&lt;SwaptionFirstMonthPosition+1,IC$169&gt;SwaptionFirstMonthPosition+SwaptionNumOfMonths+1,$FN216&gt;SwaptionFirstMonthPosition+SwaptionNumOfMonths+1),"",IF($FN216=IC$169,1,IF($FN216&lt;IC$169,INDEX($FO$170:$IH$241,IC$169,$FN216),SUMPRODUCT(INDEX($FO$325:$IH$396,IC$169,1+SwaptionShift):INDEX($FO$325:$IH$396,IC$169,SwaptionMonthsToGo+SwaptionShift),INDEX($FO$245:$IH$316,$FN216-IC$169,73-IC$169+SwaptionShift):INDEX($FO$245:$IH$316,$FN216-IC$169,72-IC$169+SwaptionMonthsToGo+SwaptionShift))/SQRT(SUM(INDEX($FO371:$IH371,1+SwaptionShift):INDEX($FO371:$IH371,SwaptionMonthsToGo+SwaptionShift))*SUM(INDEX($FO$325:$IH$396,IC$169,1+SwaptionShift):INDEX($FO$325:$IH$396,IC$169,SwaptionMonthsToGo+SwaptionShift))))))</f>
        <v/>
      </c>
      <c r="ID216" s="469" t="str">
        <f ca="1">IF(OR(ID$169&lt;SwaptionFirstMonthPosition+1,$FN216&lt;SwaptionFirstMonthPosition+1,ID$169&gt;SwaptionFirstMonthPosition+SwaptionNumOfMonths+1,$FN216&gt;SwaptionFirstMonthPosition+SwaptionNumOfMonths+1),"",IF($FN216=ID$169,1,IF($FN216&lt;ID$169,INDEX($FO$170:$IH$241,ID$169,$FN216),SUMPRODUCT(INDEX($FO$325:$IH$396,ID$169,1+SwaptionShift):INDEX($FO$325:$IH$396,ID$169,SwaptionMonthsToGo+SwaptionShift),INDEX($FO$245:$IH$316,$FN216-ID$169,73-ID$169+SwaptionShift):INDEX($FO$245:$IH$316,$FN216-ID$169,72-ID$169+SwaptionMonthsToGo+SwaptionShift))/SQRT(SUM(INDEX($FO371:$IH371,1+SwaptionShift):INDEX($FO371:$IH371,SwaptionMonthsToGo+SwaptionShift))*SUM(INDEX($FO$325:$IH$396,ID$169,1+SwaptionShift):INDEX($FO$325:$IH$396,ID$169,SwaptionMonthsToGo+SwaptionShift))))))</f>
        <v/>
      </c>
      <c r="IE216" s="469" t="str">
        <f ca="1">IF(OR(IE$169&lt;SwaptionFirstMonthPosition+1,$FN216&lt;SwaptionFirstMonthPosition+1,IE$169&gt;SwaptionFirstMonthPosition+SwaptionNumOfMonths+1,$FN216&gt;SwaptionFirstMonthPosition+SwaptionNumOfMonths+1),"",IF($FN216=IE$169,1,IF($FN216&lt;IE$169,INDEX($FO$170:$IH$241,IE$169,$FN216),SUMPRODUCT(INDEX($FO$325:$IH$396,IE$169,1+SwaptionShift):INDEX($FO$325:$IH$396,IE$169,SwaptionMonthsToGo+SwaptionShift),INDEX($FO$245:$IH$316,$FN216-IE$169,73-IE$169+SwaptionShift):INDEX($FO$245:$IH$316,$FN216-IE$169,72-IE$169+SwaptionMonthsToGo+SwaptionShift))/SQRT(SUM(INDEX($FO371:$IH371,1+SwaptionShift):INDEX($FO371:$IH371,SwaptionMonthsToGo+SwaptionShift))*SUM(INDEX($FO$325:$IH$396,IE$169,1+SwaptionShift):INDEX($FO$325:$IH$396,IE$169,SwaptionMonthsToGo+SwaptionShift))))))</f>
        <v/>
      </c>
      <c r="IF216" s="469" t="str">
        <f ca="1">IF(OR(IF$169&lt;SwaptionFirstMonthPosition+1,$FN216&lt;SwaptionFirstMonthPosition+1,IF$169&gt;SwaptionFirstMonthPosition+SwaptionNumOfMonths+1,$FN216&gt;SwaptionFirstMonthPosition+SwaptionNumOfMonths+1),"",IF($FN216=IF$169,1,IF($FN216&lt;IF$169,INDEX($FO$170:$IH$241,IF$169,$FN216),SUMPRODUCT(INDEX($FO$325:$IH$396,IF$169,1+SwaptionShift):INDEX($FO$325:$IH$396,IF$169,SwaptionMonthsToGo+SwaptionShift),INDEX($FO$245:$IH$316,$FN216-IF$169,73-IF$169+SwaptionShift):INDEX($FO$245:$IH$316,$FN216-IF$169,72-IF$169+SwaptionMonthsToGo+SwaptionShift))/SQRT(SUM(INDEX($FO371:$IH371,1+SwaptionShift):INDEX($FO371:$IH371,SwaptionMonthsToGo+SwaptionShift))*SUM(INDEX($FO$325:$IH$396,IF$169,1+SwaptionShift):INDEX($FO$325:$IH$396,IF$169,SwaptionMonthsToGo+SwaptionShift))))))</f>
        <v/>
      </c>
      <c r="IG216" s="469" t="str">
        <f ca="1">IF(OR(IG$169&lt;SwaptionFirstMonthPosition+1,$FN216&lt;SwaptionFirstMonthPosition+1,IG$169&gt;SwaptionFirstMonthPosition+SwaptionNumOfMonths+1,$FN216&gt;SwaptionFirstMonthPosition+SwaptionNumOfMonths+1),"",IF($FN216=IG$169,1,IF($FN216&lt;IG$169,INDEX($FO$170:$IH$241,IG$169,$FN216),SUMPRODUCT(INDEX($FO$325:$IH$396,IG$169,1+SwaptionShift):INDEX($FO$325:$IH$396,IG$169,SwaptionMonthsToGo+SwaptionShift),INDEX($FO$245:$IH$316,$FN216-IG$169,73-IG$169+SwaptionShift):INDEX($FO$245:$IH$316,$FN216-IG$169,72-IG$169+SwaptionMonthsToGo+SwaptionShift))/SQRT(SUM(INDEX($FO371:$IH371,1+SwaptionShift):INDEX($FO371:$IH371,SwaptionMonthsToGo+SwaptionShift))*SUM(INDEX($FO$325:$IH$396,IG$169,1+SwaptionShift):INDEX($FO$325:$IH$396,IG$169,SwaptionMonthsToGo+SwaptionShift))))))</f>
        <v/>
      </c>
      <c r="IH216" s="662" t="str">
        <f ca="1">IF(OR(IH$169&lt;SwaptionFirstMonthPosition+1,$FN216&lt;SwaptionFirstMonthPosition+1,IH$169&gt;SwaptionFirstMonthPosition+SwaptionNumOfMonths+1,$FN216&gt;SwaptionFirstMonthPosition+SwaptionNumOfMonths+1),"",IF($FN216=IH$169,1,IF($FN216&lt;IH$169,INDEX($FO$170:$IH$241,IH$169,$FN216),SUMPRODUCT(INDEX($FO$325:$IH$396,IH$169,1+SwaptionShift):INDEX($FO$325:$IH$396,IH$169,SwaptionMonthsToGo+SwaptionShift),INDEX($FO$245:$IH$316,$FN216-IH$169,73-IH$169+SwaptionShift):INDEX($FO$245:$IH$316,$FN216-IH$169,72-IH$169+SwaptionMonthsToGo+SwaptionShift))/SQRT(SUM(INDEX($FO371:$IH371,1+SwaptionShift):INDEX($FO371:$IH371,SwaptionMonthsToGo+SwaptionShift))*SUM(INDEX($FO$325:$IH$396,IH$169,1+SwaptionShift):INDEX($FO$325:$IH$396,IH$169,SwaptionMonthsToGo+SwaptionShift))))))</f>
        <v/>
      </c>
      <c r="II216" s="242"/>
    </row>
    <row r="217" spans="8:243">
      <c r="H217" s="49" t="e">
        <f t="shared" ca="1" si="645"/>
        <v>#N/A</v>
      </c>
      <c r="I217" s="369">
        <f t="shared" si="646"/>
        <v>43009</v>
      </c>
      <c r="J217" s="367">
        <v>24.309999999999899</v>
      </c>
      <c r="K217" s="101" t="s">
        <v>267</v>
      </c>
      <c r="L217" s="382">
        <f t="shared" si="647"/>
        <v>24.30999999999985</v>
      </c>
      <c r="M217" s="163">
        <v>0.1323</v>
      </c>
      <c r="N217" s="372">
        <v>0</v>
      </c>
      <c r="O217" s="163">
        <f t="shared" si="595"/>
        <v>0.1323</v>
      </c>
      <c r="P217" s="367">
        <v>22.906885550471898</v>
      </c>
      <c r="Q217" s="101" t="s">
        <v>267</v>
      </c>
      <c r="R217" s="367">
        <f t="shared" ca="1" si="596"/>
        <v>22.90688555047192</v>
      </c>
      <c r="S217" s="814">
        <f t="shared" si="594"/>
        <v>0.34697377843876148</v>
      </c>
      <c r="T217" s="813">
        <f t="shared" si="660"/>
        <v>0.99999999992445399</v>
      </c>
      <c r="U217" s="532">
        <f t="shared" si="661"/>
        <v>0.99999999999999978</v>
      </c>
      <c r="V217" s="379">
        <v>0</v>
      </c>
      <c r="W217" s="424">
        <f t="shared" si="597"/>
        <v>24.342954545454344</v>
      </c>
      <c r="X217" s="405">
        <f t="shared" si="598"/>
        <v>24.342954545454393</v>
      </c>
      <c r="Y217" s="313">
        <f t="shared" si="599"/>
        <v>23.101354545454342</v>
      </c>
      <c r="Z217" s="313">
        <f t="shared" ca="1" si="600"/>
        <v>23.101354545454392</v>
      </c>
      <c r="AA217" s="419">
        <f t="shared" si="623"/>
        <v>1.2416</v>
      </c>
      <c r="AB217" s="423">
        <f t="shared" ca="1" si="624"/>
        <v>1.2416</v>
      </c>
      <c r="AC217" s="221">
        <v>42998</v>
      </c>
      <c r="AD217" s="221">
        <v>42994</v>
      </c>
      <c r="AE217" s="221">
        <v>42993</v>
      </c>
      <c r="AF217" s="221">
        <v>42989</v>
      </c>
      <c r="AG217" s="241" t="s">
        <v>497</v>
      </c>
      <c r="AH217" s="239" t="s">
        <v>497</v>
      </c>
      <c r="AI217" s="141">
        <v>22</v>
      </c>
      <c r="AJ217" s="41">
        <v>15</v>
      </c>
      <c r="AK217" s="41">
        <v>7</v>
      </c>
      <c r="AL217" s="285">
        <v>22</v>
      </c>
      <c r="AM217" s="41">
        <v>10</v>
      </c>
      <c r="AN217" s="142">
        <v>12</v>
      </c>
      <c r="AO217" s="364">
        <v>6.2748779756366599E-2</v>
      </c>
      <c r="AP217" s="145">
        <f t="shared" ca="1" si="648"/>
        <v>0.35943214897354431</v>
      </c>
      <c r="AQ217" s="364">
        <v>5.81522955093767E-2</v>
      </c>
      <c r="AR217" s="145">
        <f t="shared" ca="1" si="662"/>
        <v>0.38973929458415729</v>
      </c>
      <c r="AS217" s="264">
        <f t="shared" si="601"/>
        <v>0.13177272727272729</v>
      </c>
      <c r="AT217" s="149">
        <f t="shared" si="649"/>
        <v>0.1323</v>
      </c>
      <c r="AU217" s="149">
        <f t="shared" si="625"/>
        <v>0.13168181818181821</v>
      </c>
      <c r="AV217" s="263">
        <f t="shared" ca="1" si="669"/>
        <v>0.13026627179979378</v>
      </c>
      <c r="AW217" s="150" t="str">
        <f t="shared" ca="1" si="581"/>
        <v/>
      </c>
      <c r="AX217" s="149">
        <f t="shared" ca="1" si="663"/>
        <v>4.0263517254951406E-3</v>
      </c>
      <c r="AY217" s="149">
        <f t="shared" ca="1" si="664"/>
        <v>1.2781707924720889E-3</v>
      </c>
      <c r="AZ217" s="149">
        <f t="shared" ca="1" si="665"/>
        <v>1.4816666422207548E-3</v>
      </c>
      <c r="BA217" s="149">
        <f t="shared" ca="1" si="666"/>
        <v>1.0000000000001039E-4</v>
      </c>
      <c r="BB217" s="149">
        <f t="shared" ca="1" si="667"/>
        <v>1.0000000000001039E-4</v>
      </c>
      <c r="BC217" s="149">
        <f t="shared" ca="1" si="668"/>
        <v>1.0000000000001039E-4</v>
      </c>
      <c r="BD217" s="143">
        <f t="shared" ca="1" si="602"/>
        <v>0</v>
      </c>
      <c r="BE217" s="144">
        <f t="shared" ca="1" si="603"/>
        <v>0</v>
      </c>
      <c r="BF217" s="40">
        <f t="shared" si="604"/>
        <v>2017</v>
      </c>
      <c r="BG217" s="139">
        <f t="shared" si="605"/>
        <v>10</v>
      </c>
      <c r="BH217" s="140">
        <f t="shared" ca="1" si="606"/>
        <v>6004</v>
      </c>
      <c r="BI217" s="304">
        <f t="shared" ca="1" si="607"/>
        <v>16.479123887748116</v>
      </c>
      <c r="BJ217" s="42">
        <f t="shared" ca="1" si="626"/>
        <v>16.535125381121272</v>
      </c>
      <c r="BK217" s="42">
        <f t="shared" ca="1" si="627"/>
        <v>16.537863231908403</v>
      </c>
      <c r="BL217" s="42">
        <f t="shared" ca="1" si="608"/>
        <v>16.56125941136208</v>
      </c>
      <c r="BM217" s="285">
        <f t="shared" si="609"/>
        <v>22</v>
      </c>
      <c r="BN217" s="41">
        <f t="shared" si="610"/>
        <v>15</v>
      </c>
      <c r="BO217" s="41">
        <f t="shared" si="611"/>
        <v>7</v>
      </c>
      <c r="BP217" s="297" t="str">
        <f t="shared" ca="1" si="628"/>
        <v/>
      </c>
      <c r="BQ217" s="297" t="str">
        <f t="shared" ca="1" si="629"/>
        <v/>
      </c>
      <c r="BR217" s="299" t="str">
        <f t="shared" ca="1" si="630"/>
        <v/>
      </c>
      <c r="BS217" s="153" t="str">
        <f t="shared" ca="1" si="631"/>
        <v/>
      </c>
      <c r="BT217" s="153" t="str">
        <f t="shared" ca="1" si="632"/>
        <v/>
      </c>
      <c r="BU217" s="300" t="str">
        <f t="shared" ca="1" si="633"/>
        <v/>
      </c>
      <c r="BV217" s="301" t="str">
        <f t="shared" ca="1" si="634"/>
        <v/>
      </c>
      <c r="BW217" s="300" t="str">
        <f t="shared" ca="1" si="635"/>
        <v/>
      </c>
      <c r="BX217" s="301" t="str">
        <f t="shared" ca="1" si="636"/>
        <v/>
      </c>
      <c r="BY217" s="146" t="str">
        <f t="shared" ca="1" si="637"/>
        <v/>
      </c>
      <c r="BZ217" s="146" t="str">
        <f t="shared" ca="1" si="638"/>
        <v/>
      </c>
      <c r="CA217" s="146" t="str">
        <f t="shared" ca="1" si="639"/>
        <v/>
      </c>
      <c r="CB217" s="146" t="str">
        <f t="shared" ca="1" si="640"/>
        <v/>
      </c>
      <c r="CC217" s="302">
        <v>1</v>
      </c>
      <c r="CD217" s="154">
        <f ca="1">IF(BD217,_xll.xCrudeAPO(BS217,BT217,BY217,BZ217,S218,S219,BI217,BL217,BN217,BO217,0,Strike1,AO217,CC217,0,BL217,IF(OptControl=4,0,1),0,1),0)</f>
        <v>0</v>
      </c>
      <c r="CE217" s="155">
        <f ca="1">IF(BD217,_xll.xCrudeAPO(BS217,BT217,BY217,BZ217,S218,S219,BI217,BL217,BN217,BO217,0,Strike1,AO217,CC217,0,BL217,IF(OptControl=4,0,1),1,1)+_xll.xCrudeAPO(BS217,BT217,BY217,BZ217,S218,S219,BI217,BL217,BN217,BO217,0,Strike1,AO217,CC217,0,BL217,IF(OptControl=4,0,1),1,2)+IF(OR(VolSkewFlag=2,ABS(BQ217)&lt;0.0001),0,IF(BQ217&gt;0,-1,1)*CF217*Strike1/BP217^2*BW217/10%),0)</f>
        <v>0</v>
      </c>
      <c r="CF217" s="155">
        <f ca="1">IF(BD217,(_xll.xCrudeAPO(BS217,BT217,BY217,BZ217,S218,S219,BI217,BL217,BN217,BO217,0,Strike1,AO217,CC217,0,BL217,IF(OptControl=4,0,1),3,1)+_xll.xCrudeAPO(BS217,BT217,BY217,BZ217,S218,S219,BI217,BL217,BN217,BO217,0,Strike1,AO217,CC217,0,BL217,IF(OptControl=4,0,1),3,2))/100,0)</f>
        <v>0</v>
      </c>
      <c r="CG217" s="155">
        <f ca="1">IF(BD217,_xll.xCrudeAPO(BS217,BT217,BY217,BZ217,S218,S219,BI217-DaysForThetaCalculation/365.25,BL217-DaysForThetaCalculation/365.25,BN217,BO217,0,Strike1,AO217,CC217,0,BL217,IF(OptControl=4,0,1),0,1)-_xll.xCrudeAPO(BS217,BT217,BY217,BZ217,S218,S219,BI217,BL217,BN217,BO217,0,Strike1,AO217,CC217,0,BL217,IF(OptControl=4,0,1),0,1),0)</f>
        <v>0</v>
      </c>
      <c r="CH217" s="303">
        <f ca="1">IF(BD217,_xll.xCrudeAPO(BS217,BT217,CA217,CB217,S218,S219,BI217,BL217,BN217,BO217,0,Strike2,AO217,CC217,0,BL217,IF(OptControl=3,1,0),0,1),0)</f>
        <v>0</v>
      </c>
      <c r="CI217" s="155">
        <f ca="1">IF(BD217,_xll.xCrudeAPO(BS217,BT217,CA217,CB217,S218,S219,BI217,BL217,BN217,BO217,0,Strike2,AO217,CC217,0,BL217,IF(OptControl=3,1,0),1,1)+_xll.xCrudeAPO(BS217,BT217,CA217,CB217,S218,S219,BI217,BL217,BN217,BO217,0,Strike2,AO217,CC217,0,BL217,IF(OptControl=3,1,0),1,2)+IF(OR(VolSkewFlag=2,ABS(BR217)&lt;0.0001),0,IF(BR217&gt;0,-1,1)*CJ217*Strike2/BP217^2*BX217/10%),0)</f>
        <v>0</v>
      </c>
      <c r="CJ217" s="155">
        <f ca="1">IF(BD217,(_xll.xCrudeAPO(BS217,BT217,CA217,CB217,S218,S219,BI217,BL217,BN217,BO217,0,Strike2,AO217,CC217,0,BL217,IF(OptControl=3,1,0),3,1)+_xll.xCrudeAPO(BS217,BT217,CA217,CB217,S218,S219,BI217,BL217,BN217,BO217,0,Strike2,AO217,CC217,0,BL217,IF(OptControl=3,1,0),3,2))/100,0)</f>
        <v>0</v>
      </c>
      <c r="CK217" s="156">
        <f ca="1">IF(BD217,_xll.xCrudeAPO(BS217,BT217,CA217,CB217,S218,S219,BI217-DaysForThetaCalculation/365.25,BL217-DaysForThetaCalculation/365.25,BN217,BO217,0,Strike2,AO217,CC217,0,BL217,IF(OptControl=3,1,0),0,1)-_xll.xCrudeAPO(BS217,BT217,CA217,CB217,S218,S219,BI217,BL217,BN217,BO217,0,Strike2,AO217,CC217,0,BL217,IF(OptControl=3,1,0),0,1),0)</f>
        <v>0</v>
      </c>
      <c r="CL217" s="51"/>
      <c r="CM217" s="779" t="str">
        <f t="shared" ca="1" si="650"/>
        <v/>
      </c>
      <c r="CN217" s="783" t="str">
        <f t="shared" ca="1" si="651"/>
        <v/>
      </c>
      <c r="CO217" s="780" t="str">
        <f t="shared" ca="1" si="652"/>
        <v/>
      </c>
      <c r="CP217" s="780" t="str">
        <f t="shared" ca="1" si="653"/>
        <v/>
      </c>
      <c r="CQ217" s="780" t="str">
        <f t="shared" ca="1" si="654"/>
        <v/>
      </c>
      <c r="CR217" s="780" t="str">
        <f t="shared" ca="1" si="655"/>
        <v/>
      </c>
      <c r="CS217" s="781" t="str">
        <f t="shared" ca="1" si="656"/>
        <v/>
      </c>
      <c r="CT217" s="782" t="str">
        <f t="shared" ca="1" si="657"/>
        <v/>
      </c>
      <c r="CU217" s="782" t="str">
        <f t="shared" ca="1" si="658"/>
        <v/>
      </c>
      <c r="CV217" s="155">
        <f ca="1">IF(BD217,_xll.EURO(CN217,Strike1,AO217,AO217,CT217,CM217,IF(OptControl=4,0,1),0),0)</f>
        <v>0</v>
      </c>
      <c r="CW217" s="155">
        <f ca="1">IF(BD217,_xll.EURO(CN217,Strike1,AO217,AO217,CT217,CM217,IF(OptControl=4,0,1),1)+IF(OR(VolSkewFlag=2,ABS(CO217)&lt;0.0001),0,IF(CO217&gt;0,-1,1)*CX217*100*Strike1/CN217^2*CQ217/10%),0)</f>
        <v>0</v>
      </c>
      <c r="CX217" s="155">
        <f ca="1">IF(BD217,_xll.EURO(CN217,Strike1,AO217,AO217,CT217,CM217,IF(OptControl=4,0,1),3)/100,0)</f>
        <v>0</v>
      </c>
      <c r="CY217" s="155">
        <f ca="1">IF(BD217,_xll.EURO(CN217,Strike1,AO217,AO217,CT217,CM217,IF(OptControl=4,0,1),0)-_xll.EURO(CN217,Strike1,AO217,AO217,CT217,CM217-1,IF(OptControl=4,0,1),0),0)</f>
        <v>0</v>
      </c>
      <c r="CZ217" s="155">
        <f ca="1">IF(BD217,_xll.EURO(CN217,Strike2,AO217,AO217,CU217,CM217,IF(OptControl=3,1,0),0),0)</f>
        <v>0</v>
      </c>
      <c r="DA217" s="155">
        <f ca="1">IF(BD217,_xll.EURO(CN217,Strike2,AO217,AO217,CU217,CM217,IF(OptControl=3,1,0),1)+IF(OR(VolSkewFlag=2,ABS(CP217)&lt;0.0001),0,IF(CP217&gt;0,-1,1)*DB217*100*Strike2/CN217^2*CR217/10%),0)</f>
        <v>0</v>
      </c>
      <c r="DB217" s="155">
        <f ca="1">IF(BD217,_xll.EURO(CN217,Strike2,AO217,AO217,CU217,CM217,IF(OptControl=3,1,0),3)/100,0)</f>
        <v>0</v>
      </c>
      <c r="DC217" s="156">
        <f ca="1">IF(BD217,_xll.EURO(CN217,Strike2,AO217,AO217,CU217,CM217,IF(OptControl=3,1,0),0)-_xll.EURO(CN217,Strike2,AO217,AO217,CU217,CM217-1,IF(OptControl=3,1,0),0),0)</f>
        <v>0</v>
      </c>
      <c r="DE217" s="651">
        <f t="shared" ca="1" si="659"/>
        <v>42917</v>
      </c>
      <c r="DF217" s="465">
        <v>1E-4</v>
      </c>
      <c r="DG217" s="649">
        <v>1E-4</v>
      </c>
      <c r="DH217" s="650">
        <f t="shared" ca="1" si="612"/>
        <v>42917</v>
      </c>
      <c r="DI217" s="465">
        <v>1E-4</v>
      </c>
      <c r="DJ217" s="649">
        <v>1E-4</v>
      </c>
      <c r="DK217" s="651">
        <f t="shared" ca="1" si="613"/>
        <v>42917</v>
      </c>
      <c r="DL217" s="652">
        <f t="shared" si="614"/>
        <v>5.0100000000000006E-2</v>
      </c>
      <c r="DM217" s="651">
        <f t="shared" ca="1" si="615"/>
        <v>42917</v>
      </c>
      <c r="DN217" s="563">
        <f t="shared" si="616"/>
        <v>-0.12990000000000002</v>
      </c>
      <c r="DO217" s="803">
        <v>-0.13</v>
      </c>
      <c r="DP217" s="650">
        <f t="shared" ca="1" si="617"/>
        <v>42917</v>
      </c>
      <c r="DQ217" s="653">
        <v>1E-4</v>
      </c>
      <c r="DR217" s="590">
        <v>1E-4</v>
      </c>
      <c r="DS217" s="650">
        <f t="shared" ca="1" si="618"/>
        <v>42917</v>
      </c>
      <c r="DT217" s="653">
        <v>1E-4</v>
      </c>
      <c r="DU217" s="590">
        <v>1E-4</v>
      </c>
      <c r="DV217" s="651">
        <f t="shared" ca="1" si="619"/>
        <v>42917</v>
      </c>
      <c r="DW217" s="590">
        <v>1E-4</v>
      </c>
      <c r="DX217" s="651">
        <f t="shared" ca="1" si="620"/>
        <v>42917</v>
      </c>
      <c r="DY217" s="590">
        <f t="shared" si="621"/>
        <v>1E-4</v>
      </c>
      <c r="DZ217" s="1"/>
      <c r="EA217" s="857"/>
      <c r="EB217" s="857"/>
      <c r="EC217" s="857"/>
      <c r="ED217" s="868" t="e">
        <f t="shared" ca="1" si="566"/>
        <v>#NAME?</v>
      </c>
      <c r="EE217" s="863" t="e">
        <f t="shared" ca="1" si="641"/>
        <v>#NAME?</v>
      </c>
      <c r="EF217" s="590" t="e">
        <f t="shared" ca="1" si="642"/>
        <v>#NAME?</v>
      </c>
      <c r="EG217" s="862" t="str">
        <f t="shared" ca="1" si="622"/>
        <v/>
      </c>
      <c r="EH217" s="114" t="str">
        <f t="shared" ca="1" si="643"/>
        <v/>
      </c>
      <c r="EI217" s="109" t="str">
        <f t="shared" ca="1" si="644"/>
        <v/>
      </c>
      <c r="EJ217" s="115">
        <f ca="1">IF(BD217,_xll.xASN(BP217,Strike1,AO217,EH217,0,BM217,0,BI217,BL217,IF(OptControl=4,0,1),0),0)</f>
        <v>0</v>
      </c>
      <c r="EK217" s="108">
        <f ca="1">IF(BD217,_xll.xASN(BP217,Strike2,AO217,EI217,0,BM217,0,BI217,BL217,IF(OptControl=3,1,0),0),0)</f>
        <v>0</v>
      </c>
      <c r="EP217" s="53"/>
      <c r="EQ217" s="1"/>
      <c r="ER217" s="103"/>
      <c r="ES217" s="103"/>
      <c r="ET217" s="1"/>
      <c r="EU217" s="667" t="s">
        <v>430</v>
      </c>
      <c r="EW217" s="53"/>
      <c r="EY217" s="104"/>
      <c r="FN217" s="657">
        <v>48</v>
      </c>
      <c r="FO217" s="469" t="str">
        <f ca="1">IF(OR(FO$169&lt;SwaptionFirstMonthPosition+1,$FN217&lt;SwaptionFirstMonthPosition+1,FO$169&gt;SwaptionFirstMonthPosition+SwaptionNumOfMonths+1,$FN217&gt;SwaptionFirstMonthPosition+SwaptionNumOfMonths+1),"",IF($FN217=FO$169,1,IF($FN217&lt;FO$169,INDEX($FO$170:$IH$241,FO$169,$FN217),SUMPRODUCT(INDEX($FO$325:$IH$396,FO$169,1+SwaptionShift):INDEX($FO$325:$IH$396,FO$169,SwaptionMonthsToGo+SwaptionShift),INDEX($FO$245:$IH$316,$FN217-FO$169,73-FO$169+SwaptionShift):INDEX($FO$245:$IH$316,$FN217-FO$169,72-FO$169+SwaptionMonthsToGo+SwaptionShift))/SQRT(SUM(INDEX($FO372:$IH372,1+SwaptionShift):INDEX($FO372:$IH372,SwaptionMonthsToGo+SwaptionShift))*SUM(INDEX($FO$325:$IH$396,FO$169,1+SwaptionShift):INDEX($FO$325:$IH$396,FO$169,SwaptionMonthsToGo+SwaptionShift))))))</f>
        <v/>
      </c>
      <c r="FP217" s="469" t="str">
        <f ca="1">IF(OR(FP$169&lt;SwaptionFirstMonthPosition+1,$FN217&lt;SwaptionFirstMonthPosition+1,FP$169&gt;SwaptionFirstMonthPosition+SwaptionNumOfMonths+1,$FN217&gt;SwaptionFirstMonthPosition+SwaptionNumOfMonths+1),"",IF($FN217=FP$169,1,IF($FN217&lt;FP$169,INDEX($FO$170:$IH$241,FP$169,$FN217),SUMPRODUCT(INDEX($FO$325:$IH$396,FP$169,1+SwaptionShift):INDEX($FO$325:$IH$396,FP$169,SwaptionMonthsToGo+SwaptionShift),INDEX($FO$245:$IH$316,$FN217-FP$169,73-FP$169+SwaptionShift):INDEX($FO$245:$IH$316,$FN217-FP$169,72-FP$169+SwaptionMonthsToGo+SwaptionShift))/SQRT(SUM(INDEX($FO372:$IH372,1+SwaptionShift):INDEX($FO372:$IH372,SwaptionMonthsToGo+SwaptionShift))*SUM(INDEX($FO$325:$IH$396,FP$169,1+SwaptionShift):INDEX($FO$325:$IH$396,FP$169,SwaptionMonthsToGo+SwaptionShift))))))</f>
        <v/>
      </c>
      <c r="FQ217" s="469" t="str">
        <f ca="1">IF(OR(FQ$169&lt;SwaptionFirstMonthPosition+1,$FN217&lt;SwaptionFirstMonthPosition+1,FQ$169&gt;SwaptionFirstMonthPosition+SwaptionNumOfMonths+1,$FN217&gt;SwaptionFirstMonthPosition+SwaptionNumOfMonths+1),"",IF($FN217=FQ$169,1,IF($FN217&lt;FQ$169,INDEX($FO$170:$IH$241,FQ$169,$FN217),SUMPRODUCT(INDEX($FO$325:$IH$396,FQ$169,1+SwaptionShift):INDEX($FO$325:$IH$396,FQ$169,SwaptionMonthsToGo+SwaptionShift),INDEX($FO$245:$IH$316,$FN217-FQ$169,73-FQ$169+SwaptionShift):INDEX($FO$245:$IH$316,$FN217-FQ$169,72-FQ$169+SwaptionMonthsToGo+SwaptionShift))/SQRT(SUM(INDEX($FO372:$IH372,1+SwaptionShift):INDEX($FO372:$IH372,SwaptionMonthsToGo+SwaptionShift))*SUM(INDEX($FO$325:$IH$396,FQ$169,1+SwaptionShift):INDEX($FO$325:$IH$396,FQ$169,SwaptionMonthsToGo+SwaptionShift))))))</f>
        <v/>
      </c>
      <c r="FR217" s="469" t="str">
        <f ca="1">IF(OR(FR$169&lt;SwaptionFirstMonthPosition+1,$FN217&lt;SwaptionFirstMonthPosition+1,FR$169&gt;SwaptionFirstMonthPosition+SwaptionNumOfMonths+1,$FN217&gt;SwaptionFirstMonthPosition+SwaptionNumOfMonths+1),"",IF($FN217=FR$169,1,IF($FN217&lt;FR$169,INDEX($FO$170:$IH$241,FR$169,$FN217),SUMPRODUCT(INDEX($FO$325:$IH$396,FR$169,1+SwaptionShift):INDEX($FO$325:$IH$396,FR$169,SwaptionMonthsToGo+SwaptionShift),INDEX($FO$245:$IH$316,$FN217-FR$169,73-FR$169+SwaptionShift):INDEX($FO$245:$IH$316,$FN217-FR$169,72-FR$169+SwaptionMonthsToGo+SwaptionShift))/SQRT(SUM(INDEX($FO372:$IH372,1+SwaptionShift):INDEX($FO372:$IH372,SwaptionMonthsToGo+SwaptionShift))*SUM(INDEX($FO$325:$IH$396,FR$169,1+SwaptionShift):INDEX($FO$325:$IH$396,FR$169,SwaptionMonthsToGo+SwaptionShift))))))</f>
        <v/>
      </c>
      <c r="FS217" s="469" t="str">
        <f ca="1">IF(OR(FS$169&lt;SwaptionFirstMonthPosition+1,$FN217&lt;SwaptionFirstMonthPosition+1,FS$169&gt;SwaptionFirstMonthPosition+SwaptionNumOfMonths+1,$FN217&gt;SwaptionFirstMonthPosition+SwaptionNumOfMonths+1),"",IF($FN217=FS$169,1,IF($FN217&lt;FS$169,INDEX($FO$170:$IH$241,FS$169,$FN217),SUMPRODUCT(INDEX($FO$325:$IH$396,FS$169,1+SwaptionShift):INDEX($FO$325:$IH$396,FS$169,SwaptionMonthsToGo+SwaptionShift),INDEX($FO$245:$IH$316,$FN217-FS$169,73-FS$169+SwaptionShift):INDEX($FO$245:$IH$316,$FN217-FS$169,72-FS$169+SwaptionMonthsToGo+SwaptionShift))/SQRT(SUM(INDEX($FO372:$IH372,1+SwaptionShift):INDEX($FO372:$IH372,SwaptionMonthsToGo+SwaptionShift))*SUM(INDEX($FO$325:$IH$396,FS$169,1+SwaptionShift):INDEX($FO$325:$IH$396,FS$169,SwaptionMonthsToGo+SwaptionShift))))))</f>
        <v/>
      </c>
      <c r="FT217" s="469" t="str">
        <f ca="1">IF(OR(FT$169&lt;SwaptionFirstMonthPosition+1,$FN217&lt;SwaptionFirstMonthPosition+1,FT$169&gt;SwaptionFirstMonthPosition+SwaptionNumOfMonths+1,$FN217&gt;SwaptionFirstMonthPosition+SwaptionNumOfMonths+1),"",IF($FN217=FT$169,1,IF($FN217&lt;FT$169,INDEX($FO$170:$IH$241,FT$169,$FN217),SUMPRODUCT(INDEX($FO$325:$IH$396,FT$169,1+SwaptionShift):INDEX($FO$325:$IH$396,FT$169,SwaptionMonthsToGo+SwaptionShift),INDEX($FO$245:$IH$316,$FN217-FT$169,73-FT$169+SwaptionShift):INDEX($FO$245:$IH$316,$FN217-FT$169,72-FT$169+SwaptionMonthsToGo+SwaptionShift))/SQRT(SUM(INDEX($FO372:$IH372,1+SwaptionShift):INDEX($FO372:$IH372,SwaptionMonthsToGo+SwaptionShift))*SUM(INDEX($FO$325:$IH$396,FT$169,1+SwaptionShift):INDEX($FO$325:$IH$396,FT$169,SwaptionMonthsToGo+SwaptionShift))))))</f>
        <v/>
      </c>
      <c r="FU217" s="469" t="str">
        <f ca="1">IF(OR(FU$169&lt;SwaptionFirstMonthPosition+1,$FN217&lt;SwaptionFirstMonthPosition+1,FU$169&gt;SwaptionFirstMonthPosition+SwaptionNumOfMonths+1,$FN217&gt;SwaptionFirstMonthPosition+SwaptionNumOfMonths+1),"",IF($FN217=FU$169,1,IF($FN217&lt;FU$169,INDEX($FO$170:$IH$241,FU$169,$FN217),SUMPRODUCT(INDEX($FO$325:$IH$396,FU$169,1+SwaptionShift):INDEX($FO$325:$IH$396,FU$169,SwaptionMonthsToGo+SwaptionShift),INDEX($FO$245:$IH$316,$FN217-FU$169,73-FU$169+SwaptionShift):INDEX($FO$245:$IH$316,$FN217-FU$169,72-FU$169+SwaptionMonthsToGo+SwaptionShift))/SQRT(SUM(INDEX($FO372:$IH372,1+SwaptionShift):INDEX($FO372:$IH372,SwaptionMonthsToGo+SwaptionShift))*SUM(INDEX($FO$325:$IH$396,FU$169,1+SwaptionShift):INDEX($FO$325:$IH$396,FU$169,SwaptionMonthsToGo+SwaptionShift))))))</f>
        <v/>
      </c>
      <c r="FV217" s="469" t="str">
        <f ca="1">IF(OR(FV$169&lt;SwaptionFirstMonthPosition+1,$FN217&lt;SwaptionFirstMonthPosition+1,FV$169&gt;SwaptionFirstMonthPosition+SwaptionNumOfMonths+1,$FN217&gt;SwaptionFirstMonthPosition+SwaptionNumOfMonths+1),"",IF($FN217=FV$169,1,IF($FN217&lt;FV$169,INDEX($FO$170:$IH$241,FV$169,$FN217),SUMPRODUCT(INDEX($FO$325:$IH$396,FV$169,1+SwaptionShift):INDEX($FO$325:$IH$396,FV$169,SwaptionMonthsToGo+SwaptionShift),INDEX($FO$245:$IH$316,$FN217-FV$169,73-FV$169+SwaptionShift):INDEX($FO$245:$IH$316,$FN217-FV$169,72-FV$169+SwaptionMonthsToGo+SwaptionShift))/SQRT(SUM(INDEX($FO372:$IH372,1+SwaptionShift):INDEX($FO372:$IH372,SwaptionMonthsToGo+SwaptionShift))*SUM(INDEX($FO$325:$IH$396,FV$169,1+SwaptionShift):INDEX($FO$325:$IH$396,FV$169,SwaptionMonthsToGo+SwaptionShift))))))</f>
        <v/>
      </c>
      <c r="FW217" s="469" t="str">
        <f ca="1">IF(OR(FW$169&lt;SwaptionFirstMonthPosition+1,$FN217&lt;SwaptionFirstMonthPosition+1,FW$169&gt;SwaptionFirstMonthPosition+SwaptionNumOfMonths+1,$FN217&gt;SwaptionFirstMonthPosition+SwaptionNumOfMonths+1),"",IF($FN217=FW$169,1,IF($FN217&lt;FW$169,INDEX($FO$170:$IH$241,FW$169,$FN217),SUMPRODUCT(INDEX($FO$325:$IH$396,FW$169,1+SwaptionShift):INDEX($FO$325:$IH$396,FW$169,SwaptionMonthsToGo+SwaptionShift),INDEX($FO$245:$IH$316,$FN217-FW$169,73-FW$169+SwaptionShift):INDEX($FO$245:$IH$316,$FN217-FW$169,72-FW$169+SwaptionMonthsToGo+SwaptionShift))/SQRT(SUM(INDEX($FO372:$IH372,1+SwaptionShift):INDEX($FO372:$IH372,SwaptionMonthsToGo+SwaptionShift))*SUM(INDEX($FO$325:$IH$396,FW$169,1+SwaptionShift):INDEX($FO$325:$IH$396,FW$169,SwaptionMonthsToGo+SwaptionShift))))))</f>
        <v/>
      </c>
      <c r="FX217" s="469" t="str">
        <f ca="1">IF(OR(FX$169&lt;SwaptionFirstMonthPosition+1,$FN217&lt;SwaptionFirstMonthPosition+1,FX$169&gt;SwaptionFirstMonthPosition+SwaptionNumOfMonths+1,$FN217&gt;SwaptionFirstMonthPosition+SwaptionNumOfMonths+1),"",IF($FN217=FX$169,1,IF($FN217&lt;FX$169,INDEX($FO$170:$IH$241,FX$169,$FN217),SUMPRODUCT(INDEX($FO$325:$IH$396,FX$169,1+SwaptionShift):INDEX($FO$325:$IH$396,FX$169,SwaptionMonthsToGo+SwaptionShift),INDEX($FO$245:$IH$316,$FN217-FX$169,73-FX$169+SwaptionShift):INDEX($FO$245:$IH$316,$FN217-FX$169,72-FX$169+SwaptionMonthsToGo+SwaptionShift))/SQRT(SUM(INDEX($FO372:$IH372,1+SwaptionShift):INDEX($FO372:$IH372,SwaptionMonthsToGo+SwaptionShift))*SUM(INDEX($FO$325:$IH$396,FX$169,1+SwaptionShift):INDEX($FO$325:$IH$396,FX$169,SwaptionMonthsToGo+SwaptionShift))))))</f>
        <v/>
      </c>
      <c r="FY217" s="469" t="str">
        <f ca="1">IF(OR(FY$169&lt;SwaptionFirstMonthPosition+1,$FN217&lt;SwaptionFirstMonthPosition+1,FY$169&gt;SwaptionFirstMonthPosition+SwaptionNumOfMonths+1,$FN217&gt;SwaptionFirstMonthPosition+SwaptionNumOfMonths+1),"",IF($FN217=FY$169,1,IF($FN217&lt;FY$169,INDEX($FO$170:$IH$241,FY$169,$FN217),SUMPRODUCT(INDEX($FO$325:$IH$396,FY$169,1+SwaptionShift):INDEX($FO$325:$IH$396,FY$169,SwaptionMonthsToGo+SwaptionShift),INDEX($FO$245:$IH$316,$FN217-FY$169,73-FY$169+SwaptionShift):INDEX($FO$245:$IH$316,$FN217-FY$169,72-FY$169+SwaptionMonthsToGo+SwaptionShift))/SQRT(SUM(INDEX($FO372:$IH372,1+SwaptionShift):INDEX($FO372:$IH372,SwaptionMonthsToGo+SwaptionShift))*SUM(INDEX($FO$325:$IH$396,FY$169,1+SwaptionShift):INDEX($FO$325:$IH$396,FY$169,SwaptionMonthsToGo+SwaptionShift))))))</f>
        <v/>
      </c>
      <c r="FZ217" s="469" t="str">
        <f ca="1">IF(OR(FZ$169&lt;SwaptionFirstMonthPosition+1,$FN217&lt;SwaptionFirstMonthPosition+1,FZ$169&gt;SwaptionFirstMonthPosition+SwaptionNumOfMonths+1,$FN217&gt;SwaptionFirstMonthPosition+SwaptionNumOfMonths+1),"",IF($FN217=FZ$169,1,IF($FN217&lt;FZ$169,INDEX($FO$170:$IH$241,FZ$169,$FN217),SUMPRODUCT(INDEX($FO$325:$IH$396,FZ$169,1+SwaptionShift):INDEX($FO$325:$IH$396,FZ$169,SwaptionMonthsToGo+SwaptionShift),INDEX($FO$245:$IH$316,$FN217-FZ$169,73-FZ$169+SwaptionShift):INDEX($FO$245:$IH$316,$FN217-FZ$169,72-FZ$169+SwaptionMonthsToGo+SwaptionShift))/SQRT(SUM(INDEX($FO372:$IH372,1+SwaptionShift):INDEX($FO372:$IH372,SwaptionMonthsToGo+SwaptionShift))*SUM(INDEX($FO$325:$IH$396,FZ$169,1+SwaptionShift):INDEX($FO$325:$IH$396,FZ$169,SwaptionMonthsToGo+SwaptionShift))))))</f>
        <v/>
      </c>
      <c r="GA217" s="469" t="str">
        <f ca="1">IF(OR(GA$169&lt;SwaptionFirstMonthPosition+1,$FN217&lt;SwaptionFirstMonthPosition+1,GA$169&gt;SwaptionFirstMonthPosition+SwaptionNumOfMonths+1,$FN217&gt;SwaptionFirstMonthPosition+SwaptionNumOfMonths+1),"",IF($FN217=GA$169,1,IF($FN217&lt;GA$169,INDEX($FO$170:$IH$241,GA$169,$FN217),SUMPRODUCT(INDEX($FO$325:$IH$396,GA$169,1+SwaptionShift):INDEX($FO$325:$IH$396,GA$169,SwaptionMonthsToGo+SwaptionShift),INDEX($FO$245:$IH$316,$FN217-GA$169,73-GA$169+SwaptionShift):INDEX($FO$245:$IH$316,$FN217-GA$169,72-GA$169+SwaptionMonthsToGo+SwaptionShift))/SQRT(SUM(INDEX($FO372:$IH372,1+SwaptionShift):INDEX($FO372:$IH372,SwaptionMonthsToGo+SwaptionShift))*SUM(INDEX($FO$325:$IH$396,GA$169,1+SwaptionShift):INDEX($FO$325:$IH$396,GA$169,SwaptionMonthsToGo+SwaptionShift))))))</f>
        <v/>
      </c>
      <c r="GB217" s="469" t="str">
        <f ca="1">IF(OR(GB$169&lt;SwaptionFirstMonthPosition+1,$FN217&lt;SwaptionFirstMonthPosition+1,GB$169&gt;SwaptionFirstMonthPosition+SwaptionNumOfMonths+1,$FN217&gt;SwaptionFirstMonthPosition+SwaptionNumOfMonths+1),"",IF($FN217=GB$169,1,IF($FN217&lt;GB$169,INDEX($FO$170:$IH$241,GB$169,$FN217),SUMPRODUCT(INDEX($FO$325:$IH$396,GB$169,1+SwaptionShift):INDEX($FO$325:$IH$396,GB$169,SwaptionMonthsToGo+SwaptionShift),INDEX($FO$245:$IH$316,$FN217-GB$169,73-GB$169+SwaptionShift):INDEX($FO$245:$IH$316,$FN217-GB$169,72-GB$169+SwaptionMonthsToGo+SwaptionShift))/SQRT(SUM(INDEX($FO372:$IH372,1+SwaptionShift):INDEX($FO372:$IH372,SwaptionMonthsToGo+SwaptionShift))*SUM(INDEX($FO$325:$IH$396,GB$169,1+SwaptionShift):INDEX($FO$325:$IH$396,GB$169,SwaptionMonthsToGo+SwaptionShift))))))</f>
        <v/>
      </c>
      <c r="GC217" s="469" t="str">
        <f ca="1">IF(OR(GC$169&lt;SwaptionFirstMonthPosition+1,$FN217&lt;SwaptionFirstMonthPosition+1,GC$169&gt;SwaptionFirstMonthPosition+SwaptionNumOfMonths+1,$FN217&gt;SwaptionFirstMonthPosition+SwaptionNumOfMonths+1),"",IF($FN217=GC$169,1,IF($FN217&lt;GC$169,INDEX($FO$170:$IH$241,GC$169,$FN217),SUMPRODUCT(INDEX($FO$325:$IH$396,GC$169,1+SwaptionShift):INDEX($FO$325:$IH$396,GC$169,SwaptionMonthsToGo+SwaptionShift),INDEX($FO$245:$IH$316,$FN217-GC$169,73-GC$169+SwaptionShift):INDEX($FO$245:$IH$316,$FN217-GC$169,72-GC$169+SwaptionMonthsToGo+SwaptionShift))/SQRT(SUM(INDEX($FO372:$IH372,1+SwaptionShift):INDEX($FO372:$IH372,SwaptionMonthsToGo+SwaptionShift))*SUM(INDEX($FO$325:$IH$396,GC$169,1+SwaptionShift):INDEX($FO$325:$IH$396,GC$169,SwaptionMonthsToGo+SwaptionShift))))))</f>
        <v/>
      </c>
      <c r="GD217" s="469" t="str">
        <f ca="1">IF(OR(GD$169&lt;SwaptionFirstMonthPosition+1,$FN217&lt;SwaptionFirstMonthPosition+1,GD$169&gt;SwaptionFirstMonthPosition+SwaptionNumOfMonths+1,$FN217&gt;SwaptionFirstMonthPosition+SwaptionNumOfMonths+1),"",IF($FN217=GD$169,1,IF($FN217&lt;GD$169,INDEX($FO$170:$IH$241,GD$169,$FN217),SUMPRODUCT(INDEX($FO$325:$IH$396,GD$169,1+SwaptionShift):INDEX($FO$325:$IH$396,GD$169,SwaptionMonthsToGo+SwaptionShift),INDEX($FO$245:$IH$316,$FN217-GD$169,73-GD$169+SwaptionShift):INDEX($FO$245:$IH$316,$FN217-GD$169,72-GD$169+SwaptionMonthsToGo+SwaptionShift))/SQRT(SUM(INDEX($FO372:$IH372,1+SwaptionShift):INDEX($FO372:$IH372,SwaptionMonthsToGo+SwaptionShift))*SUM(INDEX($FO$325:$IH$396,GD$169,1+SwaptionShift):INDEX($FO$325:$IH$396,GD$169,SwaptionMonthsToGo+SwaptionShift))))))</f>
        <v/>
      </c>
      <c r="GE217" s="469" t="str">
        <f ca="1">IF(OR(GE$169&lt;SwaptionFirstMonthPosition+1,$FN217&lt;SwaptionFirstMonthPosition+1,GE$169&gt;SwaptionFirstMonthPosition+SwaptionNumOfMonths+1,$FN217&gt;SwaptionFirstMonthPosition+SwaptionNumOfMonths+1),"",IF($FN217=GE$169,1,IF($FN217&lt;GE$169,INDEX($FO$170:$IH$241,GE$169,$FN217),SUMPRODUCT(INDEX($FO$325:$IH$396,GE$169,1+SwaptionShift):INDEX($FO$325:$IH$396,GE$169,SwaptionMonthsToGo+SwaptionShift),INDEX($FO$245:$IH$316,$FN217-GE$169,73-GE$169+SwaptionShift):INDEX($FO$245:$IH$316,$FN217-GE$169,72-GE$169+SwaptionMonthsToGo+SwaptionShift))/SQRT(SUM(INDEX($FO372:$IH372,1+SwaptionShift):INDEX($FO372:$IH372,SwaptionMonthsToGo+SwaptionShift))*SUM(INDEX($FO$325:$IH$396,GE$169,1+SwaptionShift):INDEX($FO$325:$IH$396,GE$169,SwaptionMonthsToGo+SwaptionShift))))))</f>
        <v/>
      </c>
      <c r="GF217" s="469" t="str">
        <f ca="1">IF(OR(GF$169&lt;SwaptionFirstMonthPosition+1,$FN217&lt;SwaptionFirstMonthPosition+1,GF$169&gt;SwaptionFirstMonthPosition+SwaptionNumOfMonths+1,$FN217&gt;SwaptionFirstMonthPosition+SwaptionNumOfMonths+1),"",IF($FN217=GF$169,1,IF($FN217&lt;GF$169,INDEX($FO$170:$IH$241,GF$169,$FN217),SUMPRODUCT(INDEX($FO$325:$IH$396,GF$169,1+SwaptionShift):INDEX($FO$325:$IH$396,GF$169,SwaptionMonthsToGo+SwaptionShift),INDEX($FO$245:$IH$316,$FN217-GF$169,73-GF$169+SwaptionShift):INDEX($FO$245:$IH$316,$FN217-GF$169,72-GF$169+SwaptionMonthsToGo+SwaptionShift))/SQRT(SUM(INDEX($FO372:$IH372,1+SwaptionShift):INDEX($FO372:$IH372,SwaptionMonthsToGo+SwaptionShift))*SUM(INDEX($FO$325:$IH$396,GF$169,1+SwaptionShift):INDEX($FO$325:$IH$396,GF$169,SwaptionMonthsToGo+SwaptionShift))))))</f>
        <v/>
      </c>
      <c r="GG217" s="469" t="str">
        <f ca="1">IF(OR(GG$169&lt;SwaptionFirstMonthPosition+1,$FN217&lt;SwaptionFirstMonthPosition+1,GG$169&gt;SwaptionFirstMonthPosition+SwaptionNumOfMonths+1,$FN217&gt;SwaptionFirstMonthPosition+SwaptionNumOfMonths+1),"",IF($FN217=GG$169,1,IF($FN217&lt;GG$169,INDEX($FO$170:$IH$241,GG$169,$FN217),SUMPRODUCT(INDEX($FO$325:$IH$396,GG$169,1+SwaptionShift):INDEX($FO$325:$IH$396,GG$169,SwaptionMonthsToGo+SwaptionShift),INDEX($FO$245:$IH$316,$FN217-GG$169,73-GG$169+SwaptionShift):INDEX($FO$245:$IH$316,$FN217-GG$169,72-GG$169+SwaptionMonthsToGo+SwaptionShift))/SQRT(SUM(INDEX($FO372:$IH372,1+SwaptionShift):INDEX($FO372:$IH372,SwaptionMonthsToGo+SwaptionShift))*SUM(INDEX($FO$325:$IH$396,GG$169,1+SwaptionShift):INDEX($FO$325:$IH$396,GG$169,SwaptionMonthsToGo+SwaptionShift))))))</f>
        <v/>
      </c>
      <c r="GH217" s="469" t="str">
        <f ca="1">IF(OR(GH$169&lt;SwaptionFirstMonthPosition+1,$FN217&lt;SwaptionFirstMonthPosition+1,GH$169&gt;SwaptionFirstMonthPosition+SwaptionNumOfMonths+1,$FN217&gt;SwaptionFirstMonthPosition+SwaptionNumOfMonths+1),"",IF($FN217=GH$169,1,IF($FN217&lt;GH$169,INDEX($FO$170:$IH$241,GH$169,$FN217),SUMPRODUCT(INDEX($FO$325:$IH$396,GH$169,1+SwaptionShift):INDEX($FO$325:$IH$396,GH$169,SwaptionMonthsToGo+SwaptionShift),INDEX($FO$245:$IH$316,$FN217-GH$169,73-GH$169+SwaptionShift):INDEX($FO$245:$IH$316,$FN217-GH$169,72-GH$169+SwaptionMonthsToGo+SwaptionShift))/SQRT(SUM(INDEX($FO372:$IH372,1+SwaptionShift):INDEX($FO372:$IH372,SwaptionMonthsToGo+SwaptionShift))*SUM(INDEX($FO$325:$IH$396,GH$169,1+SwaptionShift):INDEX($FO$325:$IH$396,GH$169,SwaptionMonthsToGo+SwaptionShift))))))</f>
        <v/>
      </c>
      <c r="GI217" s="469" t="str">
        <f ca="1">IF(OR(GI$169&lt;SwaptionFirstMonthPosition+1,$FN217&lt;SwaptionFirstMonthPosition+1,GI$169&gt;SwaptionFirstMonthPosition+SwaptionNumOfMonths+1,$FN217&gt;SwaptionFirstMonthPosition+SwaptionNumOfMonths+1),"",IF($FN217=GI$169,1,IF($FN217&lt;GI$169,INDEX($FO$170:$IH$241,GI$169,$FN217),SUMPRODUCT(INDEX($FO$325:$IH$396,GI$169,1+SwaptionShift):INDEX($FO$325:$IH$396,GI$169,SwaptionMonthsToGo+SwaptionShift),INDEX($FO$245:$IH$316,$FN217-GI$169,73-GI$169+SwaptionShift):INDEX($FO$245:$IH$316,$FN217-GI$169,72-GI$169+SwaptionMonthsToGo+SwaptionShift))/SQRT(SUM(INDEX($FO372:$IH372,1+SwaptionShift):INDEX($FO372:$IH372,SwaptionMonthsToGo+SwaptionShift))*SUM(INDEX($FO$325:$IH$396,GI$169,1+SwaptionShift):INDEX($FO$325:$IH$396,GI$169,SwaptionMonthsToGo+SwaptionShift))))))</f>
        <v/>
      </c>
      <c r="GJ217" s="469" t="str">
        <f ca="1">IF(OR(GJ$169&lt;SwaptionFirstMonthPosition+1,$FN217&lt;SwaptionFirstMonthPosition+1,GJ$169&gt;SwaptionFirstMonthPosition+SwaptionNumOfMonths+1,$FN217&gt;SwaptionFirstMonthPosition+SwaptionNumOfMonths+1),"",IF($FN217=GJ$169,1,IF($FN217&lt;GJ$169,INDEX($FO$170:$IH$241,GJ$169,$FN217),SUMPRODUCT(INDEX($FO$325:$IH$396,GJ$169,1+SwaptionShift):INDEX($FO$325:$IH$396,GJ$169,SwaptionMonthsToGo+SwaptionShift),INDEX($FO$245:$IH$316,$FN217-GJ$169,73-GJ$169+SwaptionShift):INDEX($FO$245:$IH$316,$FN217-GJ$169,72-GJ$169+SwaptionMonthsToGo+SwaptionShift))/SQRT(SUM(INDEX($FO372:$IH372,1+SwaptionShift):INDEX($FO372:$IH372,SwaptionMonthsToGo+SwaptionShift))*SUM(INDEX($FO$325:$IH$396,GJ$169,1+SwaptionShift):INDEX($FO$325:$IH$396,GJ$169,SwaptionMonthsToGo+SwaptionShift))))))</f>
        <v/>
      </c>
      <c r="GK217" s="469" t="str">
        <f ca="1">IF(OR(GK$169&lt;SwaptionFirstMonthPosition+1,$FN217&lt;SwaptionFirstMonthPosition+1,GK$169&gt;SwaptionFirstMonthPosition+SwaptionNumOfMonths+1,$FN217&gt;SwaptionFirstMonthPosition+SwaptionNumOfMonths+1),"",IF($FN217=GK$169,1,IF($FN217&lt;GK$169,INDEX($FO$170:$IH$241,GK$169,$FN217),SUMPRODUCT(INDEX($FO$325:$IH$396,GK$169,1+SwaptionShift):INDEX($FO$325:$IH$396,GK$169,SwaptionMonthsToGo+SwaptionShift),INDEX($FO$245:$IH$316,$FN217-GK$169,73-GK$169+SwaptionShift):INDEX($FO$245:$IH$316,$FN217-GK$169,72-GK$169+SwaptionMonthsToGo+SwaptionShift))/SQRT(SUM(INDEX($FO372:$IH372,1+SwaptionShift):INDEX($FO372:$IH372,SwaptionMonthsToGo+SwaptionShift))*SUM(INDEX($FO$325:$IH$396,GK$169,1+SwaptionShift):INDEX($FO$325:$IH$396,GK$169,SwaptionMonthsToGo+SwaptionShift))))))</f>
        <v/>
      </c>
      <c r="GL217" s="469" t="str">
        <f ca="1">IF(OR(GL$169&lt;SwaptionFirstMonthPosition+1,$FN217&lt;SwaptionFirstMonthPosition+1,GL$169&gt;SwaptionFirstMonthPosition+SwaptionNumOfMonths+1,$FN217&gt;SwaptionFirstMonthPosition+SwaptionNumOfMonths+1),"",IF($FN217=GL$169,1,IF($FN217&lt;GL$169,INDEX($FO$170:$IH$241,GL$169,$FN217),SUMPRODUCT(INDEX($FO$325:$IH$396,GL$169,1+SwaptionShift):INDEX($FO$325:$IH$396,GL$169,SwaptionMonthsToGo+SwaptionShift),INDEX($FO$245:$IH$316,$FN217-GL$169,73-GL$169+SwaptionShift):INDEX($FO$245:$IH$316,$FN217-GL$169,72-GL$169+SwaptionMonthsToGo+SwaptionShift))/SQRT(SUM(INDEX($FO372:$IH372,1+SwaptionShift):INDEX($FO372:$IH372,SwaptionMonthsToGo+SwaptionShift))*SUM(INDEX($FO$325:$IH$396,GL$169,1+SwaptionShift):INDEX($FO$325:$IH$396,GL$169,SwaptionMonthsToGo+SwaptionShift))))))</f>
        <v/>
      </c>
      <c r="GM217" s="469" t="str">
        <f ca="1">IF(OR(GM$169&lt;SwaptionFirstMonthPosition+1,$FN217&lt;SwaptionFirstMonthPosition+1,GM$169&gt;SwaptionFirstMonthPosition+SwaptionNumOfMonths+1,$FN217&gt;SwaptionFirstMonthPosition+SwaptionNumOfMonths+1),"",IF($FN217=GM$169,1,IF($FN217&lt;GM$169,INDEX($FO$170:$IH$241,GM$169,$FN217),SUMPRODUCT(INDEX($FO$325:$IH$396,GM$169,1+SwaptionShift):INDEX($FO$325:$IH$396,GM$169,SwaptionMonthsToGo+SwaptionShift),INDEX($FO$245:$IH$316,$FN217-GM$169,73-GM$169+SwaptionShift):INDEX($FO$245:$IH$316,$FN217-GM$169,72-GM$169+SwaptionMonthsToGo+SwaptionShift))/SQRT(SUM(INDEX($FO372:$IH372,1+SwaptionShift):INDEX($FO372:$IH372,SwaptionMonthsToGo+SwaptionShift))*SUM(INDEX($FO$325:$IH$396,GM$169,1+SwaptionShift):INDEX($FO$325:$IH$396,GM$169,SwaptionMonthsToGo+SwaptionShift))))))</f>
        <v/>
      </c>
      <c r="GN217" s="469" t="str">
        <f ca="1">IF(OR(GN$169&lt;SwaptionFirstMonthPosition+1,$FN217&lt;SwaptionFirstMonthPosition+1,GN$169&gt;SwaptionFirstMonthPosition+SwaptionNumOfMonths+1,$FN217&gt;SwaptionFirstMonthPosition+SwaptionNumOfMonths+1),"",IF($FN217=GN$169,1,IF($FN217&lt;GN$169,INDEX($FO$170:$IH$241,GN$169,$FN217),SUMPRODUCT(INDEX($FO$325:$IH$396,GN$169,1+SwaptionShift):INDEX($FO$325:$IH$396,GN$169,SwaptionMonthsToGo+SwaptionShift),INDEX($FO$245:$IH$316,$FN217-GN$169,73-GN$169+SwaptionShift):INDEX($FO$245:$IH$316,$FN217-GN$169,72-GN$169+SwaptionMonthsToGo+SwaptionShift))/SQRT(SUM(INDEX($FO372:$IH372,1+SwaptionShift):INDEX($FO372:$IH372,SwaptionMonthsToGo+SwaptionShift))*SUM(INDEX($FO$325:$IH$396,GN$169,1+SwaptionShift):INDEX($FO$325:$IH$396,GN$169,SwaptionMonthsToGo+SwaptionShift))))))</f>
        <v/>
      </c>
      <c r="GO217" s="469" t="str">
        <f ca="1">IF(OR(GO$169&lt;SwaptionFirstMonthPosition+1,$FN217&lt;SwaptionFirstMonthPosition+1,GO$169&gt;SwaptionFirstMonthPosition+SwaptionNumOfMonths+1,$FN217&gt;SwaptionFirstMonthPosition+SwaptionNumOfMonths+1),"",IF($FN217=GO$169,1,IF($FN217&lt;GO$169,INDEX($FO$170:$IH$241,GO$169,$FN217),SUMPRODUCT(INDEX($FO$325:$IH$396,GO$169,1+SwaptionShift):INDEX($FO$325:$IH$396,GO$169,SwaptionMonthsToGo+SwaptionShift),INDEX($FO$245:$IH$316,$FN217-GO$169,73-GO$169+SwaptionShift):INDEX($FO$245:$IH$316,$FN217-GO$169,72-GO$169+SwaptionMonthsToGo+SwaptionShift))/SQRT(SUM(INDEX($FO372:$IH372,1+SwaptionShift):INDEX($FO372:$IH372,SwaptionMonthsToGo+SwaptionShift))*SUM(INDEX($FO$325:$IH$396,GO$169,1+SwaptionShift):INDEX($FO$325:$IH$396,GO$169,SwaptionMonthsToGo+SwaptionShift))))))</f>
        <v/>
      </c>
      <c r="GP217" s="469" t="str">
        <f ca="1">IF(OR(GP$169&lt;SwaptionFirstMonthPosition+1,$FN217&lt;SwaptionFirstMonthPosition+1,GP$169&gt;SwaptionFirstMonthPosition+SwaptionNumOfMonths+1,$FN217&gt;SwaptionFirstMonthPosition+SwaptionNumOfMonths+1),"",IF($FN217=GP$169,1,IF($FN217&lt;GP$169,INDEX($FO$170:$IH$241,GP$169,$FN217),SUMPRODUCT(INDEX($FO$325:$IH$396,GP$169,1+SwaptionShift):INDEX($FO$325:$IH$396,GP$169,SwaptionMonthsToGo+SwaptionShift),INDEX($FO$245:$IH$316,$FN217-GP$169,73-GP$169+SwaptionShift):INDEX($FO$245:$IH$316,$FN217-GP$169,72-GP$169+SwaptionMonthsToGo+SwaptionShift))/SQRT(SUM(INDEX($FO372:$IH372,1+SwaptionShift):INDEX($FO372:$IH372,SwaptionMonthsToGo+SwaptionShift))*SUM(INDEX($FO$325:$IH$396,GP$169,1+SwaptionShift):INDEX($FO$325:$IH$396,GP$169,SwaptionMonthsToGo+SwaptionShift))))))</f>
        <v/>
      </c>
      <c r="GQ217" s="469" t="str">
        <f ca="1">IF(OR(GQ$169&lt;SwaptionFirstMonthPosition+1,$FN217&lt;SwaptionFirstMonthPosition+1,GQ$169&gt;SwaptionFirstMonthPosition+SwaptionNumOfMonths+1,$FN217&gt;SwaptionFirstMonthPosition+SwaptionNumOfMonths+1),"",IF($FN217=GQ$169,1,IF($FN217&lt;GQ$169,INDEX($FO$170:$IH$241,GQ$169,$FN217),SUMPRODUCT(INDEX($FO$325:$IH$396,GQ$169,1+SwaptionShift):INDEX($FO$325:$IH$396,GQ$169,SwaptionMonthsToGo+SwaptionShift),INDEX($FO$245:$IH$316,$FN217-GQ$169,73-GQ$169+SwaptionShift):INDEX($FO$245:$IH$316,$FN217-GQ$169,72-GQ$169+SwaptionMonthsToGo+SwaptionShift))/SQRT(SUM(INDEX($FO372:$IH372,1+SwaptionShift):INDEX($FO372:$IH372,SwaptionMonthsToGo+SwaptionShift))*SUM(INDEX($FO$325:$IH$396,GQ$169,1+SwaptionShift):INDEX($FO$325:$IH$396,GQ$169,SwaptionMonthsToGo+SwaptionShift))))))</f>
        <v/>
      </c>
      <c r="GR217" s="469" t="str">
        <f ca="1">IF(OR(GR$169&lt;SwaptionFirstMonthPosition+1,$FN217&lt;SwaptionFirstMonthPosition+1,GR$169&gt;SwaptionFirstMonthPosition+SwaptionNumOfMonths+1,$FN217&gt;SwaptionFirstMonthPosition+SwaptionNumOfMonths+1),"",IF($FN217=GR$169,1,IF($FN217&lt;GR$169,INDEX($FO$170:$IH$241,GR$169,$FN217),SUMPRODUCT(INDEX($FO$325:$IH$396,GR$169,1+SwaptionShift):INDEX($FO$325:$IH$396,GR$169,SwaptionMonthsToGo+SwaptionShift),INDEX($FO$245:$IH$316,$FN217-GR$169,73-GR$169+SwaptionShift):INDEX($FO$245:$IH$316,$FN217-GR$169,72-GR$169+SwaptionMonthsToGo+SwaptionShift))/SQRT(SUM(INDEX($FO372:$IH372,1+SwaptionShift):INDEX($FO372:$IH372,SwaptionMonthsToGo+SwaptionShift))*SUM(INDEX($FO$325:$IH$396,GR$169,1+SwaptionShift):INDEX($FO$325:$IH$396,GR$169,SwaptionMonthsToGo+SwaptionShift))))))</f>
        <v/>
      </c>
      <c r="GS217" s="469" t="str">
        <f ca="1">IF(OR(GS$169&lt;SwaptionFirstMonthPosition+1,$FN217&lt;SwaptionFirstMonthPosition+1,GS$169&gt;SwaptionFirstMonthPosition+SwaptionNumOfMonths+1,$FN217&gt;SwaptionFirstMonthPosition+SwaptionNumOfMonths+1),"",IF($FN217=GS$169,1,IF($FN217&lt;GS$169,INDEX($FO$170:$IH$241,GS$169,$FN217),SUMPRODUCT(INDEX($FO$325:$IH$396,GS$169,1+SwaptionShift):INDEX($FO$325:$IH$396,GS$169,SwaptionMonthsToGo+SwaptionShift),INDEX($FO$245:$IH$316,$FN217-GS$169,73-GS$169+SwaptionShift):INDEX($FO$245:$IH$316,$FN217-GS$169,72-GS$169+SwaptionMonthsToGo+SwaptionShift))/SQRT(SUM(INDEX($FO372:$IH372,1+SwaptionShift):INDEX($FO372:$IH372,SwaptionMonthsToGo+SwaptionShift))*SUM(INDEX($FO$325:$IH$396,GS$169,1+SwaptionShift):INDEX($FO$325:$IH$396,GS$169,SwaptionMonthsToGo+SwaptionShift))))))</f>
        <v/>
      </c>
      <c r="GT217" s="469" t="str">
        <f ca="1">IF(OR(GT$169&lt;SwaptionFirstMonthPosition+1,$FN217&lt;SwaptionFirstMonthPosition+1,GT$169&gt;SwaptionFirstMonthPosition+SwaptionNumOfMonths+1,$FN217&gt;SwaptionFirstMonthPosition+SwaptionNumOfMonths+1),"",IF($FN217=GT$169,1,IF($FN217&lt;GT$169,INDEX($FO$170:$IH$241,GT$169,$FN217),SUMPRODUCT(INDEX($FO$325:$IH$396,GT$169,1+SwaptionShift):INDEX($FO$325:$IH$396,GT$169,SwaptionMonthsToGo+SwaptionShift),INDEX($FO$245:$IH$316,$FN217-GT$169,73-GT$169+SwaptionShift):INDEX($FO$245:$IH$316,$FN217-GT$169,72-GT$169+SwaptionMonthsToGo+SwaptionShift))/SQRT(SUM(INDEX($FO372:$IH372,1+SwaptionShift):INDEX($FO372:$IH372,SwaptionMonthsToGo+SwaptionShift))*SUM(INDEX($FO$325:$IH$396,GT$169,1+SwaptionShift):INDEX($FO$325:$IH$396,GT$169,SwaptionMonthsToGo+SwaptionShift))))))</f>
        <v/>
      </c>
      <c r="GU217" s="469" t="str">
        <f ca="1">IF(OR(GU$169&lt;SwaptionFirstMonthPosition+1,$FN217&lt;SwaptionFirstMonthPosition+1,GU$169&gt;SwaptionFirstMonthPosition+SwaptionNumOfMonths+1,$FN217&gt;SwaptionFirstMonthPosition+SwaptionNumOfMonths+1),"",IF($FN217=GU$169,1,IF($FN217&lt;GU$169,INDEX($FO$170:$IH$241,GU$169,$FN217),SUMPRODUCT(INDEX($FO$325:$IH$396,GU$169,1+SwaptionShift):INDEX($FO$325:$IH$396,GU$169,SwaptionMonthsToGo+SwaptionShift),INDEX($FO$245:$IH$316,$FN217-GU$169,73-GU$169+SwaptionShift):INDEX($FO$245:$IH$316,$FN217-GU$169,72-GU$169+SwaptionMonthsToGo+SwaptionShift))/SQRT(SUM(INDEX($FO372:$IH372,1+SwaptionShift):INDEX($FO372:$IH372,SwaptionMonthsToGo+SwaptionShift))*SUM(INDEX($FO$325:$IH$396,GU$169,1+SwaptionShift):INDEX($FO$325:$IH$396,GU$169,SwaptionMonthsToGo+SwaptionShift))))))</f>
        <v/>
      </c>
      <c r="GV217" s="469" t="str">
        <f ca="1">IF(OR(GV$169&lt;SwaptionFirstMonthPosition+1,$FN217&lt;SwaptionFirstMonthPosition+1,GV$169&gt;SwaptionFirstMonthPosition+SwaptionNumOfMonths+1,$FN217&gt;SwaptionFirstMonthPosition+SwaptionNumOfMonths+1),"",IF($FN217=GV$169,1,IF($FN217&lt;GV$169,INDEX($FO$170:$IH$241,GV$169,$FN217),SUMPRODUCT(INDEX($FO$325:$IH$396,GV$169,1+SwaptionShift):INDEX($FO$325:$IH$396,GV$169,SwaptionMonthsToGo+SwaptionShift),INDEX($FO$245:$IH$316,$FN217-GV$169,73-GV$169+SwaptionShift):INDEX($FO$245:$IH$316,$FN217-GV$169,72-GV$169+SwaptionMonthsToGo+SwaptionShift))/SQRT(SUM(INDEX($FO372:$IH372,1+SwaptionShift):INDEX($FO372:$IH372,SwaptionMonthsToGo+SwaptionShift))*SUM(INDEX($FO$325:$IH$396,GV$169,1+SwaptionShift):INDEX($FO$325:$IH$396,GV$169,SwaptionMonthsToGo+SwaptionShift))))))</f>
        <v/>
      </c>
      <c r="GW217" s="469" t="str">
        <f ca="1">IF(OR(GW$169&lt;SwaptionFirstMonthPosition+1,$FN217&lt;SwaptionFirstMonthPosition+1,GW$169&gt;SwaptionFirstMonthPosition+SwaptionNumOfMonths+1,$FN217&gt;SwaptionFirstMonthPosition+SwaptionNumOfMonths+1),"",IF($FN217=GW$169,1,IF($FN217&lt;GW$169,INDEX($FO$170:$IH$241,GW$169,$FN217),SUMPRODUCT(INDEX($FO$325:$IH$396,GW$169,1+SwaptionShift):INDEX($FO$325:$IH$396,GW$169,SwaptionMonthsToGo+SwaptionShift),INDEX($FO$245:$IH$316,$FN217-GW$169,73-GW$169+SwaptionShift):INDEX($FO$245:$IH$316,$FN217-GW$169,72-GW$169+SwaptionMonthsToGo+SwaptionShift))/SQRT(SUM(INDEX($FO372:$IH372,1+SwaptionShift):INDEX($FO372:$IH372,SwaptionMonthsToGo+SwaptionShift))*SUM(INDEX($FO$325:$IH$396,GW$169,1+SwaptionShift):INDEX($FO$325:$IH$396,GW$169,SwaptionMonthsToGo+SwaptionShift))))))</f>
        <v/>
      </c>
      <c r="GX217" s="469" t="str">
        <f ca="1">IF(OR(GX$169&lt;SwaptionFirstMonthPosition+1,$FN217&lt;SwaptionFirstMonthPosition+1,GX$169&gt;SwaptionFirstMonthPosition+SwaptionNumOfMonths+1,$FN217&gt;SwaptionFirstMonthPosition+SwaptionNumOfMonths+1),"",IF($FN217=GX$169,1,IF($FN217&lt;GX$169,INDEX($FO$170:$IH$241,GX$169,$FN217),SUMPRODUCT(INDEX($FO$325:$IH$396,GX$169,1+SwaptionShift):INDEX($FO$325:$IH$396,GX$169,SwaptionMonthsToGo+SwaptionShift),INDEX($FO$245:$IH$316,$FN217-GX$169,73-GX$169+SwaptionShift):INDEX($FO$245:$IH$316,$FN217-GX$169,72-GX$169+SwaptionMonthsToGo+SwaptionShift))/SQRT(SUM(INDEX($FO372:$IH372,1+SwaptionShift):INDEX($FO372:$IH372,SwaptionMonthsToGo+SwaptionShift))*SUM(INDEX($FO$325:$IH$396,GX$169,1+SwaptionShift):INDEX($FO$325:$IH$396,GX$169,SwaptionMonthsToGo+SwaptionShift))))))</f>
        <v/>
      </c>
      <c r="GY217" s="469" t="str">
        <f ca="1">IF(OR(GY$169&lt;SwaptionFirstMonthPosition+1,$FN217&lt;SwaptionFirstMonthPosition+1,GY$169&gt;SwaptionFirstMonthPosition+SwaptionNumOfMonths+1,$FN217&gt;SwaptionFirstMonthPosition+SwaptionNumOfMonths+1),"",IF($FN217=GY$169,1,IF($FN217&lt;GY$169,INDEX($FO$170:$IH$241,GY$169,$FN217),SUMPRODUCT(INDEX($FO$325:$IH$396,GY$169,1+SwaptionShift):INDEX($FO$325:$IH$396,GY$169,SwaptionMonthsToGo+SwaptionShift),INDEX($FO$245:$IH$316,$FN217-GY$169,73-GY$169+SwaptionShift):INDEX($FO$245:$IH$316,$FN217-GY$169,72-GY$169+SwaptionMonthsToGo+SwaptionShift))/SQRT(SUM(INDEX($FO372:$IH372,1+SwaptionShift):INDEX($FO372:$IH372,SwaptionMonthsToGo+SwaptionShift))*SUM(INDEX($FO$325:$IH$396,GY$169,1+SwaptionShift):INDEX($FO$325:$IH$396,GY$169,SwaptionMonthsToGo+SwaptionShift))))))</f>
        <v/>
      </c>
      <c r="GZ217" s="469" t="str">
        <f ca="1">IF(OR(GZ$169&lt;SwaptionFirstMonthPosition+1,$FN217&lt;SwaptionFirstMonthPosition+1,GZ$169&gt;SwaptionFirstMonthPosition+SwaptionNumOfMonths+1,$FN217&gt;SwaptionFirstMonthPosition+SwaptionNumOfMonths+1),"",IF($FN217=GZ$169,1,IF($FN217&lt;GZ$169,INDEX($FO$170:$IH$241,GZ$169,$FN217),SUMPRODUCT(INDEX($FO$325:$IH$396,GZ$169,1+SwaptionShift):INDEX($FO$325:$IH$396,GZ$169,SwaptionMonthsToGo+SwaptionShift),INDEX($FO$245:$IH$316,$FN217-GZ$169,73-GZ$169+SwaptionShift):INDEX($FO$245:$IH$316,$FN217-GZ$169,72-GZ$169+SwaptionMonthsToGo+SwaptionShift))/SQRT(SUM(INDEX($FO372:$IH372,1+SwaptionShift):INDEX($FO372:$IH372,SwaptionMonthsToGo+SwaptionShift))*SUM(INDEX($FO$325:$IH$396,GZ$169,1+SwaptionShift):INDEX($FO$325:$IH$396,GZ$169,SwaptionMonthsToGo+SwaptionShift))))))</f>
        <v/>
      </c>
      <c r="HA217" s="469" t="str">
        <f ca="1">IF(OR(HA$169&lt;SwaptionFirstMonthPosition+1,$FN217&lt;SwaptionFirstMonthPosition+1,HA$169&gt;SwaptionFirstMonthPosition+SwaptionNumOfMonths+1,$FN217&gt;SwaptionFirstMonthPosition+SwaptionNumOfMonths+1),"",IF($FN217=HA$169,1,IF($FN217&lt;HA$169,INDEX($FO$170:$IH$241,HA$169,$FN217),SUMPRODUCT(INDEX($FO$325:$IH$396,HA$169,1+SwaptionShift):INDEX($FO$325:$IH$396,HA$169,SwaptionMonthsToGo+SwaptionShift),INDEX($FO$245:$IH$316,$FN217-HA$169,73-HA$169+SwaptionShift):INDEX($FO$245:$IH$316,$FN217-HA$169,72-HA$169+SwaptionMonthsToGo+SwaptionShift))/SQRT(SUM(INDEX($FO372:$IH372,1+SwaptionShift):INDEX($FO372:$IH372,SwaptionMonthsToGo+SwaptionShift))*SUM(INDEX($FO$325:$IH$396,HA$169,1+SwaptionShift):INDEX($FO$325:$IH$396,HA$169,SwaptionMonthsToGo+SwaptionShift))))))</f>
        <v/>
      </c>
      <c r="HB217" s="469" t="str">
        <f ca="1">IF(OR(HB$169&lt;SwaptionFirstMonthPosition+1,$FN217&lt;SwaptionFirstMonthPosition+1,HB$169&gt;SwaptionFirstMonthPosition+SwaptionNumOfMonths+1,$FN217&gt;SwaptionFirstMonthPosition+SwaptionNumOfMonths+1),"",IF($FN217=HB$169,1,IF($FN217&lt;HB$169,INDEX($FO$170:$IH$241,HB$169,$FN217),SUMPRODUCT(INDEX($FO$325:$IH$396,HB$169,1+SwaptionShift):INDEX($FO$325:$IH$396,HB$169,SwaptionMonthsToGo+SwaptionShift),INDEX($FO$245:$IH$316,$FN217-HB$169,73-HB$169+SwaptionShift):INDEX($FO$245:$IH$316,$FN217-HB$169,72-HB$169+SwaptionMonthsToGo+SwaptionShift))/SQRT(SUM(INDEX($FO372:$IH372,1+SwaptionShift):INDEX($FO372:$IH372,SwaptionMonthsToGo+SwaptionShift))*SUM(INDEX($FO$325:$IH$396,HB$169,1+SwaptionShift):INDEX($FO$325:$IH$396,HB$169,SwaptionMonthsToGo+SwaptionShift))))))</f>
        <v/>
      </c>
      <c r="HC217" s="469" t="str">
        <f ca="1">IF(OR(HC$169&lt;SwaptionFirstMonthPosition+1,$FN217&lt;SwaptionFirstMonthPosition+1,HC$169&gt;SwaptionFirstMonthPosition+SwaptionNumOfMonths+1,$FN217&gt;SwaptionFirstMonthPosition+SwaptionNumOfMonths+1),"",IF($FN217=HC$169,1,IF($FN217&lt;HC$169,INDEX($FO$170:$IH$241,HC$169,$FN217),SUMPRODUCT(INDEX($FO$325:$IH$396,HC$169,1+SwaptionShift):INDEX($FO$325:$IH$396,HC$169,SwaptionMonthsToGo+SwaptionShift),INDEX($FO$245:$IH$316,$FN217-HC$169,73-HC$169+SwaptionShift):INDEX($FO$245:$IH$316,$FN217-HC$169,72-HC$169+SwaptionMonthsToGo+SwaptionShift))/SQRT(SUM(INDEX($FO372:$IH372,1+SwaptionShift):INDEX($FO372:$IH372,SwaptionMonthsToGo+SwaptionShift))*SUM(INDEX($FO$325:$IH$396,HC$169,1+SwaptionShift):INDEX($FO$325:$IH$396,HC$169,SwaptionMonthsToGo+SwaptionShift))))))</f>
        <v/>
      </c>
      <c r="HD217" s="469" t="str">
        <f ca="1">IF(OR(HD$169&lt;SwaptionFirstMonthPosition+1,$FN217&lt;SwaptionFirstMonthPosition+1,HD$169&gt;SwaptionFirstMonthPosition+SwaptionNumOfMonths+1,$FN217&gt;SwaptionFirstMonthPosition+SwaptionNumOfMonths+1),"",IF($FN217=HD$169,1,IF($FN217&lt;HD$169,INDEX($FO$170:$IH$241,HD$169,$FN217),SUMPRODUCT(INDEX($FO$325:$IH$396,HD$169,1+SwaptionShift):INDEX($FO$325:$IH$396,HD$169,SwaptionMonthsToGo+SwaptionShift),INDEX($FO$245:$IH$316,$FN217-HD$169,73-HD$169+SwaptionShift):INDEX($FO$245:$IH$316,$FN217-HD$169,72-HD$169+SwaptionMonthsToGo+SwaptionShift))/SQRT(SUM(INDEX($FO372:$IH372,1+SwaptionShift):INDEX($FO372:$IH372,SwaptionMonthsToGo+SwaptionShift))*SUM(INDEX($FO$325:$IH$396,HD$169,1+SwaptionShift):INDEX($FO$325:$IH$396,HD$169,SwaptionMonthsToGo+SwaptionShift))))))</f>
        <v/>
      </c>
      <c r="HE217" s="469" t="str">
        <f ca="1">IF(OR(HE$169&lt;SwaptionFirstMonthPosition+1,$FN217&lt;SwaptionFirstMonthPosition+1,HE$169&gt;SwaptionFirstMonthPosition+SwaptionNumOfMonths+1,$FN217&gt;SwaptionFirstMonthPosition+SwaptionNumOfMonths+1),"",IF($FN217=HE$169,1,IF($FN217&lt;HE$169,INDEX($FO$170:$IH$241,HE$169,$FN217),SUMPRODUCT(INDEX($FO$325:$IH$396,HE$169,1+SwaptionShift):INDEX($FO$325:$IH$396,HE$169,SwaptionMonthsToGo+SwaptionShift),INDEX($FO$245:$IH$316,$FN217-HE$169,73-HE$169+SwaptionShift):INDEX($FO$245:$IH$316,$FN217-HE$169,72-HE$169+SwaptionMonthsToGo+SwaptionShift))/SQRT(SUM(INDEX($FO372:$IH372,1+SwaptionShift):INDEX($FO372:$IH372,SwaptionMonthsToGo+SwaptionShift))*SUM(INDEX($FO$325:$IH$396,HE$169,1+SwaptionShift):INDEX($FO$325:$IH$396,HE$169,SwaptionMonthsToGo+SwaptionShift))))))</f>
        <v/>
      </c>
      <c r="HF217" s="469" t="str">
        <f ca="1">IF(OR(HF$169&lt;SwaptionFirstMonthPosition+1,$FN217&lt;SwaptionFirstMonthPosition+1,HF$169&gt;SwaptionFirstMonthPosition+SwaptionNumOfMonths+1,$FN217&gt;SwaptionFirstMonthPosition+SwaptionNumOfMonths+1),"",IF($FN217=HF$169,1,IF($FN217&lt;HF$169,INDEX($FO$170:$IH$241,HF$169,$FN217),SUMPRODUCT(INDEX($FO$325:$IH$396,HF$169,1+SwaptionShift):INDEX($FO$325:$IH$396,HF$169,SwaptionMonthsToGo+SwaptionShift),INDEX($FO$245:$IH$316,$FN217-HF$169,73-HF$169+SwaptionShift):INDEX($FO$245:$IH$316,$FN217-HF$169,72-HF$169+SwaptionMonthsToGo+SwaptionShift))/SQRT(SUM(INDEX($FO372:$IH372,1+SwaptionShift):INDEX($FO372:$IH372,SwaptionMonthsToGo+SwaptionShift))*SUM(INDEX($FO$325:$IH$396,HF$169,1+SwaptionShift):INDEX($FO$325:$IH$396,HF$169,SwaptionMonthsToGo+SwaptionShift))))))</f>
        <v/>
      </c>
      <c r="HG217" s="469" t="str">
        <f ca="1">IF(OR(HG$169&lt;SwaptionFirstMonthPosition+1,$FN217&lt;SwaptionFirstMonthPosition+1,HG$169&gt;SwaptionFirstMonthPosition+SwaptionNumOfMonths+1,$FN217&gt;SwaptionFirstMonthPosition+SwaptionNumOfMonths+1),"",IF($FN217=HG$169,1,IF($FN217&lt;HG$169,INDEX($FO$170:$IH$241,HG$169,$FN217),SUMPRODUCT(INDEX($FO$325:$IH$396,HG$169,1+SwaptionShift):INDEX($FO$325:$IH$396,HG$169,SwaptionMonthsToGo+SwaptionShift),INDEX($FO$245:$IH$316,$FN217-HG$169,73-HG$169+SwaptionShift):INDEX($FO$245:$IH$316,$FN217-HG$169,72-HG$169+SwaptionMonthsToGo+SwaptionShift))/SQRT(SUM(INDEX($FO372:$IH372,1+SwaptionShift):INDEX($FO372:$IH372,SwaptionMonthsToGo+SwaptionShift))*SUM(INDEX($FO$325:$IH$396,HG$169,1+SwaptionShift):INDEX($FO$325:$IH$396,HG$169,SwaptionMonthsToGo+SwaptionShift))))))</f>
        <v/>
      </c>
      <c r="HH217" s="469" t="str">
        <f ca="1">IF(OR(HH$169&lt;SwaptionFirstMonthPosition+1,$FN217&lt;SwaptionFirstMonthPosition+1,HH$169&gt;SwaptionFirstMonthPosition+SwaptionNumOfMonths+1,$FN217&gt;SwaptionFirstMonthPosition+SwaptionNumOfMonths+1),"",IF($FN217=HH$169,1,IF($FN217&lt;HH$169,INDEX($FO$170:$IH$241,HH$169,$FN217),SUMPRODUCT(INDEX($FO$325:$IH$396,HH$169,1+SwaptionShift):INDEX($FO$325:$IH$396,HH$169,SwaptionMonthsToGo+SwaptionShift),INDEX($FO$245:$IH$316,$FN217-HH$169,73-HH$169+SwaptionShift):INDEX($FO$245:$IH$316,$FN217-HH$169,72-HH$169+SwaptionMonthsToGo+SwaptionShift))/SQRT(SUM(INDEX($FO372:$IH372,1+SwaptionShift):INDEX($FO372:$IH372,SwaptionMonthsToGo+SwaptionShift))*SUM(INDEX($FO$325:$IH$396,HH$169,1+SwaptionShift):INDEX($FO$325:$IH$396,HH$169,SwaptionMonthsToGo+SwaptionShift))))))</f>
        <v/>
      </c>
      <c r="HI217" s="469" t="str">
        <f ca="1">IF(OR(HI$169&lt;SwaptionFirstMonthPosition+1,$FN217&lt;SwaptionFirstMonthPosition+1,HI$169&gt;SwaptionFirstMonthPosition+SwaptionNumOfMonths+1,$FN217&gt;SwaptionFirstMonthPosition+SwaptionNumOfMonths+1),"",IF($FN217=HI$169,1,IF($FN217&lt;HI$169,INDEX($FO$170:$IH$241,HI$169,$FN217),SUMPRODUCT(INDEX($FO$325:$IH$396,HI$169,1+SwaptionShift):INDEX($FO$325:$IH$396,HI$169,SwaptionMonthsToGo+SwaptionShift),INDEX($FO$245:$IH$316,$FN217-HI$169,73-HI$169+SwaptionShift):INDEX($FO$245:$IH$316,$FN217-HI$169,72-HI$169+SwaptionMonthsToGo+SwaptionShift))/SQRT(SUM(INDEX($FO372:$IH372,1+SwaptionShift):INDEX($FO372:$IH372,SwaptionMonthsToGo+SwaptionShift))*SUM(INDEX($FO$325:$IH$396,HI$169,1+SwaptionShift):INDEX($FO$325:$IH$396,HI$169,SwaptionMonthsToGo+SwaptionShift))))))</f>
        <v/>
      </c>
      <c r="HJ217" s="469" t="str">
        <f ca="1">IF(OR(HJ$169&lt;SwaptionFirstMonthPosition+1,$FN217&lt;SwaptionFirstMonthPosition+1,HJ$169&gt;SwaptionFirstMonthPosition+SwaptionNumOfMonths+1,$FN217&gt;SwaptionFirstMonthPosition+SwaptionNumOfMonths+1),"",IF($FN217=HJ$169,1,IF($FN217&lt;HJ$169,INDEX($FO$170:$IH$241,HJ$169,$FN217),SUMPRODUCT(INDEX($FO$325:$IH$396,HJ$169,1+SwaptionShift):INDEX($FO$325:$IH$396,HJ$169,SwaptionMonthsToGo+SwaptionShift),INDEX($FO$245:$IH$316,$FN217-HJ$169,73-HJ$169+SwaptionShift):INDEX($FO$245:$IH$316,$FN217-HJ$169,72-HJ$169+SwaptionMonthsToGo+SwaptionShift))/SQRT(SUM(INDEX($FO372:$IH372,1+SwaptionShift):INDEX($FO372:$IH372,SwaptionMonthsToGo+SwaptionShift))*SUM(INDEX($FO$325:$IH$396,HJ$169,1+SwaptionShift):INDEX($FO$325:$IH$396,HJ$169,SwaptionMonthsToGo+SwaptionShift))))))</f>
        <v/>
      </c>
      <c r="HK217" s="469" t="str">
        <f ca="1">IF(OR(HK$169&lt;SwaptionFirstMonthPosition+1,$FN217&lt;SwaptionFirstMonthPosition+1,HK$169&gt;SwaptionFirstMonthPosition+SwaptionNumOfMonths+1,$FN217&gt;SwaptionFirstMonthPosition+SwaptionNumOfMonths+1),"",IF($FN217=HK$169,1,IF($FN217&lt;HK$169,INDEX($FO$170:$IH$241,HK$169,$FN217),SUMPRODUCT(INDEX($FO$325:$IH$396,HK$169,1+SwaptionShift):INDEX($FO$325:$IH$396,HK$169,SwaptionMonthsToGo+SwaptionShift),INDEX($FO$245:$IH$316,$FN217-HK$169,73-HK$169+SwaptionShift):INDEX($FO$245:$IH$316,$FN217-HK$169,72-HK$169+SwaptionMonthsToGo+SwaptionShift))/SQRT(SUM(INDEX($FO372:$IH372,1+SwaptionShift):INDEX($FO372:$IH372,SwaptionMonthsToGo+SwaptionShift))*SUM(INDEX($FO$325:$IH$396,HK$169,1+SwaptionShift):INDEX($FO$325:$IH$396,HK$169,SwaptionMonthsToGo+SwaptionShift))))))</f>
        <v/>
      </c>
      <c r="HL217" s="469" t="str">
        <f ca="1">IF(OR(HL$169&lt;SwaptionFirstMonthPosition+1,$FN217&lt;SwaptionFirstMonthPosition+1,HL$169&gt;SwaptionFirstMonthPosition+SwaptionNumOfMonths+1,$FN217&gt;SwaptionFirstMonthPosition+SwaptionNumOfMonths+1),"",IF($FN217=HL$169,1,IF($FN217&lt;HL$169,INDEX($FO$170:$IH$241,HL$169,$FN217),SUMPRODUCT(INDEX($FO$325:$IH$396,HL$169,1+SwaptionShift):INDEX($FO$325:$IH$396,HL$169,SwaptionMonthsToGo+SwaptionShift),INDEX($FO$245:$IH$316,$FN217-HL$169,73-HL$169+SwaptionShift):INDEX($FO$245:$IH$316,$FN217-HL$169,72-HL$169+SwaptionMonthsToGo+SwaptionShift))/SQRT(SUM(INDEX($FO372:$IH372,1+SwaptionShift):INDEX($FO372:$IH372,SwaptionMonthsToGo+SwaptionShift))*SUM(INDEX($FO$325:$IH$396,HL$169,1+SwaptionShift):INDEX($FO$325:$IH$396,HL$169,SwaptionMonthsToGo+SwaptionShift))))))</f>
        <v/>
      </c>
      <c r="HM217" s="469" t="str">
        <f ca="1">IF(OR(HM$169&lt;SwaptionFirstMonthPosition+1,$FN217&lt;SwaptionFirstMonthPosition+1,HM$169&gt;SwaptionFirstMonthPosition+SwaptionNumOfMonths+1,$FN217&gt;SwaptionFirstMonthPosition+SwaptionNumOfMonths+1),"",IF($FN217=HM$169,1,IF($FN217&lt;HM$169,INDEX($FO$170:$IH$241,HM$169,$FN217),SUMPRODUCT(INDEX($FO$325:$IH$396,HM$169,1+SwaptionShift):INDEX($FO$325:$IH$396,HM$169,SwaptionMonthsToGo+SwaptionShift),INDEX($FO$245:$IH$316,$FN217-HM$169,73-HM$169+SwaptionShift):INDEX($FO$245:$IH$316,$FN217-HM$169,72-HM$169+SwaptionMonthsToGo+SwaptionShift))/SQRT(SUM(INDEX($FO372:$IH372,1+SwaptionShift):INDEX($FO372:$IH372,SwaptionMonthsToGo+SwaptionShift))*SUM(INDEX($FO$325:$IH$396,HM$169,1+SwaptionShift):INDEX($FO$325:$IH$396,HM$169,SwaptionMonthsToGo+SwaptionShift))))))</f>
        <v/>
      </c>
      <c r="HN217" s="469" t="str">
        <f ca="1">IF(OR(HN$169&lt;SwaptionFirstMonthPosition+1,$FN217&lt;SwaptionFirstMonthPosition+1,HN$169&gt;SwaptionFirstMonthPosition+SwaptionNumOfMonths+1,$FN217&gt;SwaptionFirstMonthPosition+SwaptionNumOfMonths+1),"",IF($FN217=HN$169,1,IF($FN217&lt;HN$169,INDEX($FO$170:$IH$241,HN$169,$FN217),SUMPRODUCT(INDEX($FO$325:$IH$396,HN$169,1+SwaptionShift):INDEX($FO$325:$IH$396,HN$169,SwaptionMonthsToGo+SwaptionShift),INDEX($FO$245:$IH$316,$FN217-HN$169,73-HN$169+SwaptionShift):INDEX($FO$245:$IH$316,$FN217-HN$169,72-HN$169+SwaptionMonthsToGo+SwaptionShift))/SQRT(SUM(INDEX($FO372:$IH372,1+SwaptionShift):INDEX($FO372:$IH372,SwaptionMonthsToGo+SwaptionShift))*SUM(INDEX($FO$325:$IH$396,HN$169,1+SwaptionShift):INDEX($FO$325:$IH$396,HN$169,SwaptionMonthsToGo+SwaptionShift))))))</f>
        <v/>
      </c>
      <c r="HO217" s="469" t="str">
        <f ca="1">IF(OR(HO$169&lt;SwaptionFirstMonthPosition+1,$FN217&lt;SwaptionFirstMonthPosition+1,HO$169&gt;SwaptionFirstMonthPosition+SwaptionNumOfMonths+1,$FN217&gt;SwaptionFirstMonthPosition+SwaptionNumOfMonths+1),"",IF($FN217=HO$169,1,IF($FN217&lt;HO$169,INDEX($FO$170:$IH$241,HO$169,$FN217),SUMPRODUCT(INDEX($FO$325:$IH$396,HO$169,1+SwaptionShift):INDEX($FO$325:$IH$396,HO$169,SwaptionMonthsToGo+SwaptionShift),INDEX($FO$245:$IH$316,$FN217-HO$169,73-HO$169+SwaptionShift):INDEX($FO$245:$IH$316,$FN217-HO$169,72-HO$169+SwaptionMonthsToGo+SwaptionShift))/SQRT(SUM(INDEX($FO372:$IH372,1+SwaptionShift):INDEX($FO372:$IH372,SwaptionMonthsToGo+SwaptionShift))*SUM(INDEX($FO$325:$IH$396,HO$169,1+SwaptionShift):INDEX($FO$325:$IH$396,HO$169,SwaptionMonthsToGo+SwaptionShift))))))</f>
        <v/>
      </c>
      <c r="HP217" s="469" t="str">
        <f ca="1">IF(OR(HP$169&lt;SwaptionFirstMonthPosition+1,$FN217&lt;SwaptionFirstMonthPosition+1,HP$169&gt;SwaptionFirstMonthPosition+SwaptionNumOfMonths+1,$FN217&gt;SwaptionFirstMonthPosition+SwaptionNumOfMonths+1),"",IF($FN217=HP$169,1,IF($FN217&lt;HP$169,INDEX($FO$170:$IH$241,HP$169,$FN217),SUMPRODUCT(INDEX($FO$325:$IH$396,HP$169,1+SwaptionShift):INDEX($FO$325:$IH$396,HP$169,SwaptionMonthsToGo+SwaptionShift),INDEX($FO$245:$IH$316,$FN217-HP$169,73-HP$169+SwaptionShift):INDEX($FO$245:$IH$316,$FN217-HP$169,72-HP$169+SwaptionMonthsToGo+SwaptionShift))/SQRT(SUM(INDEX($FO372:$IH372,1+SwaptionShift):INDEX($FO372:$IH372,SwaptionMonthsToGo+SwaptionShift))*SUM(INDEX($FO$325:$IH$396,HP$169,1+SwaptionShift):INDEX($FO$325:$IH$396,HP$169,SwaptionMonthsToGo+SwaptionShift))))))</f>
        <v/>
      </c>
      <c r="HQ217" s="469" t="str">
        <f ca="1">IF(OR(HQ$169&lt;SwaptionFirstMonthPosition+1,$FN217&lt;SwaptionFirstMonthPosition+1,HQ$169&gt;SwaptionFirstMonthPosition+SwaptionNumOfMonths+1,$FN217&gt;SwaptionFirstMonthPosition+SwaptionNumOfMonths+1),"",IF($FN217=HQ$169,1,IF($FN217&lt;HQ$169,INDEX($FO$170:$IH$241,HQ$169,$FN217),SUMPRODUCT(INDEX($FO$325:$IH$396,HQ$169,1+SwaptionShift):INDEX($FO$325:$IH$396,HQ$169,SwaptionMonthsToGo+SwaptionShift),INDEX($FO$245:$IH$316,$FN217-HQ$169,73-HQ$169+SwaptionShift):INDEX($FO$245:$IH$316,$FN217-HQ$169,72-HQ$169+SwaptionMonthsToGo+SwaptionShift))/SQRT(SUM(INDEX($FO372:$IH372,1+SwaptionShift):INDEX($FO372:$IH372,SwaptionMonthsToGo+SwaptionShift))*SUM(INDEX($FO$325:$IH$396,HQ$169,1+SwaptionShift):INDEX($FO$325:$IH$396,HQ$169,SwaptionMonthsToGo+SwaptionShift))))))</f>
        <v/>
      </c>
      <c r="HR217" s="469" t="str">
        <f ca="1">IF(OR(HR$169&lt;SwaptionFirstMonthPosition+1,$FN217&lt;SwaptionFirstMonthPosition+1,HR$169&gt;SwaptionFirstMonthPosition+SwaptionNumOfMonths+1,$FN217&gt;SwaptionFirstMonthPosition+SwaptionNumOfMonths+1),"",IF($FN217=HR$169,1,IF($FN217&lt;HR$169,INDEX($FO$170:$IH$241,HR$169,$FN217),SUMPRODUCT(INDEX($FO$325:$IH$396,HR$169,1+SwaptionShift):INDEX($FO$325:$IH$396,HR$169,SwaptionMonthsToGo+SwaptionShift),INDEX($FO$245:$IH$316,$FN217-HR$169,73-HR$169+SwaptionShift):INDEX($FO$245:$IH$316,$FN217-HR$169,72-HR$169+SwaptionMonthsToGo+SwaptionShift))/SQRT(SUM(INDEX($FO372:$IH372,1+SwaptionShift):INDEX($FO372:$IH372,SwaptionMonthsToGo+SwaptionShift))*SUM(INDEX($FO$325:$IH$396,HR$169,1+SwaptionShift):INDEX($FO$325:$IH$396,HR$169,SwaptionMonthsToGo+SwaptionShift))))))</f>
        <v/>
      </c>
      <c r="HS217" s="469" t="str">
        <f ca="1">IF(OR(HS$169&lt;SwaptionFirstMonthPosition+1,$FN217&lt;SwaptionFirstMonthPosition+1,HS$169&gt;SwaptionFirstMonthPosition+SwaptionNumOfMonths+1,$FN217&gt;SwaptionFirstMonthPosition+SwaptionNumOfMonths+1),"",IF($FN217=HS$169,1,IF($FN217&lt;HS$169,INDEX($FO$170:$IH$241,HS$169,$FN217),SUMPRODUCT(INDEX($FO$325:$IH$396,HS$169,1+SwaptionShift):INDEX($FO$325:$IH$396,HS$169,SwaptionMonthsToGo+SwaptionShift),INDEX($FO$245:$IH$316,$FN217-HS$169,73-HS$169+SwaptionShift):INDEX($FO$245:$IH$316,$FN217-HS$169,72-HS$169+SwaptionMonthsToGo+SwaptionShift))/SQRT(SUM(INDEX($FO372:$IH372,1+SwaptionShift):INDEX($FO372:$IH372,SwaptionMonthsToGo+SwaptionShift))*SUM(INDEX($FO$325:$IH$396,HS$169,1+SwaptionShift):INDEX($FO$325:$IH$396,HS$169,SwaptionMonthsToGo+SwaptionShift))))))</f>
        <v/>
      </c>
      <c r="HT217" s="469" t="str">
        <f ca="1">IF(OR(HT$169&lt;SwaptionFirstMonthPosition+1,$FN217&lt;SwaptionFirstMonthPosition+1,HT$169&gt;SwaptionFirstMonthPosition+SwaptionNumOfMonths+1,$FN217&gt;SwaptionFirstMonthPosition+SwaptionNumOfMonths+1),"",IF($FN217=HT$169,1,IF($FN217&lt;HT$169,INDEX($FO$170:$IH$241,HT$169,$FN217),SUMPRODUCT(INDEX($FO$325:$IH$396,HT$169,1+SwaptionShift):INDEX($FO$325:$IH$396,HT$169,SwaptionMonthsToGo+SwaptionShift),INDEX($FO$245:$IH$316,$FN217-HT$169,73-HT$169+SwaptionShift):INDEX($FO$245:$IH$316,$FN217-HT$169,72-HT$169+SwaptionMonthsToGo+SwaptionShift))/SQRT(SUM(INDEX($FO372:$IH372,1+SwaptionShift):INDEX($FO372:$IH372,SwaptionMonthsToGo+SwaptionShift))*SUM(INDEX($FO$325:$IH$396,HT$169,1+SwaptionShift):INDEX($FO$325:$IH$396,HT$169,SwaptionMonthsToGo+SwaptionShift))))))</f>
        <v/>
      </c>
      <c r="HU217" s="469" t="str">
        <f ca="1">IF(OR(HU$169&lt;SwaptionFirstMonthPosition+1,$FN217&lt;SwaptionFirstMonthPosition+1,HU$169&gt;SwaptionFirstMonthPosition+SwaptionNumOfMonths+1,$FN217&gt;SwaptionFirstMonthPosition+SwaptionNumOfMonths+1),"",IF($FN217=HU$169,1,IF($FN217&lt;HU$169,INDEX($FO$170:$IH$241,HU$169,$FN217),SUMPRODUCT(INDEX($FO$325:$IH$396,HU$169,1+SwaptionShift):INDEX($FO$325:$IH$396,HU$169,SwaptionMonthsToGo+SwaptionShift),INDEX($FO$245:$IH$316,$FN217-HU$169,73-HU$169+SwaptionShift):INDEX($FO$245:$IH$316,$FN217-HU$169,72-HU$169+SwaptionMonthsToGo+SwaptionShift))/SQRT(SUM(INDEX($FO372:$IH372,1+SwaptionShift):INDEX($FO372:$IH372,SwaptionMonthsToGo+SwaptionShift))*SUM(INDEX($FO$325:$IH$396,HU$169,1+SwaptionShift):INDEX($FO$325:$IH$396,HU$169,SwaptionMonthsToGo+SwaptionShift))))))</f>
        <v/>
      </c>
      <c r="HV217" s="469" t="str">
        <f ca="1">IF(OR(HV$169&lt;SwaptionFirstMonthPosition+1,$FN217&lt;SwaptionFirstMonthPosition+1,HV$169&gt;SwaptionFirstMonthPosition+SwaptionNumOfMonths+1,$FN217&gt;SwaptionFirstMonthPosition+SwaptionNumOfMonths+1),"",IF($FN217=HV$169,1,IF($FN217&lt;HV$169,INDEX($FO$170:$IH$241,HV$169,$FN217),SUMPRODUCT(INDEX($FO$325:$IH$396,HV$169,1+SwaptionShift):INDEX($FO$325:$IH$396,HV$169,SwaptionMonthsToGo+SwaptionShift),INDEX($FO$245:$IH$316,$FN217-HV$169,73-HV$169+SwaptionShift):INDEX($FO$245:$IH$316,$FN217-HV$169,72-HV$169+SwaptionMonthsToGo+SwaptionShift))/SQRT(SUM(INDEX($FO372:$IH372,1+SwaptionShift):INDEX($FO372:$IH372,SwaptionMonthsToGo+SwaptionShift))*SUM(INDEX($FO$325:$IH$396,HV$169,1+SwaptionShift):INDEX($FO$325:$IH$396,HV$169,SwaptionMonthsToGo+SwaptionShift))))))</f>
        <v/>
      </c>
      <c r="HW217" s="469" t="str">
        <f ca="1">IF(OR(HW$169&lt;SwaptionFirstMonthPosition+1,$FN217&lt;SwaptionFirstMonthPosition+1,HW$169&gt;SwaptionFirstMonthPosition+SwaptionNumOfMonths+1,$FN217&gt;SwaptionFirstMonthPosition+SwaptionNumOfMonths+1),"",IF($FN217=HW$169,1,IF($FN217&lt;HW$169,INDEX($FO$170:$IH$241,HW$169,$FN217),SUMPRODUCT(INDEX($FO$325:$IH$396,HW$169,1+SwaptionShift):INDEX($FO$325:$IH$396,HW$169,SwaptionMonthsToGo+SwaptionShift),INDEX($FO$245:$IH$316,$FN217-HW$169,73-HW$169+SwaptionShift):INDEX($FO$245:$IH$316,$FN217-HW$169,72-HW$169+SwaptionMonthsToGo+SwaptionShift))/SQRT(SUM(INDEX($FO372:$IH372,1+SwaptionShift):INDEX($FO372:$IH372,SwaptionMonthsToGo+SwaptionShift))*SUM(INDEX($FO$325:$IH$396,HW$169,1+SwaptionShift):INDEX($FO$325:$IH$396,HW$169,SwaptionMonthsToGo+SwaptionShift))))))</f>
        <v/>
      </c>
      <c r="HX217" s="469" t="str">
        <f ca="1">IF(OR(HX$169&lt;SwaptionFirstMonthPosition+1,$FN217&lt;SwaptionFirstMonthPosition+1,HX$169&gt;SwaptionFirstMonthPosition+SwaptionNumOfMonths+1,$FN217&gt;SwaptionFirstMonthPosition+SwaptionNumOfMonths+1),"",IF($FN217=HX$169,1,IF($FN217&lt;HX$169,INDEX($FO$170:$IH$241,HX$169,$FN217),SUMPRODUCT(INDEX($FO$325:$IH$396,HX$169,1+SwaptionShift):INDEX($FO$325:$IH$396,HX$169,SwaptionMonthsToGo+SwaptionShift),INDEX($FO$245:$IH$316,$FN217-HX$169,73-HX$169+SwaptionShift):INDEX($FO$245:$IH$316,$FN217-HX$169,72-HX$169+SwaptionMonthsToGo+SwaptionShift))/SQRT(SUM(INDEX($FO372:$IH372,1+SwaptionShift):INDEX($FO372:$IH372,SwaptionMonthsToGo+SwaptionShift))*SUM(INDEX($FO$325:$IH$396,HX$169,1+SwaptionShift):INDEX($FO$325:$IH$396,HX$169,SwaptionMonthsToGo+SwaptionShift))))))</f>
        <v/>
      </c>
      <c r="HY217" s="469" t="str">
        <f ca="1">IF(OR(HY$169&lt;SwaptionFirstMonthPosition+1,$FN217&lt;SwaptionFirstMonthPosition+1,HY$169&gt;SwaptionFirstMonthPosition+SwaptionNumOfMonths+1,$FN217&gt;SwaptionFirstMonthPosition+SwaptionNumOfMonths+1),"",IF($FN217=HY$169,1,IF($FN217&lt;HY$169,INDEX($FO$170:$IH$241,HY$169,$FN217),SUMPRODUCT(INDEX($FO$325:$IH$396,HY$169,1+SwaptionShift):INDEX($FO$325:$IH$396,HY$169,SwaptionMonthsToGo+SwaptionShift),INDEX($FO$245:$IH$316,$FN217-HY$169,73-HY$169+SwaptionShift):INDEX($FO$245:$IH$316,$FN217-HY$169,72-HY$169+SwaptionMonthsToGo+SwaptionShift))/SQRT(SUM(INDEX($FO372:$IH372,1+SwaptionShift):INDEX($FO372:$IH372,SwaptionMonthsToGo+SwaptionShift))*SUM(INDEX($FO$325:$IH$396,HY$169,1+SwaptionShift):INDEX($FO$325:$IH$396,HY$169,SwaptionMonthsToGo+SwaptionShift))))))</f>
        <v/>
      </c>
      <c r="HZ217" s="469" t="str">
        <f ca="1">IF(OR(HZ$169&lt;SwaptionFirstMonthPosition+1,$FN217&lt;SwaptionFirstMonthPosition+1,HZ$169&gt;SwaptionFirstMonthPosition+SwaptionNumOfMonths+1,$FN217&gt;SwaptionFirstMonthPosition+SwaptionNumOfMonths+1),"",IF($FN217=HZ$169,1,IF($FN217&lt;HZ$169,INDEX($FO$170:$IH$241,HZ$169,$FN217),SUMPRODUCT(INDEX($FO$325:$IH$396,HZ$169,1+SwaptionShift):INDEX($FO$325:$IH$396,HZ$169,SwaptionMonthsToGo+SwaptionShift),INDEX($FO$245:$IH$316,$FN217-HZ$169,73-HZ$169+SwaptionShift):INDEX($FO$245:$IH$316,$FN217-HZ$169,72-HZ$169+SwaptionMonthsToGo+SwaptionShift))/SQRT(SUM(INDEX($FO372:$IH372,1+SwaptionShift):INDEX($FO372:$IH372,SwaptionMonthsToGo+SwaptionShift))*SUM(INDEX($FO$325:$IH$396,HZ$169,1+SwaptionShift):INDEX($FO$325:$IH$396,HZ$169,SwaptionMonthsToGo+SwaptionShift))))))</f>
        <v/>
      </c>
      <c r="IA217" s="469" t="str">
        <f ca="1">IF(OR(IA$169&lt;SwaptionFirstMonthPosition+1,$FN217&lt;SwaptionFirstMonthPosition+1,IA$169&gt;SwaptionFirstMonthPosition+SwaptionNumOfMonths+1,$FN217&gt;SwaptionFirstMonthPosition+SwaptionNumOfMonths+1),"",IF($FN217=IA$169,1,IF($FN217&lt;IA$169,INDEX($FO$170:$IH$241,IA$169,$FN217),SUMPRODUCT(INDEX($FO$325:$IH$396,IA$169,1+SwaptionShift):INDEX($FO$325:$IH$396,IA$169,SwaptionMonthsToGo+SwaptionShift),INDEX($FO$245:$IH$316,$FN217-IA$169,73-IA$169+SwaptionShift):INDEX($FO$245:$IH$316,$FN217-IA$169,72-IA$169+SwaptionMonthsToGo+SwaptionShift))/SQRT(SUM(INDEX($FO372:$IH372,1+SwaptionShift):INDEX($FO372:$IH372,SwaptionMonthsToGo+SwaptionShift))*SUM(INDEX($FO$325:$IH$396,IA$169,1+SwaptionShift):INDEX($FO$325:$IH$396,IA$169,SwaptionMonthsToGo+SwaptionShift))))))</f>
        <v/>
      </c>
      <c r="IB217" s="469" t="str">
        <f ca="1">IF(OR(IB$169&lt;SwaptionFirstMonthPosition+1,$FN217&lt;SwaptionFirstMonthPosition+1,IB$169&gt;SwaptionFirstMonthPosition+SwaptionNumOfMonths+1,$FN217&gt;SwaptionFirstMonthPosition+SwaptionNumOfMonths+1),"",IF($FN217=IB$169,1,IF($FN217&lt;IB$169,INDEX($FO$170:$IH$241,IB$169,$FN217),SUMPRODUCT(INDEX($FO$325:$IH$396,IB$169,1+SwaptionShift):INDEX($FO$325:$IH$396,IB$169,SwaptionMonthsToGo+SwaptionShift),INDEX($FO$245:$IH$316,$FN217-IB$169,73-IB$169+SwaptionShift):INDEX($FO$245:$IH$316,$FN217-IB$169,72-IB$169+SwaptionMonthsToGo+SwaptionShift))/SQRT(SUM(INDEX($FO372:$IH372,1+SwaptionShift):INDEX($FO372:$IH372,SwaptionMonthsToGo+SwaptionShift))*SUM(INDEX($FO$325:$IH$396,IB$169,1+SwaptionShift):INDEX($FO$325:$IH$396,IB$169,SwaptionMonthsToGo+SwaptionShift))))))</f>
        <v/>
      </c>
      <c r="IC217" s="469" t="str">
        <f ca="1">IF(OR(IC$169&lt;SwaptionFirstMonthPosition+1,$FN217&lt;SwaptionFirstMonthPosition+1,IC$169&gt;SwaptionFirstMonthPosition+SwaptionNumOfMonths+1,$FN217&gt;SwaptionFirstMonthPosition+SwaptionNumOfMonths+1),"",IF($FN217=IC$169,1,IF($FN217&lt;IC$169,INDEX($FO$170:$IH$241,IC$169,$FN217),SUMPRODUCT(INDEX($FO$325:$IH$396,IC$169,1+SwaptionShift):INDEX($FO$325:$IH$396,IC$169,SwaptionMonthsToGo+SwaptionShift),INDEX($FO$245:$IH$316,$FN217-IC$169,73-IC$169+SwaptionShift):INDEX($FO$245:$IH$316,$FN217-IC$169,72-IC$169+SwaptionMonthsToGo+SwaptionShift))/SQRT(SUM(INDEX($FO372:$IH372,1+SwaptionShift):INDEX($FO372:$IH372,SwaptionMonthsToGo+SwaptionShift))*SUM(INDEX($FO$325:$IH$396,IC$169,1+SwaptionShift):INDEX($FO$325:$IH$396,IC$169,SwaptionMonthsToGo+SwaptionShift))))))</f>
        <v/>
      </c>
      <c r="ID217" s="469" t="str">
        <f ca="1">IF(OR(ID$169&lt;SwaptionFirstMonthPosition+1,$FN217&lt;SwaptionFirstMonthPosition+1,ID$169&gt;SwaptionFirstMonthPosition+SwaptionNumOfMonths+1,$FN217&gt;SwaptionFirstMonthPosition+SwaptionNumOfMonths+1),"",IF($FN217=ID$169,1,IF($FN217&lt;ID$169,INDEX($FO$170:$IH$241,ID$169,$FN217),SUMPRODUCT(INDEX($FO$325:$IH$396,ID$169,1+SwaptionShift):INDEX($FO$325:$IH$396,ID$169,SwaptionMonthsToGo+SwaptionShift),INDEX($FO$245:$IH$316,$FN217-ID$169,73-ID$169+SwaptionShift):INDEX($FO$245:$IH$316,$FN217-ID$169,72-ID$169+SwaptionMonthsToGo+SwaptionShift))/SQRT(SUM(INDEX($FO372:$IH372,1+SwaptionShift):INDEX($FO372:$IH372,SwaptionMonthsToGo+SwaptionShift))*SUM(INDEX($FO$325:$IH$396,ID$169,1+SwaptionShift):INDEX($FO$325:$IH$396,ID$169,SwaptionMonthsToGo+SwaptionShift))))))</f>
        <v/>
      </c>
      <c r="IE217" s="469" t="str">
        <f ca="1">IF(OR(IE$169&lt;SwaptionFirstMonthPosition+1,$FN217&lt;SwaptionFirstMonthPosition+1,IE$169&gt;SwaptionFirstMonthPosition+SwaptionNumOfMonths+1,$FN217&gt;SwaptionFirstMonthPosition+SwaptionNumOfMonths+1),"",IF($FN217=IE$169,1,IF($FN217&lt;IE$169,INDEX($FO$170:$IH$241,IE$169,$FN217),SUMPRODUCT(INDEX($FO$325:$IH$396,IE$169,1+SwaptionShift):INDEX($FO$325:$IH$396,IE$169,SwaptionMonthsToGo+SwaptionShift),INDEX($FO$245:$IH$316,$FN217-IE$169,73-IE$169+SwaptionShift):INDEX($FO$245:$IH$316,$FN217-IE$169,72-IE$169+SwaptionMonthsToGo+SwaptionShift))/SQRT(SUM(INDEX($FO372:$IH372,1+SwaptionShift):INDEX($FO372:$IH372,SwaptionMonthsToGo+SwaptionShift))*SUM(INDEX($FO$325:$IH$396,IE$169,1+SwaptionShift):INDEX($FO$325:$IH$396,IE$169,SwaptionMonthsToGo+SwaptionShift))))))</f>
        <v/>
      </c>
      <c r="IF217" s="469" t="str">
        <f ca="1">IF(OR(IF$169&lt;SwaptionFirstMonthPosition+1,$FN217&lt;SwaptionFirstMonthPosition+1,IF$169&gt;SwaptionFirstMonthPosition+SwaptionNumOfMonths+1,$FN217&gt;SwaptionFirstMonthPosition+SwaptionNumOfMonths+1),"",IF($FN217=IF$169,1,IF($FN217&lt;IF$169,INDEX($FO$170:$IH$241,IF$169,$FN217),SUMPRODUCT(INDEX($FO$325:$IH$396,IF$169,1+SwaptionShift):INDEX($FO$325:$IH$396,IF$169,SwaptionMonthsToGo+SwaptionShift),INDEX($FO$245:$IH$316,$FN217-IF$169,73-IF$169+SwaptionShift):INDEX($FO$245:$IH$316,$FN217-IF$169,72-IF$169+SwaptionMonthsToGo+SwaptionShift))/SQRT(SUM(INDEX($FO372:$IH372,1+SwaptionShift):INDEX($FO372:$IH372,SwaptionMonthsToGo+SwaptionShift))*SUM(INDEX($FO$325:$IH$396,IF$169,1+SwaptionShift):INDEX($FO$325:$IH$396,IF$169,SwaptionMonthsToGo+SwaptionShift))))))</f>
        <v/>
      </c>
      <c r="IG217" s="469" t="str">
        <f ca="1">IF(OR(IG$169&lt;SwaptionFirstMonthPosition+1,$FN217&lt;SwaptionFirstMonthPosition+1,IG$169&gt;SwaptionFirstMonthPosition+SwaptionNumOfMonths+1,$FN217&gt;SwaptionFirstMonthPosition+SwaptionNumOfMonths+1),"",IF($FN217=IG$169,1,IF($FN217&lt;IG$169,INDEX($FO$170:$IH$241,IG$169,$FN217),SUMPRODUCT(INDEX($FO$325:$IH$396,IG$169,1+SwaptionShift):INDEX($FO$325:$IH$396,IG$169,SwaptionMonthsToGo+SwaptionShift),INDEX($FO$245:$IH$316,$FN217-IG$169,73-IG$169+SwaptionShift):INDEX($FO$245:$IH$316,$FN217-IG$169,72-IG$169+SwaptionMonthsToGo+SwaptionShift))/SQRT(SUM(INDEX($FO372:$IH372,1+SwaptionShift):INDEX($FO372:$IH372,SwaptionMonthsToGo+SwaptionShift))*SUM(INDEX($FO$325:$IH$396,IG$169,1+SwaptionShift):INDEX($FO$325:$IH$396,IG$169,SwaptionMonthsToGo+SwaptionShift))))))</f>
        <v/>
      </c>
      <c r="IH217" s="662" t="str">
        <f ca="1">IF(OR(IH$169&lt;SwaptionFirstMonthPosition+1,$FN217&lt;SwaptionFirstMonthPosition+1,IH$169&gt;SwaptionFirstMonthPosition+SwaptionNumOfMonths+1,$FN217&gt;SwaptionFirstMonthPosition+SwaptionNumOfMonths+1),"",IF($FN217=IH$169,1,IF($FN217&lt;IH$169,INDEX($FO$170:$IH$241,IH$169,$FN217),SUMPRODUCT(INDEX($FO$325:$IH$396,IH$169,1+SwaptionShift):INDEX($FO$325:$IH$396,IH$169,SwaptionMonthsToGo+SwaptionShift),INDEX($FO$245:$IH$316,$FN217-IH$169,73-IH$169+SwaptionShift):INDEX($FO$245:$IH$316,$FN217-IH$169,72-IH$169+SwaptionMonthsToGo+SwaptionShift))/SQRT(SUM(INDEX($FO372:$IH372,1+SwaptionShift):INDEX($FO372:$IH372,SwaptionMonthsToGo+SwaptionShift))*SUM(INDEX($FO$325:$IH$396,IH$169,1+SwaptionShift):INDEX($FO$325:$IH$396,IH$169,SwaptionMonthsToGo+SwaptionShift))))))</f>
        <v/>
      </c>
      <c r="II217" s="242"/>
    </row>
    <row r="218" spans="8:243">
      <c r="H218" s="49" t="e">
        <f t="shared" ca="1" si="645"/>
        <v>#N/A</v>
      </c>
      <c r="I218" s="369">
        <f t="shared" si="646"/>
        <v>43040</v>
      </c>
      <c r="J218" s="367">
        <v>24.334999999999798</v>
      </c>
      <c r="K218" s="101" t="s">
        <v>267</v>
      </c>
      <c r="L218" s="382">
        <f t="shared" si="647"/>
        <v>24.334999999999848</v>
      </c>
      <c r="M218" s="163">
        <v>0.13190000000000002</v>
      </c>
      <c r="N218" s="372">
        <v>0</v>
      </c>
      <c r="O218" s="163">
        <f t="shared" si="595"/>
        <v>0.13190000000000002</v>
      </c>
      <c r="P218" s="367">
        <v>23.084522226843401</v>
      </c>
      <c r="Q218" s="101" t="s">
        <v>267</v>
      </c>
      <c r="R218" s="367">
        <f t="shared" ca="1" si="596"/>
        <v>23.084522226843422</v>
      </c>
      <c r="S218" s="814">
        <f t="shared" si="594"/>
        <v>0.34690404065437386</v>
      </c>
      <c r="T218" s="813">
        <f t="shared" si="660"/>
        <v>0.99999999993200861</v>
      </c>
      <c r="U218" s="532">
        <f t="shared" si="661"/>
        <v>0.99999999999999978</v>
      </c>
      <c r="V218" s="379">
        <v>0</v>
      </c>
      <c r="W218" s="424">
        <f t="shared" si="597"/>
        <v>24.369090909090708</v>
      </c>
      <c r="X218" s="405">
        <f t="shared" si="598"/>
        <v>24.369090909090755</v>
      </c>
      <c r="Y218" s="313">
        <f t="shared" si="599"/>
        <v>23.12749090909071</v>
      </c>
      <c r="Z218" s="313">
        <f t="shared" ca="1" si="600"/>
        <v>23.127490909090753</v>
      </c>
      <c r="AA218" s="419">
        <f t="shared" si="623"/>
        <v>1.2416</v>
      </c>
      <c r="AB218" s="423">
        <f t="shared" ca="1" si="624"/>
        <v>1.2416</v>
      </c>
      <c r="AC218" s="221">
        <v>43028</v>
      </c>
      <c r="AD218" s="221">
        <v>43024</v>
      </c>
      <c r="AE218" s="221">
        <v>43023</v>
      </c>
      <c r="AF218" s="221">
        <v>43019</v>
      </c>
      <c r="AG218" s="241" t="s">
        <v>497</v>
      </c>
      <c r="AH218" s="239" t="s">
        <v>497</v>
      </c>
      <c r="AI218" s="141">
        <v>22</v>
      </c>
      <c r="AJ218" s="41">
        <v>14</v>
      </c>
      <c r="AK218" s="41">
        <v>8</v>
      </c>
      <c r="AL218" s="285">
        <v>22</v>
      </c>
      <c r="AM218" s="41">
        <v>10</v>
      </c>
      <c r="AN218" s="142">
        <v>12</v>
      </c>
      <c r="AO218" s="364">
        <v>6.2794102337818E-2</v>
      </c>
      <c r="AP218" s="145">
        <f t="shared" ca="1" si="648"/>
        <v>0.3573513062890305</v>
      </c>
      <c r="AQ218" s="364">
        <v>5.8259327713010602E-2</v>
      </c>
      <c r="AR218" s="145">
        <f t="shared" ca="1" si="662"/>
        <v>0.38724269082717544</v>
      </c>
      <c r="AS218" s="264">
        <f t="shared" si="601"/>
        <v>0.13135454545454547</v>
      </c>
      <c r="AT218" s="149">
        <f t="shared" si="649"/>
        <v>0.13190000000000002</v>
      </c>
      <c r="AU218" s="149">
        <f t="shared" si="625"/>
        <v>0.13128181818181817</v>
      </c>
      <c r="AV218" s="263">
        <f t="shared" ca="1" si="669"/>
        <v>0.12993547977215178</v>
      </c>
      <c r="AW218" s="150" t="str">
        <f t="shared" ca="1" si="581"/>
        <v/>
      </c>
      <c r="AX218" s="149">
        <f t="shared" ca="1" si="663"/>
        <v>3.9697886758970798E-3</v>
      </c>
      <c r="AY218" s="149">
        <f t="shared" ca="1" si="664"/>
        <v>1.2561787539100953E-3</v>
      </c>
      <c r="AZ218" s="149">
        <f t="shared" ca="1" si="665"/>
        <v>1.4640082729992618E-3</v>
      </c>
      <c r="BA218" s="149">
        <f t="shared" ca="1" si="666"/>
        <v>1.0000000000001047E-4</v>
      </c>
      <c r="BB218" s="149">
        <f t="shared" ca="1" si="667"/>
        <v>1.0000000000001047E-4</v>
      </c>
      <c r="BC218" s="149">
        <f t="shared" ca="1" si="668"/>
        <v>1.0000000000001047E-4</v>
      </c>
      <c r="BD218" s="143">
        <f t="shared" ca="1" si="602"/>
        <v>0</v>
      </c>
      <c r="BE218" s="144">
        <f t="shared" ca="1" si="603"/>
        <v>0</v>
      </c>
      <c r="BF218" s="40">
        <f t="shared" si="604"/>
        <v>2017</v>
      </c>
      <c r="BG218" s="139">
        <f t="shared" si="605"/>
        <v>11</v>
      </c>
      <c r="BH218" s="140">
        <f t="shared" ca="1" si="606"/>
        <v>6034</v>
      </c>
      <c r="BI218" s="304">
        <f t="shared" ca="1" si="607"/>
        <v>16.563997262149211</v>
      </c>
      <c r="BJ218" s="42">
        <f t="shared" ca="1" si="626"/>
        <v>16.614523053948105</v>
      </c>
      <c r="BK218" s="42">
        <f t="shared" ca="1" si="627"/>
        <v>16.617260904735236</v>
      </c>
      <c r="BL218" s="42">
        <f t="shared" ca="1" si="608"/>
        <v>16.643394934976044</v>
      </c>
      <c r="BM218" s="285">
        <f t="shared" si="609"/>
        <v>22</v>
      </c>
      <c r="BN218" s="41">
        <f t="shared" si="610"/>
        <v>14</v>
      </c>
      <c r="BO218" s="41">
        <f t="shared" si="611"/>
        <v>8</v>
      </c>
      <c r="BP218" s="297" t="str">
        <f t="shared" ca="1" si="628"/>
        <v/>
      </c>
      <c r="BQ218" s="297" t="str">
        <f t="shared" ca="1" si="629"/>
        <v/>
      </c>
      <c r="BR218" s="299" t="str">
        <f t="shared" ca="1" si="630"/>
        <v/>
      </c>
      <c r="BS218" s="153" t="str">
        <f t="shared" ca="1" si="631"/>
        <v/>
      </c>
      <c r="BT218" s="153" t="str">
        <f t="shared" ca="1" si="632"/>
        <v/>
      </c>
      <c r="BU218" s="300" t="str">
        <f t="shared" ca="1" si="633"/>
        <v/>
      </c>
      <c r="BV218" s="301" t="str">
        <f t="shared" ca="1" si="634"/>
        <v/>
      </c>
      <c r="BW218" s="300" t="str">
        <f t="shared" ca="1" si="635"/>
        <v/>
      </c>
      <c r="BX218" s="301" t="str">
        <f t="shared" ca="1" si="636"/>
        <v/>
      </c>
      <c r="BY218" s="146" t="str">
        <f t="shared" ca="1" si="637"/>
        <v/>
      </c>
      <c r="BZ218" s="146" t="str">
        <f t="shared" ca="1" si="638"/>
        <v/>
      </c>
      <c r="CA218" s="146" t="str">
        <f t="shared" ca="1" si="639"/>
        <v/>
      </c>
      <c r="CB218" s="146" t="str">
        <f t="shared" ca="1" si="640"/>
        <v/>
      </c>
      <c r="CC218" s="302">
        <v>1</v>
      </c>
      <c r="CD218" s="154">
        <f ca="1">IF(BD218,_xll.xCrudeAPO(BS218,BT218,BY218,BZ218,S219,S220,BI218,BL218,BN218,BO218,0,Strike1,AO218,CC218,0,BL218,IF(OptControl=4,0,1),0,1),0)</f>
        <v>0</v>
      </c>
      <c r="CE218" s="155">
        <f ca="1">IF(BD218,_xll.xCrudeAPO(BS218,BT218,BY218,BZ218,S219,S220,BI218,BL218,BN218,BO218,0,Strike1,AO218,CC218,0,BL218,IF(OptControl=4,0,1),1,1)+_xll.xCrudeAPO(BS218,BT218,BY218,BZ218,S219,S220,BI218,BL218,BN218,BO218,0,Strike1,AO218,CC218,0,BL218,IF(OptControl=4,0,1),1,2)+IF(OR(VolSkewFlag=2,ABS(BQ218)&lt;0.0001),0,IF(BQ218&gt;0,-1,1)*CF218*Strike1/BP218^2*BW218/10%),0)</f>
        <v>0</v>
      </c>
      <c r="CF218" s="155">
        <f ca="1">IF(BD218,(_xll.xCrudeAPO(BS218,BT218,BY218,BZ218,S219,S220,BI218,BL218,BN218,BO218,0,Strike1,AO218,CC218,0,BL218,IF(OptControl=4,0,1),3,1)+_xll.xCrudeAPO(BS218,BT218,BY218,BZ218,S219,S220,BI218,BL218,BN218,BO218,0,Strike1,AO218,CC218,0,BL218,IF(OptControl=4,0,1),3,2))/100,0)</f>
        <v>0</v>
      </c>
      <c r="CG218" s="155">
        <f ca="1">IF(BD218,_xll.xCrudeAPO(BS218,BT218,BY218,BZ218,S219,S220,BI218-DaysForThetaCalculation/365.25,BL218-DaysForThetaCalculation/365.25,BN218,BO218,0,Strike1,AO218,CC218,0,BL218,IF(OptControl=4,0,1),0,1)-_xll.xCrudeAPO(BS218,BT218,BY218,BZ218,S219,S220,BI218,BL218,BN218,BO218,0,Strike1,AO218,CC218,0,BL218,IF(OptControl=4,0,1),0,1),0)</f>
        <v>0</v>
      </c>
      <c r="CH218" s="303">
        <f ca="1">IF(BD218,_xll.xCrudeAPO(BS218,BT218,CA218,CB218,S219,S220,BI218,BL218,BN218,BO218,0,Strike2,AO218,CC218,0,BL218,IF(OptControl=3,1,0),0,1),0)</f>
        <v>0</v>
      </c>
      <c r="CI218" s="155">
        <f ca="1">IF(BD218,_xll.xCrudeAPO(BS218,BT218,CA218,CB218,S219,S220,BI218,BL218,BN218,BO218,0,Strike2,AO218,CC218,0,BL218,IF(OptControl=3,1,0),1,1)+_xll.xCrudeAPO(BS218,BT218,CA218,CB218,S219,S220,BI218,BL218,BN218,BO218,0,Strike2,AO218,CC218,0,BL218,IF(OptControl=3,1,0),1,2)+IF(OR(VolSkewFlag=2,ABS(BR218)&lt;0.0001),0,IF(BR218&gt;0,-1,1)*CJ218*Strike2/BP218^2*BX218/10%),0)</f>
        <v>0</v>
      </c>
      <c r="CJ218" s="155">
        <f ca="1">IF(BD218,(_xll.xCrudeAPO(BS218,BT218,CA218,CB218,S219,S220,BI218,BL218,BN218,BO218,0,Strike2,AO218,CC218,0,BL218,IF(OptControl=3,1,0),3,1)+_xll.xCrudeAPO(BS218,BT218,CA218,CB218,S219,S220,BI218,BL218,BN218,BO218,0,Strike2,AO218,CC218,0,BL218,IF(OptControl=3,1,0),3,2))/100,0)</f>
        <v>0</v>
      </c>
      <c r="CK218" s="156">
        <f ca="1">IF(BD218,_xll.xCrudeAPO(BS218,BT218,CA218,CB218,S219,S220,BI218-DaysForThetaCalculation/365.25,BL218-DaysForThetaCalculation/365.25,BN218,BO218,0,Strike2,AO218,CC218,0,BL218,IF(OptControl=3,1,0),0,1)-_xll.xCrudeAPO(BS218,BT218,CA218,CB218,S219,S220,BI218,BL218,BN218,BO218,0,Strike2,AO218,CC218,0,BL218,IF(OptControl=3,1,0),0,1),0)</f>
        <v>0</v>
      </c>
      <c r="CL218" s="51"/>
      <c r="CM218" s="779" t="str">
        <f t="shared" ca="1" si="650"/>
        <v/>
      </c>
      <c r="CN218" s="783" t="str">
        <f t="shared" ca="1" si="651"/>
        <v/>
      </c>
      <c r="CO218" s="780" t="str">
        <f t="shared" ca="1" si="652"/>
        <v/>
      </c>
      <c r="CP218" s="780" t="str">
        <f t="shared" ca="1" si="653"/>
        <v/>
      </c>
      <c r="CQ218" s="780" t="str">
        <f t="shared" ca="1" si="654"/>
        <v/>
      </c>
      <c r="CR218" s="780" t="str">
        <f t="shared" ca="1" si="655"/>
        <v/>
      </c>
      <c r="CS218" s="781" t="str">
        <f t="shared" ca="1" si="656"/>
        <v/>
      </c>
      <c r="CT218" s="782" t="str">
        <f t="shared" ca="1" si="657"/>
        <v/>
      </c>
      <c r="CU218" s="782" t="str">
        <f t="shared" ca="1" si="658"/>
        <v/>
      </c>
      <c r="CV218" s="155">
        <f ca="1">IF(BD218,_xll.EURO(CN218,Strike1,AO218,AO218,CT218,CM218,IF(OptControl=4,0,1),0),0)</f>
        <v>0</v>
      </c>
      <c r="CW218" s="155">
        <f ca="1">IF(BD218,_xll.EURO(CN218,Strike1,AO218,AO218,CT218,CM218,IF(OptControl=4,0,1),1)+IF(OR(VolSkewFlag=2,ABS(CO218)&lt;0.0001),0,IF(CO218&gt;0,-1,1)*CX218*100*Strike1/CN218^2*CQ218/10%),0)</f>
        <v>0</v>
      </c>
      <c r="CX218" s="155">
        <f ca="1">IF(BD218,_xll.EURO(CN218,Strike1,AO218,AO218,CT218,CM218,IF(OptControl=4,0,1),3)/100,0)</f>
        <v>0</v>
      </c>
      <c r="CY218" s="155">
        <f ca="1">IF(BD218,_xll.EURO(CN218,Strike1,AO218,AO218,CT218,CM218,IF(OptControl=4,0,1),0)-_xll.EURO(CN218,Strike1,AO218,AO218,CT218,CM218-1,IF(OptControl=4,0,1),0),0)</f>
        <v>0</v>
      </c>
      <c r="CZ218" s="155">
        <f ca="1">IF(BD218,_xll.EURO(CN218,Strike2,AO218,AO218,CU218,CM218,IF(OptControl=3,1,0),0),0)</f>
        <v>0</v>
      </c>
      <c r="DA218" s="155">
        <f ca="1">IF(BD218,_xll.EURO(CN218,Strike2,AO218,AO218,CU218,CM218,IF(OptControl=3,1,0),1)+IF(OR(VolSkewFlag=2,ABS(CP218)&lt;0.0001),0,IF(CP218&gt;0,-1,1)*DB218*100*Strike2/CN218^2*CR218/10%),0)</f>
        <v>0</v>
      </c>
      <c r="DB218" s="155">
        <f ca="1">IF(BD218,_xll.EURO(CN218,Strike2,AO218,AO218,CU218,CM218,IF(OptControl=3,1,0),3)/100,0)</f>
        <v>0</v>
      </c>
      <c r="DC218" s="156">
        <f ca="1">IF(BD218,_xll.EURO(CN218,Strike2,AO218,AO218,CU218,CM218,IF(OptControl=3,1,0),0)-_xll.EURO(CN218,Strike2,AO218,AO218,CU218,CM218-1,IF(OptControl=3,1,0),0),0)</f>
        <v>0</v>
      </c>
      <c r="DE218" s="651">
        <f t="shared" ca="1" si="659"/>
        <v>42948</v>
      </c>
      <c r="DF218" s="465">
        <v>1E-4</v>
      </c>
      <c r="DG218" s="649">
        <v>1E-4</v>
      </c>
      <c r="DH218" s="650">
        <f t="shared" ca="1" si="612"/>
        <v>42948</v>
      </c>
      <c r="DI218" s="465">
        <v>1E-4</v>
      </c>
      <c r="DJ218" s="649">
        <v>1E-4</v>
      </c>
      <c r="DK218" s="651">
        <f t="shared" ca="1" si="613"/>
        <v>42948</v>
      </c>
      <c r="DL218" s="652">
        <f t="shared" si="614"/>
        <v>5.0100000000000006E-2</v>
      </c>
      <c r="DM218" s="651">
        <f t="shared" ca="1" si="615"/>
        <v>42948</v>
      </c>
      <c r="DN218" s="563">
        <f t="shared" si="616"/>
        <v>-0.12990000000000002</v>
      </c>
      <c r="DO218" s="803">
        <v>-0.13</v>
      </c>
      <c r="DP218" s="650">
        <f t="shared" ca="1" si="617"/>
        <v>42948</v>
      </c>
      <c r="DQ218" s="653">
        <v>1E-4</v>
      </c>
      <c r="DR218" s="590">
        <v>1E-4</v>
      </c>
      <c r="DS218" s="650">
        <f t="shared" ca="1" si="618"/>
        <v>42948</v>
      </c>
      <c r="DT218" s="653">
        <v>1E-4</v>
      </c>
      <c r="DU218" s="590">
        <v>1E-4</v>
      </c>
      <c r="DV218" s="651">
        <f t="shared" ca="1" si="619"/>
        <v>42948</v>
      </c>
      <c r="DW218" s="590">
        <v>1E-4</v>
      </c>
      <c r="DX218" s="651">
        <f t="shared" ca="1" si="620"/>
        <v>42948</v>
      </c>
      <c r="DY218" s="590">
        <f t="shared" si="621"/>
        <v>1E-4</v>
      </c>
      <c r="DZ218" s="1"/>
      <c r="EA218" s="857"/>
      <c r="EB218" s="857"/>
      <c r="EC218" s="857"/>
      <c r="ED218" s="868" t="e">
        <f t="shared" ca="1" si="566"/>
        <v>#NAME?</v>
      </c>
      <c r="EE218" s="863" t="e">
        <f t="shared" ca="1" si="641"/>
        <v>#NAME?</v>
      </c>
      <c r="EF218" s="590" t="e">
        <f t="shared" ca="1" si="642"/>
        <v>#NAME?</v>
      </c>
      <c r="EG218" s="862" t="str">
        <f t="shared" ca="1" si="622"/>
        <v/>
      </c>
      <c r="EH218" s="114" t="str">
        <f t="shared" ca="1" si="643"/>
        <v/>
      </c>
      <c r="EI218" s="109" t="str">
        <f t="shared" ca="1" si="644"/>
        <v/>
      </c>
      <c r="EJ218" s="115">
        <f ca="1">IF(BD218,_xll.xASN(BP218,Strike1,AO218,EH218,0,BM218,0,BI218,BL218,IF(OptControl=4,0,1),0),0)</f>
        <v>0</v>
      </c>
      <c r="EK218" s="108">
        <f ca="1">IF(BD218,_xll.xASN(BP218,Strike2,AO218,EI218,0,BM218,0,BI218,BL218,IF(OptControl=3,1,0),0),0)</f>
        <v>0</v>
      </c>
      <c r="EP218" s="53"/>
      <c r="EQ218" s="1"/>
      <c r="ER218" s="103"/>
      <c r="ES218" s="103"/>
      <c r="ET218" s="1"/>
      <c r="EU218" s="667" t="s">
        <v>431</v>
      </c>
      <c r="EW218" s="53"/>
      <c r="EY218" s="104"/>
      <c r="FN218" s="657">
        <v>49</v>
      </c>
      <c r="FO218" s="469" t="str">
        <f ca="1">IF(OR(FO$169&lt;SwaptionFirstMonthPosition+1,$FN218&lt;SwaptionFirstMonthPosition+1,FO$169&gt;SwaptionFirstMonthPosition+SwaptionNumOfMonths+1,$FN218&gt;SwaptionFirstMonthPosition+SwaptionNumOfMonths+1),"",IF($FN218=FO$169,1,IF($FN218&lt;FO$169,INDEX($FO$170:$IH$241,FO$169,$FN218),SUMPRODUCT(INDEX($FO$325:$IH$396,FO$169,1+SwaptionShift):INDEX($FO$325:$IH$396,FO$169,SwaptionMonthsToGo+SwaptionShift),INDEX($FO$245:$IH$316,$FN218-FO$169,73-FO$169+SwaptionShift):INDEX($FO$245:$IH$316,$FN218-FO$169,72-FO$169+SwaptionMonthsToGo+SwaptionShift))/SQRT(SUM(INDEX($FO373:$IH373,1+SwaptionShift):INDEX($FO373:$IH373,SwaptionMonthsToGo+SwaptionShift))*SUM(INDEX($FO$325:$IH$396,FO$169,1+SwaptionShift):INDEX($FO$325:$IH$396,FO$169,SwaptionMonthsToGo+SwaptionShift))))))</f>
        <v/>
      </c>
      <c r="FP218" s="469" t="str">
        <f ca="1">IF(OR(FP$169&lt;SwaptionFirstMonthPosition+1,$FN218&lt;SwaptionFirstMonthPosition+1,FP$169&gt;SwaptionFirstMonthPosition+SwaptionNumOfMonths+1,$FN218&gt;SwaptionFirstMonthPosition+SwaptionNumOfMonths+1),"",IF($FN218=FP$169,1,IF($FN218&lt;FP$169,INDEX($FO$170:$IH$241,FP$169,$FN218),SUMPRODUCT(INDEX($FO$325:$IH$396,FP$169,1+SwaptionShift):INDEX($FO$325:$IH$396,FP$169,SwaptionMonthsToGo+SwaptionShift),INDEX($FO$245:$IH$316,$FN218-FP$169,73-FP$169+SwaptionShift):INDEX($FO$245:$IH$316,$FN218-FP$169,72-FP$169+SwaptionMonthsToGo+SwaptionShift))/SQRT(SUM(INDEX($FO373:$IH373,1+SwaptionShift):INDEX($FO373:$IH373,SwaptionMonthsToGo+SwaptionShift))*SUM(INDEX($FO$325:$IH$396,FP$169,1+SwaptionShift):INDEX($FO$325:$IH$396,FP$169,SwaptionMonthsToGo+SwaptionShift))))))</f>
        <v/>
      </c>
      <c r="FQ218" s="469" t="str">
        <f ca="1">IF(OR(FQ$169&lt;SwaptionFirstMonthPosition+1,$FN218&lt;SwaptionFirstMonthPosition+1,FQ$169&gt;SwaptionFirstMonthPosition+SwaptionNumOfMonths+1,$FN218&gt;SwaptionFirstMonthPosition+SwaptionNumOfMonths+1),"",IF($FN218=FQ$169,1,IF($FN218&lt;FQ$169,INDEX($FO$170:$IH$241,FQ$169,$FN218),SUMPRODUCT(INDEX($FO$325:$IH$396,FQ$169,1+SwaptionShift):INDEX($FO$325:$IH$396,FQ$169,SwaptionMonthsToGo+SwaptionShift),INDEX($FO$245:$IH$316,$FN218-FQ$169,73-FQ$169+SwaptionShift):INDEX($FO$245:$IH$316,$FN218-FQ$169,72-FQ$169+SwaptionMonthsToGo+SwaptionShift))/SQRT(SUM(INDEX($FO373:$IH373,1+SwaptionShift):INDEX($FO373:$IH373,SwaptionMonthsToGo+SwaptionShift))*SUM(INDEX($FO$325:$IH$396,FQ$169,1+SwaptionShift):INDEX($FO$325:$IH$396,FQ$169,SwaptionMonthsToGo+SwaptionShift))))))</f>
        <v/>
      </c>
      <c r="FR218" s="469" t="str">
        <f ca="1">IF(OR(FR$169&lt;SwaptionFirstMonthPosition+1,$FN218&lt;SwaptionFirstMonthPosition+1,FR$169&gt;SwaptionFirstMonthPosition+SwaptionNumOfMonths+1,$FN218&gt;SwaptionFirstMonthPosition+SwaptionNumOfMonths+1),"",IF($FN218=FR$169,1,IF($FN218&lt;FR$169,INDEX($FO$170:$IH$241,FR$169,$FN218),SUMPRODUCT(INDEX($FO$325:$IH$396,FR$169,1+SwaptionShift):INDEX($FO$325:$IH$396,FR$169,SwaptionMonthsToGo+SwaptionShift),INDEX($FO$245:$IH$316,$FN218-FR$169,73-FR$169+SwaptionShift):INDEX($FO$245:$IH$316,$FN218-FR$169,72-FR$169+SwaptionMonthsToGo+SwaptionShift))/SQRT(SUM(INDEX($FO373:$IH373,1+SwaptionShift):INDEX($FO373:$IH373,SwaptionMonthsToGo+SwaptionShift))*SUM(INDEX($FO$325:$IH$396,FR$169,1+SwaptionShift):INDEX($FO$325:$IH$396,FR$169,SwaptionMonthsToGo+SwaptionShift))))))</f>
        <v/>
      </c>
      <c r="FS218" s="469" t="str">
        <f ca="1">IF(OR(FS$169&lt;SwaptionFirstMonthPosition+1,$FN218&lt;SwaptionFirstMonthPosition+1,FS$169&gt;SwaptionFirstMonthPosition+SwaptionNumOfMonths+1,$FN218&gt;SwaptionFirstMonthPosition+SwaptionNumOfMonths+1),"",IF($FN218=FS$169,1,IF($FN218&lt;FS$169,INDEX($FO$170:$IH$241,FS$169,$FN218),SUMPRODUCT(INDEX($FO$325:$IH$396,FS$169,1+SwaptionShift):INDEX($FO$325:$IH$396,FS$169,SwaptionMonthsToGo+SwaptionShift),INDEX($FO$245:$IH$316,$FN218-FS$169,73-FS$169+SwaptionShift):INDEX($FO$245:$IH$316,$FN218-FS$169,72-FS$169+SwaptionMonthsToGo+SwaptionShift))/SQRT(SUM(INDEX($FO373:$IH373,1+SwaptionShift):INDEX($FO373:$IH373,SwaptionMonthsToGo+SwaptionShift))*SUM(INDEX($FO$325:$IH$396,FS$169,1+SwaptionShift):INDEX($FO$325:$IH$396,FS$169,SwaptionMonthsToGo+SwaptionShift))))))</f>
        <v/>
      </c>
      <c r="FT218" s="469" t="str">
        <f ca="1">IF(OR(FT$169&lt;SwaptionFirstMonthPosition+1,$FN218&lt;SwaptionFirstMonthPosition+1,FT$169&gt;SwaptionFirstMonthPosition+SwaptionNumOfMonths+1,$FN218&gt;SwaptionFirstMonthPosition+SwaptionNumOfMonths+1),"",IF($FN218=FT$169,1,IF($FN218&lt;FT$169,INDEX($FO$170:$IH$241,FT$169,$FN218),SUMPRODUCT(INDEX($FO$325:$IH$396,FT$169,1+SwaptionShift):INDEX($FO$325:$IH$396,FT$169,SwaptionMonthsToGo+SwaptionShift),INDEX($FO$245:$IH$316,$FN218-FT$169,73-FT$169+SwaptionShift):INDEX($FO$245:$IH$316,$FN218-FT$169,72-FT$169+SwaptionMonthsToGo+SwaptionShift))/SQRT(SUM(INDEX($FO373:$IH373,1+SwaptionShift):INDEX($FO373:$IH373,SwaptionMonthsToGo+SwaptionShift))*SUM(INDEX($FO$325:$IH$396,FT$169,1+SwaptionShift):INDEX($FO$325:$IH$396,FT$169,SwaptionMonthsToGo+SwaptionShift))))))</f>
        <v/>
      </c>
      <c r="FU218" s="469" t="str">
        <f ca="1">IF(OR(FU$169&lt;SwaptionFirstMonthPosition+1,$FN218&lt;SwaptionFirstMonthPosition+1,FU$169&gt;SwaptionFirstMonthPosition+SwaptionNumOfMonths+1,$FN218&gt;SwaptionFirstMonthPosition+SwaptionNumOfMonths+1),"",IF($FN218=FU$169,1,IF($FN218&lt;FU$169,INDEX($FO$170:$IH$241,FU$169,$FN218),SUMPRODUCT(INDEX($FO$325:$IH$396,FU$169,1+SwaptionShift):INDEX($FO$325:$IH$396,FU$169,SwaptionMonthsToGo+SwaptionShift),INDEX($FO$245:$IH$316,$FN218-FU$169,73-FU$169+SwaptionShift):INDEX($FO$245:$IH$316,$FN218-FU$169,72-FU$169+SwaptionMonthsToGo+SwaptionShift))/SQRT(SUM(INDEX($FO373:$IH373,1+SwaptionShift):INDEX($FO373:$IH373,SwaptionMonthsToGo+SwaptionShift))*SUM(INDEX($FO$325:$IH$396,FU$169,1+SwaptionShift):INDEX($FO$325:$IH$396,FU$169,SwaptionMonthsToGo+SwaptionShift))))))</f>
        <v/>
      </c>
      <c r="FV218" s="469" t="str">
        <f ca="1">IF(OR(FV$169&lt;SwaptionFirstMonthPosition+1,$FN218&lt;SwaptionFirstMonthPosition+1,FV$169&gt;SwaptionFirstMonthPosition+SwaptionNumOfMonths+1,$FN218&gt;SwaptionFirstMonthPosition+SwaptionNumOfMonths+1),"",IF($FN218=FV$169,1,IF($FN218&lt;FV$169,INDEX($FO$170:$IH$241,FV$169,$FN218),SUMPRODUCT(INDEX($FO$325:$IH$396,FV$169,1+SwaptionShift):INDEX($FO$325:$IH$396,FV$169,SwaptionMonthsToGo+SwaptionShift),INDEX($FO$245:$IH$316,$FN218-FV$169,73-FV$169+SwaptionShift):INDEX($FO$245:$IH$316,$FN218-FV$169,72-FV$169+SwaptionMonthsToGo+SwaptionShift))/SQRT(SUM(INDEX($FO373:$IH373,1+SwaptionShift):INDEX($FO373:$IH373,SwaptionMonthsToGo+SwaptionShift))*SUM(INDEX($FO$325:$IH$396,FV$169,1+SwaptionShift):INDEX($FO$325:$IH$396,FV$169,SwaptionMonthsToGo+SwaptionShift))))))</f>
        <v/>
      </c>
      <c r="FW218" s="469" t="str">
        <f ca="1">IF(OR(FW$169&lt;SwaptionFirstMonthPosition+1,$FN218&lt;SwaptionFirstMonthPosition+1,FW$169&gt;SwaptionFirstMonthPosition+SwaptionNumOfMonths+1,$FN218&gt;SwaptionFirstMonthPosition+SwaptionNumOfMonths+1),"",IF($FN218=FW$169,1,IF($FN218&lt;FW$169,INDEX($FO$170:$IH$241,FW$169,$FN218),SUMPRODUCT(INDEX($FO$325:$IH$396,FW$169,1+SwaptionShift):INDEX($FO$325:$IH$396,FW$169,SwaptionMonthsToGo+SwaptionShift),INDEX($FO$245:$IH$316,$FN218-FW$169,73-FW$169+SwaptionShift):INDEX($FO$245:$IH$316,$FN218-FW$169,72-FW$169+SwaptionMonthsToGo+SwaptionShift))/SQRT(SUM(INDEX($FO373:$IH373,1+SwaptionShift):INDEX($FO373:$IH373,SwaptionMonthsToGo+SwaptionShift))*SUM(INDEX($FO$325:$IH$396,FW$169,1+SwaptionShift):INDEX($FO$325:$IH$396,FW$169,SwaptionMonthsToGo+SwaptionShift))))))</f>
        <v/>
      </c>
      <c r="FX218" s="469" t="str">
        <f ca="1">IF(OR(FX$169&lt;SwaptionFirstMonthPosition+1,$FN218&lt;SwaptionFirstMonthPosition+1,FX$169&gt;SwaptionFirstMonthPosition+SwaptionNumOfMonths+1,$FN218&gt;SwaptionFirstMonthPosition+SwaptionNumOfMonths+1),"",IF($FN218=FX$169,1,IF($FN218&lt;FX$169,INDEX($FO$170:$IH$241,FX$169,$FN218),SUMPRODUCT(INDEX($FO$325:$IH$396,FX$169,1+SwaptionShift):INDEX($FO$325:$IH$396,FX$169,SwaptionMonthsToGo+SwaptionShift),INDEX($FO$245:$IH$316,$FN218-FX$169,73-FX$169+SwaptionShift):INDEX($FO$245:$IH$316,$FN218-FX$169,72-FX$169+SwaptionMonthsToGo+SwaptionShift))/SQRT(SUM(INDEX($FO373:$IH373,1+SwaptionShift):INDEX($FO373:$IH373,SwaptionMonthsToGo+SwaptionShift))*SUM(INDEX($FO$325:$IH$396,FX$169,1+SwaptionShift):INDEX($FO$325:$IH$396,FX$169,SwaptionMonthsToGo+SwaptionShift))))))</f>
        <v/>
      </c>
      <c r="FY218" s="469" t="str">
        <f ca="1">IF(OR(FY$169&lt;SwaptionFirstMonthPosition+1,$FN218&lt;SwaptionFirstMonthPosition+1,FY$169&gt;SwaptionFirstMonthPosition+SwaptionNumOfMonths+1,$FN218&gt;SwaptionFirstMonthPosition+SwaptionNumOfMonths+1),"",IF($FN218=FY$169,1,IF($FN218&lt;FY$169,INDEX($FO$170:$IH$241,FY$169,$FN218),SUMPRODUCT(INDEX($FO$325:$IH$396,FY$169,1+SwaptionShift):INDEX($FO$325:$IH$396,FY$169,SwaptionMonthsToGo+SwaptionShift),INDEX($FO$245:$IH$316,$FN218-FY$169,73-FY$169+SwaptionShift):INDEX($FO$245:$IH$316,$FN218-FY$169,72-FY$169+SwaptionMonthsToGo+SwaptionShift))/SQRT(SUM(INDEX($FO373:$IH373,1+SwaptionShift):INDEX($FO373:$IH373,SwaptionMonthsToGo+SwaptionShift))*SUM(INDEX($FO$325:$IH$396,FY$169,1+SwaptionShift):INDEX($FO$325:$IH$396,FY$169,SwaptionMonthsToGo+SwaptionShift))))))</f>
        <v/>
      </c>
      <c r="FZ218" s="469" t="str">
        <f ca="1">IF(OR(FZ$169&lt;SwaptionFirstMonthPosition+1,$FN218&lt;SwaptionFirstMonthPosition+1,FZ$169&gt;SwaptionFirstMonthPosition+SwaptionNumOfMonths+1,$FN218&gt;SwaptionFirstMonthPosition+SwaptionNumOfMonths+1),"",IF($FN218=FZ$169,1,IF($FN218&lt;FZ$169,INDEX($FO$170:$IH$241,FZ$169,$FN218),SUMPRODUCT(INDEX($FO$325:$IH$396,FZ$169,1+SwaptionShift):INDEX($FO$325:$IH$396,FZ$169,SwaptionMonthsToGo+SwaptionShift),INDEX($FO$245:$IH$316,$FN218-FZ$169,73-FZ$169+SwaptionShift):INDEX($FO$245:$IH$316,$FN218-FZ$169,72-FZ$169+SwaptionMonthsToGo+SwaptionShift))/SQRT(SUM(INDEX($FO373:$IH373,1+SwaptionShift):INDEX($FO373:$IH373,SwaptionMonthsToGo+SwaptionShift))*SUM(INDEX($FO$325:$IH$396,FZ$169,1+SwaptionShift):INDEX($FO$325:$IH$396,FZ$169,SwaptionMonthsToGo+SwaptionShift))))))</f>
        <v/>
      </c>
      <c r="GA218" s="469" t="str">
        <f ca="1">IF(OR(GA$169&lt;SwaptionFirstMonthPosition+1,$FN218&lt;SwaptionFirstMonthPosition+1,GA$169&gt;SwaptionFirstMonthPosition+SwaptionNumOfMonths+1,$FN218&gt;SwaptionFirstMonthPosition+SwaptionNumOfMonths+1),"",IF($FN218=GA$169,1,IF($FN218&lt;GA$169,INDEX($FO$170:$IH$241,GA$169,$FN218),SUMPRODUCT(INDEX($FO$325:$IH$396,GA$169,1+SwaptionShift):INDEX($FO$325:$IH$396,GA$169,SwaptionMonthsToGo+SwaptionShift),INDEX($FO$245:$IH$316,$FN218-GA$169,73-GA$169+SwaptionShift):INDEX($FO$245:$IH$316,$FN218-GA$169,72-GA$169+SwaptionMonthsToGo+SwaptionShift))/SQRT(SUM(INDEX($FO373:$IH373,1+SwaptionShift):INDEX($FO373:$IH373,SwaptionMonthsToGo+SwaptionShift))*SUM(INDEX($FO$325:$IH$396,GA$169,1+SwaptionShift):INDEX($FO$325:$IH$396,GA$169,SwaptionMonthsToGo+SwaptionShift))))))</f>
        <v/>
      </c>
      <c r="GB218" s="469" t="str">
        <f ca="1">IF(OR(GB$169&lt;SwaptionFirstMonthPosition+1,$FN218&lt;SwaptionFirstMonthPosition+1,GB$169&gt;SwaptionFirstMonthPosition+SwaptionNumOfMonths+1,$FN218&gt;SwaptionFirstMonthPosition+SwaptionNumOfMonths+1),"",IF($FN218=GB$169,1,IF($FN218&lt;GB$169,INDEX($FO$170:$IH$241,GB$169,$FN218),SUMPRODUCT(INDEX($FO$325:$IH$396,GB$169,1+SwaptionShift):INDEX($FO$325:$IH$396,GB$169,SwaptionMonthsToGo+SwaptionShift),INDEX($FO$245:$IH$316,$FN218-GB$169,73-GB$169+SwaptionShift):INDEX($FO$245:$IH$316,$FN218-GB$169,72-GB$169+SwaptionMonthsToGo+SwaptionShift))/SQRT(SUM(INDEX($FO373:$IH373,1+SwaptionShift):INDEX($FO373:$IH373,SwaptionMonthsToGo+SwaptionShift))*SUM(INDEX($FO$325:$IH$396,GB$169,1+SwaptionShift):INDEX($FO$325:$IH$396,GB$169,SwaptionMonthsToGo+SwaptionShift))))))</f>
        <v/>
      </c>
      <c r="GC218" s="469" t="str">
        <f ca="1">IF(OR(GC$169&lt;SwaptionFirstMonthPosition+1,$FN218&lt;SwaptionFirstMonthPosition+1,GC$169&gt;SwaptionFirstMonthPosition+SwaptionNumOfMonths+1,$FN218&gt;SwaptionFirstMonthPosition+SwaptionNumOfMonths+1),"",IF($FN218=GC$169,1,IF($FN218&lt;GC$169,INDEX($FO$170:$IH$241,GC$169,$FN218),SUMPRODUCT(INDEX($FO$325:$IH$396,GC$169,1+SwaptionShift):INDEX($FO$325:$IH$396,GC$169,SwaptionMonthsToGo+SwaptionShift),INDEX($FO$245:$IH$316,$FN218-GC$169,73-GC$169+SwaptionShift):INDEX($FO$245:$IH$316,$FN218-GC$169,72-GC$169+SwaptionMonthsToGo+SwaptionShift))/SQRT(SUM(INDEX($FO373:$IH373,1+SwaptionShift):INDEX($FO373:$IH373,SwaptionMonthsToGo+SwaptionShift))*SUM(INDEX($FO$325:$IH$396,GC$169,1+SwaptionShift):INDEX($FO$325:$IH$396,GC$169,SwaptionMonthsToGo+SwaptionShift))))))</f>
        <v/>
      </c>
      <c r="GD218" s="469" t="str">
        <f ca="1">IF(OR(GD$169&lt;SwaptionFirstMonthPosition+1,$FN218&lt;SwaptionFirstMonthPosition+1,GD$169&gt;SwaptionFirstMonthPosition+SwaptionNumOfMonths+1,$FN218&gt;SwaptionFirstMonthPosition+SwaptionNumOfMonths+1),"",IF($FN218=GD$169,1,IF($FN218&lt;GD$169,INDEX($FO$170:$IH$241,GD$169,$FN218),SUMPRODUCT(INDEX($FO$325:$IH$396,GD$169,1+SwaptionShift):INDEX($FO$325:$IH$396,GD$169,SwaptionMonthsToGo+SwaptionShift),INDEX($FO$245:$IH$316,$FN218-GD$169,73-GD$169+SwaptionShift):INDEX($FO$245:$IH$316,$FN218-GD$169,72-GD$169+SwaptionMonthsToGo+SwaptionShift))/SQRT(SUM(INDEX($FO373:$IH373,1+SwaptionShift):INDEX($FO373:$IH373,SwaptionMonthsToGo+SwaptionShift))*SUM(INDEX($FO$325:$IH$396,GD$169,1+SwaptionShift):INDEX($FO$325:$IH$396,GD$169,SwaptionMonthsToGo+SwaptionShift))))))</f>
        <v/>
      </c>
      <c r="GE218" s="469" t="str">
        <f ca="1">IF(OR(GE$169&lt;SwaptionFirstMonthPosition+1,$FN218&lt;SwaptionFirstMonthPosition+1,GE$169&gt;SwaptionFirstMonthPosition+SwaptionNumOfMonths+1,$FN218&gt;SwaptionFirstMonthPosition+SwaptionNumOfMonths+1),"",IF($FN218=GE$169,1,IF($FN218&lt;GE$169,INDEX($FO$170:$IH$241,GE$169,$FN218),SUMPRODUCT(INDEX($FO$325:$IH$396,GE$169,1+SwaptionShift):INDEX($FO$325:$IH$396,GE$169,SwaptionMonthsToGo+SwaptionShift),INDEX($FO$245:$IH$316,$FN218-GE$169,73-GE$169+SwaptionShift):INDEX($FO$245:$IH$316,$FN218-GE$169,72-GE$169+SwaptionMonthsToGo+SwaptionShift))/SQRT(SUM(INDEX($FO373:$IH373,1+SwaptionShift):INDEX($FO373:$IH373,SwaptionMonthsToGo+SwaptionShift))*SUM(INDEX($FO$325:$IH$396,GE$169,1+SwaptionShift):INDEX($FO$325:$IH$396,GE$169,SwaptionMonthsToGo+SwaptionShift))))))</f>
        <v/>
      </c>
      <c r="GF218" s="469" t="str">
        <f ca="1">IF(OR(GF$169&lt;SwaptionFirstMonthPosition+1,$FN218&lt;SwaptionFirstMonthPosition+1,GF$169&gt;SwaptionFirstMonthPosition+SwaptionNumOfMonths+1,$FN218&gt;SwaptionFirstMonthPosition+SwaptionNumOfMonths+1),"",IF($FN218=GF$169,1,IF($FN218&lt;GF$169,INDEX($FO$170:$IH$241,GF$169,$FN218),SUMPRODUCT(INDEX($FO$325:$IH$396,GF$169,1+SwaptionShift):INDEX($FO$325:$IH$396,GF$169,SwaptionMonthsToGo+SwaptionShift),INDEX($FO$245:$IH$316,$FN218-GF$169,73-GF$169+SwaptionShift):INDEX($FO$245:$IH$316,$FN218-GF$169,72-GF$169+SwaptionMonthsToGo+SwaptionShift))/SQRT(SUM(INDEX($FO373:$IH373,1+SwaptionShift):INDEX($FO373:$IH373,SwaptionMonthsToGo+SwaptionShift))*SUM(INDEX($FO$325:$IH$396,GF$169,1+SwaptionShift):INDEX($FO$325:$IH$396,GF$169,SwaptionMonthsToGo+SwaptionShift))))))</f>
        <v/>
      </c>
      <c r="GG218" s="469" t="str">
        <f ca="1">IF(OR(GG$169&lt;SwaptionFirstMonthPosition+1,$FN218&lt;SwaptionFirstMonthPosition+1,GG$169&gt;SwaptionFirstMonthPosition+SwaptionNumOfMonths+1,$FN218&gt;SwaptionFirstMonthPosition+SwaptionNumOfMonths+1),"",IF($FN218=GG$169,1,IF($FN218&lt;GG$169,INDEX($FO$170:$IH$241,GG$169,$FN218),SUMPRODUCT(INDEX($FO$325:$IH$396,GG$169,1+SwaptionShift):INDEX($FO$325:$IH$396,GG$169,SwaptionMonthsToGo+SwaptionShift),INDEX($FO$245:$IH$316,$FN218-GG$169,73-GG$169+SwaptionShift):INDEX($FO$245:$IH$316,$FN218-GG$169,72-GG$169+SwaptionMonthsToGo+SwaptionShift))/SQRT(SUM(INDEX($FO373:$IH373,1+SwaptionShift):INDEX($FO373:$IH373,SwaptionMonthsToGo+SwaptionShift))*SUM(INDEX($FO$325:$IH$396,GG$169,1+SwaptionShift):INDEX($FO$325:$IH$396,GG$169,SwaptionMonthsToGo+SwaptionShift))))))</f>
        <v/>
      </c>
      <c r="GH218" s="469" t="str">
        <f ca="1">IF(OR(GH$169&lt;SwaptionFirstMonthPosition+1,$FN218&lt;SwaptionFirstMonthPosition+1,GH$169&gt;SwaptionFirstMonthPosition+SwaptionNumOfMonths+1,$FN218&gt;SwaptionFirstMonthPosition+SwaptionNumOfMonths+1),"",IF($FN218=GH$169,1,IF($FN218&lt;GH$169,INDEX($FO$170:$IH$241,GH$169,$FN218),SUMPRODUCT(INDEX($FO$325:$IH$396,GH$169,1+SwaptionShift):INDEX($FO$325:$IH$396,GH$169,SwaptionMonthsToGo+SwaptionShift),INDEX($FO$245:$IH$316,$FN218-GH$169,73-GH$169+SwaptionShift):INDEX($FO$245:$IH$316,$FN218-GH$169,72-GH$169+SwaptionMonthsToGo+SwaptionShift))/SQRT(SUM(INDEX($FO373:$IH373,1+SwaptionShift):INDEX($FO373:$IH373,SwaptionMonthsToGo+SwaptionShift))*SUM(INDEX($FO$325:$IH$396,GH$169,1+SwaptionShift):INDEX($FO$325:$IH$396,GH$169,SwaptionMonthsToGo+SwaptionShift))))))</f>
        <v/>
      </c>
      <c r="GI218" s="469" t="str">
        <f ca="1">IF(OR(GI$169&lt;SwaptionFirstMonthPosition+1,$FN218&lt;SwaptionFirstMonthPosition+1,GI$169&gt;SwaptionFirstMonthPosition+SwaptionNumOfMonths+1,$FN218&gt;SwaptionFirstMonthPosition+SwaptionNumOfMonths+1),"",IF($FN218=GI$169,1,IF($FN218&lt;GI$169,INDEX($FO$170:$IH$241,GI$169,$FN218),SUMPRODUCT(INDEX($FO$325:$IH$396,GI$169,1+SwaptionShift):INDEX($FO$325:$IH$396,GI$169,SwaptionMonthsToGo+SwaptionShift),INDEX($FO$245:$IH$316,$FN218-GI$169,73-GI$169+SwaptionShift):INDEX($FO$245:$IH$316,$FN218-GI$169,72-GI$169+SwaptionMonthsToGo+SwaptionShift))/SQRT(SUM(INDEX($FO373:$IH373,1+SwaptionShift):INDEX($FO373:$IH373,SwaptionMonthsToGo+SwaptionShift))*SUM(INDEX($FO$325:$IH$396,GI$169,1+SwaptionShift):INDEX($FO$325:$IH$396,GI$169,SwaptionMonthsToGo+SwaptionShift))))))</f>
        <v/>
      </c>
      <c r="GJ218" s="469" t="str">
        <f ca="1">IF(OR(GJ$169&lt;SwaptionFirstMonthPosition+1,$FN218&lt;SwaptionFirstMonthPosition+1,GJ$169&gt;SwaptionFirstMonthPosition+SwaptionNumOfMonths+1,$FN218&gt;SwaptionFirstMonthPosition+SwaptionNumOfMonths+1),"",IF($FN218=GJ$169,1,IF($FN218&lt;GJ$169,INDEX($FO$170:$IH$241,GJ$169,$FN218),SUMPRODUCT(INDEX($FO$325:$IH$396,GJ$169,1+SwaptionShift):INDEX($FO$325:$IH$396,GJ$169,SwaptionMonthsToGo+SwaptionShift),INDEX($FO$245:$IH$316,$FN218-GJ$169,73-GJ$169+SwaptionShift):INDEX($FO$245:$IH$316,$FN218-GJ$169,72-GJ$169+SwaptionMonthsToGo+SwaptionShift))/SQRT(SUM(INDEX($FO373:$IH373,1+SwaptionShift):INDEX($FO373:$IH373,SwaptionMonthsToGo+SwaptionShift))*SUM(INDEX($FO$325:$IH$396,GJ$169,1+SwaptionShift):INDEX($FO$325:$IH$396,GJ$169,SwaptionMonthsToGo+SwaptionShift))))))</f>
        <v/>
      </c>
      <c r="GK218" s="469" t="str">
        <f ca="1">IF(OR(GK$169&lt;SwaptionFirstMonthPosition+1,$FN218&lt;SwaptionFirstMonthPosition+1,GK$169&gt;SwaptionFirstMonthPosition+SwaptionNumOfMonths+1,$FN218&gt;SwaptionFirstMonthPosition+SwaptionNumOfMonths+1),"",IF($FN218=GK$169,1,IF($FN218&lt;GK$169,INDEX($FO$170:$IH$241,GK$169,$FN218),SUMPRODUCT(INDEX($FO$325:$IH$396,GK$169,1+SwaptionShift):INDEX($FO$325:$IH$396,GK$169,SwaptionMonthsToGo+SwaptionShift),INDEX($FO$245:$IH$316,$FN218-GK$169,73-GK$169+SwaptionShift):INDEX($FO$245:$IH$316,$FN218-GK$169,72-GK$169+SwaptionMonthsToGo+SwaptionShift))/SQRT(SUM(INDEX($FO373:$IH373,1+SwaptionShift):INDEX($FO373:$IH373,SwaptionMonthsToGo+SwaptionShift))*SUM(INDEX($FO$325:$IH$396,GK$169,1+SwaptionShift):INDEX($FO$325:$IH$396,GK$169,SwaptionMonthsToGo+SwaptionShift))))))</f>
        <v/>
      </c>
      <c r="GL218" s="469" t="str">
        <f ca="1">IF(OR(GL$169&lt;SwaptionFirstMonthPosition+1,$FN218&lt;SwaptionFirstMonthPosition+1,GL$169&gt;SwaptionFirstMonthPosition+SwaptionNumOfMonths+1,$FN218&gt;SwaptionFirstMonthPosition+SwaptionNumOfMonths+1),"",IF($FN218=GL$169,1,IF($FN218&lt;GL$169,INDEX($FO$170:$IH$241,GL$169,$FN218),SUMPRODUCT(INDEX($FO$325:$IH$396,GL$169,1+SwaptionShift):INDEX($FO$325:$IH$396,GL$169,SwaptionMonthsToGo+SwaptionShift),INDEX($FO$245:$IH$316,$FN218-GL$169,73-GL$169+SwaptionShift):INDEX($FO$245:$IH$316,$FN218-GL$169,72-GL$169+SwaptionMonthsToGo+SwaptionShift))/SQRT(SUM(INDEX($FO373:$IH373,1+SwaptionShift):INDEX($FO373:$IH373,SwaptionMonthsToGo+SwaptionShift))*SUM(INDEX($FO$325:$IH$396,GL$169,1+SwaptionShift):INDEX($FO$325:$IH$396,GL$169,SwaptionMonthsToGo+SwaptionShift))))))</f>
        <v/>
      </c>
      <c r="GM218" s="469" t="str">
        <f ca="1">IF(OR(GM$169&lt;SwaptionFirstMonthPosition+1,$FN218&lt;SwaptionFirstMonthPosition+1,GM$169&gt;SwaptionFirstMonthPosition+SwaptionNumOfMonths+1,$FN218&gt;SwaptionFirstMonthPosition+SwaptionNumOfMonths+1),"",IF($FN218=GM$169,1,IF($FN218&lt;GM$169,INDEX($FO$170:$IH$241,GM$169,$FN218),SUMPRODUCT(INDEX($FO$325:$IH$396,GM$169,1+SwaptionShift):INDEX($FO$325:$IH$396,GM$169,SwaptionMonthsToGo+SwaptionShift),INDEX($FO$245:$IH$316,$FN218-GM$169,73-GM$169+SwaptionShift):INDEX($FO$245:$IH$316,$FN218-GM$169,72-GM$169+SwaptionMonthsToGo+SwaptionShift))/SQRT(SUM(INDEX($FO373:$IH373,1+SwaptionShift):INDEX($FO373:$IH373,SwaptionMonthsToGo+SwaptionShift))*SUM(INDEX($FO$325:$IH$396,GM$169,1+SwaptionShift):INDEX($FO$325:$IH$396,GM$169,SwaptionMonthsToGo+SwaptionShift))))))</f>
        <v/>
      </c>
      <c r="GN218" s="469" t="str">
        <f ca="1">IF(OR(GN$169&lt;SwaptionFirstMonthPosition+1,$FN218&lt;SwaptionFirstMonthPosition+1,GN$169&gt;SwaptionFirstMonthPosition+SwaptionNumOfMonths+1,$FN218&gt;SwaptionFirstMonthPosition+SwaptionNumOfMonths+1),"",IF($FN218=GN$169,1,IF($FN218&lt;GN$169,INDEX($FO$170:$IH$241,GN$169,$FN218),SUMPRODUCT(INDEX($FO$325:$IH$396,GN$169,1+SwaptionShift):INDEX($FO$325:$IH$396,GN$169,SwaptionMonthsToGo+SwaptionShift),INDEX($FO$245:$IH$316,$FN218-GN$169,73-GN$169+SwaptionShift):INDEX($FO$245:$IH$316,$FN218-GN$169,72-GN$169+SwaptionMonthsToGo+SwaptionShift))/SQRT(SUM(INDEX($FO373:$IH373,1+SwaptionShift):INDEX($FO373:$IH373,SwaptionMonthsToGo+SwaptionShift))*SUM(INDEX($FO$325:$IH$396,GN$169,1+SwaptionShift):INDEX($FO$325:$IH$396,GN$169,SwaptionMonthsToGo+SwaptionShift))))))</f>
        <v/>
      </c>
      <c r="GO218" s="469" t="str">
        <f ca="1">IF(OR(GO$169&lt;SwaptionFirstMonthPosition+1,$FN218&lt;SwaptionFirstMonthPosition+1,GO$169&gt;SwaptionFirstMonthPosition+SwaptionNumOfMonths+1,$FN218&gt;SwaptionFirstMonthPosition+SwaptionNumOfMonths+1),"",IF($FN218=GO$169,1,IF($FN218&lt;GO$169,INDEX($FO$170:$IH$241,GO$169,$FN218),SUMPRODUCT(INDEX($FO$325:$IH$396,GO$169,1+SwaptionShift):INDEX($FO$325:$IH$396,GO$169,SwaptionMonthsToGo+SwaptionShift),INDEX($FO$245:$IH$316,$FN218-GO$169,73-GO$169+SwaptionShift):INDEX($FO$245:$IH$316,$FN218-GO$169,72-GO$169+SwaptionMonthsToGo+SwaptionShift))/SQRT(SUM(INDEX($FO373:$IH373,1+SwaptionShift):INDEX($FO373:$IH373,SwaptionMonthsToGo+SwaptionShift))*SUM(INDEX($FO$325:$IH$396,GO$169,1+SwaptionShift):INDEX($FO$325:$IH$396,GO$169,SwaptionMonthsToGo+SwaptionShift))))))</f>
        <v/>
      </c>
      <c r="GP218" s="469" t="str">
        <f ca="1">IF(OR(GP$169&lt;SwaptionFirstMonthPosition+1,$FN218&lt;SwaptionFirstMonthPosition+1,GP$169&gt;SwaptionFirstMonthPosition+SwaptionNumOfMonths+1,$FN218&gt;SwaptionFirstMonthPosition+SwaptionNumOfMonths+1),"",IF($FN218=GP$169,1,IF($FN218&lt;GP$169,INDEX($FO$170:$IH$241,GP$169,$FN218),SUMPRODUCT(INDEX($FO$325:$IH$396,GP$169,1+SwaptionShift):INDEX($FO$325:$IH$396,GP$169,SwaptionMonthsToGo+SwaptionShift),INDEX($FO$245:$IH$316,$FN218-GP$169,73-GP$169+SwaptionShift):INDEX($FO$245:$IH$316,$FN218-GP$169,72-GP$169+SwaptionMonthsToGo+SwaptionShift))/SQRT(SUM(INDEX($FO373:$IH373,1+SwaptionShift):INDEX($FO373:$IH373,SwaptionMonthsToGo+SwaptionShift))*SUM(INDEX($FO$325:$IH$396,GP$169,1+SwaptionShift):INDEX($FO$325:$IH$396,GP$169,SwaptionMonthsToGo+SwaptionShift))))))</f>
        <v/>
      </c>
      <c r="GQ218" s="469" t="str">
        <f ca="1">IF(OR(GQ$169&lt;SwaptionFirstMonthPosition+1,$FN218&lt;SwaptionFirstMonthPosition+1,GQ$169&gt;SwaptionFirstMonthPosition+SwaptionNumOfMonths+1,$FN218&gt;SwaptionFirstMonthPosition+SwaptionNumOfMonths+1),"",IF($FN218=GQ$169,1,IF($FN218&lt;GQ$169,INDEX($FO$170:$IH$241,GQ$169,$FN218),SUMPRODUCT(INDEX($FO$325:$IH$396,GQ$169,1+SwaptionShift):INDEX($FO$325:$IH$396,GQ$169,SwaptionMonthsToGo+SwaptionShift),INDEX($FO$245:$IH$316,$FN218-GQ$169,73-GQ$169+SwaptionShift):INDEX($FO$245:$IH$316,$FN218-GQ$169,72-GQ$169+SwaptionMonthsToGo+SwaptionShift))/SQRT(SUM(INDEX($FO373:$IH373,1+SwaptionShift):INDEX($FO373:$IH373,SwaptionMonthsToGo+SwaptionShift))*SUM(INDEX($FO$325:$IH$396,GQ$169,1+SwaptionShift):INDEX($FO$325:$IH$396,GQ$169,SwaptionMonthsToGo+SwaptionShift))))))</f>
        <v/>
      </c>
      <c r="GR218" s="469" t="str">
        <f ca="1">IF(OR(GR$169&lt;SwaptionFirstMonthPosition+1,$FN218&lt;SwaptionFirstMonthPosition+1,GR$169&gt;SwaptionFirstMonthPosition+SwaptionNumOfMonths+1,$FN218&gt;SwaptionFirstMonthPosition+SwaptionNumOfMonths+1),"",IF($FN218=GR$169,1,IF($FN218&lt;GR$169,INDEX($FO$170:$IH$241,GR$169,$FN218),SUMPRODUCT(INDEX($FO$325:$IH$396,GR$169,1+SwaptionShift):INDEX($FO$325:$IH$396,GR$169,SwaptionMonthsToGo+SwaptionShift),INDEX($FO$245:$IH$316,$FN218-GR$169,73-GR$169+SwaptionShift):INDEX($FO$245:$IH$316,$FN218-GR$169,72-GR$169+SwaptionMonthsToGo+SwaptionShift))/SQRT(SUM(INDEX($FO373:$IH373,1+SwaptionShift):INDEX($FO373:$IH373,SwaptionMonthsToGo+SwaptionShift))*SUM(INDEX($FO$325:$IH$396,GR$169,1+SwaptionShift):INDEX($FO$325:$IH$396,GR$169,SwaptionMonthsToGo+SwaptionShift))))))</f>
        <v/>
      </c>
      <c r="GS218" s="469" t="str">
        <f ca="1">IF(OR(GS$169&lt;SwaptionFirstMonthPosition+1,$FN218&lt;SwaptionFirstMonthPosition+1,GS$169&gt;SwaptionFirstMonthPosition+SwaptionNumOfMonths+1,$FN218&gt;SwaptionFirstMonthPosition+SwaptionNumOfMonths+1),"",IF($FN218=GS$169,1,IF($FN218&lt;GS$169,INDEX($FO$170:$IH$241,GS$169,$FN218),SUMPRODUCT(INDEX($FO$325:$IH$396,GS$169,1+SwaptionShift):INDEX($FO$325:$IH$396,GS$169,SwaptionMonthsToGo+SwaptionShift),INDEX($FO$245:$IH$316,$FN218-GS$169,73-GS$169+SwaptionShift):INDEX($FO$245:$IH$316,$FN218-GS$169,72-GS$169+SwaptionMonthsToGo+SwaptionShift))/SQRT(SUM(INDEX($FO373:$IH373,1+SwaptionShift):INDEX($FO373:$IH373,SwaptionMonthsToGo+SwaptionShift))*SUM(INDEX($FO$325:$IH$396,GS$169,1+SwaptionShift):INDEX($FO$325:$IH$396,GS$169,SwaptionMonthsToGo+SwaptionShift))))))</f>
        <v/>
      </c>
      <c r="GT218" s="469" t="str">
        <f ca="1">IF(OR(GT$169&lt;SwaptionFirstMonthPosition+1,$FN218&lt;SwaptionFirstMonthPosition+1,GT$169&gt;SwaptionFirstMonthPosition+SwaptionNumOfMonths+1,$FN218&gt;SwaptionFirstMonthPosition+SwaptionNumOfMonths+1),"",IF($FN218=GT$169,1,IF($FN218&lt;GT$169,INDEX($FO$170:$IH$241,GT$169,$FN218),SUMPRODUCT(INDEX($FO$325:$IH$396,GT$169,1+SwaptionShift):INDEX($FO$325:$IH$396,GT$169,SwaptionMonthsToGo+SwaptionShift),INDEX($FO$245:$IH$316,$FN218-GT$169,73-GT$169+SwaptionShift):INDEX($FO$245:$IH$316,$FN218-GT$169,72-GT$169+SwaptionMonthsToGo+SwaptionShift))/SQRT(SUM(INDEX($FO373:$IH373,1+SwaptionShift):INDEX($FO373:$IH373,SwaptionMonthsToGo+SwaptionShift))*SUM(INDEX($FO$325:$IH$396,GT$169,1+SwaptionShift):INDEX($FO$325:$IH$396,GT$169,SwaptionMonthsToGo+SwaptionShift))))))</f>
        <v/>
      </c>
      <c r="GU218" s="469" t="str">
        <f ca="1">IF(OR(GU$169&lt;SwaptionFirstMonthPosition+1,$FN218&lt;SwaptionFirstMonthPosition+1,GU$169&gt;SwaptionFirstMonthPosition+SwaptionNumOfMonths+1,$FN218&gt;SwaptionFirstMonthPosition+SwaptionNumOfMonths+1),"",IF($FN218=GU$169,1,IF($FN218&lt;GU$169,INDEX($FO$170:$IH$241,GU$169,$FN218),SUMPRODUCT(INDEX($FO$325:$IH$396,GU$169,1+SwaptionShift):INDEX($FO$325:$IH$396,GU$169,SwaptionMonthsToGo+SwaptionShift),INDEX($FO$245:$IH$316,$FN218-GU$169,73-GU$169+SwaptionShift):INDEX($FO$245:$IH$316,$FN218-GU$169,72-GU$169+SwaptionMonthsToGo+SwaptionShift))/SQRT(SUM(INDEX($FO373:$IH373,1+SwaptionShift):INDEX($FO373:$IH373,SwaptionMonthsToGo+SwaptionShift))*SUM(INDEX($FO$325:$IH$396,GU$169,1+SwaptionShift):INDEX($FO$325:$IH$396,GU$169,SwaptionMonthsToGo+SwaptionShift))))))</f>
        <v/>
      </c>
      <c r="GV218" s="469" t="str">
        <f ca="1">IF(OR(GV$169&lt;SwaptionFirstMonthPosition+1,$FN218&lt;SwaptionFirstMonthPosition+1,GV$169&gt;SwaptionFirstMonthPosition+SwaptionNumOfMonths+1,$FN218&gt;SwaptionFirstMonthPosition+SwaptionNumOfMonths+1),"",IF($FN218=GV$169,1,IF($FN218&lt;GV$169,INDEX($FO$170:$IH$241,GV$169,$FN218),SUMPRODUCT(INDEX($FO$325:$IH$396,GV$169,1+SwaptionShift):INDEX($FO$325:$IH$396,GV$169,SwaptionMonthsToGo+SwaptionShift),INDEX($FO$245:$IH$316,$FN218-GV$169,73-GV$169+SwaptionShift):INDEX($FO$245:$IH$316,$FN218-GV$169,72-GV$169+SwaptionMonthsToGo+SwaptionShift))/SQRT(SUM(INDEX($FO373:$IH373,1+SwaptionShift):INDEX($FO373:$IH373,SwaptionMonthsToGo+SwaptionShift))*SUM(INDEX($FO$325:$IH$396,GV$169,1+SwaptionShift):INDEX($FO$325:$IH$396,GV$169,SwaptionMonthsToGo+SwaptionShift))))))</f>
        <v/>
      </c>
      <c r="GW218" s="469" t="str">
        <f ca="1">IF(OR(GW$169&lt;SwaptionFirstMonthPosition+1,$FN218&lt;SwaptionFirstMonthPosition+1,GW$169&gt;SwaptionFirstMonthPosition+SwaptionNumOfMonths+1,$FN218&gt;SwaptionFirstMonthPosition+SwaptionNumOfMonths+1),"",IF($FN218=GW$169,1,IF($FN218&lt;GW$169,INDEX($FO$170:$IH$241,GW$169,$FN218),SUMPRODUCT(INDEX($FO$325:$IH$396,GW$169,1+SwaptionShift):INDEX($FO$325:$IH$396,GW$169,SwaptionMonthsToGo+SwaptionShift),INDEX($FO$245:$IH$316,$FN218-GW$169,73-GW$169+SwaptionShift):INDEX($FO$245:$IH$316,$FN218-GW$169,72-GW$169+SwaptionMonthsToGo+SwaptionShift))/SQRT(SUM(INDEX($FO373:$IH373,1+SwaptionShift):INDEX($FO373:$IH373,SwaptionMonthsToGo+SwaptionShift))*SUM(INDEX($FO$325:$IH$396,GW$169,1+SwaptionShift):INDEX($FO$325:$IH$396,GW$169,SwaptionMonthsToGo+SwaptionShift))))))</f>
        <v/>
      </c>
      <c r="GX218" s="469" t="str">
        <f ca="1">IF(OR(GX$169&lt;SwaptionFirstMonthPosition+1,$FN218&lt;SwaptionFirstMonthPosition+1,GX$169&gt;SwaptionFirstMonthPosition+SwaptionNumOfMonths+1,$FN218&gt;SwaptionFirstMonthPosition+SwaptionNumOfMonths+1),"",IF($FN218=GX$169,1,IF($FN218&lt;GX$169,INDEX($FO$170:$IH$241,GX$169,$FN218),SUMPRODUCT(INDEX($FO$325:$IH$396,GX$169,1+SwaptionShift):INDEX($FO$325:$IH$396,GX$169,SwaptionMonthsToGo+SwaptionShift),INDEX($FO$245:$IH$316,$FN218-GX$169,73-GX$169+SwaptionShift):INDEX($FO$245:$IH$316,$FN218-GX$169,72-GX$169+SwaptionMonthsToGo+SwaptionShift))/SQRT(SUM(INDEX($FO373:$IH373,1+SwaptionShift):INDEX($FO373:$IH373,SwaptionMonthsToGo+SwaptionShift))*SUM(INDEX($FO$325:$IH$396,GX$169,1+SwaptionShift):INDEX($FO$325:$IH$396,GX$169,SwaptionMonthsToGo+SwaptionShift))))))</f>
        <v/>
      </c>
      <c r="GY218" s="469" t="str">
        <f ca="1">IF(OR(GY$169&lt;SwaptionFirstMonthPosition+1,$FN218&lt;SwaptionFirstMonthPosition+1,GY$169&gt;SwaptionFirstMonthPosition+SwaptionNumOfMonths+1,$FN218&gt;SwaptionFirstMonthPosition+SwaptionNumOfMonths+1),"",IF($FN218=GY$169,1,IF($FN218&lt;GY$169,INDEX($FO$170:$IH$241,GY$169,$FN218),SUMPRODUCT(INDEX($FO$325:$IH$396,GY$169,1+SwaptionShift):INDEX($FO$325:$IH$396,GY$169,SwaptionMonthsToGo+SwaptionShift),INDEX($FO$245:$IH$316,$FN218-GY$169,73-GY$169+SwaptionShift):INDEX($FO$245:$IH$316,$FN218-GY$169,72-GY$169+SwaptionMonthsToGo+SwaptionShift))/SQRT(SUM(INDEX($FO373:$IH373,1+SwaptionShift):INDEX($FO373:$IH373,SwaptionMonthsToGo+SwaptionShift))*SUM(INDEX($FO$325:$IH$396,GY$169,1+SwaptionShift):INDEX($FO$325:$IH$396,GY$169,SwaptionMonthsToGo+SwaptionShift))))))</f>
        <v/>
      </c>
      <c r="GZ218" s="469" t="str">
        <f ca="1">IF(OR(GZ$169&lt;SwaptionFirstMonthPosition+1,$FN218&lt;SwaptionFirstMonthPosition+1,GZ$169&gt;SwaptionFirstMonthPosition+SwaptionNumOfMonths+1,$FN218&gt;SwaptionFirstMonthPosition+SwaptionNumOfMonths+1),"",IF($FN218=GZ$169,1,IF($FN218&lt;GZ$169,INDEX($FO$170:$IH$241,GZ$169,$FN218),SUMPRODUCT(INDEX($FO$325:$IH$396,GZ$169,1+SwaptionShift):INDEX($FO$325:$IH$396,GZ$169,SwaptionMonthsToGo+SwaptionShift),INDEX($FO$245:$IH$316,$FN218-GZ$169,73-GZ$169+SwaptionShift):INDEX($FO$245:$IH$316,$FN218-GZ$169,72-GZ$169+SwaptionMonthsToGo+SwaptionShift))/SQRT(SUM(INDEX($FO373:$IH373,1+SwaptionShift):INDEX($FO373:$IH373,SwaptionMonthsToGo+SwaptionShift))*SUM(INDEX($FO$325:$IH$396,GZ$169,1+SwaptionShift):INDEX($FO$325:$IH$396,GZ$169,SwaptionMonthsToGo+SwaptionShift))))))</f>
        <v/>
      </c>
      <c r="HA218" s="469" t="str">
        <f ca="1">IF(OR(HA$169&lt;SwaptionFirstMonthPosition+1,$FN218&lt;SwaptionFirstMonthPosition+1,HA$169&gt;SwaptionFirstMonthPosition+SwaptionNumOfMonths+1,$FN218&gt;SwaptionFirstMonthPosition+SwaptionNumOfMonths+1),"",IF($FN218=HA$169,1,IF($FN218&lt;HA$169,INDEX($FO$170:$IH$241,HA$169,$FN218),SUMPRODUCT(INDEX($FO$325:$IH$396,HA$169,1+SwaptionShift):INDEX($FO$325:$IH$396,HA$169,SwaptionMonthsToGo+SwaptionShift),INDEX($FO$245:$IH$316,$FN218-HA$169,73-HA$169+SwaptionShift):INDEX($FO$245:$IH$316,$FN218-HA$169,72-HA$169+SwaptionMonthsToGo+SwaptionShift))/SQRT(SUM(INDEX($FO373:$IH373,1+SwaptionShift):INDEX($FO373:$IH373,SwaptionMonthsToGo+SwaptionShift))*SUM(INDEX($FO$325:$IH$396,HA$169,1+SwaptionShift):INDEX($FO$325:$IH$396,HA$169,SwaptionMonthsToGo+SwaptionShift))))))</f>
        <v/>
      </c>
      <c r="HB218" s="469" t="str">
        <f ca="1">IF(OR(HB$169&lt;SwaptionFirstMonthPosition+1,$FN218&lt;SwaptionFirstMonthPosition+1,HB$169&gt;SwaptionFirstMonthPosition+SwaptionNumOfMonths+1,$FN218&gt;SwaptionFirstMonthPosition+SwaptionNumOfMonths+1),"",IF($FN218=HB$169,1,IF($FN218&lt;HB$169,INDEX($FO$170:$IH$241,HB$169,$FN218),SUMPRODUCT(INDEX($FO$325:$IH$396,HB$169,1+SwaptionShift):INDEX($FO$325:$IH$396,HB$169,SwaptionMonthsToGo+SwaptionShift),INDEX($FO$245:$IH$316,$FN218-HB$169,73-HB$169+SwaptionShift):INDEX($FO$245:$IH$316,$FN218-HB$169,72-HB$169+SwaptionMonthsToGo+SwaptionShift))/SQRT(SUM(INDEX($FO373:$IH373,1+SwaptionShift):INDEX($FO373:$IH373,SwaptionMonthsToGo+SwaptionShift))*SUM(INDEX($FO$325:$IH$396,HB$169,1+SwaptionShift):INDEX($FO$325:$IH$396,HB$169,SwaptionMonthsToGo+SwaptionShift))))))</f>
        <v/>
      </c>
      <c r="HC218" s="469" t="str">
        <f ca="1">IF(OR(HC$169&lt;SwaptionFirstMonthPosition+1,$FN218&lt;SwaptionFirstMonthPosition+1,HC$169&gt;SwaptionFirstMonthPosition+SwaptionNumOfMonths+1,$FN218&gt;SwaptionFirstMonthPosition+SwaptionNumOfMonths+1),"",IF($FN218=HC$169,1,IF($FN218&lt;HC$169,INDEX($FO$170:$IH$241,HC$169,$FN218),SUMPRODUCT(INDEX($FO$325:$IH$396,HC$169,1+SwaptionShift):INDEX($FO$325:$IH$396,HC$169,SwaptionMonthsToGo+SwaptionShift),INDEX($FO$245:$IH$316,$FN218-HC$169,73-HC$169+SwaptionShift):INDEX($FO$245:$IH$316,$FN218-HC$169,72-HC$169+SwaptionMonthsToGo+SwaptionShift))/SQRT(SUM(INDEX($FO373:$IH373,1+SwaptionShift):INDEX($FO373:$IH373,SwaptionMonthsToGo+SwaptionShift))*SUM(INDEX($FO$325:$IH$396,HC$169,1+SwaptionShift):INDEX($FO$325:$IH$396,HC$169,SwaptionMonthsToGo+SwaptionShift))))))</f>
        <v/>
      </c>
      <c r="HD218" s="469" t="str">
        <f ca="1">IF(OR(HD$169&lt;SwaptionFirstMonthPosition+1,$FN218&lt;SwaptionFirstMonthPosition+1,HD$169&gt;SwaptionFirstMonthPosition+SwaptionNumOfMonths+1,$FN218&gt;SwaptionFirstMonthPosition+SwaptionNumOfMonths+1),"",IF($FN218=HD$169,1,IF($FN218&lt;HD$169,INDEX($FO$170:$IH$241,HD$169,$FN218),SUMPRODUCT(INDEX($FO$325:$IH$396,HD$169,1+SwaptionShift):INDEX($FO$325:$IH$396,HD$169,SwaptionMonthsToGo+SwaptionShift),INDEX($FO$245:$IH$316,$FN218-HD$169,73-HD$169+SwaptionShift):INDEX($FO$245:$IH$316,$FN218-HD$169,72-HD$169+SwaptionMonthsToGo+SwaptionShift))/SQRT(SUM(INDEX($FO373:$IH373,1+SwaptionShift):INDEX($FO373:$IH373,SwaptionMonthsToGo+SwaptionShift))*SUM(INDEX($FO$325:$IH$396,HD$169,1+SwaptionShift):INDEX($FO$325:$IH$396,HD$169,SwaptionMonthsToGo+SwaptionShift))))))</f>
        <v/>
      </c>
      <c r="HE218" s="469" t="str">
        <f ca="1">IF(OR(HE$169&lt;SwaptionFirstMonthPosition+1,$FN218&lt;SwaptionFirstMonthPosition+1,HE$169&gt;SwaptionFirstMonthPosition+SwaptionNumOfMonths+1,$FN218&gt;SwaptionFirstMonthPosition+SwaptionNumOfMonths+1),"",IF($FN218=HE$169,1,IF($FN218&lt;HE$169,INDEX($FO$170:$IH$241,HE$169,$FN218),SUMPRODUCT(INDEX($FO$325:$IH$396,HE$169,1+SwaptionShift):INDEX($FO$325:$IH$396,HE$169,SwaptionMonthsToGo+SwaptionShift),INDEX($FO$245:$IH$316,$FN218-HE$169,73-HE$169+SwaptionShift):INDEX($FO$245:$IH$316,$FN218-HE$169,72-HE$169+SwaptionMonthsToGo+SwaptionShift))/SQRT(SUM(INDEX($FO373:$IH373,1+SwaptionShift):INDEX($FO373:$IH373,SwaptionMonthsToGo+SwaptionShift))*SUM(INDEX($FO$325:$IH$396,HE$169,1+SwaptionShift):INDEX($FO$325:$IH$396,HE$169,SwaptionMonthsToGo+SwaptionShift))))))</f>
        <v/>
      </c>
      <c r="HF218" s="469" t="str">
        <f ca="1">IF(OR(HF$169&lt;SwaptionFirstMonthPosition+1,$FN218&lt;SwaptionFirstMonthPosition+1,HF$169&gt;SwaptionFirstMonthPosition+SwaptionNumOfMonths+1,$FN218&gt;SwaptionFirstMonthPosition+SwaptionNumOfMonths+1),"",IF($FN218=HF$169,1,IF($FN218&lt;HF$169,INDEX($FO$170:$IH$241,HF$169,$FN218),SUMPRODUCT(INDEX($FO$325:$IH$396,HF$169,1+SwaptionShift):INDEX($FO$325:$IH$396,HF$169,SwaptionMonthsToGo+SwaptionShift),INDEX($FO$245:$IH$316,$FN218-HF$169,73-HF$169+SwaptionShift):INDEX($FO$245:$IH$316,$FN218-HF$169,72-HF$169+SwaptionMonthsToGo+SwaptionShift))/SQRT(SUM(INDEX($FO373:$IH373,1+SwaptionShift):INDEX($FO373:$IH373,SwaptionMonthsToGo+SwaptionShift))*SUM(INDEX($FO$325:$IH$396,HF$169,1+SwaptionShift):INDEX($FO$325:$IH$396,HF$169,SwaptionMonthsToGo+SwaptionShift))))))</f>
        <v/>
      </c>
      <c r="HG218" s="469" t="str">
        <f ca="1">IF(OR(HG$169&lt;SwaptionFirstMonthPosition+1,$FN218&lt;SwaptionFirstMonthPosition+1,HG$169&gt;SwaptionFirstMonthPosition+SwaptionNumOfMonths+1,$FN218&gt;SwaptionFirstMonthPosition+SwaptionNumOfMonths+1),"",IF($FN218=HG$169,1,IF($FN218&lt;HG$169,INDEX($FO$170:$IH$241,HG$169,$FN218),SUMPRODUCT(INDEX($FO$325:$IH$396,HG$169,1+SwaptionShift):INDEX($FO$325:$IH$396,HG$169,SwaptionMonthsToGo+SwaptionShift),INDEX($FO$245:$IH$316,$FN218-HG$169,73-HG$169+SwaptionShift):INDEX($FO$245:$IH$316,$FN218-HG$169,72-HG$169+SwaptionMonthsToGo+SwaptionShift))/SQRT(SUM(INDEX($FO373:$IH373,1+SwaptionShift):INDEX($FO373:$IH373,SwaptionMonthsToGo+SwaptionShift))*SUM(INDEX($FO$325:$IH$396,HG$169,1+SwaptionShift):INDEX($FO$325:$IH$396,HG$169,SwaptionMonthsToGo+SwaptionShift))))))</f>
        <v/>
      </c>
      <c r="HH218" s="469" t="str">
        <f ca="1">IF(OR(HH$169&lt;SwaptionFirstMonthPosition+1,$FN218&lt;SwaptionFirstMonthPosition+1,HH$169&gt;SwaptionFirstMonthPosition+SwaptionNumOfMonths+1,$FN218&gt;SwaptionFirstMonthPosition+SwaptionNumOfMonths+1),"",IF($FN218=HH$169,1,IF($FN218&lt;HH$169,INDEX($FO$170:$IH$241,HH$169,$FN218),SUMPRODUCT(INDEX($FO$325:$IH$396,HH$169,1+SwaptionShift):INDEX($FO$325:$IH$396,HH$169,SwaptionMonthsToGo+SwaptionShift),INDEX($FO$245:$IH$316,$FN218-HH$169,73-HH$169+SwaptionShift):INDEX($FO$245:$IH$316,$FN218-HH$169,72-HH$169+SwaptionMonthsToGo+SwaptionShift))/SQRT(SUM(INDEX($FO373:$IH373,1+SwaptionShift):INDEX($FO373:$IH373,SwaptionMonthsToGo+SwaptionShift))*SUM(INDEX($FO$325:$IH$396,HH$169,1+SwaptionShift):INDEX($FO$325:$IH$396,HH$169,SwaptionMonthsToGo+SwaptionShift))))))</f>
        <v/>
      </c>
      <c r="HI218" s="469" t="str">
        <f ca="1">IF(OR(HI$169&lt;SwaptionFirstMonthPosition+1,$FN218&lt;SwaptionFirstMonthPosition+1,HI$169&gt;SwaptionFirstMonthPosition+SwaptionNumOfMonths+1,$FN218&gt;SwaptionFirstMonthPosition+SwaptionNumOfMonths+1),"",IF($FN218=HI$169,1,IF($FN218&lt;HI$169,INDEX($FO$170:$IH$241,HI$169,$FN218),SUMPRODUCT(INDEX($FO$325:$IH$396,HI$169,1+SwaptionShift):INDEX($FO$325:$IH$396,HI$169,SwaptionMonthsToGo+SwaptionShift),INDEX($FO$245:$IH$316,$FN218-HI$169,73-HI$169+SwaptionShift):INDEX($FO$245:$IH$316,$FN218-HI$169,72-HI$169+SwaptionMonthsToGo+SwaptionShift))/SQRT(SUM(INDEX($FO373:$IH373,1+SwaptionShift):INDEX($FO373:$IH373,SwaptionMonthsToGo+SwaptionShift))*SUM(INDEX($FO$325:$IH$396,HI$169,1+SwaptionShift):INDEX($FO$325:$IH$396,HI$169,SwaptionMonthsToGo+SwaptionShift))))))</f>
        <v/>
      </c>
      <c r="HJ218" s="469" t="str">
        <f ca="1">IF(OR(HJ$169&lt;SwaptionFirstMonthPosition+1,$FN218&lt;SwaptionFirstMonthPosition+1,HJ$169&gt;SwaptionFirstMonthPosition+SwaptionNumOfMonths+1,$FN218&gt;SwaptionFirstMonthPosition+SwaptionNumOfMonths+1),"",IF($FN218=HJ$169,1,IF($FN218&lt;HJ$169,INDEX($FO$170:$IH$241,HJ$169,$FN218),SUMPRODUCT(INDEX($FO$325:$IH$396,HJ$169,1+SwaptionShift):INDEX($FO$325:$IH$396,HJ$169,SwaptionMonthsToGo+SwaptionShift),INDEX($FO$245:$IH$316,$FN218-HJ$169,73-HJ$169+SwaptionShift):INDEX($FO$245:$IH$316,$FN218-HJ$169,72-HJ$169+SwaptionMonthsToGo+SwaptionShift))/SQRT(SUM(INDEX($FO373:$IH373,1+SwaptionShift):INDEX($FO373:$IH373,SwaptionMonthsToGo+SwaptionShift))*SUM(INDEX($FO$325:$IH$396,HJ$169,1+SwaptionShift):INDEX($FO$325:$IH$396,HJ$169,SwaptionMonthsToGo+SwaptionShift))))))</f>
        <v/>
      </c>
      <c r="HK218" s="469" t="str">
        <f ca="1">IF(OR(HK$169&lt;SwaptionFirstMonthPosition+1,$FN218&lt;SwaptionFirstMonthPosition+1,HK$169&gt;SwaptionFirstMonthPosition+SwaptionNumOfMonths+1,$FN218&gt;SwaptionFirstMonthPosition+SwaptionNumOfMonths+1),"",IF($FN218=HK$169,1,IF($FN218&lt;HK$169,INDEX($FO$170:$IH$241,HK$169,$FN218),SUMPRODUCT(INDEX($FO$325:$IH$396,HK$169,1+SwaptionShift):INDEX($FO$325:$IH$396,HK$169,SwaptionMonthsToGo+SwaptionShift),INDEX($FO$245:$IH$316,$FN218-HK$169,73-HK$169+SwaptionShift):INDEX($FO$245:$IH$316,$FN218-HK$169,72-HK$169+SwaptionMonthsToGo+SwaptionShift))/SQRT(SUM(INDEX($FO373:$IH373,1+SwaptionShift):INDEX($FO373:$IH373,SwaptionMonthsToGo+SwaptionShift))*SUM(INDEX($FO$325:$IH$396,HK$169,1+SwaptionShift):INDEX($FO$325:$IH$396,HK$169,SwaptionMonthsToGo+SwaptionShift))))))</f>
        <v/>
      </c>
      <c r="HL218" s="469" t="str">
        <f ca="1">IF(OR(HL$169&lt;SwaptionFirstMonthPosition+1,$FN218&lt;SwaptionFirstMonthPosition+1,HL$169&gt;SwaptionFirstMonthPosition+SwaptionNumOfMonths+1,$FN218&gt;SwaptionFirstMonthPosition+SwaptionNumOfMonths+1),"",IF($FN218=HL$169,1,IF($FN218&lt;HL$169,INDEX($FO$170:$IH$241,HL$169,$FN218),SUMPRODUCT(INDEX($FO$325:$IH$396,HL$169,1+SwaptionShift):INDEX($FO$325:$IH$396,HL$169,SwaptionMonthsToGo+SwaptionShift),INDEX($FO$245:$IH$316,$FN218-HL$169,73-HL$169+SwaptionShift):INDEX($FO$245:$IH$316,$FN218-HL$169,72-HL$169+SwaptionMonthsToGo+SwaptionShift))/SQRT(SUM(INDEX($FO373:$IH373,1+SwaptionShift):INDEX($FO373:$IH373,SwaptionMonthsToGo+SwaptionShift))*SUM(INDEX($FO$325:$IH$396,HL$169,1+SwaptionShift):INDEX($FO$325:$IH$396,HL$169,SwaptionMonthsToGo+SwaptionShift))))))</f>
        <v/>
      </c>
      <c r="HM218" s="469" t="str">
        <f ca="1">IF(OR(HM$169&lt;SwaptionFirstMonthPosition+1,$FN218&lt;SwaptionFirstMonthPosition+1,HM$169&gt;SwaptionFirstMonthPosition+SwaptionNumOfMonths+1,$FN218&gt;SwaptionFirstMonthPosition+SwaptionNumOfMonths+1),"",IF($FN218=HM$169,1,IF($FN218&lt;HM$169,INDEX($FO$170:$IH$241,HM$169,$FN218),SUMPRODUCT(INDEX($FO$325:$IH$396,HM$169,1+SwaptionShift):INDEX($FO$325:$IH$396,HM$169,SwaptionMonthsToGo+SwaptionShift),INDEX($FO$245:$IH$316,$FN218-HM$169,73-HM$169+SwaptionShift):INDEX($FO$245:$IH$316,$FN218-HM$169,72-HM$169+SwaptionMonthsToGo+SwaptionShift))/SQRT(SUM(INDEX($FO373:$IH373,1+SwaptionShift):INDEX($FO373:$IH373,SwaptionMonthsToGo+SwaptionShift))*SUM(INDEX($FO$325:$IH$396,HM$169,1+SwaptionShift):INDEX($FO$325:$IH$396,HM$169,SwaptionMonthsToGo+SwaptionShift))))))</f>
        <v/>
      </c>
      <c r="HN218" s="469" t="str">
        <f ca="1">IF(OR(HN$169&lt;SwaptionFirstMonthPosition+1,$FN218&lt;SwaptionFirstMonthPosition+1,HN$169&gt;SwaptionFirstMonthPosition+SwaptionNumOfMonths+1,$FN218&gt;SwaptionFirstMonthPosition+SwaptionNumOfMonths+1),"",IF($FN218=HN$169,1,IF($FN218&lt;HN$169,INDEX($FO$170:$IH$241,HN$169,$FN218),SUMPRODUCT(INDEX($FO$325:$IH$396,HN$169,1+SwaptionShift):INDEX($FO$325:$IH$396,HN$169,SwaptionMonthsToGo+SwaptionShift),INDEX($FO$245:$IH$316,$FN218-HN$169,73-HN$169+SwaptionShift):INDEX($FO$245:$IH$316,$FN218-HN$169,72-HN$169+SwaptionMonthsToGo+SwaptionShift))/SQRT(SUM(INDEX($FO373:$IH373,1+SwaptionShift):INDEX($FO373:$IH373,SwaptionMonthsToGo+SwaptionShift))*SUM(INDEX($FO$325:$IH$396,HN$169,1+SwaptionShift):INDEX($FO$325:$IH$396,HN$169,SwaptionMonthsToGo+SwaptionShift))))))</f>
        <v/>
      </c>
      <c r="HO218" s="469" t="str">
        <f ca="1">IF(OR(HO$169&lt;SwaptionFirstMonthPosition+1,$FN218&lt;SwaptionFirstMonthPosition+1,HO$169&gt;SwaptionFirstMonthPosition+SwaptionNumOfMonths+1,$FN218&gt;SwaptionFirstMonthPosition+SwaptionNumOfMonths+1),"",IF($FN218=HO$169,1,IF($FN218&lt;HO$169,INDEX($FO$170:$IH$241,HO$169,$FN218),SUMPRODUCT(INDEX($FO$325:$IH$396,HO$169,1+SwaptionShift):INDEX($FO$325:$IH$396,HO$169,SwaptionMonthsToGo+SwaptionShift),INDEX($FO$245:$IH$316,$FN218-HO$169,73-HO$169+SwaptionShift):INDEX($FO$245:$IH$316,$FN218-HO$169,72-HO$169+SwaptionMonthsToGo+SwaptionShift))/SQRT(SUM(INDEX($FO373:$IH373,1+SwaptionShift):INDEX($FO373:$IH373,SwaptionMonthsToGo+SwaptionShift))*SUM(INDEX($FO$325:$IH$396,HO$169,1+SwaptionShift):INDEX($FO$325:$IH$396,HO$169,SwaptionMonthsToGo+SwaptionShift))))))</f>
        <v/>
      </c>
      <c r="HP218" s="469" t="str">
        <f ca="1">IF(OR(HP$169&lt;SwaptionFirstMonthPosition+1,$FN218&lt;SwaptionFirstMonthPosition+1,HP$169&gt;SwaptionFirstMonthPosition+SwaptionNumOfMonths+1,$FN218&gt;SwaptionFirstMonthPosition+SwaptionNumOfMonths+1),"",IF($FN218=HP$169,1,IF($FN218&lt;HP$169,INDEX($FO$170:$IH$241,HP$169,$FN218),SUMPRODUCT(INDEX($FO$325:$IH$396,HP$169,1+SwaptionShift):INDEX($FO$325:$IH$396,HP$169,SwaptionMonthsToGo+SwaptionShift),INDEX($FO$245:$IH$316,$FN218-HP$169,73-HP$169+SwaptionShift):INDEX($FO$245:$IH$316,$FN218-HP$169,72-HP$169+SwaptionMonthsToGo+SwaptionShift))/SQRT(SUM(INDEX($FO373:$IH373,1+SwaptionShift):INDEX($FO373:$IH373,SwaptionMonthsToGo+SwaptionShift))*SUM(INDEX($FO$325:$IH$396,HP$169,1+SwaptionShift):INDEX($FO$325:$IH$396,HP$169,SwaptionMonthsToGo+SwaptionShift))))))</f>
        <v/>
      </c>
      <c r="HQ218" s="469" t="str">
        <f ca="1">IF(OR(HQ$169&lt;SwaptionFirstMonthPosition+1,$FN218&lt;SwaptionFirstMonthPosition+1,HQ$169&gt;SwaptionFirstMonthPosition+SwaptionNumOfMonths+1,$FN218&gt;SwaptionFirstMonthPosition+SwaptionNumOfMonths+1),"",IF($FN218=HQ$169,1,IF($FN218&lt;HQ$169,INDEX($FO$170:$IH$241,HQ$169,$FN218),SUMPRODUCT(INDEX($FO$325:$IH$396,HQ$169,1+SwaptionShift):INDEX($FO$325:$IH$396,HQ$169,SwaptionMonthsToGo+SwaptionShift),INDEX($FO$245:$IH$316,$FN218-HQ$169,73-HQ$169+SwaptionShift):INDEX($FO$245:$IH$316,$FN218-HQ$169,72-HQ$169+SwaptionMonthsToGo+SwaptionShift))/SQRT(SUM(INDEX($FO373:$IH373,1+SwaptionShift):INDEX($FO373:$IH373,SwaptionMonthsToGo+SwaptionShift))*SUM(INDEX($FO$325:$IH$396,HQ$169,1+SwaptionShift):INDEX($FO$325:$IH$396,HQ$169,SwaptionMonthsToGo+SwaptionShift))))))</f>
        <v/>
      </c>
      <c r="HR218" s="469" t="str">
        <f ca="1">IF(OR(HR$169&lt;SwaptionFirstMonthPosition+1,$FN218&lt;SwaptionFirstMonthPosition+1,HR$169&gt;SwaptionFirstMonthPosition+SwaptionNumOfMonths+1,$FN218&gt;SwaptionFirstMonthPosition+SwaptionNumOfMonths+1),"",IF($FN218=HR$169,1,IF($FN218&lt;HR$169,INDEX($FO$170:$IH$241,HR$169,$FN218),SUMPRODUCT(INDEX($FO$325:$IH$396,HR$169,1+SwaptionShift):INDEX($FO$325:$IH$396,HR$169,SwaptionMonthsToGo+SwaptionShift),INDEX($FO$245:$IH$316,$FN218-HR$169,73-HR$169+SwaptionShift):INDEX($FO$245:$IH$316,$FN218-HR$169,72-HR$169+SwaptionMonthsToGo+SwaptionShift))/SQRT(SUM(INDEX($FO373:$IH373,1+SwaptionShift):INDEX($FO373:$IH373,SwaptionMonthsToGo+SwaptionShift))*SUM(INDEX($FO$325:$IH$396,HR$169,1+SwaptionShift):INDEX($FO$325:$IH$396,HR$169,SwaptionMonthsToGo+SwaptionShift))))))</f>
        <v/>
      </c>
      <c r="HS218" s="469" t="str">
        <f ca="1">IF(OR(HS$169&lt;SwaptionFirstMonthPosition+1,$FN218&lt;SwaptionFirstMonthPosition+1,HS$169&gt;SwaptionFirstMonthPosition+SwaptionNumOfMonths+1,$FN218&gt;SwaptionFirstMonthPosition+SwaptionNumOfMonths+1),"",IF($FN218=HS$169,1,IF($FN218&lt;HS$169,INDEX($FO$170:$IH$241,HS$169,$FN218),SUMPRODUCT(INDEX($FO$325:$IH$396,HS$169,1+SwaptionShift):INDEX($FO$325:$IH$396,HS$169,SwaptionMonthsToGo+SwaptionShift),INDEX($FO$245:$IH$316,$FN218-HS$169,73-HS$169+SwaptionShift):INDEX($FO$245:$IH$316,$FN218-HS$169,72-HS$169+SwaptionMonthsToGo+SwaptionShift))/SQRT(SUM(INDEX($FO373:$IH373,1+SwaptionShift):INDEX($FO373:$IH373,SwaptionMonthsToGo+SwaptionShift))*SUM(INDEX($FO$325:$IH$396,HS$169,1+SwaptionShift):INDEX($FO$325:$IH$396,HS$169,SwaptionMonthsToGo+SwaptionShift))))))</f>
        <v/>
      </c>
      <c r="HT218" s="469" t="str">
        <f ca="1">IF(OR(HT$169&lt;SwaptionFirstMonthPosition+1,$FN218&lt;SwaptionFirstMonthPosition+1,HT$169&gt;SwaptionFirstMonthPosition+SwaptionNumOfMonths+1,$FN218&gt;SwaptionFirstMonthPosition+SwaptionNumOfMonths+1),"",IF($FN218=HT$169,1,IF($FN218&lt;HT$169,INDEX($FO$170:$IH$241,HT$169,$FN218),SUMPRODUCT(INDEX($FO$325:$IH$396,HT$169,1+SwaptionShift):INDEX($FO$325:$IH$396,HT$169,SwaptionMonthsToGo+SwaptionShift),INDEX($FO$245:$IH$316,$FN218-HT$169,73-HT$169+SwaptionShift):INDEX($FO$245:$IH$316,$FN218-HT$169,72-HT$169+SwaptionMonthsToGo+SwaptionShift))/SQRT(SUM(INDEX($FO373:$IH373,1+SwaptionShift):INDEX($FO373:$IH373,SwaptionMonthsToGo+SwaptionShift))*SUM(INDEX($FO$325:$IH$396,HT$169,1+SwaptionShift):INDEX($FO$325:$IH$396,HT$169,SwaptionMonthsToGo+SwaptionShift))))))</f>
        <v/>
      </c>
      <c r="HU218" s="469" t="str">
        <f ca="1">IF(OR(HU$169&lt;SwaptionFirstMonthPosition+1,$FN218&lt;SwaptionFirstMonthPosition+1,HU$169&gt;SwaptionFirstMonthPosition+SwaptionNumOfMonths+1,$FN218&gt;SwaptionFirstMonthPosition+SwaptionNumOfMonths+1),"",IF($FN218=HU$169,1,IF($FN218&lt;HU$169,INDEX($FO$170:$IH$241,HU$169,$FN218),SUMPRODUCT(INDEX($FO$325:$IH$396,HU$169,1+SwaptionShift):INDEX($FO$325:$IH$396,HU$169,SwaptionMonthsToGo+SwaptionShift),INDEX($FO$245:$IH$316,$FN218-HU$169,73-HU$169+SwaptionShift):INDEX($FO$245:$IH$316,$FN218-HU$169,72-HU$169+SwaptionMonthsToGo+SwaptionShift))/SQRT(SUM(INDEX($FO373:$IH373,1+SwaptionShift):INDEX($FO373:$IH373,SwaptionMonthsToGo+SwaptionShift))*SUM(INDEX($FO$325:$IH$396,HU$169,1+SwaptionShift):INDEX($FO$325:$IH$396,HU$169,SwaptionMonthsToGo+SwaptionShift))))))</f>
        <v/>
      </c>
      <c r="HV218" s="469" t="str">
        <f ca="1">IF(OR(HV$169&lt;SwaptionFirstMonthPosition+1,$FN218&lt;SwaptionFirstMonthPosition+1,HV$169&gt;SwaptionFirstMonthPosition+SwaptionNumOfMonths+1,$FN218&gt;SwaptionFirstMonthPosition+SwaptionNumOfMonths+1),"",IF($FN218=HV$169,1,IF($FN218&lt;HV$169,INDEX($FO$170:$IH$241,HV$169,$FN218),SUMPRODUCT(INDEX($FO$325:$IH$396,HV$169,1+SwaptionShift):INDEX($FO$325:$IH$396,HV$169,SwaptionMonthsToGo+SwaptionShift),INDEX($FO$245:$IH$316,$FN218-HV$169,73-HV$169+SwaptionShift):INDEX($FO$245:$IH$316,$FN218-HV$169,72-HV$169+SwaptionMonthsToGo+SwaptionShift))/SQRT(SUM(INDEX($FO373:$IH373,1+SwaptionShift):INDEX($FO373:$IH373,SwaptionMonthsToGo+SwaptionShift))*SUM(INDEX($FO$325:$IH$396,HV$169,1+SwaptionShift):INDEX($FO$325:$IH$396,HV$169,SwaptionMonthsToGo+SwaptionShift))))))</f>
        <v/>
      </c>
      <c r="HW218" s="469" t="str">
        <f ca="1">IF(OR(HW$169&lt;SwaptionFirstMonthPosition+1,$FN218&lt;SwaptionFirstMonthPosition+1,HW$169&gt;SwaptionFirstMonthPosition+SwaptionNumOfMonths+1,$FN218&gt;SwaptionFirstMonthPosition+SwaptionNumOfMonths+1),"",IF($FN218=HW$169,1,IF($FN218&lt;HW$169,INDEX($FO$170:$IH$241,HW$169,$FN218),SUMPRODUCT(INDEX($FO$325:$IH$396,HW$169,1+SwaptionShift):INDEX($FO$325:$IH$396,HW$169,SwaptionMonthsToGo+SwaptionShift),INDEX($FO$245:$IH$316,$FN218-HW$169,73-HW$169+SwaptionShift):INDEX($FO$245:$IH$316,$FN218-HW$169,72-HW$169+SwaptionMonthsToGo+SwaptionShift))/SQRT(SUM(INDEX($FO373:$IH373,1+SwaptionShift):INDEX($FO373:$IH373,SwaptionMonthsToGo+SwaptionShift))*SUM(INDEX($FO$325:$IH$396,HW$169,1+SwaptionShift):INDEX($FO$325:$IH$396,HW$169,SwaptionMonthsToGo+SwaptionShift))))))</f>
        <v/>
      </c>
      <c r="HX218" s="469" t="str">
        <f ca="1">IF(OR(HX$169&lt;SwaptionFirstMonthPosition+1,$FN218&lt;SwaptionFirstMonthPosition+1,HX$169&gt;SwaptionFirstMonthPosition+SwaptionNumOfMonths+1,$FN218&gt;SwaptionFirstMonthPosition+SwaptionNumOfMonths+1),"",IF($FN218=HX$169,1,IF($FN218&lt;HX$169,INDEX($FO$170:$IH$241,HX$169,$FN218),SUMPRODUCT(INDEX($FO$325:$IH$396,HX$169,1+SwaptionShift):INDEX($FO$325:$IH$396,HX$169,SwaptionMonthsToGo+SwaptionShift),INDEX($FO$245:$IH$316,$FN218-HX$169,73-HX$169+SwaptionShift):INDEX($FO$245:$IH$316,$FN218-HX$169,72-HX$169+SwaptionMonthsToGo+SwaptionShift))/SQRT(SUM(INDEX($FO373:$IH373,1+SwaptionShift):INDEX($FO373:$IH373,SwaptionMonthsToGo+SwaptionShift))*SUM(INDEX($FO$325:$IH$396,HX$169,1+SwaptionShift):INDEX($FO$325:$IH$396,HX$169,SwaptionMonthsToGo+SwaptionShift))))))</f>
        <v/>
      </c>
      <c r="HY218" s="469" t="str">
        <f ca="1">IF(OR(HY$169&lt;SwaptionFirstMonthPosition+1,$FN218&lt;SwaptionFirstMonthPosition+1,HY$169&gt;SwaptionFirstMonthPosition+SwaptionNumOfMonths+1,$FN218&gt;SwaptionFirstMonthPosition+SwaptionNumOfMonths+1),"",IF($FN218=HY$169,1,IF($FN218&lt;HY$169,INDEX($FO$170:$IH$241,HY$169,$FN218),SUMPRODUCT(INDEX($FO$325:$IH$396,HY$169,1+SwaptionShift):INDEX($FO$325:$IH$396,HY$169,SwaptionMonthsToGo+SwaptionShift),INDEX($FO$245:$IH$316,$FN218-HY$169,73-HY$169+SwaptionShift):INDEX($FO$245:$IH$316,$FN218-HY$169,72-HY$169+SwaptionMonthsToGo+SwaptionShift))/SQRT(SUM(INDEX($FO373:$IH373,1+SwaptionShift):INDEX($FO373:$IH373,SwaptionMonthsToGo+SwaptionShift))*SUM(INDEX($FO$325:$IH$396,HY$169,1+SwaptionShift):INDEX($FO$325:$IH$396,HY$169,SwaptionMonthsToGo+SwaptionShift))))))</f>
        <v/>
      </c>
      <c r="HZ218" s="469" t="str">
        <f ca="1">IF(OR(HZ$169&lt;SwaptionFirstMonthPosition+1,$FN218&lt;SwaptionFirstMonthPosition+1,HZ$169&gt;SwaptionFirstMonthPosition+SwaptionNumOfMonths+1,$FN218&gt;SwaptionFirstMonthPosition+SwaptionNumOfMonths+1),"",IF($FN218=HZ$169,1,IF($FN218&lt;HZ$169,INDEX($FO$170:$IH$241,HZ$169,$FN218),SUMPRODUCT(INDEX($FO$325:$IH$396,HZ$169,1+SwaptionShift):INDEX($FO$325:$IH$396,HZ$169,SwaptionMonthsToGo+SwaptionShift),INDEX($FO$245:$IH$316,$FN218-HZ$169,73-HZ$169+SwaptionShift):INDEX($FO$245:$IH$316,$FN218-HZ$169,72-HZ$169+SwaptionMonthsToGo+SwaptionShift))/SQRT(SUM(INDEX($FO373:$IH373,1+SwaptionShift):INDEX($FO373:$IH373,SwaptionMonthsToGo+SwaptionShift))*SUM(INDEX($FO$325:$IH$396,HZ$169,1+SwaptionShift):INDEX($FO$325:$IH$396,HZ$169,SwaptionMonthsToGo+SwaptionShift))))))</f>
        <v/>
      </c>
      <c r="IA218" s="469" t="str">
        <f ca="1">IF(OR(IA$169&lt;SwaptionFirstMonthPosition+1,$FN218&lt;SwaptionFirstMonthPosition+1,IA$169&gt;SwaptionFirstMonthPosition+SwaptionNumOfMonths+1,$FN218&gt;SwaptionFirstMonthPosition+SwaptionNumOfMonths+1),"",IF($FN218=IA$169,1,IF($FN218&lt;IA$169,INDEX($FO$170:$IH$241,IA$169,$FN218),SUMPRODUCT(INDEX($FO$325:$IH$396,IA$169,1+SwaptionShift):INDEX($FO$325:$IH$396,IA$169,SwaptionMonthsToGo+SwaptionShift),INDEX($FO$245:$IH$316,$FN218-IA$169,73-IA$169+SwaptionShift):INDEX($FO$245:$IH$316,$FN218-IA$169,72-IA$169+SwaptionMonthsToGo+SwaptionShift))/SQRT(SUM(INDEX($FO373:$IH373,1+SwaptionShift):INDEX($FO373:$IH373,SwaptionMonthsToGo+SwaptionShift))*SUM(INDEX($FO$325:$IH$396,IA$169,1+SwaptionShift):INDEX($FO$325:$IH$396,IA$169,SwaptionMonthsToGo+SwaptionShift))))))</f>
        <v/>
      </c>
      <c r="IB218" s="469" t="str">
        <f ca="1">IF(OR(IB$169&lt;SwaptionFirstMonthPosition+1,$FN218&lt;SwaptionFirstMonthPosition+1,IB$169&gt;SwaptionFirstMonthPosition+SwaptionNumOfMonths+1,$FN218&gt;SwaptionFirstMonthPosition+SwaptionNumOfMonths+1),"",IF($FN218=IB$169,1,IF($FN218&lt;IB$169,INDEX($FO$170:$IH$241,IB$169,$FN218),SUMPRODUCT(INDEX($FO$325:$IH$396,IB$169,1+SwaptionShift):INDEX($FO$325:$IH$396,IB$169,SwaptionMonthsToGo+SwaptionShift),INDEX($FO$245:$IH$316,$FN218-IB$169,73-IB$169+SwaptionShift):INDEX($FO$245:$IH$316,$FN218-IB$169,72-IB$169+SwaptionMonthsToGo+SwaptionShift))/SQRT(SUM(INDEX($FO373:$IH373,1+SwaptionShift):INDEX($FO373:$IH373,SwaptionMonthsToGo+SwaptionShift))*SUM(INDEX($FO$325:$IH$396,IB$169,1+SwaptionShift):INDEX($FO$325:$IH$396,IB$169,SwaptionMonthsToGo+SwaptionShift))))))</f>
        <v/>
      </c>
      <c r="IC218" s="469" t="str">
        <f ca="1">IF(OR(IC$169&lt;SwaptionFirstMonthPosition+1,$FN218&lt;SwaptionFirstMonthPosition+1,IC$169&gt;SwaptionFirstMonthPosition+SwaptionNumOfMonths+1,$FN218&gt;SwaptionFirstMonthPosition+SwaptionNumOfMonths+1),"",IF($FN218=IC$169,1,IF($FN218&lt;IC$169,INDEX($FO$170:$IH$241,IC$169,$FN218),SUMPRODUCT(INDEX($FO$325:$IH$396,IC$169,1+SwaptionShift):INDEX($FO$325:$IH$396,IC$169,SwaptionMonthsToGo+SwaptionShift),INDEX($FO$245:$IH$316,$FN218-IC$169,73-IC$169+SwaptionShift):INDEX($FO$245:$IH$316,$FN218-IC$169,72-IC$169+SwaptionMonthsToGo+SwaptionShift))/SQRT(SUM(INDEX($FO373:$IH373,1+SwaptionShift):INDEX($FO373:$IH373,SwaptionMonthsToGo+SwaptionShift))*SUM(INDEX($FO$325:$IH$396,IC$169,1+SwaptionShift):INDEX($FO$325:$IH$396,IC$169,SwaptionMonthsToGo+SwaptionShift))))))</f>
        <v/>
      </c>
      <c r="ID218" s="469" t="str">
        <f ca="1">IF(OR(ID$169&lt;SwaptionFirstMonthPosition+1,$FN218&lt;SwaptionFirstMonthPosition+1,ID$169&gt;SwaptionFirstMonthPosition+SwaptionNumOfMonths+1,$FN218&gt;SwaptionFirstMonthPosition+SwaptionNumOfMonths+1),"",IF($FN218=ID$169,1,IF($FN218&lt;ID$169,INDEX($FO$170:$IH$241,ID$169,$FN218),SUMPRODUCT(INDEX($FO$325:$IH$396,ID$169,1+SwaptionShift):INDEX($FO$325:$IH$396,ID$169,SwaptionMonthsToGo+SwaptionShift),INDEX($FO$245:$IH$316,$FN218-ID$169,73-ID$169+SwaptionShift):INDEX($FO$245:$IH$316,$FN218-ID$169,72-ID$169+SwaptionMonthsToGo+SwaptionShift))/SQRT(SUM(INDEX($FO373:$IH373,1+SwaptionShift):INDEX($FO373:$IH373,SwaptionMonthsToGo+SwaptionShift))*SUM(INDEX($FO$325:$IH$396,ID$169,1+SwaptionShift):INDEX($FO$325:$IH$396,ID$169,SwaptionMonthsToGo+SwaptionShift))))))</f>
        <v/>
      </c>
      <c r="IE218" s="469" t="str">
        <f ca="1">IF(OR(IE$169&lt;SwaptionFirstMonthPosition+1,$FN218&lt;SwaptionFirstMonthPosition+1,IE$169&gt;SwaptionFirstMonthPosition+SwaptionNumOfMonths+1,$FN218&gt;SwaptionFirstMonthPosition+SwaptionNumOfMonths+1),"",IF($FN218=IE$169,1,IF($FN218&lt;IE$169,INDEX($FO$170:$IH$241,IE$169,$FN218),SUMPRODUCT(INDEX($FO$325:$IH$396,IE$169,1+SwaptionShift):INDEX($FO$325:$IH$396,IE$169,SwaptionMonthsToGo+SwaptionShift),INDEX($FO$245:$IH$316,$FN218-IE$169,73-IE$169+SwaptionShift):INDEX($FO$245:$IH$316,$FN218-IE$169,72-IE$169+SwaptionMonthsToGo+SwaptionShift))/SQRT(SUM(INDEX($FO373:$IH373,1+SwaptionShift):INDEX($FO373:$IH373,SwaptionMonthsToGo+SwaptionShift))*SUM(INDEX($FO$325:$IH$396,IE$169,1+SwaptionShift):INDEX($FO$325:$IH$396,IE$169,SwaptionMonthsToGo+SwaptionShift))))))</f>
        <v/>
      </c>
      <c r="IF218" s="469" t="str">
        <f ca="1">IF(OR(IF$169&lt;SwaptionFirstMonthPosition+1,$FN218&lt;SwaptionFirstMonthPosition+1,IF$169&gt;SwaptionFirstMonthPosition+SwaptionNumOfMonths+1,$FN218&gt;SwaptionFirstMonthPosition+SwaptionNumOfMonths+1),"",IF($FN218=IF$169,1,IF($FN218&lt;IF$169,INDEX($FO$170:$IH$241,IF$169,$FN218),SUMPRODUCT(INDEX($FO$325:$IH$396,IF$169,1+SwaptionShift):INDEX($FO$325:$IH$396,IF$169,SwaptionMonthsToGo+SwaptionShift),INDEX($FO$245:$IH$316,$FN218-IF$169,73-IF$169+SwaptionShift):INDEX($FO$245:$IH$316,$FN218-IF$169,72-IF$169+SwaptionMonthsToGo+SwaptionShift))/SQRT(SUM(INDEX($FO373:$IH373,1+SwaptionShift):INDEX($FO373:$IH373,SwaptionMonthsToGo+SwaptionShift))*SUM(INDEX($FO$325:$IH$396,IF$169,1+SwaptionShift):INDEX($FO$325:$IH$396,IF$169,SwaptionMonthsToGo+SwaptionShift))))))</f>
        <v/>
      </c>
      <c r="IG218" s="469" t="str">
        <f ca="1">IF(OR(IG$169&lt;SwaptionFirstMonthPosition+1,$FN218&lt;SwaptionFirstMonthPosition+1,IG$169&gt;SwaptionFirstMonthPosition+SwaptionNumOfMonths+1,$FN218&gt;SwaptionFirstMonthPosition+SwaptionNumOfMonths+1),"",IF($FN218=IG$169,1,IF($FN218&lt;IG$169,INDEX($FO$170:$IH$241,IG$169,$FN218),SUMPRODUCT(INDEX($FO$325:$IH$396,IG$169,1+SwaptionShift):INDEX($FO$325:$IH$396,IG$169,SwaptionMonthsToGo+SwaptionShift),INDEX($FO$245:$IH$316,$FN218-IG$169,73-IG$169+SwaptionShift):INDEX($FO$245:$IH$316,$FN218-IG$169,72-IG$169+SwaptionMonthsToGo+SwaptionShift))/SQRT(SUM(INDEX($FO373:$IH373,1+SwaptionShift):INDEX($FO373:$IH373,SwaptionMonthsToGo+SwaptionShift))*SUM(INDEX($FO$325:$IH$396,IG$169,1+SwaptionShift):INDEX($FO$325:$IH$396,IG$169,SwaptionMonthsToGo+SwaptionShift))))))</f>
        <v/>
      </c>
      <c r="IH218" s="662" t="str">
        <f ca="1">IF(OR(IH$169&lt;SwaptionFirstMonthPosition+1,$FN218&lt;SwaptionFirstMonthPosition+1,IH$169&gt;SwaptionFirstMonthPosition+SwaptionNumOfMonths+1,$FN218&gt;SwaptionFirstMonthPosition+SwaptionNumOfMonths+1),"",IF($FN218=IH$169,1,IF($FN218&lt;IH$169,INDEX($FO$170:$IH$241,IH$169,$FN218),SUMPRODUCT(INDEX($FO$325:$IH$396,IH$169,1+SwaptionShift):INDEX($FO$325:$IH$396,IH$169,SwaptionMonthsToGo+SwaptionShift),INDEX($FO$245:$IH$316,$FN218-IH$169,73-IH$169+SwaptionShift):INDEX($FO$245:$IH$316,$FN218-IH$169,72-IH$169+SwaptionMonthsToGo+SwaptionShift))/SQRT(SUM(INDEX($FO373:$IH373,1+SwaptionShift):INDEX($FO373:$IH373,SwaptionMonthsToGo+SwaptionShift))*SUM(INDEX($FO$325:$IH$396,IH$169,1+SwaptionShift):INDEX($FO$325:$IH$396,IH$169,SwaptionMonthsToGo+SwaptionShift))))))</f>
        <v/>
      </c>
      <c r="II218" s="242"/>
    </row>
    <row r="219" spans="8:243">
      <c r="H219" s="49" t="e">
        <f t="shared" ca="1" si="645"/>
        <v>#N/A</v>
      </c>
      <c r="I219" s="369">
        <f t="shared" si="646"/>
        <v>43070</v>
      </c>
      <c r="J219" s="367">
        <v>24.359999999999797</v>
      </c>
      <c r="K219" s="101" t="s">
        <v>267</v>
      </c>
      <c r="L219" s="382">
        <f t="shared" si="647"/>
        <v>24.359999999999847</v>
      </c>
      <c r="M219" s="163">
        <v>0.13150000000000001</v>
      </c>
      <c r="N219" s="372">
        <v>0</v>
      </c>
      <c r="O219" s="163">
        <f t="shared" si="595"/>
        <v>0.13150000000000001</v>
      </c>
      <c r="P219" s="367">
        <v>23.115381477630198</v>
      </c>
      <c r="Q219" s="101" t="s">
        <v>267</v>
      </c>
      <c r="R219" s="367">
        <f t="shared" ca="1" si="596"/>
        <v>23.115381477630198</v>
      </c>
      <c r="S219" s="814">
        <f t="shared" si="594"/>
        <v>0.34683500024783009</v>
      </c>
      <c r="T219" s="813">
        <f t="shared" si="660"/>
        <v>0.99999999993880773</v>
      </c>
      <c r="U219" s="532">
        <f t="shared" si="661"/>
        <v>0.99999999999999978</v>
      </c>
      <c r="V219" s="379">
        <v>0</v>
      </c>
      <c r="W219" s="424">
        <f t="shared" si="597"/>
        <v>24.392499999999799</v>
      </c>
      <c r="X219" s="405">
        <f t="shared" si="598"/>
        <v>24.392499999999846</v>
      </c>
      <c r="Y219" s="313">
        <f t="shared" si="599"/>
        <v>23.150899999999801</v>
      </c>
      <c r="Z219" s="313">
        <f t="shared" ca="1" si="600"/>
        <v>23.150899999999844</v>
      </c>
      <c r="AA219" s="419">
        <f t="shared" si="623"/>
        <v>1.2416</v>
      </c>
      <c r="AB219" s="423">
        <f t="shared" ca="1" si="624"/>
        <v>1.2416</v>
      </c>
      <c r="AC219" s="221">
        <v>43059</v>
      </c>
      <c r="AD219" s="221">
        <v>43055</v>
      </c>
      <c r="AE219" s="221">
        <v>43054</v>
      </c>
      <c r="AF219" s="221">
        <v>43050</v>
      </c>
      <c r="AG219" s="241" t="s">
        <v>497</v>
      </c>
      <c r="AH219" s="239" t="s">
        <v>497</v>
      </c>
      <c r="AI219" s="141">
        <v>20</v>
      </c>
      <c r="AJ219" s="41">
        <v>14</v>
      </c>
      <c r="AK219" s="41">
        <v>6</v>
      </c>
      <c r="AL219" s="285">
        <v>20</v>
      </c>
      <c r="AM219" s="41">
        <v>10</v>
      </c>
      <c r="AN219" s="142">
        <v>10</v>
      </c>
      <c r="AO219" s="364">
        <v>6.2837962901162392E-2</v>
      </c>
      <c r="AP219" s="145">
        <f t="shared" ca="1" si="648"/>
        <v>0.3552281958637627</v>
      </c>
      <c r="AQ219" s="364">
        <v>5.8362907341086102E-2</v>
      </c>
      <c r="AR219" s="145">
        <f t="shared" ca="1" si="662"/>
        <v>0.38471637221887517</v>
      </c>
      <c r="AS219" s="264">
        <f t="shared" si="601"/>
        <v>0.13098000000000001</v>
      </c>
      <c r="AT219" s="149">
        <f t="shared" si="649"/>
        <v>0.13150000000000001</v>
      </c>
      <c r="AU219" s="149">
        <f t="shared" si="625"/>
        <v>0.13090000000000002</v>
      </c>
      <c r="AV219" s="263">
        <f t="shared" ca="1" si="669"/>
        <v>0.12947227619609036</v>
      </c>
      <c r="AW219" s="150" t="str">
        <f t="shared" ca="1" si="581"/>
        <v/>
      </c>
      <c r="AX219" s="149">
        <f t="shared" ca="1" si="663"/>
        <v>3.91402023610908E-3</v>
      </c>
      <c r="AY219" s="149">
        <f t="shared" ca="1" si="664"/>
        <v>1.2345651074714085E-3</v>
      </c>
      <c r="AZ219" s="149">
        <f t="shared" ca="1" si="665"/>
        <v>1.4465603546272902E-3</v>
      </c>
      <c r="BA219" s="149">
        <f t="shared" ca="1" si="666"/>
        <v>1.0000000000001055E-4</v>
      </c>
      <c r="BB219" s="149">
        <f t="shared" ca="1" si="667"/>
        <v>1.0000000000001055E-4</v>
      </c>
      <c r="BC219" s="149">
        <f t="shared" ca="1" si="668"/>
        <v>1.0000000000001055E-4</v>
      </c>
      <c r="BD219" s="143">
        <f t="shared" ca="1" si="602"/>
        <v>0</v>
      </c>
      <c r="BE219" s="144">
        <f t="shared" ca="1" si="603"/>
        <v>0</v>
      </c>
      <c r="BF219" s="40">
        <f t="shared" si="604"/>
        <v>2017</v>
      </c>
      <c r="BG219" s="139">
        <f t="shared" si="605"/>
        <v>12</v>
      </c>
      <c r="BH219" s="140">
        <f t="shared" ca="1" si="606"/>
        <v>6065</v>
      </c>
      <c r="BI219" s="304">
        <f t="shared" ca="1" si="607"/>
        <v>16.646132785763175</v>
      </c>
      <c r="BJ219" s="42">
        <f t="shared" ca="1" si="626"/>
        <v>16.703627652292951</v>
      </c>
      <c r="BK219" s="42">
        <f t="shared" ca="1" si="627"/>
        <v>16.706365503080082</v>
      </c>
      <c r="BL219" s="42">
        <f t="shared" ca="1" si="608"/>
        <v>16.728268309377139</v>
      </c>
      <c r="BM219" s="285">
        <f t="shared" si="609"/>
        <v>20</v>
      </c>
      <c r="BN219" s="41">
        <f t="shared" si="610"/>
        <v>14</v>
      </c>
      <c r="BO219" s="41">
        <f t="shared" si="611"/>
        <v>6</v>
      </c>
      <c r="BP219" s="297" t="str">
        <f t="shared" ca="1" si="628"/>
        <v/>
      </c>
      <c r="BQ219" s="297" t="str">
        <f t="shared" ca="1" si="629"/>
        <v/>
      </c>
      <c r="BR219" s="299" t="str">
        <f t="shared" ca="1" si="630"/>
        <v/>
      </c>
      <c r="BS219" s="153" t="str">
        <f t="shared" ca="1" si="631"/>
        <v/>
      </c>
      <c r="BT219" s="153" t="str">
        <f t="shared" ca="1" si="632"/>
        <v/>
      </c>
      <c r="BU219" s="300" t="str">
        <f t="shared" ca="1" si="633"/>
        <v/>
      </c>
      <c r="BV219" s="301" t="str">
        <f t="shared" ca="1" si="634"/>
        <v/>
      </c>
      <c r="BW219" s="300" t="str">
        <f t="shared" ca="1" si="635"/>
        <v/>
      </c>
      <c r="BX219" s="301" t="str">
        <f t="shared" ca="1" si="636"/>
        <v/>
      </c>
      <c r="BY219" s="146" t="str">
        <f t="shared" ca="1" si="637"/>
        <v/>
      </c>
      <c r="BZ219" s="146" t="str">
        <f t="shared" ca="1" si="638"/>
        <v/>
      </c>
      <c r="CA219" s="146" t="str">
        <f t="shared" ca="1" si="639"/>
        <v/>
      </c>
      <c r="CB219" s="146" t="str">
        <f t="shared" ca="1" si="640"/>
        <v/>
      </c>
      <c r="CC219" s="302">
        <v>1</v>
      </c>
      <c r="CD219" s="154">
        <f ca="1">IF(BD219,_xll.xCrudeAPO(BS219,BT219,BY219,BZ219,S220,S221,BI219,BL219,BN219,BO219,0,Strike1,AO219,CC219,0,BL219,IF(OptControl=4,0,1),0,1),0)</f>
        <v>0</v>
      </c>
      <c r="CE219" s="155">
        <f ca="1">IF(BD219,_xll.xCrudeAPO(BS219,BT219,BY219,BZ219,S220,S221,BI219,BL219,BN219,BO219,0,Strike1,AO219,CC219,0,BL219,IF(OptControl=4,0,1),1,1)+_xll.xCrudeAPO(BS219,BT219,BY219,BZ219,S220,S221,BI219,BL219,BN219,BO219,0,Strike1,AO219,CC219,0,BL219,IF(OptControl=4,0,1),1,2)+IF(OR(VolSkewFlag=2,ABS(BQ219)&lt;0.0001),0,IF(BQ219&gt;0,-1,1)*CF219*Strike1/BP219^2*BW219/10%),0)</f>
        <v>0</v>
      </c>
      <c r="CF219" s="155">
        <f ca="1">IF(BD219,(_xll.xCrudeAPO(BS219,BT219,BY219,BZ219,S220,S221,BI219,BL219,BN219,BO219,0,Strike1,AO219,CC219,0,BL219,IF(OptControl=4,0,1),3,1)+_xll.xCrudeAPO(BS219,BT219,BY219,BZ219,S220,S221,BI219,BL219,BN219,BO219,0,Strike1,AO219,CC219,0,BL219,IF(OptControl=4,0,1),3,2))/100,0)</f>
        <v>0</v>
      </c>
      <c r="CG219" s="155">
        <f ca="1">IF(BD219,_xll.xCrudeAPO(BS219,BT219,BY219,BZ219,S220,S221,BI219-DaysForThetaCalculation/365.25,BL219-DaysForThetaCalculation/365.25,BN219,BO219,0,Strike1,AO219,CC219,0,BL219,IF(OptControl=4,0,1),0,1)-_xll.xCrudeAPO(BS219,BT219,BY219,BZ219,S220,S221,BI219,BL219,BN219,BO219,0,Strike1,AO219,CC219,0,BL219,IF(OptControl=4,0,1),0,1),0)</f>
        <v>0</v>
      </c>
      <c r="CH219" s="303">
        <f ca="1">IF(BD219,_xll.xCrudeAPO(BS219,BT219,CA219,CB219,S220,S221,BI219,BL219,BN219,BO219,0,Strike2,AO219,CC219,0,BL219,IF(OptControl=3,1,0),0,1),0)</f>
        <v>0</v>
      </c>
      <c r="CI219" s="155">
        <f ca="1">IF(BD219,_xll.xCrudeAPO(BS219,BT219,CA219,CB219,S220,S221,BI219,BL219,BN219,BO219,0,Strike2,AO219,CC219,0,BL219,IF(OptControl=3,1,0),1,1)+_xll.xCrudeAPO(BS219,BT219,CA219,CB219,S220,S221,BI219,BL219,BN219,BO219,0,Strike2,AO219,CC219,0,BL219,IF(OptControl=3,1,0),1,2)+IF(OR(VolSkewFlag=2,ABS(BR219)&lt;0.0001),0,IF(BR219&gt;0,-1,1)*CJ219*Strike2/BP219^2*BX219/10%),0)</f>
        <v>0</v>
      </c>
      <c r="CJ219" s="155">
        <f ca="1">IF(BD219,(_xll.xCrudeAPO(BS219,BT219,CA219,CB219,S220,S221,BI219,BL219,BN219,BO219,0,Strike2,AO219,CC219,0,BL219,IF(OptControl=3,1,0),3,1)+_xll.xCrudeAPO(BS219,BT219,CA219,CB219,S220,S221,BI219,BL219,BN219,BO219,0,Strike2,AO219,CC219,0,BL219,IF(OptControl=3,1,0),3,2))/100,0)</f>
        <v>0</v>
      </c>
      <c r="CK219" s="156">
        <f ca="1">IF(BD219,_xll.xCrudeAPO(BS219,BT219,CA219,CB219,S220,S221,BI219-DaysForThetaCalculation/365.25,BL219-DaysForThetaCalculation/365.25,BN219,BO219,0,Strike2,AO219,CC219,0,BL219,IF(OptControl=3,1,0),0,1)-_xll.xCrudeAPO(BS219,BT219,CA219,CB219,S220,S221,BI219,BL219,BN219,BO219,0,Strike2,AO219,CC219,0,BL219,IF(OptControl=3,1,0),0,1),0)</f>
        <v>0</v>
      </c>
      <c r="CL219" s="51"/>
      <c r="CM219" s="779" t="str">
        <f t="shared" ca="1" si="650"/>
        <v/>
      </c>
      <c r="CN219" s="783" t="str">
        <f t="shared" ca="1" si="651"/>
        <v/>
      </c>
      <c r="CO219" s="780" t="str">
        <f t="shared" ca="1" si="652"/>
        <v/>
      </c>
      <c r="CP219" s="780" t="str">
        <f t="shared" ca="1" si="653"/>
        <v/>
      </c>
      <c r="CQ219" s="780" t="str">
        <f t="shared" ca="1" si="654"/>
        <v/>
      </c>
      <c r="CR219" s="780" t="str">
        <f t="shared" ca="1" si="655"/>
        <v/>
      </c>
      <c r="CS219" s="781" t="str">
        <f t="shared" ca="1" si="656"/>
        <v/>
      </c>
      <c r="CT219" s="782" t="str">
        <f t="shared" ca="1" si="657"/>
        <v/>
      </c>
      <c r="CU219" s="782" t="str">
        <f t="shared" ca="1" si="658"/>
        <v/>
      </c>
      <c r="CV219" s="155">
        <f ca="1">IF(BD219,_xll.EURO(CN219,Strike1,AO219,AO219,CT219,CM219,IF(OptControl=4,0,1),0),0)</f>
        <v>0</v>
      </c>
      <c r="CW219" s="155">
        <f ca="1">IF(BD219,_xll.EURO(CN219,Strike1,AO219,AO219,CT219,CM219,IF(OptControl=4,0,1),1)+IF(OR(VolSkewFlag=2,ABS(CO219)&lt;0.0001),0,IF(CO219&gt;0,-1,1)*CX219*100*Strike1/CN219^2*CQ219/10%),0)</f>
        <v>0</v>
      </c>
      <c r="CX219" s="155">
        <f ca="1">IF(BD219,_xll.EURO(CN219,Strike1,AO219,AO219,CT219,CM219,IF(OptControl=4,0,1),3)/100,0)</f>
        <v>0</v>
      </c>
      <c r="CY219" s="155">
        <f ca="1">IF(BD219,_xll.EURO(CN219,Strike1,AO219,AO219,CT219,CM219,IF(OptControl=4,0,1),0)-_xll.EURO(CN219,Strike1,AO219,AO219,CT219,CM219-1,IF(OptControl=4,0,1),0),0)</f>
        <v>0</v>
      </c>
      <c r="CZ219" s="155">
        <f ca="1">IF(BD219,_xll.EURO(CN219,Strike2,AO219,AO219,CU219,CM219,IF(OptControl=3,1,0),0),0)</f>
        <v>0</v>
      </c>
      <c r="DA219" s="155">
        <f ca="1">IF(BD219,_xll.EURO(CN219,Strike2,AO219,AO219,CU219,CM219,IF(OptControl=3,1,0),1)+IF(OR(VolSkewFlag=2,ABS(CP219)&lt;0.0001),0,IF(CP219&gt;0,-1,1)*DB219*100*Strike2/CN219^2*CR219/10%),0)</f>
        <v>0</v>
      </c>
      <c r="DB219" s="155">
        <f ca="1">IF(BD219,_xll.EURO(CN219,Strike2,AO219,AO219,CU219,CM219,IF(OptControl=3,1,0),3)/100,0)</f>
        <v>0</v>
      </c>
      <c r="DC219" s="156">
        <f ca="1">IF(BD219,_xll.EURO(CN219,Strike2,AO219,AO219,CU219,CM219,IF(OptControl=3,1,0),0)-_xll.EURO(CN219,Strike2,AO219,AO219,CU219,CM219-1,IF(OptControl=3,1,0),0),0)</f>
        <v>0</v>
      </c>
      <c r="DE219" s="651">
        <f t="shared" ca="1" si="659"/>
        <v>42979</v>
      </c>
      <c r="DF219" s="465">
        <v>1E-4</v>
      </c>
      <c r="DG219" s="649">
        <v>1E-4</v>
      </c>
      <c r="DH219" s="650">
        <f t="shared" ca="1" si="612"/>
        <v>42979</v>
      </c>
      <c r="DI219" s="465">
        <v>1E-4</v>
      </c>
      <c r="DJ219" s="649">
        <v>1E-4</v>
      </c>
      <c r="DK219" s="651">
        <f t="shared" ca="1" si="613"/>
        <v>42979</v>
      </c>
      <c r="DL219" s="652">
        <f t="shared" si="614"/>
        <v>5.0100000000000006E-2</v>
      </c>
      <c r="DM219" s="651">
        <f t="shared" ca="1" si="615"/>
        <v>42979</v>
      </c>
      <c r="DN219" s="563">
        <f t="shared" si="616"/>
        <v>-0.12990000000000002</v>
      </c>
      <c r="DO219" s="803">
        <v>-0.13</v>
      </c>
      <c r="DP219" s="650">
        <f t="shared" ca="1" si="617"/>
        <v>42979</v>
      </c>
      <c r="DQ219" s="653">
        <v>1E-4</v>
      </c>
      <c r="DR219" s="590">
        <v>1E-4</v>
      </c>
      <c r="DS219" s="650">
        <f t="shared" ca="1" si="618"/>
        <v>42979</v>
      </c>
      <c r="DT219" s="653">
        <v>1E-4</v>
      </c>
      <c r="DU219" s="590">
        <v>1E-4</v>
      </c>
      <c r="DV219" s="651">
        <f t="shared" ca="1" si="619"/>
        <v>42979</v>
      </c>
      <c r="DW219" s="590">
        <v>1E-4</v>
      </c>
      <c r="DX219" s="651">
        <f t="shared" ca="1" si="620"/>
        <v>42979</v>
      </c>
      <c r="DY219" s="590">
        <f t="shared" si="621"/>
        <v>1E-4</v>
      </c>
      <c r="DZ219" s="1"/>
      <c r="EA219" s="857"/>
      <c r="EB219" s="857"/>
      <c r="EC219" s="857"/>
      <c r="ED219" s="868" t="e">
        <f t="shared" ca="1" si="566"/>
        <v>#NAME?</v>
      </c>
      <c r="EE219" s="863" t="e">
        <f t="shared" ca="1" si="641"/>
        <v>#NAME?</v>
      </c>
      <c r="EF219" s="590" t="e">
        <f t="shared" ca="1" si="642"/>
        <v>#NAME?</v>
      </c>
      <c r="EG219" s="862" t="str">
        <f t="shared" ca="1" si="622"/>
        <v/>
      </c>
      <c r="EH219" s="114" t="str">
        <f t="shared" ca="1" si="643"/>
        <v/>
      </c>
      <c r="EI219" s="109" t="str">
        <f t="shared" ca="1" si="644"/>
        <v/>
      </c>
      <c r="EJ219" s="115">
        <f ca="1">IF(BD219,_xll.xASN(BP219,Strike1,AO219,EH219,0,BM219,0,BI219,BL219,IF(OptControl=4,0,1),0),0)</f>
        <v>0</v>
      </c>
      <c r="EK219" s="108">
        <f ca="1">IF(BD219,_xll.xASN(BP219,Strike2,AO219,EI219,0,BM219,0,BI219,BL219,IF(OptControl=3,1,0),0),0)</f>
        <v>0</v>
      </c>
      <c r="EP219" s="53"/>
      <c r="EQ219" s="1"/>
      <c r="ER219" s="103"/>
      <c r="ES219" s="103"/>
      <c r="ET219" s="1"/>
      <c r="EU219" s="667" t="s">
        <v>432</v>
      </c>
      <c r="EW219" s="53"/>
      <c r="EY219" s="104"/>
      <c r="FN219" s="657">
        <v>50</v>
      </c>
      <c r="FO219" s="469" t="str">
        <f ca="1">IF(OR(FO$169&lt;SwaptionFirstMonthPosition+1,$FN219&lt;SwaptionFirstMonthPosition+1,FO$169&gt;SwaptionFirstMonthPosition+SwaptionNumOfMonths+1,$FN219&gt;SwaptionFirstMonthPosition+SwaptionNumOfMonths+1),"",IF($FN219=FO$169,1,IF($FN219&lt;FO$169,INDEX($FO$170:$IH$241,FO$169,$FN219),SUMPRODUCT(INDEX($FO$325:$IH$396,FO$169,1+SwaptionShift):INDEX($FO$325:$IH$396,FO$169,SwaptionMonthsToGo+SwaptionShift),INDEX($FO$245:$IH$316,$FN219-FO$169,73-FO$169+SwaptionShift):INDEX($FO$245:$IH$316,$FN219-FO$169,72-FO$169+SwaptionMonthsToGo+SwaptionShift))/SQRT(SUM(INDEX($FO374:$IH374,1+SwaptionShift):INDEX($FO374:$IH374,SwaptionMonthsToGo+SwaptionShift))*SUM(INDEX($FO$325:$IH$396,FO$169,1+SwaptionShift):INDEX($FO$325:$IH$396,FO$169,SwaptionMonthsToGo+SwaptionShift))))))</f>
        <v/>
      </c>
      <c r="FP219" s="469" t="str">
        <f ca="1">IF(OR(FP$169&lt;SwaptionFirstMonthPosition+1,$FN219&lt;SwaptionFirstMonthPosition+1,FP$169&gt;SwaptionFirstMonthPosition+SwaptionNumOfMonths+1,$FN219&gt;SwaptionFirstMonthPosition+SwaptionNumOfMonths+1),"",IF($FN219=FP$169,1,IF($FN219&lt;FP$169,INDEX($FO$170:$IH$241,FP$169,$FN219),SUMPRODUCT(INDEX($FO$325:$IH$396,FP$169,1+SwaptionShift):INDEX($FO$325:$IH$396,FP$169,SwaptionMonthsToGo+SwaptionShift),INDEX($FO$245:$IH$316,$FN219-FP$169,73-FP$169+SwaptionShift):INDEX($FO$245:$IH$316,$FN219-FP$169,72-FP$169+SwaptionMonthsToGo+SwaptionShift))/SQRT(SUM(INDEX($FO374:$IH374,1+SwaptionShift):INDEX($FO374:$IH374,SwaptionMonthsToGo+SwaptionShift))*SUM(INDEX($FO$325:$IH$396,FP$169,1+SwaptionShift):INDEX($FO$325:$IH$396,FP$169,SwaptionMonthsToGo+SwaptionShift))))))</f>
        <v/>
      </c>
      <c r="FQ219" s="469" t="str">
        <f ca="1">IF(OR(FQ$169&lt;SwaptionFirstMonthPosition+1,$FN219&lt;SwaptionFirstMonthPosition+1,FQ$169&gt;SwaptionFirstMonthPosition+SwaptionNumOfMonths+1,$FN219&gt;SwaptionFirstMonthPosition+SwaptionNumOfMonths+1),"",IF($FN219=FQ$169,1,IF($FN219&lt;FQ$169,INDEX($FO$170:$IH$241,FQ$169,$FN219),SUMPRODUCT(INDEX($FO$325:$IH$396,FQ$169,1+SwaptionShift):INDEX($FO$325:$IH$396,FQ$169,SwaptionMonthsToGo+SwaptionShift),INDEX($FO$245:$IH$316,$FN219-FQ$169,73-FQ$169+SwaptionShift):INDEX($FO$245:$IH$316,$FN219-FQ$169,72-FQ$169+SwaptionMonthsToGo+SwaptionShift))/SQRT(SUM(INDEX($FO374:$IH374,1+SwaptionShift):INDEX($FO374:$IH374,SwaptionMonthsToGo+SwaptionShift))*SUM(INDEX($FO$325:$IH$396,FQ$169,1+SwaptionShift):INDEX($FO$325:$IH$396,FQ$169,SwaptionMonthsToGo+SwaptionShift))))))</f>
        <v/>
      </c>
      <c r="FR219" s="469" t="str">
        <f ca="1">IF(OR(FR$169&lt;SwaptionFirstMonthPosition+1,$FN219&lt;SwaptionFirstMonthPosition+1,FR$169&gt;SwaptionFirstMonthPosition+SwaptionNumOfMonths+1,$FN219&gt;SwaptionFirstMonthPosition+SwaptionNumOfMonths+1),"",IF($FN219=FR$169,1,IF($FN219&lt;FR$169,INDEX($FO$170:$IH$241,FR$169,$FN219),SUMPRODUCT(INDEX($FO$325:$IH$396,FR$169,1+SwaptionShift):INDEX($FO$325:$IH$396,FR$169,SwaptionMonthsToGo+SwaptionShift),INDEX($FO$245:$IH$316,$FN219-FR$169,73-FR$169+SwaptionShift):INDEX($FO$245:$IH$316,$FN219-FR$169,72-FR$169+SwaptionMonthsToGo+SwaptionShift))/SQRT(SUM(INDEX($FO374:$IH374,1+SwaptionShift):INDEX($FO374:$IH374,SwaptionMonthsToGo+SwaptionShift))*SUM(INDEX($FO$325:$IH$396,FR$169,1+SwaptionShift):INDEX($FO$325:$IH$396,FR$169,SwaptionMonthsToGo+SwaptionShift))))))</f>
        <v/>
      </c>
      <c r="FS219" s="469" t="str">
        <f ca="1">IF(OR(FS$169&lt;SwaptionFirstMonthPosition+1,$FN219&lt;SwaptionFirstMonthPosition+1,FS$169&gt;SwaptionFirstMonthPosition+SwaptionNumOfMonths+1,$FN219&gt;SwaptionFirstMonthPosition+SwaptionNumOfMonths+1),"",IF($FN219=FS$169,1,IF($FN219&lt;FS$169,INDEX($FO$170:$IH$241,FS$169,$FN219),SUMPRODUCT(INDEX($FO$325:$IH$396,FS$169,1+SwaptionShift):INDEX($FO$325:$IH$396,FS$169,SwaptionMonthsToGo+SwaptionShift),INDEX($FO$245:$IH$316,$FN219-FS$169,73-FS$169+SwaptionShift):INDEX($FO$245:$IH$316,$FN219-FS$169,72-FS$169+SwaptionMonthsToGo+SwaptionShift))/SQRT(SUM(INDEX($FO374:$IH374,1+SwaptionShift):INDEX($FO374:$IH374,SwaptionMonthsToGo+SwaptionShift))*SUM(INDEX($FO$325:$IH$396,FS$169,1+SwaptionShift):INDEX($FO$325:$IH$396,FS$169,SwaptionMonthsToGo+SwaptionShift))))))</f>
        <v/>
      </c>
      <c r="FT219" s="469" t="str">
        <f ca="1">IF(OR(FT$169&lt;SwaptionFirstMonthPosition+1,$FN219&lt;SwaptionFirstMonthPosition+1,FT$169&gt;SwaptionFirstMonthPosition+SwaptionNumOfMonths+1,$FN219&gt;SwaptionFirstMonthPosition+SwaptionNumOfMonths+1),"",IF($FN219=FT$169,1,IF($FN219&lt;FT$169,INDEX($FO$170:$IH$241,FT$169,$FN219),SUMPRODUCT(INDEX($FO$325:$IH$396,FT$169,1+SwaptionShift):INDEX($FO$325:$IH$396,FT$169,SwaptionMonthsToGo+SwaptionShift),INDEX($FO$245:$IH$316,$FN219-FT$169,73-FT$169+SwaptionShift):INDEX($FO$245:$IH$316,$FN219-FT$169,72-FT$169+SwaptionMonthsToGo+SwaptionShift))/SQRT(SUM(INDEX($FO374:$IH374,1+SwaptionShift):INDEX($FO374:$IH374,SwaptionMonthsToGo+SwaptionShift))*SUM(INDEX($FO$325:$IH$396,FT$169,1+SwaptionShift):INDEX($FO$325:$IH$396,FT$169,SwaptionMonthsToGo+SwaptionShift))))))</f>
        <v/>
      </c>
      <c r="FU219" s="469" t="str">
        <f ca="1">IF(OR(FU$169&lt;SwaptionFirstMonthPosition+1,$FN219&lt;SwaptionFirstMonthPosition+1,FU$169&gt;SwaptionFirstMonthPosition+SwaptionNumOfMonths+1,$FN219&gt;SwaptionFirstMonthPosition+SwaptionNumOfMonths+1),"",IF($FN219=FU$169,1,IF($FN219&lt;FU$169,INDEX($FO$170:$IH$241,FU$169,$FN219),SUMPRODUCT(INDEX($FO$325:$IH$396,FU$169,1+SwaptionShift):INDEX($FO$325:$IH$396,FU$169,SwaptionMonthsToGo+SwaptionShift),INDEX($FO$245:$IH$316,$FN219-FU$169,73-FU$169+SwaptionShift):INDEX($FO$245:$IH$316,$FN219-FU$169,72-FU$169+SwaptionMonthsToGo+SwaptionShift))/SQRT(SUM(INDEX($FO374:$IH374,1+SwaptionShift):INDEX($FO374:$IH374,SwaptionMonthsToGo+SwaptionShift))*SUM(INDEX($FO$325:$IH$396,FU$169,1+SwaptionShift):INDEX($FO$325:$IH$396,FU$169,SwaptionMonthsToGo+SwaptionShift))))))</f>
        <v/>
      </c>
      <c r="FV219" s="469" t="str">
        <f ca="1">IF(OR(FV$169&lt;SwaptionFirstMonthPosition+1,$FN219&lt;SwaptionFirstMonthPosition+1,FV$169&gt;SwaptionFirstMonthPosition+SwaptionNumOfMonths+1,$FN219&gt;SwaptionFirstMonthPosition+SwaptionNumOfMonths+1),"",IF($FN219=FV$169,1,IF($FN219&lt;FV$169,INDEX($FO$170:$IH$241,FV$169,$FN219),SUMPRODUCT(INDEX($FO$325:$IH$396,FV$169,1+SwaptionShift):INDEX($FO$325:$IH$396,FV$169,SwaptionMonthsToGo+SwaptionShift),INDEX($FO$245:$IH$316,$FN219-FV$169,73-FV$169+SwaptionShift):INDEX($FO$245:$IH$316,$FN219-FV$169,72-FV$169+SwaptionMonthsToGo+SwaptionShift))/SQRT(SUM(INDEX($FO374:$IH374,1+SwaptionShift):INDEX($FO374:$IH374,SwaptionMonthsToGo+SwaptionShift))*SUM(INDEX($FO$325:$IH$396,FV$169,1+SwaptionShift):INDEX($FO$325:$IH$396,FV$169,SwaptionMonthsToGo+SwaptionShift))))))</f>
        <v/>
      </c>
      <c r="FW219" s="469" t="str">
        <f ca="1">IF(OR(FW$169&lt;SwaptionFirstMonthPosition+1,$FN219&lt;SwaptionFirstMonthPosition+1,FW$169&gt;SwaptionFirstMonthPosition+SwaptionNumOfMonths+1,$FN219&gt;SwaptionFirstMonthPosition+SwaptionNumOfMonths+1),"",IF($FN219=FW$169,1,IF($FN219&lt;FW$169,INDEX($FO$170:$IH$241,FW$169,$FN219),SUMPRODUCT(INDEX($FO$325:$IH$396,FW$169,1+SwaptionShift):INDEX($FO$325:$IH$396,FW$169,SwaptionMonthsToGo+SwaptionShift),INDEX($FO$245:$IH$316,$FN219-FW$169,73-FW$169+SwaptionShift):INDEX($FO$245:$IH$316,$FN219-FW$169,72-FW$169+SwaptionMonthsToGo+SwaptionShift))/SQRT(SUM(INDEX($FO374:$IH374,1+SwaptionShift):INDEX($FO374:$IH374,SwaptionMonthsToGo+SwaptionShift))*SUM(INDEX($FO$325:$IH$396,FW$169,1+SwaptionShift):INDEX($FO$325:$IH$396,FW$169,SwaptionMonthsToGo+SwaptionShift))))))</f>
        <v/>
      </c>
      <c r="FX219" s="469" t="str">
        <f ca="1">IF(OR(FX$169&lt;SwaptionFirstMonthPosition+1,$FN219&lt;SwaptionFirstMonthPosition+1,FX$169&gt;SwaptionFirstMonthPosition+SwaptionNumOfMonths+1,$FN219&gt;SwaptionFirstMonthPosition+SwaptionNumOfMonths+1),"",IF($FN219=FX$169,1,IF($FN219&lt;FX$169,INDEX($FO$170:$IH$241,FX$169,$FN219),SUMPRODUCT(INDEX($FO$325:$IH$396,FX$169,1+SwaptionShift):INDEX($FO$325:$IH$396,FX$169,SwaptionMonthsToGo+SwaptionShift),INDEX($FO$245:$IH$316,$FN219-FX$169,73-FX$169+SwaptionShift):INDEX($FO$245:$IH$316,$FN219-FX$169,72-FX$169+SwaptionMonthsToGo+SwaptionShift))/SQRT(SUM(INDEX($FO374:$IH374,1+SwaptionShift):INDEX($FO374:$IH374,SwaptionMonthsToGo+SwaptionShift))*SUM(INDEX($FO$325:$IH$396,FX$169,1+SwaptionShift):INDEX($FO$325:$IH$396,FX$169,SwaptionMonthsToGo+SwaptionShift))))))</f>
        <v/>
      </c>
      <c r="FY219" s="469" t="str">
        <f ca="1">IF(OR(FY$169&lt;SwaptionFirstMonthPosition+1,$FN219&lt;SwaptionFirstMonthPosition+1,FY$169&gt;SwaptionFirstMonthPosition+SwaptionNumOfMonths+1,$FN219&gt;SwaptionFirstMonthPosition+SwaptionNumOfMonths+1),"",IF($FN219=FY$169,1,IF($FN219&lt;FY$169,INDEX($FO$170:$IH$241,FY$169,$FN219),SUMPRODUCT(INDEX($FO$325:$IH$396,FY$169,1+SwaptionShift):INDEX($FO$325:$IH$396,FY$169,SwaptionMonthsToGo+SwaptionShift),INDEX($FO$245:$IH$316,$FN219-FY$169,73-FY$169+SwaptionShift):INDEX($FO$245:$IH$316,$FN219-FY$169,72-FY$169+SwaptionMonthsToGo+SwaptionShift))/SQRT(SUM(INDEX($FO374:$IH374,1+SwaptionShift):INDEX($FO374:$IH374,SwaptionMonthsToGo+SwaptionShift))*SUM(INDEX($FO$325:$IH$396,FY$169,1+SwaptionShift):INDEX($FO$325:$IH$396,FY$169,SwaptionMonthsToGo+SwaptionShift))))))</f>
        <v/>
      </c>
      <c r="FZ219" s="469" t="str">
        <f ca="1">IF(OR(FZ$169&lt;SwaptionFirstMonthPosition+1,$FN219&lt;SwaptionFirstMonthPosition+1,FZ$169&gt;SwaptionFirstMonthPosition+SwaptionNumOfMonths+1,$FN219&gt;SwaptionFirstMonthPosition+SwaptionNumOfMonths+1),"",IF($FN219=FZ$169,1,IF($FN219&lt;FZ$169,INDEX($FO$170:$IH$241,FZ$169,$FN219),SUMPRODUCT(INDEX($FO$325:$IH$396,FZ$169,1+SwaptionShift):INDEX($FO$325:$IH$396,FZ$169,SwaptionMonthsToGo+SwaptionShift),INDEX($FO$245:$IH$316,$FN219-FZ$169,73-FZ$169+SwaptionShift):INDEX($FO$245:$IH$316,$FN219-FZ$169,72-FZ$169+SwaptionMonthsToGo+SwaptionShift))/SQRT(SUM(INDEX($FO374:$IH374,1+SwaptionShift):INDEX($FO374:$IH374,SwaptionMonthsToGo+SwaptionShift))*SUM(INDEX($FO$325:$IH$396,FZ$169,1+SwaptionShift):INDEX($FO$325:$IH$396,FZ$169,SwaptionMonthsToGo+SwaptionShift))))))</f>
        <v/>
      </c>
      <c r="GA219" s="469" t="str">
        <f ca="1">IF(OR(GA$169&lt;SwaptionFirstMonthPosition+1,$FN219&lt;SwaptionFirstMonthPosition+1,GA$169&gt;SwaptionFirstMonthPosition+SwaptionNumOfMonths+1,$FN219&gt;SwaptionFirstMonthPosition+SwaptionNumOfMonths+1),"",IF($FN219=GA$169,1,IF($FN219&lt;GA$169,INDEX($FO$170:$IH$241,GA$169,$FN219),SUMPRODUCT(INDEX($FO$325:$IH$396,GA$169,1+SwaptionShift):INDEX($FO$325:$IH$396,GA$169,SwaptionMonthsToGo+SwaptionShift),INDEX($FO$245:$IH$316,$FN219-GA$169,73-GA$169+SwaptionShift):INDEX($FO$245:$IH$316,$FN219-GA$169,72-GA$169+SwaptionMonthsToGo+SwaptionShift))/SQRT(SUM(INDEX($FO374:$IH374,1+SwaptionShift):INDEX($FO374:$IH374,SwaptionMonthsToGo+SwaptionShift))*SUM(INDEX($FO$325:$IH$396,GA$169,1+SwaptionShift):INDEX($FO$325:$IH$396,GA$169,SwaptionMonthsToGo+SwaptionShift))))))</f>
        <v/>
      </c>
      <c r="GB219" s="469" t="str">
        <f ca="1">IF(OR(GB$169&lt;SwaptionFirstMonthPosition+1,$FN219&lt;SwaptionFirstMonthPosition+1,GB$169&gt;SwaptionFirstMonthPosition+SwaptionNumOfMonths+1,$FN219&gt;SwaptionFirstMonthPosition+SwaptionNumOfMonths+1),"",IF($FN219=GB$169,1,IF($FN219&lt;GB$169,INDEX($FO$170:$IH$241,GB$169,$FN219),SUMPRODUCT(INDEX($FO$325:$IH$396,GB$169,1+SwaptionShift):INDEX($FO$325:$IH$396,GB$169,SwaptionMonthsToGo+SwaptionShift),INDEX($FO$245:$IH$316,$FN219-GB$169,73-GB$169+SwaptionShift):INDEX($FO$245:$IH$316,$FN219-GB$169,72-GB$169+SwaptionMonthsToGo+SwaptionShift))/SQRT(SUM(INDEX($FO374:$IH374,1+SwaptionShift):INDEX($FO374:$IH374,SwaptionMonthsToGo+SwaptionShift))*SUM(INDEX($FO$325:$IH$396,GB$169,1+SwaptionShift):INDEX($FO$325:$IH$396,GB$169,SwaptionMonthsToGo+SwaptionShift))))))</f>
        <v/>
      </c>
      <c r="GC219" s="469" t="str">
        <f ca="1">IF(OR(GC$169&lt;SwaptionFirstMonthPosition+1,$FN219&lt;SwaptionFirstMonthPosition+1,GC$169&gt;SwaptionFirstMonthPosition+SwaptionNumOfMonths+1,$FN219&gt;SwaptionFirstMonthPosition+SwaptionNumOfMonths+1),"",IF($FN219=GC$169,1,IF($FN219&lt;GC$169,INDEX($FO$170:$IH$241,GC$169,$FN219),SUMPRODUCT(INDEX($FO$325:$IH$396,GC$169,1+SwaptionShift):INDEX($FO$325:$IH$396,GC$169,SwaptionMonthsToGo+SwaptionShift),INDEX($FO$245:$IH$316,$FN219-GC$169,73-GC$169+SwaptionShift):INDEX($FO$245:$IH$316,$FN219-GC$169,72-GC$169+SwaptionMonthsToGo+SwaptionShift))/SQRT(SUM(INDEX($FO374:$IH374,1+SwaptionShift):INDEX($FO374:$IH374,SwaptionMonthsToGo+SwaptionShift))*SUM(INDEX($FO$325:$IH$396,GC$169,1+SwaptionShift):INDEX($FO$325:$IH$396,GC$169,SwaptionMonthsToGo+SwaptionShift))))))</f>
        <v/>
      </c>
      <c r="GD219" s="469" t="str">
        <f ca="1">IF(OR(GD$169&lt;SwaptionFirstMonthPosition+1,$FN219&lt;SwaptionFirstMonthPosition+1,GD$169&gt;SwaptionFirstMonthPosition+SwaptionNumOfMonths+1,$FN219&gt;SwaptionFirstMonthPosition+SwaptionNumOfMonths+1),"",IF($FN219=GD$169,1,IF($FN219&lt;GD$169,INDEX($FO$170:$IH$241,GD$169,$FN219),SUMPRODUCT(INDEX($FO$325:$IH$396,GD$169,1+SwaptionShift):INDEX($FO$325:$IH$396,GD$169,SwaptionMonthsToGo+SwaptionShift),INDEX($FO$245:$IH$316,$FN219-GD$169,73-GD$169+SwaptionShift):INDEX($FO$245:$IH$316,$FN219-GD$169,72-GD$169+SwaptionMonthsToGo+SwaptionShift))/SQRT(SUM(INDEX($FO374:$IH374,1+SwaptionShift):INDEX($FO374:$IH374,SwaptionMonthsToGo+SwaptionShift))*SUM(INDEX($FO$325:$IH$396,GD$169,1+SwaptionShift):INDEX($FO$325:$IH$396,GD$169,SwaptionMonthsToGo+SwaptionShift))))))</f>
        <v/>
      </c>
      <c r="GE219" s="469" t="str">
        <f ca="1">IF(OR(GE$169&lt;SwaptionFirstMonthPosition+1,$FN219&lt;SwaptionFirstMonthPosition+1,GE$169&gt;SwaptionFirstMonthPosition+SwaptionNumOfMonths+1,$FN219&gt;SwaptionFirstMonthPosition+SwaptionNumOfMonths+1),"",IF($FN219=GE$169,1,IF($FN219&lt;GE$169,INDEX($FO$170:$IH$241,GE$169,$FN219),SUMPRODUCT(INDEX($FO$325:$IH$396,GE$169,1+SwaptionShift):INDEX($FO$325:$IH$396,GE$169,SwaptionMonthsToGo+SwaptionShift),INDEX($FO$245:$IH$316,$FN219-GE$169,73-GE$169+SwaptionShift):INDEX($FO$245:$IH$316,$FN219-GE$169,72-GE$169+SwaptionMonthsToGo+SwaptionShift))/SQRT(SUM(INDEX($FO374:$IH374,1+SwaptionShift):INDEX($FO374:$IH374,SwaptionMonthsToGo+SwaptionShift))*SUM(INDEX($FO$325:$IH$396,GE$169,1+SwaptionShift):INDEX($FO$325:$IH$396,GE$169,SwaptionMonthsToGo+SwaptionShift))))))</f>
        <v/>
      </c>
      <c r="GF219" s="469" t="str">
        <f ca="1">IF(OR(GF$169&lt;SwaptionFirstMonthPosition+1,$FN219&lt;SwaptionFirstMonthPosition+1,GF$169&gt;SwaptionFirstMonthPosition+SwaptionNumOfMonths+1,$FN219&gt;SwaptionFirstMonthPosition+SwaptionNumOfMonths+1),"",IF($FN219=GF$169,1,IF($FN219&lt;GF$169,INDEX($FO$170:$IH$241,GF$169,$FN219),SUMPRODUCT(INDEX($FO$325:$IH$396,GF$169,1+SwaptionShift):INDEX($FO$325:$IH$396,GF$169,SwaptionMonthsToGo+SwaptionShift),INDEX($FO$245:$IH$316,$FN219-GF$169,73-GF$169+SwaptionShift):INDEX($FO$245:$IH$316,$FN219-GF$169,72-GF$169+SwaptionMonthsToGo+SwaptionShift))/SQRT(SUM(INDEX($FO374:$IH374,1+SwaptionShift):INDEX($FO374:$IH374,SwaptionMonthsToGo+SwaptionShift))*SUM(INDEX($FO$325:$IH$396,GF$169,1+SwaptionShift):INDEX($FO$325:$IH$396,GF$169,SwaptionMonthsToGo+SwaptionShift))))))</f>
        <v/>
      </c>
      <c r="GG219" s="469" t="str">
        <f ca="1">IF(OR(GG$169&lt;SwaptionFirstMonthPosition+1,$FN219&lt;SwaptionFirstMonthPosition+1,GG$169&gt;SwaptionFirstMonthPosition+SwaptionNumOfMonths+1,$FN219&gt;SwaptionFirstMonthPosition+SwaptionNumOfMonths+1),"",IF($FN219=GG$169,1,IF($FN219&lt;GG$169,INDEX($FO$170:$IH$241,GG$169,$FN219),SUMPRODUCT(INDEX($FO$325:$IH$396,GG$169,1+SwaptionShift):INDEX($FO$325:$IH$396,GG$169,SwaptionMonthsToGo+SwaptionShift),INDEX($FO$245:$IH$316,$FN219-GG$169,73-GG$169+SwaptionShift):INDEX($FO$245:$IH$316,$FN219-GG$169,72-GG$169+SwaptionMonthsToGo+SwaptionShift))/SQRT(SUM(INDEX($FO374:$IH374,1+SwaptionShift):INDEX($FO374:$IH374,SwaptionMonthsToGo+SwaptionShift))*SUM(INDEX($FO$325:$IH$396,GG$169,1+SwaptionShift):INDEX($FO$325:$IH$396,GG$169,SwaptionMonthsToGo+SwaptionShift))))))</f>
        <v/>
      </c>
      <c r="GH219" s="469" t="str">
        <f ca="1">IF(OR(GH$169&lt;SwaptionFirstMonthPosition+1,$FN219&lt;SwaptionFirstMonthPosition+1,GH$169&gt;SwaptionFirstMonthPosition+SwaptionNumOfMonths+1,$FN219&gt;SwaptionFirstMonthPosition+SwaptionNumOfMonths+1),"",IF($FN219=GH$169,1,IF($FN219&lt;GH$169,INDEX($FO$170:$IH$241,GH$169,$FN219),SUMPRODUCT(INDEX($FO$325:$IH$396,GH$169,1+SwaptionShift):INDEX($FO$325:$IH$396,GH$169,SwaptionMonthsToGo+SwaptionShift),INDEX($FO$245:$IH$316,$FN219-GH$169,73-GH$169+SwaptionShift):INDEX($FO$245:$IH$316,$FN219-GH$169,72-GH$169+SwaptionMonthsToGo+SwaptionShift))/SQRT(SUM(INDEX($FO374:$IH374,1+SwaptionShift):INDEX($FO374:$IH374,SwaptionMonthsToGo+SwaptionShift))*SUM(INDEX($FO$325:$IH$396,GH$169,1+SwaptionShift):INDEX($FO$325:$IH$396,GH$169,SwaptionMonthsToGo+SwaptionShift))))))</f>
        <v/>
      </c>
      <c r="GI219" s="469" t="str">
        <f ca="1">IF(OR(GI$169&lt;SwaptionFirstMonthPosition+1,$FN219&lt;SwaptionFirstMonthPosition+1,GI$169&gt;SwaptionFirstMonthPosition+SwaptionNumOfMonths+1,$FN219&gt;SwaptionFirstMonthPosition+SwaptionNumOfMonths+1),"",IF($FN219=GI$169,1,IF($FN219&lt;GI$169,INDEX($FO$170:$IH$241,GI$169,$FN219),SUMPRODUCT(INDEX($FO$325:$IH$396,GI$169,1+SwaptionShift):INDEX($FO$325:$IH$396,GI$169,SwaptionMonthsToGo+SwaptionShift),INDEX($FO$245:$IH$316,$FN219-GI$169,73-GI$169+SwaptionShift):INDEX($FO$245:$IH$316,$FN219-GI$169,72-GI$169+SwaptionMonthsToGo+SwaptionShift))/SQRT(SUM(INDEX($FO374:$IH374,1+SwaptionShift):INDEX($FO374:$IH374,SwaptionMonthsToGo+SwaptionShift))*SUM(INDEX($FO$325:$IH$396,GI$169,1+SwaptionShift):INDEX($FO$325:$IH$396,GI$169,SwaptionMonthsToGo+SwaptionShift))))))</f>
        <v/>
      </c>
      <c r="GJ219" s="469" t="str">
        <f ca="1">IF(OR(GJ$169&lt;SwaptionFirstMonthPosition+1,$FN219&lt;SwaptionFirstMonthPosition+1,GJ$169&gt;SwaptionFirstMonthPosition+SwaptionNumOfMonths+1,$FN219&gt;SwaptionFirstMonthPosition+SwaptionNumOfMonths+1),"",IF($FN219=GJ$169,1,IF($FN219&lt;GJ$169,INDEX($FO$170:$IH$241,GJ$169,$FN219),SUMPRODUCT(INDEX($FO$325:$IH$396,GJ$169,1+SwaptionShift):INDEX($FO$325:$IH$396,GJ$169,SwaptionMonthsToGo+SwaptionShift),INDEX($FO$245:$IH$316,$FN219-GJ$169,73-GJ$169+SwaptionShift):INDEX($FO$245:$IH$316,$FN219-GJ$169,72-GJ$169+SwaptionMonthsToGo+SwaptionShift))/SQRT(SUM(INDEX($FO374:$IH374,1+SwaptionShift):INDEX($FO374:$IH374,SwaptionMonthsToGo+SwaptionShift))*SUM(INDEX($FO$325:$IH$396,GJ$169,1+SwaptionShift):INDEX($FO$325:$IH$396,GJ$169,SwaptionMonthsToGo+SwaptionShift))))))</f>
        <v/>
      </c>
      <c r="GK219" s="469" t="str">
        <f ca="1">IF(OR(GK$169&lt;SwaptionFirstMonthPosition+1,$FN219&lt;SwaptionFirstMonthPosition+1,GK$169&gt;SwaptionFirstMonthPosition+SwaptionNumOfMonths+1,$FN219&gt;SwaptionFirstMonthPosition+SwaptionNumOfMonths+1),"",IF($FN219=GK$169,1,IF($FN219&lt;GK$169,INDEX($FO$170:$IH$241,GK$169,$FN219),SUMPRODUCT(INDEX($FO$325:$IH$396,GK$169,1+SwaptionShift):INDEX($FO$325:$IH$396,GK$169,SwaptionMonthsToGo+SwaptionShift),INDEX($FO$245:$IH$316,$FN219-GK$169,73-GK$169+SwaptionShift):INDEX($FO$245:$IH$316,$FN219-GK$169,72-GK$169+SwaptionMonthsToGo+SwaptionShift))/SQRT(SUM(INDEX($FO374:$IH374,1+SwaptionShift):INDEX($FO374:$IH374,SwaptionMonthsToGo+SwaptionShift))*SUM(INDEX($FO$325:$IH$396,GK$169,1+SwaptionShift):INDEX($FO$325:$IH$396,GK$169,SwaptionMonthsToGo+SwaptionShift))))))</f>
        <v/>
      </c>
      <c r="GL219" s="469" t="str">
        <f ca="1">IF(OR(GL$169&lt;SwaptionFirstMonthPosition+1,$FN219&lt;SwaptionFirstMonthPosition+1,GL$169&gt;SwaptionFirstMonthPosition+SwaptionNumOfMonths+1,$FN219&gt;SwaptionFirstMonthPosition+SwaptionNumOfMonths+1),"",IF($FN219=GL$169,1,IF($FN219&lt;GL$169,INDEX($FO$170:$IH$241,GL$169,$FN219),SUMPRODUCT(INDEX($FO$325:$IH$396,GL$169,1+SwaptionShift):INDEX($FO$325:$IH$396,GL$169,SwaptionMonthsToGo+SwaptionShift),INDEX($FO$245:$IH$316,$FN219-GL$169,73-GL$169+SwaptionShift):INDEX($FO$245:$IH$316,$FN219-GL$169,72-GL$169+SwaptionMonthsToGo+SwaptionShift))/SQRT(SUM(INDEX($FO374:$IH374,1+SwaptionShift):INDEX($FO374:$IH374,SwaptionMonthsToGo+SwaptionShift))*SUM(INDEX($FO$325:$IH$396,GL$169,1+SwaptionShift):INDEX($FO$325:$IH$396,GL$169,SwaptionMonthsToGo+SwaptionShift))))))</f>
        <v/>
      </c>
      <c r="GM219" s="469" t="str">
        <f ca="1">IF(OR(GM$169&lt;SwaptionFirstMonthPosition+1,$FN219&lt;SwaptionFirstMonthPosition+1,GM$169&gt;SwaptionFirstMonthPosition+SwaptionNumOfMonths+1,$FN219&gt;SwaptionFirstMonthPosition+SwaptionNumOfMonths+1),"",IF($FN219=GM$169,1,IF($FN219&lt;GM$169,INDEX($FO$170:$IH$241,GM$169,$FN219),SUMPRODUCT(INDEX($FO$325:$IH$396,GM$169,1+SwaptionShift):INDEX($FO$325:$IH$396,GM$169,SwaptionMonthsToGo+SwaptionShift),INDEX($FO$245:$IH$316,$FN219-GM$169,73-GM$169+SwaptionShift):INDEX($FO$245:$IH$316,$FN219-GM$169,72-GM$169+SwaptionMonthsToGo+SwaptionShift))/SQRT(SUM(INDEX($FO374:$IH374,1+SwaptionShift):INDEX($FO374:$IH374,SwaptionMonthsToGo+SwaptionShift))*SUM(INDEX($FO$325:$IH$396,GM$169,1+SwaptionShift):INDEX($FO$325:$IH$396,GM$169,SwaptionMonthsToGo+SwaptionShift))))))</f>
        <v/>
      </c>
      <c r="GN219" s="469" t="str">
        <f ca="1">IF(OR(GN$169&lt;SwaptionFirstMonthPosition+1,$FN219&lt;SwaptionFirstMonthPosition+1,GN$169&gt;SwaptionFirstMonthPosition+SwaptionNumOfMonths+1,$FN219&gt;SwaptionFirstMonthPosition+SwaptionNumOfMonths+1),"",IF($FN219=GN$169,1,IF($FN219&lt;GN$169,INDEX($FO$170:$IH$241,GN$169,$FN219),SUMPRODUCT(INDEX($FO$325:$IH$396,GN$169,1+SwaptionShift):INDEX($FO$325:$IH$396,GN$169,SwaptionMonthsToGo+SwaptionShift),INDEX($FO$245:$IH$316,$FN219-GN$169,73-GN$169+SwaptionShift):INDEX($FO$245:$IH$316,$FN219-GN$169,72-GN$169+SwaptionMonthsToGo+SwaptionShift))/SQRT(SUM(INDEX($FO374:$IH374,1+SwaptionShift):INDEX($FO374:$IH374,SwaptionMonthsToGo+SwaptionShift))*SUM(INDEX($FO$325:$IH$396,GN$169,1+SwaptionShift):INDEX($FO$325:$IH$396,GN$169,SwaptionMonthsToGo+SwaptionShift))))))</f>
        <v/>
      </c>
      <c r="GO219" s="469" t="str">
        <f ca="1">IF(OR(GO$169&lt;SwaptionFirstMonthPosition+1,$FN219&lt;SwaptionFirstMonthPosition+1,GO$169&gt;SwaptionFirstMonthPosition+SwaptionNumOfMonths+1,$FN219&gt;SwaptionFirstMonthPosition+SwaptionNumOfMonths+1),"",IF($FN219=GO$169,1,IF($FN219&lt;GO$169,INDEX($FO$170:$IH$241,GO$169,$FN219),SUMPRODUCT(INDEX($FO$325:$IH$396,GO$169,1+SwaptionShift):INDEX($FO$325:$IH$396,GO$169,SwaptionMonthsToGo+SwaptionShift),INDEX($FO$245:$IH$316,$FN219-GO$169,73-GO$169+SwaptionShift):INDEX($FO$245:$IH$316,$FN219-GO$169,72-GO$169+SwaptionMonthsToGo+SwaptionShift))/SQRT(SUM(INDEX($FO374:$IH374,1+SwaptionShift):INDEX($FO374:$IH374,SwaptionMonthsToGo+SwaptionShift))*SUM(INDEX($FO$325:$IH$396,GO$169,1+SwaptionShift):INDEX($FO$325:$IH$396,GO$169,SwaptionMonthsToGo+SwaptionShift))))))</f>
        <v/>
      </c>
      <c r="GP219" s="469" t="str">
        <f ca="1">IF(OR(GP$169&lt;SwaptionFirstMonthPosition+1,$FN219&lt;SwaptionFirstMonthPosition+1,GP$169&gt;SwaptionFirstMonthPosition+SwaptionNumOfMonths+1,$FN219&gt;SwaptionFirstMonthPosition+SwaptionNumOfMonths+1),"",IF($FN219=GP$169,1,IF($FN219&lt;GP$169,INDEX($FO$170:$IH$241,GP$169,$FN219),SUMPRODUCT(INDEX($FO$325:$IH$396,GP$169,1+SwaptionShift):INDEX($FO$325:$IH$396,GP$169,SwaptionMonthsToGo+SwaptionShift),INDEX($FO$245:$IH$316,$FN219-GP$169,73-GP$169+SwaptionShift):INDEX($FO$245:$IH$316,$FN219-GP$169,72-GP$169+SwaptionMonthsToGo+SwaptionShift))/SQRT(SUM(INDEX($FO374:$IH374,1+SwaptionShift):INDEX($FO374:$IH374,SwaptionMonthsToGo+SwaptionShift))*SUM(INDEX($FO$325:$IH$396,GP$169,1+SwaptionShift):INDEX($FO$325:$IH$396,GP$169,SwaptionMonthsToGo+SwaptionShift))))))</f>
        <v/>
      </c>
      <c r="GQ219" s="469" t="str">
        <f ca="1">IF(OR(GQ$169&lt;SwaptionFirstMonthPosition+1,$FN219&lt;SwaptionFirstMonthPosition+1,GQ$169&gt;SwaptionFirstMonthPosition+SwaptionNumOfMonths+1,$FN219&gt;SwaptionFirstMonthPosition+SwaptionNumOfMonths+1),"",IF($FN219=GQ$169,1,IF($FN219&lt;GQ$169,INDEX($FO$170:$IH$241,GQ$169,$FN219),SUMPRODUCT(INDEX($FO$325:$IH$396,GQ$169,1+SwaptionShift):INDEX($FO$325:$IH$396,GQ$169,SwaptionMonthsToGo+SwaptionShift),INDEX($FO$245:$IH$316,$FN219-GQ$169,73-GQ$169+SwaptionShift):INDEX($FO$245:$IH$316,$FN219-GQ$169,72-GQ$169+SwaptionMonthsToGo+SwaptionShift))/SQRT(SUM(INDEX($FO374:$IH374,1+SwaptionShift):INDEX($FO374:$IH374,SwaptionMonthsToGo+SwaptionShift))*SUM(INDEX($FO$325:$IH$396,GQ$169,1+SwaptionShift):INDEX($FO$325:$IH$396,GQ$169,SwaptionMonthsToGo+SwaptionShift))))))</f>
        <v/>
      </c>
      <c r="GR219" s="469" t="str">
        <f ca="1">IF(OR(GR$169&lt;SwaptionFirstMonthPosition+1,$FN219&lt;SwaptionFirstMonthPosition+1,GR$169&gt;SwaptionFirstMonthPosition+SwaptionNumOfMonths+1,$FN219&gt;SwaptionFirstMonthPosition+SwaptionNumOfMonths+1),"",IF($FN219=GR$169,1,IF($FN219&lt;GR$169,INDEX($FO$170:$IH$241,GR$169,$FN219),SUMPRODUCT(INDEX($FO$325:$IH$396,GR$169,1+SwaptionShift):INDEX($FO$325:$IH$396,GR$169,SwaptionMonthsToGo+SwaptionShift),INDEX($FO$245:$IH$316,$FN219-GR$169,73-GR$169+SwaptionShift):INDEX($FO$245:$IH$316,$FN219-GR$169,72-GR$169+SwaptionMonthsToGo+SwaptionShift))/SQRT(SUM(INDEX($FO374:$IH374,1+SwaptionShift):INDEX($FO374:$IH374,SwaptionMonthsToGo+SwaptionShift))*SUM(INDEX($FO$325:$IH$396,GR$169,1+SwaptionShift):INDEX($FO$325:$IH$396,GR$169,SwaptionMonthsToGo+SwaptionShift))))))</f>
        <v/>
      </c>
      <c r="GS219" s="469" t="str">
        <f ca="1">IF(OR(GS$169&lt;SwaptionFirstMonthPosition+1,$FN219&lt;SwaptionFirstMonthPosition+1,GS$169&gt;SwaptionFirstMonthPosition+SwaptionNumOfMonths+1,$FN219&gt;SwaptionFirstMonthPosition+SwaptionNumOfMonths+1),"",IF($FN219=GS$169,1,IF($FN219&lt;GS$169,INDEX($FO$170:$IH$241,GS$169,$FN219),SUMPRODUCT(INDEX($FO$325:$IH$396,GS$169,1+SwaptionShift):INDEX($FO$325:$IH$396,GS$169,SwaptionMonthsToGo+SwaptionShift),INDEX($FO$245:$IH$316,$FN219-GS$169,73-GS$169+SwaptionShift):INDEX($FO$245:$IH$316,$FN219-GS$169,72-GS$169+SwaptionMonthsToGo+SwaptionShift))/SQRT(SUM(INDEX($FO374:$IH374,1+SwaptionShift):INDEX($FO374:$IH374,SwaptionMonthsToGo+SwaptionShift))*SUM(INDEX($FO$325:$IH$396,GS$169,1+SwaptionShift):INDEX($FO$325:$IH$396,GS$169,SwaptionMonthsToGo+SwaptionShift))))))</f>
        <v/>
      </c>
      <c r="GT219" s="469" t="str">
        <f ca="1">IF(OR(GT$169&lt;SwaptionFirstMonthPosition+1,$FN219&lt;SwaptionFirstMonthPosition+1,GT$169&gt;SwaptionFirstMonthPosition+SwaptionNumOfMonths+1,$FN219&gt;SwaptionFirstMonthPosition+SwaptionNumOfMonths+1),"",IF($FN219=GT$169,1,IF($FN219&lt;GT$169,INDEX($FO$170:$IH$241,GT$169,$FN219),SUMPRODUCT(INDEX($FO$325:$IH$396,GT$169,1+SwaptionShift):INDEX($FO$325:$IH$396,GT$169,SwaptionMonthsToGo+SwaptionShift),INDEX($FO$245:$IH$316,$FN219-GT$169,73-GT$169+SwaptionShift):INDEX($FO$245:$IH$316,$FN219-GT$169,72-GT$169+SwaptionMonthsToGo+SwaptionShift))/SQRT(SUM(INDEX($FO374:$IH374,1+SwaptionShift):INDEX($FO374:$IH374,SwaptionMonthsToGo+SwaptionShift))*SUM(INDEX($FO$325:$IH$396,GT$169,1+SwaptionShift):INDEX($FO$325:$IH$396,GT$169,SwaptionMonthsToGo+SwaptionShift))))))</f>
        <v/>
      </c>
      <c r="GU219" s="469" t="str">
        <f ca="1">IF(OR(GU$169&lt;SwaptionFirstMonthPosition+1,$FN219&lt;SwaptionFirstMonthPosition+1,GU$169&gt;SwaptionFirstMonthPosition+SwaptionNumOfMonths+1,$FN219&gt;SwaptionFirstMonthPosition+SwaptionNumOfMonths+1),"",IF($FN219=GU$169,1,IF($FN219&lt;GU$169,INDEX($FO$170:$IH$241,GU$169,$FN219),SUMPRODUCT(INDEX($FO$325:$IH$396,GU$169,1+SwaptionShift):INDEX($FO$325:$IH$396,GU$169,SwaptionMonthsToGo+SwaptionShift),INDEX($FO$245:$IH$316,$FN219-GU$169,73-GU$169+SwaptionShift):INDEX($FO$245:$IH$316,$FN219-GU$169,72-GU$169+SwaptionMonthsToGo+SwaptionShift))/SQRT(SUM(INDEX($FO374:$IH374,1+SwaptionShift):INDEX($FO374:$IH374,SwaptionMonthsToGo+SwaptionShift))*SUM(INDEX($FO$325:$IH$396,GU$169,1+SwaptionShift):INDEX($FO$325:$IH$396,GU$169,SwaptionMonthsToGo+SwaptionShift))))))</f>
        <v/>
      </c>
      <c r="GV219" s="469" t="str">
        <f ca="1">IF(OR(GV$169&lt;SwaptionFirstMonthPosition+1,$FN219&lt;SwaptionFirstMonthPosition+1,GV$169&gt;SwaptionFirstMonthPosition+SwaptionNumOfMonths+1,$FN219&gt;SwaptionFirstMonthPosition+SwaptionNumOfMonths+1),"",IF($FN219=GV$169,1,IF($FN219&lt;GV$169,INDEX($FO$170:$IH$241,GV$169,$FN219),SUMPRODUCT(INDEX($FO$325:$IH$396,GV$169,1+SwaptionShift):INDEX($FO$325:$IH$396,GV$169,SwaptionMonthsToGo+SwaptionShift),INDEX($FO$245:$IH$316,$FN219-GV$169,73-GV$169+SwaptionShift):INDEX($FO$245:$IH$316,$FN219-GV$169,72-GV$169+SwaptionMonthsToGo+SwaptionShift))/SQRT(SUM(INDEX($FO374:$IH374,1+SwaptionShift):INDEX($FO374:$IH374,SwaptionMonthsToGo+SwaptionShift))*SUM(INDEX($FO$325:$IH$396,GV$169,1+SwaptionShift):INDEX($FO$325:$IH$396,GV$169,SwaptionMonthsToGo+SwaptionShift))))))</f>
        <v/>
      </c>
      <c r="GW219" s="469" t="str">
        <f ca="1">IF(OR(GW$169&lt;SwaptionFirstMonthPosition+1,$FN219&lt;SwaptionFirstMonthPosition+1,GW$169&gt;SwaptionFirstMonthPosition+SwaptionNumOfMonths+1,$FN219&gt;SwaptionFirstMonthPosition+SwaptionNumOfMonths+1),"",IF($FN219=GW$169,1,IF($FN219&lt;GW$169,INDEX($FO$170:$IH$241,GW$169,$FN219),SUMPRODUCT(INDEX($FO$325:$IH$396,GW$169,1+SwaptionShift):INDEX($FO$325:$IH$396,GW$169,SwaptionMonthsToGo+SwaptionShift),INDEX($FO$245:$IH$316,$FN219-GW$169,73-GW$169+SwaptionShift):INDEX($FO$245:$IH$316,$FN219-GW$169,72-GW$169+SwaptionMonthsToGo+SwaptionShift))/SQRT(SUM(INDEX($FO374:$IH374,1+SwaptionShift):INDEX($FO374:$IH374,SwaptionMonthsToGo+SwaptionShift))*SUM(INDEX($FO$325:$IH$396,GW$169,1+SwaptionShift):INDEX($FO$325:$IH$396,GW$169,SwaptionMonthsToGo+SwaptionShift))))))</f>
        <v/>
      </c>
      <c r="GX219" s="469" t="str">
        <f ca="1">IF(OR(GX$169&lt;SwaptionFirstMonthPosition+1,$FN219&lt;SwaptionFirstMonthPosition+1,GX$169&gt;SwaptionFirstMonthPosition+SwaptionNumOfMonths+1,$FN219&gt;SwaptionFirstMonthPosition+SwaptionNumOfMonths+1),"",IF($FN219=GX$169,1,IF($FN219&lt;GX$169,INDEX($FO$170:$IH$241,GX$169,$FN219),SUMPRODUCT(INDEX($FO$325:$IH$396,GX$169,1+SwaptionShift):INDEX($FO$325:$IH$396,GX$169,SwaptionMonthsToGo+SwaptionShift),INDEX($FO$245:$IH$316,$FN219-GX$169,73-GX$169+SwaptionShift):INDEX($FO$245:$IH$316,$FN219-GX$169,72-GX$169+SwaptionMonthsToGo+SwaptionShift))/SQRT(SUM(INDEX($FO374:$IH374,1+SwaptionShift):INDEX($FO374:$IH374,SwaptionMonthsToGo+SwaptionShift))*SUM(INDEX($FO$325:$IH$396,GX$169,1+SwaptionShift):INDEX($FO$325:$IH$396,GX$169,SwaptionMonthsToGo+SwaptionShift))))))</f>
        <v/>
      </c>
      <c r="GY219" s="469" t="str">
        <f ca="1">IF(OR(GY$169&lt;SwaptionFirstMonthPosition+1,$FN219&lt;SwaptionFirstMonthPosition+1,GY$169&gt;SwaptionFirstMonthPosition+SwaptionNumOfMonths+1,$FN219&gt;SwaptionFirstMonthPosition+SwaptionNumOfMonths+1),"",IF($FN219=GY$169,1,IF($FN219&lt;GY$169,INDEX($FO$170:$IH$241,GY$169,$FN219),SUMPRODUCT(INDEX($FO$325:$IH$396,GY$169,1+SwaptionShift):INDEX($FO$325:$IH$396,GY$169,SwaptionMonthsToGo+SwaptionShift),INDEX($FO$245:$IH$316,$FN219-GY$169,73-GY$169+SwaptionShift):INDEX($FO$245:$IH$316,$FN219-GY$169,72-GY$169+SwaptionMonthsToGo+SwaptionShift))/SQRT(SUM(INDEX($FO374:$IH374,1+SwaptionShift):INDEX($FO374:$IH374,SwaptionMonthsToGo+SwaptionShift))*SUM(INDEX($FO$325:$IH$396,GY$169,1+SwaptionShift):INDEX($FO$325:$IH$396,GY$169,SwaptionMonthsToGo+SwaptionShift))))))</f>
        <v/>
      </c>
      <c r="GZ219" s="469" t="str">
        <f ca="1">IF(OR(GZ$169&lt;SwaptionFirstMonthPosition+1,$FN219&lt;SwaptionFirstMonthPosition+1,GZ$169&gt;SwaptionFirstMonthPosition+SwaptionNumOfMonths+1,$FN219&gt;SwaptionFirstMonthPosition+SwaptionNumOfMonths+1),"",IF($FN219=GZ$169,1,IF($FN219&lt;GZ$169,INDEX($FO$170:$IH$241,GZ$169,$FN219),SUMPRODUCT(INDEX($FO$325:$IH$396,GZ$169,1+SwaptionShift):INDEX($FO$325:$IH$396,GZ$169,SwaptionMonthsToGo+SwaptionShift),INDEX($FO$245:$IH$316,$FN219-GZ$169,73-GZ$169+SwaptionShift):INDEX($FO$245:$IH$316,$FN219-GZ$169,72-GZ$169+SwaptionMonthsToGo+SwaptionShift))/SQRT(SUM(INDEX($FO374:$IH374,1+SwaptionShift):INDEX($FO374:$IH374,SwaptionMonthsToGo+SwaptionShift))*SUM(INDEX($FO$325:$IH$396,GZ$169,1+SwaptionShift):INDEX($FO$325:$IH$396,GZ$169,SwaptionMonthsToGo+SwaptionShift))))))</f>
        <v/>
      </c>
      <c r="HA219" s="469" t="str">
        <f ca="1">IF(OR(HA$169&lt;SwaptionFirstMonthPosition+1,$FN219&lt;SwaptionFirstMonthPosition+1,HA$169&gt;SwaptionFirstMonthPosition+SwaptionNumOfMonths+1,$FN219&gt;SwaptionFirstMonthPosition+SwaptionNumOfMonths+1),"",IF($FN219=HA$169,1,IF($FN219&lt;HA$169,INDEX($FO$170:$IH$241,HA$169,$FN219),SUMPRODUCT(INDEX($FO$325:$IH$396,HA$169,1+SwaptionShift):INDEX($FO$325:$IH$396,HA$169,SwaptionMonthsToGo+SwaptionShift),INDEX($FO$245:$IH$316,$FN219-HA$169,73-HA$169+SwaptionShift):INDEX($FO$245:$IH$316,$FN219-HA$169,72-HA$169+SwaptionMonthsToGo+SwaptionShift))/SQRT(SUM(INDEX($FO374:$IH374,1+SwaptionShift):INDEX($FO374:$IH374,SwaptionMonthsToGo+SwaptionShift))*SUM(INDEX($FO$325:$IH$396,HA$169,1+SwaptionShift):INDEX($FO$325:$IH$396,HA$169,SwaptionMonthsToGo+SwaptionShift))))))</f>
        <v/>
      </c>
      <c r="HB219" s="469" t="str">
        <f ca="1">IF(OR(HB$169&lt;SwaptionFirstMonthPosition+1,$FN219&lt;SwaptionFirstMonthPosition+1,HB$169&gt;SwaptionFirstMonthPosition+SwaptionNumOfMonths+1,$FN219&gt;SwaptionFirstMonthPosition+SwaptionNumOfMonths+1),"",IF($FN219=HB$169,1,IF($FN219&lt;HB$169,INDEX($FO$170:$IH$241,HB$169,$FN219),SUMPRODUCT(INDEX($FO$325:$IH$396,HB$169,1+SwaptionShift):INDEX($FO$325:$IH$396,HB$169,SwaptionMonthsToGo+SwaptionShift),INDEX($FO$245:$IH$316,$FN219-HB$169,73-HB$169+SwaptionShift):INDEX($FO$245:$IH$316,$FN219-HB$169,72-HB$169+SwaptionMonthsToGo+SwaptionShift))/SQRT(SUM(INDEX($FO374:$IH374,1+SwaptionShift):INDEX($FO374:$IH374,SwaptionMonthsToGo+SwaptionShift))*SUM(INDEX($FO$325:$IH$396,HB$169,1+SwaptionShift):INDEX($FO$325:$IH$396,HB$169,SwaptionMonthsToGo+SwaptionShift))))))</f>
        <v/>
      </c>
      <c r="HC219" s="469" t="str">
        <f ca="1">IF(OR(HC$169&lt;SwaptionFirstMonthPosition+1,$FN219&lt;SwaptionFirstMonthPosition+1,HC$169&gt;SwaptionFirstMonthPosition+SwaptionNumOfMonths+1,$FN219&gt;SwaptionFirstMonthPosition+SwaptionNumOfMonths+1),"",IF($FN219=HC$169,1,IF($FN219&lt;HC$169,INDEX($FO$170:$IH$241,HC$169,$FN219),SUMPRODUCT(INDEX($FO$325:$IH$396,HC$169,1+SwaptionShift):INDEX($FO$325:$IH$396,HC$169,SwaptionMonthsToGo+SwaptionShift),INDEX($FO$245:$IH$316,$FN219-HC$169,73-HC$169+SwaptionShift):INDEX($FO$245:$IH$316,$FN219-HC$169,72-HC$169+SwaptionMonthsToGo+SwaptionShift))/SQRT(SUM(INDEX($FO374:$IH374,1+SwaptionShift):INDEX($FO374:$IH374,SwaptionMonthsToGo+SwaptionShift))*SUM(INDEX($FO$325:$IH$396,HC$169,1+SwaptionShift):INDEX($FO$325:$IH$396,HC$169,SwaptionMonthsToGo+SwaptionShift))))))</f>
        <v/>
      </c>
      <c r="HD219" s="469" t="str">
        <f ca="1">IF(OR(HD$169&lt;SwaptionFirstMonthPosition+1,$FN219&lt;SwaptionFirstMonthPosition+1,HD$169&gt;SwaptionFirstMonthPosition+SwaptionNumOfMonths+1,$FN219&gt;SwaptionFirstMonthPosition+SwaptionNumOfMonths+1),"",IF($FN219=HD$169,1,IF($FN219&lt;HD$169,INDEX($FO$170:$IH$241,HD$169,$FN219),SUMPRODUCT(INDEX($FO$325:$IH$396,HD$169,1+SwaptionShift):INDEX($FO$325:$IH$396,HD$169,SwaptionMonthsToGo+SwaptionShift),INDEX($FO$245:$IH$316,$FN219-HD$169,73-HD$169+SwaptionShift):INDEX($FO$245:$IH$316,$FN219-HD$169,72-HD$169+SwaptionMonthsToGo+SwaptionShift))/SQRT(SUM(INDEX($FO374:$IH374,1+SwaptionShift):INDEX($FO374:$IH374,SwaptionMonthsToGo+SwaptionShift))*SUM(INDEX($FO$325:$IH$396,HD$169,1+SwaptionShift):INDEX($FO$325:$IH$396,HD$169,SwaptionMonthsToGo+SwaptionShift))))))</f>
        <v/>
      </c>
      <c r="HE219" s="469" t="str">
        <f ca="1">IF(OR(HE$169&lt;SwaptionFirstMonthPosition+1,$FN219&lt;SwaptionFirstMonthPosition+1,HE$169&gt;SwaptionFirstMonthPosition+SwaptionNumOfMonths+1,$FN219&gt;SwaptionFirstMonthPosition+SwaptionNumOfMonths+1),"",IF($FN219=HE$169,1,IF($FN219&lt;HE$169,INDEX($FO$170:$IH$241,HE$169,$FN219),SUMPRODUCT(INDEX($FO$325:$IH$396,HE$169,1+SwaptionShift):INDEX($FO$325:$IH$396,HE$169,SwaptionMonthsToGo+SwaptionShift),INDEX($FO$245:$IH$316,$FN219-HE$169,73-HE$169+SwaptionShift):INDEX($FO$245:$IH$316,$FN219-HE$169,72-HE$169+SwaptionMonthsToGo+SwaptionShift))/SQRT(SUM(INDEX($FO374:$IH374,1+SwaptionShift):INDEX($FO374:$IH374,SwaptionMonthsToGo+SwaptionShift))*SUM(INDEX($FO$325:$IH$396,HE$169,1+SwaptionShift):INDEX($FO$325:$IH$396,HE$169,SwaptionMonthsToGo+SwaptionShift))))))</f>
        <v/>
      </c>
      <c r="HF219" s="469" t="str">
        <f ca="1">IF(OR(HF$169&lt;SwaptionFirstMonthPosition+1,$FN219&lt;SwaptionFirstMonthPosition+1,HF$169&gt;SwaptionFirstMonthPosition+SwaptionNumOfMonths+1,$FN219&gt;SwaptionFirstMonthPosition+SwaptionNumOfMonths+1),"",IF($FN219=HF$169,1,IF($FN219&lt;HF$169,INDEX($FO$170:$IH$241,HF$169,$FN219),SUMPRODUCT(INDEX($FO$325:$IH$396,HF$169,1+SwaptionShift):INDEX($FO$325:$IH$396,HF$169,SwaptionMonthsToGo+SwaptionShift),INDEX($FO$245:$IH$316,$FN219-HF$169,73-HF$169+SwaptionShift):INDEX($FO$245:$IH$316,$FN219-HF$169,72-HF$169+SwaptionMonthsToGo+SwaptionShift))/SQRT(SUM(INDEX($FO374:$IH374,1+SwaptionShift):INDEX($FO374:$IH374,SwaptionMonthsToGo+SwaptionShift))*SUM(INDEX($FO$325:$IH$396,HF$169,1+SwaptionShift):INDEX($FO$325:$IH$396,HF$169,SwaptionMonthsToGo+SwaptionShift))))))</f>
        <v/>
      </c>
      <c r="HG219" s="469" t="str">
        <f ca="1">IF(OR(HG$169&lt;SwaptionFirstMonthPosition+1,$FN219&lt;SwaptionFirstMonthPosition+1,HG$169&gt;SwaptionFirstMonthPosition+SwaptionNumOfMonths+1,$FN219&gt;SwaptionFirstMonthPosition+SwaptionNumOfMonths+1),"",IF($FN219=HG$169,1,IF($FN219&lt;HG$169,INDEX($FO$170:$IH$241,HG$169,$FN219),SUMPRODUCT(INDEX($FO$325:$IH$396,HG$169,1+SwaptionShift):INDEX($FO$325:$IH$396,HG$169,SwaptionMonthsToGo+SwaptionShift),INDEX($FO$245:$IH$316,$FN219-HG$169,73-HG$169+SwaptionShift):INDEX($FO$245:$IH$316,$FN219-HG$169,72-HG$169+SwaptionMonthsToGo+SwaptionShift))/SQRT(SUM(INDEX($FO374:$IH374,1+SwaptionShift):INDEX($FO374:$IH374,SwaptionMonthsToGo+SwaptionShift))*SUM(INDEX($FO$325:$IH$396,HG$169,1+SwaptionShift):INDEX($FO$325:$IH$396,HG$169,SwaptionMonthsToGo+SwaptionShift))))))</f>
        <v/>
      </c>
      <c r="HH219" s="469" t="str">
        <f ca="1">IF(OR(HH$169&lt;SwaptionFirstMonthPosition+1,$FN219&lt;SwaptionFirstMonthPosition+1,HH$169&gt;SwaptionFirstMonthPosition+SwaptionNumOfMonths+1,$FN219&gt;SwaptionFirstMonthPosition+SwaptionNumOfMonths+1),"",IF($FN219=HH$169,1,IF($FN219&lt;HH$169,INDEX($FO$170:$IH$241,HH$169,$FN219),SUMPRODUCT(INDEX($FO$325:$IH$396,HH$169,1+SwaptionShift):INDEX($FO$325:$IH$396,HH$169,SwaptionMonthsToGo+SwaptionShift),INDEX($FO$245:$IH$316,$FN219-HH$169,73-HH$169+SwaptionShift):INDEX($FO$245:$IH$316,$FN219-HH$169,72-HH$169+SwaptionMonthsToGo+SwaptionShift))/SQRT(SUM(INDEX($FO374:$IH374,1+SwaptionShift):INDEX($FO374:$IH374,SwaptionMonthsToGo+SwaptionShift))*SUM(INDEX($FO$325:$IH$396,HH$169,1+SwaptionShift):INDEX($FO$325:$IH$396,HH$169,SwaptionMonthsToGo+SwaptionShift))))))</f>
        <v/>
      </c>
      <c r="HI219" s="469" t="str">
        <f ca="1">IF(OR(HI$169&lt;SwaptionFirstMonthPosition+1,$FN219&lt;SwaptionFirstMonthPosition+1,HI$169&gt;SwaptionFirstMonthPosition+SwaptionNumOfMonths+1,$FN219&gt;SwaptionFirstMonthPosition+SwaptionNumOfMonths+1),"",IF($FN219=HI$169,1,IF($FN219&lt;HI$169,INDEX($FO$170:$IH$241,HI$169,$FN219),SUMPRODUCT(INDEX($FO$325:$IH$396,HI$169,1+SwaptionShift):INDEX($FO$325:$IH$396,HI$169,SwaptionMonthsToGo+SwaptionShift),INDEX($FO$245:$IH$316,$FN219-HI$169,73-HI$169+SwaptionShift):INDEX($FO$245:$IH$316,$FN219-HI$169,72-HI$169+SwaptionMonthsToGo+SwaptionShift))/SQRT(SUM(INDEX($FO374:$IH374,1+SwaptionShift):INDEX($FO374:$IH374,SwaptionMonthsToGo+SwaptionShift))*SUM(INDEX($FO$325:$IH$396,HI$169,1+SwaptionShift):INDEX($FO$325:$IH$396,HI$169,SwaptionMonthsToGo+SwaptionShift))))))</f>
        <v/>
      </c>
      <c r="HJ219" s="469" t="str">
        <f ca="1">IF(OR(HJ$169&lt;SwaptionFirstMonthPosition+1,$FN219&lt;SwaptionFirstMonthPosition+1,HJ$169&gt;SwaptionFirstMonthPosition+SwaptionNumOfMonths+1,$FN219&gt;SwaptionFirstMonthPosition+SwaptionNumOfMonths+1),"",IF($FN219=HJ$169,1,IF($FN219&lt;HJ$169,INDEX($FO$170:$IH$241,HJ$169,$FN219),SUMPRODUCT(INDEX($FO$325:$IH$396,HJ$169,1+SwaptionShift):INDEX($FO$325:$IH$396,HJ$169,SwaptionMonthsToGo+SwaptionShift),INDEX($FO$245:$IH$316,$FN219-HJ$169,73-HJ$169+SwaptionShift):INDEX($FO$245:$IH$316,$FN219-HJ$169,72-HJ$169+SwaptionMonthsToGo+SwaptionShift))/SQRT(SUM(INDEX($FO374:$IH374,1+SwaptionShift):INDEX($FO374:$IH374,SwaptionMonthsToGo+SwaptionShift))*SUM(INDEX($FO$325:$IH$396,HJ$169,1+SwaptionShift):INDEX($FO$325:$IH$396,HJ$169,SwaptionMonthsToGo+SwaptionShift))))))</f>
        <v/>
      </c>
      <c r="HK219" s="469" t="str">
        <f ca="1">IF(OR(HK$169&lt;SwaptionFirstMonthPosition+1,$FN219&lt;SwaptionFirstMonthPosition+1,HK$169&gt;SwaptionFirstMonthPosition+SwaptionNumOfMonths+1,$FN219&gt;SwaptionFirstMonthPosition+SwaptionNumOfMonths+1),"",IF($FN219=HK$169,1,IF($FN219&lt;HK$169,INDEX($FO$170:$IH$241,HK$169,$FN219),SUMPRODUCT(INDEX($FO$325:$IH$396,HK$169,1+SwaptionShift):INDEX($FO$325:$IH$396,HK$169,SwaptionMonthsToGo+SwaptionShift),INDEX($FO$245:$IH$316,$FN219-HK$169,73-HK$169+SwaptionShift):INDEX($FO$245:$IH$316,$FN219-HK$169,72-HK$169+SwaptionMonthsToGo+SwaptionShift))/SQRT(SUM(INDEX($FO374:$IH374,1+SwaptionShift):INDEX($FO374:$IH374,SwaptionMonthsToGo+SwaptionShift))*SUM(INDEX($FO$325:$IH$396,HK$169,1+SwaptionShift):INDEX($FO$325:$IH$396,HK$169,SwaptionMonthsToGo+SwaptionShift))))))</f>
        <v/>
      </c>
      <c r="HL219" s="469" t="str">
        <f ca="1">IF(OR(HL$169&lt;SwaptionFirstMonthPosition+1,$FN219&lt;SwaptionFirstMonthPosition+1,HL$169&gt;SwaptionFirstMonthPosition+SwaptionNumOfMonths+1,$FN219&gt;SwaptionFirstMonthPosition+SwaptionNumOfMonths+1),"",IF($FN219=HL$169,1,IF($FN219&lt;HL$169,INDEX($FO$170:$IH$241,HL$169,$FN219),SUMPRODUCT(INDEX($FO$325:$IH$396,HL$169,1+SwaptionShift):INDEX($FO$325:$IH$396,HL$169,SwaptionMonthsToGo+SwaptionShift),INDEX($FO$245:$IH$316,$FN219-HL$169,73-HL$169+SwaptionShift):INDEX($FO$245:$IH$316,$FN219-HL$169,72-HL$169+SwaptionMonthsToGo+SwaptionShift))/SQRT(SUM(INDEX($FO374:$IH374,1+SwaptionShift):INDEX($FO374:$IH374,SwaptionMonthsToGo+SwaptionShift))*SUM(INDEX($FO$325:$IH$396,HL$169,1+SwaptionShift):INDEX($FO$325:$IH$396,HL$169,SwaptionMonthsToGo+SwaptionShift))))))</f>
        <v/>
      </c>
      <c r="HM219" s="469" t="str">
        <f ca="1">IF(OR(HM$169&lt;SwaptionFirstMonthPosition+1,$FN219&lt;SwaptionFirstMonthPosition+1,HM$169&gt;SwaptionFirstMonthPosition+SwaptionNumOfMonths+1,$FN219&gt;SwaptionFirstMonthPosition+SwaptionNumOfMonths+1),"",IF($FN219=HM$169,1,IF($FN219&lt;HM$169,INDEX($FO$170:$IH$241,HM$169,$FN219),SUMPRODUCT(INDEX($FO$325:$IH$396,HM$169,1+SwaptionShift):INDEX($FO$325:$IH$396,HM$169,SwaptionMonthsToGo+SwaptionShift),INDEX($FO$245:$IH$316,$FN219-HM$169,73-HM$169+SwaptionShift):INDEX($FO$245:$IH$316,$FN219-HM$169,72-HM$169+SwaptionMonthsToGo+SwaptionShift))/SQRT(SUM(INDEX($FO374:$IH374,1+SwaptionShift):INDEX($FO374:$IH374,SwaptionMonthsToGo+SwaptionShift))*SUM(INDEX($FO$325:$IH$396,HM$169,1+SwaptionShift):INDEX($FO$325:$IH$396,HM$169,SwaptionMonthsToGo+SwaptionShift))))))</f>
        <v/>
      </c>
      <c r="HN219" s="469" t="str">
        <f ca="1">IF(OR(HN$169&lt;SwaptionFirstMonthPosition+1,$FN219&lt;SwaptionFirstMonthPosition+1,HN$169&gt;SwaptionFirstMonthPosition+SwaptionNumOfMonths+1,$FN219&gt;SwaptionFirstMonthPosition+SwaptionNumOfMonths+1),"",IF($FN219=HN$169,1,IF($FN219&lt;HN$169,INDEX($FO$170:$IH$241,HN$169,$FN219),SUMPRODUCT(INDEX($FO$325:$IH$396,HN$169,1+SwaptionShift):INDEX($FO$325:$IH$396,HN$169,SwaptionMonthsToGo+SwaptionShift),INDEX($FO$245:$IH$316,$FN219-HN$169,73-HN$169+SwaptionShift):INDEX($FO$245:$IH$316,$FN219-HN$169,72-HN$169+SwaptionMonthsToGo+SwaptionShift))/SQRT(SUM(INDEX($FO374:$IH374,1+SwaptionShift):INDEX($FO374:$IH374,SwaptionMonthsToGo+SwaptionShift))*SUM(INDEX($FO$325:$IH$396,HN$169,1+SwaptionShift):INDEX($FO$325:$IH$396,HN$169,SwaptionMonthsToGo+SwaptionShift))))))</f>
        <v/>
      </c>
      <c r="HO219" s="469" t="str">
        <f ca="1">IF(OR(HO$169&lt;SwaptionFirstMonthPosition+1,$FN219&lt;SwaptionFirstMonthPosition+1,HO$169&gt;SwaptionFirstMonthPosition+SwaptionNumOfMonths+1,$FN219&gt;SwaptionFirstMonthPosition+SwaptionNumOfMonths+1),"",IF($FN219=HO$169,1,IF($FN219&lt;HO$169,INDEX($FO$170:$IH$241,HO$169,$FN219),SUMPRODUCT(INDEX($FO$325:$IH$396,HO$169,1+SwaptionShift):INDEX($FO$325:$IH$396,HO$169,SwaptionMonthsToGo+SwaptionShift),INDEX($FO$245:$IH$316,$FN219-HO$169,73-HO$169+SwaptionShift):INDEX($FO$245:$IH$316,$FN219-HO$169,72-HO$169+SwaptionMonthsToGo+SwaptionShift))/SQRT(SUM(INDEX($FO374:$IH374,1+SwaptionShift):INDEX($FO374:$IH374,SwaptionMonthsToGo+SwaptionShift))*SUM(INDEX($FO$325:$IH$396,HO$169,1+SwaptionShift):INDEX($FO$325:$IH$396,HO$169,SwaptionMonthsToGo+SwaptionShift))))))</f>
        <v/>
      </c>
      <c r="HP219" s="469" t="str">
        <f ca="1">IF(OR(HP$169&lt;SwaptionFirstMonthPosition+1,$FN219&lt;SwaptionFirstMonthPosition+1,HP$169&gt;SwaptionFirstMonthPosition+SwaptionNumOfMonths+1,$FN219&gt;SwaptionFirstMonthPosition+SwaptionNumOfMonths+1),"",IF($FN219=HP$169,1,IF($FN219&lt;HP$169,INDEX($FO$170:$IH$241,HP$169,$FN219),SUMPRODUCT(INDEX($FO$325:$IH$396,HP$169,1+SwaptionShift):INDEX($FO$325:$IH$396,HP$169,SwaptionMonthsToGo+SwaptionShift),INDEX($FO$245:$IH$316,$FN219-HP$169,73-HP$169+SwaptionShift):INDEX($FO$245:$IH$316,$FN219-HP$169,72-HP$169+SwaptionMonthsToGo+SwaptionShift))/SQRT(SUM(INDEX($FO374:$IH374,1+SwaptionShift):INDEX($FO374:$IH374,SwaptionMonthsToGo+SwaptionShift))*SUM(INDEX($FO$325:$IH$396,HP$169,1+SwaptionShift):INDEX($FO$325:$IH$396,HP$169,SwaptionMonthsToGo+SwaptionShift))))))</f>
        <v/>
      </c>
      <c r="HQ219" s="469" t="str">
        <f ca="1">IF(OR(HQ$169&lt;SwaptionFirstMonthPosition+1,$FN219&lt;SwaptionFirstMonthPosition+1,HQ$169&gt;SwaptionFirstMonthPosition+SwaptionNumOfMonths+1,$FN219&gt;SwaptionFirstMonthPosition+SwaptionNumOfMonths+1),"",IF($FN219=HQ$169,1,IF($FN219&lt;HQ$169,INDEX($FO$170:$IH$241,HQ$169,$FN219),SUMPRODUCT(INDEX($FO$325:$IH$396,HQ$169,1+SwaptionShift):INDEX($FO$325:$IH$396,HQ$169,SwaptionMonthsToGo+SwaptionShift),INDEX($FO$245:$IH$316,$FN219-HQ$169,73-HQ$169+SwaptionShift):INDEX($FO$245:$IH$316,$FN219-HQ$169,72-HQ$169+SwaptionMonthsToGo+SwaptionShift))/SQRT(SUM(INDEX($FO374:$IH374,1+SwaptionShift):INDEX($FO374:$IH374,SwaptionMonthsToGo+SwaptionShift))*SUM(INDEX($FO$325:$IH$396,HQ$169,1+SwaptionShift):INDEX($FO$325:$IH$396,HQ$169,SwaptionMonthsToGo+SwaptionShift))))))</f>
        <v/>
      </c>
      <c r="HR219" s="469" t="str">
        <f ca="1">IF(OR(HR$169&lt;SwaptionFirstMonthPosition+1,$FN219&lt;SwaptionFirstMonthPosition+1,HR$169&gt;SwaptionFirstMonthPosition+SwaptionNumOfMonths+1,$FN219&gt;SwaptionFirstMonthPosition+SwaptionNumOfMonths+1),"",IF($FN219=HR$169,1,IF($FN219&lt;HR$169,INDEX($FO$170:$IH$241,HR$169,$FN219),SUMPRODUCT(INDEX($FO$325:$IH$396,HR$169,1+SwaptionShift):INDEX($FO$325:$IH$396,HR$169,SwaptionMonthsToGo+SwaptionShift),INDEX($FO$245:$IH$316,$FN219-HR$169,73-HR$169+SwaptionShift):INDEX($FO$245:$IH$316,$FN219-HR$169,72-HR$169+SwaptionMonthsToGo+SwaptionShift))/SQRT(SUM(INDEX($FO374:$IH374,1+SwaptionShift):INDEX($FO374:$IH374,SwaptionMonthsToGo+SwaptionShift))*SUM(INDEX($FO$325:$IH$396,HR$169,1+SwaptionShift):INDEX($FO$325:$IH$396,HR$169,SwaptionMonthsToGo+SwaptionShift))))))</f>
        <v/>
      </c>
      <c r="HS219" s="469" t="str">
        <f ca="1">IF(OR(HS$169&lt;SwaptionFirstMonthPosition+1,$FN219&lt;SwaptionFirstMonthPosition+1,HS$169&gt;SwaptionFirstMonthPosition+SwaptionNumOfMonths+1,$FN219&gt;SwaptionFirstMonthPosition+SwaptionNumOfMonths+1),"",IF($FN219=HS$169,1,IF($FN219&lt;HS$169,INDEX($FO$170:$IH$241,HS$169,$FN219),SUMPRODUCT(INDEX($FO$325:$IH$396,HS$169,1+SwaptionShift):INDEX($FO$325:$IH$396,HS$169,SwaptionMonthsToGo+SwaptionShift),INDEX($FO$245:$IH$316,$FN219-HS$169,73-HS$169+SwaptionShift):INDEX($FO$245:$IH$316,$FN219-HS$169,72-HS$169+SwaptionMonthsToGo+SwaptionShift))/SQRT(SUM(INDEX($FO374:$IH374,1+SwaptionShift):INDEX($FO374:$IH374,SwaptionMonthsToGo+SwaptionShift))*SUM(INDEX($FO$325:$IH$396,HS$169,1+SwaptionShift):INDEX($FO$325:$IH$396,HS$169,SwaptionMonthsToGo+SwaptionShift))))))</f>
        <v/>
      </c>
      <c r="HT219" s="469" t="str">
        <f ca="1">IF(OR(HT$169&lt;SwaptionFirstMonthPosition+1,$FN219&lt;SwaptionFirstMonthPosition+1,HT$169&gt;SwaptionFirstMonthPosition+SwaptionNumOfMonths+1,$FN219&gt;SwaptionFirstMonthPosition+SwaptionNumOfMonths+1),"",IF($FN219=HT$169,1,IF($FN219&lt;HT$169,INDEX($FO$170:$IH$241,HT$169,$FN219),SUMPRODUCT(INDEX($FO$325:$IH$396,HT$169,1+SwaptionShift):INDEX($FO$325:$IH$396,HT$169,SwaptionMonthsToGo+SwaptionShift),INDEX($FO$245:$IH$316,$FN219-HT$169,73-HT$169+SwaptionShift):INDEX($FO$245:$IH$316,$FN219-HT$169,72-HT$169+SwaptionMonthsToGo+SwaptionShift))/SQRT(SUM(INDEX($FO374:$IH374,1+SwaptionShift):INDEX($FO374:$IH374,SwaptionMonthsToGo+SwaptionShift))*SUM(INDEX($FO$325:$IH$396,HT$169,1+SwaptionShift):INDEX($FO$325:$IH$396,HT$169,SwaptionMonthsToGo+SwaptionShift))))))</f>
        <v/>
      </c>
      <c r="HU219" s="469" t="str">
        <f ca="1">IF(OR(HU$169&lt;SwaptionFirstMonthPosition+1,$FN219&lt;SwaptionFirstMonthPosition+1,HU$169&gt;SwaptionFirstMonthPosition+SwaptionNumOfMonths+1,$FN219&gt;SwaptionFirstMonthPosition+SwaptionNumOfMonths+1),"",IF($FN219=HU$169,1,IF($FN219&lt;HU$169,INDEX($FO$170:$IH$241,HU$169,$FN219),SUMPRODUCT(INDEX($FO$325:$IH$396,HU$169,1+SwaptionShift):INDEX($FO$325:$IH$396,HU$169,SwaptionMonthsToGo+SwaptionShift),INDEX($FO$245:$IH$316,$FN219-HU$169,73-HU$169+SwaptionShift):INDEX($FO$245:$IH$316,$FN219-HU$169,72-HU$169+SwaptionMonthsToGo+SwaptionShift))/SQRT(SUM(INDEX($FO374:$IH374,1+SwaptionShift):INDEX($FO374:$IH374,SwaptionMonthsToGo+SwaptionShift))*SUM(INDEX($FO$325:$IH$396,HU$169,1+SwaptionShift):INDEX($FO$325:$IH$396,HU$169,SwaptionMonthsToGo+SwaptionShift))))))</f>
        <v/>
      </c>
      <c r="HV219" s="469" t="str">
        <f ca="1">IF(OR(HV$169&lt;SwaptionFirstMonthPosition+1,$FN219&lt;SwaptionFirstMonthPosition+1,HV$169&gt;SwaptionFirstMonthPosition+SwaptionNumOfMonths+1,$FN219&gt;SwaptionFirstMonthPosition+SwaptionNumOfMonths+1),"",IF($FN219=HV$169,1,IF($FN219&lt;HV$169,INDEX($FO$170:$IH$241,HV$169,$FN219),SUMPRODUCT(INDEX($FO$325:$IH$396,HV$169,1+SwaptionShift):INDEX($FO$325:$IH$396,HV$169,SwaptionMonthsToGo+SwaptionShift),INDEX($FO$245:$IH$316,$FN219-HV$169,73-HV$169+SwaptionShift):INDEX($FO$245:$IH$316,$FN219-HV$169,72-HV$169+SwaptionMonthsToGo+SwaptionShift))/SQRT(SUM(INDEX($FO374:$IH374,1+SwaptionShift):INDEX($FO374:$IH374,SwaptionMonthsToGo+SwaptionShift))*SUM(INDEX($FO$325:$IH$396,HV$169,1+SwaptionShift):INDEX($FO$325:$IH$396,HV$169,SwaptionMonthsToGo+SwaptionShift))))))</f>
        <v/>
      </c>
      <c r="HW219" s="469" t="str">
        <f ca="1">IF(OR(HW$169&lt;SwaptionFirstMonthPosition+1,$FN219&lt;SwaptionFirstMonthPosition+1,HW$169&gt;SwaptionFirstMonthPosition+SwaptionNumOfMonths+1,$FN219&gt;SwaptionFirstMonthPosition+SwaptionNumOfMonths+1),"",IF($FN219=HW$169,1,IF($FN219&lt;HW$169,INDEX($FO$170:$IH$241,HW$169,$FN219),SUMPRODUCT(INDEX($FO$325:$IH$396,HW$169,1+SwaptionShift):INDEX($FO$325:$IH$396,HW$169,SwaptionMonthsToGo+SwaptionShift),INDEX($FO$245:$IH$316,$FN219-HW$169,73-HW$169+SwaptionShift):INDEX($FO$245:$IH$316,$FN219-HW$169,72-HW$169+SwaptionMonthsToGo+SwaptionShift))/SQRT(SUM(INDEX($FO374:$IH374,1+SwaptionShift):INDEX($FO374:$IH374,SwaptionMonthsToGo+SwaptionShift))*SUM(INDEX($FO$325:$IH$396,HW$169,1+SwaptionShift):INDEX($FO$325:$IH$396,HW$169,SwaptionMonthsToGo+SwaptionShift))))))</f>
        <v/>
      </c>
      <c r="HX219" s="469" t="str">
        <f ca="1">IF(OR(HX$169&lt;SwaptionFirstMonthPosition+1,$FN219&lt;SwaptionFirstMonthPosition+1,HX$169&gt;SwaptionFirstMonthPosition+SwaptionNumOfMonths+1,$FN219&gt;SwaptionFirstMonthPosition+SwaptionNumOfMonths+1),"",IF($FN219=HX$169,1,IF($FN219&lt;HX$169,INDEX($FO$170:$IH$241,HX$169,$FN219),SUMPRODUCT(INDEX($FO$325:$IH$396,HX$169,1+SwaptionShift):INDEX($FO$325:$IH$396,HX$169,SwaptionMonthsToGo+SwaptionShift),INDEX($FO$245:$IH$316,$FN219-HX$169,73-HX$169+SwaptionShift):INDEX($FO$245:$IH$316,$FN219-HX$169,72-HX$169+SwaptionMonthsToGo+SwaptionShift))/SQRT(SUM(INDEX($FO374:$IH374,1+SwaptionShift):INDEX($FO374:$IH374,SwaptionMonthsToGo+SwaptionShift))*SUM(INDEX($FO$325:$IH$396,HX$169,1+SwaptionShift):INDEX($FO$325:$IH$396,HX$169,SwaptionMonthsToGo+SwaptionShift))))))</f>
        <v/>
      </c>
      <c r="HY219" s="469" t="str">
        <f ca="1">IF(OR(HY$169&lt;SwaptionFirstMonthPosition+1,$FN219&lt;SwaptionFirstMonthPosition+1,HY$169&gt;SwaptionFirstMonthPosition+SwaptionNumOfMonths+1,$FN219&gt;SwaptionFirstMonthPosition+SwaptionNumOfMonths+1),"",IF($FN219=HY$169,1,IF($FN219&lt;HY$169,INDEX($FO$170:$IH$241,HY$169,$FN219),SUMPRODUCT(INDEX($FO$325:$IH$396,HY$169,1+SwaptionShift):INDEX($FO$325:$IH$396,HY$169,SwaptionMonthsToGo+SwaptionShift),INDEX($FO$245:$IH$316,$FN219-HY$169,73-HY$169+SwaptionShift):INDEX($FO$245:$IH$316,$FN219-HY$169,72-HY$169+SwaptionMonthsToGo+SwaptionShift))/SQRT(SUM(INDEX($FO374:$IH374,1+SwaptionShift):INDEX($FO374:$IH374,SwaptionMonthsToGo+SwaptionShift))*SUM(INDEX($FO$325:$IH$396,HY$169,1+SwaptionShift):INDEX($FO$325:$IH$396,HY$169,SwaptionMonthsToGo+SwaptionShift))))))</f>
        <v/>
      </c>
      <c r="HZ219" s="469" t="str">
        <f ca="1">IF(OR(HZ$169&lt;SwaptionFirstMonthPosition+1,$FN219&lt;SwaptionFirstMonthPosition+1,HZ$169&gt;SwaptionFirstMonthPosition+SwaptionNumOfMonths+1,$FN219&gt;SwaptionFirstMonthPosition+SwaptionNumOfMonths+1),"",IF($FN219=HZ$169,1,IF($FN219&lt;HZ$169,INDEX($FO$170:$IH$241,HZ$169,$FN219),SUMPRODUCT(INDEX($FO$325:$IH$396,HZ$169,1+SwaptionShift):INDEX($FO$325:$IH$396,HZ$169,SwaptionMonthsToGo+SwaptionShift),INDEX($FO$245:$IH$316,$FN219-HZ$169,73-HZ$169+SwaptionShift):INDEX($FO$245:$IH$316,$FN219-HZ$169,72-HZ$169+SwaptionMonthsToGo+SwaptionShift))/SQRT(SUM(INDEX($FO374:$IH374,1+SwaptionShift):INDEX($FO374:$IH374,SwaptionMonthsToGo+SwaptionShift))*SUM(INDEX($FO$325:$IH$396,HZ$169,1+SwaptionShift):INDEX($FO$325:$IH$396,HZ$169,SwaptionMonthsToGo+SwaptionShift))))))</f>
        <v/>
      </c>
      <c r="IA219" s="469" t="str">
        <f ca="1">IF(OR(IA$169&lt;SwaptionFirstMonthPosition+1,$FN219&lt;SwaptionFirstMonthPosition+1,IA$169&gt;SwaptionFirstMonthPosition+SwaptionNumOfMonths+1,$FN219&gt;SwaptionFirstMonthPosition+SwaptionNumOfMonths+1),"",IF($FN219=IA$169,1,IF($FN219&lt;IA$169,INDEX($FO$170:$IH$241,IA$169,$FN219),SUMPRODUCT(INDEX($FO$325:$IH$396,IA$169,1+SwaptionShift):INDEX($FO$325:$IH$396,IA$169,SwaptionMonthsToGo+SwaptionShift),INDEX($FO$245:$IH$316,$FN219-IA$169,73-IA$169+SwaptionShift):INDEX($FO$245:$IH$316,$FN219-IA$169,72-IA$169+SwaptionMonthsToGo+SwaptionShift))/SQRT(SUM(INDEX($FO374:$IH374,1+SwaptionShift):INDEX($FO374:$IH374,SwaptionMonthsToGo+SwaptionShift))*SUM(INDEX($FO$325:$IH$396,IA$169,1+SwaptionShift):INDEX($FO$325:$IH$396,IA$169,SwaptionMonthsToGo+SwaptionShift))))))</f>
        <v/>
      </c>
      <c r="IB219" s="469" t="str">
        <f ca="1">IF(OR(IB$169&lt;SwaptionFirstMonthPosition+1,$FN219&lt;SwaptionFirstMonthPosition+1,IB$169&gt;SwaptionFirstMonthPosition+SwaptionNumOfMonths+1,$FN219&gt;SwaptionFirstMonthPosition+SwaptionNumOfMonths+1),"",IF($FN219=IB$169,1,IF($FN219&lt;IB$169,INDEX($FO$170:$IH$241,IB$169,$FN219),SUMPRODUCT(INDEX($FO$325:$IH$396,IB$169,1+SwaptionShift):INDEX($FO$325:$IH$396,IB$169,SwaptionMonthsToGo+SwaptionShift),INDEX($FO$245:$IH$316,$FN219-IB$169,73-IB$169+SwaptionShift):INDEX($FO$245:$IH$316,$FN219-IB$169,72-IB$169+SwaptionMonthsToGo+SwaptionShift))/SQRT(SUM(INDEX($FO374:$IH374,1+SwaptionShift):INDEX($FO374:$IH374,SwaptionMonthsToGo+SwaptionShift))*SUM(INDEX($FO$325:$IH$396,IB$169,1+SwaptionShift):INDEX($FO$325:$IH$396,IB$169,SwaptionMonthsToGo+SwaptionShift))))))</f>
        <v/>
      </c>
      <c r="IC219" s="469" t="str">
        <f ca="1">IF(OR(IC$169&lt;SwaptionFirstMonthPosition+1,$FN219&lt;SwaptionFirstMonthPosition+1,IC$169&gt;SwaptionFirstMonthPosition+SwaptionNumOfMonths+1,$FN219&gt;SwaptionFirstMonthPosition+SwaptionNumOfMonths+1),"",IF($FN219=IC$169,1,IF($FN219&lt;IC$169,INDEX($FO$170:$IH$241,IC$169,$FN219),SUMPRODUCT(INDEX($FO$325:$IH$396,IC$169,1+SwaptionShift):INDEX($FO$325:$IH$396,IC$169,SwaptionMonthsToGo+SwaptionShift),INDEX($FO$245:$IH$316,$FN219-IC$169,73-IC$169+SwaptionShift):INDEX($FO$245:$IH$316,$FN219-IC$169,72-IC$169+SwaptionMonthsToGo+SwaptionShift))/SQRT(SUM(INDEX($FO374:$IH374,1+SwaptionShift):INDEX($FO374:$IH374,SwaptionMonthsToGo+SwaptionShift))*SUM(INDEX($FO$325:$IH$396,IC$169,1+SwaptionShift):INDEX($FO$325:$IH$396,IC$169,SwaptionMonthsToGo+SwaptionShift))))))</f>
        <v/>
      </c>
      <c r="ID219" s="469" t="str">
        <f ca="1">IF(OR(ID$169&lt;SwaptionFirstMonthPosition+1,$FN219&lt;SwaptionFirstMonthPosition+1,ID$169&gt;SwaptionFirstMonthPosition+SwaptionNumOfMonths+1,$FN219&gt;SwaptionFirstMonthPosition+SwaptionNumOfMonths+1),"",IF($FN219=ID$169,1,IF($FN219&lt;ID$169,INDEX($FO$170:$IH$241,ID$169,$FN219),SUMPRODUCT(INDEX($FO$325:$IH$396,ID$169,1+SwaptionShift):INDEX($FO$325:$IH$396,ID$169,SwaptionMonthsToGo+SwaptionShift),INDEX($FO$245:$IH$316,$FN219-ID$169,73-ID$169+SwaptionShift):INDEX($FO$245:$IH$316,$FN219-ID$169,72-ID$169+SwaptionMonthsToGo+SwaptionShift))/SQRT(SUM(INDEX($FO374:$IH374,1+SwaptionShift):INDEX($FO374:$IH374,SwaptionMonthsToGo+SwaptionShift))*SUM(INDEX($FO$325:$IH$396,ID$169,1+SwaptionShift):INDEX($FO$325:$IH$396,ID$169,SwaptionMonthsToGo+SwaptionShift))))))</f>
        <v/>
      </c>
      <c r="IE219" s="469" t="str">
        <f ca="1">IF(OR(IE$169&lt;SwaptionFirstMonthPosition+1,$FN219&lt;SwaptionFirstMonthPosition+1,IE$169&gt;SwaptionFirstMonthPosition+SwaptionNumOfMonths+1,$FN219&gt;SwaptionFirstMonthPosition+SwaptionNumOfMonths+1),"",IF($FN219=IE$169,1,IF($FN219&lt;IE$169,INDEX($FO$170:$IH$241,IE$169,$FN219),SUMPRODUCT(INDEX($FO$325:$IH$396,IE$169,1+SwaptionShift):INDEX($FO$325:$IH$396,IE$169,SwaptionMonthsToGo+SwaptionShift),INDEX($FO$245:$IH$316,$FN219-IE$169,73-IE$169+SwaptionShift):INDEX($FO$245:$IH$316,$FN219-IE$169,72-IE$169+SwaptionMonthsToGo+SwaptionShift))/SQRT(SUM(INDEX($FO374:$IH374,1+SwaptionShift):INDEX($FO374:$IH374,SwaptionMonthsToGo+SwaptionShift))*SUM(INDEX($FO$325:$IH$396,IE$169,1+SwaptionShift):INDEX($FO$325:$IH$396,IE$169,SwaptionMonthsToGo+SwaptionShift))))))</f>
        <v/>
      </c>
      <c r="IF219" s="469" t="str">
        <f ca="1">IF(OR(IF$169&lt;SwaptionFirstMonthPosition+1,$FN219&lt;SwaptionFirstMonthPosition+1,IF$169&gt;SwaptionFirstMonthPosition+SwaptionNumOfMonths+1,$FN219&gt;SwaptionFirstMonthPosition+SwaptionNumOfMonths+1),"",IF($FN219=IF$169,1,IF($FN219&lt;IF$169,INDEX($FO$170:$IH$241,IF$169,$FN219),SUMPRODUCT(INDEX($FO$325:$IH$396,IF$169,1+SwaptionShift):INDEX($FO$325:$IH$396,IF$169,SwaptionMonthsToGo+SwaptionShift),INDEX($FO$245:$IH$316,$FN219-IF$169,73-IF$169+SwaptionShift):INDEX($FO$245:$IH$316,$FN219-IF$169,72-IF$169+SwaptionMonthsToGo+SwaptionShift))/SQRT(SUM(INDEX($FO374:$IH374,1+SwaptionShift):INDEX($FO374:$IH374,SwaptionMonthsToGo+SwaptionShift))*SUM(INDEX($FO$325:$IH$396,IF$169,1+SwaptionShift):INDEX($FO$325:$IH$396,IF$169,SwaptionMonthsToGo+SwaptionShift))))))</f>
        <v/>
      </c>
      <c r="IG219" s="469" t="str">
        <f ca="1">IF(OR(IG$169&lt;SwaptionFirstMonthPosition+1,$FN219&lt;SwaptionFirstMonthPosition+1,IG$169&gt;SwaptionFirstMonthPosition+SwaptionNumOfMonths+1,$FN219&gt;SwaptionFirstMonthPosition+SwaptionNumOfMonths+1),"",IF($FN219=IG$169,1,IF($FN219&lt;IG$169,INDEX($FO$170:$IH$241,IG$169,$FN219),SUMPRODUCT(INDEX($FO$325:$IH$396,IG$169,1+SwaptionShift):INDEX($FO$325:$IH$396,IG$169,SwaptionMonthsToGo+SwaptionShift),INDEX($FO$245:$IH$316,$FN219-IG$169,73-IG$169+SwaptionShift):INDEX($FO$245:$IH$316,$FN219-IG$169,72-IG$169+SwaptionMonthsToGo+SwaptionShift))/SQRT(SUM(INDEX($FO374:$IH374,1+SwaptionShift):INDEX($FO374:$IH374,SwaptionMonthsToGo+SwaptionShift))*SUM(INDEX($FO$325:$IH$396,IG$169,1+SwaptionShift):INDEX($FO$325:$IH$396,IG$169,SwaptionMonthsToGo+SwaptionShift))))))</f>
        <v/>
      </c>
      <c r="IH219" s="662" t="str">
        <f ca="1">IF(OR(IH$169&lt;SwaptionFirstMonthPosition+1,$FN219&lt;SwaptionFirstMonthPosition+1,IH$169&gt;SwaptionFirstMonthPosition+SwaptionNumOfMonths+1,$FN219&gt;SwaptionFirstMonthPosition+SwaptionNumOfMonths+1),"",IF($FN219=IH$169,1,IF($FN219&lt;IH$169,INDEX($FO$170:$IH$241,IH$169,$FN219),SUMPRODUCT(INDEX($FO$325:$IH$396,IH$169,1+SwaptionShift):INDEX($FO$325:$IH$396,IH$169,SwaptionMonthsToGo+SwaptionShift),INDEX($FO$245:$IH$316,$FN219-IH$169,73-IH$169+SwaptionShift):INDEX($FO$245:$IH$316,$FN219-IH$169,72-IH$169+SwaptionMonthsToGo+SwaptionShift))/SQRT(SUM(INDEX($FO374:$IH374,1+SwaptionShift):INDEX($FO374:$IH374,SwaptionMonthsToGo+SwaptionShift))*SUM(INDEX($FO$325:$IH$396,IH$169,1+SwaptionShift):INDEX($FO$325:$IH$396,IH$169,SwaptionMonthsToGo+SwaptionShift))))))</f>
        <v/>
      </c>
      <c r="II219" s="242"/>
    </row>
    <row r="220" spans="8:243">
      <c r="H220" s="49" t="e">
        <f t="shared" ca="1" si="645"/>
        <v>#N/A</v>
      </c>
      <c r="I220" s="369">
        <f t="shared" si="646"/>
        <v>43101</v>
      </c>
      <c r="J220" s="367">
        <v>24.384999999999799</v>
      </c>
      <c r="K220" s="101" t="s">
        <v>267</v>
      </c>
      <c r="L220" s="382">
        <f t="shared" si="647"/>
        <v>24.384999999999845</v>
      </c>
      <c r="M220" s="163">
        <v>0.13109999999999999</v>
      </c>
      <c r="N220" s="372">
        <v>0</v>
      </c>
      <c r="O220" s="163">
        <f t="shared" si="595"/>
        <v>0.13109999999999999</v>
      </c>
      <c r="P220" s="367">
        <v>23.137582101974598</v>
      </c>
      <c r="Q220" s="101" t="s">
        <v>267</v>
      </c>
      <c r="R220" s="367">
        <f t="shared" ca="1" si="596"/>
        <v>23.137582101974555</v>
      </c>
      <c r="S220" s="814">
        <f t="shared" si="594"/>
        <v>0.3467666502453518</v>
      </c>
      <c r="T220" s="813">
        <f t="shared" si="660"/>
        <v>0.99999999994492694</v>
      </c>
      <c r="U220" s="532">
        <f t="shared" si="661"/>
        <v>0.99999999999999978</v>
      </c>
      <c r="V220" s="379">
        <v>0</v>
      </c>
      <c r="W220" s="424">
        <f t="shared" si="597"/>
        <v>24.419090909090702</v>
      </c>
      <c r="X220" s="405">
        <f t="shared" si="598"/>
        <v>24.419090909090752</v>
      </c>
      <c r="Y220" s="313">
        <f t="shared" si="599"/>
        <v>23.203090909090701</v>
      </c>
      <c r="Z220" s="313">
        <f t="shared" ca="1" si="600"/>
        <v>23.203090909090751</v>
      </c>
      <c r="AA220" s="419">
        <f t="shared" si="623"/>
        <v>1.216</v>
      </c>
      <c r="AB220" s="423">
        <f t="shared" ca="1" si="624"/>
        <v>1.216</v>
      </c>
      <c r="AC220" s="221">
        <v>43089</v>
      </c>
      <c r="AD220" s="221">
        <v>43085</v>
      </c>
      <c r="AE220" s="221">
        <v>43084</v>
      </c>
      <c r="AF220" s="221">
        <v>43080</v>
      </c>
      <c r="AG220" s="241" t="s">
        <v>497</v>
      </c>
      <c r="AH220" s="239" t="s">
        <v>497</v>
      </c>
      <c r="AI220" s="141">
        <v>22</v>
      </c>
      <c r="AJ220" s="41">
        <v>14</v>
      </c>
      <c r="AK220" s="41">
        <v>8</v>
      </c>
      <c r="AL220" s="285">
        <v>22</v>
      </c>
      <c r="AM220" s="41">
        <v>9</v>
      </c>
      <c r="AN220" s="142">
        <v>13</v>
      </c>
      <c r="AO220" s="364">
        <v>6.2883285483954901E-2</v>
      </c>
      <c r="AP220" s="145">
        <f t="shared" ca="1" si="648"/>
        <v>0.35310674047550233</v>
      </c>
      <c r="AQ220" s="364">
        <v>5.8469939702138402E-2</v>
      </c>
      <c r="AR220" s="145">
        <f t="shared" ca="1" si="662"/>
        <v>0.38223894662263042</v>
      </c>
      <c r="AS220" s="264">
        <f t="shared" si="601"/>
        <v>0.13055454545454548</v>
      </c>
      <c r="AT220" s="149">
        <f t="shared" si="649"/>
        <v>0.13109999999999999</v>
      </c>
      <c r="AU220" s="149">
        <f t="shared" si="625"/>
        <v>0.13046363636363636</v>
      </c>
      <c r="AV220" s="263">
        <f t="shared" ca="1" si="669"/>
        <v>0.12914113629915855</v>
      </c>
      <c r="AW220" s="150" t="str">
        <f t="shared" ca="1" si="581"/>
        <v/>
      </c>
      <c r="AX220" s="149">
        <f t="shared" ca="1" si="663"/>
        <v>3.8590352432826963E-3</v>
      </c>
      <c r="AY220" s="149">
        <f t="shared" ca="1" si="664"/>
        <v>1.2133233425909175E-3</v>
      </c>
      <c r="AZ220" s="149">
        <f t="shared" ca="1" si="665"/>
        <v>1.4293203789706224E-3</v>
      </c>
      <c r="BA220" s="149">
        <f t="shared" ca="1" si="666"/>
        <v>1.0000000000001063E-4</v>
      </c>
      <c r="BB220" s="149">
        <f t="shared" ca="1" si="667"/>
        <v>1.0000000000001063E-4</v>
      </c>
      <c r="BC220" s="149">
        <f t="shared" ca="1" si="668"/>
        <v>1.0000000000001063E-4</v>
      </c>
      <c r="BD220" s="143">
        <f t="shared" ca="1" si="602"/>
        <v>0</v>
      </c>
      <c r="BE220" s="144">
        <f t="shared" ca="1" si="603"/>
        <v>0</v>
      </c>
      <c r="BF220" s="40">
        <f t="shared" si="604"/>
        <v>2018</v>
      </c>
      <c r="BG220" s="139">
        <f t="shared" si="605"/>
        <v>1</v>
      </c>
      <c r="BH220" s="140">
        <f t="shared" ca="1" si="606"/>
        <v>6095</v>
      </c>
      <c r="BI220" s="304">
        <f t="shared" ca="1" si="607"/>
        <v>16.73100616016427</v>
      </c>
      <c r="BJ220" s="42">
        <f t="shared" ca="1" si="626"/>
        <v>16.783274220645882</v>
      </c>
      <c r="BK220" s="42">
        <f t="shared" ca="1" si="627"/>
        <v>16.786012071433014</v>
      </c>
      <c r="BL220" s="42">
        <f t="shared" ca="1" si="608"/>
        <v>16.813141683778234</v>
      </c>
      <c r="BM220" s="285">
        <f t="shared" si="609"/>
        <v>22</v>
      </c>
      <c r="BN220" s="41">
        <f t="shared" si="610"/>
        <v>14</v>
      </c>
      <c r="BO220" s="41">
        <f t="shared" si="611"/>
        <v>8</v>
      </c>
      <c r="BP220" s="297" t="str">
        <f t="shared" ca="1" si="628"/>
        <v/>
      </c>
      <c r="BQ220" s="297" t="str">
        <f t="shared" ca="1" si="629"/>
        <v/>
      </c>
      <c r="BR220" s="299" t="str">
        <f t="shared" ca="1" si="630"/>
        <v/>
      </c>
      <c r="BS220" s="153" t="str">
        <f t="shared" ca="1" si="631"/>
        <v/>
      </c>
      <c r="BT220" s="153" t="str">
        <f t="shared" ca="1" si="632"/>
        <v/>
      </c>
      <c r="BU220" s="300" t="str">
        <f t="shared" ca="1" si="633"/>
        <v/>
      </c>
      <c r="BV220" s="301" t="str">
        <f t="shared" ca="1" si="634"/>
        <v/>
      </c>
      <c r="BW220" s="300" t="str">
        <f t="shared" ca="1" si="635"/>
        <v/>
      </c>
      <c r="BX220" s="301" t="str">
        <f t="shared" ca="1" si="636"/>
        <v/>
      </c>
      <c r="BY220" s="146" t="str">
        <f t="shared" ca="1" si="637"/>
        <v/>
      </c>
      <c r="BZ220" s="146" t="str">
        <f t="shared" ca="1" si="638"/>
        <v/>
      </c>
      <c r="CA220" s="146" t="str">
        <f t="shared" ca="1" si="639"/>
        <v/>
      </c>
      <c r="CB220" s="146" t="str">
        <f t="shared" ca="1" si="640"/>
        <v/>
      </c>
      <c r="CC220" s="302">
        <v>1</v>
      </c>
      <c r="CD220" s="154">
        <f ca="1">IF(BD220,_xll.xCrudeAPO(BS220,BT220,BY220,BZ220,S221,S222,BI220,BL220,BN220,BO220,0,Strike1,AO220,CC220,0,BL220,IF(OptControl=4,0,1),0,1),0)</f>
        <v>0</v>
      </c>
      <c r="CE220" s="155">
        <f ca="1">IF(BD220,_xll.xCrudeAPO(BS220,BT220,BY220,BZ220,S221,S222,BI220,BL220,BN220,BO220,0,Strike1,AO220,CC220,0,BL220,IF(OptControl=4,0,1),1,1)+_xll.xCrudeAPO(BS220,BT220,BY220,BZ220,S221,S222,BI220,BL220,BN220,BO220,0,Strike1,AO220,CC220,0,BL220,IF(OptControl=4,0,1),1,2)+IF(OR(VolSkewFlag=2,ABS(BQ220)&lt;0.0001),0,IF(BQ220&gt;0,-1,1)*CF220*Strike1/BP220^2*BW220/10%),0)</f>
        <v>0</v>
      </c>
      <c r="CF220" s="155">
        <f ca="1">IF(BD220,(_xll.xCrudeAPO(BS220,BT220,BY220,BZ220,S221,S222,BI220,BL220,BN220,BO220,0,Strike1,AO220,CC220,0,BL220,IF(OptControl=4,0,1),3,1)+_xll.xCrudeAPO(BS220,BT220,BY220,BZ220,S221,S222,BI220,BL220,BN220,BO220,0,Strike1,AO220,CC220,0,BL220,IF(OptControl=4,0,1),3,2))/100,0)</f>
        <v>0</v>
      </c>
      <c r="CG220" s="155">
        <f ca="1">IF(BD220,_xll.xCrudeAPO(BS220,BT220,BY220,BZ220,S221,S222,BI220-DaysForThetaCalculation/365.25,BL220-DaysForThetaCalculation/365.25,BN220,BO220,0,Strike1,AO220,CC220,0,BL220,IF(OptControl=4,0,1),0,1)-_xll.xCrudeAPO(BS220,BT220,BY220,BZ220,S221,S222,BI220,BL220,BN220,BO220,0,Strike1,AO220,CC220,0,BL220,IF(OptControl=4,0,1),0,1),0)</f>
        <v>0</v>
      </c>
      <c r="CH220" s="303">
        <f ca="1">IF(BD220,_xll.xCrudeAPO(BS220,BT220,CA220,CB220,S221,S222,BI220,BL220,BN220,BO220,0,Strike2,AO220,CC220,0,BL220,IF(OptControl=3,1,0),0,1),0)</f>
        <v>0</v>
      </c>
      <c r="CI220" s="155">
        <f ca="1">IF(BD220,_xll.xCrudeAPO(BS220,BT220,CA220,CB220,S221,S222,BI220,BL220,BN220,BO220,0,Strike2,AO220,CC220,0,BL220,IF(OptControl=3,1,0),1,1)+_xll.xCrudeAPO(BS220,BT220,CA220,CB220,S221,S222,BI220,BL220,BN220,BO220,0,Strike2,AO220,CC220,0,BL220,IF(OptControl=3,1,0),1,2)+IF(OR(VolSkewFlag=2,ABS(BR220)&lt;0.0001),0,IF(BR220&gt;0,-1,1)*CJ220*Strike2/BP220^2*BX220/10%),0)</f>
        <v>0</v>
      </c>
      <c r="CJ220" s="155">
        <f ca="1">IF(BD220,(_xll.xCrudeAPO(BS220,BT220,CA220,CB220,S221,S222,BI220,BL220,BN220,BO220,0,Strike2,AO220,CC220,0,BL220,IF(OptControl=3,1,0),3,1)+_xll.xCrudeAPO(BS220,BT220,CA220,CB220,S221,S222,BI220,BL220,BN220,BO220,0,Strike2,AO220,CC220,0,BL220,IF(OptControl=3,1,0),3,2))/100,0)</f>
        <v>0</v>
      </c>
      <c r="CK220" s="156">
        <f ca="1">IF(BD220,_xll.xCrudeAPO(BS220,BT220,CA220,CB220,S221,S222,BI220-DaysForThetaCalculation/365.25,BL220-DaysForThetaCalculation/365.25,BN220,BO220,0,Strike2,AO220,CC220,0,BL220,IF(OptControl=3,1,0),0,1)-_xll.xCrudeAPO(BS220,BT220,CA220,CB220,S221,S222,BI220,BL220,BN220,BO220,0,Strike2,AO220,CC220,0,BL220,IF(OptControl=3,1,0),0,1),0)</f>
        <v>0</v>
      </c>
      <c r="CL220" s="51"/>
      <c r="CM220" s="779" t="str">
        <f t="shared" ca="1" si="650"/>
        <v/>
      </c>
      <c r="CN220" s="783" t="str">
        <f t="shared" ca="1" si="651"/>
        <v/>
      </c>
      <c r="CO220" s="780" t="str">
        <f t="shared" ca="1" si="652"/>
        <v/>
      </c>
      <c r="CP220" s="780" t="str">
        <f t="shared" ca="1" si="653"/>
        <v/>
      </c>
      <c r="CQ220" s="780" t="str">
        <f t="shared" ca="1" si="654"/>
        <v/>
      </c>
      <c r="CR220" s="780" t="str">
        <f t="shared" ca="1" si="655"/>
        <v/>
      </c>
      <c r="CS220" s="781" t="str">
        <f t="shared" ca="1" si="656"/>
        <v/>
      </c>
      <c r="CT220" s="782" t="str">
        <f t="shared" ca="1" si="657"/>
        <v/>
      </c>
      <c r="CU220" s="782" t="str">
        <f t="shared" ca="1" si="658"/>
        <v/>
      </c>
      <c r="CV220" s="155">
        <f ca="1">IF(BD220,_xll.EURO(CN220,Strike1,AO220,AO220,CT220,CM220,IF(OptControl=4,0,1),0),0)</f>
        <v>0</v>
      </c>
      <c r="CW220" s="155">
        <f ca="1">IF(BD220,_xll.EURO(CN220,Strike1,AO220,AO220,CT220,CM220,IF(OptControl=4,0,1),1)+IF(OR(VolSkewFlag=2,ABS(CO220)&lt;0.0001),0,IF(CO220&gt;0,-1,1)*CX220*100*Strike1/CN220^2*CQ220/10%),0)</f>
        <v>0</v>
      </c>
      <c r="CX220" s="155">
        <f ca="1">IF(BD220,_xll.EURO(CN220,Strike1,AO220,AO220,CT220,CM220,IF(OptControl=4,0,1),3)/100,0)</f>
        <v>0</v>
      </c>
      <c r="CY220" s="155">
        <f ca="1">IF(BD220,_xll.EURO(CN220,Strike1,AO220,AO220,CT220,CM220,IF(OptControl=4,0,1),0)-_xll.EURO(CN220,Strike1,AO220,AO220,CT220,CM220-1,IF(OptControl=4,0,1),0),0)</f>
        <v>0</v>
      </c>
      <c r="CZ220" s="155">
        <f ca="1">IF(BD220,_xll.EURO(CN220,Strike2,AO220,AO220,CU220,CM220,IF(OptControl=3,1,0),0),0)</f>
        <v>0</v>
      </c>
      <c r="DA220" s="155">
        <f ca="1">IF(BD220,_xll.EURO(CN220,Strike2,AO220,AO220,CU220,CM220,IF(OptControl=3,1,0),1)+IF(OR(VolSkewFlag=2,ABS(CP220)&lt;0.0001),0,IF(CP220&gt;0,-1,1)*DB220*100*Strike2/CN220^2*CR220/10%),0)</f>
        <v>0</v>
      </c>
      <c r="DB220" s="155">
        <f ca="1">IF(BD220,_xll.EURO(CN220,Strike2,AO220,AO220,CU220,CM220,IF(OptControl=3,1,0),3)/100,0)</f>
        <v>0</v>
      </c>
      <c r="DC220" s="156">
        <f ca="1">IF(BD220,_xll.EURO(CN220,Strike2,AO220,AO220,CU220,CM220,IF(OptControl=3,1,0),0)-_xll.EURO(CN220,Strike2,AO220,AO220,CU220,CM220-1,IF(OptControl=3,1,0),0),0)</f>
        <v>0</v>
      </c>
      <c r="DE220" s="651">
        <f t="shared" ca="1" si="659"/>
        <v>43009</v>
      </c>
      <c r="DF220" s="465">
        <v>1E-4</v>
      </c>
      <c r="DG220" s="649">
        <v>1E-4</v>
      </c>
      <c r="DH220" s="650">
        <f t="shared" ca="1" si="612"/>
        <v>43009</v>
      </c>
      <c r="DI220" s="465">
        <v>1E-4</v>
      </c>
      <c r="DJ220" s="649">
        <v>1E-4</v>
      </c>
      <c r="DK220" s="651">
        <f t="shared" ca="1" si="613"/>
        <v>43009</v>
      </c>
      <c r="DL220" s="652">
        <f t="shared" si="614"/>
        <v>5.0100000000000006E-2</v>
      </c>
      <c r="DM220" s="651">
        <f t="shared" ca="1" si="615"/>
        <v>43009</v>
      </c>
      <c r="DN220" s="563">
        <f t="shared" si="616"/>
        <v>-0.12990000000000002</v>
      </c>
      <c r="DO220" s="803">
        <v>-0.13</v>
      </c>
      <c r="DP220" s="650">
        <f t="shared" ca="1" si="617"/>
        <v>43009</v>
      </c>
      <c r="DQ220" s="653">
        <v>1E-4</v>
      </c>
      <c r="DR220" s="590">
        <v>1E-4</v>
      </c>
      <c r="DS220" s="650">
        <f t="shared" ca="1" si="618"/>
        <v>43009</v>
      </c>
      <c r="DT220" s="653">
        <v>1E-4</v>
      </c>
      <c r="DU220" s="590">
        <v>1E-4</v>
      </c>
      <c r="DV220" s="651">
        <f t="shared" ca="1" si="619"/>
        <v>43009</v>
      </c>
      <c r="DW220" s="590">
        <v>1E-4</v>
      </c>
      <c r="DX220" s="651">
        <f t="shared" ca="1" si="620"/>
        <v>43009</v>
      </c>
      <c r="DY220" s="590">
        <f t="shared" si="621"/>
        <v>1E-4</v>
      </c>
      <c r="DZ220" s="1"/>
      <c r="EA220" s="857"/>
      <c r="EB220" s="857"/>
      <c r="EC220" s="857"/>
      <c r="ED220" s="868" t="e">
        <f t="shared" ca="1" si="566"/>
        <v>#NAME?</v>
      </c>
      <c r="EE220" s="863" t="e">
        <f t="shared" ca="1" si="641"/>
        <v>#NAME?</v>
      </c>
      <c r="EF220" s="590" t="e">
        <f t="shared" ca="1" si="642"/>
        <v>#NAME?</v>
      </c>
      <c r="EG220" s="862" t="str">
        <f t="shared" ca="1" si="622"/>
        <v/>
      </c>
      <c r="EH220" s="114" t="str">
        <f t="shared" ca="1" si="643"/>
        <v/>
      </c>
      <c r="EI220" s="109" t="str">
        <f t="shared" ca="1" si="644"/>
        <v/>
      </c>
      <c r="EJ220" s="115">
        <f ca="1">IF(BD220,_xll.xASN(BP220,Strike1,AO220,EH220,0,BM220,0,BI220,BL220,IF(OptControl=4,0,1),0),0)</f>
        <v>0</v>
      </c>
      <c r="EK220" s="108">
        <f ca="1">IF(BD220,_xll.xASN(BP220,Strike2,AO220,EI220,0,BM220,0,BI220,BL220,IF(OptControl=3,1,0),0),0)</f>
        <v>0</v>
      </c>
      <c r="EP220" s="53"/>
      <c r="EQ220" s="1"/>
      <c r="ER220" s="103"/>
      <c r="ES220" s="103"/>
      <c r="ET220" s="1"/>
      <c r="EU220" s="667" t="s">
        <v>433</v>
      </c>
      <c r="EW220" s="53"/>
      <c r="EY220" s="104"/>
      <c r="FN220" s="657">
        <v>51</v>
      </c>
      <c r="FO220" s="469" t="str">
        <f ca="1">IF(OR(FO$169&lt;SwaptionFirstMonthPosition+1,$FN220&lt;SwaptionFirstMonthPosition+1,FO$169&gt;SwaptionFirstMonthPosition+SwaptionNumOfMonths+1,$FN220&gt;SwaptionFirstMonthPosition+SwaptionNumOfMonths+1),"",IF($FN220=FO$169,1,IF($FN220&lt;FO$169,INDEX($FO$170:$IH$241,FO$169,$FN220),SUMPRODUCT(INDEX($FO$325:$IH$396,FO$169,1+SwaptionShift):INDEX($FO$325:$IH$396,FO$169,SwaptionMonthsToGo+SwaptionShift),INDEX($FO$245:$IH$316,$FN220-FO$169,73-FO$169+SwaptionShift):INDEX($FO$245:$IH$316,$FN220-FO$169,72-FO$169+SwaptionMonthsToGo+SwaptionShift))/SQRT(SUM(INDEX($FO375:$IH375,1+SwaptionShift):INDEX($FO375:$IH375,SwaptionMonthsToGo+SwaptionShift))*SUM(INDEX($FO$325:$IH$396,FO$169,1+SwaptionShift):INDEX($FO$325:$IH$396,FO$169,SwaptionMonthsToGo+SwaptionShift))))))</f>
        <v/>
      </c>
      <c r="FP220" s="469" t="str">
        <f ca="1">IF(OR(FP$169&lt;SwaptionFirstMonthPosition+1,$FN220&lt;SwaptionFirstMonthPosition+1,FP$169&gt;SwaptionFirstMonthPosition+SwaptionNumOfMonths+1,$FN220&gt;SwaptionFirstMonthPosition+SwaptionNumOfMonths+1),"",IF($FN220=FP$169,1,IF($FN220&lt;FP$169,INDEX($FO$170:$IH$241,FP$169,$FN220),SUMPRODUCT(INDEX($FO$325:$IH$396,FP$169,1+SwaptionShift):INDEX($FO$325:$IH$396,FP$169,SwaptionMonthsToGo+SwaptionShift),INDEX($FO$245:$IH$316,$FN220-FP$169,73-FP$169+SwaptionShift):INDEX($FO$245:$IH$316,$FN220-FP$169,72-FP$169+SwaptionMonthsToGo+SwaptionShift))/SQRT(SUM(INDEX($FO375:$IH375,1+SwaptionShift):INDEX($FO375:$IH375,SwaptionMonthsToGo+SwaptionShift))*SUM(INDEX($FO$325:$IH$396,FP$169,1+SwaptionShift):INDEX($FO$325:$IH$396,FP$169,SwaptionMonthsToGo+SwaptionShift))))))</f>
        <v/>
      </c>
      <c r="FQ220" s="469" t="str">
        <f ca="1">IF(OR(FQ$169&lt;SwaptionFirstMonthPosition+1,$FN220&lt;SwaptionFirstMonthPosition+1,FQ$169&gt;SwaptionFirstMonthPosition+SwaptionNumOfMonths+1,$FN220&gt;SwaptionFirstMonthPosition+SwaptionNumOfMonths+1),"",IF($FN220=FQ$169,1,IF($FN220&lt;FQ$169,INDEX($FO$170:$IH$241,FQ$169,$FN220),SUMPRODUCT(INDEX($FO$325:$IH$396,FQ$169,1+SwaptionShift):INDEX($FO$325:$IH$396,FQ$169,SwaptionMonthsToGo+SwaptionShift),INDEX($FO$245:$IH$316,$FN220-FQ$169,73-FQ$169+SwaptionShift):INDEX($FO$245:$IH$316,$FN220-FQ$169,72-FQ$169+SwaptionMonthsToGo+SwaptionShift))/SQRT(SUM(INDEX($FO375:$IH375,1+SwaptionShift):INDEX($FO375:$IH375,SwaptionMonthsToGo+SwaptionShift))*SUM(INDEX($FO$325:$IH$396,FQ$169,1+SwaptionShift):INDEX($FO$325:$IH$396,FQ$169,SwaptionMonthsToGo+SwaptionShift))))))</f>
        <v/>
      </c>
      <c r="FR220" s="469" t="str">
        <f ca="1">IF(OR(FR$169&lt;SwaptionFirstMonthPosition+1,$FN220&lt;SwaptionFirstMonthPosition+1,FR$169&gt;SwaptionFirstMonthPosition+SwaptionNumOfMonths+1,$FN220&gt;SwaptionFirstMonthPosition+SwaptionNumOfMonths+1),"",IF($FN220=FR$169,1,IF($FN220&lt;FR$169,INDEX($FO$170:$IH$241,FR$169,$FN220),SUMPRODUCT(INDEX($FO$325:$IH$396,FR$169,1+SwaptionShift):INDEX($FO$325:$IH$396,FR$169,SwaptionMonthsToGo+SwaptionShift),INDEX($FO$245:$IH$316,$FN220-FR$169,73-FR$169+SwaptionShift):INDEX($FO$245:$IH$316,$FN220-FR$169,72-FR$169+SwaptionMonthsToGo+SwaptionShift))/SQRT(SUM(INDEX($FO375:$IH375,1+SwaptionShift):INDEX($FO375:$IH375,SwaptionMonthsToGo+SwaptionShift))*SUM(INDEX($FO$325:$IH$396,FR$169,1+SwaptionShift):INDEX($FO$325:$IH$396,FR$169,SwaptionMonthsToGo+SwaptionShift))))))</f>
        <v/>
      </c>
      <c r="FS220" s="469" t="str">
        <f ca="1">IF(OR(FS$169&lt;SwaptionFirstMonthPosition+1,$FN220&lt;SwaptionFirstMonthPosition+1,FS$169&gt;SwaptionFirstMonthPosition+SwaptionNumOfMonths+1,$FN220&gt;SwaptionFirstMonthPosition+SwaptionNumOfMonths+1),"",IF($FN220=FS$169,1,IF($FN220&lt;FS$169,INDEX($FO$170:$IH$241,FS$169,$FN220),SUMPRODUCT(INDEX($FO$325:$IH$396,FS$169,1+SwaptionShift):INDEX($FO$325:$IH$396,FS$169,SwaptionMonthsToGo+SwaptionShift),INDEX($FO$245:$IH$316,$FN220-FS$169,73-FS$169+SwaptionShift):INDEX($FO$245:$IH$316,$FN220-FS$169,72-FS$169+SwaptionMonthsToGo+SwaptionShift))/SQRT(SUM(INDEX($FO375:$IH375,1+SwaptionShift):INDEX($FO375:$IH375,SwaptionMonthsToGo+SwaptionShift))*SUM(INDEX($FO$325:$IH$396,FS$169,1+SwaptionShift):INDEX($FO$325:$IH$396,FS$169,SwaptionMonthsToGo+SwaptionShift))))))</f>
        <v/>
      </c>
      <c r="FT220" s="469" t="str">
        <f ca="1">IF(OR(FT$169&lt;SwaptionFirstMonthPosition+1,$FN220&lt;SwaptionFirstMonthPosition+1,FT$169&gt;SwaptionFirstMonthPosition+SwaptionNumOfMonths+1,$FN220&gt;SwaptionFirstMonthPosition+SwaptionNumOfMonths+1),"",IF($FN220=FT$169,1,IF($FN220&lt;FT$169,INDEX($FO$170:$IH$241,FT$169,$FN220),SUMPRODUCT(INDEX($FO$325:$IH$396,FT$169,1+SwaptionShift):INDEX($FO$325:$IH$396,FT$169,SwaptionMonthsToGo+SwaptionShift),INDEX($FO$245:$IH$316,$FN220-FT$169,73-FT$169+SwaptionShift):INDEX($FO$245:$IH$316,$FN220-FT$169,72-FT$169+SwaptionMonthsToGo+SwaptionShift))/SQRT(SUM(INDEX($FO375:$IH375,1+SwaptionShift):INDEX($FO375:$IH375,SwaptionMonthsToGo+SwaptionShift))*SUM(INDEX($FO$325:$IH$396,FT$169,1+SwaptionShift):INDEX($FO$325:$IH$396,FT$169,SwaptionMonthsToGo+SwaptionShift))))))</f>
        <v/>
      </c>
      <c r="FU220" s="469" t="str">
        <f ca="1">IF(OR(FU$169&lt;SwaptionFirstMonthPosition+1,$FN220&lt;SwaptionFirstMonthPosition+1,FU$169&gt;SwaptionFirstMonthPosition+SwaptionNumOfMonths+1,$FN220&gt;SwaptionFirstMonthPosition+SwaptionNumOfMonths+1),"",IF($FN220=FU$169,1,IF($FN220&lt;FU$169,INDEX($FO$170:$IH$241,FU$169,$FN220),SUMPRODUCT(INDEX($FO$325:$IH$396,FU$169,1+SwaptionShift):INDEX($FO$325:$IH$396,FU$169,SwaptionMonthsToGo+SwaptionShift),INDEX($FO$245:$IH$316,$FN220-FU$169,73-FU$169+SwaptionShift):INDEX($FO$245:$IH$316,$FN220-FU$169,72-FU$169+SwaptionMonthsToGo+SwaptionShift))/SQRT(SUM(INDEX($FO375:$IH375,1+SwaptionShift):INDEX($FO375:$IH375,SwaptionMonthsToGo+SwaptionShift))*SUM(INDEX($FO$325:$IH$396,FU$169,1+SwaptionShift):INDEX($FO$325:$IH$396,FU$169,SwaptionMonthsToGo+SwaptionShift))))))</f>
        <v/>
      </c>
      <c r="FV220" s="469" t="str">
        <f ca="1">IF(OR(FV$169&lt;SwaptionFirstMonthPosition+1,$FN220&lt;SwaptionFirstMonthPosition+1,FV$169&gt;SwaptionFirstMonthPosition+SwaptionNumOfMonths+1,$FN220&gt;SwaptionFirstMonthPosition+SwaptionNumOfMonths+1),"",IF($FN220=FV$169,1,IF($FN220&lt;FV$169,INDEX($FO$170:$IH$241,FV$169,$FN220),SUMPRODUCT(INDEX($FO$325:$IH$396,FV$169,1+SwaptionShift):INDEX($FO$325:$IH$396,FV$169,SwaptionMonthsToGo+SwaptionShift),INDEX($FO$245:$IH$316,$FN220-FV$169,73-FV$169+SwaptionShift):INDEX($FO$245:$IH$316,$FN220-FV$169,72-FV$169+SwaptionMonthsToGo+SwaptionShift))/SQRT(SUM(INDEX($FO375:$IH375,1+SwaptionShift):INDEX($FO375:$IH375,SwaptionMonthsToGo+SwaptionShift))*SUM(INDEX($FO$325:$IH$396,FV$169,1+SwaptionShift):INDEX($FO$325:$IH$396,FV$169,SwaptionMonthsToGo+SwaptionShift))))))</f>
        <v/>
      </c>
      <c r="FW220" s="469" t="str">
        <f ca="1">IF(OR(FW$169&lt;SwaptionFirstMonthPosition+1,$FN220&lt;SwaptionFirstMonthPosition+1,FW$169&gt;SwaptionFirstMonthPosition+SwaptionNumOfMonths+1,$FN220&gt;SwaptionFirstMonthPosition+SwaptionNumOfMonths+1),"",IF($FN220=FW$169,1,IF($FN220&lt;FW$169,INDEX($FO$170:$IH$241,FW$169,$FN220),SUMPRODUCT(INDEX($FO$325:$IH$396,FW$169,1+SwaptionShift):INDEX($FO$325:$IH$396,FW$169,SwaptionMonthsToGo+SwaptionShift),INDEX($FO$245:$IH$316,$FN220-FW$169,73-FW$169+SwaptionShift):INDEX($FO$245:$IH$316,$FN220-FW$169,72-FW$169+SwaptionMonthsToGo+SwaptionShift))/SQRT(SUM(INDEX($FO375:$IH375,1+SwaptionShift):INDEX($FO375:$IH375,SwaptionMonthsToGo+SwaptionShift))*SUM(INDEX($FO$325:$IH$396,FW$169,1+SwaptionShift):INDEX($FO$325:$IH$396,FW$169,SwaptionMonthsToGo+SwaptionShift))))))</f>
        <v/>
      </c>
      <c r="FX220" s="469" t="str">
        <f ca="1">IF(OR(FX$169&lt;SwaptionFirstMonthPosition+1,$FN220&lt;SwaptionFirstMonthPosition+1,FX$169&gt;SwaptionFirstMonthPosition+SwaptionNumOfMonths+1,$FN220&gt;SwaptionFirstMonthPosition+SwaptionNumOfMonths+1),"",IF($FN220=FX$169,1,IF($FN220&lt;FX$169,INDEX($FO$170:$IH$241,FX$169,$FN220),SUMPRODUCT(INDEX($FO$325:$IH$396,FX$169,1+SwaptionShift):INDEX($FO$325:$IH$396,FX$169,SwaptionMonthsToGo+SwaptionShift),INDEX($FO$245:$IH$316,$FN220-FX$169,73-FX$169+SwaptionShift):INDEX($FO$245:$IH$316,$FN220-FX$169,72-FX$169+SwaptionMonthsToGo+SwaptionShift))/SQRT(SUM(INDEX($FO375:$IH375,1+SwaptionShift):INDEX($FO375:$IH375,SwaptionMonthsToGo+SwaptionShift))*SUM(INDEX($FO$325:$IH$396,FX$169,1+SwaptionShift):INDEX($FO$325:$IH$396,FX$169,SwaptionMonthsToGo+SwaptionShift))))))</f>
        <v/>
      </c>
      <c r="FY220" s="469" t="str">
        <f ca="1">IF(OR(FY$169&lt;SwaptionFirstMonthPosition+1,$FN220&lt;SwaptionFirstMonthPosition+1,FY$169&gt;SwaptionFirstMonthPosition+SwaptionNumOfMonths+1,$FN220&gt;SwaptionFirstMonthPosition+SwaptionNumOfMonths+1),"",IF($FN220=FY$169,1,IF($FN220&lt;FY$169,INDEX($FO$170:$IH$241,FY$169,$FN220),SUMPRODUCT(INDEX($FO$325:$IH$396,FY$169,1+SwaptionShift):INDEX($FO$325:$IH$396,FY$169,SwaptionMonthsToGo+SwaptionShift),INDEX($FO$245:$IH$316,$FN220-FY$169,73-FY$169+SwaptionShift):INDEX($FO$245:$IH$316,$FN220-FY$169,72-FY$169+SwaptionMonthsToGo+SwaptionShift))/SQRT(SUM(INDEX($FO375:$IH375,1+SwaptionShift):INDEX($FO375:$IH375,SwaptionMonthsToGo+SwaptionShift))*SUM(INDEX($FO$325:$IH$396,FY$169,1+SwaptionShift):INDEX($FO$325:$IH$396,FY$169,SwaptionMonthsToGo+SwaptionShift))))))</f>
        <v/>
      </c>
      <c r="FZ220" s="469" t="str">
        <f ca="1">IF(OR(FZ$169&lt;SwaptionFirstMonthPosition+1,$FN220&lt;SwaptionFirstMonthPosition+1,FZ$169&gt;SwaptionFirstMonthPosition+SwaptionNumOfMonths+1,$FN220&gt;SwaptionFirstMonthPosition+SwaptionNumOfMonths+1),"",IF($FN220=FZ$169,1,IF($FN220&lt;FZ$169,INDEX($FO$170:$IH$241,FZ$169,$FN220),SUMPRODUCT(INDEX($FO$325:$IH$396,FZ$169,1+SwaptionShift):INDEX($FO$325:$IH$396,FZ$169,SwaptionMonthsToGo+SwaptionShift),INDEX($FO$245:$IH$316,$FN220-FZ$169,73-FZ$169+SwaptionShift):INDEX($FO$245:$IH$316,$FN220-FZ$169,72-FZ$169+SwaptionMonthsToGo+SwaptionShift))/SQRT(SUM(INDEX($FO375:$IH375,1+SwaptionShift):INDEX($FO375:$IH375,SwaptionMonthsToGo+SwaptionShift))*SUM(INDEX($FO$325:$IH$396,FZ$169,1+SwaptionShift):INDEX($FO$325:$IH$396,FZ$169,SwaptionMonthsToGo+SwaptionShift))))))</f>
        <v/>
      </c>
      <c r="GA220" s="469" t="str">
        <f ca="1">IF(OR(GA$169&lt;SwaptionFirstMonthPosition+1,$FN220&lt;SwaptionFirstMonthPosition+1,GA$169&gt;SwaptionFirstMonthPosition+SwaptionNumOfMonths+1,$FN220&gt;SwaptionFirstMonthPosition+SwaptionNumOfMonths+1),"",IF($FN220=GA$169,1,IF($FN220&lt;GA$169,INDEX($FO$170:$IH$241,GA$169,$FN220),SUMPRODUCT(INDEX($FO$325:$IH$396,GA$169,1+SwaptionShift):INDEX($FO$325:$IH$396,GA$169,SwaptionMonthsToGo+SwaptionShift),INDEX($FO$245:$IH$316,$FN220-GA$169,73-GA$169+SwaptionShift):INDEX($FO$245:$IH$316,$FN220-GA$169,72-GA$169+SwaptionMonthsToGo+SwaptionShift))/SQRT(SUM(INDEX($FO375:$IH375,1+SwaptionShift):INDEX($FO375:$IH375,SwaptionMonthsToGo+SwaptionShift))*SUM(INDEX($FO$325:$IH$396,GA$169,1+SwaptionShift):INDEX($FO$325:$IH$396,GA$169,SwaptionMonthsToGo+SwaptionShift))))))</f>
        <v/>
      </c>
      <c r="GB220" s="469" t="str">
        <f ca="1">IF(OR(GB$169&lt;SwaptionFirstMonthPosition+1,$FN220&lt;SwaptionFirstMonthPosition+1,GB$169&gt;SwaptionFirstMonthPosition+SwaptionNumOfMonths+1,$FN220&gt;SwaptionFirstMonthPosition+SwaptionNumOfMonths+1),"",IF($FN220=GB$169,1,IF($FN220&lt;GB$169,INDEX($FO$170:$IH$241,GB$169,$FN220),SUMPRODUCT(INDEX($FO$325:$IH$396,GB$169,1+SwaptionShift):INDEX($FO$325:$IH$396,GB$169,SwaptionMonthsToGo+SwaptionShift),INDEX($FO$245:$IH$316,$FN220-GB$169,73-GB$169+SwaptionShift):INDEX($FO$245:$IH$316,$FN220-GB$169,72-GB$169+SwaptionMonthsToGo+SwaptionShift))/SQRT(SUM(INDEX($FO375:$IH375,1+SwaptionShift):INDEX($FO375:$IH375,SwaptionMonthsToGo+SwaptionShift))*SUM(INDEX($FO$325:$IH$396,GB$169,1+SwaptionShift):INDEX($FO$325:$IH$396,GB$169,SwaptionMonthsToGo+SwaptionShift))))))</f>
        <v/>
      </c>
      <c r="GC220" s="469" t="str">
        <f ca="1">IF(OR(GC$169&lt;SwaptionFirstMonthPosition+1,$FN220&lt;SwaptionFirstMonthPosition+1,GC$169&gt;SwaptionFirstMonthPosition+SwaptionNumOfMonths+1,$FN220&gt;SwaptionFirstMonthPosition+SwaptionNumOfMonths+1),"",IF($FN220=GC$169,1,IF($FN220&lt;GC$169,INDEX($FO$170:$IH$241,GC$169,$FN220),SUMPRODUCT(INDEX($FO$325:$IH$396,GC$169,1+SwaptionShift):INDEX($FO$325:$IH$396,GC$169,SwaptionMonthsToGo+SwaptionShift),INDEX($FO$245:$IH$316,$FN220-GC$169,73-GC$169+SwaptionShift):INDEX($FO$245:$IH$316,$FN220-GC$169,72-GC$169+SwaptionMonthsToGo+SwaptionShift))/SQRT(SUM(INDEX($FO375:$IH375,1+SwaptionShift):INDEX($FO375:$IH375,SwaptionMonthsToGo+SwaptionShift))*SUM(INDEX($FO$325:$IH$396,GC$169,1+SwaptionShift):INDEX($FO$325:$IH$396,GC$169,SwaptionMonthsToGo+SwaptionShift))))))</f>
        <v/>
      </c>
      <c r="GD220" s="469" t="str">
        <f ca="1">IF(OR(GD$169&lt;SwaptionFirstMonthPosition+1,$FN220&lt;SwaptionFirstMonthPosition+1,GD$169&gt;SwaptionFirstMonthPosition+SwaptionNumOfMonths+1,$FN220&gt;SwaptionFirstMonthPosition+SwaptionNumOfMonths+1),"",IF($FN220=GD$169,1,IF($FN220&lt;GD$169,INDEX($FO$170:$IH$241,GD$169,$FN220),SUMPRODUCT(INDEX($FO$325:$IH$396,GD$169,1+SwaptionShift):INDEX($FO$325:$IH$396,GD$169,SwaptionMonthsToGo+SwaptionShift),INDEX($FO$245:$IH$316,$FN220-GD$169,73-GD$169+SwaptionShift):INDEX($FO$245:$IH$316,$FN220-GD$169,72-GD$169+SwaptionMonthsToGo+SwaptionShift))/SQRT(SUM(INDEX($FO375:$IH375,1+SwaptionShift):INDEX($FO375:$IH375,SwaptionMonthsToGo+SwaptionShift))*SUM(INDEX($FO$325:$IH$396,GD$169,1+SwaptionShift):INDEX($FO$325:$IH$396,GD$169,SwaptionMonthsToGo+SwaptionShift))))))</f>
        <v/>
      </c>
      <c r="GE220" s="469" t="str">
        <f ca="1">IF(OR(GE$169&lt;SwaptionFirstMonthPosition+1,$FN220&lt;SwaptionFirstMonthPosition+1,GE$169&gt;SwaptionFirstMonthPosition+SwaptionNumOfMonths+1,$FN220&gt;SwaptionFirstMonthPosition+SwaptionNumOfMonths+1),"",IF($FN220=GE$169,1,IF($FN220&lt;GE$169,INDEX($FO$170:$IH$241,GE$169,$FN220),SUMPRODUCT(INDEX($FO$325:$IH$396,GE$169,1+SwaptionShift):INDEX($FO$325:$IH$396,GE$169,SwaptionMonthsToGo+SwaptionShift),INDEX($FO$245:$IH$316,$FN220-GE$169,73-GE$169+SwaptionShift):INDEX($FO$245:$IH$316,$FN220-GE$169,72-GE$169+SwaptionMonthsToGo+SwaptionShift))/SQRT(SUM(INDEX($FO375:$IH375,1+SwaptionShift):INDEX($FO375:$IH375,SwaptionMonthsToGo+SwaptionShift))*SUM(INDEX($FO$325:$IH$396,GE$169,1+SwaptionShift):INDEX($FO$325:$IH$396,GE$169,SwaptionMonthsToGo+SwaptionShift))))))</f>
        <v/>
      </c>
      <c r="GF220" s="469" t="str">
        <f ca="1">IF(OR(GF$169&lt;SwaptionFirstMonthPosition+1,$FN220&lt;SwaptionFirstMonthPosition+1,GF$169&gt;SwaptionFirstMonthPosition+SwaptionNumOfMonths+1,$FN220&gt;SwaptionFirstMonthPosition+SwaptionNumOfMonths+1),"",IF($FN220=GF$169,1,IF($FN220&lt;GF$169,INDEX($FO$170:$IH$241,GF$169,$FN220),SUMPRODUCT(INDEX($FO$325:$IH$396,GF$169,1+SwaptionShift):INDEX($FO$325:$IH$396,GF$169,SwaptionMonthsToGo+SwaptionShift),INDEX($FO$245:$IH$316,$FN220-GF$169,73-GF$169+SwaptionShift):INDEX($FO$245:$IH$316,$FN220-GF$169,72-GF$169+SwaptionMonthsToGo+SwaptionShift))/SQRT(SUM(INDEX($FO375:$IH375,1+SwaptionShift):INDEX($FO375:$IH375,SwaptionMonthsToGo+SwaptionShift))*SUM(INDEX($FO$325:$IH$396,GF$169,1+SwaptionShift):INDEX($FO$325:$IH$396,GF$169,SwaptionMonthsToGo+SwaptionShift))))))</f>
        <v/>
      </c>
      <c r="GG220" s="469" t="str">
        <f ca="1">IF(OR(GG$169&lt;SwaptionFirstMonthPosition+1,$FN220&lt;SwaptionFirstMonthPosition+1,GG$169&gt;SwaptionFirstMonthPosition+SwaptionNumOfMonths+1,$FN220&gt;SwaptionFirstMonthPosition+SwaptionNumOfMonths+1),"",IF($FN220=GG$169,1,IF($FN220&lt;GG$169,INDEX($FO$170:$IH$241,GG$169,$FN220),SUMPRODUCT(INDEX($FO$325:$IH$396,GG$169,1+SwaptionShift):INDEX($FO$325:$IH$396,GG$169,SwaptionMonthsToGo+SwaptionShift),INDEX($FO$245:$IH$316,$FN220-GG$169,73-GG$169+SwaptionShift):INDEX($FO$245:$IH$316,$FN220-GG$169,72-GG$169+SwaptionMonthsToGo+SwaptionShift))/SQRT(SUM(INDEX($FO375:$IH375,1+SwaptionShift):INDEX($FO375:$IH375,SwaptionMonthsToGo+SwaptionShift))*SUM(INDEX($FO$325:$IH$396,GG$169,1+SwaptionShift):INDEX($FO$325:$IH$396,GG$169,SwaptionMonthsToGo+SwaptionShift))))))</f>
        <v/>
      </c>
      <c r="GH220" s="469" t="str">
        <f ca="1">IF(OR(GH$169&lt;SwaptionFirstMonthPosition+1,$FN220&lt;SwaptionFirstMonthPosition+1,GH$169&gt;SwaptionFirstMonthPosition+SwaptionNumOfMonths+1,$FN220&gt;SwaptionFirstMonthPosition+SwaptionNumOfMonths+1),"",IF($FN220=GH$169,1,IF($FN220&lt;GH$169,INDEX($FO$170:$IH$241,GH$169,$FN220),SUMPRODUCT(INDEX($FO$325:$IH$396,GH$169,1+SwaptionShift):INDEX($FO$325:$IH$396,GH$169,SwaptionMonthsToGo+SwaptionShift),INDEX($FO$245:$IH$316,$FN220-GH$169,73-GH$169+SwaptionShift):INDEX($FO$245:$IH$316,$FN220-GH$169,72-GH$169+SwaptionMonthsToGo+SwaptionShift))/SQRT(SUM(INDEX($FO375:$IH375,1+SwaptionShift):INDEX($FO375:$IH375,SwaptionMonthsToGo+SwaptionShift))*SUM(INDEX($FO$325:$IH$396,GH$169,1+SwaptionShift):INDEX($FO$325:$IH$396,GH$169,SwaptionMonthsToGo+SwaptionShift))))))</f>
        <v/>
      </c>
      <c r="GI220" s="469" t="str">
        <f ca="1">IF(OR(GI$169&lt;SwaptionFirstMonthPosition+1,$FN220&lt;SwaptionFirstMonthPosition+1,GI$169&gt;SwaptionFirstMonthPosition+SwaptionNumOfMonths+1,$FN220&gt;SwaptionFirstMonthPosition+SwaptionNumOfMonths+1),"",IF($FN220=GI$169,1,IF($FN220&lt;GI$169,INDEX($FO$170:$IH$241,GI$169,$FN220),SUMPRODUCT(INDEX($FO$325:$IH$396,GI$169,1+SwaptionShift):INDEX($FO$325:$IH$396,GI$169,SwaptionMonthsToGo+SwaptionShift),INDEX($FO$245:$IH$316,$FN220-GI$169,73-GI$169+SwaptionShift):INDEX($FO$245:$IH$316,$FN220-GI$169,72-GI$169+SwaptionMonthsToGo+SwaptionShift))/SQRT(SUM(INDEX($FO375:$IH375,1+SwaptionShift):INDEX($FO375:$IH375,SwaptionMonthsToGo+SwaptionShift))*SUM(INDEX($FO$325:$IH$396,GI$169,1+SwaptionShift):INDEX($FO$325:$IH$396,GI$169,SwaptionMonthsToGo+SwaptionShift))))))</f>
        <v/>
      </c>
      <c r="GJ220" s="469" t="str">
        <f ca="1">IF(OR(GJ$169&lt;SwaptionFirstMonthPosition+1,$FN220&lt;SwaptionFirstMonthPosition+1,GJ$169&gt;SwaptionFirstMonthPosition+SwaptionNumOfMonths+1,$FN220&gt;SwaptionFirstMonthPosition+SwaptionNumOfMonths+1),"",IF($FN220=GJ$169,1,IF($FN220&lt;GJ$169,INDEX($FO$170:$IH$241,GJ$169,$FN220),SUMPRODUCT(INDEX($FO$325:$IH$396,GJ$169,1+SwaptionShift):INDEX($FO$325:$IH$396,GJ$169,SwaptionMonthsToGo+SwaptionShift),INDEX($FO$245:$IH$316,$FN220-GJ$169,73-GJ$169+SwaptionShift):INDEX($FO$245:$IH$316,$FN220-GJ$169,72-GJ$169+SwaptionMonthsToGo+SwaptionShift))/SQRT(SUM(INDEX($FO375:$IH375,1+SwaptionShift):INDEX($FO375:$IH375,SwaptionMonthsToGo+SwaptionShift))*SUM(INDEX($FO$325:$IH$396,GJ$169,1+SwaptionShift):INDEX($FO$325:$IH$396,GJ$169,SwaptionMonthsToGo+SwaptionShift))))))</f>
        <v/>
      </c>
      <c r="GK220" s="469" t="str">
        <f ca="1">IF(OR(GK$169&lt;SwaptionFirstMonthPosition+1,$FN220&lt;SwaptionFirstMonthPosition+1,GK$169&gt;SwaptionFirstMonthPosition+SwaptionNumOfMonths+1,$FN220&gt;SwaptionFirstMonthPosition+SwaptionNumOfMonths+1),"",IF($FN220=GK$169,1,IF($FN220&lt;GK$169,INDEX($FO$170:$IH$241,GK$169,$FN220),SUMPRODUCT(INDEX($FO$325:$IH$396,GK$169,1+SwaptionShift):INDEX($FO$325:$IH$396,GK$169,SwaptionMonthsToGo+SwaptionShift),INDEX($FO$245:$IH$316,$FN220-GK$169,73-GK$169+SwaptionShift):INDEX($FO$245:$IH$316,$FN220-GK$169,72-GK$169+SwaptionMonthsToGo+SwaptionShift))/SQRT(SUM(INDEX($FO375:$IH375,1+SwaptionShift):INDEX($FO375:$IH375,SwaptionMonthsToGo+SwaptionShift))*SUM(INDEX($FO$325:$IH$396,GK$169,1+SwaptionShift):INDEX($FO$325:$IH$396,GK$169,SwaptionMonthsToGo+SwaptionShift))))))</f>
        <v/>
      </c>
      <c r="GL220" s="469" t="str">
        <f ca="1">IF(OR(GL$169&lt;SwaptionFirstMonthPosition+1,$FN220&lt;SwaptionFirstMonthPosition+1,GL$169&gt;SwaptionFirstMonthPosition+SwaptionNumOfMonths+1,$FN220&gt;SwaptionFirstMonthPosition+SwaptionNumOfMonths+1),"",IF($FN220=GL$169,1,IF($FN220&lt;GL$169,INDEX($FO$170:$IH$241,GL$169,$FN220),SUMPRODUCT(INDEX($FO$325:$IH$396,GL$169,1+SwaptionShift):INDEX($FO$325:$IH$396,GL$169,SwaptionMonthsToGo+SwaptionShift),INDEX($FO$245:$IH$316,$FN220-GL$169,73-GL$169+SwaptionShift):INDEX($FO$245:$IH$316,$FN220-GL$169,72-GL$169+SwaptionMonthsToGo+SwaptionShift))/SQRT(SUM(INDEX($FO375:$IH375,1+SwaptionShift):INDEX($FO375:$IH375,SwaptionMonthsToGo+SwaptionShift))*SUM(INDEX($FO$325:$IH$396,GL$169,1+SwaptionShift):INDEX($FO$325:$IH$396,GL$169,SwaptionMonthsToGo+SwaptionShift))))))</f>
        <v/>
      </c>
      <c r="GM220" s="469" t="str">
        <f ca="1">IF(OR(GM$169&lt;SwaptionFirstMonthPosition+1,$FN220&lt;SwaptionFirstMonthPosition+1,GM$169&gt;SwaptionFirstMonthPosition+SwaptionNumOfMonths+1,$FN220&gt;SwaptionFirstMonthPosition+SwaptionNumOfMonths+1),"",IF($FN220=GM$169,1,IF($FN220&lt;GM$169,INDEX($FO$170:$IH$241,GM$169,$FN220),SUMPRODUCT(INDEX($FO$325:$IH$396,GM$169,1+SwaptionShift):INDEX($FO$325:$IH$396,GM$169,SwaptionMonthsToGo+SwaptionShift),INDEX($FO$245:$IH$316,$FN220-GM$169,73-GM$169+SwaptionShift):INDEX($FO$245:$IH$316,$FN220-GM$169,72-GM$169+SwaptionMonthsToGo+SwaptionShift))/SQRT(SUM(INDEX($FO375:$IH375,1+SwaptionShift):INDEX($FO375:$IH375,SwaptionMonthsToGo+SwaptionShift))*SUM(INDEX($FO$325:$IH$396,GM$169,1+SwaptionShift):INDEX($FO$325:$IH$396,GM$169,SwaptionMonthsToGo+SwaptionShift))))))</f>
        <v/>
      </c>
      <c r="GN220" s="469" t="str">
        <f ca="1">IF(OR(GN$169&lt;SwaptionFirstMonthPosition+1,$FN220&lt;SwaptionFirstMonthPosition+1,GN$169&gt;SwaptionFirstMonthPosition+SwaptionNumOfMonths+1,$FN220&gt;SwaptionFirstMonthPosition+SwaptionNumOfMonths+1),"",IF($FN220=GN$169,1,IF($FN220&lt;GN$169,INDEX($FO$170:$IH$241,GN$169,$FN220),SUMPRODUCT(INDEX($FO$325:$IH$396,GN$169,1+SwaptionShift):INDEX($FO$325:$IH$396,GN$169,SwaptionMonthsToGo+SwaptionShift),INDEX($FO$245:$IH$316,$FN220-GN$169,73-GN$169+SwaptionShift):INDEX($FO$245:$IH$316,$FN220-GN$169,72-GN$169+SwaptionMonthsToGo+SwaptionShift))/SQRT(SUM(INDEX($FO375:$IH375,1+SwaptionShift):INDEX($FO375:$IH375,SwaptionMonthsToGo+SwaptionShift))*SUM(INDEX($FO$325:$IH$396,GN$169,1+SwaptionShift):INDEX($FO$325:$IH$396,GN$169,SwaptionMonthsToGo+SwaptionShift))))))</f>
        <v/>
      </c>
      <c r="GO220" s="469" t="str">
        <f ca="1">IF(OR(GO$169&lt;SwaptionFirstMonthPosition+1,$FN220&lt;SwaptionFirstMonthPosition+1,GO$169&gt;SwaptionFirstMonthPosition+SwaptionNumOfMonths+1,$FN220&gt;SwaptionFirstMonthPosition+SwaptionNumOfMonths+1),"",IF($FN220=GO$169,1,IF($FN220&lt;GO$169,INDEX($FO$170:$IH$241,GO$169,$FN220),SUMPRODUCT(INDEX($FO$325:$IH$396,GO$169,1+SwaptionShift):INDEX($FO$325:$IH$396,GO$169,SwaptionMonthsToGo+SwaptionShift),INDEX($FO$245:$IH$316,$FN220-GO$169,73-GO$169+SwaptionShift):INDEX($FO$245:$IH$316,$FN220-GO$169,72-GO$169+SwaptionMonthsToGo+SwaptionShift))/SQRT(SUM(INDEX($FO375:$IH375,1+SwaptionShift):INDEX($FO375:$IH375,SwaptionMonthsToGo+SwaptionShift))*SUM(INDEX($FO$325:$IH$396,GO$169,1+SwaptionShift):INDEX($FO$325:$IH$396,GO$169,SwaptionMonthsToGo+SwaptionShift))))))</f>
        <v/>
      </c>
      <c r="GP220" s="469" t="str">
        <f ca="1">IF(OR(GP$169&lt;SwaptionFirstMonthPosition+1,$FN220&lt;SwaptionFirstMonthPosition+1,GP$169&gt;SwaptionFirstMonthPosition+SwaptionNumOfMonths+1,$FN220&gt;SwaptionFirstMonthPosition+SwaptionNumOfMonths+1),"",IF($FN220=GP$169,1,IF($FN220&lt;GP$169,INDEX($FO$170:$IH$241,GP$169,$FN220),SUMPRODUCT(INDEX($FO$325:$IH$396,GP$169,1+SwaptionShift):INDEX($FO$325:$IH$396,GP$169,SwaptionMonthsToGo+SwaptionShift),INDEX($FO$245:$IH$316,$FN220-GP$169,73-GP$169+SwaptionShift):INDEX($FO$245:$IH$316,$FN220-GP$169,72-GP$169+SwaptionMonthsToGo+SwaptionShift))/SQRT(SUM(INDEX($FO375:$IH375,1+SwaptionShift):INDEX($FO375:$IH375,SwaptionMonthsToGo+SwaptionShift))*SUM(INDEX($FO$325:$IH$396,GP$169,1+SwaptionShift):INDEX($FO$325:$IH$396,GP$169,SwaptionMonthsToGo+SwaptionShift))))))</f>
        <v/>
      </c>
      <c r="GQ220" s="469" t="str">
        <f ca="1">IF(OR(GQ$169&lt;SwaptionFirstMonthPosition+1,$FN220&lt;SwaptionFirstMonthPosition+1,GQ$169&gt;SwaptionFirstMonthPosition+SwaptionNumOfMonths+1,$FN220&gt;SwaptionFirstMonthPosition+SwaptionNumOfMonths+1),"",IF($FN220=GQ$169,1,IF($FN220&lt;GQ$169,INDEX($FO$170:$IH$241,GQ$169,$FN220),SUMPRODUCT(INDEX($FO$325:$IH$396,GQ$169,1+SwaptionShift):INDEX($FO$325:$IH$396,GQ$169,SwaptionMonthsToGo+SwaptionShift),INDEX($FO$245:$IH$316,$FN220-GQ$169,73-GQ$169+SwaptionShift):INDEX($FO$245:$IH$316,$FN220-GQ$169,72-GQ$169+SwaptionMonthsToGo+SwaptionShift))/SQRT(SUM(INDEX($FO375:$IH375,1+SwaptionShift):INDEX($FO375:$IH375,SwaptionMonthsToGo+SwaptionShift))*SUM(INDEX($FO$325:$IH$396,GQ$169,1+SwaptionShift):INDEX($FO$325:$IH$396,GQ$169,SwaptionMonthsToGo+SwaptionShift))))))</f>
        <v/>
      </c>
      <c r="GR220" s="469" t="str">
        <f ca="1">IF(OR(GR$169&lt;SwaptionFirstMonthPosition+1,$FN220&lt;SwaptionFirstMonthPosition+1,GR$169&gt;SwaptionFirstMonthPosition+SwaptionNumOfMonths+1,$FN220&gt;SwaptionFirstMonthPosition+SwaptionNumOfMonths+1),"",IF($FN220=GR$169,1,IF($FN220&lt;GR$169,INDEX($FO$170:$IH$241,GR$169,$FN220),SUMPRODUCT(INDEX($FO$325:$IH$396,GR$169,1+SwaptionShift):INDEX($FO$325:$IH$396,GR$169,SwaptionMonthsToGo+SwaptionShift),INDEX($FO$245:$IH$316,$FN220-GR$169,73-GR$169+SwaptionShift):INDEX($FO$245:$IH$316,$FN220-GR$169,72-GR$169+SwaptionMonthsToGo+SwaptionShift))/SQRT(SUM(INDEX($FO375:$IH375,1+SwaptionShift):INDEX($FO375:$IH375,SwaptionMonthsToGo+SwaptionShift))*SUM(INDEX($FO$325:$IH$396,GR$169,1+SwaptionShift):INDEX($FO$325:$IH$396,GR$169,SwaptionMonthsToGo+SwaptionShift))))))</f>
        <v/>
      </c>
      <c r="GS220" s="469" t="str">
        <f ca="1">IF(OR(GS$169&lt;SwaptionFirstMonthPosition+1,$FN220&lt;SwaptionFirstMonthPosition+1,GS$169&gt;SwaptionFirstMonthPosition+SwaptionNumOfMonths+1,$FN220&gt;SwaptionFirstMonthPosition+SwaptionNumOfMonths+1),"",IF($FN220=GS$169,1,IF($FN220&lt;GS$169,INDEX($FO$170:$IH$241,GS$169,$FN220),SUMPRODUCT(INDEX($FO$325:$IH$396,GS$169,1+SwaptionShift):INDEX($FO$325:$IH$396,GS$169,SwaptionMonthsToGo+SwaptionShift),INDEX($FO$245:$IH$316,$FN220-GS$169,73-GS$169+SwaptionShift):INDEX($FO$245:$IH$316,$FN220-GS$169,72-GS$169+SwaptionMonthsToGo+SwaptionShift))/SQRT(SUM(INDEX($FO375:$IH375,1+SwaptionShift):INDEX($FO375:$IH375,SwaptionMonthsToGo+SwaptionShift))*SUM(INDEX($FO$325:$IH$396,GS$169,1+SwaptionShift):INDEX($FO$325:$IH$396,GS$169,SwaptionMonthsToGo+SwaptionShift))))))</f>
        <v/>
      </c>
      <c r="GT220" s="469" t="str">
        <f ca="1">IF(OR(GT$169&lt;SwaptionFirstMonthPosition+1,$FN220&lt;SwaptionFirstMonthPosition+1,GT$169&gt;SwaptionFirstMonthPosition+SwaptionNumOfMonths+1,$FN220&gt;SwaptionFirstMonthPosition+SwaptionNumOfMonths+1),"",IF($FN220=GT$169,1,IF($FN220&lt;GT$169,INDEX($FO$170:$IH$241,GT$169,$FN220),SUMPRODUCT(INDEX($FO$325:$IH$396,GT$169,1+SwaptionShift):INDEX($FO$325:$IH$396,GT$169,SwaptionMonthsToGo+SwaptionShift),INDEX($FO$245:$IH$316,$FN220-GT$169,73-GT$169+SwaptionShift):INDEX($FO$245:$IH$316,$FN220-GT$169,72-GT$169+SwaptionMonthsToGo+SwaptionShift))/SQRT(SUM(INDEX($FO375:$IH375,1+SwaptionShift):INDEX($FO375:$IH375,SwaptionMonthsToGo+SwaptionShift))*SUM(INDEX($FO$325:$IH$396,GT$169,1+SwaptionShift):INDEX($FO$325:$IH$396,GT$169,SwaptionMonthsToGo+SwaptionShift))))))</f>
        <v/>
      </c>
      <c r="GU220" s="469" t="str">
        <f ca="1">IF(OR(GU$169&lt;SwaptionFirstMonthPosition+1,$FN220&lt;SwaptionFirstMonthPosition+1,GU$169&gt;SwaptionFirstMonthPosition+SwaptionNumOfMonths+1,$FN220&gt;SwaptionFirstMonthPosition+SwaptionNumOfMonths+1),"",IF($FN220=GU$169,1,IF($FN220&lt;GU$169,INDEX($FO$170:$IH$241,GU$169,$FN220),SUMPRODUCT(INDEX($FO$325:$IH$396,GU$169,1+SwaptionShift):INDEX($FO$325:$IH$396,GU$169,SwaptionMonthsToGo+SwaptionShift),INDEX($FO$245:$IH$316,$FN220-GU$169,73-GU$169+SwaptionShift):INDEX($FO$245:$IH$316,$FN220-GU$169,72-GU$169+SwaptionMonthsToGo+SwaptionShift))/SQRT(SUM(INDEX($FO375:$IH375,1+SwaptionShift):INDEX($FO375:$IH375,SwaptionMonthsToGo+SwaptionShift))*SUM(INDEX($FO$325:$IH$396,GU$169,1+SwaptionShift):INDEX($FO$325:$IH$396,GU$169,SwaptionMonthsToGo+SwaptionShift))))))</f>
        <v/>
      </c>
      <c r="GV220" s="469" t="str">
        <f ca="1">IF(OR(GV$169&lt;SwaptionFirstMonthPosition+1,$FN220&lt;SwaptionFirstMonthPosition+1,GV$169&gt;SwaptionFirstMonthPosition+SwaptionNumOfMonths+1,$FN220&gt;SwaptionFirstMonthPosition+SwaptionNumOfMonths+1),"",IF($FN220=GV$169,1,IF($FN220&lt;GV$169,INDEX($FO$170:$IH$241,GV$169,$FN220),SUMPRODUCT(INDEX($FO$325:$IH$396,GV$169,1+SwaptionShift):INDEX($FO$325:$IH$396,GV$169,SwaptionMonthsToGo+SwaptionShift),INDEX($FO$245:$IH$316,$FN220-GV$169,73-GV$169+SwaptionShift):INDEX($FO$245:$IH$316,$FN220-GV$169,72-GV$169+SwaptionMonthsToGo+SwaptionShift))/SQRT(SUM(INDEX($FO375:$IH375,1+SwaptionShift):INDEX($FO375:$IH375,SwaptionMonthsToGo+SwaptionShift))*SUM(INDEX($FO$325:$IH$396,GV$169,1+SwaptionShift):INDEX($FO$325:$IH$396,GV$169,SwaptionMonthsToGo+SwaptionShift))))))</f>
        <v/>
      </c>
      <c r="GW220" s="469" t="str">
        <f ca="1">IF(OR(GW$169&lt;SwaptionFirstMonthPosition+1,$FN220&lt;SwaptionFirstMonthPosition+1,GW$169&gt;SwaptionFirstMonthPosition+SwaptionNumOfMonths+1,$FN220&gt;SwaptionFirstMonthPosition+SwaptionNumOfMonths+1),"",IF($FN220=GW$169,1,IF($FN220&lt;GW$169,INDEX($FO$170:$IH$241,GW$169,$FN220),SUMPRODUCT(INDEX($FO$325:$IH$396,GW$169,1+SwaptionShift):INDEX($FO$325:$IH$396,GW$169,SwaptionMonthsToGo+SwaptionShift),INDEX($FO$245:$IH$316,$FN220-GW$169,73-GW$169+SwaptionShift):INDEX($FO$245:$IH$316,$FN220-GW$169,72-GW$169+SwaptionMonthsToGo+SwaptionShift))/SQRT(SUM(INDEX($FO375:$IH375,1+SwaptionShift):INDEX($FO375:$IH375,SwaptionMonthsToGo+SwaptionShift))*SUM(INDEX($FO$325:$IH$396,GW$169,1+SwaptionShift):INDEX($FO$325:$IH$396,GW$169,SwaptionMonthsToGo+SwaptionShift))))))</f>
        <v/>
      </c>
      <c r="GX220" s="469" t="str">
        <f ca="1">IF(OR(GX$169&lt;SwaptionFirstMonthPosition+1,$FN220&lt;SwaptionFirstMonthPosition+1,GX$169&gt;SwaptionFirstMonthPosition+SwaptionNumOfMonths+1,$FN220&gt;SwaptionFirstMonthPosition+SwaptionNumOfMonths+1),"",IF($FN220=GX$169,1,IF($FN220&lt;GX$169,INDEX($FO$170:$IH$241,GX$169,$FN220),SUMPRODUCT(INDEX($FO$325:$IH$396,GX$169,1+SwaptionShift):INDEX($FO$325:$IH$396,GX$169,SwaptionMonthsToGo+SwaptionShift),INDEX($FO$245:$IH$316,$FN220-GX$169,73-GX$169+SwaptionShift):INDEX($FO$245:$IH$316,$FN220-GX$169,72-GX$169+SwaptionMonthsToGo+SwaptionShift))/SQRT(SUM(INDEX($FO375:$IH375,1+SwaptionShift):INDEX($FO375:$IH375,SwaptionMonthsToGo+SwaptionShift))*SUM(INDEX($FO$325:$IH$396,GX$169,1+SwaptionShift):INDEX($FO$325:$IH$396,GX$169,SwaptionMonthsToGo+SwaptionShift))))))</f>
        <v/>
      </c>
      <c r="GY220" s="469" t="str">
        <f ca="1">IF(OR(GY$169&lt;SwaptionFirstMonthPosition+1,$FN220&lt;SwaptionFirstMonthPosition+1,GY$169&gt;SwaptionFirstMonthPosition+SwaptionNumOfMonths+1,$FN220&gt;SwaptionFirstMonthPosition+SwaptionNumOfMonths+1),"",IF($FN220=GY$169,1,IF($FN220&lt;GY$169,INDEX($FO$170:$IH$241,GY$169,$FN220),SUMPRODUCT(INDEX($FO$325:$IH$396,GY$169,1+SwaptionShift):INDEX($FO$325:$IH$396,GY$169,SwaptionMonthsToGo+SwaptionShift),INDEX($FO$245:$IH$316,$FN220-GY$169,73-GY$169+SwaptionShift):INDEX($FO$245:$IH$316,$FN220-GY$169,72-GY$169+SwaptionMonthsToGo+SwaptionShift))/SQRT(SUM(INDEX($FO375:$IH375,1+SwaptionShift):INDEX($FO375:$IH375,SwaptionMonthsToGo+SwaptionShift))*SUM(INDEX($FO$325:$IH$396,GY$169,1+SwaptionShift):INDEX($FO$325:$IH$396,GY$169,SwaptionMonthsToGo+SwaptionShift))))))</f>
        <v/>
      </c>
      <c r="GZ220" s="469" t="str">
        <f ca="1">IF(OR(GZ$169&lt;SwaptionFirstMonthPosition+1,$FN220&lt;SwaptionFirstMonthPosition+1,GZ$169&gt;SwaptionFirstMonthPosition+SwaptionNumOfMonths+1,$FN220&gt;SwaptionFirstMonthPosition+SwaptionNumOfMonths+1),"",IF($FN220=GZ$169,1,IF($FN220&lt;GZ$169,INDEX($FO$170:$IH$241,GZ$169,$FN220),SUMPRODUCT(INDEX($FO$325:$IH$396,GZ$169,1+SwaptionShift):INDEX($FO$325:$IH$396,GZ$169,SwaptionMonthsToGo+SwaptionShift),INDEX($FO$245:$IH$316,$FN220-GZ$169,73-GZ$169+SwaptionShift):INDEX($FO$245:$IH$316,$FN220-GZ$169,72-GZ$169+SwaptionMonthsToGo+SwaptionShift))/SQRT(SUM(INDEX($FO375:$IH375,1+SwaptionShift):INDEX($FO375:$IH375,SwaptionMonthsToGo+SwaptionShift))*SUM(INDEX($FO$325:$IH$396,GZ$169,1+SwaptionShift):INDEX($FO$325:$IH$396,GZ$169,SwaptionMonthsToGo+SwaptionShift))))))</f>
        <v/>
      </c>
      <c r="HA220" s="469" t="str">
        <f ca="1">IF(OR(HA$169&lt;SwaptionFirstMonthPosition+1,$FN220&lt;SwaptionFirstMonthPosition+1,HA$169&gt;SwaptionFirstMonthPosition+SwaptionNumOfMonths+1,$FN220&gt;SwaptionFirstMonthPosition+SwaptionNumOfMonths+1),"",IF($FN220=HA$169,1,IF($FN220&lt;HA$169,INDEX($FO$170:$IH$241,HA$169,$FN220),SUMPRODUCT(INDEX($FO$325:$IH$396,HA$169,1+SwaptionShift):INDEX($FO$325:$IH$396,HA$169,SwaptionMonthsToGo+SwaptionShift),INDEX($FO$245:$IH$316,$FN220-HA$169,73-HA$169+SwaptionShift):INDEX($FO$245:$IH$316,$FN220-HA$169,72-HA$169+SwaptionMonthsToGo+SwaptionShift))/SQRT(SUM(INDEX($FO375:$IH375,1+SwaptionShift):INDEX($FO375:$IH375,SwaptionMonthsToGo+SwaptionShift))*SUM(INDEX($FO$325:$IH$396,HA$169,1+SwaptionShift):INDEX($FO$325:$IH$396,HA$169,SwaptionMonthsToGo+SwaptionShift))))))</f>
        <v/>
      </c>
      <c r="HB220" s="469" t="str">
        <f ca="1">IF(OR(HB$169&lt;SwaptionFirstMonthPosition+1,$FN220&lt;SwaptionFirstMonthPosition+1,HB$169&gt;SwaptionFirstMonthPosition+SwaptionNumOfMonths+1,$FN220&gt;SwaptionFirstMonthPosition+SwaptionNumOfMonths+1),"",IF($FN220=HB$169,1,IF($FN220&lt;HB$169,INDEX($FO$170:$IH$241,HB$169,$FN220),SUMPRODUCT(INDEX($FO$325:$IH$396,HB$169,1+SwaptionShift):INDEX($FO$325:$IH$396,HB$169,SwaptionMonthsToGo+SwaptionShift),INDEX($FO$245:$IH$316,$FN220-HB$169,73-HB$169+SwaptionShift):INDEX($FO$245:$IH$316,$FN220-HB$169,72-HB$169+SwaptionMonthsToGo+SwaptionShift))/SQRT(SUM(INDEX($FO375:$IH375,1+SwaptionShift):INDEX($FO375:$IH375,SwaptionMonthsToGo+SwaptionShift))*SUM(INDEX($FO$325:$IH$396,HB$169,1+SwaptionShift):INDEX($FO$325:$IH$396,HB$169,SwaptionMonthsToGo+SwaptionShift))))))</f>
        <v/>
      </c>
      <c r="HC220" s="469" t="str">
        <f ca="1">IF(OR(HC$169&lt;SwaptionFirstMonthPosition+1,$FN220&lt;SwaptionFirstMonthPosition+1,HC$169&gt;SwaptionFirstMonthPosition+SwaptionNumOfMonths+1,$FN220&gt;SwaptionFirstMonthPosition+SwaptionNumOfMonths+1),"",IF($FN220=HC$169,1,IF($FN220&lt;HC$169,INDEX($FO$170:$IH$241,HC$169,$FN220),SUMPRODUCT(INDEX($FO$325:$IH$396,HC$169,1+SwaptionShift):INDEX($FO$325:$IH$396,HC$169,SwaptionMonthsToGo+SwaptionShift),INDEX($FO$245:$IH$316,$FN220-HC$169,73-HC$169+SwaptionShift):INDEX($FO$245:$IH$316,$FN220-HC$169,72-HC$169+SwaptionMonthsToGo+SwaptionShift))/SQRT(SUM(INDEX($FO375:$IH375,1+SwaptionShift):INDEX($FO375:$IH375,SwaptionMonthsToGo+SwaptionShift))*SUM(INDEX($FO$325:$IH$396,HC$169,1+SwaptionShift):INDEX($FO$325:$IH$396,HC$169,SwaptionMonthsToGo+SwaptionShift))))))</f>
        <v/>
      </c>
      <c r="HD220" s="469" t="str">
        <f ca="1">IF(OR(HD$169&lt;SwaptionFirstMonthPosition+1,$FN220&lt;SwaptionFirstMonthPosition+1,HD$169&gt;SwaptionFirstMonthPosition+SwaptionNumOfMonths+1,$FN220&gt;SwaptionFirstMonthPosition+SwaptionNumOfMonths+1),"",IF($FN220=HD$169,1,IF($FN220&lt;HD$169,INDEX($FO$170:$IH$241,HD$169,$FN220),SUMPRODUCT(INDEX($FO$325:$IH$396,HD$169,1+SwaptionShift):INDEX($FO$325:$IH$396,HD$169,SwaptionMonthsToGo+SwaptionShift),INDEX($FO$245:$IH$316,$FN220-HD$169,73-HD$169+SwaptionShift):INDEX($FO$245:$IH$316,$FN220-HD$169,72-HD$169+SwaptionMonthsToGo+SwaptionShift))/SQRT(SUM(INDEX($FO375:$IH375,1+SwaptionShift):INDEX($FO375:$IH375,SwaptionMonthsToGo+SwaptionShift))*SUM(INDEX($FO$325:$IH$396,HD$169,1+SwaptionShift):INDEX($FO$325:$IH$396,HD$169,SwaptionMonthsToGo+SwaptionShift))))))</f>
        <v/>
      </c>
      <c r="HE220" s="469" t="str">
        <f ca="1">IF(OR(HE$169&lt;SwaptionFirstMonthPosition+1,$FN220&lt;SwaptionFirstMonthPosition+1,HE$169&gt;SwaptionFirstMonthPosition+SwaptionNumOfMonths+1,$FN220&gt;SwaptionFirstMonthPosition+SwaptionNumOfMonths+1),"",IF($FN220=HE$169,1,IF($FN220&lt;HE$169,INDEX($FO$170:$IH$241,HE$169,$FN220),SUMPRODUCT(INDEX($FO$325:$IH$396,HE$169,1+SwaptionShift):INDEX($FO$325:$IH$396,HE$169,SwaptionMonthsToGo+SwaptionShift),INDEX($FO$245:$IH$316,$FN220-HE$169,73-HE$169+SwaptionShift):INDEX($FO$245:$IH$316,$FN220-HE$169,72-HE$169+SwaptionMonthsToGo+SwaptionShift))/SQRT(SUM(INDEX($FO375:$IH375,1+SwaptionShift):INDEX($FO375:$IH375,SwaptionMonthsToGo+SwaptionShift))*SUM(INDEX($FO$325:$IH$396,HE$169,1+SwaptionShift):INDEX($FO$325:$IH$396,HE$169,SwaptionMonthsToGo+SwaptionShift))))))</f>
        <v/>
      </c>
      <c r="HF220" s="469" t="str">
        <f ca="1">IF(OR(HF$169&lt;SwaptionFirstMonthPosition+1,$FN220&lt;SwaptionFirstMonthPosition+1,HF$169&gt;SwaptionFirstMonthPosition+SwaptionNumOfMonths+1,$FN220&gt;SwaptionFirstMonthPosition+SwaptionNumOfMonths+1),"",IF($FN220=HF$169,1,IF($FN220&lt;HF$169,INDEX($FO$170:$IH$241,HF$169,$FN220),SUMPRODUCT(INDEX($FO$325:$IH$396,HF$169,1+SwaptionShift):INDEX($FO$325:$IH$396,HF$169,SwaptionMonthsToGo+SwaptionShift),INDEX($FO$245:$IH$316,$FN220-HF$169,73-HF$169+SwaptionShift):INDEX($FO$245:$IH$316,$FN220-HF$169,72-HF$169+SwaptionMonthsToGo+SwaptionShift))/SQRT(SUM(INDEX($FO375:$IH375,1+SwaptionShift):INDEX($FO375:$IH375,SwaptionMonthsToGo+SwaptionShift))*SUM(INDEX($FO$325:$IH$396,HF$169,1+SwaptionShift):INDEX($FO$325:$IH$396,HF$169,SwaptionMonthsToGo+SwaptionShift))))))</f>
        <v/>
      </c>
      <c r="HG220" s="469" t="str">
        <f ca="1">IF(OR(HG$169&lt;SwaptionFirstMonthPosition+1,$FN220&lt;SwaptionFirstMonthPosition+1,HG$169&gt;SwaptionFirstMonthPosition+SwaptionNumOfMonths+1,$FN220&gt;SwaptionFirstMonthPosition+SwaptionNumOfMonths+1),"",IF($FN220=HG$169,1,IF($FN220&lt;HG$169,INDEX($FO$170:$IH$241,HG$169,$FN220),SUMPRODUCT(INDEX($FO$325:$IH$396,HG$169,1+SwaptionShift):INDEX($FO$325:$IH$396,HG$169,SwaptionMonthsToGo+SwaptionShift),INDEX($FO$245:$IH$316,$FN220-HG$169,73-HG$169+SwaptionShift):INDEX($FO$245:$IH$316,$FN220-HG$169,72-HG$169+SwaptionMonthsToGo+SwaptionShift))/SQRT(SUM(INDEX($FO375:$IH375,1+SwaptionShift):INDEX($FO375:$IH375,SwaptionMonthsToGo+SwaptionShift))*SUM(INDEX($FO$325:$IH$396,HG$169,1+SwaptionShift):INDEX($FO$325:$IH$396,HG$169,SwaptionMonthsToGo+SwaptionShift))))))</f>
        <v/>
      </c>
      <c r="HH220" s="469" t="str">
        <f ca="1">IF(OR(HH$169&lt;SwaptionFirstMonthPosition+1,$FN220&lt;SwaptionFirstMonthPosition+1,HH$169&gt;SwaptionFirstMonthPosition+SwaptionNumOfMonths+1,$FN220&gt;SwaptionFirstMonthPosition+SwaptionNumOfMonths+1),"",IF($FN220=HH$169,1,IF($FN220&lt;HH$169,INDEX($FO$170:$IH$241,HH$169,$FN220),SUMPRODUCT(INDEX($FO$325:$IH$396,HH$169,1+SwaptionShift):INDEX($FO$325:$IH$396,HH$169,SwaptionMonthsToGo+SwaptionShift),INDEX($FO$245:$IH$316,$FN220-HH$169,73-HH$169+SwaptionShift):INDEX($FO$245:$IH$316,$FN220-HH$169,72-HH$169+SwaptionMonthsToGo+SwaptionShift))/SQRT(SUM(INDEX($FO375:$IH375,1+SwaptionShift):INDEX($FO375:$IH375,SwaptionMonthsToGo+SwaptionShift))*SUM(INDEX($FO$325:$IH$396,HH$169,1+SwaptionShift):INDEX($FO$325:$IH$396,HH$169,SwaptionMonthsToGo+SwaptionShift))))))</f>
        <v/>
      </c>
      <c r="HI220" s="469" t="str">
        <f ca="1">IF(OR(HI$169&lt;SwaptionFirstMonthPosition+1,$FN220&lt;SwaptionFirstMonthPosition+1,HI$169&gt;SwaptionFirstMonthPosition+SwaptionNumOfMonths+1,$FN220&gt;SwaptionFirstMonthPosition+SwaptionNumOfMonths+1),"",IF($FN220=HI$169,1,IF($FN220&lt;HI$169,INDEX($FO$170:$IH$241,HI$169,$FN220),SUMPRODUCT(INDEX($FO$325:$IH$396,HI$169,1+SwaptionShift):INDEX($FO$325:$IH$396,HI$169,SwaptionMonthsToGo+SwaptionShift),INDEX($FO$245:$IH$316,$FN220-HI$169,73-HI$169+SwaptionShift):INDEX($FO$245:$IH$316,$FN220-HI$169,72-HI$169+SwaptionMonthsToGo+SwaptionShift))/SQRT(SUM(INDEX($FO375:$IH375,1+SwaptionShift):INDEX($FO375:$IH375,SwaptionMonthsToGo+SwaptionShift))*SUM(INDEX($FO$325:$IH$396,HI$169,1+SwaptionShift):INDEX($FO$325:$IH$396,HI$169,SwaptionMonthsToGo+SwaptionShift))))))</f>
        <v/>
      </c>
      <c r="HJ220" s="469" t="str">
        <f ca="1">IF(OR(HJ$169&lt;SwaptionFirstMonthPosition+1,$FN220&lt;SwaptionFirstMonthPosition+1,HJ$169&gt;SwaptionFirstMonthPosition+SwaptionNumOfMonths+1,$FN220&gt;SwaptionFirstMonthPosition+SwaptionNumOfMonths+1),"",IF($FN220=HJ$169,1,IF($FN220&lt;HJ$169,INDEX($FO$170:$IH$241,HJ$169,$FN220),SUMPRODUCT(INDEX($FO$325:$IH$396,HJ$169,1+SwaptionShift):INDEX($FO$325:$IH$396,HJ$169,SwaptionMonthsToGo+SwaptionShift),INDEX($FO$245:$IH$316,$FN220-HJ$169,73-HJ$169+SwaptionShift):INDEX($FO$245:$IH$316,$FN220-HJ$169,72-HJ$169+SwaptionMonthsToGo+SwaptionShift))/SQRT(SUM(INDEX($FO375:$IH375,1+SwaptionShift):INDEX($FO375:$IH375,SwaptionMonthsToGo+SwaptionShift))*SUM(INDEX($FO$325:$IH$396,HJ$169,1+SwaptionShift):INDEX($FO$325:$IH$396,HJ$169,SwaptionMonthsToGo+SwaptionShift))))))</f>
        <v/>
      </c>
      <c r="HK220" s="469" t="str">
        <f ca="1">IF(OR(HK$169&lt;SwaptionFirstMonthPosition+1,$FN220&lt;SwaptionFirstMonthPosition+1,HK$169&gt;SwaptionFirstMonthPosition+SwaptionNumOfMonths+1,$FN220&gt;SwaptionFirstMonthPosition+SwaptionNumOfMonths+1),"",IF($FN220=HK$169,1,IF($FN220&lt;HK$169,INDEX($FO$170:$IH$241,HK$169,$FN220),SUMPRODUCT(INDEX($FO$325:$IH$396,HK$169,1+SwaptionShift):INDEX($FO$325:$IH$396,HK$169,SwaptionMonthsToGo+SwaptionShift),INDEX($FO$245:$IH$316,$FN220-HK$169,73-HK$169+SwaptionShift):INDEX($FO$245:$IH$316,$FN220-HK$169,72-HK$169+SwaptionMonthsToGo+SwaptionShift))/SQRT(SUM(INDEX($FO375:$IH375,1+SwaptionShift):INDEX($FO375:$IH375,SwaptionMonthsToGo+SwaptionShift))*SUM(INDEX($FO$325:$IH$396,HK$169,1+SwaptionShift):INDEX($FO$325:$IH$396,HK$169,SwaptionMonthsToGo+SwaptionShift))))))</f>
        <v/>
      </c>
      <c r="HL220" s="469" t="str">
        <f ca="1">IF(OR(HL$169&lt;SwaptionFirstMonthPosition+1,$FN220&lt;SwaptionFirstMonthPosition+1,HL$169&gt;SwaptionFirstMonthPosition+SwaptionNumOfMonths+1,$FN220&gt;SwaptionFirstMonthPosition+SwaptionNumOfMonths+1),"",IF($FN220=HL$169,1,IF($FN220&lt;HL$169,INDEX($FO$170:$IH$241,HL$169,$FN220),SUMPRODUCT(INDEX($FO$325:$IH$396,HL$169,1+SwaptionShift):INDEX($FO$325:$IH$396,HL$169,SwaptionMonthsToGo+SwaptionShift),INDEX($FO$245:$IH$316,$FN220-HL$169,73-HL$169+SwaptionShift):INDEX($FO$245:$IH$316,$FN220-HL$169,72-HL$169+SwaptionMonthsToGo+SwaptionShift))/SQRT(SUM(INDEX($FO375:$IH375,1+SwaptionShift):INDEX($FO375:$IH375,SwaptionMonthsToGo+SwaptionShift))*SUM(INDEX($FO$325:$IH$396,HL$169,1+SwaptionShift):INDEX($FO$325:$IH$396,HL$169,SwaptionMonthsToGo+SwaptionShift))))))</f>
        <v/>
      </c>
      <c r="HM220" s="469" t="str">
        <f ca="1">IF(OR(HM$169&lt;SwaptionFirstMonthPosition+1,$FN220&lt;SwaptionFirstMonthPosition+1,HM$169&gt;SwaptionFirstMonthPosition+SwaptionNumOfMonths+1,$FN220&gt;SwaptionFirstMonthPosition+SwaptionNumOfMonths+1),"",IF($FN220=HM$169,1,IF($FN220&lt;HM$169,INDEX($FO$170:$IH$241,HM$169,$FN220),SUMPRODUCT(INDEX($FO$325:$IH$396,HM$169,1+SwaptionShift):INDEX($FO$325:$IH$396,HM$169,SwaptionMonthsToGo+SwaptionShift),INDEX($FO$245:$IH$316,$FN220-HM$169,73-HM$169+SwaptionShift):INDEX($FO$245:$IH$316,$FN220-HM$169,72-HM$169+SwaptionMonthsToGo+SwaptionShift))/SQRT(SUM(INDEX($FO375:$IH375,1+SwaptionShift):INDEX($FO375:$IH375,SwaptionMonthsToGo+SwaptionShift))*SUM(INDEX($FO$325:$IH$396,HM$169,1+SwaptionShift):INDEX($FO$325:$IH$396,HM$169,SwaptionMonthsToGo+SwaptionShift))))))</f>
        <v/>
      </c>
      <c r="HN220" s="469" t="str">
        <f ca="1">IF(OR(HN$169&lt;SwaptionFirstMonthPosition+1,$FN220&lt;SwaptionFirstMonthPosition+1,HN$169&gt;SwaptionFirstMonthPosition+SwaptionNumOfMonths+1,$FN220&gt;SwaptionFirstMonthPosition+SwaptionNumOfMonths+1),"",IF($FN220=HN$169,1,IF($FN220&lt;HN$169,INDEX($FO$170:$IH$241,HN$169,$FN220),SUMPRODUCT(INDEX($FO$325:$IH$396,HN$169,1+SwaptionShift):INDEX($FO$325:$IH$396,HN$169,SwaptionMonthsToGo+SwaptionShift),INDEX($FO$245:$IH$316,$FN220-HN$169,73-HN$169+SwaptionShift):INDEX($FO$245:$IH$316,$FN220-HN$169,72-HN$169+SwaptionMonthsToGo+SwaptionShift))/SQRT(SUM(INDEX($FO375:$IH375,1+SwaptionShift):INDEX($FO375:$IH375,SwaptionMonthsToGo+SwaptionShift))*SUM(INDEX($FO$325:$IH$396,HN$169,1+SwaptionShift):INDEX($FO$325:$IH$396,HN$169,SwaptionMonthsToGo+SwaptionShift))))))</f>
        <v/>
      </c>
      <c r="HO220" s="469" t="str">
        <f ca="1">IF(OR(HO$169&lt;SwaptionFirstMonthPosition+1,$FN220&lt;SwaptionFirstMonthPosition+1,HO$169&gt;SwaptionFirstMonthPosition+SwaptionNumOfMonths+1,$FN220&gt;SwaptionFirstMonthPosition+SwaptionNumOfMonths+1),"",IF($FN220=HO$169,1,IF($FN220&lt;HO$169,INDEX($FO$170:$IH$241,HO$169,$FN220),SUMPRODUCT(INDEX($FO$325:$IH$396,HO$169,1+SwaptionShift):INDEX($FO$325:$IH$396,HO$169,SwaptionMonthsToGo+SwaptionShift),INDEX($FO$245:$IH$316,$FN220-HO$169,73-HO$169+SwaptionShift):INDEX($FO$245:$IH$316,$FN220-HO$169,72-HO$169+SwaptionMonthsToGo+SwaptionShift))/SQRT(SUM(INDEX($FO375:$IH375,1+SwaptionShift):INDEX($FO375:$IH375,SwaptionMonthsToGo+SwaptionShift))*SUM(INDEX($FO$325:$IH$396,HO$169,1+SwaptionShift):INDEX($FO$325:$IH$396,HO$169,SwaptionMonthsToGo+SwaptionShift))))))</f>
        <v/>
      </c>
      <c r="HP220" s="469" t="str">
        <f ca="1">IF(OR(HP$169&lt;SwaptionFirstMonthPosition+1,$FN220&lt;SwaptionFirstMonthPosition+1,HP$169&gt;SwaptionFirstMonthPosition+SwaptionNumOfMonths+1,$FN220&gt;SwaptionFirstMonthPosition+SwaptionNumOfMonths+1),"",IF($FN220=HP$169,1,IF($FN220&lt;HP$169,INDEX($FO$170:$IH$241,HP$169,$FN220),SUMPRODUCT(INDEX($FO$325:$IH$396,HP$169,1+SwaptionShift):INDEX($FO$325:$IH$396,HP$169,SwaptionMonthsToGo+SwaptionShift),INDEX($FO$245:$IH$316,$FN220-HP$169,73-HP$169+SwaptionShift):INDEX($FO$245:$IH$316,$FN220-HP$169,72-HP$169+SwaptionMonthsToGo+SwaptionShift))/SQRT(SUM(INDEX($FO375:$IH375,1+SwaptionShift):INDEX($FO375:$IH375,SwaptionMonthsToGo+SwaptionShift))*SUM(INDEX($FO$325:$IH$396,HP$169,1+SwaptionShift):INDEX($FO$325:$IH$396,HP$169,SwaptionMonthsToGo+SwaptionShift))))))</f>
        <v/>
      </c>
      <c r="HQ220" s="469" t="str">
        <f ca="1">IF(OR(HQ$169&lt;SwaptionFirstMonthPosition+1,$FN220&lt;SwaptionFirstMonthPosition+1,HQ$169&gt;SwaptionFirstMonthPosition+SwaptionNumOfMonths+1,$FN220&gt;SwaptionFirstMonthPosition+SwaptionNumOfMonths+1),"",IF($FN220=HQ$169,1,IF($FN220&lt;HQ$169,INDEX($FO$170:$IH$241,HQ$169,$FN220),SUMPRODUCT(INDEX($FO$325:$IH$396,HQ$169,1+SwaptionShift):INDEX($FO$325:$IH$396,HQ$169,SwaptionMonthsToGo+SwaptionShift),INDEX($FO$245:$IH$316,$FN220-HQ$169,73-HQ$169+SwaptionShift):INDEX($FO$245:$IH$316,$FN220-HQ$169,72-HQ$169+SwaptionMonthsToGo+SwaptionShift))/SQRT(SUM(INDEX($FO375:$IH375,1+SwaptionShift):INDEX($FO375:$IH375,SwaptionMonthsToGo+SwaptionShift))*SUM(INDEX($FO$325:$IH$396,HQ$169,1+SwaptionShift):INDEX($FO$325:$IH$396,HQ$169,SwaptionMonthsToGo+SwaptionShift))))))</f>
        <v/>
      </c>
      <c r="HR220" s="469" t="str">
        <f ca="1">IF(OR(HR$169&lt;SwaptionFirstMonthPosition+1,$FN220&lt;SwaptionFirstMonthPosition+1,HR$169&gt;SwaptionFirstMonthPosition+SwaptionNumOfMonths+1,$FN220&gt;SwaptionFirstMonthPosition+SwaptionNumOfMonths+1),"",IF($FN220=HR$169,1,IF($FN220&lt;HR$169,INDEX($FO$170:$IH$241,HR$169,$FN220),SUMPRODUCT(INDEX($FO$325:$IH$396,HR$169,1+SwaptionShift):INDEX($FO$325:$IH$396,HR$169,SwaptionMonthsToGo+SwaptionShift),INDEX($FO$245:$IH$316,$FN220-HR$169,73-HR$169+SwaptionShift):INDEX($FO$245:$IH$316,$FN220-HR$169,72-HR$169+SwaptionMonthsToGo+SwaptionShift))/SQRT(SUM(INDEX($FO375:$IH375,1+SwaptionShift):INDEX($FO375:$IH375,SwaptionMonthsToGo+SwaptionShift))*SUM(INDEX($FO$325:$IH$396,HR$169,1+SwaptionShift):INDEX($FO$325:$IH$396,HR$169,SwaptionMonthsToGo+SwaptionShift))))))</f>
        <v/>
      </c>
      <c r="HS220" s="469" t="str">
        <f ca="1">IF(OR(HS$169&lt;SwaptionFirstMonthPosition+1,$FN220&lt;SwaptionFirstMonthPosition+1,HS$169&gt;SwaptionFirstMonthPosition+SwaptionNumOfMonths+1,$FN220&gt;SwaptionFirstMonthPosition+SwaptionNumOfMonths+1),"",IF($FN220=HS$169,1,IF($FN220&lt;HS$169,INDEX($FO$170:$IH$241,HS$169,$FN220),SUMPRODUCT(INDEX($FO$325:$IH$396,HS$169,1+SwaptionShift):INDEX($FO$325:$IH$396,HS$169,SwaptionMonthsToGo+SwaptionShift),INDEX($FO$245:$IH$316,$FN220-HS$169,73-HS$169+SwaptionShift):INDEX($FO$245:$IH$316,$FN220-HS$169,72-HS$169+SwaptionMonthsToGo+SwaptionShift))/SQRT(SUM(INDEX($FO375:$IH375,1+SwaptionShift):INDEX($FO375:$IH375,SwaptionMonthsToGo+SwaptionShift))*SUM(INDEX($FO$325:$IH$396,HS$169,1+SwaptionShift):INDEX($FO$325:$IH$396,HS$169,SwaptionMonthsToGo+SwaptionShift))))))</f>
        <v/>
      </c>
      <c r="HT220" s="469" t="str">
        <f ca="1">IF(OR(HT$169&lt;SwaptionFirstMonthPosition+1,$FN220&lt;SwaptionFirstMonthPosition+1,HT$169&gt;SwaptionFirstMonthPosition+SwaptionNumOfMonths+1,$FN220&gt;SwaptionFirstMonthPosition+SwaptionNumOfMonths+1),"",IF($FN220=HT$169,1,IF($FN220&lt;HT$169,INDEX($FO$170:$IH$241,HT$169,$FN220),SUMPRODUCT(INDEX($FO$325:$IH$396,HT$169,1+SwaptionShift):INDEX($FO$325:$IH$396,HT$169,SwaptionMonthsToGo+SwaptionShift),INDEX($FO$245:$IH$316,$FN220-HT$169,73-HT$169+SwaptionShift):INDEX($FO$245:$IH$316,$FN220-HT$169,72-HT$169+SwaptionMonthsToGo+SwaptionShift))/SQRT(SUM(INDEX($FO375:$IH375,1+SwaptionShift):INDEX($FO375:$IH375,SwaptionMonthsToGo+SwaptionShift))*SUM(INDEX($FO$325:$IH$396,HT$169,1+SwaptionShift):INDEX($FO$325:$IH$396,HT$169,SwaptionMonthsToGo+SwaptionShift))))))</f>
        <v/>
      </c>
      <c r="HU220" s="469" t="str">
        <f ca="1">IF(OR(HU$169&lt;SwaptionFirstMonthPosition+1,$FN220&lt;SwaptionFirstMonthPosition+1,HU$169&gt;SwaptionFirstMonthPosition+SwaptionNumOfMonths+1,$FN220&gt;SwaptionFirstMonthPosition+SwaptionNumOfMonths+1),"",IF($FN220=HU$169,1,IF($FN220&lt;HU$169,INDEX($FO$170:$IH$241,HU$169,$FN220),SUMPRODUCT(INDEX($FO$325:$IH$396,HU$169,1+SwaptionShift):INDEX($FO$325:$IH$396,HU$169,SwaptionMonthsToGo+SwaptionShift),INDEX($FO$245:$IH$316,$FN220-HU$169,73-HU$169+SwaptionShift):INDEX($FO$245:$IH$316,$FN220-HU$169,72-HU$169+SwaptionMonthsToGo+SwaptionShift))/SQRT(SUM(INDEX($FO375:$IH375,1+SwaptionShift):INDEX($FO375:$IH375,SwaptionMonthsToGo+SwaptionShift))*SUM(INDEX($FO$325:$IH$396,HU$169,1+SwaptionShift):INDEX($FO$325:$IH$396,HU$169,SwaptionMonthsToGo+SwaptionShift))))))</f>
        <v/>
      </c>
      <c r="HV220" s="469" t="str">
        <f ca="1">IF(OR(HV$169&lt;SwaptionFirstMonthPosition+1,$FN220&lt;SwaptionFirstMonthPosition+1,HV$169&gt;SwaptionFirstMonthPosition+SwaptionNumOfMonths+1,$FN220&gt;SwaptionFirstMonthPosition+SwaptionNumOfMonths+1),"",IF($FN220=HV$169,1,IF($FN220&lt;HV$169,INDEX($FO$170:$IH$241,HV$169,$FN220),SUMPRODUCT(INDEX($FO$325:$IH$396,HV$169,1+SwaptionShift):INDEX($FO$325:$IH$396,HV$169,SwaptionMonthsToGo+SwaptionShift),INDEX($FO$245:$IH$316,$FN220-HV$169,73-HV$169+SwaptionShift):INDEX($FO$245:$IH$316,$FN220-HV$169,72-HV$169+SwaptionMonthsToGo+SwaptionShift))/SQRT(SUM(INDEX($FO375:$IH375,1+SwaptionShift):INDEX($FO375:$IH375,SwaptionMonthsToGo+SwaptionShift))*SUM(INDEX($FO$325:$IH$396,HV$169,1+SwaptionShift):INDEX($FO$325:$IH$396,HV$169,SwaptionMonthsToGo+SwaptionShift))))))</f>
        <v/>
      </c>
      <c r="HW220" s="469" t="str">
        <f ca="1">IF(OR(HW$169&lt;SwaptionFirstMonthPosition+1,$FN220&lt;SwaptionFirstMonthPosition+1,HW$169&gt;SwaptionFirstMonthPosition+SwaptionNumOfMonths+1,$FN220&gt;SwaptionFirstMonthPosition+SwaptionNumOfMonths+1),"",IF($FN220=HW$169,1,IF($FN220&lt;HW$169,INDEX($FO$170:$IH$241,HW$169,$FN220),SUMPRODUCT(INDEX($FO$325:$IH$396,HW$169,1+SwaptionShift):INDEX($FO$325:$IH$396,HW$169,SwaptionMonthsToGo+SwaptionShift),INDEX($FO$245:$IH$316,$FN220-HW$169,73-HW$169+SwaptionShift):INDEX($FO$245:$IH$316,$FN220-HW$169,72-HW$169+SwaptionMonthsToGo+SwaptionShift))/SQRT(SUM(INDEX($FO375:$IH375,1+SwaptionShift):INDEX($FO375:$IH375,SwaptionMonthsToGo+SwaptionShift))*SUM(INDEX($FO$325:$IH$396,HW$169,1+SwaptionShift):INDEX($FO$325:$IH$396,HW$169,SwaptionMonthsToGo+SwaptionShift))))))</f>
        <v/>
      </c>
      <c r="HX220" s="469" t="str">
        <f ca="1">IF(OR(HX$169&lt;SwaptionFirstMonthPosition+1,$FN220&lt;SwaptionFirstMonthPosition+1,HX$169&gt;SwaptionFirstMonthPosition+SwaptionNumOfMonths+1,$FN220&gt;SwaptionFirstMonthPosition+SwaptionNumOfMonths+1),"",IF($FN220=HX$169,1,IF($FN220&lt;HX$169,INDEX($FO$170:$IH$241,HX$169,$FN220),SUMPRODUCT(INDEX($FO$325:$IH$396,HX$169,1+SwaptionShift):INDEX($FO$325:$IH$396,HX$169,SwaptionMonthsToGo+SwaptionShift),INDEX($FO$245:$IH$316,$FN220-HX$169,73-HX$169+SwaptionShift):INDEX($FO$245:$IH$316,$FN220-HX$169,72-HX$169+SwaptionMonthsToGo+SwaptionShift))/SQRT(SUM(INDEX($FO375:$IH375,1+SwaptionShift):INDEX($FO375:$IH375,SwaptionMonthsToGo+SwaptionShift))*SUM(INDEX($FO$325:$IH$396,HX$169,1+SwaptionShift):INDEX($FO$325:$IH$396,HX$169,SwaptionMonthsToGo+SwaptionShift))))))</f>
        <v/>
      </c>
      <c r="HY220" s="469" t="str">
        <f ca="1">IF(OR(HY$169&lt;SwaptionFirstMonthPosition+1,$FN220&lt;SwaptionFirstMonthPosition+1,HY$169&gt;SwaptionFirstMonthPosition+SwaptionNumOfMonths+1,$FN220&gt;SwaptionFirstMonthPosition+SwaptionNumOfMonths+1),"",IF($FN220=HY$169,1,IF($FN220&lt;HY$169,INDEX($FO$170:$IH$241,HY$169,$FN220),SUMPRODUCT(INDEX($FO$325:$IH$396,HY$169,1+SwaptionShift):INDEX($FO$325:$IH$396,HY$169,SwaptionMonthsToGo+SwaptionShift),INDEX($FO$245:$IH$316,$FN220-HY$169,73-HY$169+SwaptionShift):INDEX($FO$245:$IH$316,$FN220-HY$169,72-HY$169+SwaptionMonthsToGo+SwaptionShift))/SQRT(SUM(INDEX($FO375:$IH375,1+SwaptionShift):INDEX($FO375:$IH375,SwaptionMonthsToGo+SwaptionShift))*SUM(INDEX($FO$325:$IH$396,HY$169,1+SwaptionShift):INDEX($FO$325:$IH$396,HY$169,SwaptionMonthsToGo+SwaptionShift))))))</f>
        <v/>
      </c>
      <c r="HZ220" s="469" t="str">
        <f ca="1">IF(OR(HZ$169&lt;SwaptionFirstMonthPosition+1,$FN220&lt;SwaptionFirstMonthPosition+1,HZ$169&gt;SwaptionFirstMonthPosition+SwaptionNumOfMonths+1,$FN220&gt;SwaptionFirstMonthPosition+SwaptionNumOfMonths+1),"",IF($FN220=HZ$169,1,IF($FN220&lt;HZ$169,INDEX($FO$170:$IH$241,HZ$169,$FN220),SUMPRODUCT(INDEX($FO$325:$IH$396,HZ$169,1+SwaptionShift):INDEX($FO$325:$IH$396,HZ$169,SwaptionMonthsToGo+SwaptionShift),INDEX($FO$245:$IH$316,$FN220-HZ$169,73-HZ$169+SwaptionShift):INDEX($FO$245:$IH$316,$FN220-HZ$169,72-HZ$169+SwaptionMonthsToGo+SwaptionShift))/SQRT(SUM(INDEX($FO375:$IH375,1+SwaptionShift):INDEX($FO375:$IH375,SwaptionMonthsToGo+SwaptionShift))*SUM(INDEX($FO$325:$IH$396,HZ$169,1+SwaptionShift):INDEX($FO$325:$IH$396,HZ$169,SwaptionMonthsToGo+SwaptionShift))))))</f>
        <v/>
      </c>
      <c r="IA220" s="469" t="str">
        <f ca="1">IF(OR(IA$169&lt;SwaptionFirstMonthPosition+1,$FN220&lt;SwaptionFirstMonthPosition+1,IA$169&gt;SwaptionFirstMonthPosition+SwaptionNumOfMonths+1,$FN220&gt;SwaptionFirstMonthPosition+SwaptionNumOfMonths+1),"",IF($FN220=IA$169,1,IF($FN220&lt;IA$169,INDEX($FO$170:$IH$241,IA$169,$FN220),SUMPRODUCT(INDEX($FO$325:$IH$396,IA$169,1+SwaptionShift):INDEX($FO$325:$IH$396,IA$169,SwaptionMonthsToGo+SwaptionShift),INDEX($FO$245:$IH$316,$FN220-IA$169,73-IA$169+SwaptionShift):INDEX($FO$245:$IH$316,$FN220-IA$169,72-IA$169+SwaptionMonthsToGo+SwaptionShift))/SQRT(SUM(INDEX($FO375:$IH375,1+SwaptionShift):INDEX($FO375:$IH375,SwaptionMonthsToGo+SwaptionShift))*SUM(INDEX($FO$325:$IH$396,IA$169,1+SwaptionShift):INDEX($FO$325:$IH$396,IA$169,SwaptionMonthsToGo+SwaptionShift))))))</f>
        <v/>
      </c>
      <c r="IB220" s="469" t="str">
        <f ca="1">IF(OR(IB$169&lt;SwaptionFirstMonthPosition+1,$FN220&lt;SwaptionFirstMonthPosition+1,IB$169&gt;SwaptionFirstMonthPosition+SwaptionNumOfMonths+1,$FN220&gt;SwaptionFirstMonthPosition+SwaptionNumOfMonths+1),"",IF($FN220=IB$169,1,IF($FN220&lt;IB$169,INDEX($FO$170:$IH$241,IB$169,$FN220),SUMPRODUCT(INDEX($FO$325:$IH$396,IB$169,1+SwaptionShift):INDEX($FO$325:$IH$396,IB$169,SwaptionMonthsToGo+SwaptionShift),INDEX($FO$245:$IH$316,$FN220-IB$169,73-IB$169+SwaptionShift):INDEX($FO$245:$IH$316,$FN220-IB$169,72-IB$169+SwaptionMonthsToGo+SwaptionShift))/SQRT(SUM(INDEX($FO375:$IH375,1+SwaptionShift):INDEX($FO375:$IH375,SwaptionMonthsToGo+SwaptionShift))*SUM(INDEX($FO$325:$IH$396,IB$169,1+SwaptionShift):INDEX($FO$325:$IH$396,IB$169,SwaptionMonthsToGo+SwaptionShift))))))</f>
        <v/>
      </c>
      <c r="IC220" s="469" t="str">
        <f ca="1">IF(OR(IC$169&lt;SwaptionFirstMonthPosition+1,$FN220&lt;SwaptionFirstMonthPosition+1,IC$169&gt;SwaptionFirstMonthPosition+SwaptionNumOfMonths+1,$FN220&gt;SwaptionFirstMonthPosition+SwaptionNumOfMonths+1),"",IF($FN220=IC$169,1,IF($FN220&lt;IC$169,INDEX($FO$170:$IH$241,IC$169,$FN220),SUMPRODUCT(INDEX($FO$325:$IH$396,IC$169,1+SwaptionShift):INDEX($FO$325:$IH$396,IC$169,SwaptionMonthsToGo+SwaptionShift),INDEX($FO$245:$IH$316,$FN220-IC$169,73-IC$169+SwaptionShift):INDEX($FO$245:$IH$316,$FN220-IC$169,72-IC$169+SwaptionMonthsToGo+SwaptionShift))/SQRT(SUM(INDEX($FO375:$IH375,1+SwaptionShift):INDEX($FO375:$IH375,SwaptionMonthsToGo+SwaptionShift))*SUM(INDEX($FO$325:$IH$396,IC$169,1+SwaptionShift):INDEX($FO$325:$IH$396,IC$169,SwaptionMonthsToGo+SwaptionShift))))))</f>
        <v/>
      </c>
      <c r="ID220" s="469" t="str">
        <f ca="1">IF(OR(ID$169&lt;SwaptionFirstMonthPosition+1,$FN220&lt;SwaptionFirstMonthPosition+1,ID$169&gt;SwaptionFirstMonthPosition+SwaptionNumOfMonths+1,$FN220&gt;SwaptionFirstMonthPosition+SwaptionNumOfMonths+1),"",IF($FN220=ID$169,1,IF($FN220&lt;ID$169,INDEX($FO$170:$IH$241,ID$169,$FN220),SUMPRODUCT(INDEX($FO$325:$IH$396,ID$169,1+SwaptionShift):INDEX($FO$325:$IH$396,ID$169,SwaptionMonthsToGo+SwaptionShift),INDEX($FO$245:$IH$316,$FN220-ID$169,73-ID$169+SwaptionShift):INDEX($FO$245:$IH$316,$FN220-ID$169,72-ID$169+SwaptionMonthsToGo+SwaptionShift))/SQRT(SUM(INDEX($FO375:$IH375,1+SwaptionShift):INDEX($FO375:$IH375,SwaptionMonthsToGo+SwaptionShift))*SUM(INDEX($FO$325:$IH$396,ID$169,1+SwaptionShift):INDEX($FO$325:$IH$396,ID$169,SwaptionMonthsToGo+SwaptionShift))))))</f>
        <v/>
      </c>
      <c r="IE220" s="469" t="str">
        <f ca="1">IF(OR(IE$169&lt;SwaptionFirstMonthPosition+1,$FN220&lt;SwaptionFirstMonthPosition+1,IE$169&gt;SwaptionFirstMonthPosition+SwaptionNumOfMonths+1,$FN220&gt;SwaptionFirstMonthPosition+SwaptionNumOfMonths+1),"",IF($FN220=IE$169,1,IF($FN220&lt;IE$169,INDEX($FO$170:$IH$241,IE$169,$FN220),SUMPRODUCT(INDEX($FO$325:$IH$396,IE$169,1+SwaptionShift):INDEX($FO$325:$IH$396,IE$169,SwaptionMonthsToGo+SwaptionShift),INDEX($FO$245:$IH$316,$FN220-IE$169,73-IE$169+SwaptionShift):INDEX($FO$245:$IH$316,$FN220-IE$169,72-IE$169+SwaptionMonthsToGo+SwaptionShift))/SQRT(SUM(INDEX($FO375:$IH375,1+SwaptionShift):INDEX($FO375:$IH375,SwaptionMonthsToGo+SwaptionShift))*SUM(INDEX($FO$325:$IH$396,IE$169,1+SwaptionShift):INDEX($FO$325:$IH$396,IE$169,SwaptionMonthsToGo+SwaptionShift))))))</f>
        <v/>
      </c>
      <c r="IF220" s="469" t="str">
        <f ca="1">IF(OR(IF$169&lt;SwaptionFirstMonthPosition+1,$FN220&lt;SwaptionFirstMonthPosition+1,IF$169&gt;SwaptionFirstMonthPosition+SwaptionNumOfMonths+1,$FN220&gt;SwaptionFirstMonthPosition+SwaptionNumOfMonths+1),"",IF($FN220=IF$169,1,IF($FN220&lt;IF$169,INDEX($FO$170:$IH$241,IF$169,$FN220),SUMPRODUCT(INDEX($FO$325:$IH$396,IF$169,1+SwaptionShift):INDEX($FO$325:$IH$396,IF$169,SwaptionMonthsToGo+SwaptionShift),INDEX($FO$245:$IH$316,$FN220-IF$169,73-IF$169+SwaptionShift):INDEX($FO$245:$IH$316,$FN220-IF$169,72-IF$169+SwaptionMonthsToGo+SwaptionShift))/SQRT(SUM(INDEX($FO375:$IH375,1+SwaptionShift):INDEX($FO375:$IH375,SwaptionMonthsToGo+SwaptionShift))*SUM(INDEX($FO$325:$IH$396,IF$169,1+SwaptionShift):INDEX($FO$325:$IH$396,IF$169,SwaptionMonthsToGo+SwaptionShift))))))</f>
        <v/>
      </c>
      <c r="IG220" s="469" t="str">
        <f ca="1">IF(OR(IG$169&lt;SwaptionFirstMonthPosition+1,$FN220&lt;SwaptionFirstMonthPosition+1,IG$169&gt;SwaptionFirstMonthPosition+SwaptionNumOfMonths+1,$FN220&gt;SwaptionFirstMonthPosition+SwaptionNumOfMonths+1),"",IF($FN220=IG$169,1,IF($FN220&lt;IG$169,INDEX($FO$170:$IH$241,IG$169,$FN220),SUMPRODUCT(INDEX($FO$325:$IH$396,IG$169,1+SwaptionShift):INDEX($FO$325:$IH$396,IG$169,SwaptionMonthsToGo+SwaptionShift),INDEX($FO$245:$IH$316,$FN220-IG$169,73-IG$169+SwaptionShift):INDEX($FO$245:$IH$316,$FN220-IG$169,72-IG$169+SwaptionMonthsToGo+SwaptionShift))/SQRT(SUM(INDEX($FO375:$IH375,1+SwaptionShift):INDEX($FO375:$IH375,SwaptionMonthsToGo+SwaptionShift))*SUM(INDEX($FO$325:$IH$396,IG$169,1+SwaptionShift):INDEX($FO$325:$IH$396,IG$169,SwaptionMonthsToGo+SwaptionShift))))))</f>
        <v/>
      </c>
      <c r="IH220" s="662" t="str">
        <f ca="1">IF(OR(IH$169&lt;SwaptionFirstMonthPosition+1,$FN220&lt;SwaptionFirstMonthPosition+1,IH$169&gt;SwaptionFirstMonthPosition+SwaptionNumOfMonths+1,$FN220&gt;SwaptionFirstMonthPosition+SwaptionNumOfMonths+1),"",IF($FN220=IH$169,1,IF($FN220&lt;IH$169,INDEX($FO$170:$IH$241,IH$169,$FN220),SUMPRODUCT(INDEX($FO$325:$IH$396,IH$169,1+SwaptionShift):INDEX($FO$325:$IH$396,IH$169,SwaptionMonthsToGo+SwaptionShift),INDEX($FO$245:$IH$316,$FN220-IH$169,73-IH$169+SwaptionShift):INDEX($FO$245:$IH$316,$FN220-IH$169,72-IH$169+SwaptionMonthsToGo+SwaptionShift))/SQRT(SUM(INDEX($FO375:$IH375,1+SwaptionShift):INDEX($FO375:$IH375,SwaptionMonthsToGo+SwaptionShift))*SUM(INDEX($FO$325:$IH$396,IH$169,1+SwaptionShift):INDEX($FO$325:$IH$396,IH$169,SwaptionMonthsToGo+SwaptionShift))))))</f>
        <v/>
      </c>
      <c r="II220" s="242"/>
    </row>
    <row r="221" spans="8:243">
      <c r="H221" s="49" t="e">
        <f t="shared" ca="1" si="645"/>
        <v>#N/A</v>
      </c>
      <c r="I221" s="369">
        <f t="shared" si="646"/>
        <v>43132</v>
      </c>
      <c r="J221" s="367">
        <v>24.409999999999798</v>
      </c>
      <c r="K221" s="101" t="s">
        <v>267</v>
      </c>
      <c r="L221" s="382">
        <f t="shared" si="647"/>
        <v>24.409999999999844</v>
      </c>
      <c r="M221" s="163">
        <v>0.13070000000000001</v>
      </c>
      <c r="N221" s="372">
        <v>0</v>
      </c>
      <c r="O221" s="163">
        <f t="shared" si="595"/>
        <v>0.13070000000000001</v>
      </c>
      <c r="P221" s="367">
        <v>23.1642178980251</v>
      </c>
      <c r="Q221" s="101" t="s">
        <v>267</v>
      </c>
      <c r="R221" s="367">
        <f t="shared" ca="1" si="596"/>
        <v>23.164217898025129</v>
      </c>
      <c r="S221" s="814">
        <f t="shared" si="594"/>
        <v>0.34669898374289826</v>
      </c>
      <c r="T221" s="813">
        <f t="shared" si="660"/>
        <v>0.99999999995043432</v>
      </c>
      <c r="U221" s="532">
        <f t="shared" si="661"/>
        <v>0.99999999999999978</v>
      </c>
      <c r="V221" s="379">
        <v>0</v>
      </c>
      <c r="W221" s="424">
        <f t="shared" si="597"/>
        <v>24.442499999999797</v>
      </c>
      <c r="X221" s="405">
        <f t="shared" si="598"/>
        <v>24.442499999999843</v>
      </c>
      <c r="Y221" s="313">
        <f t="shared" si="599"/>
        <v>23.226499999999795</v>
      </c>
      <c r="Z221" s="313">
        <f t="shared" ca="1" si="600"/>
        <v>23.226499999999842</v>
      </c>
      <c r="AA221" s="419">
        <f t="shared" si="623"/>
        <v>1.216</v>
      </c>
      <c r="AB221" s="423">
        <f t="shared" ca="1" si="624"/>
        <v>1.216</v>
      </c>
      <c r="AC221" s="221">
        <v>43120</v>
      </c>
      <c r="AD221" s="221">
        <v>43116</v>
      </c>
      <c r="AE221" s="221">
        <v>43115</v>
      </c>
      <c r="AF221" s="221">
        <v>43111</v>
      </c>
      <c r="AG221" s="241" t="s">
        <v>497</v>
      </c>
      <c r="AH221" s="239" t="s">
        <v>497</v>
      </c>
      <c r="AI221" s="141">
        <v>20</v>
      </c>
      <c r="AJ221" s="41">
        <v>14</v>
      </c>
      <c r="AK221" s="41">
        <v>6</v>
      </c>
      <c r="AL221" s="285">
        <v>20</v>
      </c>
      <c r="AM221" s="41">
        <v>10</v>
      </c>
      <c r="AN221" s="142">
        <v>10</v>
      </c>
      <c r="AO221" s="364">
        <v>6.2928608067429601E-2</v>
      </c>
      <c r="AP221" s="145">
        <f t="shared" ca="1" si="648"/>
        <v>0.35117401018603034</v>
      </c>
      <c r="AQ221" s="364">
        <v>5.8576972143184101E-2</v>
      </c>
      <c r="AR221" s="145">
        <f t="shared" ca="1" si="662"/>
        <v>0.3797109946629631</v>
      </c>
      <c r="AS221" s="264">
        <f t="shared" si="601"/>
        <v>0.13018000000000002</v>
      </c>
      <c r="AT221" s="149">
        <f t="shared" si="649"/>
        <v>0.13070000000000001</v>
      </c>
      <c r="AU221" s="149">
        <f t="shared" si="625"/>
        <v>0.13010000000000002</v>
      </c>
      <c r="AV221" s="263">
        <f t="shared" ca="1" si="669"/>
        <v>0.1286779676529029</v>
      </c>
      <c r="AW221" s="150" t="str">
        <f t="shared" ca="1" si="581"/>
        <v/>
      </c>
      <c r="AX221" s="149">
        <f t="shared" ca="1" si="663"/>
        <v>3.8048226913875642E-3</v>
      </c>
      <c r="AY221" s="149">
        <f t="shared" ca="1" si="664"/>
        <v>1.1924470607234386E-3</v>
      </c>
      <c r="AZ221" s="149">
        <f t="shared" ca="1" si="665"/>
        <v>1.4122858677867586E-3</v>
      </c>
      <c r="BA221" s="149">
        <f t="shared" ca="1" si="666"/>
        <v>1.0000000000001071E-4</v>
      </c>
      <c r="BB221" s="149">
        <f t="shared" ca="1" si="667"/>
        <v>1.0000000000001071E-4</v>
      </c>
      <c r="BC221" s="149">
        <f t="shared" ca="1" si="668"/>
        <v>1.0000000000001071E-4</v>
      </c>
      <c r="BD221" s="143">
        <f t="shared" ca="1" si="602"/>
        <v>0</v>
      </c>
      <c r="BE221" s="144">
        <f t="shared" ca="1" si="603"/>
        <v>0</v>
      </c>
      <c r="BF221" s="40">
        <f t="shared" si="604"/>
        <v>2018</v>
      </c>
      <c r="BG221" s="139">
        <f t="shared" si="605"/>
        <v>2</v>
      </c>
      <c r="BH221" s="140">
        <f t="shared" ca="1" si="606"/>
        <v>6126</v>
      </c>
      <c r="BI221" s="304">
        <f t="shared" ca="1" si="607"/>
        <v>16.815879534565365</v>
      </c>
      <c r="BJ221" s="42">
        <f t="shared" ca="1" si="626"/>
        <v>16.86762491444216</v>
      </c>
      <c r="BK221" s="42">
        <f t="shared" ca="1" si="627"/>
        <v>16.870362765229292</v>
      </c>
      <c r="BL221" s="42">
        <f t="shared" ca="1" si="608"/>
        <v>16.889801505817932</v>
      </c>
      <c r="BM221" s="285">
        <f t="shared" si="609"/>
        <v>20</v>
      </c>
      <c r="BN221" s="41">
        <f t="shared" si="610"/>
        <v>14</v>
      </c>
      <c r="BO221" s="41">
        <f t="shared" si="611"/>
        <v>6</v>
      </c>
      <c r="BP221" s="297" t="str">
        <f t="shared" ca="1" si="628"/>
        <v/>
      </c>
      <c r="BQ221" s="297" t="str">
        <f t="shared" ca="1" si="629"/>
        <v/>
      </c>
      <c r="BR221" s="299" t="str">
        <f t="shared" ca="1" si="630"/>
        <v/>
      </c>
      <c r="BS221" s="153" t="str">
        <f t="shared" ca="1" si="631"/>
        <v/>
      </c>
      <c r="BT221" s="153" t="str">
        <f t="shared" ca="1" si="632"/>
        <v/>
      </c>
      <c r="BU221" s="300" t="str">
        <f t="shared" ca="1" si="633"/>
        <v/>
      </c>
      <c r="BV221" s="301" t="str">
        <f t="shared" ca="1" si="634"/>
        <v/>
      </c>
      <c r="BW221" s="300" t="str">
        <f t="shared" ca="1" si="635"/>
        <v/>
      </c>
      <c r="BX221" s="301" t="str">
        <f t="shared" ca="1" si="636"/>
        <v/>
      </c>
      <c r="BY221" s="146" t="str">
        <f t="shared" ca="1" si="637"/>
        <v/>
      </c>
      <c r="BZ221" s="146" t="str">
        <f t="shared" ca="1" si="638"/>
        <v/>
      </c>
      <c r="CA221" s="146" t="str">
        <f t="shared" ca="1" si="639"/>
        <v/>
      </c>
      <c r="CB221" s="146" t="str">
        <f t="shared" ca="1" si="640"/>
        <v/>
      </c>
      <c r="CC221" s="302">
        <v>1</v>
      </c>
      <c r="CD221" s="154">
        <f ca="1">IF(BD221,_xll.xCrudeAPO(BS221,BT221,BY221,BZ221,S222,S223,BI221,BL221,BN221,BO221,0,Strike1,AO221,CC221,0,BL221,IF(OptControl=4,0,1),0,1),0)</f>
        <v>0</v>
      </c>
      <c r="CE221" s="155">
        <f ca="1">IF(BD221,_xll.xCrudeAPO(BS221,BT221,BY221,BZ221,S222,S223,BI221,BL221,BN221,BO221,0,Strike1,AO221,CC221,0,BL221,IF(OptControl=4,0,1),1,1)+_xll.xCrudeAPO(BS221,BT221,BY221,BZ221,S222,S223,BI221,BL221,BN221,BO221,0,Strike1,AO221,CC221,0,BL221,IF(OptControl=4,0,1),1,2)+IF(OR(VolSkewFlag=2,ABS(BQ221)&lt;0.0001),0,IF(BQ221&gt;0,-1,1)*CF221*Strike1/BP221^2*BW221/10%),0)</f>
        <v>0</v>
      </c>
      <c r="CF221" s="155">
        <f ca="1">IF(BD221,(_xll.xCrudeAPO(BS221,BT221,BY221,BZ221,S222,S223,BI221,BL221,BN221,BO221,0,Strike1,AO221,CC221,0,BL221,IF(OptControl=4,0,1),3,1)+_xll.xCrudeAPO(BS221,BT221,BY221,BZ221,S222,S223,BI221,BL221,BN221,BO221,0,Strike1,AO221,CC221,0,BL221,IF(OptControl=4,0,1),3,2))/100,0)</f>
        <v>0</v>
      </c>
      <c r="CG221" s="155">
        <f ca="1">IF(BD221,_xll.xCrudeAPO(BS221,BT221,BY221,BZ221,S222,S223,BI221-DaysForThetaCalculation/365.25,BL221-DaysForThetaCalculation/365.25,BN221,BO221,0,Strike1,AO221,CC221,0,BL221,IF(OptControl=4,0,1),0,1)-_xll.xCrudeAPO(BS221,BT221,BY221,BZ221,S222,S223,BI221,BL221,BN221,BO221,0,Strike1,AO221,CC221,0,BL221,IF(OptControl=4,0,1),0,1),0)</f>
        <v>0</v>
      </c>
      <c r="CH221" s="303">
        <f ca="1">IF(BD221,_xll.xCrudeAPO(BS221,BT221,CA221,CB221,S222,S223,BI221,BL221,BN221,BO221,0,Strike2,AO221,CC221,0,BL221,IF(OptControl=3,1,0),0,1),0)</f>
        <v>0</v>
      </c>
      <c r="CI221" s="155">
        <f ca="1">IF(BD221,_xll.xCrudeAPO(BS221,BT221,CA221,CB221,S222,S223,BI221,BL221,BN221,BO221,0,Strike2,AO221,CC221,0,BL221,IF(OptControl=3,1,0),1,1)+_xll.xCrudeAPO(BS221,BT221,CA221,CB221,S222,S223,BI221,BL221,BN221,BO221,0,Strike2,AO221,CC221,0,BL221,IF(OptControl=3,1,0),1,2)+IF(OR(VolSkewFlag=2,ABS(BR221)&lt;0.0001),0,IF(BR221&gt;0,-1,1)*CJ221*Strike2/BP221^2*BX221/10%),0)</f>
        <v>0</v>
      </c>
      <c r="CJ221" s="155">
        <f ca="1">IF(BD221,(_xll.xCrudeAPO(BS221,BT221,CA221,CB221,S222,S223,BI221,BL221,BN221,BO221,0,Strike2,AO221,CC221,0,BL221,IF(OptControl=3,1,0),3,1)+_xll.xCrudeAPO(BS221,BT221,CA221,CB221,S222,S223,BI221,BL221,BN221,BO221,0,Strike2,AO221,CC221,0,BL221,IF(OptControl=3,1,0),3,2))/100,0)</f>
        <v>0</v>
      </c>
      <c r="CK221" s="156">
        <f ca="1">IF(BD221,_xll.xCrudeAPO(BS221,BT221,CA221,CB221,S222,S223,BI221-DaysForThetaCalculation/365.25,BL221-DaysForThetaCalculation/365.25,BN221,BO221,0,Strike2,AO221,CC221,0,BL221,IF(OptControl=3,1,0),0,1)-_xll.xCrudeAPO(BS221,BT221,CA221,CB221,S222,S223,BI221,BL221,BN221,BO221,0,Strike2,AO221,CC221,0,BL221,IF(OptControl=3,1,0),0,1),0)</f>
        <v>0</v>
      </c>
      <c r="CL221" s="51"/>
      <c r="CM221" s="779" t="str">
        <f t="shared" ca="1" si="650"/>
        <v/>
      </c>
      <c r="CN221" s="783" t="str">
        <f t="shared" ca="1" si="651"/>
        <v/>
      </c>
      <c r="CO221" s="780" t="str">
        <f t="shared" ca="1" si="652"/>
        <v/>
      </c>
      <c r="CP221" s="780" t="str">
        <f t="shared" ca="1" si="653"/>
        <v/>
      </c>
      <c r="CQ221" s="780" t="str">
        <f t="shared" ca="1" si="654"/>
        <v/>
      </c>
      <c r="CR221" s="780" t="str">
        <f t="shared" ca="1" si="655"/>
        <v/>
      </c>
      <c r="CS221" s="781" t="str">
        <f t="shared" ca="1" si="656"/>
        <v/>
      </c>
      <c r="CT221" s="782" t="str">
        <f t="shared" ca="1" si="657"/>
        <v/>
      </c>
      <c r="CU221" s="782" t="str">
        <f t="shared" ca="1" si="658"/>
        <v/>
      </c>
      <c r="CV221" s="155">
        <f ca="1">IF(BD221,_xll.EURO(CN221,Strike1,AO221,AO221,CT221,CM221,IF(OptControl=4,0,1),0),0)</f>
        <v>0</v>
      </c>
      <c r="CW221" s="155">
        <f ca="1">IF(BD221,_xll.EURO(CN221,Strike1,AO221,AO221,CT221,CM221,IF(OptControl=4,0,1),1)+IF(OR(VolSkewFlag=2,ABS(CO221)&lt;0.0001),0,IF(CO221&gt;0,-1,1)*CX221*100*Strike1/CN221^2*CQ221/10%),0)</f>
        <v>0</v>
      </c>
      <c r="CX221" s="155">
        <f ca="1">IF(BD221,_xll.EURO(CN221,Strike1,AO221,AO221,CT221,CM221,IF(OptControl=4,0,1),3)/100,0)</f>
        <v>0</v>
      </c>
      <c r="CY221" s="155">
        <f ca="1">IF(BD221,_xll.EURO(CN221,Strike1,AO221,AO221,CT221,CM221,IF(OptControl=4,0,1),0)-_xll.EURO(CN221,Strike1,AO221,AO221,CT221,CM221-1,IF(OptControl=4,0,1),0),0)</f>
        <v>0</v>
      </c>
      <c r="CZ221" s="155">
        <f ca="1">IF(BD221,_xll.EURO(CN221,Strike2,AO221,AO221,CU221,CM221,IF(OptControl=3,1,0),0),0)</f>
        <v>0</v>
      </c>
      <c r="DA221" s="155">
        <f ca="1">IF(BD221,_xll.EURO(CN221,Strike2,AO221,AO221,CU221,CM221,IF(OptControl=3,1,0),1)+IF(OR(VolSkewFlag=2,ABS(CP221)&lt;0.0001),0,IF(CP221&gt;0,-1,1)*DB221*100*Strike2/CN221^2*CR221/10%),0)</f>
        <v>0</v>
      </c>
      <c r="DB221" s="155">
        <f ca="1">IF(BD221,_xll.EURO(CN221,Strike2,AO221,AO221,CU221,CM221,IF(OptControl=3,1,0),3)/100,0)</f>
        <v>0</v>
      </c>
      <c r="DC221" s="156">
        <f ca="1">IF(BD221,_xll.EURO(CN221,Strike2,AO221,AO221,CU221,CM221,IF(OptControl=3,1,0),0)-_xll.EURO(CN221,Strike2,AO221,AO221,CU221,CM221-1,IF(OptControl=3,1,0),0),0)</f>
        <v>0</v>
      </c>
      <c r="DE221" s="651">
        <f t="shared" ca="1" si="659"/>
        <v>43040</v>
      </c>
      <c r="DF221" s="465">
        <v>1E-4</v>
      </c>
      <c r="DG221" s="649">
        <v>1E-4</v>
      </c>
      <c r="DH221" s="650">
        <f t="shared" ca="1" si="612"/>
        <v>43040</v>
      </c>
      <c r="DI221" s="465">
        <v>1E-4</v>
      </c>
      <c r="DJ221" s="649">
        <v>1E-4</v>
      </c>
      <c r="DK221" s="651">
        <f t="shared" ca="1" si="613"/>
        <v>43040</v>
      </c>
      <c r="DL221" s="652">
        <f t="shared" si="614"/>
        <v>5.0100000000000006E-2</v>
      </c>
      <c r="DM221" s="651">
        <f t="shared" ca="1" si="615"/>
        <v>43040</v>
      </c>
      <c r="DN221" s="563">
        <f t="shared" si="616"/>
        <v>-0.12990000000000002</v>
      </c>
      <c r="DO221" s="803">
        <v>-0.13</v>
      </c>
      <c r="DP221" s="650">
        <f t="shared" ca="1" si="617"/>
        <v>43040</v>
      </c>
      <c r="DQ221" s="653">
        <v>1E-4</v>
      </c>
      <c r="DR221" s="590">
        <v>1E-4</v>
      </c>
      <c r="DS221" s="650">
        <f t="shared" ca="1" si="618"/>
        <v>43040</v>
      </c>
      <c r="DT221" s="653">
        <v>1E-4</v>
      </c>
      <c r="DU221" s="590">
        <v>1E-4</v>
      </c>
      <c r="DV221" s="651">
        <f t="shared" ca="1" si="619"/>
        <v>43040</v>
      </c>
      <c r="DW221" s="590">
        <v>1E-4</v>
      </c>
      <c r="DX221" s="651">
        <f t="shared" ca="1" si="620"/>
        <v>43040</v>
      </c>
      <c r="DY221" s="590">
        <f t="shared" si="621"/>
        <v>1E-4</v>
      </c>
      <c r="DZ221" s="1"/>
      <c r="EA221" s="857"/>
      <c r="EB221" s="857"/>
      <c r="EC221" s="857"/>
      <c r="ED221" s="868" t="e">
        <f t="shared" ca="1" si="566"/>
        <v>#NAME?</v>
      </c>
      <c r="EE221" s="863" t="e">
        <f t="shared" ca="1" si="641"/>
        <v>#NAME?</v>
      </c>
      <c r="EF221" s="590" t="e">
        <f t="shared" ca="1" si="642"/>
        <v>#NAME?</v>
      </c>
      <c r="EG221" s="862" t="str">
        <f t="shared" ca="1" si="622"/>
        <v/>
      </c>
      <c r="EH221" s="114" t="str">
        <f t="shared" ca="1" si="643"/>
        <v/>
      </c>
      <c r="EI221" s="109" t="str">
        <f t="shared" ca="1" si="644"/>
        <v/>
      </c>
      <c r="EJ221" s="115">
        <f ca="1">IF(BD221,_xll.xASN(BP221,Strike1,AO221,EH221,0,BM221,0,BI221,BL221,IF(OptControl=4,0,1),0),0)</f>
        <v>0</v>
      </c>
      <c r="EK221" s="108">
        <f ca="1">IF(BD221,_xll.xASN(BP221,Strike2,AO221,EI221,0,BM221,0,BI221,BL221,IF(OptControl=3,1,0),0),0)</f>
        <v>0</v>
      </c>
      <c r="EP221" s="53"/>
      <c r="EQ221" s="1"/>
      <c r="ER221" s="103"/>
      <c r="ES221" s="103"/>
      <c r="ET221" s="1"/>
      <c r="EU221" s="667" t="s">
        <v>434</v>
      </c>
      <c r="EW221" s="53"/>
      <c r="EY221" s="104"/>
      <c r="FN221" s="657">
        <v>52</v>
      </c>
      <c r="FO221" s="469" t="str">
        <f ca="1">IF(OR(FO$169&lt;SwaptionFirstMonthPosition+1,$FN221&lt;SwaptionFirstMonthPosition+1,FO$169&gt;SwaptionFirstMonthPosition+SwaptionNumOfMonths+1,$FN221&gt;SwaptionFirstMonthPosition+SwaptionNumOfMonths+1),"",IF($FN221=FO$169,1,IF($FN221&lt;FO$169,INDEX($FO$170:$IH$241,FO$169,$FN221),SUMPRODUCT(INDEX($FO$325:$IH$396,FO$169,1+SwaptionShift):INDEX($FO$325:$IH$396,FO$169,SwaptionMonthsToGo+SwaptionShift),INDEX($FO$245:$IH$316,$FN221-FO$169,73-FO$169+SwaptionShift):INDEX($FO$245:$IH$316,$FN221-FO$169,72-FO$169+SwaptionMonthsToGo+SwaptionShift))/SQRT(SUM(INDEX($FO376:$IH376,1+SwaptionShift):INDEX($FO376:$IH376,SwaptionMonthsToGo+SwaptionShift))*SUM(INDEX($FO$325:$IH$396,FO$169,1+SwaptionShift):INDEX($FO$325:$IH$396,FO$169,SwaptionMonthsToGo+SwaptionShift))))))</f>
        <v/>
      </c>
      <c r="FP221" s="469" t="str">
        <f ca="1">IF(OR(FP$169&lt;SwaptionFirstMonthPosition+1,$FN221&lt;SwaptionFirstMonthPosition+1,FP$169&gt;SwaptionFirstMonthPosition+SwaptionNumOfMonths+1,$FN221&gt;SwaptionFirstMonthPosition+SwaptionNumOfMonths+1),"",IF($FN221=FP$169,1,IF($FN221&lt;FP$169,INDEX($FO$170:$IH$241,FP$169,$FN221),SUMPRODUCT(INDEX($FO$325:$IH$396,FP$169,1+SwaptionShift):INDEX($FO$325:$IH$396,FP$169,SwaptionMonthsToGo+SwaptionShift),INDEX($FO$245:$IH$316,$FN221-FP$169,73-FP$169+SwaptionShift):INDEX($FO$245:$IH$316,$FN221-FP$169,72-FP$169+SwaptionMonthsToGo+SwaptionShift))/SQRT(SUM(INDEX($FO376:$IH376,1+SwaptionShift):INDEX($FO376:$IH376,SwaptionMonthsToGo+SwaptionShift))*SUM(INDEX($FO$325:$IH$396,FP$169,1+SwaptionShift):INDEX($FO$325:$IH$396,FP$169,SwaptionMonthsToGo+SwaptionShift))))))</f>
        <v/>
      </c>
      <c r="FQ221" s="469" t="str">
        <f ca="1">IF(OR(FQ$169&lt;SwaptionFirstMonthPosition+1,$FN221&lt;SwaptionFirstMonthPosition+1,FQ$169&gt;SwaptionFirstMonthPosition+SwaptionNumOfMonths+1,$FN221&gt;SwaptionFirstMonthPosition+SwaptionNumOfMonths+1),"",IF($FN221=FQ$169,1,IF($FN221&lt;FQ$169,INDEX($FO$170:$IH$241,FQ$169,$FN221),SUMPRODUCT(INDEX($FO$325:$IH$396,FQ$169,1+SwaptionShift):INDEX($FO$325:$IH$396,FQ$169,SwaptionMonthsToGo+SwaptionShift),INDEX($FO$245:$IH$316,$FN221-FQ$169,73-FQ$169+SwaptionShift):INDEX($FO$245:$IH$316,$FN221-FQ$169,72-FQ$169+SwaptionMonthsToGo+SwaptionShift))/SQRT(SUM(INDEX($FO376:$IH376,1+SwaptionShift):INDEX($FO376:$IH376,SwaptionMonthsToGo+SwaptionShift))*SUM(INDEX($FO$325:$IH$396,FQ$169,1+SwaptionShift):INDEX($FO$325:$IH$396,FQ$169,SwaptionMonthsToGo+SwaptionShift))))))</f>
        <v/>
      </c>
      <c r="FR221" s="469" t="str">
        <f ca="1">IF(OR(FR$169&lt;SwaptionFirstMonthPosition+1,$FN221&lt;SwaptionFirstMonthPosition+1,FR$169&gt;SwaptionFirstMonthPosition+SwaptionNumOfMonths+1,$FN221&gt;SwaptionFirstMonthPosition+SwaptionNumOfMonths+1),"",IF($FN221=FR$169,1,IF($FN221&lt;FR$169,INDEX($FO$170:$IH$241,FR$169,$FN221),SUMPRODUCT(INDEX($FO$325:$IH$396,FR$169,1+SwaptionShift):INDEX($FO$325:$IH$396,FR$169,SwaptionMonthsToGo+SwaptionShift),INDEX($FO$245:$IH$316,$FN221-FR$169,73-FR$169+SwaptionShift):INDEX($FO$245:$IH$316,$FN221-FR$169,72-FR$169+SwaptionMonthsToGo+SwaptionShift))/SQRT(SUM(INDEX($FO376:$IH376,1+SwaptionShift):INDEX($FO376:$IH376,SwaptionMonthsToGo+SwaptionShift))*SUM(INDEX($FO$325:$IH$396,FR$169,1+SwaptionShift):INDEX($FO$325:$IH$396,FR$169,SwaptionMonthsToGo+SwaptionShift))))))</f>
        <v/>
      </c>
      <c r="FS221" s="469" t="str">
        <f ca="1">IF(OR(FS$169&lt;SwaptionFirstMonthPosition+1,$FN221&lt;SwaptionFirstMonthPosition+1,FS$169&gt;SwaptionFirstMonthPosition+SwaptionNumOfMonths+1,$FN221&gt;SwaptionFirstMonthPosition+SwaptionNumOfMonths+1),"",IF($FN221=FS$169,1,IF($FN221&lt;FS$169,INDEX($FO$170:$IH$241,FS$169,$FN221),SUMPRODUCT(INDEX($FO$325:$IH$396,FS$169,1+SwaptionShift):INDEX($FO$325:$IH$396,FS$169,SwaptionMonthsToGo+SwaptionShift),INDEX($FO$245:$IH$316,$FN221-FS$169,73-FS$169+SwaptionShift):INDEX($FO$245:$IH$316,$FN221-FS$169,72-FS$169+SwaptionMonthsToGo+SwaptionShift))/SQRT(SUM(INDEX($FO376:$IH376,1+SwaptionShift):INDEX($FO376:$IH376,SwaptionMonthsToGo+SwaptionShift))*SUM(INDEX($FO$325:$IH$396,FS$169,1+SwaptionShift):INDEX($FO$325:$IH$396,FS$169,SwaptionMonthsToGo+SwaptionShift))))))</f>
        <v/>
      </c>
      <c r="FT221" s="469" t="str">
        <f ca="1">IF(OR(FT$169&lt;SwaptionFirstMonthPosition+1,$FN221&lt;SwaptionFirstMonthPosition+1,FT$169&gt;SwaptionFirstMonthPosition+SwaptionNumOfMonths+1,$FN221&gt;SwaptionFirstMonthPosition+SwaptionNumOfMonths+1),"",IF($FN221=FT$169,1,IF($FN221&lt;FT$169,INDEX($FO$170:$IH$241,FT$169,$FN221),SUMPRODUCT(INDEX($FO$325:$IH$396,FT$169,1+SwaptionShift):INDEX($FO$325:$IH$396,FT$169,SwaptionMonthsToGo+SwaptionShift),INDEX($FO$245:$IH$316,$FN221-FT$169,73-FT$169+SwaptionShift):INDEX($FO$245:$IH$316,$FN221-FT$169,72-FT$169+SwaptionMonthsToGo+SwaptionShift))/SQRT(SUM(INDEX($FO376:$IH376,1+SwaptionShift):INDEX($FO376:$IH376,SwaptionMonthsToGo+SwaptionShift))*SUM(INDEX($FO$325:$IH$396,FT$169,1+SwaptionShift):INDEX($FO$325:$IH$396,FT$169,SwaptionMonthsToGo+SwaptionShift))))))</f>
        <v/>
      </c>
      <c r="FU221" s="469" t="str">
        <f ca="1">IF(OR(FU$169&lt;SwaptionFirstMonthPosition+1,$FN221&lt;SwaptionFirstMonthPosition+1,FU$169&gt;SwaptionFirstMonthPosition+SwaptionNumOfMonths+1,$FN221&gt;SwaptionFirstMonthPosition+SwaptionNumOfMonths+1),"",IF($FN221=FU$169,1,IF($FN221&lt;FU$169,INDEX($FO$170:$IH$241,FU$169,$FN221),SUMPRODUCT(INDEX($FO$325:$IH$396,FU$169,1+SwaptionShift):INDEX($FO$325:$IH$396,FU$169,SwaptionMonthsToGo+SwaptionShift),INDEX($FO$245:$IH$316,$FN221-FU$169,73-FU$169+SwaptionShift):INDEX($FO$245:$IH$316,$FN221-FU$169,72-FU$169+SwaptionMonthsToGo+SwaptionShift))/SQRT(SUM(INDEX($FO376:$IH376,1+SwaptionShift):INDEX($FO376:$IH376,SwaptionMonthsToGo+SwaptionShift))*SUM(INDEX($FO$325:$IH$396,FU$169,1+SwaptionShift):INDEX($FO$325:$IH$396,FU$169,SwaptionMonthsToGo+SwaptionShift))))))</f>
        <v/>
      </c>
      <c r="FV221" s="469" t="str">
        <f ca="1">IF(OR(FV$169&lt;SwaptionFirstMonthPosition+1,$FN221&lt;SwaptionFirstMonthPosition+1,FV$169&gt;SwaptionFirstMonthPosition+SwaptionNumOfMonths+1,$FN221&gt;SwaptionFirstMonthPosition+SwaptionNumOfMonths+1),"",IF($FN221=FV$169,1,IF($FN221&lt;FV$169,INDEX($FO$170:$IH$241,FV$169,$FN221),SUMPRODUCT(INDEX($FO$325:$IH$396,FV$169,1+SwaptionShift):INDEX($FO$325:$IH$396,FV$169,SwaptionMonthsToGo+SwaptionShift),INDEX($FO$245:$IH$316,$FN221-FV$169,73-FV$169+SwaptionShift):INDEX($FO$245:$IH$316,$FN221-FV$169,72-FV$169+SwaptionMonthsToGo+SwaptionShift))/SQRT(SUM(INDEX($FO376:$IH376,1+SwaptionShift):INDEX($FO376:$IH376,SwaptionMonthsToGo+SwaptionShift))*SUM(INDEX($FO$325:$IH$396,FV$169,1+SwaptionShift):INDEX($FO$325:$IH$396,FV$169,SwaptionMonthsToGo+SwaptionShift))))))</f>
        <v/>
      </c>
      <c r="FW221" s="469" t="str">
        <f ca="1">IF(OR(FW$169&lt;SwaptionFirstMonthPosition+1,$FN221&lt;SwaptionFirstMonthPosition+1,FW$169&gt;SwaptionFirstMonthPosition+SwaptionNumOfMonths+1,$FN221&gt;SwaptionFirstMonthPosition+SwaptionNumOfMonths+1),"",IF($FN221=FW$169,1,IF($FN221&lt;FW$169,INDEX($FO$170:$IH$241,FW$169,$FN221),SUMPRODUCT(INDEX($FO$325:$IH$396,FW$169,1+SwaptionShift):INDEX($FO$325:$IH$396,FW$169,SwaptionMonthsToGo+SwaptionShift),INDEX($FO$245:$IH$316,$FN221-FW$169,73-FW$169+SwaptionShift):INDEX($FO$245:$IH$316,$FN221-FW$169,72-FW$169+SwaptionMonthsToGo+SwaptionShift))/SQRT(SUM(INDEX($FO376:$IH376,1+SwaptionShift):INDEX($FO376:$IH376,SwaptionMonthsToGo+SwaptionShift))*SUM(INDEX($FO$325:$IH$396,FW$169,1+SwaptionShift):INDEX($FO$325:$IH$396,FW$169,SwaptionMonthsToGo+SwaptionShift))))))</f>
        <v/>
      </c>
      <c r="FX221" s="469" t="str">
        <f ca="1">IF(OR(FX$169&lt;SwaptionFirstMonthPosition+1,$FN221&lt;SwaptionFirstMonthPosition+1,FX$169&gt;SwaptionFirstMonthPosition+SwaptionNumOfMonths+1,$FN221&gt;SwaptionFirstMonthPosition+SwaptionNumOfMonths+1),"",IF($FN221=FX$169,1,IF($FN221&lt;FX$169,INDEX($FO$170:$IH$241,FX$169,$FN221),SUMPRODUCT(INDEX($FO$325:$IH$396,FX$169,1+SwaptionShift):INDEX($FO$325:$IH$396,FX$169,SwaptionMonthsToGo+SwaptionShift),INDEX($FO$245:$IH$316,$FN221-FX$169,73-FX$169+SwaptionShift):INDEX($FO$245:$IH$316,$FN221-FX$169,72-FX$169+SwaptionMonthsToGo+SwaptionShift))/SQRT(SUM(INDEX($FO376:$IH376,1+SwaptionShift):INDEX($FO376:$IH376,SwaptionMonthsToGo+SwaptionShift))*SUM(INDEX($FO$325:$IH$396,FX$169,1+SwaptionShift):INDEX($FO$325:$IH$396,FX$169,SwaptionMonthsToGo+SwaptionShift))))))</f>
        <v/>
      </c>
      <c r="FY221" s="469" t="str">
        <f ca="1">IF(OR(FY$169&lt;SwaptionFirstMonthPosition+1,$FN221&lt;SwaptionFirstMonthPosition+1,FY$169&gt;SwaptionFirstMonthPosition+SwaptionNumOfMonths+1,$FN221&gt;SwaptionFirstMonthPosition+SwaptionNumOfMonths+1),"",IF($FN221=FY$169,1,IF($FN221&lt;FY$169,INDEX($FO$170:$IH$241,FY$169,$FN221),SUMPRODUCT(INDEX($FO$325:$IH$396,FY$169,1+SwaptionShift):INDEX($FO$325:$IH$396,FY$169,SwaptionMonthsToGo+SwaptionShift),INDEX($FO$245:$IH$316,$FN221-FY$169,73-FY$169+SwaptionShift):INDEX($FO$245:$IH$316,$FN221-FY$169,72-FY$169+SwaptionMonthsToGo+SwaptionShift))/SQRT(SUM(INDEX($FO376:$IH376,1+SwaptionShift):INDEX($FO376:$IH376,SwaptionMonthsToGo+SwaptionShift))*SUM(INDEX($FO$325:$IH$396,FY$169,1+SwaptionShift):INDEX($FO$325:$IH$396,FY$169,SwaptionMonthsToGo+SwaptionShift))))))</f>
        <v/>
      </c>
      <c r="FZ221" s="469" t="str">
        <f ca="1">IF(OR(FZ$169&lt;SwaptionFirstMonthPosition+1,$FN221&lt;SwaptionFirstMonthPosition+1,FZ$169&gt;SwaptionFirstMonthPosition+SwaptionNumOfMonths+1,$FN221&gt;SwaptionFirstMonthPosition+SwaptionNumOfMonths+1),"",IF($FN221=FZ$169,1,IF($FN221&lt;FZ$169,INDEX($FO$170:$IH$241,FZ$169,$FN221),SUMPRODUCT(INDEX($FO$325:$IH$396,FZ$169,1+SwaptionShift):INDEX($FO$325:$IH$396,FZ$169,SwaptionMonthsToGo+SwaptionShift),INDEX($FO$245:$IH$316,$FN221-FZ$169,73-FZ$169+SwaptionShift):INDEX($FO$245:$IH$316,$FN221-FZ$169,72-FZ$169+SwaptionMonthsToGo+SwaptionShift))/SQRT(SUM(INDEX($FO376:$IH376,1+SwaptionShift):INDEX($FO376:$IH376,SwaptionMonthsToGo+SwaptionShift))*SUM(INDEX($FO$325:$IH$396,FZ$169,1+SwaptionShift):INDEX($FO$325:$IH$396,FZ$169,SwaptionMonthsToGo+SwaptionShift))))))</f>
        <v/>
      </c>
      <c r="GA221" s="469" t="str">
        <f ca="1">IF(OR(GA$169&lt;SwaptionFirstMonthPosition+1,$FN221&lt;SwaptionFirstMonthPosition+1,GA$169&gt;SwaptionFirstMonthPosition+SwaptionNumOfMonths+1,$FN221&gt;SwaptionFirstMonthPosition+SwaptionNumOfMonths+1),"",IF($FN221=GA$169,1,IF($FN221&lt;GA$169,INDEX($FO$170:$IH$241,GA$169,$FN221),SUMPRODUCT(INDEX($FO$325:$IH$396,GA$169,1+SwaptionShift):INDEX($FO$325:$IH$396,GA$169,SwaptionMonthsToGo+SwaptionShift),INDEX($FO$245:$IH$316,$FN221-GA$169,73-GA$169+SwaptionShift):INDEX($FO$245:$IH$316,$FN221-GA$169,72-GA$169+SwaptionMonthsToGo+SwaptionShift))/SQRT(SUM(INDEX($FO376:$IH376,1+SwaptionShift):INDEX($FO376:$IH376,SwaptionMonthsToGo+SwaptionShift))*SUM(INDEX($FO$325:$IH$396,GA$169,1+SwaptionShift):INDEX($FO$325:$IH$396,GA$169,SwaptionMonthsToGo+SwaptionShift))))))</f>
        <v/>
      </c>
      <c r="GB221" s="469" t="str">
        <f ca="1">IF(OR(GB$169&lt;SwaptionFirstMonthPosition+1,$FN221&lt;SwaptionFirstMonthPosition+1,GB$169&gt;SwaptionFirstMonthPosition+SwaptionNumOfMonths+1,$FN221&gt;SwaptionFirstMonthPosition+SwaptionNumOfMonths+1),"",IF($FN221=GB$169,1,IF($FN221&lt;GB$169,INDEX($FO$170:$IH$241,GB$169,$FN221),SUMPRODUCT(INDEX($FO$325:$IH$396,GB$169,1+SwaptionShift):INDEX($FO$325:$IH$396,GB$169,SwaptionMonthsToGo+SwaptionShift),INDEX($FO$245:$IH$316,$FN221-GB$169,73-GB$169+SwaptionShift):INDEX($FO$245:$IH$316,$FN221-GB$169,72-GB$169+SwaptionMonthsToGo+SwaptionShift))/SQRT(SUM(INDEX($FO376:$IH376,1+SwaptionShift):INDEX($FO376:$IH376,SwaptionMonthsToGo+SwaptionShift))*SUM(INDEX($FO$325:$IH$396,GB$169,1+SwaptionShift):INDEX($FO$325:$IH$396,GB$169,SwaptionMonthsToGo+SwaptionShift))))))</f>
        <v/>
      </c>
      <c r="GC221" s="469" t="str">
        <f ca="1">IF(OR(GC$169&lt;SwaptionFirstMonthPosition+1,$FN221&lt;SwaptionFirstMonthPosition+1,GC$169&gt;SwaptionFirstMonthPosition+SwaptionNumOfMonths+1,$FN221&gt;SwaptionFirstMonthPosition+SwaptionNumOfMonths+1),"",IF($FN221=GC$169,1,IF($FN221&lt;GC$169,INDEX($FO$170:$IH$241,GC$169,$FN221),SUMPRODUCT(INDEX($FO$325:$IH$396,GC$169,1+SwaptionShift):INDEX($FO$325:$IH$396,GC$169,SwaptionMonthsToGo+SwaptionShift),INDEX($FO$245:$IH$316,$FN221-GC$169,73-GC$169+SwaptionShift):INDEX($FO$245:$IH$316,$FN221-GC$169,72-GC$169+SwaptionMonthsToGo+SwaptionShift))/SQRT(SUM(INDEX($FO376:$IH376,1+SwaptionShift):INDEX($FO376:$IH376,SwaptionMonthsToGo+SwaptionShift))*SUM(INDEX($FO$325:$IH$396,GC$169,1+SwaptionShift):INDEX($FO$325:$IH$396,GC$169,SwaptionMonthsToGo+SwaptionShift))))))</f>
        <v/>
      </c>
      <c r="GD221" s="469" t="str">
        <f ca="1">IF(OR(GD$169&lt;SwaptionFirstMonthPosition+1,$FN221&lt;SwaptionFirstMonthPosition+1,GD$169&gt;SwaptionFirstMonthPosition+SwaptionNumOfMonths+1,$FN221&gt;SwaptionFirstMonthPosition+SwaptionNumOfMonths+1),"",IF($FN221=GD$169,1,IF($FN221&lt;GD$169,INDEX($FO$170:$IH$241,GD$169,$FN221),SUMPRODUCT(INDEX($FO$325:$IH$396,GD$169,1+SwaptionShift):INDEX($FO$325:$IH$396,GD$169,SwaptionMonthsToGo+SwaptionShift),INDEX($FO$245:$IH$316,$FN221-GD$169,73-GD$169+SwaptionShift):INDEX($FO$245:$IH$316,$FN221-GD$169,72-GD$169+SwaptionMonthsToGo+SwaptionShift))/SQRT(SUM(INDEX($FO376:$IH376,1+SwaptionShift):INDEX($FO376:$IH376,SwaptionMonthsToGo+SwaptionShift))*SUM(INDEX($FO$325:$IH$396,GD$169,1+SwaptionShift):INDEX($FO$325:$IH$396,GD$169,SwaptionMonthsToGo+SwaptionShift))))))</f>
        <v/>
      </c>
      <c r="GE221" s="469" t="str">
        <f ca="1">IF(OR(GE$169&lt;SwaptionFirstMonthPosition+1,$FN221&lt;SwaptionFirstMonthPosition+1,GE$169&gt;SwaptionFirstMonthPosition+SwaptionNumOfMonths+1,$FN221&gt;SwaptionFirstMonthPosition+SwaptionNumOfMonths+1),"",IF($FN221=GE$169,1,IF($FN221&lt;GE$169,INDEX($FO$170:$IH$241,GE$169,$FN221),SUMPRODUCT(INDEX($FO$325:$IH$396,GE$169,1+SwaptionShift):INDEX($FO$325:$IH$396,GE$169,SwaptionMonthsToGo+SwaptionShift),INDEX($FO$245:$IH$316,$FN221-GE$169,73-GE$169+SwaptionShift):INDEX($FO$245:$IH$316,$FN221-GE$169,72-GE$169+SwaptionMonthsToGo+SwaptionShift))/SQRT(SUM(INDEX($FO376:$IH376,1+SwaptionShift):INDEX($FO376:$IH376,SwaptionMonthsToGo+SwaptionShift))*SUM(INDEX($FO$325:$IH$396,GE$169,1+SwaptionShift):INDEX($FO$325:$IH$396,GE$169,SwaptionMonthsToGo+SwaptionShift))))))</f>
        <v/>
      </c>
      <c r="GF221" s="469" t="str">
        <f ca="1">IF(OR(GF$169&lt;SwaptionFirstMonthPosition+1,$FN221&lt;SwaptionFirstMonthPosition+1,GF$169&gt;SwaptionFirstMonthPosition+SwaptionNumOfMonths+1,$FN221&gt;SwaptionFirstMonthPosition+SwaptionNumOfMonths+1),"",IF($FN221=GF$169,1,IF($FN221&lt;GF$169,INDEX($FO$170:$IH$241,GF$169,$FN221),SUMPRODUCT(INDEX($FO$325:$IH$396,GF$169,1+SwaptionShift):INDEX($FO$325:$IH$396,GF$169,SwaptionMonthsToGo+SwaptionShift),INDEX($FO$245:$IH$316,$FN221-GF$169,73-GF$169+SwaptionShift):INDEX($FO$245:$IH$316,$FN221-GF$169,72-GF$169+SwaptionMonthsToGo+SwaptionShift))/SQRT(SUM(INDEX($FO376:$IH376,1+SwaptionShift):INDEX($FO376:$IH376,SwaptionMonthsToGo+SwaptionShift))*SUM(INDEX($FO$325:$IH$396,GF$169,1+SwaptionShift):INDEX($FO$325:$IH$396,GF$169,SwaptionMonthsToGo+SwaptionShift))))))</f>
        <v/>
      </c>
      <c r="GG221" s="469" t="str">
        <f ca="1">IF(OR(GG$169&lt;SwaptionFirstMonthPosition+1,$FN221&lt;SwaptionFirstMonthPosition+1,GG$169&gt;SwaptionFirstMonthPosition+SwaptionNumOfMonths+1,$FN221&gt;SwaptionFirstMonthPosition+SwaptionNumOfMonths+1),"",IF($FN221=GG$169,1,IF($FN221&lt;GG$169,INDEX($FO$170:$IH$241,GG$169,$FN221),SUMPRODUCT(INDEX($FO$325:$IH$396,GG$169,1+SwaptionShift):INDEX($FO$325:$IH$396,GG$169,SwaptionMonthsToGo+SwaptionShift),INDEX($FO$245:$IH$316,$FN221-GG$169,73-GG$169+SwaptionShift):INDEX($FO$245:$IH$316,$FN221-GG$169,72-GG$169+SwaptionMonthsToGo+SwaptionShift))/SQRT(SUM(INDEX($FO376:$IH376,1+SwaptionShift):INDEX($FO376:$IH376,SwaptionMonthsToGo+SwaptionShift))*SUM(INDEX($FO$325:$IH$396,GG$169,1+SwaptionShift):INDEX($FO$325:$IH$396,GG$169,SwaptionMonthsToGo+SwaptionShift))))))</f>
        <v/>
      </c>
      <c r="GH221" s="469" t="str">
        <f ca="1">IF(OR(GH$169&lt;SwaptionFirstMonthPosition+1,$FN221&lt;SwaptionFirstMonthPosition+1,GH$169&gt;SwaptionFirstMonthPosition+SwaptionNumOfMonths+1,$FN221&gt;SwaptionFirstMonthPosition+SwaptionNumOfMonths+1),"",IF($FN221=GH$169,1,IF($FN221&lt;GH$169,INDEX($FO$170:$IH$241,GH$169,$FN221),SUMPRODUCT(INDEX($FO$325:$IH$396,GH$169,1+SwaptionShift):INDEX($FO$325:$IH$396,GH$169,SwaptionMonthsToGo+SwaptionShift),INDEX($FO$245:$IH$316,$FN221-GH$169,73-GH$169+SwaptionShift):INDEX($FO$245:$IH$316,$FN221-GH$169,72-GH$169+SwaptionMonthsToGo+SwaptionShift))/SQRT(SUM(INDEX($FO376:$IH376,1+SwaptionShift):INDEX($FO376:$IH376,SwaptionMonthsToGo+SwaptionShift))*SUM(INDEX($FO$325:$IH$396,GH$169,1+SwaptionShift):INDEX($FO$325:$IH$396,GH$169,SwaptionMonthsToGo+SwaptionShift))))))</f>
        <v/>
      </c>
      <c r="GI221" s="469" t="str">
        <f ca="1">IF(OR(GI$169&lt;SwaptionFirstMonthPosition+1,$FN221&lt;SwaptionFirstMonthPosition+1,GI$169&gt;SwaptionFirstMonthPosition+SwaptionNumOfMonths+1,$FN221&gt;SwaptionFirstMonthPosition+SwaptionNumOfMonths+1),"",IF($FN221=GI$169,1,IF($FN221&lt;GI$169,INDEX($FO$170:$IH$241,GI$169,$FN221),SUMPRODUCT(INDEX($FO$325:$IH$396,GI$169,1+SwaptionShift):INDEX($FO$325:$IH$396,GI$169,SwaptionMonthsToGo+SwaptionShift),INDEX($FO$245:$IH$316,$FN221-GI$169,73-GI$169+SwaptionShift):INDEX($FO$245:$IH$316,$FN221-GI$169,72-GI$169+SwaptionMonthsToGo+SwaptionShift))/SQRT(SUM(INDEX($FO376:$IH376,1+SwaptionShift):INDEX($FO376:$IH376,SwaptionMonthsToGo+SwaptionShift))*SUM(INDEX($FO$325:$IH$396,GI$169,1+SwaptionShift):INDEX($FO$325:$IH$396,GI$169,SwaptionMonthsToGo+SwaptionShift))))))</f>
        <v/>
      </c>
      <c r="GJ221" s="469" t="str">
        <f ca="1">IF(OR(GJ$169&lt;SwaptionFirstMonthPosition+1,$FN221&lt;SwaptionFirstMonthPosition+1,GJ$169&gt;SwaptionFirstMonthPosition+SwaptionNumOfMonths+1,$FN221&gt;SwaptionFirstMonthPosition+SwaptionNumOfMonths+1),"",IF($FN221=GJ$169,1,IF($FN221&lt;GJ$169,INDEX($FO$170:$IH$241,GJ$169,$FN221),SUMPRODUCT(INDEX($FO$325:$IH$396,GJ$169,1+SwaptionShift):INDEX($FO$325:$IH$396,GJ$169,SwaptionMonthsToGo+SwaptionShift),INDEX($FO$245:$IH$316,$FN221-GJ$169,73-GJ$169+SwaptionShift):INDEX($FO$245:$IH$316,$FN221-GJ$169,72-GJ$169+SwaptionMonthsToGo+SwaptionShift))/SQRT(SUM(INDEX($FO376:$IH376,1+SwaptionShift):INDEX($FO376:$IH376,SwaptionMonthsToGo+SwaptionShift))*SUM(INDEX($FO$325:$IH$396,GJ$169,1+SwaptionShift):INDEX($FO$325:$IH$396,GJ$169,SwaptionMonthsToGo+SwaptionShift))))))</f>
        <v/>
      </c>
      <c r="GK221" s="469" t="str">
        <f ca="1">IF(OR(GK$169&lt;SwaptionFirstMonthPosition+1,$FN221&lt;SwaptionFirstMonthPosition+1,GK$169&gt;SwaptionFirstMonthPosition+SwaptionNumOfMonths+1,$FN221&gt;SwaptionFirstMonthPosition+SwaptionNumOfMonths+1),"",IF($FN221=GK$169,1,IF($FN221&lt;GK$169,INDEX($FO$170:$IH$241,GK$169,$FN221),SUMPRODUCT(INDEX($FO$325:$IH$396,GK$169,1+SwaptionShift):INDEX($FO$325:$IH$396,GK$169,SwaptionMonthsToGo+SwaptionShift),INDEX($FO$245:$IH$316,$FN221-GK$169,73-GK$169+SwaptionShift):INDEX($FO$245:$IH$316,$FN221-GK$169,72-GK$169+SwaptionMonthsToGo+SwaptionShift))/SQRT(SUM(INDEX($FO376:$IH376,1+SwaptionShift):INDEX($FO376:$IH376,SwaptionMonthsToGo+SwaptionShift))*SUM(INDEX($FO$325:$IH$396,GK$169,1+SwaptionShift):INDEX($FO$325:$IH$396,GK$169,SwaptionMonthsToGo+SwaptionShift))))))</f>
        <v/>
      </c>
      <c r="GL221" s="469" t="str">
        <f ca="1">IF(OR(GL$169&lt;SwaptionFirstMonthPosition+1,$FN221&lt;SwaptionFirstMonthPosition+1,GL$169&gt;SwaptionFirstMonthPosition+SwaptionNumOfMonths+1,$FN221&gt;SwaptionFirstMonthPosition+SwaptionNumOfMonths+1),"",IF($FN221=GL$169,1,IF($FN221&lt;GL$169,INDEX($FO$170:$IH$241,GL$169,$FN221),SUMPRODUCT(INDEX($FO$325:$IH$396,GL$169,1+SwaptionShift):INDEX($FO$325:$IH$396,GL$169,SwaptionMonthsToGo+SwaptionShift),INDEX($FO$245:$IH$316,$FN221-GL$169,73-GL$169+SwaptionShift):INDEX($FO$245:$IH$316,$FN221-GL$169,72-GL$169+SwaptionMonthsToGo+SwaptionShift))/SQRT(SUM(INDEX($FO376:$IH376,1+SwaptionShift):INDEX($FO376:$IH376,SwaptionMonthsToGo+SwaptionShift))*SUM(INDEX($FO$325:$IH$396,GL$169,1+SwaptionShift):INDEX($FO$325:$IH$396,GL$169,SwaptionMonthsToGo+SwaptionShift))))))</f>
        <v/>
      </c>
      <c r="GM221" s="469" t="str">
        <f ca="1">IF(OR(GM$169&lt;SwaptionFirstMonthPosition+1,$FN221&lt;SwaptionFirstMonthPosition+1,GM$169&gt;SwaptionFirstMonthPosition+SwaptionNumOfMonths+1,$FN221&gt;SwaptionFirstMonthPosition+SwaptionNumOfMonths+1),"",IF($FN221=GM$169,1,IF($FN221&lt;GM$169,INDEX($FO$170:$IH$241,GM$169,$FN221),SUMPRODUCT(INDEX($FO$325:$IH$396,GM$169,1+SwaptionShift):INDEX($FO$325:$IH$396,GM$169,SwaptionMonthsToGo+SwaptionShift),INDEX($FO$245:$IH$316,$FN221-GM$169,73-GM$169+SwaptionShift):INDEX($FO$245:$IH$316,$FN221-GM$169,72-GM$169+SwaptionMonthsToGo+SwaptionShift))/SQRT(SUM(INDEX($FO376:$IH376,1+SwaptionShift):INDEX($FO376:$IH376,SwaptionMonthsToGo+SwaptionShift))*SUM(INDEX($FO$325:$IH$396,GM$169,1+SwaptionShift):INDEX($FO$325:$IH$396,GM$169,SwaptionMonthsToGo+SwaptionShift))))))</f>
        <v/>
      </c>
      <c r="GN221" s="469" t="str">
        <f ca="1">IF(OR(GN$169&lt;SwaptionFirstMonthPosition+1,$FN221&lt;SwaptionFirstMonthPosition+1,GN$169&gt;SwaptionFirstMonthPosition+SwaptionNumOfMonths+1,$FN221&gt;SwaptionFirstMonthPosition+SwaptionNumOfMonths+1),"",IF($FN221=GN$169,1,IF($FN221&lt;GN$169,INDEX($FO$170:$IH$241,GN$169,$FN221),SUMPRODUCT(INDEX($FO$325:$IH$396,GN$169,1+SwaptionShift):INDEX($FO$325:$IH$396,GN$169,SwaptionMonthsToGo+SwaptionShift),INDEX($FO$245:$IH$316,$FN221-GN$169,73-GN$169+SwaptionShift):INDEX($FO$245:$IH$316,$FN221-GN$169,72-GN$169+SwaptionMonthsToGo+SwaptionShift))/SQRT(SUM(INDEX($FO376:$IH376,1+SwaptionShift):INDEX($FO376:$IH376,SwaptionMonthsToGo+SwaptionShift))*SUM(INDEX($FO$325:$IH$396,GN$169,1+SwaptionShift):INDEX($FO$325:$IH$396,GN$169,SwaptionMonthsToGo+SwaptionShift))))))</f>
        <v/>
      </c>
      <c r="GO221" s="469" t="str">
        <f ca="1">IF(OR(GO$169&lt;SwaptionFirstMonthPosition+1,$FN221&lt;SwaptionFirstMonthPosition+1,GO$169&gt;SwaptionFirstMonthPosition+SwaptionNumOfMonths+1,$FN221&gt;SwaptionFirstMonthPosition+SwaptionNumOfMonths+1),"",IF($FN221=GO$169,1,IF($FN221&lt;GO$169,INDEX($FO$170:$IH$241,GO$169,$FN221),SUMPRODUCT(INDEX($FO$325:$IH$396,GO$169,1+SwaptionShift):INDEX($FO$325:$IH$396,GO$169,SwaptionMonthsToGo+SwaptionShift),INDEX($FO$245:$IH$316,$FN221-GO$169,73-GO$169+SwaptionShift):INDEX($FO$245:$IH$316,$FN221-GO$169,72-GO$169+SwaptionMonthsToGo+SwaptionShift))/SQRT(SUM(INDEX($FO376:$IH376,1+SwaptionShift):INDEX($FO376:$IH376,SwaptionMonthsToGo+SwaptionShift))*SUM(INDEX($FO$325:$IH$396,GO$169,1+SwaptionShift):INDEX($FO$325:$IH$396,GO$169,SwaptionMonthsToGo+SwaptionShift))))))</f>
        <v/>
      </c>
      <c r="GP221" s="469" t="str">
        <f ca="1">IF(OR(GP$169&lt;SwaptionFirstMonthPosition+1,$FN221&lt;SwaptionFirstMonthPosition+1,GP$169&gt;SwaptionFirstMonthPosition+SwaptionNumOfMonths+1,$FN221&gt;SwaptionFirstMonthPosition+SwaptionNumOfMonths+1),"",IF($FN221=GP$169,1,IF($FN221&lt;GP$169,INDEX($FO$170:$IH$241,GP$169,$FN221),SUMPRODUCT(INDEX($FO$325:$IH$396,GP$169,1+SwaptionShift):INDEX($FO$325:$IH$396,GP$169,SwaptionMonthsToGo+SwaptionShift),INDEX($FO$245:$IH$316,$FN221-GP$169,73-GP$169+SwaptionShift):INDEX($FO$245:$IH$316,$FN221-GP$169,72-GP$169+SwaptionMonthsToGo+SwaptionShift))/SQRT(SUM(INDEX($FO376:$IH376,1+SwaptionShift):INDEX($FO376:$IH376,SwaptionMonthsToGo+SwaptionShift))*SUM(INDEX($FO$325:$IH$396,GP$169,1+SwaptionShift):INDEX($FO$325:$IH$396,GP$169,SwaptionMonthsToGo+SwaptionShift))))))</f>
        <v/>
      </c>
      <c r="GQ221" s="469" t="str">
        <f ca="1">IF(OR(GQ$169&lt;SwaptionFirstMonthPosition+1,$FN221&lt;SwaptionFirstMonthPosition+1,GQ$169&gt;SwaptionFirstMonthPosition+SwaptionNumOfMonths+1,$FN221&gt;SwaptionFirstMonthPosition+SwaptionNumOfMonths+1),"",IF($FN221=GQ$169,1,IF($FN221&lt;GQ$169,INDEX($FO$170:$IH$241,GQ$169,$FN221),SUMPRODUCT(INDEX($FO$325:$IH$396,GQ$169,1+SwaptionShift):INDEX($FO$325:$IH$396,GQ$169,SwaptionMonthsToGo+SwaptionShift),INDEX($FO$245:$IH$316,$FN221-GQ$169,73-GQ$169+SwaptionShift):INDEX($FO$245:$IH$316,$FN221-GQ$169,72-GQ$169+SwaptionMonthsToGo+SwaptionShift))/SQRT(SUM(INDEX($FO376:$IH376,1+SwaptionShift):INDEX($FO376:$IH376,SwaptionMonthsToGo+SwaptionShift))*SUM(INDEX($FO$325:$IH$396,GQ$169,1+SwaptionShift):INDEX($FO$325:$IH$396,GQ$169,SwaptionMonthsToGo+SwaptionShift))))))</f>
        <v/>
      </c>
      <c r="GR221" s="469" t="str">
        <f ca="1">IF(OR(GR$169&lt;SwaptionFirstMonthPosition+1,$FN221&lt;SwaptionFirstMonthPosition+1,GR$169&gt;SwaptionFirstMonthPosition+SwaptionNumOfMonths+1,$FN221&gt;SwaptionFirstMonthPosition+SwaptionNumOfMonths+1),"",IF($FN221=GR$169,1,IF($FN221&lt;GR$169,INDEX($FO$170:$IH$241,GR$169,$FN221),SUMPRODUCT(INDEX($FO$325:$IH$396,GR$169,1+SwaptionShift):INDEX($FO$325:$IH$396,GR$169,SwaptionMonthsToGo+SwaptionShift),INDEX($FO$245:$IH$316,$FN221-GR$169,73-GR$169+SwaptionShift):INDEX($FO$245:$IH$316,$FN221-GR$169,72-GR$169+SwaptionMonthsToGo+SwaptionShift))/SQRT(SUM(INDEX($FO376:$IH376,1+SwaptionShift):INDEX($FO376:$IH376,SwaptionMonthsToGo+SwaptionShift))*SUM(INDEX($FO$325:$IH$396,GR$169,1+SwaptionShift):INDEX($FO$325:$IH$396,GR$169,SwaptionMonthsToGo+SwaptionShift))))))</f>
        <v/>
      </c>
      <c r="GS221" s="469" t="str">
        <f ca="1">IF(OR(GS$169&lt;SwaptionFirstMonthPosition+1,$FN221&lt;SwaptionFirstMonthPosition+1,GS$169&gt;SwaptionFirstMonthPosition+SwaptionNumOfMonths+1,$FN221&gt;SwaptionFirstMonthPosition+SwaptionNumOfMonths+1),"",IF($FN221=GS$169,1,IF($FN221&lt;GS$169,INDEX($FO$170:$IH$241,GS$169,$FN221),SUMPRODUCT(INDEX($FO$325:$IH$396,GS$169,1+SwaptionShift):INDEX($FO$325:$IH$396,GS$169,SwaptionMonthsToGo+SwaptionShift),INDEX($FO$245:$IH$316,$FN221-GS$169,73-GS$169+SwaptionShift):INDEX($FO$245:$IH$316,$FN221-GS$169,72-GS$169+SwaptionMonthsToGo+SwaptionShift))/SQRT(SUM(INDEX($FO376:$IH376,1+SwaptionShift):INDEX($FO376:$IH376,SwaptionMonthsToGo+SwaptionShift))*SUM(INDEX($FO$325:$IH$396,GS$169,1+SwaptionShift):INDEX($FO$325:$IH$396,GS$169,SwaptionMonthsToGo+SwaptionShift))))))</f>
        <v/>
      </c>
      <c r="GT221" s="469" t="str">
        <f ca="1">IF(OR(GT$169&lt;SwaptionFirstMonthPosition+1,$FN221&lt;SwaptionFirstMonthPosition+1,GT$169&gt;SwaptionFirstMonthPosition+SwaptionNumOfMonths+1,$FN221&gt;SwaptionFirstMonthPosition+SwaptionNumOfMonths+1),"",IF($FN221=GT$169,1,IF($FN221&lt;GT$169,INDEX($FO$170:$IH$241,GT$169,$FN221),SUMPRODUCT(INDEX($FO$325:$IH$396,GT$169,1+SwaptionShift):INDEX($FO$325:$IH$396,GT$169,SwaptionMonthsToGo+SwaptionShift),INDEX($FO$245:$IH$316,$FN221-GT$169,73-GT$169+SwaptionShift):INDEX($FO$245:$IH$316,$FN221-GT$169,72-GT$169+SwaptionMonthsToGo+SwaptionShift))/SQRT(SUM(INDEX($FO376:$IH376,1+SwaptionShift):INDEX($FO376:$IH376,SwaptionMonthsToGo+SwaptionShift))*SUM(INDEX($FO$325:$IH$396,GT$169,1+SwaptionShift):INDEX($FO$325:$IH$396,GT$169,SwaptionMonthsToGo+SwaptionShift))))))</f>
        <v/>
      </c>
      <c r="GU221" s="469" t="str">
        <f ca="1">IF(OR(GU$169&lt;SwaptionFirstMonthPosition+1,$FN221&lt;SwaptionFirstMonthPosition+1,GU$169&gt;SwaptionFirstMonthPosition+SwaptionNumOfMonths+1,$FN221&gt;SwaptionFirstMonthPosition+SwaptionNumOfMonths+1),"",IF($FN221=GU$169,1,IF($FN221&lt;GU$169,INDEX($FO$170:$IH$241,GU$169,$FN221),SUMPRODUCT(INDEX($FO$325:$IH$396,GU$169,1+SwaptionShift):INDEX($FO$325:$IH$396,GU$169,SwaptionMonthsToGo+SwaptionShift),INDEX($FO$245:$IH$316,$FN221-GU$169,73-GU$169+SwaptionShift):INDEX($FO$245:$IH$316,$FN221-GU$169,72-GU$169+SwaptionMonthsToGo+SwaptionShift))/SQRT(SUM(INDEX($FO376:$IH376,1+SwaptionShift):INDEX($FO376:$IH376,SwaptionMonthsToGo+SwaptionShift))*SUM(INDEX($FO$325:$IH$396,GU$169,1+SwaptionShift):INDEX($FO$325:$IH$396,GU$169,SwaptionMonthsToGo+SwaptionShift))))))</f>
        <v/>
      </c>
      <c r="GV221" s="469" t="str">
        <f ca="1">IF(OR(GV$169&lt;SwaptionFirstMonthPosition+1,$FN221&lt;SwaptionFirstMonthPosition+1,GV$169&gt;SwaptionFirstMonthPosition+SwaptionNumOfMonths+1,$FN221&gt;SwaptionFirstMonthPosition+SwaptionNumOfMonths+1),"",IF($FN221=GV$169,1,IF($FN221&lt;GV$169,INDEX($FO$170:$IH$241,GV$169,$FN221),SUMPRODUCT(INDEX($FO$325:$IH$396,GV$169,1+SwaptionShift):INDEX($FO$325:$IH$396,GV$169,SwaptionMonthsToGo+SwaptionShift),INDEX($FO$245:$IH$316,$FN221-GV$169,73-GV$169+SwaptionShift):INDEX($FO$245:$IH$316,$FN221-GV$169,72-GV$169+SwaptionMonthsToGo+SwaptionShift))/SQRT(SUM(INDEX($FO376:$IH376,1+SwaptionShift):INDEX($FO376:$IH376,SwaptionMonthsToGo+SwaptionShift))*SUM(INDEX($FO$325:$IH$396,GV$169,1+SwaptionShift):INDEX($FO$325:$IH$396,GV$169,SwaptionMonthsToGo+SwaptionShift))))))</f>
        <v/>
      </c>
      <c r="GW221" s="469" t="str">
        <f ca="1">IF(OR(GW$169&lt;SwaptionFirstMonthPosition+1,$FN221&lt;SwaptionFirstMonthPosition+1,GW$169&gt;SwaptionFirstMonthPosition+SwaptionNumOfMonths+1,$FN221&gt;SwaptionFirstMonthPosition+SwaptionNumOfMonths+1),"",IF($FN221=GW$169,1,IF($FN221&lt;GW$169,INDEX($FO$170:$IH$241,GW$169,$FN221),SUMPRODUCT(INDEX($FO$325:$IH$396,GW$169,1+SwaptionShift):INDEX($FO$325:$IH$396,GW$169,SwaptionMonthsToGo+SwaptionShift),INDEX($FO$245:$IH$316,$FN221-GW$169,73-GW$169+SwaptionShift):INDEX($FO$245:$IH$316,$FN221-GW$169,72-GW$169+SwaptionMonthsToGo+SwaptionShift))/SQRT(SUM(INDEX($FO376:$IH376,1+SwaptionShift):INDEX($FO376:$IH376,SwaptionMonthsToGo+SwaptionShift))*SUM(INDEX($FO$325:$IH$396,GW$169,1+SwaptionShift):INDEX($FO$325:$IH$396,GW$169,SwaptionMonthsToGo+SwaptionShift))))))</f>
        <v/>
      </c>
      <c r="GX221" s="469" t="str">
        <f ca="1">IF(OR(GX$169&lt;SwaptionFirstMonthPosition+1,$FN221&lt;SwaptionFirstMonthPosition+1,GX$169&gt;SwaptionFirstMonthPosition+SwaptionNumOfMonths+1,$FN221&gt;SwaptionFirstMonthPosition+SwaptionNumOfMonths+1),"",IF($FN221=GX$169,1,IF($FN221&lt;GX$169,INDEX($FO$170:$IH$241,GX$169,$FN221),SUMPRODUCT(INDEX($FO$325:$IH$396,GX$169,1+SwaptionShift):INDEX($FO$325:$IH$396,GX$169,SwaptionMonthsToGo+SwaptionShift),INDEX($FO$245:$IH$316,$FN221-GX$169,73-GX$169+SwaptionShift):INDEX($FO$245:$IH$316,$FN221-GX$169,72-GX$169+SwaptionMonthsToGo+SwaptionShift))/SQRT(SUM(INDEX($FO376:$IH376,1+SwaptionShift):INDEX($FO376:$IH376,SwaptionMonthsToGo+SwaptionShift))*SUM(INDEX($FO$325:$IH$396,GX$169,1+SwaptionShift):INDEX($FO$325:$IH$396,GX$169,SwaptionMonthsToGo+SwaptionShift))))))</f>
        <v/>
      </c>
      <c r="GY221" s="469" t="str">
        <f ca="1">IF(OR(GY$169&lt;SwaptionFirstMonthPosition+1,$FN221&lt;SwaptionFirstMonthPosition+1,GY$169&gt;SwaptionFirstMonthPosition+SwaptionNumOfMonths+1,$FN221&gt;SwaptionFirstMonthPosition+SwaptionNumOfMonths+1),"",IF($FN221=GY$169,1,IF($FN221&lt;GY$169,INDEX($FO$170:$IH$241,GY$169,$FN221),SUMPRODUCT(INDEX($FO$325:$IH$396,GY$169,1+SwaptionShift):INDEX($FO$325:$IH$396,GY$169,SwaptionMonthsToGo+SwaptionShift),INDEX($FO$245:$IH$316,$FN221-GY$169,73-GY$169+SwaptionShift):INDEX($FO$245:$IH$316,$FN221-GY$169,72-GY$169+SwaptionMonthsToGo+SwaptionShift))/SQRT(SUM(INDEX($FO376:$IH376,1+SwaptionShift):INDEX($FO376:$IH376,SwaptionMonthsToGo+SwaptionShift))*SUM(INDEX($FO$325:$IH$396,GY$169,1+SwaptionShift):INDEX($FO$325:$IH$396,GY$169,SwaptionMonthsToGo+SwaptionShift))))))</f>
        <v/>
      </c>
      <c r="GZ221" s="469" t="str">
        <f ca="1">IF(OR(GZ$169&lt;SwaptionFirstMonthPosition+1,$FN221&lt;SwaptionFirstMonthPosition+1,GZ$169&gt;SwaptionFirstMonthPosition+SwaptionNumOfMonths+1,$FN221&gt;SwaptionFirstMonthPosition+SwaptionNumOfMonths+1),"",IF($FN221=GZ$169,1,IF($FN221&lt;GZ$169,INDEX($FO$170:$IH$241,GZ$169,$FN221),SUMPRODUCT(INDEX($FO$325:$IH$396,GZ$169,1+SwaptionShift):INDEX($FO$325:$IH$396,GZ$169,SwaptionMonthsToGo+SwaptionShift),INDEX($FO$245:$IH$316,$FN221-GZ$169,73-GZ$169+SwaptionShift):INDEX($FO$245:$IH$316,$FN221-GZ$169,72-GZ$169+SwaptionMonthsToGo+SwaptionShift))/SQRT(SUM(INDEX($FO376:$IH376,1+SwaptionShift):INDEX($FO376:$IH376,SwaptionMonthsToGo+SwaptionShift))*SUM(INDEX($FO$325:$IH$396,GZ$169,1+SwaptionShift):INDEX($FO$325:$IH$396,GZ$169,SwaptionMonthsToGo+SwaptionShift))))))</f>
        <v/>
      </c>
      <c r="HA221" s="469" t="str">
        <f ca="1">IF(OR(HA$169&lt;SwaptionFirstMonthPosition+1,$FN221&lt;SwaptionFirstMonthPosition+1,HA$169&gt;SwaptionFirstMonthPosition+SwaptionNumOfMonths+1,$FN221&gt;SwaptionFirstMonthPosition+SwaptionNumOfMonths+1),"",IF($FN221=HA$169,1,IF($FN221&lt;HA$169,INDEX($FO$170:$IH$241,HA$169,$FN221),SUMPRODUCT(INDEX($FO$325:$IH$396,HA$169,1+SwaptionShift):INDEX($FO$325:$IH$396,HA$169,SwaptionMonthsToGo+SwaptionShift),INDEX($FO$245:$IH$316,$FN221-HA$169,73-HA$169+SwaptionShift):INDEX($FO$245:$IH$316,$FN221-HA$169,72-HA$169+SwaptionMonthsToGo+SwaptionShift))/SQRT(SUM(INDEX($FO376:$IH376,1+SwaptionShift):INDEX($FO376:$IH376,SwaptionMonthsToGo+SwaptionShift))*SUM(INDEX($FO$325:$IH$396,HA$169,1+SwaptionShift):INDEX($FO$325:$IH$396,HA$169,SwaptionMonthsToGo+SwaptionShift))))))</f>
        <v/>
      </c>
      <c r="HB221" s="469" t="str">
        <f ca="1">IF(OR(HB$169&lt;SwaptionFirstMonthPosition+1,$FN221&lt;SwaptionFirstMonthPosition+1,HB$169&gt;SwaptionFirstMonthPosition+SwaptionNumOfMonths+1,$FN221&gt;SwaptionFirstMonthPosition+SwaptionNumOfMonths+1),"",IF($FN221=HB$169,1,IF($FN221&lt;HB$169,INDEX($FO$170:$IH$241,HB$169,$FN221),SUMPRODUCT(INDEX($FO$325:$IH$396,HB$169,1+SwaptionShift):INDEX($FO$325:$IH$396,HB$169,SwaptionMonthsToGo+SwaptionShift),INDEX($FO$245:$IH$316,$FN221-HB$169,73-HB$169+SwaptionShift):INDEX($FO$245:$IH$316,$FN221-HB$169,72-HB$169+SwaptionMonthsToGo+SwaptionShift))/SQRT(SUM(INDEX($FO376:$IH376,1+SwaptionShift):INDEX($FO376:$IH376,SwaptionMonthsToGo+SwaptionShift))*SUM(INDEX($FO$325:$IH$396,HB$169,1+SwaptionShift):INDEX($FO$325:$IH$396,HB$169,SwaptionMonthsToGo+SwaptionShift))))))</f>
        <v/>
      </c>
      <c r="HC221" s="469" t="str">
        <f ca="1">IF(OR(HC$169&lt;SwaptionFirstMonthPosition+1,$FN221&lt;SwaptionFirstMonthPosition+1,HC$169&gt;SwaptionFirstMonthPosition+SwaptionNumOfMonths+1,$FN221&gt;SwaptionFirstMonthPosition+SwaptionNumOfMonths+1),"",IF($FN221=HC$169,1,IF($FN221&lt;HC$169,INDEX($FO$170:$IH$241,HC$169,$FN221),SUMPRODUCT(INDEX($FO$325:$IH$396,HC$169,1+SwaptionShift):INDEX($FO$325:$IH$396,HC$169,SwaptionMonthsToGo+SwaptionShift),INDEX($FO$245:$IH$316,$FN221-HC$169,73-HC$169+SwaptionShift):INDEX($FO$245:$IH$316,$FN221-HC$169,72-HC$169+SwaptionMonthsToGo+SwaptionShift))/SQRT(SUM(INDEX($FO376:$IH376,1+SwaptionShift):INDEX($FO376:$IH376,SwaptionMonthsToGo+SwaptionShift))*SUM(INDEX($FO$325:$IH$396,HC$169,1+SwaptionShift):INDEX($FO$325:$IH$396,HC$169,SwaptionMonthsToGo+SwaptionShift))))))</f>
        <v/>
      </c>
      <c r="HD221" s="469" t="str">
        <f ca="1">IF(OR(HD$169&lt;SwaptionFirstMonthPosition+1,$FN221&lt;SwaptionFirstMonthPosition+1,HD$169&gt;SwaptionFirstMonthPosition+SwaptionNumOfMonths+1,$FN221&gt;SwaptionFirstMonthPosition+SwaptionNumOfMonths+1),"",IF($FN221=HD$169,1,IF($FN221&lt;HD$169,INDEX($FO$170:$IH$241,HD$169,$FN221),SUMPRODUCT(INDEX($FO$325:$IH$396,HD$169,1+SwaptionShift):INDEX($FO$325:$IH$396,HD$169,SwaptionMonthsToGo+SwaptionShift),INDEX($FO$245:$IH$316,$FN221-HD$169,73-HD$169+SwaptionShift):INDEX($FO$245:$IH$316,$FN221-HD$169,72-HD$169+SwaptionMonthsToGo+SwaptionShift))/SQRT(SUM(INDEX($FO376:$IH376,1+SwaptionShift):INDEX($FO376:$IH376,SwaptionMonthsToGo+SwaptionShift))*SUM(INDEX($FO$325:$IH$396,HD$169,1+SwaptionShift):INDEX($FO$325:$IH$396,HD$169,SwaptionMonthsToGo+SwaptionShift))))))</f>
        <v/>
      </c>
      <c r="HE221" s="469" t="str">
        <f ca="1">IF(OR(HE$169&lt;SwaptionFirstMonthPosition+1,$FN221&lt;SwaptionFirstMonthPosition+1,HE$169&gt;SwaptionFirstMonthPosition+SwaptionNumOfMonths+1,$FN221&gt;SwaptionFirstMonthPosition+SwaptionNumOfMonths+1),"",IF($FN221=HE$169,1,IF($FN221&lt;HE$169,INDEX($FO$170:$IH$241,HE$169,$FN221),SUMPRODUCT(INDEX($FO$325:$IH$396,HE$169,1+SwaptionShift):INDEX($FO$325:$IH$396,HE$169,SwaptionMonthsToGo+SwaptionShift),INDEX($FO$245:$IH$316,$FN221-HE$169,73-HE$169+SwaptionShift):INDEX($FO$245:$IH$316,$FN221-HE$169,72-HE$169+SwaptionMonthsToGo+SwaptionShift))/SQRT(SUM(INDEX($FO376:$IH376,1+SwaptionShift):INDEX($FO376:$IH376,SwaptionMonthsToGo+SwaptionShift))*SUM(INDEX($FO$325:$IH$396,HE$169,1+SwaptionShift):INDEX($FO$325:$IH$396,HE$169,SwaptionMonthsToGo+SwaptionShift))))))</f>
        <v/>
      </c>
      <c r="HF221" s="469" t="str">
        <f ca="1">IF(OR(HF$169&lt;SwaptionFirstMonthPosition+1,$FN221&lt;SwaptionFirstMonthPosition+1,HF$169&gt;SwaptionFirstMonthPosition+SwaptionNumOfMonths+1,$FN221&gt;SwaptionFirstMonthPosition+SwaptionNumOfMonths+1),"",IF($FN221=HF$169,1,IF($FN221&lt;HF$169,INDEX($FO$170:$IH$241,HF$169,$FN221),SUMPRODUCT(INDEX($FO$325:$IH$396,HF$169,1+SwaptionShift):INDEX($FO$325:$IH$396,HF$169,SwaptionMonthsToGo+SwaptionShift),INDEX($FO$245:$IH$316,$FN221-HF$169,73-HF$169+SwaptionShift):INDEX($FO$245:$IH$316,$FN221-HF$169,72-HF$169+SwaptionMonthsToGo+SwaptionShift))/SQRT(SUM(INDEX($FO376:$IH376,1+SwaptionShift):INDEX($FO376:$IH376,SwaptionMonthsToGo+SwaptionShift))*SUM(INDEX($FO$325:$IH$396,HF$169,1+SwaptionShift):INDEX($FO$325:$IH$396,HF$169,SwaptionMonthsToGo+SwaptionShift))))))</f>
        <v/>
      </c>
      <c r="HG221" s="469" t="str">
        <f ca="1">IF(OR(HG$169&lt;SwaptionFirstMonthPosition+1,$FN221&lt;SwaptionFirstMonthPosition+1,HG$169&gt;SwaptionFirstMonthPosition+SwaptionNumOfMonths+1,$FN221&gt;SwaptionFirstMonthPosition+SwaptionNumOfMonths+1),"",IF($FN221=HG$169,1,IF($FN221&lt;HG$169,INDEX($FO$170:$IH$241,HG$169,$FN221),SUMPRODUCT(INDEX($FO$325:$IH$396,HG$169,1+SwaptionShift):INDEX($FO$325:$IH$396,HG$169,SwaptionMonthsToGo+SwaptionShift),INDEX($FO$245:$IH$316,$FN221-HG$169,73-HG$169+SwaptionShift):INDEX($FO$245:$IH$316,$FN221-HG$169,72-HG$169+SwaptionMonthsToGo+SwaptionShift))/SQRT(SUM(INDEX($FO376:$IH376,1+SwaptionShift):INDEX($FO376:$IH376,SwaptionMonthsToGo+SwaptionShift))*SUM(INDEX($FO$325:$IH$396,HG$169,1+SwaptionShift):INDEX($FO$325:$IH$396,HG$169,SwaptionMonthsToGo+SwaptionShift))))))</f>
        <v/>
      </c>
      <c r="HH221" s="469" t="str">
        <f ca="1">IF(OR(HH$169&lt;SwaptionFirstMonthPosition+1,$FN221&lt;SwaptionFirstMonthPosition+1,HH$169&gt;SwaptionFirstMonthPosition+SwaptionNumOfMonths+1,$FN221&gt;SwaptionFirstMonthPosition+SwaptionNumOfMonths+1),"",IF($FN221=HH$169,1,IF($FN221&lt;HH$169,INDEX($FO$170:$IH$241,HH$169,$FN221),SUMPRODUCT(INDEX($FO$325:$IH$396,HH$169,1+SwaptionShift):INDEX($FO$325:$IH$396,HH$169,SwaptionMonthsToGo+SwaptionShift),INDEX($FO$245:$IH$316,$FN221-HH$169,73-HH$169+SwaptionShift):INDEX($FO$245:$IH$316,$FN221-HH$169,72-HH$169+SwaptionMonthsToGo+SwaptionShift))/SQRT(SUM(INDEX($FO376:$IH376,1+SwaptionShift):INDEX($FO376:$IH376,SwaptionMonthsToGo+SwaptionShift))*SUM(INDEX($FO$325:$IH$396,HH$169,1+SwaptionShift):INDEX($FO$325:$IH$396,HH$169,SwaptionMonthsToGo+SwaptionShift))))))</f>
        <v/>
      </c>
      <c r="HI221" s="469" t="str">
        <f ca="1">IF(OR(HI$169&lt;SwaptionFirstMonthPosition+1,$FN221&lt;SwaptionFirstMonthPosition+1,HI$169&gt;SwaptionFirstMonthPosition+SwaptionNumOfMonths+1,$FN221&gt;SwaptionFirstMonthPosition+SwaptionNumOfMonths+1),"",IF($FN221=HI$169,1,IF($FN221&lt;HI$169,INDEX($FO$170:$IH$241,HI$169,$FN221),SUMPRODUCT(INDEX($FO$325:$IH$396,HI$169,1+SwaptionShift):INDEX($FO$325:$IH$396,HI$169,SwaptionMonthsToGo+SwaptionShift),INDEX($FO$245:$IH$316,$FN221-HI$169,73-HI$169+SwaptionShift):INDEX($FO$245:$IH$316,$FN221-HI$169,72-HI$169+SwaptionMonthsToGo+SwaptionShift))/SQRT(SUM(INDEX($FO376:$IH376,1+SwaptionShift):INDEX($FO376:$IH376,SwaptionMonthsToGo+SwaptionShift))*SUM(INDEX($FO$325:$IH$396,HI$169,1+SwaptionShift):INDEX($FO$325:$IH$396,HI$169,SwaptionMonthsToGo+SwaptionShift))))))</f>
        <v/>
      </c>
      <c r="HJ221" s="469" t="str">
        <f ca="1">IF(OR(HJ$169&lt;SwaptionFirstMonthPosition+1,$FN221&lt;SwaptionFirstMonthPosition+1,HJ$169&gt;SwaptionFirstMonthPosition+SwaptionNumOfMonths+1,$FN221&gt;SwaptionFirstMonthPosition+SwaptionNumOfMonths+1),"",IF($FN221=HJ$169,1,IF($FN221&lt;HJ$169,INDEX($FO$170:$IH$241,HJ$169,$FN221),SUMPRODUCT(INDEX($FO$325:$IH$396,HJ$169,1+SwaptionShift):INDEX($FO$325:$IH$396,HJ$169,SwaptionMonthsToGo+SwaptionShift),INDEX($FO$245:$IH$316,$FN221-HJ$169,73-HJ$169+SwaptionShift):INDEX($FO$245:$IH$316,$FN221-HJ$169,72-HJ$169+SwaptionMonthsToGo+SwaptionShift))/SQRT(SUM(INDEX($FO376:$IH376,1+SwaptionShift):INDEX($FO376:$IH376,SwaptionMonthsToGo+SwaptionShift))*SUM(INDEX($FO$325:$IH$396,HJ$169,1+SwaptionShift):INDEX($FO$325:$IH$396,HJ$169,SwaptionMonthsToGo+SwaptionShift))))))</f>
        <v/>
      </c>
      <c r="HK221" s="469" t="str">
        <f ca="1">IF(OR(HK$169&lt;SwaptionFirstMonthPosition+1,$FN221&lt;SwaptionFirstMonthPosition+1,HK$169&gt;SwaptionFirstMonthPosition+SwaptionNumOfMonths+1,$FN221&gt;SwaptionFirstMonthPosition+SwaptionNumOfMonths+1),"",IF($FN221=HK$169,1,IF($FN221&lt;HK$169,INDEX($FO$170:$IH$241,HK$169,$FN221),SUMPRODUCT(INDEX($FO$325:$IH$396,HK$169,1+SwaptionShift):INDEX($FO$325:$IH$396,HK$169,SwaptionMonthsToGo+SwaptionShift),INDEX($FO$245:$IH$316,$FN221-HK$169,73-HK$169+SwaptionShift):INDEX($FO$245:$IH$316,$FN221-HK$169,72-HK$169+SwaptionMonthsToGo+SwaptionShift))/SQRT(SUM(INDEX($FO376:$IH376,1+SwaptionShift):INDEX($FO376:$IH376,SwaptionMonthsToGo+SwaptionShift))*SUM(INDEX($FO$325:$IH$396,HK$169,1+SwaptionShift):INDEX($FO$325:$IH$396,HK$169,SwaptionMonthsToGo+SwaptionShift))))))</f>
        <v/>
      </c>
      <c r="HL221" s="469" t="str">
        <f ca="1">IF(OR(HL$169&lt;SwaptionFirstMonthPosition+1,$FN221&lt;SwaptionFirstMonthPosition+1,HL$169&gt;SwaptionFirstMonthPosition+SwaptionNumOfMonths+1,$FN221&gt;SwaptionFirstMonthPosition+SwaptionNumOfMonths+1),"",IF($FN221=HL$169,1,IF($FN221&lt;HL$169,INDEX($FO$170:$IH$241,HL$169,$FN221),SUMPRODUCT(INDEX($FO$325:$IH$396,HL$169,1+SwaptionShift):INDEX($FO$325:$IH$396,HL$169,SwaptionMonthsToGo+SwaptionShift),INDEX($FO$245:$IH$316,$FN221-HL$169,73-HL$169+SwaptionShift):INDEX($FO$245:$IH$316,$FN221-HL$169,72-HL$169+SwaptionMonthsToGo+SwaptionShift))/SQRT(SUM(INDEX($FO376:$IH376,1+SwaptionShift):INDEX($FO376:$IH376,SwaptionMonthsToGo+SwaptionShift))*SUM(INDEX($FO$325:$IH$396,HL$169,1+SwaptionShift):INDEX($FO$325:$IH$396,HL$169,SwaptionMonthsToGo+SwaptionShift))))))</f>
        <v/>
      </c>
      <c r="HM221" s="469" t="str">
        <f ca="1">IF(OR(HM$169&lt;SwaptionFirstMonthPosition+1,$FN221&lt;SwaptionFirstMonthPosition+1,HM$169&gt;SwaptionFirstMonthPosition+SwaptionNumOfMonths+1,$FN221&gt;SwaptionFirstMonthPosition+SwaptionNumOfMonths+1),"",IF($FN221=HM$169,1,IF($FN221&lt;HM$169,INDEX($FO$170:$IH$241,HM$169,$FN221),SUMPRODUCT(INDEX($FO$325:$IH$396,HM$169,1+SwaptionShift):INDEX($FO$325:$IH$396,HM$169,SwaptionMonthsToGo+SwaptionShift),INDEX($FO$245:$IH$316,$FN221-HM$169,73-HM$169+SwaptionShift):INDEX($FO$245:$IH$316,$FN221-HM$169,72-HM$169+SwaptionMonthsToGo+SwaptionShift))/SQRT(SUM(INDEX($FO376:$IH376,1+SwaptionShift):INDEX($FO376:$IH376,SwaptionMonthsToGo+SwaptionShift))*SUM(INDEX($FO$325:$IH$396,HM$169,1+SwaptionShift):INDEX($FO$325:$IH$396,HM$169,SwaptionMonthsToGo+SwaptionShift))))))</f>
        <v/>
      </c>
      <c r="HN221" s="469" t="str">
        <f ca="1">IF(OR(HN$169&lt;SwaptionFirstMonthPosition+1,$FN221&lt;SwaptionFirstMonthPosition+1,HN$169&gt;SwaptionFirstMonthPosition+SwaptionNumOfMonths+1,$FN221&gt;SwaptionFirstMonthPosition+SwaptionNumOfMonths+1),"",IF($FN221=HN$169,1,IF($FN221&lt;HN$169,INDEX($FO$170:$IH$241,HN$169,$FN221),SUMPRODUCT(INDEX($FO$325:$IH$396,HN$169,1+SwaptionShift):INDEX($FO$325:$IH$396,HN$169,SwaptionMonthsToGo+SwaptionShift),INDEX($FO$245:$IH$316,$FN221-HN$169,73-HN$169+SwaptionShift):INDEX($FO$245:$IH$316,$FN221-HN$169,72-HN$169+SwaptionMonthsToGo+SwaptionShift))/SQRT(SUM(INDEX($FO376:$IH376,1+SwaptionShift):INDEX($FO376:$IH376,SwaptionMonthsToGo+SwaptionShift))*SUM(INDEX($FO$325:$IH$396,HN$169,1+SwaptionShift):INDEX($FO$325:$IH$396,HN$169,SwaptionMonthsToGo+SwaptionShift))))))</f>
        <v/>
      </c>
      <c r="HO221" s="469" t="str">
        <f ca="1">IF(OR(HO$169&lt;SwaptionFirstMonthPosition+1,$FN221&lt;SwaptionFirstMonthPosition+1,HO$169&gt;SwaptionFirstMonthPosition+SwaptionNumOfMonths+1,$FN221&gt;SwaptionFirstMonthPosition+SwaptionNumOfMonths+1),"",IF($FN221=HO$169,1,IF($FN221&lt;HO$169,INDEX($FO$170:$IH$241,HO$169,$FN221),SUMPRODUCT(INDEX($FO$325:$IH$396,HO$169,1+SwaptionShift):INDEX($FO$325:$IH$396,HO$169,SwaptionMonthsToGo+SwaptionShift),INDEX($FO$245:$IH$316,$FN221-HO$169,73-HO$169+SwaptionShift):INDEX($FO$245:$IH$316,$FN221-HO$169,72-HO$169+SwaptionMonthsToGo+SwaptionShift))/SQRT(SUM(INDEX($FO376:$IH376,1+SwaptionShift):INDEX($FO376:$IH376,SwaptionMonthsToGo+SwaptionShift))*SUM(INDEX($FO$325:$IH$396,HO$169,1+SwaptionShift):INDEX($FO$325:$IH$396,HO$169,SwaptionMonthsToGo+SwaptionShift))))))</f>
        <v/>
      </c>
      <c r="HP221" s="469" t="str">
        <f ca="1">IF(OR(HP$169&lt;SwaptionFirstMonthPosition+1,$FN221&lt;SwaptionFirstMonthPosition+1,HP$169&gt;SwaptionFirstMonthPosition+SwaptionNumOfMonths+1,$FN221&gt;SwaptionFirstMonthPosition+SwaptionNumOfMonths+1),"",IF($FN221=HP$169,1,IF($FN221&lt;HP$169,INDEX($FO$170:$IH$241,HP$169,$FN221),SUMPRODUCT(INDEX($FO$325:$IH$396,HP$169,1+SwaptionShift):INDEX($FO$325:$IH$396,HP$169,SwaptionMonthsToGo+SwaptionShift),INDEX($FO$245:$IH$316,$FN221-HP$169,73-HP$169+SwaptionShift):INDEX($FO$245:$IH$316,$FN221-HP$169,72-HP$169+SwaptionMonthsToGo+SwaptionShift))/SQRT(SUM(INDEX($FO376:$IH376,1+SwaptionShift):INDEX($FO376:$IH376,SwaptionMonthsToGo+SwaptionShift))*SUM(INDEX($FO$325:$IH$396,HP$169,1+SwaptionShift):INDEX($FO$325:$IH$396,HP$169,SwaptionMonthsToGo+SwaptionShift))))))</f>
        <v/>
      </c>
      <c r="HQ221" s="469" t="str">
        <f ca="1">IF(OR(HQ$169&lt;SwaptionFirstMonthPosition+1,$FN221&lt;SwaptionFirstMonthPosition+1,HQ$169&gt;SwaptionFirstMonthPosition+SwaptionNumOfMonths+1,$FN221&gt;SwaptionFirstMonthPosition+SwaptionNumOfMonths+1),"",IF($FN221=HQ$169,1,IF($FN221&lt;HQ$169,INDEX($FO$170:$IH$241,HQ$169,$FN221),SUMPRODUCT(INDEX($FO$325:$IH$396,HQ$169,1+SwaptionShift):INDEX($FO$325:$IH$396,HQ$169,SwaptionMonthsToGo+SwaptionShift),INDEX($FO$245:$IH$316,$FN221-HQ$169,73-HQ$169+SwaptionShift):INDEX($FO$245:$IH$316,$FN221-HQ$169,72-HQ$169+SwaptionMonthsToGo+SwaptionShift))/SQRT(SUM(INDEX($FO376:$IH376,1+SwaptionShift):INDEX($FO376:$IH376,SwaptionMonthsToGo+SwaptionShift))*SUM(INDEX($FO$325:$IH$396,HQ$169,1+SwaptionShift):INDEX($FO$325:$IH$396,HQ$169,SwaptionMonthsToGo+SwaptionShift))))))</f>
        <v/>
      </c>
      <c r="HR221" s="469" t="str">
        <f ca="1">IF(OR(HR$169&lt;SwaptionFirstMonthPosition+1,$FN221&lt;SwaptionFirstMonthPosition+1,HR$169&gt;SwaptionFirstMonthPosition+SwaptionNumOfMonths+1,$FN221&gt;SwaptionFirstMonthPosition+SwaptionNumOfMonths+1),"",IF($FN221=HR$169,1,IF($FN221&lt;HR$169,INDEX($FO$170:$IH$241,HR$169,$FN221),SUMPRODUCT(INDEX($FO$325:$IH$396,HR$169,1+SwaptionShift):INDEX($FO$325:$IH$396,HR$169,SwaptionMonthsToGo+SwaptionShift),INDEX($FO$245:$IH$316,$FN221-HR$169,73-HR$169+SwaptionShift):INDEX($FO$245:$IH$316,$FN221-HR$169,72-HR$169+SwaptionMonthsToGo+SwaptionShift))/SQRT(SUM(INDEX($FO376:$IH376,1+SwaptionShift):INDEX($FO376:$IH376,SwaptionMonthsToGo+SwaptionShift))*SUM(INDEX($FO$325:$IH$396,HR$169,1+SwaptionShift):INDEX($FO$325:$IH$396,HR$169,SwaptionMonthsToGo+SwaptionShift))))))</f>
        <v/>
      </c>
      <c r="HS221" s="469" t="str">
        <f ca="1">IF(OR(HS$169&lt;SwaptionFirstMonthPosition+1,$FN221&lt;SwaptionFirstMonthPosition+1,HS$169&gt;SwaptionFirstMonthPosition+SwaptionNumOfMonths+1,$FN221&gt;SwaptionFirstMonthPosition+SwaptionNumOfMonths+1),"",IF($FN221=HS$169,1,IF($FN221&lt;HS$169,INDEX($FO$170:$IH$241,HS$169,$FN221),SUMPRODUCT(INDEX($FO$325:$IH$396,HS$169,1+SwaptionShift):INDEX($FO$325:$IH$396,HS$169,SwaptionMonthsToGo+SwaptionShift),INDEX($FO$245:$IH$316,$FN221-HS$169,73-HS$169+SwaptionShift):INDEX($FO$245:$IH$316,$FN221-HS$169,72-HS$169+SwaptionMonthsToGo+SwaptionShift))/SQRT(SUM(INDEX($FO376:$IH376,1+SwaptionShift):INDEX($FO376:$IH376,SwaptionMonthsToGo+SwaptionShift))*SUM(INDEX($FO$325:$IH$396,HS$169,1+SwaptionShift):INDEX($FO$325:$IH$396,HS$169,SwaptionMonthsToGo+SwaptionShift))))))</f>
        <v/>
      </c>
      <c r="HT221" s="469" t="str">
        <f ca="1">IF(OR(HT$169&lt;SwaptionFirstMonthPosition+1,$FN221&lt;SwaptionFirstMonthPosition+1,HT$169&gt;SwaptionFirstMonthPosition+SwaptionNumOfMonths+1,$FN221&gt;SwaptionFirstMonthPosition+SwaptionNumOfMonths+1),"",IF($FN221=HT$169,1,IF($FN221&lt;HT$169,INDEX($FO$170:$IH$241,HT$169,$FN221),SUMPRODUCT(INDEX($FO$325:$IH$396,HT$169,1+SwaptionShift):INDEX($FO$325:$IH$396,HT$169,SwaptionMonthsToGo+SwaptionShift),INDEX($FO$245:$IH$316,$FN221-HT$169,73-HT$169+SwaptionShift):INDEX($FO$245:$IH$316,$FN221-HT$169,72-HT$169+SwaptionMonthsToGo+SwaptionShift))/SQRT(SUM(INDEX($FO376:$IH376,1+SwaptionShift):INDEX($FO376:$IH376,SwaptionMonthsToGo+SwaptionShift))*SUM(INDEX($FO$325:$IH$396,HT$169,1+SwaptionShift):INDEX($FO$325:$IH$396,HT$169,SwaptionMonthsToGo+SwaptionShift))))))</f>
        <v/>
      </c>
      <c r="HU221" s="469" t="str">
        <f ca="1">IF(OR(HU$169&lt;SwaptionFirstMonthPosition+1,$FN221&lt;SwaptionFirstMonthPosition+1,HU$169&gt;SwaptionFirstMonthPosition+SwaptionNumOfMonths+1,$FN221&gt;SwaptionFirstMonthPosition+SwaptionNumOfMonths+1),"",IF($FN221=HU$169,1,IF($FN221&lt;HU$169,INDEX($FO$170:$IH$241,HU$169,$FN221),SUMPRODUCT(INDEX($FO$325:$IH$396,HU$169,1+SwaptionShift):INDEX($FO$325:$IH$396,HU$169,SwaptionMonthsToGo+SwaptionShift),INDEX($FO$245:$IH$316,$FN221-HU$169,73-HU$169+SwaptionShift):INDEX($FO$245:$IH$316,$FN221-HU$169,72-HU$169+SwaptionMonthsToGo+SwaptionShift))/SQRT(SUM(INDEX($FO376:$IH376,1+SwaptionShift):INDEX($FO376:$IH376,SwaptionMonthsToGo+SwaptionShift))*SUM(INDEX($FO$325:$IH$396,HU$169,1+SwaptionShift):INDEX($FO$325:$IH$396,HU$169,SwaptionMonthsToGo+SwaptionShift))))))</f>
        <v/>
      </c>
      <c r="HV221" s="469" t="str">
        <f ca="1">IF(OR(HV$169&lt;SwaptionFirstMonthPosition+1,$FN221&lt;SwaptionFirstMonthPosition+1,HV$169&gt;SwaptionFirstMonthPosition+SwaptionNumOfMonths+1,$FN221&gt;SwaptionFirstMonthPosition+SwaptionNumOfMonths+1),"",IF($FN221=HV$169,1,IF($FN221&lt;HV$169,INDEX($FO$170:$IH$241,HV$169,$FN221),SUMPRODUCT(INDEX($FO$325:$IH$396,HV$169,1+SwaptionShift):INDEX($FO$325:$IH$396,HV$169,SwaptionMonthsToGo+SwaptionShift),INDEX($FO$245:$IH$316,$FN221-HV$169,73-HV$169+SwaptionShift):INDEX($FO$245:$IH$316,$FN221-HV$169,72-HV$169+SwaptionMonthsToGo+SwaptionShift))/SQRT(SUM(INDEX($FO376:$IH376,1+SwaptionShift):INDEX($FO376:$IH376,SwaptionMonthsToGo+SwaptionShift))*SUM(INDEX($FO$325:$IH$396,HV$169,1+SwaptionShift):INDEX($FO$325:$IH$396,HV$169,SwaptionMonthsToGo+SwaptionShift))))))</f>
        <v/>
      </c>
      <c r="HW221" s="469" t="str">
        <f ca="1">IF(OR(HW$169&lt;SwaptionFirstMonthPosition+1,$FN221&lt;SwaptionFirstMonthPosition+1,HW$169&gt;SwaptionFirstMonthPosition+SwaptionNumOfMonths+1,$FN221&gt;SwaptionFirstMonthPosition+SwaptionNumOfMonths+1),"",IF($FN221=HW$169,1,IF($FN221&lt;HW$169,INDEX($FO$170:$IH$241,HW$169,$FN221),SUMPRODUCT(INDEX($FO$325:$IH$396,HW$169,1+SwaptionShift):INDEX($FO$325:$IH$396,HW$169,SwaptionMonthsToGo+SwaptionShift),INDEX($FO$245:$IH$316,$FN221-HW$169,73-HW$169+SwaptionShift):INDEX($FO$245:$IH$316,$FN221-HW$169,72-HW$169+SwaptionMonthsToGo+SwaptionShift))/SQRT(SUM(INDEX($FO376:$IH376,1+SwaptionShift):INDEX($FO376:$IH376,SwaptionMonthsToGo+SwaptionShift))*SUM(INDEX($FO$325:$IH$396,HW$169,1+SwaptionShift):INDEX($FO$325:$IH$396,HW$169,SwaptionMonthsToGo+SwaptionShift))))))</f>
        <v/>
      </c>
      <c r="HX221" s="469" t="str">
        <f ca="1">IF(OR(HX$169&lt;SwaptionFirstMonthPosition+1,$FN221&lt;SwaptionFirstMonthPosition+1,HX$169&gt;SwaptionFirstMonthPosition+SwaptionNumOfMonths+1,$FN221&gt;SwaptionFirstMonthPosition+SwaptionNumOfMonths+1),"",IF($FN221=HX$169,1,IF($FN221&lt;HX$169,INDEX($FO$170:$IH$241,HX$169,$FN221),SUMPRODUCT(INDEX($FO$325:$IH$396,HX$169,1+SwaptionShift):INDEX($FO$325:$IH$396,HX$169,SwaptionMonthsToGo+SwaptionShift),INDEX($FO$245:$IH$316,$FN221-HX$169,73-HX$169+SwaptionShift):INDEX($FO$245:$IH$316,$FN221-HX$169,72-HX$169+SwaptionMonthsToGo+SwaptionShift))/SQRT(SUM(INDEX($FO376:$IH376,1+SwaptionShift):INDEX($FO376:$IH376,SwaptionMonthsToGo+SwaptionShift))*SUM(INDEX($FO$325:$IH$396,HX$169,1+SwaptionShift):INDEX($FO$325:$IH$396,HX$169,SwaptionMonthsToGo+SwaptionShift))))))</f>
        <v/>
      </c>
      <c r="HY221" s="469" t="str">
        <f ca="1">IF(OR(HY$169&lt;SwaptionFirstMonthPosition+1,$FN221&lt;SwaptionFirstMonthPosition+1,HY$169&gt;SwaptionFirstMonthPosition+SwaptionNumOfMonths+1,$FN221&gt;SwaptionFirstMonthPosition+SwaptionNumOfMonths+1),"",IF($FN221=HY$169,1,IF($FN221&lt;HY$169,INDEX($FO$170:$IH$241,HY$169,$FN221),SUMPRODUCT(INDEX($FO$325:$IH$396,HY$169,1+SwaptionShift):INDEX($FO$325:$IH$396,HY$169,SwaptionMonthsToGo+SwaptionShift),INDEX($FO$245:$IH$316,$FN221-HY$169,73-HY$169+SwaptionShift):INDEX($FO$245:$IH$316,$FN221-HY$169,72-HY$169+SwaptionMonthsToGo+SwaptionShift))/SQRT(SUM(INDEX($FO376:$IH376,1+SwaptionShift):INDEX($FO376:$IH376,SwaptionMonthsToGo+SwaptionShift))*SUM(INDEX($FO$325:$IH$396,HY$169,1+SwaptionShift):INDEX($FO$325:$IH$396,HY$169,SwaptionMonthsToGo+SwaptionShift))))))</f>
        <v/>
      </c>
      <c r="HZ221" s="469" t="str">
        <f ca="1">IF(OR(HZ$169&lt;SwaptionFirstMonthPosition+1,$FN221&lt;SwaptionFirstMonthPosition+1,HZ$169&gt;SwaptionFirstMonthPosition+SwaptionNumOfMonths+1,$FN221&gt;SwaptionFirstMonthPosition+SwaptionNumOfMonths+1),"",IF($FN221=HZ$169,1,IF($FN221&lt;HZ$169,INDEX($FO$170:$IH$241,HZ$169,$FN221),SUMPRODUCT(INDEX($FO$325:$IH$396,HZ$169,1+SwaptionShift):INDEX($FO$325:$IH$396,HZ$169,SwaptionMonthsToGo+SwaptionShift),INDEX($FO$245:$IH$316,$FN221-HZ$169,73-HZ$169+SwaptionShift):INDEX($FO$245:$IH$316,$FN221-HZ$169,72-HZ$169+SwaptionMonthsToGo+SwaptionShift))/SQRT(SUM(INDEX($FO376:$IH376,1+SwaptionShift):INDEX($FO376:$IH376,SwaptionMonthsToGo+SwaptionShift))*SUM(INDEX($FO$325:$IH$396,HZ$169,1+SwaptionShift):INDEX($FO$325:$IH$396,HZ$169,SwaptionMonthsToGo+SwaptionShift))))))</f>
        <v/>
      </c>
      <c r="IA221" s="469" t="str">
        <f ca="1">IF(OR(IA$169&lt;SwaptionFirstMonthPosition+1,$FN221&lt;SwaptionFirstMonthPosition+1,IA$169&gt;SwaptionFirstMonthPosition+SwaptionNumOfMonths+1,$FN221&gt;SwaptionFirstMonthPosition+SwaptionNumOfMonths+1),"",IF($FN221=IA$169,1,IF($FN221&lt;IA$169,INDEX($FO$170:$IH$241,IA$169,$FN221),SUMPRODUCT(INDEX($FO$325:$IH$396,IA$169,1+SwaptionShift):INDEX($FO$325:$IH$396,IA$169,SwaptionMonthsToGo+SwaptionShift),INDEX($FO$245:$IH$316,$FN221-IA$169,73-IA$169+SwaptionShift):INDEX($FO$245:$IH$316,$FN221-IA$169,72-IA$169+SwaptionMonthsToGo+SwaptionShift))/SQRT(SUM(INDEX($FO376:$IH376,1+SwaptionShift):INDEX($FO376:$IH376,SwaptionMonthsToGo+SwaptionShift))*SUM(INDEX($FO$325:$IH$396,IA$169,1+SwaptionShift):INDEX($FO$325:$IH$396,IA$169,SwaptionMonthsToGo+SwaptionShift))))))</f>
        <v/>
      </c>
      <c r="IB221" s="469" t="str">
        <f ca="1">IF(OR(IB$169&lt;SwaptionFirstMonthPosition+1,$FN221&lt;SwaptionFirstMonthPosition+1,IB$169&gt;SwaptionFirstMonthPosition+SwaptionNumOfMonths+1,$FN221&gt;SwaptionFirstMonthPosition+SwaptionNumOfMonths+1),"",IF($FN221=IB$169,1,IF($FN221&lt;IB$169,INDEX($FO$170:$IH$241,IB$169,$FN221),SUMPRODUCT(INDEX($FO$325:$IH$396,IB$169,1+SwaptionShift):INDEX($FO$325:$IH$396,IB$169,SwaptionMonthsToGo+SwaptionShift),INDEX($FO$245:$IH$316,$FN221-IB$169,73-IB$169+SwaptionShift):INDEX($FO$245:$IH$316,$FN221-IB$169,72-IB$169+SwaptionMonthsToGo+SwaptionShift))/SQRT(SUM(INDEX($FO376:$IH376,1+SwaptionShift):INDEX($FO376:$IH376,SwaptionMonthsToGo+SwaptionShift))*SUM(INDEX($FO$325:$IH$396,IB$169,1+SwaptionShift):INDEX($FO$325:$IH$396,IB$169,SwaptionMonthsToGo+SwaptionShift))))))</f>
        <v/>
      </c>
      <c r="IC221" s="469" t="str">
        <f ca="1">IF(OR(IC$169&lt;SwaptionFirstMonthPosition+1,$FN221&lt;SwaptionFirstMonthPosition+1,IC$169&gt;SwaptionFirstMonthPosition+SwaptionNumOfMonths+1,$FN221&gt;SwaptionFirstMonthPosition+SwaptionNumOfMonths+1),"",IF($FN221=IC$169,1,IF($FN221&lt;IC$169,INDEX($FO$170:$IH$241,IC$169,$FN221),SUMPRODUCT(INDEX($FO$325:$IH$396,IC$169,1+SwaptionShift):INDEX($FO$325:$IH$396,IC$169,SwaptionMonthsToGo+SwaptionShift),INDEX($FO$245:$IH$316,$FN221-IC$169,73-IC$169+SwaptionShift):INDEX($FO$245:$IH$316,$FN221-IC$169,72-IC$169+SwaptionMonthsToGo+SwaptionShift))/SQRT(SUM(INDEX($FO376:$IH376,1+SwaptionShift):INDEX($FO376:$IH376,SwaptionMonthsToGo+SwaptionShift))*SUM(INDEX($FO$325:$IH$396,IC$169,1+SwaptionShift):INDEX($FO$325:$IH$396,IC$169,SwaptionMonthsToGo+SwaptionShift))))))</f>
        <v/>
      </c>
      <c r="ID221" s="469" t="str">
        <f ca="1">IF(OR(ID$169&lt;SwaptionFirstMonthPosition+1,$FN221&lt;SwaptionFirstMonthPosition+1,ID$169&gt;SwaptionFirstMonthPosition+SwaptionNumOfMonths+1,$FN221&gt;SwaptionFirstMonthPosition+SwaptionNumOfMonths+1),"",IF($FN221=ID$169,1,IF($FN221&lt;ID$169,INDEX($FO$170:$IH$241,ID$169,$FN221),SUMPRODUCT(INDEX($FO$325:$IH$396,ID$169,1+SwaptionShift):INDEX($FO$325:$IH$396,ID$169,SwaptionMonthsToGo+SwaptionShift),INDEX($FO$245:$IH$316,$FN221-ID$169,73-ID$169+SwaptionShift):INDEX($FO$245:$IH$316,$FN221-ID$169,72-ID$169+SwaptionMonthsToGo+SwaptionShift))/SQRT(SUM(INDEX($FO376:$IH376,1+SwaptionShift):INDEX($FO376:$IH376,SwaptionMonthsToGo+SwaptionShift))*SUM(INDEX($FO$325:$IH$396,ID$169,1+SwaptionShift):INDEX($FO$325:$IH$396,ID$169,SwaptionMonthsToGo+SwaptionShift))))))</f>
        <v/>
      </c>
      <c r="IE221" s="469" t="str">
        <f ca="1">IF(OR(IE$169&lt;SwaptionFirstMonthPosition+1,$FN221&lt;SwaptionFirstMonthPosition+1,IE$169&gt;SwaptionFirstMonthPosition+SwaptionNumOfMonths+1,$FN221&gt;SwaptionFirstMonthPosition+SwaptionNumOfMonths+1),"",IF($FN221=IE$169,1,IF($FN221&lt;IE$169,INDEX($FO$170:$IH$241,IE$169,$FN221),SUMPRODUCT(INDEX($FO$325:$IH$396,IE$169,1+SwaptionShift):INDEX($FO$325:$IH$396,IE$169,SwaptionMonthsToGo+SwaptionShift),INDEX($FO$245:$IH$316,$FN221-IE$169,73-IE$169+SwaptionShift):INDEX($FO$245:$IH$316,$FN221-IE$169,72-IE$169+SwaptionMonthsToGo+SwaptionShift))/SQRT(SUM(INDEX($FO376:$IH376,1+SwaptionShift):INDEX($FO376:$IH376,SwaptionMonthsToGo+SwaptionShift))*SUM(INDEX($FO$325:$IH$396,IE$169,1+SwaptionShift):INDEX($FO$325:$IH$396,IE$169,SwaptionMonthsToGo+SwaptionShift))))))</f>
        <v/>
      </c>
      <c r="IF221" s="469" t="str">
        <f ca="1">IF(OR(IF$169&lt;SwaptionFirstMonthPosition+1,$FN221&lt;SwaptionFirstMonthPosition+1,IF$169&gt;SwaptionFirstMonthPosition+SwaptionNumOfMonths+1,$FN221&gt;SwaptionFirstMonthPosition+SwaptionNumOfMonths+1),"",IF($FN221=IF$169,1,IF($FN221&lt;IF$169,INDEX($FO$170:$IH$241,IF$169,$FN221),SUMPRODUCT(INDEX($FO$325:$IH$396,IF$169,1+SwaptionShift):INDEX($FO$325:$IH$396,IF$169,SwaptionMonthsToGo+SwaptionShift),INDEX($FO$245:$IH$316,$FN221-IF$169,73-IF$169+SwaptionShift):INDEX($FO$245:$IH$316,$FN221-IF$169,72-IF$169+SwaptionMonthsToGo+SwaptionShift))/SQRT(SUM(INDEX($FO376:$IH376,1+SwaptionShift):INDEX($FO376:$IH376,SwaptionMonthsToGo+SwaptionShift))*SUM(INDEX($FO$325:$IH$396,IF$169,1+SwaptionShift):INDEX($FO$325:$IH$396,IF$169,SwaptionMonthsToGo+SwaptionShift))))))</f>
        <v/>
      </c>
      <c r="IG221" s="469" t="str">
        <f ca="1">IF(OR(IG$169&lt;SwaptionFirstMonthPosition+1,$FN221&lt;SwaptionFirstMonthPosition+1,IG$169&gt;SwaptionFirstMonthPosition+SwaptionNumOfMonths+1,$FN221&gt;SwaptionFirstMonthPosition+SwaptionNumOfMonths+1),"",IF($FN221=IG$169,1,IF($FN221&lt;IG$169,INDEX($FO$170:$IH$241,IG$169,$FN221),SUMPRODUCT(INDEX($FO$325:$IH$396,IG$169,1+SwaptionShift):INDEX($FO$325:$IH$396,IG$169,SwaptionMonthsToGo+SwaptionShift),INDEX($FO$245:$IH$316,$FN221-IG$169,73-IG$169+SwaptionShift):INDEX($FO$245:$IH$316,$FN221-IG$169,72-IG$169+SwaptionMonthsToGo+SwaptionShift))/SQRT(SUM(INDEX($FO376:$IH376,1+SwaptionShift):INDEX($FO376:$IH376,SwaptionMonthsToGo+SwaptionShift))*SUM(INDEX($FO$325:$IH$396,IG$169,1+SwaptionShift):INDEX($FO$325:$IH$396,IG$169,SwaptionMonthsToGo+SwaptionShift))))))</f>
        <v/>
      </c>
      <c r="IH221" s="662" t="str">
        <f ca="1">IF(OR(IH$169&lt;SwaptionFirstMonthPosition+1,$FN221&lt;SwaptionFirstMonthPosition+1,IH$169&gt;SwaptionFirstMonthPosition+SwaptionNumOfMonths+1,$FN221&gt;SwaptionFirstMonthPosition+SwaptionNumOfMonths+1),"",IF($FN221=IH$169,1,IF($FN221&lt;IH$169,INDEX($FO$170:$IH$241,IH$169,$FN221),SUMPRODUCT(INDEX($FO$325:$IH$396,IH$169,1+SwaptionShift):INDEX($FO$325:$IH$396,IH$169,SwaptionMonthsToGo+SwaptionShift),INDEX($FO$245:$IH$316,$FN221-IH$169,73-IH$169+SwaptionShift):INDEX($FO$245:$IH$316,$FN221-IH$169,72-IH$169+SwaptionMonthsToGo+SwaptionShift))/SQRT(SUM(INDEX($FO376:$IH376,1+SwaptionShift):INDEX($FO376:$IH376,SwaptionMonthsToGo+SwaptionShift))*SUM(INDEX($FO$325:$IH$396,IH$169,1+SwaptionShift):INDEX($FO$325:$IH$396,IH$169,SwaptionMonthsToGo+SwaptionShift))))))</f>
        <v/>
      </c>
      <c r="II221" s="242"/>
    </row>
    <row r="222" spans="8:243">
      <c r="H222" s="49" t="e">
        <f t="shared" ca="1" si="645"/>
        <v>#N/A</v>
      </c>
      <c r="I222" s="369">
        <f t="shared" si="646"/>
        <v>43160</v>
      </c>
      <c r="J222" s="367">
        <v>24.434999999999796</v>
      </c>
      <c r="K222" s="101" t="s">
        <v>267</v>
      </c>
      <c r="L222" s="382">
        <f t="shared" si="647"/>
        <v>24.434999999999842</v>
      </c>
      <c r="M222" s="163">
        <v>0.1303</v>
      </c>
      <c r="N222" s="372">
        <v>0</v>
      </c>
      <c r="O222" s="163">
        <f t="shared" si="595"/>
        <v>0.1303</v>
      </c>
      <c r="P222" s="367">
        <v>23.230002993674599</v>
      </c>
      <c r="Q222" s="101" t="s">
        <v>267</v>
      </c>
      <c r="R222" s="367">
        <f t="shared" ca="1" si="596"/>
        <v>23.230002993674642</v>
      </c>
      <c r="S222" s="814">
        <f t="shared" si="594"/>
        <v>0.34663199390546928</v>
      </c>
      <c r="T222" s="813">
        <f t="shared" si="660"/>
        <v>0.99999999995539079</v>
      </c>
      <c r="U222" s="532">
        <f t="shared" si="661"/>
        <v>0.99999999999999978</v>
      </c>
      <c r="V222" s="379">
        <v>0</v>
      </c>
      <c r="W222" s="424">
        <f t="shared" si="597"/>
        <v>24.469090909090706</v>
      </c>
      <c r="X222" s="405">
        <f t="shared" si="598"/>
        <v>24.469090909090752</v>
      </c>
      <c r="Y222" s="313">
        <f t="shared" si="599"/>
        <v>23.253090909090705</v>
      </c>
      <c r="Z222" s="313">
        <f t="shared" ca="1" si="600"/>
        <v>23.253090909090751</v>
      </c>
      <c r="AA222" s="419">
        <f t="shared" si="623"/>
        <v>1.216</v>
      </c>
      <c r="AB222" s="423">
        <f t="shared" ca="1" si="624"/>
        <v>1.216</v>
      </c>
      <c r="AC222" s="221">
        <v>43151</v>
      </c>
      <c r="AD222" s="221">
        <v>43147</v>
      </c>
      <c r="AE222" s="221">
        <v>43146</v>
      </c>
      <c r="AF222" s="221">
        <v>43142</v>
      </c>
      <c r="AG222" s="241" t="s">
        <v>497</v>
      </c>
      <c r="AH222" s="239" t="s">
        <v>497</v>
      </c>
      <c r="AI222" s="141">
        <v>22</v>
      </c>
      <c r="AJ222" s="41">
        <v>14</v>
      </c>
      <c r="AK222" s="41">
        <v>8</v>
      </c>
      <c r="AL222" s="285">
        <v>22</v>
      </c>
      <c r="AM222" s="41">
        <v>10</v>
      </c>
      <c r="AN222" s="142">
        <v>12</v>
      </c>
      <c r="AO222" s="364">
        <v>6.2969544595024504E-2</v>
      </c>
      <c r="AP222" s="145">
        <f t="shared" ca="1" si="648"/>
        <v>0.34909689342284095</v>
      </c>
      <c r="AQ222" s="364">
        <v>5.8673646674816601E-2</v>
      </c>
      <c r="AR222" s="145">
        <f t="shared" ca="1" si="662"/>
        <v>0.37725712475213757</v>
      </c>
      <c r="AS222" s="264">
        <f t="shared" si="601"/>
        <v>0.12975454545454548</v>
      </c>
      <c r="AT222" s="149">
        <f t="shared" si="649"/>
        <v>0.1303</v>
      </c>
      <c r="AU222" s="149">
        <f t="shared" si="625"/>
        <v>0.1296818181818182</v>
      </c>
      <c r="AV222" s="263">
        <f t="shared" ca="1" si="669"/>
        <v>0.12828086420021276</v>
      </c>
      <c r="AW222" s="150" t="str">
        <f t="shared" ca="1" si="581"/>
        <v/>
      </c>
      <c r="AX222" s="149">
        <f t="shared" ca="1" si="663"/>
        <v>3.7513717290083865E-3</v>
      </c>
      <c r="AY222" s="149">
        <f t="shared" ca="1" si="664"/>
        <v>1.1719299734163147E-3</v>
      </c>
      <c r="AZ222" s="149">
        <f t="shared" ca="1" si="665"/>
        <v>1.3954543723686689E-3</v>
      </c>
      <c r="BA222" s="149">
        <f t="shared" ca="1" si="666"/>
        <v>1.0000000000001079E-4</v>
      </c>
      <c r="BB222" s="149">
        <f t="shared" ca="1" si="667"/>
        <v>1.0000000000001079E-4</v>
      </c>
      <c r="BC222" s="149">
        <f t="shared" ca="1" si="668"/>
        <v>1.0000000000001079E-4</v>
      </c>
      <c r="BD222" s="143">
        <f t="shared" ca="1" si="602"/>
        <v>0</v>
      </c>
      <c r="BE222" s="144">
        <f t="shared" ca="1" si="603"/>
        <v>0</v>
      </c>
      <c r="BF222" s="40">
        <f t="shared" si="604"/>
        <v>2018</v>
      </c>
      <c r="BG222" s="139">
        <f t="shared" si="605"/>
        <v>3</v>
      </c>
      <c r="BH222" s="140">
        <f t="shared" ca="1" si="606"/>
        <v>6157</v>
      </c>
      <c r="BI222" s="304">
        <f t="shared" ca="1" si="607"/>
        <v>16.892539356605067</v>
      </c>
      <c r="BJ222" s="42">
        <f t="shared" ca="1" si="626"/>
        <v>16.944807417086679</v>
      </c>
      <c r="BK222" s="42">
        <f t="shared" ca="1" si="627"/>
        <v>16.94754526787381</v>
      </c>
      <c r="BL222" s="42">
        <f t="shared" ca="1" si="608"/>
        <v>16.974674880219027</v>
      </c>
      <c r="BM222" s="285">
        <f t="shared" si="609"/>
        <v>22</v>
      </c>
      <c r="BN222" s="41">
        <f t="shared" si="610"/>
        <v>14</v>
      </c>
      <c r="BO222" s="41">
        <f t="shared" si="611"/>
        <v>8</v>
      </c>
      <c r="BP222" s="297" t="str">
        <f t="shared" ca="1" si="628"/>
        <v/>
      </c>
      <c r="BQ222" s="297" t="str">
        <f t="shared" ca="1" si="629"/>
        <v/>
      </c>
      <c r="BR222" s="299" t="str">
        <f t="shared" ca="1" si="630"/>
        <v/>
      </c>
      <c r="BS222" s="153" t="str">
        <f t="shared" ca="1" si="631"/>
        <v/>
      </c>
      <c r="BT222" s="153" t="str">
        <f t="shared" ca="1" si="632"/>
        <v/>
      </c>
      <c r="BU222" s="300" t="str">
        <f t="shared" ca="1" si="633"/>
        <v/>
      </c>
      <c r="BV222" s="301" t="str">
        <f t="shared" ca="1" si="634"/>
        <v/>
      </c>
      <c r="BW222" s="300" t="str">
        <f t="shared" ca="1" si="635"/>
        <v/>
      </c>
      <c r="BX222" s="301" t="str">
        <f t="shared" ca="1" si="636"/>
        <v/>
      </c>
      <c r="BY222" s="146" t="str">
        <f t="shared" ca="1" si="637"/>
        <v/>
      </c>
      <c r="BZ222" s="146" t="str">
        <f t="shared" ca="1" si="638"/>
        <v/>
      </c>
      <c r="CA222" s="146" t="str">
        <f t="shared" ca="1" si="639"/>
        <v/>
      </c>
      <c r="CB222" s="146" t="str">
        <f t="shared" ca="1" si="640"/>
        <v/>
      </c>
      <c r="CC222" s="302">
        <v>1</v>
      </c>
      <c r="CD222" s="154">
        <f ca="1">IF(BD222,_xll.xCrudeAPO(BS222,BT222,BY222,BZ222,S223,S224,BI222,BL222,BN222,BO222,0,Strike1,AO222,CC222,0,BL222,IF(OptControl=4,0,1),0,1),0)</f>
        <v>0</v>
      </c>
      <c r="CE222" s="155">
        <f ca="1">IF(BD222,_xll.xCrudeAPO(BS222,BT222,BY222,BZ222,S223,S224,BI222,BL222,BN222,BO222,0,Strike1,AO222,CC222,0,BL222,IF(OptControl=4,0,1),1,1)+_xll.xCrudeAPO(BS222,BT222,BY222,BZ222,S223,S224,BI222,BL222,BN222,BO222,0,Strike1,AO222,CC222,0,BL222,IF(OptControl=4,0,1),1,2)+IF(OR(VolSkewFlag=2,ABS(BQ222)&lt;0.0001),0,IF(BQ222&gt;0,-1,1)*CF222*Strike1/BP222^2*BW222/10%),0)</f>
        <v>0</v>
      </c>
      <c r="CF222" s="155">
        <f ca="1">IF(BD222,(_xll.xCrudeAPO(BS222,BT222,BY222,BZ222,S223,S224,BI222,BL222,BN222,BO222,0,Strike1,AO222,CC222,0,BL222,IF(OptControl=4,0,1),3,1)+_xll.xCrudeAPO(BS222,BT222,BY222,BZ222,S223,S224,BI222,BL222,BN222,BO222,0,Strike1,AO222,CC222,0,BL222,IF(OptControl=4,0,1),3,2))/100,0)</f>
        <v>0</v>
      </c>
      <c r="CG222" s="155">
        <f ca="1">IF(BD222,_xll.xCrudeAPO(BS222,BT222,BY222,BZ222,S223,S224,BI222-DaysForThetaCalculation/365.25,BL222-DaysForThetaCalculation/365.25,BN222,BO222,0,Strike1,AO222,CC222,0,BL222,IF(OptControl=4,0,1),0,1)-_xll.xCrudeAPO(BS222,BT222,BY222,BZ222,S223,S224,BI222,BL222,BN222,BO222,0,Strike1,AO222,CC222,0,BL222,IF(OptControl=4,0,1),0,1),0)</f>
        <v>0</v>
      </c>
      <c r="CH222" s="303">
        <f ca="1">IF(BD222,_xll.xCrudeAPO(BS222,BT222,CA222,CB222,S223,S224,BI222,BL222,BN222,BO222,0,Strike2,AO222,CC222,0,BL222,IF(OptControl=3,1,0),0,1),0)</f>
        <v>0</v>
      </c>
      <c r="CI222" s="155">
        <f ca="1">IF(BD222,_xll.xCrudeAPO(BS222,BT222,CA222,CB222,S223,S224,BI222,BL222,BN222,BO222,0,Strike2,AO222,CC222,0,BL222,IF(OptControl=3,1,0),1,1)+_xll.xCrudeAPO(BS222,BT222,CA222,CB222,S223,S224,BI222,BL222,BN222,BO222,0,Strike2,AO222,CC222,0,BL222,IF(OptControl=3,1,0),1,2)+IF(OR(VolSkewFlag=2,ABS(BR222)&lt;0.0001),0,IF(BR222&gt;0,-1,1)*CJ222*Strike2/BP222^2*BX222/10%),0)</f>
        <v>0</v>
      </c>
      <c r="CJ222" s="155">
        <f ca="1">IF(BD222,(_xll.xCrudeAPO(BS222,BT222,CA222,CB222,S223,S224,BI222,BL222,BN222,BO222,0,Strike2,AO222,CC222,0,BL222,IF(OptControl=3,1,0),3,1)+_xll.xCrudeAPO(BS222,BT222,CA222,CB222,S223,S224,BI222,BL222,BN222,BO222,0,Strike2,AO222,CC222,0,BL222,IF(OptControl=3,1,0),3,2))/100,0)</f>
        <v>0</v>
      </c>
      <c r="CK222" s="156">
        <f ca="1">IF(BD222,_xll.xCrudeAPO(BS222,BT222,CA222,CB222,S223,S224,BI222-DaysForThetaCalculation/365.25,BL222-DaysForThetaCalculation/365.25,BN222,BO222,0,Strike2,AO222,CC222,0,BL222,IF(OptControl=3,1,0),0,1)-_xll.xCrudeAPO(BS222,BT222,CA222,CB222,S223,S224,BI222,BL222,BN222,BO222,0,Strike2,AO222,CC222,0,BL222,IF(OptControl=3,1,0),0,1),0)</f>
        <v>0</v>
      </c>
      <c r="CL222" s="51"/>
      <c r="CM222" s="779" t="str">
        <f t="shared" ca="1" si="650"/>
        <v/>
      </c>
      <c r="CN222" s="783" t="str">
        <f t="shared" ca="1" si="651"/>
        <v/>
      </c>
      <c r="CO222" s="780" t="str">
        <f t="shared" ca="1" si="652"/>
        <v/>
      </c>
      <c r="CP222" s="780" t="str">
        <f t="shared" ca="1" si="653"/>
        <v/>
      </c>
      <c r="CQ222" s="780" t="str">
        <f t="shared" ca="1" si="654"/>
        <v/>
      </c>
      <c r="CR222" s="780" t="str">
        <f t="shared" ca="1" si="655"/>
        <v/>
      </c>
      <c r="CS222" s="781" t="str">
        <f t="shared" ca="1" si="656"/>
        <v/>
      </c>
      <c r="CT222" s="782" t="str">
        <f t="shared" ca="1" si="657"/>
        <v/>
      </c>
      <c r="CU222" s="782" t="str">
        <f t="shared" ca="1" si="658"/>
        <v/>
      </c>
      <c r="CV222" s="155">
        <f ca="1">IF(BD222,_xll.EURO(CN222,Strike1,AO222,AO222,CT222,CM222,IF(OptControl=4,0,1),0),0)</f>
        <v>0</v>
      </c>
      <c r="CW222" s="155">
        <f ca="1">IF(BD222,_xll.EURO(CN222,Strike1,AO222,AO222,CT222,CM222,IF(OptControl=4,0,1),1)+IF(OR(VolSkewFlag=2,ABS(CO222)&lt;0.0001),0,IF(CO222&gt;0,-1,1)*CX222*100*Strike1/CN222^2*CQ222/10%),0)</f>
        <v>0</v>
      </c>
      <c r="CX222" s="155">
        <f ca="1">IF(BD222,_xll.EURO(CN222,Strike1,AO222,AO222,CT222,CM222,IF(OptControl=4,0,1),3)/100,0)</f>
        <v>0</v>
      </c>
      <c r="CY222" s="155">
        <f ca="1">IF(BD222,_xll.EURO(CN222,Strike1,AO222,AO222,CT222,CM222,IF(OptControl=4,0,1),0)-_xll.EURO(CN222,Strike1,AO222,AO222,CT222,CM222-1,IF(OptControl=4,0,1),0),0)</f>
        <v>0</v>
      </c>
      <c r="CZ222" s="155">
        <f ca="1">IF(BD222,_xll.EURO(CN222,Strike2,AO222,AO222,CU222,CM222,IF(OptControl=3,1,0),0),0)</f>
        <v>0</v>
      </c>
      <c r="DA222" s="155">
        <f ca="1">IF(BD222,_xll.EURO(CN222,Strike2,AO222,AO222,CU222,CM222,IF(OptControl=3,1,0),1)+IF(OR(VolSkewFlag=2,ABS(CP222)&lt;0.0001),0,IF(CP222&gt;0,-1,1)*DB222*100*Strike2/CN222^2*CR222/10%),0)</f>
        <v>0</v>
      </c>
      <c r="DB222" s="155">
        <f ca="1">IF(BD222,_xll.EURO(CN222,Strike2,AO222,AO222,CU222,CM222,IF(OptControl=3,1,0),3)/100,0)</f>
        <v>0</v>
      </c>
      <c r="DC222" s="156">
        <f ca="1">IF(BD222,_xll.EURO(CN222,Strike2,AO222,AO222,CU222,CM222,IF(OptControl=3,1,0),0)-_xll.EURO(CN222,Strike2,AO222,AO222,CU222,CM222-1,IF(OptControl=3,1,0),0),0)</f>
        <v>0</v>
      </c>
      <c r="DE222" s="651">
        <f t="shared" ca="1" si="659"/>
        <v>43070</v>
      </c>
      <c r="DF222" s="465">
        <v>1E-4</v>
      </c>
      <c r="DG222" s="649">
        <v>1E-4</v>
      </c>
      <c r="DH222" s="650">
        <f t="shared" ca="1" si="612"/>
        <v>43070</v>
      </c>
      <c r="DI222" s="465">
        <v>1E-4</v>
      </c>
      <c r="DJ222" s="649">
        <v>1E-4</v>
      </c>
      <c r="DK222" s="651">
        <f t="shared" ca="1" si="613"/>
        <v>43070</v>
      </c>
      <c r="DL222" s="652">
        <f t="shared" si="614"/>
        <v>5.0100000000000006E-2</v>
      </c>
      <c r="DM222" s="651">
        <f t="shared" ca="1" si="615"/>
        <v>43070</v>
      </c>
      <c r="DN222" s="563">
        <f t="shared" si="616"/>
        <v>-0.12990000000000002</v>
      </c>
      <c r="DO222" s="803">
        <v>-0.13</v>
      </c>
      <c r="DP222" s="650">
        <f t="shared" ca="1" si="617"/>
        <v>43070</v>
      </c>
      <c r="DQ222" s="653">
        <v>1E-4</v>
      </c>
      <c r="DR222" s="590">
        <v>1E-4</v>
      </c>
      <c r="DS222" s="650">
        <f t="shared" ca="1" si="618"/>
        <v>43070</v>
      </c>
      <c r="DT222" s="653">
        <v>1E-4</v>
      </c>
      <c r="DU222" s="590">
        <v>1E-4</v>
      </c>
      <c r="DV222" s="651">
        <f t="shared" ca="1" si="619"/>
        <v>43070</v>
      </c>
      <c r="DW222" s="590">
        <v>1E-4</v>
      </c>
      <c r="DX222" s="651">
        <f t="shared" ca="1" si="620"/>
        <v>43070</v>
      </c>
      <c r="DY222" s="590">
        <f t="shared" si="621"/>
        <v>1E-4</v>
      </c>
      <c r="DZ222" s="1"/>
      <c r="EA222" s="857"/>
      <c r="EB222" s="857"/>
      <c r="EC222" s="857"/>
      <c r="ED222" s="868" t="e">
        <f t="shared" ca="1" si="566"/>
        <v>#NAME?</v>
      </c>
      <c r="EE222" s="863" t="e">
        <f t="shared" ca="1" si="641"/>
        <v>#NAME?</v>
      </c>
      <c r="EF222" s="590" t="e">
        <f t="shared" ca="1" si="642"/>
        <v>#NAME?</v>
      </c>
      <c r="EG222" s="862" t="str">
        <f t="shared" ca="1" si="622"/>
        <v/>
      </c>
      <c r="EH222" s="114" t="str">
        <f t="shared" ca="1" si="643"/>
        <v/>
      </c>
      <c r="EI222" s="109" t="str">
        <f t="shared" ca="1" si="644"/>
        <v/>
      </c>
      <c r="EJ222" s="115">
        <f ca="1">IF(BD222,_xll.xASN(BP222,Strike1,AO222,EH222,0,BM222,0,BI222,BL222,IF(OptControl=4,0,1),0),0)</f>
        <v>0</v>
      </c>
      <c r="EK222" s="108">
        <f ca="1">IF(BD222,_xll.xASN(BP222,Strike2,AO222,EI222,0,BM222,0,BI222,BL222,IF(OptControl=3,1,0),0),0)</f>
        <v>0</v>
      </c>
      <c r="EP222" s="53"/>
      <c r="EQ222" s="1"/>
      <c r="ER222" s="103"/>
      <c r="ES222" s="103"/>
      <c r="ET222" s="1"/>
      <c r="EU222" s="667" t="s">
        <v>435</v>
      </c>
      <c r="EW222" s="53"/>
      <c r="EY222" s="104"/>
      <c r="FN222" s="657">
        <v>53</v>
      </c>
      <c r="FO222" s="469" t="str">
        <f ca="1">IF(OR(FO$169&lt;SwaptionFirstMonthPosition+1,$FN222&lt;SwaptionFirstMonthPosition+1,FO$169&gt;SwaptionFirstMonthPosition+SwaptionNumOfMonths+1,$FN222&gt;SwaptionFirstMonthPosition+SwaptionNumOfMonths+1),"",IF($FN222=FO$169,1,IF($FN222&lt;FO$169,INDEX($FO$170:$IH$241,FO$169,$FN222),SUMPRODUCT(INDEX($FO$325:$IH$396,FO$169,1+SwaptionShift):INDEX($FO$325:$IH$396,FO$169,SwaptionMonthsToGo+SwaptionShift),INDEX($FO$245:$IH$316,$FN222-FO$169,73-FO$169+SwaptionShift):INDEX($FO$245:$IH$316,$FN222-FO$169,72-FO$169+SwaptionMonthsToGo+SwaptionShift))/SQRT(SUM(INDEX($FO377:$IH377,1+SwaptionShift):INDEX($FO377:$IH377,SwaptionMonthsToGo+SwaptionShift))*SUM(INDEX($FO$325:$IH$396,FO$169,1+SwaptionShift):INDEX($FO$325:$IH$396,FO$169,SwaptionMonthsToGo+SwaptionShift))))))</f>
        <v/>
      </c>
      <c r="FP222" s="469" t="str">
        <f ca="1">IF(OR(FP$169&lt;SwaptionFirstMonthPosition+1,$FN222&lt;SwaptionFirstMonthPosition+1,FP$169&gt;SwaptionFirstMonthPosition+SwaptionNumOfMonths+1,$FN222&gt;SwaptionFirstMonthPosition+SwaptionNumOfMonths+1),"",IF($FN222=FP$169,1,IF($FN222&lt;FP$169,INDEX($FO$170:$IH$241,FP$169,$FN222),SUMPRODUCT(INDEX($FO$325:$IH$396,FP$169,1+SwaptionShift):INDEX($FO$325:$IH$396,FP$169,SwaptionMonthsToGo+SwaptionShift),INDEX($FO$245:$IH$316,$FN222-FP$169,73-FP$169+SwaptionShift):INDEX($FO$245:$IH$316,$FN222-FP$169,72-FP$169+SwaptionMonthsToGo+SwaptionShift))/SQRT(SUM(INDEX($FO377:$IH377,1+SwaptionShift):INDEX($FO377:$IH377,SwaptionMonthsToGo+SwaptionShift))*SUM(INDEX($FO$325:$IH$396,FP$169,1+SwaptionShift):INDEX($FO$325:$IH$396,FP$169,SwaptionMonthsToGo+SwaptionShift))))))</f>
        <v/>
      </c>
      <c r="FQ222" s="469" t="str">
        <f ca="1">IF(OR(FQ$169&lt;SwaptionFirstMonthPosition+1,$FN222&lt;SwaptionFirstMonthPosition+1,FQ$169&gt;SwaptionFirstMonthPosition+SwaptionNumOfMonths+1,$FN222&gt;SwaptionFirstMonthPosition+SwaptionNumOfMonths+1),"",IF($FN222=FQ$169,1,IF($FN222&lt;FQ$169,INDEX($FO$170:$IH$241,FQ$169,$FN222),SUMPRODUCT(INDEX($FO$325:$IH$396,FQ$169,1+SwaptionShift):INDEX($FO$325:$IH$396,FQ$169,SwaptionMonthsToGo+SwaptionShift),INDEX($FO$245:$IH$316,$FN222-FQ$169,73-FQ$169+SwaptionShift):INDEX($FO$245:$IH$316,$FN222-FQ$169,72-FQ$169+SwaptionMonthsToGo+SwaptionShift))/SQRT(SUM(INDEX($FO377:$IH377,1+SwaptionShift):INDEX($FO377:$IH377,SwaptionMonthsToGo+SwaptionShift))*SUM(INDEX($FO$325:$IH$396,FQ$169,1+SwaptionShift):INDEX($FO$325:$IH$396,FQ$169,SwaptionMonthsToGo+SwaptionShift))))))</f>
        <v/>
      </c>
      <c r="FR222" s="469" t="str">
        <f ca="1">IF(OR(FR$169&lt;SwaptionFirstMonthPosition+1,$FN222&lt;SwaptionFirstMonthPosition+1,FR$169&gt;SwaptionFirstMonthPosition+SwaptionNumOfMonths+1,$FN222&gt;SwaptionFirstMonthPosition+SwaptionNumOfMonths+1),"",IF($FN222=FR$169,1,IF($FN222&lt;FR$169,INDEX($FO$170:$IH$241,FR$169,$FN222),SUMPRODUCT(INDEX($FO$325:$IH$396,FR$169,1+SwaptionShift):INDEX($FO$325:$IH$396,FR$169,SwaptionMonthsToGo+SwaptionShift),INDEX($FO$245:$IH$316,$FN222-FR$169,73-FR$169+SwaptionShift):INDEX($FO$245:$IH$316,$FN222-FR$169,72-FR$169+SwaptionMonthsToGo+SwaptionShift))/SQRT(SUM(INDEX($FO377:$IH377,1+SwaptionShift):INDEX($FO377:$IH377,SwaptionMonthsToGo+SwaptionShift))*SUM(INDEX($FO$325:$IH$396,FR$169,1+SwaptionShift):INDEX($FO$325:$IH$396,FR$169,SwaptionMonthsToGo+SwaptionShift))))))</f>
        <v/>
      </c>
      <c r="FS222" s="469" t="str">
        <f ca="1">IF(OR(FS$169&lt;SwaptionFirstMonthPosition+1,$FN222&lt;SwaptionFirstMonthPosition+1,FS$169&gt;SwaptionFirstMonthPosition+SwaptionNumOfMonths+1,$FN222&gt;SwaptionFirstMonthPosition+SwaptionNumOfMonths+1),"",IF($FN222=FS$169,1,IF($FN222&lt;FS$169,INDEX($FO$170:$IH$241,FS$169,$FN222),SUMPRODUCT(INDEX($FO$325:$IH$396,FS$169,1+SwaptionShift):INDEX($FO$325:$IH$396,FS$169,SwaptionMonthsToGo+SwaptionShift),INDEX($FO$245:$IH$316,$FN222-FS$169,73-FS$169+SwaptionShift):INDEX($FO$245:$IH$316,$FN222-FS$169,72-FS$169+SwaptionMonthsToGo+SwaptionShift))/SQRT(SUM(INDEX($FO377:$IH377,1+SwaptionShift):INDEX($FO377:$IH377,SwaptionMonthsToGo+SwaptionShift))*SUM(INDEX($FO$325:$IH$396,FS$169,1+SwaptionShift):INDEX($FO$325:$IH$396,FS$169,SwaptionMonthsToGo+SwaptionShift))))))</f>
        <v/>
      </c>
      <c r="FT222" s="469" t="str">
        <f ca="1">IF(OR(FT$169&lt;SwaptionFirstMonthPosition+1,$FN222&lt;SwaptionFirstMonthPosition+1,FT$169&gt;SwaptionFirstMonthPosition+SwaptionNumOfMonths+1,$FN222&gt;SwaptionFirstMonthPosition+SwaptionNumOfMonths+1),"",IF($FN222=FT$169,1,IF($FN222&lt;FT$169,INDEX($FO$170:$IH$241,FT$169,$FN222),SUMPRODUCT(INDEX($FO$325:$IH$396,FT$169,1+SwaptionShift):INDEX($FO$325:$IH$396,FT$169,SwaptionMonthsToGo+SwaptionShift),INDEX($FO$245:$IH$316,$FN222-FT$169,73-FT$169+SwaptionShift):INDEX($FO$245:$IH$316,$FN222-FT$169,72-FT$169+SwaptionMonthsToGo+SwaptionShift))/SQRT(SUM(INDEX($FO377:$IH377,1+SwaptionShift):INDEX($FO377:$IH377,SwaptionMonthsToGo+SwaptionShift))*SUM(INDEX($FO$325:$IH$396,FT$169,1+SwaptionShift):INDEX($FO$325:$IH$396,FT$169,SwaptionMonthsToGo+SwaptionShift))))))</f>
        <v/>
      </c>
      <c r="FU222" s="469" t="str">
        <f ca="1">IF(OR(FU$169&lt;SwaptionFirstMonthPosition+1,$FN222&lt;SwaptionFirstMonthPosition+1,FU$169&gt;SwaptionFirstMonthPosition+SwaptionNumOfMonths+1,$FN222&gt;SwaptionFirstMonthPosition+SwaptionNumOfMonths+1),"",IF($FN222=FU$169,1,IF($FN222&lt;FU$169,INDEX($FO$170:$IH$241,FU$169,$FN222),SUMPRODUCT(INDEX($FO$325:$IH$396,FU$169,1+SwaptionShift):INDEX($FO$325:$IH$396,FU$169,SwaptionMonthsToGo+SwaptionShift),INDEX($FO$245:$IH$316,$FN222-FU$169,73-FU$169+SwaptionShift):INDEX($FO$245:$IH$316,$FN222-FU$169,72-FU$169+SwaptionMonthsToGo+SwaptionShift))/SQRT(SUM(INDEX($FO377:$IH377,1+SwaptionShift):INDEX($FO377:$IH377,SwaptionMonthsToGo+SwaptionShift))*SUM(INDEX($FO$325:$IH$396,FU$169,1+SwaptionShift):INDEX($FO$325:$IH$396,FU$169,SwaptionMonthsToGo+SwaptionShift))))))</f>
        <v/>
      </c>
      <c r="FV222" s="469" t="str">
        <f ca="1">IF(OR(FV$169&lt;SwaptionFirstMonthPosition+1,$FN222&lt;SwaptionFirstMonthPosition+1,FV$169&gt;SwaptionFirstMonthPosition+SwaptionNumOfMonths+1,$FN222&gt;SwaptionFirstMonthPosition+SwaptionNumOfMonths+1),"",IF($FN222=FV$169,1,IF($FN222&lt;FV$169,INDEX($FO$170:$IH$241,FV$169,$FN222),SUMPRODUCT(INDEX($FO$325:$IH$396,FV$169,1+SwaptionShift):INDEX($FO$325:$IH$396,FV$169,SwaptionMonthsToGo+SwaptionShift),INDEX($FO$245:$IH$316,$FN222-FV$169,73-FV$169+SwaptionShift):INDEX($FO$245:$IH$316,$FN222-FV$169,72-FV$169+SwaptionMonthsToGo+SwaptionShift))/SQRT(SUM(INDEX($FO377:$IH377,1+SwaptionShift):INDEX($FO377:$IH377,SwaptionMonthsToGo+SwaptionShift))*SUM(INDEX($FO$325:$IH$396,FV$169,1+SwaptionShift):INDEX($FO$325:$IH$396,FV$169,SwaptionMonthsToGo+SwaptionShift))))))</f>
        <v/>
      </c>
      <c r="FW222" s="469" t="str">
        <f ca="1">IF(OR(FW$169&lt;SwaptionFirstMonthPosition+1,$FN222&lt;SwaptionFirstMonthPosition+1,FW$169&gt;SwaptionFirstMonthPosition+SwaptionNumOfMonths+1,$FN222&gt;SwaptionFirstMonthPosition+SwaptionNumOfMonths+1),"",IF($FN222=FW$169,1,IF($FN222&lt;FW$169,INDEX($FO$170:$IH$241,FW$169,$FN222),SUMPRODUCT(INDEX($FO$325:$IH$396,FW$169,1+SwaptionShift):INDEX($FO$325:$IH$396,FW$169,SwaptionMonthsToGo+SwaptionShift),INDEX($FO$245:$IH$316,$FN222-FW$169,73-FW$169+SwaptionShift):INDEX($FO$245:$IH$316,$FN222-FW$169,72-FW$169+SwaptionMonthsToGo+SwaptionShift))/SQRT(SUM(INDEX($FO377:$IH377,1+SwaptionShift):INDEX($FO377:$IH377,SwaptionMonthsToGo+SwaptionShift))*SUM(INDEX($FO$325:$IH$396,FW$169,1+SwaptionShift):INDEX($FO$325:$IH$396,FW$169,SwaptionMonthsToGo+SwaptionShift))))))</f>
        <v/>
      </c>
      <c r="FX222" s="469" t="str">
        <f ca="1">IF(OR(FX$169&lt;SwaptionFirstMonthPosition+1,$FN222&lt;SwaptionFirstMonthPosition+1,FX$169&gt;SwaptionFirstMonthPosition+SwaptionNumOfMonths+1,$FN222&gt;SwaptionFirstMonthPosition+SwaptionNumOfMonths+1),"",IF($FN222=FX$169,1,IF($FN222&lt;FX$169,INDEX($FO$170:$IH$241,FX$169,$FN222),SUMPRODUCT(INDEX($FO$325:$IH$396,FX$169,1+SwaptionShift):INDEX($FO$325:$IH$396,FX$169,SwaptionMonthsToGo+SwaptionShift),INDEX($FO$245:$IH$316,$FN222-FX$169,73-FX$169+SwaptionShift):INDEX($FO$245:$IH$316,$FN222-FX$169,72-FX$169+SwaptionMonthsToGo+SwaptionShift))/SQRT(SUM(INDEX($FO377:$IH377,1+SwaptionShift):INDEX($FO377:$IH377,SwaptionMonthsToGo+SwaptionShift))*SUM(INDEX($FO$325:$IH$396,FX$169,1+SwaptionShift):INDEX($FO$325:$IH$396,FX$169,SwaptionMonthsToGo+SwaptionShift))))))</f>
        <v/>
      </c>
      <c r="FY222" s="469" t="str">
        <f ca="1">IF(OR(FY$169&lt;SwaptionFirstMonthPosition+1,$FN222&lt;SwaptionFirstMonthPosition+1,FY$169&gt;SwaptionFirstMonthPosition+SwaptionNumOfMonths+1,$FN222&gt;SwaptionFirstMonthPosition+SwaptionNumOfMonths+1),"",IF($FN222=FY$169,1,IF($FN222&lt;FY$169,INDEX($FO$170:$IH$241,FY$169,$FN222),SUMPRODUCT(INDEX($FO$325:$IH$396,FY$169,1+SwaptionShift):INDEX($FO$325:$IH$396,FY$169,SwaptionMonthsToGo+SwaptionShift),INDEX($FO$245:$IH$316,$FN222-FY$169,73-FY$169+SwaptionShift):INDEX($FO$245:$IH$316,$FN222-FY$169,72-FY$169+SwaptionMonthsToGo+SwaptionShift))/SQRT(SUM(INDEX($FO377:$IH377,1+SwaptionShift):INDEX($FO377:$IH377,SwaptionMonthsToGo+SwaptionShift))*SUM(INDEX($FO$325:$IH$396,FY$169,1+SwaptionShift):INDEX($FO$325:$IH$396,FY$169,SwaptionMonthsToGo+SwaptionShift))))))</f>
        <v/>
      </c>
      <c r="FZ222" s="469" t="str">
        <f ca="1">IF(OR(FZ$169&lt;SwaptionFirstMonthPosition+1,$FN222&lt;SwaptionFirstMonthPosition+1,FZ$169&gt;SwaptionFirstMonthPosition+SwaptionNumOfMonths+1,$FN222&gt;SwaptionFirstMonthPosition+SwaptionNumOfMonths+1),"",IF($FN222=FZ$169,1,IF($FN222&lt;FZ$169,INDEX($FO$170:$IH$241,FZ$169,$FN222),SUMPRODUCT(INDEX($FO$325:$IH$396,FZ$169,1+SwaptionShift):INDEX($FO$325:$IH$396,FZ$169,SwaptionMonthsToGo+SwaptionShift),INDEX($FO$245:$IH$316,$FN222-FZ$169,73-FZ$169+SwaptionShift):INDEX($FO$245:$IH$316,$FN222-FZ$169,72-FZ$169+SwaptionMonthsToGo+SwaptionShift))/SQRT(SUM(INDEX($FO377:$IH377,1+SwaptionShift):INDEX($FO377:$IH377,SwaptionMonthsToGo+SwaptionShift))*SUM(INDEX($FO$325:$IH$396,FZ$169,1+SwaptionShift):INDEX($FO$325:$IH$396,FZ$169,SwaptionMonthsToGo+SwaptionShift))))))</f>
        <v/>
      </c>
      <c r="GA222" s="469" t="str">
        <f ca="1">IF(OR(GA$169&lt;SwaptionFirstMonthPosition+1,$FN222&lt;SwaptionFirstMonthPosition+1,GA$169&gt;SwaptionFirstMonthPosition+SwaptionNumOfMonths+1,$FN222&gt;SwaptionFirstMonthPosition+SwaptionNumOfMonths+1),"",IF($FN222=GA$169,1,IF($FN222&lt;GA$169,INDEX($FO$170:$IH$241,GA$169,$FN222),SUMPRODUCT(INDEX($FO$325:$IH$396,GA$169,1+SwaptionShift):INDEX($FO$325:$IH$396,GA$169,SwaptionMonthsToGo+SwaptionShift),INDEX($FO$245:$IH$316,$FN222-GA$169,73-GA$169+SwaptionShift):INDEX($FO$245:$IH$316,$FN222-GA$169,72-GA$169+SwaptionMonthsToGo+SwaptionShift))/SQRT(SUM(INDEX($FO377:$IH377,1+SwaptionShift):INDEX($FO377:$IH377,SwaptionMonthsToGo+SwaptionShift))*SUM(INDEX($FO$325:$IH$396,GA$169,1+SwaptionShift):INDEX($FO$325:$IH$396,GA$169,SwaptionMonthsToGo+SwaptionShift))))))</f>
        <v/>
      </c>
      <c r="GB222" s="469" t="str">
        <f ca="1">IF(OR(GB$169&lt;SwaptionFirstMonthPosition+1,$FN222&lt;SwaptionFirstMonthPosition+1,GB$169&gt;SwaptionFirstMonthPosition+SwaptionNumOfMonths+1,$FN222&gt;SwaptionFirstMonthPosition+SwaptionNumOfMonths+1),"",IF($FN222=GB$169,1,IF($FN222&lt;GB$169,INDEX($FO$170:$IH$241,GB$169,$FN222),SUMPRODUCT(INDEX($FO$325:$IH$396,GB$169,1+SwaptionShift):INDEX($FO$325:$IH$396,GB$169,SwaptionMonthsToGo+SwaptionShift),INDEX($FO$245:$IH$316,$FN222-GB$169,73-GB$169+SwaptionShift):INDEX($FO$245:$IH$316,$FN222-GB$169,72-GB$169+SwaptionMonthsToGo+SwaptionShift))/SQRT(SUM(INDEX($FO377:$IH377,1+SwaptionShift):INDEX($FO377:$IH377,SwaptionMonthsToGo+SwaptionShift))*SUM(INDEX($FO$325:$IH$396,GB$169,1+SwaptionShift):INDEX($FO$325:$IH$396,GB$169,SwaptionMonthsToGo+SwaptionShift))))))</f>
        <v/>
      </c>
      <c r="GC222" s="469" t="str">
        <f ca="1">IF(OR(GC$169&lt;SwaptionFirstMonthPosition+1,$FN222&lt;SwaptionFirstMonthPosition+1,GC$169&gt;SwaptionFirstMonthPosition+SwaptionNumOfMonths+1,$FN222&gt;SwaptionFirstMonthPosition+SwaptionNumOfMonths+1),"",IF($FN222=GC$169,1,IF($FN222&lt;GC$169,INDEX($FO$170:$IH$241,GC$169,$FN222),SUMPRODUCT(INDEX($FO$325:$IH$396,GC$169,1+SwaptionShift):INDEX($FO$325:$IH$396,GC$169,SwaptionMonthsToGo+SwaptionShift),INDEX($FO$245:$IH$316,$FN222-GC$169,73-GC$169+SwaptionShift):INDEX($FO$245:$IH$316,$FN222-GC$169,72-GC$169+SwaptionMonthsToGo+SwaptionShift))/SQRT(SUM(INDEX($FO377:$IH377,1+SwaptionShift):INDEX($FO377:$IH377,SwaptionMonthsToGo+SwaptionShift))*SUM(INDEX($FO$325:$IH$396,GC$169,1+SwaptionShift):INDEX($FO$325:$IH$396,GC$169,SwaptionMonthsToGo+SwaptionShift))))))</f>
        <v/>
      </c>
      <c r="GD222" s="469" t="str">
        <f ca="1">IF(OR(GD$169&lt;SwaptionFirstMonthPosition+1,$FN222&lt;SwaptionFirstMonthPosition+1,GD$169&gt;SwaptionFirstMonthPosition+SwaptionNumOfMonths+1,$FN222&gt;SwaptionFirstMonthPosition+SwaptionNumOfMonths+1),"",IF($FN222=GD$169,1,IF($FN222&lt;GD$169,INDEX($FO$170:$IH$241,GD$169,$FN222),SUMPRODUCT(INDEX($FO$325:$IH$396,GD$169,1+SwaptionShift):INDEX($FO$325:$IH$396,GD$169,SwaptionMonthsToGo+SwaptionShift),INDEX($FO$245:$IH$316,$FN222-GD$169,73-GD$169+SwaptionShift):INDEX($FO$245:$IH$316,$FN222-GD$169,72-GD$169+SwaptionMonthsToGo+SwaptionShift))/SQRT(SUM(INDEX($FO377:$IH377,1+SwaptionShift):INDEX($FO377:$IH377,SwaptionMonthsToGo+SwaptionShift))*SUM(INDEX($FO$325:$IH$396,GD$169,1+SwaptionShift):INDEX($FO$325:$IH$396,GD$169,SwaptionMonthsToGo+SwaptionShift))))))</f>
        <v/>
      </c>
      <c r="GE222" s="469" t="str">
        <f ca="1">IF(OR(GE$169&lt;SwaptionFirstMonthPosition+1,$FN222&lt;SwaptionFirstMonthPosition+1,GE$169&gt;SwaptionFirstMonthPosition+SwaptionNumOfMonths+1,$FN222&gt;SwaptionFirstMonthPosition+SwaptionNumOfMonths+1),"",IF($FN222=GE$169,1,IF($FN222&lt;GE$169,INDEX($FO$170:$IH$241,GE$169,$FN222),SUMPRODUCT(INDEX($FO$325:$IH$396,GE$169,1+SwaptionShift):INDEX($FO$325:$IH$396,GE$169,SwaptionMonthsToGo+SwaptionShift),INDEX($FO$245:$IH$316,$FN222-GE$169,73-GE$169+SwaptionShift):INDEX($FO$245:$IH$316,$FN222-GE$169,72-GE$169+SwaptionMonthsToGo+SwaptionShift))/SQRT(SUM(INDEX($FO377:$IH377,1+SwaptionShift):INDEX($FO377:$IH377,SwaptionMonthsToGo+SwaptionShift))*SUM(INDEX($FO$325:$IH$396,GE$169,1+SwaptionShift):INDEX($FO$325:$IH$396,GE$169,SwaptionMonthsToGo+SwaptionShift))))))</f>
        <v/>
      </c>
      <c r="GF222" s="469" t="str">
        <f ca="1">IF(OR(GF$169&lt;SwaptionFirstMonthPosition+1,$FN222&lt;SwaptionFirstMonthPosition+1,GF$169&gt;SwaptionFirstMonthPosition+SwaptionNumOfMonths+1,$FN222&gt;SwaptionFirstMonthPosition+SwaptionNumOfMonths+1),"",IF($FN222=GF$169,1,IF($FN222&lt;GF$169,INDEX($FO$170:$IH$241,GF$169,$FN222),SUMPRODUCT(INDEX($FO$325:$IH$396,GF$169,1+SwaptionShift):INDEX($FO$325:$IH$396,GF$169,SwaptionMonthsToGo+SwaptionShift),INDEX($FO$245:$IH$316,$FN222-GF$169,73-GF$169+SwaptionShift):INDEX($FO$245:$IH$316,$FN222-GF$169,72-GF$169+SwaptionMonthsToGo+SwaptionShift))/SQRT(SUM(INDEX($FO377:$IH377,1+SwaptionShift):INDEX($FO377:$IH377,SwaptionMonthsToGo+SwaptionShift))*SUM(INDEX($FO$325:$IH$396,GF$169,1+SwaptionShift):INDEX($FO$325:$IH$396,GF$169,SwaptionMonthsToGo+SwaptionShift))))))</f>
        <v/>
      </c>
      <c r="GG222" s="469" t="str">
        <f ca="1">IF(OR(GG$169&lt;SwaptionFirstMonthPosition+1,$FN222&lt;SwaptionFirstMonthPosition+1,GG$169&gt;SwaptionFirstMonthPosition+SwaptionNumOfMonths+1,$FN222&gt;SwaptionFirstMonthPosition+SwaptionNumOfMonths+1),"",IF($FN222=GG$169,1,IF($FN222&lt;GG$169,INDEX($FO$170:$IH$241,GG$169,$FN222),SUMPRODUCT(INDEX($FO$325:$IH$396,GG$169,1+SwaptionShift):INDEX($FO$325:$IH$396,GG$169,SwaptionMonthsToGo+SwaptionShift),INDEX($FO$245:$IH$316,$FN222-GG$169,73-GG$169+SwaptionShift):INDEX($FO$245:$IH$316,$FN222-GG$169,72-GG$169+SwaptionMonthsToGo+SwaptionShift))/SQRT(SUM(INDEX($FO377:$IH377,1+SwaptionShift):INDEX($FO377:$IH377,SwaptionMonthsToGo+SwaptionShift))*SUM(INDEX($FO$325:$IH$396,GG$169,1+SwaptionShift):INDEX($FO$325:$IH$396,GG$169,SwaptionMonthsToGo+SwaptionShift))))))</f>
        <v/>
      </c>
      <c r="GH222" s="469" t="str">
        <f ca="1">IF(OR(GH$169&lt;SwaptionFirstMonthPosition+1,$FN222&lt;SwaptionFirstMonthPosition+1,GH$169&gt;SwaptionFirstMonthPosition+SwaptionNumOfMonths+1,$FN222&gt;SwaptionFirstMonthPosition+SwaptionNumOfMonths+1),"",IF($FN222=GH$169,1,IF($FN222&lt;GH$169,INDEX($FO$170:$IH$241,GH$169,$FN222),SUMPRODUCT(INDEX($FO$325:$IH$396,GH$169,1+SwaptionShift):INDEX($FO$325:$IH$396,GH$169,SwaptionMonthsToGo+SwaptionShift),INDEX($FO$245:$IH$316,$FN222-GH$169,73-GH$169+SwaptionShift):INDEX($FO$245:$IH$316,$FN222-GH$169,72-GH$169+SwaptionMonthsToGo+SwaptionShift))/SQRT(SUM(INDEX($FO377:$IH377,1+SwaptionShift):INDEX($FO377:$IH377,SwaptionMonthsToGo+SwaptionShift))*SUM(INDEX($FO$325:$IH$396,GH$169,1+SwaptionShift):INDEX($FO$325:$IH$396,GH$169,SwaptionMonthsToGo+SwaptionShift))))))</f>
        <v/>
      </c>
      <c r="GI222" s="469" t="str">
        <f ca="1">IF(OR(GI$169&lt;SwaptionFirstMonthPosition+1,$FN222&lt;SwaptionFirstMonthPosition+1,GI$169&gt;SwaptionFirstMonthPosition+SwaptionNumOfMonths+1,$FN222&gt;SwaptionFirstMonthPosition+SwaptionNumOfMonths+1),"",IF($FN222=GI$169,1,IF($FN222&lt;GI$169,INDEX($FO$170:$IH$241,GI$169,$FN222),SUMPRODUCT(INDEX($FO$325:$IH$396,GI$169,1+SwaptionShift):INDEX($FO$325:$IH$396,GI$169,SwaptionMonthsToGo+SwaptionShift),INDEX($FO$245:$IH$316,$FN222-GI$169,73-GI$169+SwaptionShift):INDEX($FO$245:$IH$316,$FN222-GI$169,72-GI$169+SwaptionMonthsToGo+SwaptionShift))/SQRT(SUM(INDEX($FO377:$IH377,1+SwaptionShift):INDEX($FO377:$IH377,SwaptionMonthsToGo+SwaptionShift))*SUM(INDEX($FO$325:$IH$396,GI$169,1+SwaptionShift):INDEX($FO$325:$IH$396,GI$169,SwaptionMonthsToGo+SwaptionShift))))))</f>
        <v/>
      </c>
      <c r="GJ222" s="469" t="str">
        <f ca="1">IF(OR(GJ$169&lt;SwaptionFirstMonthPosition+1,$FN222&lt;SwaptionFirstMonthPosition+1,GJ$169&gt;SwaptionFirstMonthPosition+SwaptionNumOfMonths+1,$FN222&gt;SwaptionFirstMonthPosition+SwaptionNumOfMonths+1),"",IF($FN222=GJ$169,1,IF($FN222&lt;GJ$169,INDEX($FO$170:$IH$241,GJ$169,$FN222),SUMPRODUCT(INDEX($FO$325:$IH$396,GJ$169,1+SwaptionShift):INDEX($FO$325:$IH$396,GJ$169,SwaptionMonthsToGo+SwaptionShift),INDEX($FO$245:$IH$316,$FN222-GJ$169,73-GJ$169+SwaptionShift):INDEX($FO$245:$IH$316,$FN222-GJ$169,72-GJ$169+SwaptionMonthsToGo+SwaptionShift))/SQRT(SUM(INDEX($FO377:$IH377,1+SwaptionShift):INDEX($FO377:$IH377,SwaptionMonthsToGo+SwaptionShift))*SUM(INDEX($FO$325:$IH$396,GJ$169,1+SwaptionShift):INDEX($FO$325:$IH$396,GJ$169,SwaptionMonthsToGo+SwaptionShift))))))</f>
        <v/>
      </c>
      <c r="GK222" s="469" t="str">
        <f ca="1">IF(OR(GK$169&lt;SwaptionFirstMonthPosition+1,$FN222&lt;SwaptionFirstMonthPosition+1,GK$169&gt;SwaptionFirstMonthPosition+SwaptionNumOfMonths+1,$FN222&gt;SwaptionFirstMonthPosition+SwaptionNumOfMonths+1),"",IF($FN222=GK$169,1,IF($FN222&lt;GK$169,INDEX($FO$170:$IH$241,GK$169,$FN222),SUMPRODUCT(INDEX($FO$325:$IH$396,GK$169,1+SwaptionShift):INDEX($FO$325:$IH$396,GK$169,SwaptionMonthsToGo+SwaptionShift),INDEX($FO$245:$IH$316,$FN222-GK$169,73-GK$169+SwaptionShift):INDEX($FO$245:$IH$316,$FN222-GK$169,72-GK$169+SwaptionMonthsToGo+SwaptionShift))/SQRT(SUM(INDEX($FO377:$IH377,1+SwaptionShift):INDEX($FO377:$IH377,SwaptionMonthsToGo+SwaptionShift))*SUM(INDEX($FO$325:$IH$396,GK$169,1+SwaptionShift):INDEX($FO$325:$IH$396,GK$169,SwaptionMonthsToGo+SwaptionShift))))))</f>
        <v/>
      </c>
      <c r="GL222" s="469" t="str">
        <f ca="1">IF(OR(GL$169&lt;SwaptionFirstMonthPosition+1,$FN222&lt;SwaptionFirstMonthPosition+1,GL$169&gt;SwaptionFirstMonthPosition+SwaptionNumOfMonths+1,$FN222&gt;SwaptionFirstMonthPosition+SwaptionNumOfMonths+1),"",IF($FN222=GL$169,1,IF($FN222&lt;GL$169,INDEX($FO$170:$IH$241,GL$169,$FN222),SUMPRODUCT(INDEX($FO$325:$IH$396,GL$169,1+SwaptionShift):INDEX($FO$325:$IH$396,GL$169,SwaptionMonthsToGo+SwaptionShift),INDEX($FO$245:$IH$316,$FN222-GL$169,73-GL$169+SwaptionShift):INDEX($FO$245:$IH$316,$FN222-GL$169,72-GL$169+SwaptionMonthsToGo+SwaptionShift))/SQRT(SUM(INDEX($FO377:$IH377,1+SwaptionShift):INDEX($FO377:$IH377,SwaptionMonthsToGo+SwaptionShift))*SUM(INDEX($FO$325:$IH$396,GL$169,1+SwaptionShift):INDEX($FO$325:$IH$396,GL$169,SwaptionMonthsToGo+SwaptionShift))))))</f>
        <v/>
      </c>
      <c r="GM222" s="469" t="str">
        <f ca="1">IF(OR(GM$169&lt;SwaptionFirstMonthPosition+1,$FN222&lt;SwaptionFirstMonthPosition+1,GM$169&gt;SwaptionFirstMonthPosition+SwaptionNumOfMonths+1,$FN222&gt;SwaptionFirstMonthPosition+SwaptionNumOfMonths+1),"",IF($FN222=GM$169,1,IF($FN222&lt;GM$169,INDEX($FO$170:$IH$241,GM$169,$FN222),SUMPRODUCT(INDEX($FO$325:$IH$396,GM$169,1+SwaptionShift):INDEX($FO$325:$IH$396,GM$169,SwaptionMonthsToGo+SwaptionShift),INDEX($FO$245:$IH$316,$FN222-GM$169,73-GM$169+SwaptionShift):INDEX($FO$245:$IH$316,$FN222-GM$169,72-GM$169+SwaptionMonthsToGo+SwaptionShift))/SQRT(SUM(INDEX($FO377:$IH377,1+SwaptionShift):INDEX($FO377:$IH377,SwaptionMonthsToGo+SwaptionShift))*SUM(INDEX($FO$325:$IH$396,GM$169,1+SwaptionShift):INDEX($FO$325:$IH$396,GM$169,SwaptionMonthsToGo+SwaptionShift))))))</f>
        <v/>
      </c>
      <c r="GN222" s="469" t="str">
        <f ca="1">IF(OR(GN$169&lt;SwaptionFirstMonthPosition+1,$FN222&lt;SwaptionFirstMonthPosition+1,GN$169&gt;SwaptionFirstMonthPosition+SwaptionNumOfMonths+1,$FN222&gt;SwaptionFirstMonthPosition+SwaptionNumOfMonths+1),"",IF($FN222=GN$169,1,IF($FN222&lt;GN$169,INDEX($FO$170:$IH$241,GN$169,$FN222),SUMPRODUCT(INDEX($FO$325:$IH$396,GN$169,1+SwaptionShift):INDEX($FO$325:$IH$396,GN$169,SwaptionMonthsToGo+SwaptionShift),INDEX($FO$245:$IH$316,$FN222-GN$169,73-GN$169+SwaptionShift):INDEX($FO$245:$IH$316,$FN222-GN$169,72-GN$169+SwaptionMonthsToGo+SwaptionShift))/SQRT(SUM(INDEX($FO377:$IH377,1+SwaptionShift):INDEX($FO377:$IH377,SwaptionMonthsToGo+SwaptionShift))*SUM(INDEX($FO$325:$IH$396,GN$169,1+SwaptionShift):INDEX($FO$325:$IH$396,GN$169,SwaptionMonthsToGo+SwaptionShift))))))</f>
        <v/>
      </c>
      <c r="GO222" s="469" t="str">
        <f ca="1">IF(OR(GO$169&lt;SwaptionFirstMonthPosition+1,$FN222&lt;SwaptionFirstMonthPosition+1,GO$169&gt;SwaptionFirstMonthPosition+SwaptionNumOfMonths+1,$FN222&gt;SwaptionFirstMonthPosition+SwaptionNumOfMonths+1),"",IF($FN222=GO$169,1,IF($FN222&lt;GO$169,INDEX($FO$170:$IH$241,GO$169,$FN222),SUMPRODUCT(INDEX($FO$325:$IH$396,GO$169,1+SwaptionShift):INDEX($FO$325:$IH$396,GO$169,SwaptionMonthsToGo+SwaptionShift),INDEX($FO$245:$IH$316,$FN222-GO$169,73-GO$169+SwaptionShift):INDEX($FO$245:$IH$316,$FN222-GO$169,72-GO$169+SwaptionMonthsToGo+SwaptionShift))/SQRT(SUM(INDEX($FO377:$IH377,1+SwaptionShift):INDEX($FO377:$IH377,SwaptionMonthsToGo+SwaptionShift))*SUM(INDEX($FO$325:$IH$396,GO$169,1+SwaptionShift):INDEX($FO$325:$IH$396,GO$169,SwaptionMonthsToGo+SwaptionShift))))))</f>
        <v/>
      </c>
      <c r="GP222" s="469" t="str">
        <f ca="1">IF(OR(GP$169&lt;SwaptionFirstMonthPosition+1,$FN222&lt;SwaptionFirstMonthPosition+1,GP$169&gt;SwaptionFirstMonthPosition+SwaptionNumOfMonths+1,$FN222&gt;SwaptionFirstMonthPosition+SwaptionNumOfMonths+1),"",IF($FN222=GP$169,1,IF($FN222&lt;GP$169,INDEX($FO$170:$IH$241,GP$169,$FN222),SUMPRODUCT(INDEX($FO$325:$IH$396,GP$169,1+SwaptionShift):INDEX($FO$325:$IH$396,GP$169,SwaptionMonthsToGo+SwaptionShift),INDEX($FO$245:$IH$316,$FN222-GP$169,73-GP$169+SwaptionShift):INDEX($FO$245:$IH$316,$FN222-GP$169,72-GP$169+SwaptionMonthsToGo+SwaptionShift))/SQRT(SUM(INDEX($FO377:$IH377,1+SwaptionShift):INDEX($FO377:$IH377,SwaptionMonthsToGo+SwaptionShift))*SUM(INDEX($FO$325:$IH$396,GP$169,1+SwaptionShift):INDEX($FO$325:$IH$396,GP$169,SwaptionMonthsToGo+SwaptionShift))))))</f>
        <v/>
      </c>
      <c r="GQ222" s="469" t="str">
        <f ca="1">IF(OR(GQ$169&lt;SwaptionFirstMonthPosition+1,$FN222&lt;SwaptionFirstMonthPosition+1,GQ$169&gt;SwaptionFirstMonthPosition+SwaptionNumOfMonths+1,$FN222&gt;SwaptionFirstMonthPosition+SwaptionNumOfMonths+1),"",IF($FN222=GQ$169,1,IF($FN222&lt;GQ$169,INDEX($FO$170:$IH$241,GQ$169,$FN222),SUMPRODUCT(INDEX($FO$325:$IH$396,GQ$169,1+SwaptionShift):INDEX($FO$325:$IH$396,GQ$169,SwaptionMonthsToGo+SwaptionShift),INDEX($FO$245:$IH$316,$FN222-GQ$169,73-GQ$169+SwaptionShift):INDEX($FO$245:$IH$316,$FN222-GQ$169,72-GQ$169+SwaptionMonthsToGo+SwaptionShift))/SQRT(SUM(INDEX($FO377:$IH377,1+SwaptionShift):INDEX($FO377:$IH377,SwaptionMonthsToGo+SwaptionShift))*SUM(INDEX($FO$325:$IH$396,GQ$169,1+SwaptionShift):INDEX($FO$325:$IH$396,GQ$169,SwaptionMonthsToGo+SwaptionShift))))))</f>
        <v/>
      </c>
      <c r="GR222" s="469" t="str">
        <f ca="1">IF(OR(GR$169&lt;SwaptionFirstMonthPosition+1,$FN222&lt;SwaptionFirstMonthPosition+1,GR$169&gt;SwaptionFirstMonthPosition+SwaptionNumOfMonths+1,$FN222&gt;SwaptionFirstMonthPosition+SwaptionNumOfMonths+1),"",IF($FN222=GR$169,1,IF($FN222&lt;GR$169,INDEX($FO$170:$IH$241,GR$169,$FN222),SUMPRODUCT(INDEX($FO$325:$IH$396,GR$169,1+SwaptionShift):INDEX($FO$325:$IH$396,GR$169,SwaptionMonthsToGo+SwaptionShift),INDEX($FO$245:$IH$316,$FN222-GR$169,73-GR$169+SwaptionShift):INDEX($FO$245:$IH$316,$FN222-GR$169,72-GR$169+SwaptionMonthsToGo+SwaptionShift))/SQRT(SUM(INDEX($FO377:$IH377,1+SwaptionShift):INDEX($FO377:$IH377,SwaptionMonthsToGo+SwaptionShift))*SUM(INDEX($FO$325:$IH$396,GR$169,1+SwaptionShift):INDEX($FO$325:$IH$396,GR$169,SwaptionMonthsToGo+SwaptionShift))))))</f>
        <v/>
      </c>
      <c r="GS222" s="469" t="str">
        <f ca="1">IF(OR(GS$169&lt;SwaptionFirstMonthPosition+1,$FN222&lt;SwaptionFirstMonthPosition+1,GS$169&gt;SwaptionFirstMonthPosition+SwaptionNumOfMonths+1,$FN222&gt;SwaptionFirstMonthPosition+SwaptionNumOfMonths+1),"",IF($FN222=GS$169,1,IF($FN222&lt;GS$169,INDEX($FO$170:$IH$241,GS$169,$FN222),SUMPRODUCT(INDEX($FO$325:$IH$396,GS$169,1+SwaptionShift):INDEX($FO$325:$IH$396,GS$169,SwaptionMonthsToGo+SwaptionShift),INDEX($FO$245:$IH$316,$FN222-GS$169,73-GS$169+SwaptionShift):INDEX($FO$245:$IH$316,$FN222-GS$169,72-GS$169+SwaptionMonthsToGo+SwaptionShift))/SQRT(SUM(INDEX($FO377:$IH377,1+SwaptionShift):INDEX($FO377:$IH377,SwaptionMonthsToGo+SwaptionShift))*SUM(INDEX($FO$325:$IH$396,GS$169,1+SwaptionShift):INDEX($FO$325:$IH$396,GS$169,SwaptionMonthsToGo+SwaptionShift))))))</f>
        <v/>
      </c>
      <c r="GT222" s="469" t="str">
        <f ca="1">IF(OR(GT$169&lt;SwaptionFirstMonthPosition+1,$FN222&lt;SwaptionFirstMonthPosition+1,GT$169&gt;SwaptionFirstMonthPosition+SwaptionNumOfMonths+1,$FN222&gt;SwaptionFirstMonthPosition+SwaptionNumOfMonths+1),"",IF($FN222=GT$169,1,IF($FN222&lt;GT$169,INDEX($FO$170:$IH$241,GT$169,$FN222),SUMPRODUCT(INDEX($FO$325:$IH$396,GT$169,1+SwaptionShift):INDEX($FO$325:$IH$396,GT$169,SwaptionMonthsToGo+SwaptionShift),INDEX($FO$245:$IH$316,$FN222-GT$169,73-GT$169+SwaptionShift):INDEX($FO$245:$IH$316,$FN222-GT$169,72-GT$169+SwaptionMonthsToGo+SwaptionShift))/SQRT(SUM(INDEX($FO377:$IH377,1+SwaptionShift):INDEX($FO377:$IH377,SwaptionMonthsToGo+SwaptionShift))*SUM(INDEX($FO$325:$IH$396,GT$169,1+SwaptionShift):INDEX($FO$325:$IH$396,GT$169,SwaptionMonthsToGo+SwaptionShift))))))</f>
        <v/>
      </c>
      <c r="GU222" s="469" t="str">
        <f ca="1">IF(OR(GU$169&lt;SwaptionFirstMonthPosition+1,$FN222&lt;SwaptionFirstMonthPosition+1,GU$169&gt;SwaptionFirstMonthPosition+SwaptionNumOfMonths+1,$FN222&gt;SwaptionFirstMonthPosition+SwaptionNumOfMonths+1),"",IF($FN222=GU$169,1,IF($FN222&lt;GU$169,INDEX($FO$170:$IH$241,GU$169,$FN222),SUMPRODUCT(INDEX($FO$325:$IH$396,GU$169,1+SwaptionShift):INDEX($FO$325:$IH$396,GU$169,SwaptionMonthsToGo+SwaptionShift),INDEX($FO$245:$IH$316,$FN222-GU$169,73-GU$169+SwaptionShift):INDEX($FO$245:$IH$316,$FN222-GU$169,72-GU$169+SwaptionMonthsToGo+SwaptionShift))/SQRT(SUM(INDEX($FO377:$IH377,1+SwaptionShift):INDEX($FO377:$IH377,SwaptionMonthsToGo+SwaptionShift))*SUM(INDEX($FO$325:$IH$396,GU$169,1+SwaptionShift):INDEX($FO$325:$IH$396,GU$169,SwaptionMonthsToGo+SwaptionShift))))))</f>
        <v/>
      </c>
      <c r="GV222" s="469" t="str">
        <f ca="1">IF(OR(GV$169&lt;SwaptionFirstMonthPosition+1,$FN222&lt;SwaptionFirstMonthPosition+1,GV$169&gt;SwaptionFirstMonthPosition+SwaptionNumOfMonths+1,$FN222&gt;SwaptionFirstMonthPosition+SwaptionNumOfMonths+1),"",IF($FN222=GV$169,1,IF($FN222&lt;GV$169,INDEX($FO$170:$IH$241,GV$169,$FN222),SUMPRODUCT(INDEX($FO$325:$IH$396,GV$169,1+SwaptionShift):INDEX($FO$325:$IH$396,GV$169,SwaptionMonthsToGo+SwaptionShift),INDEX($FO$245:$IH$316,$FN222-GV$169,73-GV$169+SwaptionShift):INDEX($FO$245:$IH$316,$FN222-GV$169,72-GV$169+SwaptionMonthsToGo+SwaptionShift))/SQRT(SUM(INDEX($FO377:$IH377,1+SwaptionShift):INDEX($FO377:$IH377,SwaptionMonthsToGo+SwaptionShift))*SUM(INDEX($FO$325:$IH$396,GV$169,1+SwaptionShift):INDEX($FO$325:$IH$396,GV$169,SwaptionMonthsToGo+SwaptionShift))))))</f>
        <v/>
      </c>
      <c r="GW222" s="469" t="str">
        <f ca="1">IF(OR(GW$169&lt;SwaptionFirstMonthPosition+1,$FN222&lt;SwaptionFirstMonthPosition+1,GW$169&gt;SwaptionFirstMonthPosition+SwaptionNumOfMonths+1,$FN222&gt;SwaptionFirstMonthPosition+SwaptionNumOfMonths+1),"",IF($FN222=GW$169,1,IF($FN222&lt;GW$169,INDEX($FO$170:$IH$241,GW$169,$FN222),SUMPRODUCT(INDEX($FO$325:$IH$396,GW$169,1+SwaptionShift):INDEX($FO$325:$IH$396,GW$169,SwaptionMonthsToGo+SwaptionShift),INDEX($FO$245:$IH$316,$FN222-GW$169,73-GW$169+SwaptionShift):INDEX($FO$245:$IH$316,$FN222-GW$169,72-GW$169+SwaptionMonthsToGo+SwaptionShift))/SQRT(SUM(INDEX($FO377:$IH377,1+SwaptionShift):INDEX($FO377:$IH377,SwaptionMonthsToGo+SwaptionShift))*SUM(INDEX($FO$325:$IH$396,GW$169,1+SwaptionShift):INDEX($FO$325:$IH$396,GW$169,SwaptionMonthsToGo+SwaptionShift))))))</f>
        <v/>
      </c>
      <c r="GX222" s="469" t="str">
        <f ca="1">IF(OR(GX$169&lt;SwaptionFirstMonthPosition+1,$FN222&lt;SwaptionFirstMonthPosition+1,GX$169&gt;SwaptionFirstMonthPosition+SwaptionNumOfMonths+1,$FN222&gt;SwaptionFirstMonthPosition+SwaptionNumOfMonths+1),"",IF($FN222=GX$169,1,IF($FN222&lt;GX$169,INDEX($FO$170:$IH$241,GX$169,$FN222),SUMPRODUCT(INDEX($FO$325:$IH$396,GX$169,1+SwaptionShift):INDEX($FO$325:$IH$396,GX$169,SwaptionMonthsToGo+SwaptionShift),INDEX($FO$245:$IH$316,$FN222-GX$169,73-GX$169+SwaptionShift):INDEX($FO$245:$IH$316,$FN222-GX$169,72-GX$169+SwaptionMonthsToGo+SwaptionShift))/SQRT(SUM(INDEX($FO377:$IH377,1+SwaptionShift):INDEX($FO377:$IH377,SwaptionMonthsToGo+SwaptionShift))*SUM(INDEX($FO$325:$IH$396,GX$169,1+SwaptionShift):INDEX($FO$325:$IH$396,GX$169,SwaptionMonthsToGo+SwaptionShift))))))</f>
        <v/>
      </c>
      <c r="GY222" s="469" t="str">
        <f ca="1">IF(OR(GY$169&lt;SwaptionFirstMonthPosition+1,$FN222&lt;SwaptionFirstMonthPosition+1,GY$169&gt;SwaptionFirstMonthPosition+SwaptionNumOfMonths+1,$FN222&gt;SwaptionFirstMonthPosition+SwaptionNumOfMonths+1),"",IF($FN222=GY$169,1,IF($FN222&lt;GY$169,INDEX($FO$170:$IH$241,GY$169,$FN222),SUMPRODUCT(INDEX($FO$325:$IH$396,GY$169,1+SwaptionShift):INDEX($FO$325:$IH$396,GY$169,SwaptionMonthsToGo+SwaptionShift),INDEX($FO$245:$IH$316,$FN222-GY$169,73-GY$169+SwaptionShift):INDEX($FO$245:$IH$316,$FN222-GY$169,72-GY$169+SwaptionMonthsToGo+SwaptionShift))/SQRT(SUM(INDEX($FO377:$IH377,1+SwaptionShift):INDEX($FO377:$IH377,SwaptionMonthsToGo+SwaptionShift))*SUM(INDEX($FO$325:$IH$396,GY$169,1+SwaptionShift):INDEX($FO$325:$IH$396,GY$169,SwaptionMonthsToGo+SwaptionShift))))))</f>
        <v/>
      </c>
      <c r="GZ222" s="469" t="str">
        <f ca="1">IF(OR(GZ$169&lt;SwaptionFirstMonthPosition+1,$FN222&lt;SwaptionFirstMonthPosition+1,GZ$169&gt;SwaptionFirstMonthPosition+SwaptionNumOfMonths+1,$FN222&gt;SwaptionFirstMonthPosition+SwaptionNumOfMonths+1),"",IF($FN222=GZ$169,1,IF($FN222&lt;GZ$169,INDEX($FO$170:$IH$241,GZ$169,$FN222),SUMPRODUCT(INDEX($FO$325:$IH$396,GZ$169,1+SwaptionShift):INDEX($FO$325:$IH$396,GZ$169,SwaptionMonthsToGo+SwaptionShift),INDEX($FO$245:$IH$316,$FN222-GZ$169,73-GZ$169+SwaptionShift):INDEX($FO$245:$IH$316,$FN222-GZ$169,72-GZ$169+SwaptionMonthsToGo+SwaptionShift))/SQRT(SUM(INDEX($FO377:$IH377,1+SwaptionShift):INDEX($FO377:$IH377,SwaptionMonthsToGo+SwaptionShift))*SUM(INDEX($FO$325:$IH$396,GZ$169,1+SwaptionShift):INDEX($FO$325:$IH$396,GZ$169,SwaptionMonthsToGo+SwaptionShift))))))</f>
        <v/>
      </c>
      <c r="HA222" s="469" t="str">
        <f ca="1">IF(OR(HA$169&lt;SwaptionFirstMonthPosition+1,$FN222&lt;SwaptionFirstMonthPosition+1,HA$169&gt;SwaptionFirstMonthPosition+SwaptionNumOfMonths+1,$FN222&gt;SwaptionFirstMonthPosition+SwaptionNumOfMonths+1),"",IF($FN222=HA$169,1,IF($FN222&lt;HA$169,INDEX($FO$170:$IH$241,HA$169,$FN222),SUMPRODUCT(INDEX($FO$325:$IH$396,HA$169,1+SwaptionShift):INDEX($FO$325:$IH$396,HA$169,SwaptionMonthsToGo+SwaptionShift),INDEX($FO$245:$IH$316,$FN222-HA$169,73-HA$169+SwaptionShift):INDEX($FO$245:$IH$316,$FN222-HA$169,72-HA$169+SwaptionMonthsToGo+SwaptionShift))/SQRT(SUM(INDEX($FO377:$IH377,1+SwaptionShift):INDEX($FO377:$IH377,SwaptionMonthsToGo+SwaptionShift))*SUM(INDEX($FO$325:$IH$396,HA$169,1+SwaptionShift):INDEX($FO$325:$IH$396,HA$169,SwaptionMonthsToGo+SwaptionShift))))))</f>
        <v/>
      </c>
      <c r="HB222" s="469" t="str">
        <f ca="1">IF(OR(HB$169&lt;SwaptionFirstMonthPosition+1,$FN222&lt;SwaptionFirstMonthPosition+1,HB$169&gt;SwaptionFirstMonthPosition+SwaptionNumOfMonths+1,$FN222&gt;SwaptionFirstMonthPosition+SwaptionNumOfMonths+1),"",IF($FN222=HB$169,1,IF($FN222&lt;HB$169,INDEX($FO$170:$IH$241,HB$169,$FN222),SUMPRODUCT(INDEX($FO$325:$IH$396,HB$169,1+SwaptionShift):INDEX($FO$325:$IH$396,HB$169,SwaptionMonthsToGo+SwaptionShift),INDEX($FO$245:$IH$316,$FN222-HB$169,73-HB$169+SwaptionShift):INDEX($FO$245:$IH$316,$FN222-HB$169,72-HB$169+SwaptionMonthsToGo+SwaptionShift))/SQRT(SUM(INDEX($FO377:$IH377,1+SwaptionShift):INDEX($FO377:$IH377,SwaptionMonthsToGo+SwaptionShift))*SUM(INDEX($FO$325:$IH$396,HB$169,1+SwaptionShift):INDEX($FO$325:$IH$396,HB$169,SwaptionMonthsToGo+SwaptionShift))))))</f>
        <v/>
      </c>
      <c r="HC222" s="469" t="str">
        <f ca="1">IF(OR(HC$169&lt;SwaptionFirstMonthPosition+1,$FN222&lt;SwaptionFirstMonthPosition+1,HC$169&gt;SwaptionFirstMonthPosition+SwaptionNumOfMonths+1,$FN222&gt;SwaptionFirstMonthPosition+SwaptionNumOfMonths+1),"",IF($FN222=HC$169,1,IF($FN222&lt;HC$169,INDEX($FO$170:$IH$241,HC$169,$FN222),SUMPRODUCT(INDEX($FO$325:$IH$396,HC$169,1+SwaptionShift):INDEX($FO$325:$IH$396,HC$169,SwaptionMonthsToGo+SwaptionShift),INDEX($FO$245:$IH$316,$FN222-HC$169,73-HC$169+SwaptionShift):INDEX($FO$245:$IH$316,$FN222-HC$169,72-HC$169+SwaptionMonthsToGo+SwaptionShift))/SQRT(SUM(INDEX($FO377:$IH377,1+SwaptionShift):INDEX($FO377:$IH377,SwaptionMonthsToGo+SwaptionShift))*SUM(INDEX($FO$325:$IH$396,HC$169,1+SwaptionShift):INDEX($FO$325:$IH$396,HC$169,SwaptionMonthsToGo+SwaptionShift))))))</f>
        <v/>
      </c>
      <c r="HD222" s="469" t="str">
        <f ca="1">IF(OR(HD$169&lt;SwaptionFirstMonthPosition+1,$FN222&lt;SwaptionFirstMonthPosition+1,HD$169&gt;SwaptionFirstMonthPosition+SwaptionNumOfMonths+1,$FN222&gt;SwaptionFirstMonthPosition+SwaptionNumOfMonths+1),"",IF($FN222=HD$169,1,IF($FN222&lt;HD$169,INDEX($FO$170:$IH$241,HD$169,$FN222),SUMPRODUCT(INDEX($FO$325:$IH$396,HD$169,1+SwaptionShift):INDEX($FO$325:$IH$396,HD$169,SwaptionMonthsToGo+SwaptionShift),INDEX($FO$245:$IH$316,$FN222-HD$169,73-HD$169+SwaptionShift):INDEX($FO$245:$IH$316,$FN222-HD$169,72-HD$169+SwaptionMonthsToGo+SwaptionShift))/SQRT(SUM(INDEX($FO377:$IH377,1+SwaptionShift):INDEX($FO377:$IH377,SwaptionMonthsToGo+SwaptionShift))*SUM(INDEX($FO$325:$IH$396,HD$169,1+SwaptionShift):INDEX($FO$325:$IH$396,HD$169,SwaptionMonthsToGo+SwaptionShift))))))</f>
        <v/>
      </c>
      <c r="HE222" s="469" t="str">
        <f ca="1">IF(OR(HE$169&lt;SwaptionFirstMonthPosition+1,$FN222&lt;SwaptionFirstMonthPosition+1,HE$169&gt;SwaptionFirstMonthPosition+SwaptionNumOfMonths+1,$FN222&gt;SwaptionFirstMonthPosition+SwaptionNumOfMonths+1),"",IF($FN222=HE$169,1,IF($FN222&lt;HE$169,INDEX($FO$170:$IH$241,HE$169,$FN222),SUMPRODUCT(INDEX($FO$325:$IH$396,HE$169,1+SwaptionShift):INDEX($FO$325:$IH$396,HE$169,SwaptionMonthsToGo+SwaptionShift),INDEX($FO$245:$IH$316,$FN222-HE$169,73-HE$169+SwaptionShift):INDEX($FO$245:$IH$316,$FN222-HE$169,72-HE$169+SwaptionMonthsToGo+SwaptionShift))/SQRT(SUM(INDEX($FO377:$IH377,1+SwaptionShift):INDEX($FO377:$IH377,SwaptionMonthsToGo+SwaptionShift))*SUM(INDEX($FO$325:$IH$396,HE$169,1+SwaptionShift):INDEX($FO$325:$IH$396,HE$169,SwaptionMonthsToGo+SwaptionShift))))))</f>
        <v/>
      </c>
      <c r="HF222" s="469" t="str">
        <f ca="1">IF(OR(HF$169&lt;SwaptionFirstMonthPosition+1,$FN222&lt;SwaptionFirstMonthPosition+1,HF$169&gt;SwaptionFirstMonthPosition+SwaptionNumOfMonths+1,$FN222&gt;SwaptionFirstMonthPosition+SwaptionNumOfMonths+1),"",IF($FN222=HF$169,1,IF($FN222&lt;HF$169,INDEX($FO$170:$IH$241,HF$169,$FN222),SUMPRODUCT(INDEX($FO$325:$IH$396,HF$169,1+SwaptionShift):INDEX($FO$325:$IH$396,HF$169,SwaptionMonthsToGo+SwaptionShift),INDEX($FO$245:$IH$316,$FN222-HF$169,73-HF$169+SwaptionShift):INDEX($FO$245:$IH$316,$FN222-HF$169,72-HF$169+SwaptionMonthsToGo+SwaptionShift))/SQRT(SUM(INDEX($FO377:$IH377,1+SwaptionShift):INDEX($FO377:$IH377,SwaptionMonthsToGo+SwaptionShift))*SUM(INDEX($FO$325:$IH$396,HF$169,1+SwaptionShift):INDEX($FO$325:$IH$396,HF$169,SwaptionMonthsToGo+SwaptionShift))))))</f>
        <v/>
      </c>
      <c r="HG222" s="469" t="str">
        <f ca="1">IF(OR(HG$169&lt;SwaptionFirstMonthPosition+1,$FN222&lt;SwaptionFirstMonthPosition+1,HG$169&gt;SwaptionFirstMonthPosition+SwaptionNumOfMonths+1,$FN222&gt;SwaptionFirstMonthPosition+SwaptionNumOfMonths+1),"",IF($FN222=HG$169,1,IF($FN222&lt;HG$169,INDEX($FO$170:$IH$241,HG$169,$FN222),SUMPRODUCT(INDEX($FO$325:$IH$396,HG$169,1+SwaptionShift):INDEX($FO$325:$IH$396,HG$169,SwaptionMonthsToGo+SwaptionShift),INDEX($FO$245:$IH$316,$FN222-HG$169,73-HG$169+SwaptionShift):INDEX($FO$245:$IH$316,$FN222-HG$169,72-HG$169+SwaptionMonthsToGo+SwaptionShift))/SQRT(SUM(INDEX($FO377:$IH377,1+SwaptionShift):INDEX($FO377:$IH377,SwaptionMonthsToGo+SwaptionShift))*SUM(INDEX($FO$325:$IH$396,HG$169,1+SwaptionShift):INDEX($FO$325:$IH$396,HG$169,SwaptionMonthsToGo+SwaptionShift))))))</f>
        <v/>
      </c>
      <c r="HH222" s="469" t="str">
        <f ca="1">IF(OR(HH$169&lt;SwaptionFirstMonthPosition+1,$FN222&lt;SwaptionFirstMonthPosition+1,HH$169&gt;SwaptionFirstMonthPosition+SwaptionNumOfMonths+1,$FN222&gt;SwaptionFirstMonthPosition+SwaptionNumOfMonths+1),"",IF($FN222=HH$169,1,IF($FN222&lt;HH$169,INDEX($FO$170:$IH$241,HH$169,$FN222),SUMPRODUCT(INDEX($FO$325:$IH$396,HH$169,1+SwaptionShift):INDEX($FO$325:$IH$396,HH$169,SwaptionMonthsToGo+SwaptionShift),INDEX($FO$245:$IH$316,$FN222-HH$169,73-HH$169+SwaptionShift):INDEX($FO$245:$IH$316,$FN222-HH$169,72-HH$169+SwaptionMonthsToGo+SwaptionShift))/SQRT(SUM(INDEX($FO377:$IH377,1+SwaptionShift):INDEX($FO377:$IH377,SwaptionMonthsToGo+SwaptionShift))*SUM(INDEX($FO$325:$IH$396,HH$169,1+SwaptionShift):INDEX($FO$325:$IH$396,HH$169,SwaptionMonthsToGo+SwaptionShift))))))</f>
        <v/>
      </c>
      <c r="HI222" s="469" t="str">
        <f ca="1">IF(OR(HI$169&lt;SwaptionFirstMonthPosition+1,$FN222&lt;SwaptionFirstMonthPosition+1,HI$169&gt;SwaptionFirstMonthPosition+SwaptionNumOfMonths+1,$FN222&gt;SwaptionFirstMonthPosition+SwaptionNumOfMonths+1),"",IF($FN222=HI$169,1,IF($FN222&lt;HI$169,INDEX($FO$170:$IH$241,HI$169,$FN222),SUMPRODUCT(INDEX($FO$325:$IH$396,HI$169,1+SwaptionShift):INDEX($FO$325:$IH$396,HI$169,SwaptionMonthsToGo+SwaptionShift),INDEX($FO$245:$IH$316,$FN222-HI$169,73-HI$169+SwaptionShift):INDEX($FO$245:$IH$316,$FN222-HI$169,72-HI$169+SwaptionMonthsToGo+SwaptionShift))/SQRT(SUM(INDEX($FO377:$IH377,1+SwaptionShift):INDEX($FO377:$IH377,SwaptionMonthsToGo+SwaptionShift))*SUM(INDEX($FO$325:$IH$396,HI$169,1+SwaptionShift):INDEX($FO$325:$IH$396,HI$169,SwaptionMonthsToGo+SwaptionShift))))))</f>
        <v/>
      </c>
      <c r="HJ222" s="469" t="str">
        <f ca="1">IF(OR(HJ$169&lt;SwaptionFirstMonthPosition+1,$FN222&lt;SwaptionFirstMonthPosition+1,HJ$169&gt;SwaptionFirstMonthPosition+SwaptionNumOfMonths+1,$FN222&gt;SwaptionFirstMonthPosition+SwaptionNumOfMonths+1),"",IF($FN222=HJ$169,1,IF($FN222&lt;HJ$169,INDEX($FO$170:$IH$241,HJ$169,$FN222),SUMPRODUCT(INDEX($FO$325:$IH$396,HJ$169,1+SwaptionShift):INDEX($FO$325:$IH$396,HJ$169,SwaptionMonthsToGo+SwaptionShift),INDEX($FO$245:$IH$316,$FN222-HJ$169,73-HJ$169+SwaptionShift):INDEX($FO$245:$IH$316,$FN222-HJ$169,72-HJ$169+SwaptionMonthsToGo+SwaptionShift))/SQRT(SUM(INDEX($FO377:$IH377,1+SwaptionShift):INDEX($FO377:$IH377,SwaptionMonthsToGo+SwaptionShift))*SUM(INDEX($FO$325:$IH$396,HJ$169,1+SwaptionShift):INDEX($FO$325:$IH$396,HJ$169,SwaptionMonthsToGo+SwaptionShift))))))</f>
        <v/>
      </c>
      <c r="HK222" s="469" t="str">
        <f ca="1">IF(OR(HK$169&lt;SwaptionFirstMonthPosition+1,$FN222&lt;SwaptionFirstMonthPosition+1,HK$169&gt;SwaptionFirstMonthPosition+SwaptionNumOfMonths+1,$FN222&gt;SwaptionFirstMonthPosition+SwaptionNumOfMonths+1),"",IF($FN222=HK$169,1,IF($FN222&lt;HK$169,INDEX($FO$170:$IH$241,HK$169,$FN222),SUMPRODUCT(INDEX($FO$325:$IH$396,HK$169,1+SwaptionShift):INDEX($FO$325:$IH$396,HK$169,SwaptionMonthsToGo+SwaptionShift),INDEX($FO$245:$IH$316,$FN222-HK$169,73-HK$169+SwaptionShift):INDEX($FO$245:$IH$316,$FN222-HK$169,72-HK$169+SwaptionMonthsToGo+SwaptionShift))/SQRT(SUM(INDEX($FO377:$IH377,1+SwaptionShift):INDEX($FO377:$IH377,SwaptionMonthsToGo+SwaptionShift))*SUM(INDEX($FO$325:$IH$396,HK$169,1+SwaptionShift):INDEX($FO$325:$IH$396,HK$169,SwaptionMonthsToGo+SwaptionShift))))))</f>
        <v/>
      </c>
      <c r="HL222" s="469" t="str">
        <f ca="1">IF(OR(HL$169&lt;SwaptionFirstMonthPosition+1,$FN222&lt;SwaptionFirstMonthPosition+1,HL$169&gt;SwaptionFirstMonthPosition+SwaptionNumOfMonths+1,$FN222&gt;SwaptionFirstMonthPosition+SwaptionNumOfMonths+1),"",IF($FN222=HL$169,1,IF($FN222&lt;HL$169,INDEX($FO$170:$IH$241,HL$169,$FN222),SUMPRODUCT(INDEX($FO$325:$IH$396,HL$169,1+SwaptionShift):INDEX($FO$325:$IH$396,HL$169,SwaptionMonthsToGo+SwaptionShift),INDEX($FO$245:$IH$316,$FN222-HL$169,73-HL$169+SwaptionShift):INDEX($FO$245:$IH$316,$FN222-HL$169,72-HL$169+SwaptionMonthsToGo+SwaptionShift))/SQRT(SUM(INDEX($FO377:$IH377,1+SwaptionShift):INDEX($FO377:$IH377,SwaptionMonthsToGo+SwaptionShift))*SUM(INDEX($FO$325:$IH$396,HL$169,1+SwaptionShift):INDEX($FO$325:$IH$396,HL$169,SwaptionMonthsToGo+SwaptionShift))))))</f>
        <v/>
      </c>
      <c r="HM222" s="469" t="str">
        <f ca="1">IF(OR(HM$169&lt;SwaptionFirstMonthPosition+1,$FN222&lt;SwaptionFirstMonthPosition+1,HM$169&gt;SwaptionFirstMonthPosition+SwaptionNumOfMonths+1,$FN222&gt;SwaptionFirstMonthPosition+SwaptionNumOfMonths+1),"",IF($FN222=HM$169,1,IF($FN222&lt;HM$169,INDEX($FO$170:$IH$241,HM$169,$FN222),SUMPRODUCT(INDEX($FO$325:$IH$396,HM$169,1+SwaptionShift):INDEX($FO$325:$IH$396,HM$169,SwaptionMonthsToGo+SwaptionShift),INDEX($FO$245:$IH$316,$FN222-HM$169,73-HM$169+SwaptionShift):INDEX($FO$245:$IH$316,$FN222-HM$169,72-HM$169+SwaptionMonthsToGo+SwaptionShift))/SQRT(SUM(INDEX($FO377:$IH377,1+SwaptionShift):INDEX($FO377:$IH377,SwaptionMonthsToGo+SwaptionShift))*SUM(INDEX($FO$325:$IH$396,HM$169,1+SwaptionShift):INDEX($FO$325:$IH$396,HM$169,SwaptionMonthsToGo+SwaptionShift))))))</f>
        <v/>
      </c>
      <c r="HN222" s="469" t="str">
        <f ca="1">IF(OR(HN$169&lt;SwaptionFirstMonthPosition+1,$FN222&lt;SwaptionFirstMonthPosition+1,HN$169&gt;SwaptionFirstMonthPosition+SwaptionNumOfMonths+1,$FN222&gt;SwaptionFirstMonthPosition+SwaptionNumOfMonths+1),"",IF($FN222=HN$169,1,IF($FN222&lt;HN$169,INDEX($FO$170:$IH$241,HN$169,$FN222),SUMPRODUCT(INDEX($FO$325:$IH$396,HN$169,1+SwaptionShift):INDEX($FO$325:$IH$396,HN$169,SwaptionMonthsToGo+SwaptionShift),INDEX($FO$245:$IH$316,$FN222-HN$169,73-HN$169+SwaptionShift):INDEX($FO$245:$IH$316,$FN222-HN$169,72-HN$169+SwaptionMonthsToGo+SwaptionShift))/SQRT(SUM(INDEX($FO377:$IH377,1+SwaptionShift):INDEX($FO377:$IH377,SwaptionMonthsToGo+SwaptionShift))*SUM(INDEX($FO$325:$IH$396,HN$169,1+SwaptionShift):INDEX($FO$325:$IH$396,HN$169,SwaptionMonthsToGo+SwaptionShift))))))</f>
        <v/>
      </c>
      <c r="HO222" s="469" t="str">
        <f ca="1">IF(OR(HO$169&lt;SwaptionFirstMonthPosition+1,$FN222&lt;SwaptionFirstMonthPosition+1,HO$169&gt;SwaptionFirstMonthPosition+SwaptionNumOfMonths+1,$FN222&gt;SwaptionFirstMonthPosition+SwaptionNumOfMonths+1),"",IF($FN222=HO$169,1,IF($FN222&lt;HO$169,INDEX($FO$170:$IH$241,HO$169,$FN222),SUMPRODUCT(INDEX($FO$325:$IH$396,HO$169,1+SwaptionShift):INDEX($FO$325:$IH$396,HO$169,SwaptionMonthsToGo+SwaptionShift),INDEX($FO$245:$IH$316,$FN222-HO$169,73-HO$169+SwaptionShift):INDEX($FO$245:$IH$316,$FN222-HO$169,72-HO$169+SwaptionMonthsToGo+SwaptionShift))/SQRT(SUM(INDEX($FO377:$IH377,1+SwaptionShift):INDEX($FO377:$IH377,SwaptionMonthsToGo+SwaptionShift))*SUM(INDEX($FO$325:$IH$396,HO$169,1+SwaptionShift):INDEX($FO$325:$IH$396,HO$169,SwaptionMonthsToGo+SwaptionShift))))))</f>
        <v/>
      </c>
      <c r="HP222" s="469" t="str">
        <f ca="1">IF(OR(HP$169&lt;SwaptionFirstMonthPosition+1,$FN222&lt;SwaptionFirstMonthPosition+1,HP$169&gt;SwaptionFirstMonthPosition+SwaptionNumOfMonths+1,$FN222&gt;SwaptionFirstMonthPosition+SwaptionNumOfMonths+1),"",IF($FN222=HP$169,1,IF($FN222&lt;HP$169,INDEX($FO$170:$IH$241,HP$169,$FN222),SUMPRODUCT(INDEX($FO$325:$IH$396,HP$169,1+SwaptionShift):INDEX($FO$325:$IH$396,HP$169,SwaptionMonthsToGo+SwaptionShift),INDEX($FO$245:$IH$316,$FN222-HP$169,73-HP$169+SwaptionShift):INDEX($FO$245:$IH$316,$FN222-HP$169,72-HP$169+SwaptionMonthsToGo+SwaptionShift))/SQRT(SUM(INDEX($FO377:$IH377,1+SwaptionShift):INDEX($FO377:$IH377,SwaptionMonthsToGo+SwaptionShift))*SUM(INDEX($FO$325:$IH$396,HP$169,1+SwaptionShift):INDEX($FO$325:$IH$396,HP$169,SwaptionMonthsToGo+SwaptionShift))))))</f>
        <v/>
      </c>
      <c r="HQ222" s="469" t="str">
        <f ca="1">IF(OR(HQ$169&lt;SwaptionFirstMonthPosition+1,$FN222&lt;SwaptionFirstMonthPosition+1,HQ$169&gt;SwaptionFirstMonthPosition+SwaptionNumOfMonths+1,$FN222&gt;SwaptionFirstMonthPosition+SwaptionNumOfMonths+1),"",IF($FN222=HQ$169,1,IF($FN222&lt;HQ$169,INDEX($FO$170:$IH$241,HQ$169,$FN222),SUMPRODUCT(INDEX($FO$325:$IH$396,HQ$169,1+SwaptionShift):INDEX($FO$325:$IH$396,HQ$169,SwaptionMonthsToGo+SwaptionShift),INDEX($FO$245:$IH$316,$FN222-HQ$169,73-HQ$169+SwaptionShift):INDEX($FO$245:$IH$316,$FN222-HQ$169,72-HQ$169+SwaptionMonthsToGo+SwaptionShift))/SQRT(SUM(INDEX($FO377:$IH377,1+SwaptionShift):INDEX($FO377:$IH377,SwaptionMonthsToGo+SwaptionShift))*SUM(INDEX($FO$325:$IH$396,HQ$169,1+SwaptionShift):INDEX($FO$325:$IH$396,HQ$169,SwaptionMonthsToGo+SwaptionShift))))))</f>
        <v/>
      </c>
      <c r="HR222" s="469" t="str">
        <f ca="1">IF(OR(HR$169&lt;SwaptionFirstMonthPosition+1,$FN222&lt;SwaptionFirstMonthPosition+1,HR$169&gt;SwaptionFirstMonthPosition+SwaptionNumOfMonths+1,$FN222&gt;SwaptionFirstMonthPosition+SwaptionNumOfMonths+1),"",IF($FN222=HR$169,1,IF($FN222&lt;HR$169,INDEX($FO$170:$IH$241,HR$169,$FN222),SUMPRODUCT(INDEX($FO$325:$IH$396,HR$169,1+SwaptionShift):INDEX($FO$325:$IH$396,HR$169,SwaptionMonthsToGo+SwaptionShift),INDEX($FO$245:$IH$316,$FN222-HR$169,73-HR$169+SwaptionShift):INDEX($FO$245:$IH$316,$FN222-HR$169,72-HR$169+SwaptionMonthsToGo+SwaptionShift))/SQRT(SUM(INDEX($FO377:$IH377,1+SwaptionShift):INDEX($FO377:$IH377,SwaptionMonthsToGo+SwaptionShift))*SUM(INDEX($FO$325:$IH$396,HR$169,1+SwaptionShift):INDEX($FO$325:$IH$396,HR$169,SwaptionMonthsToGo+SwaptionShift))))))</f>
        <v/>
      </c>
      <c r="HS222" s="469" t="str">
        <f ca="1">IF(OR(HS$169&lt;SwaptionFirstMonthPosition+1,$FN222&lt;SwaptionFirstMonthPosition+1,HS$169&gt;SwaptionFirstMonthPosition+SwaptionNumOfMonths+1,$FN222&gt;SwaptionFirstMonthPosition+SwaptionNumOfMonths+1),"",IF($FN222=HS$169,1,IF($FN222&lt;HS$169,INDEX($FO$170:$IH$241,HS$169,$FN222),SUMPRODUCT(INDEX($FO$325:$IH$396,HS$169,1+SwaptionShift):INDEX($FO$325:$IH$396,HS$169,SwaptionMonthsToGo+SwaptionShift),INDEX($FO$245:$IH$316,$FN222-HS$169,73-HS$169+SwaptionShift):INDEX($FO$245:$IH$316,$FN222-HS$169,72-HS$169+SwaptionMonthsToGo+SwaptionShift))/SQRT(SUM(INDEX($FO377:$IH377,1+SwaptionShift):INDEX($FO377:$IH377,SwaptionMonthsToGo+SwaptionShift))*SUM(INDEX($FO$325:$IH$396,HS$169,1+SwaptionShift):INDEX($FO$325:$IH$396,HS$169,SwaptionMonthsToGo+SwaptionShift))))))</f>
        <v/>
      </c>
      <c r="HT222" s="469" t="str">
        <f ca="1">IF(OR(HT$169&lt;SwaptionFirstMonthPosition+1,$FN222&lt;SwaptionFirstMonthPosition+1,HT$169&gt;SwaptionFirstMonthPosition+SwaptionNumOfMonths+1,$FN222&gt;SwaptionFirstMonthPosition+SwaptionNumOfMonths+1),"",IF($FN222=HT$169,1,IF($FN222&lt;HT$169,INDEX($FO$170:$IH$241,HT$169,$FN222),SUMPRODUCT(INDEX($FO$325:$IH$396,HT$169,1+SwaptionShift):INDEX($FO$325:$IH$396,HT$169,SwaptionMonthsToGo+SwaptionShift),INDEX($FO$245:$IH$316,$FN222-HT$169,73-HT$169+SwaptionShift):INDEX($FO$245:$IH$316,$FN222-HT$169,72-HT$169+SwaptionMonthsToGo+SwaptionShift))/SQRT(SUM(INDEX($FO377:$IH377,1+SwaptionShift):INDEX($FO377:$IH377,SwaptionMonthsToGo+SwaptionShift))*SUM(INDEX($FO$325:$IH$396,HT$169,1+SwaptionShift):INDEX($FO$325:$IH$396,HT$169,SwaptionMonthsToGo+SwaptionShift))))))</f>
        <v/>
      </c>
      <c r="HU222" s="469" t="str">
        <f ca="1">IF(OR(HU$169&lt;SwaptionFirstMonthPosition+1,$FN222&lt;SwaptionFirstMonthPosition+1,HU$169&gt;SwaptionFirstMonthPosition+SwaptionNumOfMonths+1,$FN222&gt;SwaptionFirstMonthPosition+SwaptionNumOfMonths+1),"",IF($FN222=HU$169,1,IF($FN222&lt;HU$169,INDEX($FO$170:$IH$241,HU$169,$FN222),SUMPRODUCT(INDEX($FO$325:$IH$396,HU$169,1+SwaptionShift):INDEX($FO$325:$IH$396,HU$169,SwaptionMonthsToGo+SwaptionShift),INDEX($FO$245:$IH$316,$FN222-HU$169,73-HU$169+SwaptionShift):INDEX($FO$245:$IH$316,$FN222-HU$169,72-HU$169+SwaptionMonthsToGo+SwaptionShift))/SQRT(SUM(INDEX($FO377:$IH377,1+SwaptionShift):INDEX($FO377:$IH377,SwaptionMonthsToGo+SwaptionShift))*SUM(INDEX($FO$325:$IH$396,HU$169,1+SwaptionShift):INDEX($FO$325:$IH$396,HU$169,SwaptionMonthsToGo+SwaptionShift))))))</f>
        <v/>
      </c>
      <c r="HV222" s="469" t="str">
        <f ca="1">IF(OR(HV$169&lt;SwaptionFirstMonthPosition+1,$FN222&lt;SwaptionFirstMonthPosition+1,HV$169&gt;SwaptionFirstMonthPosition+SwaptionNumOfMonths+1,$FN222&gt;SwaptionFirstMonthPosition+SwaptionNumOfMonths+1),"",IF($FN222=HV$169,1,IF($FN222&lt;HV$169,INDEX($FO$170:$IH$241,HV$169,$FN222),SUMPRODUCT(INDEX($FO$325:$IH$396,HV$169,1+SwaptionShift):INDEX($FO$325:$IH$396,HV$169,SwaptionMonthsToGo+SwaptionShift),INDEX($FO$245:$IH$316,$FN222-HV$169,73-HV$169+SwaptionShift):INDEX($FO$245:$IH$316,$FN222-HV$169,72-HV$169+SwaptionMonthsToGo+SwaptionShift))/SQRT(SUM(INDEX($FO377:$IH377,1+SwaptionShift):INDEX($FO377:$IH377,SwaptionMonthsToGo+SwaptionShift))*SUM(INDEX($FO$325:$IH$396,HV$169,1+SwaptionShift):INDEX($FO$325:$IH$396,HV$169,SwaptionMonthsToGo+SwaptionShift))))))</f>
        <v/>
      </c>
      <c r="HW222" s="469" t="str">
        <f ca="1">IF(OR(HW$169&lt;SwaptionFirstMonthPosition+1,$FN222&lt;SwaptionFirstMonthPosition+1,HW$169&gt;SwaptionFirstMonthPosition+SwaptionNumOfMonths+1,$FN222&gt;SwaptionFirstMonthPosition+SwaptionNumOfMonths+1),"",IF($FN222=HW$169,1,IF($FN222&lt;HW$169,INDEX($FO$170:$IH$241,HW$169,$FN222),SUMPRODUCT(INDEX($FO$325:$IH$396,HW$169,1+SwaptionShift):INDEX($FO$325:$IH$396,HW$169,SwaptionMonthsToGo+SwaptionShift),INDEX($FO$245:$IH$316,$FN222-HW$169,73-HW$169+SwaptionShift):INDEX($FO$245:$IH$316,$FN222-HW$169,72-HW$169+SwaptionMonthsToGo+SwaptionShift))/SQRT(SUM(INDEX($FO377:$IH377,1+SwaptionShift):INDEX($FO377:$IH377,SwaptionMonthsToGo+SwaptionShift))*SUM(INDEX($FO$325:$IH$396,HW$169,1+SwaptionShift):INDEX($FO$325:$IH$396,HW$169,SwaptionMonthsToGo+SwaptionShift))))))</f>
        <v/>
      </c>
      <c r="HX222" s="469" t="str">
        <f ca="1">IF(OR(HX$169&lt;SwaptionFirstMonthPosition+1,$FN222&lt;SwaptionFirstMonthPosition+1,HX$169&gt;SwaptionFirstMonthPosition+SwaptionNumOfMonths+1,$FN222&gt;SwaptionFirstMonthPosition+SwaptionNumOfMonths+1),"",IF($FN222=HX$169,1,IF($FN222&lt;HX$169,INDEX($FO$170:$IH$241,HX$169,$FN222),SUMPRODUCT(INDEX($FO$325:$IH$396,HX$169,1+SwaptionShift):INDEX($FO$325:$IH$396,HX$169,SwaptionMonthsToGo+SwaptionShift),INDEX($FO$245:$IH$316,$FN222-HX$169,73-HX$169+SwaptionShift):INDEX($FO$245:$IH$316,$FN222-HX$169,72-HX$169+SwaptionMonthsToGo+SwaptionShift))/SQRT(SUM(INDEX($FO377:$IH377,1+SwaptionShift):INDEX($FO377:$IH377,SwaptionMonthsToGo+SwaptionShift))*SUM(INDEX($FO$325:$IH$396,HX$169,1+SwaptionShift):INDEX($FO$325:$IH$396,HX$169,SwaptionMonthsToGo+SwaptionShift))))))</f>
        <v/>
      </c>
      <c r="HY222" s="469" t="str">
        <f ca="1">IF(OR(HY$169&lt;SwaptionFirstMonthPosition+1,$FN222&lt;SwaptionFirstMonthPosition+1,HY$169&gt;SwaptionFirstMonthPosition+SwaptionNumOfMonths+1,$FN222&gt;SwaptionFirstMonthPosition+SwaptionNumOfMonths+1),"",IF($FN222=HY$169,1,IF($FN222&lt;HY$169,INDEX($FO$170:$IH$241,HY$169,$FN222),SUMPRODUCT(INDEX($FO$325:$IH$396,HY$169,1+SwaptionShift):INDEX($FO$325:$IH$396,HY$169,SwaptionMonthsToGo+SwaptionShift),INDEX($FO$245:$IH$316,$FN222-HY$169,73-HY$169+SwaptionShift):INDEX($FO$245:$IH$316,$FN222-HY$169,72-HY$169+SwaptionMonthsToGo+SwaptionShift))/SQRT(SUM(INDEX($FO377:$IH377,1+SwaptionShift):INDEX($FO377:$IH377,SwaptionMonthsToGo+SwaptionShift))*SUM(INDEX($FO$325:$IH$396,HY$169,1+SwaptionShift):INDEX($FO$325:$IH$396,HY$169,SwaptionMonthsToGo+SwaptionShift))))))</f>
        <v/>
      </c>
      <c r="HZ222" s="469" t="str">
        <f ca="1">IF(OR(HZ$169&lt;SwaptionFirstMonthPosition+1,$FN222&lt;SwaptionFirstMonthPosition+1,HZ$169&gt;SwaptionFirstMonthPosition+SwaptionNumOfMonths+1,$FN222&gt;SwaptionFirstMonthPosition+SwaptionNumOfMonths+1),"",IF($FN222=HZ$169,1,IF($FN222&lt;HZ$169,INDEX($FO$170:$IH$241,HZ$169,$FN222),SUMPRODUCT(INDEX($FO$325:$IH$396,HZ$169,1+SwaptionShift):INDEX($FO$325:$IH$396,HZ$169,SwaptionMonthsToGo+SwaptionShift),INDEX($FO$245:$IH$316,$FN222-HZ$169,73-HZ$169+SwaptionShift):INDEX($FO$245:$IH$316,$FN222-HZ$169,72-HZ$169+SwaptionMonthsToGo+SwaptionShift))/SQRT(SUM(INDEX($FO377:$IH377,1+SwaptionShift):INDEX($FO377:$IH377,SwaptionMonthsToGo+SwaptionShift))*SUM(INDEX($FO$325:$IH$396,HZ$169,1+SwaptionShift):INDEX($FO$325:$IH$396,HZ$169,SwaptionMonthsToGo+SwaptionShift))))))</f>
        <v/>
      </c>
      <c r="IA222" s="469" t="str">
        <f ca="1">IF(OR(IA$169&lt;SwaptionFirstMonthPosition+1,$FN222&lt;SwaptionFirstMonthPosition+1,IA$169&gt;SwaptionFirstMonthPosition+SwaptionNumOfMonths+1,$FN222&gt;SwaptionFirstMonthPosition+SwaptionNumOfMonths+1),"",IF($FN222=IA$169,1,IF($FN222&lt;IA$169,INDEX($FO$170:$IH$241,IA$169,$FN222),SUMPRODUCT(INDEX($FO$325:$IH$396,IA$169,1+SwaptionShift):INDEX($FO$325:$IH$396,IA$169,SwaptionMonthsToGo+SwaptionShift),INDEX($FO$245:$IH$316,$FN222-IA$169,73-IA$169+SwaptionShift):INDEX($FO$245:$IH$316,$FN222-IA$169,72-IA$169+SwaptionMonthsToGo+SwaptionShift))/SQRT(SUM(INDEX($FO377:$IH377,1+SwaptionShift):INDEX($FO377:$IH377,SwaptionMonthsToGo+SwaptionShift))*SUM(INDEX($FO$325:$IH$396,IA$169,1+SwaptionShift):INDEX($FO$325:$IH$396,IA$169,SwaptionMonthsToGo+SwaptionShift))))))</f>
        <v/>
      </c>
      <c r="IB222" s="469" t="str">
        <f ca="1">IF(OR(IB$169&lt;SwaptionFirstMonthPosition+1,$FN222&lt;SwaptionFirstMonthPosition+1,IB$169&gt;SwaptionFirstMonthPosition+SwaptionNumOfMonths+1,$FN222&gt;SwaptionFirstMonthPosition+SwaptionNumOfMonths+1),"",IF($FN222=IB$169,1,IF($FN222&lt;IB$169,INDEX($FO$170:$IH$241,IB$169,$FN222),SUMPRODUCT(INDEX($FO$325:$IH$396,IB$169,1+SwaptionShift):INDEX($FO$325:$IH$396,IB$169,SwaptionMonthsToGo+SwaptionShift),INDEX($FO$245:$IH$316,$FN222-IB$169,73-IB$169+SwaptionShift):INDEX($FO$245:$IH$316,$FN222-IB$169,72-IB$169+SwaptionMonthsToGo+SwaptionShift))/SQRT(SUM(INDEX($FO377:$IH377,1+SwaptionShift):INDEX($FO377:$IH377,SwaptionMonthsToGo+SwaptionShift))*SUM(INDEX($FO$325:$IH$396,IB$169,1+SwaptionShift):INDEX($FO$325:$IH$396,IB$169,SwaptionMonthsToGo+SwaptionShift))))))</f>
        <v/>
      </c>
      <c r="IC222" s="469" t="str">
        <f ca="1">IF(OR(IC$169&lt;SwaptionFirstMonthPosition+1,$FN222&lt;SwaptionFirstMonthPosition+1,IC$169&gt;SwaptionFirstMonthPosition+SwaptionNumOfMonths+1,$FN222&gt;SwaptionFirstMonthPosition+SwaptionNumOfMonths+1),"",IF($FN222=IC$169,1,IF($FN222&lt;IC$169,INDEX($FO$170:$IH$241,IC$169,$FN222),SUMPRODUCT(INDEX($FO$325:$IH$396,IC$169,1+SwaptionShift):INDEX($FO$325:$IH$396,IC$169,SwaptionMonthsToGo+SwaptionShift),INDEX($FO$245:$IH$316,$FN222-IC$169,73-IC$169+SwaptionShift):INDEX($FO$245:$IH$316,$FN222-IC$169,72-IC$169+SwaptionMonthsToGo+SwaptionShift))/SQRT(SUM(INDEX($FO377:$IH377,1+SwaptionShift):INDEX($FO377:$IH377,SwaptionMonthsToGo+SwaptionShift))*SUM(INDEX($FO$325:$IH$396,IC$169,1+SwaptionShift):INDEX($FO$325:$IH$396,IC$169,SwaptionMonthsToGo+SwaptionShift))))))</f>
        <v/>
      </c>
      <c r="ID222" s="469" t="str">
        <f ca="1">IF(OR(ID$169&lt;SwaptionFirstMonthPosition+1,$FN222&lt;SwaptionFirstMonthPosition+1,ID$169&gt;SwaptionFirstMonthPosition+SwaptionNumOfMonths+1,$FN222&gt;SwaptionFirstMonthPosition+SwaptionNumOfMonths+1),"",IF($FN222=ID$169,1,IF($FN222&lt;ID$169,INDEX($FO$170:$IH$241,ID$169,$FN222),SUMPRODUCT(INDEX($FO$325:$IH$396,ID$169,1+SwaptionShift):INDEX($FO$325:$IH$396,ID$169,SwaptionMonthsToGo+SwaptionShift),INDEX($FO$245:$IH$316,$FN222-ID$169,73-ID$169+SwaptionShift):INDEX($FO$245:$IH$316,$FN222-ID$169,72-ID$169+SwaptionMonthsToGo+SwaptionShift))/SQRT(SUM(INDEX($FO377:$IH377,1+SwaptionShift):INDEX($FO377:$IH377,SwaptionMonthsToGo+SwaptionShift))*SUM(INDEX($FO$325:$IH$396,ID$169,1+SwaptionShift):INDEX($FO$325:$IH$396,ID$169,SwaptionMonthsToGo+SwaptionShift))))))</f>
        <v/>
      </c>
      <c r="IE222" s="469" t="str">
        <f ca="1">IF(OR(IE$169&lt;SwaptionFirstMonthPosition+1,$FN222&lt;SwaptionFirstMonthPosition+1,IE$169&gt;SwaptionFirstMonthPosition+SwaptionNumOfMonths+1,$FN222&gt;SwaptionFirstMonthPosition+SwaptionNumOfMonths+1),"",IF($FN222=IE$169,1,IF($FN222&lt;IE$169,INDEX($FO$170:$IH$241,IE$169,$FN222),SUMPRODUCT(INDEX($FO$325:$IH$396,IE$169,1+SwaptionShift):INDEX($FO$325:$IH$396,IE$169,SwaptionMonthsToGo+SwaptionShift),INDEX($FO$245:$IH$316,$FN222-IE$169,73-IE$169+SwaptionShift):INDEX($FO$245:$IH$316,$FN222-IE$169,72-IE$169+SwaptionMonthsToGo+SwaptionShift))/SQRT(SUM(INDEX($FO377:$IH377,1+SwaptionShift):INDEX($FO377:$IH377,SwaptionMonthsToGo+SwaptionShift))*SUM(INDEX($FO$325:$IH$396,IE$169,1+SwaptionShift):INDEX($FO$325:$IH$396,IE$169,SwaptionMonthsToGo+SwaptionShift))))))</f>
        <v/>
      </c>
      <c r="IF222" s="469" t="str">
        <f ca="1">IF(OR(IF$169&lt;SwaptionFirstMonthPosition+1,$FN222&lt;SwaptionFirstMonthPosition+1,IF$169&gt;SwaptionFirstMonthPosition+SwaptionNumOfMonths+1,$FN222&gt;SwaptionFirstMonthPosition+SwaptionNumOfMonths+1),"",IF($FN222=IF$169,1,IF($FN222&lt;IF$169,INDEX($FO$170:$IH$241,IF$169,$FN222),SUMPRODUCT(INDEX($FO$325:$IH$396,IF$169,1+SwaptionShift):INDEX($FO$325:$IH$396,IF$169,SwaptionMonthsToGo+SwaptionShift),INDEX($FO$245:$IH$316,$FN222-IF$169,73-IF$169+SwaptionShift):INDEX($FO$245:$IH$316,$FN222-IF$169,72-IF$169+SwaptionMonthsToGo+SwaptionShift))/SQRT(SUM(INDEX($FO377:$IH377,1+SwaptionShift):INDEX($FO377:$IH377,SwaptionMonthsToGo+SwaptionShift))*SUM(INDEX($FO$325:$IH$396,IF$169,1+SwaptionShift):INDEX($FO$325:$IH$396,IF$169,SwaptionMonthsToGo+SwaptionShift))))))</f>
        <v/>
      </c>
      <c r="IG222" s="469" t="str">
        <f ca="1">IF(OR(IG$169&lt;SwaptionFirstMonthPosition+1,$FN222&lt;SwaptionFirstMonthPosition+1,IG$169&gt;SwaptionFirstMonthPosition+SwaptionNumOfMonths+1,$FN222&gt;SwaptionFirstMonthPosition+SwaptionNumOfMonths+1),"",IF($FN222=IG$169,1,IF($FN222&lt;IG$169,INDEX($FO$170:$IH$241,IG$169,$FN222),SUMPRODUCT(INDEX($FO$325:$IH$396,IG$169,1+SwaptionShift):INDEX($FO$325:$IH$396,IG$169,SwaptionMonthsToGo+SwaptionShift),INDEX($FO$245:$IH$316,$FN222-IG$169,73-IG$169+SwaptionShift):INDEX($FO$245:$IH$316,$FN222-IG$169,72-IG$169+SwaptionMonthsToGo+SwaptionShift))/SQRT(SUM(INDEX($FO377:$IH377,1+SwaptionShift):INDEX($FO377:$IH377,SwaptionMonthsToGo+SwaptionShift))*SUM(INDEX($FO$325:$IH$396,IG$169,1+SwaptionShift):INDEX($FO$325:$IH$396,IG$169,SwaptionMonthsToGo+SwaptionShift))))))</f>
        <v/>
      </c>
      <c r="IH222" s="662" t="str">
        <f ca="1">IF(OR(IH$169&lt;SwaptionFirstMonthPosition+1,$FN222&lt;SwaptionFirstMonthPosition+1,IH$169&gt;SwaptionFirstMonthPosition+SwaptionNumOfMonths+1,$FN222&gt;SwaptionFirstMonthPosition+SwaptionNumOfMonths+1),"",IF($FN222=IH$169,1,IF($FN222&lt;IH$169,INDEX($FO$170:$IH$241,IH$169,$FN222),SUMPRODUCT(INDEX($FO$325:$IH$396,IH$169,1+SwaptionShift):INDEX($FO$325:$IH$396,IH$169,SwaptionMonthsToGo+SwaptionShift),INDEX($FO$245:$IH$316,$FN222-IH$169,73-IH$169+SwaptionShift):INDEX($FO$245:$IH$316,$FN222-IH$169,72-IH$169+SwaptionMonthsToGo+SwaptionShift))/SQRT(SUM(INDEX($FO377:$IH377,1+SwaptionShift):INDEX($FO377:$IH377,SwaptionMonthsToGo+SwaptionShift))*SUM(INDEX($FO$325:$IH$396,IH$169,1+SwaptionShift):INDEX($FO$325:$IH$396,IH$169,SwaptionMonthsToGo+SwaptionShift))))))</f>
        <v/>
      </c>
      <c r="II222" s="242"/>
    </row>
    <row r="223" spans="8:243">
      <c r="H223" s="49" t="e">
        <f t="shared" ca="1" si="645"/>
        <v>#N/A</v>
      </c>
      <c r="I223" s="369">
        <f t="shared" si="646"/>
        <v>43191</v>
      </c>
      <c r="J223" s="367">
        <v>24.459999999999798</v>
      </c>
      <c r="K223" s="101" t="s">
        <v>267</v>
      </c>
      <c r="L223" s="382">
        <f t="shared" si="647"/>
        <v>24.459999999999841</v>
      </c>
      <c r="M223" s="163">
        <v>0.12990000000000002</v>
      </c>
      <c r="N223" s="372">
        <v>0</v>
      </c>
      <c r="O223" s="163">
        <f t="shared" si="595"/>
        <v>0.12990000000000002</v>
      </c>
      <c r="P223" s="367">
        <v>23.222997006325002</v>
      </c>
      <c r="Q223" s="101" t="s">
        <v>267</v>
      </c>
      <c r="R223" s="367">
        <f t="shared" ca="1" si="596"/>
        <v>23.222997006325041</v>
      </c>
      <c r="S223" s="814">
        <f t="shared" si="594"/>
        <v>0.34656567396641458</v>
      </c>
      <c r="T223" s="813">
        <f t="shared" si="660"/>
        <v>0.99999999995985167</v>
      </c>
      <c r="U223" s="532">
        <f t="shared" si="661"/>
        <v>0.99999999999999978</v>
      </c>
      <c r="V223" s="379">
        <v>0</v>
      </c>
      <c r="W223" s="424">
        <f t="shared" si="597"/>
        <v>24.492142857142653</v>
      </c>
      <c r="X223" s="405">
        <f t="shared" si="598"/>
        <v>24.492142857142696</v>
      </c>
      <c r="Y223" s="313">
        <f t="shared" si="599"/>
        <v>23.148142857142652</v>
      </c>
      <c r="Z223" s="313">
        <f t="shared" ca="1" si="600"/>
        <v>23.148142857142695</v>
      </c>
      <c r="AA223" s="419">
        <f t="shared" si="623"/>
        <v>1.3440000000000001</v>
      </c>
      <c r="AB223" s="423">
        <f t="shared" ca="1" si="624"/>
        <v>1.3440000000000001</v>
      </c>
      <c r="AC223" s="221">
        <v>43179</v>
      </c>
      <c r="AD223" s="221">
        <v>43175</v>
      </c>
      <c r="AE223" s="221">
        <v>43174</v>
      </c>
      <c r="AF223" s="221">
        <v>43170</v>
      </c>
      <c r="AG223" s="241" t="s">
        <v>497</v>
      </c>
      <c r="AH223" s="239" t="s">
        <v>497</v>
      </c>
      <c r="AI223" s="141">
        <v>21</v>
      </c>
      <c r="AJ223" s="41">
        <v>15</v>
      </c>
      <c r="AK223" s="41">
        <v>6</v>
      </c>
      <c r="AL223" s="285">
        <v>21</v>
      </c>
      <c r="AM223" s="41">
        <v>10</v>
      </c>
      <c r="AN223" s="142">
        <v>11</v>
      </c>
      <c r="AO223" s="364">
        <v>6.3014867179795903E-2</v>
      </c>
      <c r="AP223" s="145">
        <f t="shared" ca="1" si="648"/>
        <v>0.34706350524683593</v>
      </c>
      <c r="AQ223" s="364">
        <v>5.8780679268096901E-2</v>
      </c>
      <c r="AR223" s="145">
        <f t="shared" ca="1" si="662"/>
        <v>0.3749276375018713</v>
      </c>
      <c r="AS223" s="264">
        <f t="shared" si="601"/>
        <v>0.1293857142857143</v>
      </c>
      <c r="AT223" s="149">
        <f t="shared" si="649"/>
        <v>0.12990000000000002</v>
      </c>
      <c r="AU223" s="149">
        <f t="shared" si="625"/>
        <v>0.12929047619047618</v>
      </c>
      <c r="AV223" s="263">
        <f t="shared" ca="1" si="669"/>
        <v>0.12808019758500516</v>
      </c>
      <c r="AW223" s="150" t="str">
        <f t="shared" ca="1" si="581"/>
        <v/>
      </c>
      <c r="AX223" s="149">
        <f t="shared" ca="1" si="663"/>
        <v>3.6986716571728671E-3</v>
      </c>
      <c r="AY223" s="149">
        <f t="shared" ca="1" si="664"/>
        <v>1.1517659004151783E-3</v>
      </c>
      <c r="AZ223" s="149">
        <f t="shared" ca="1" si="665"/>
        <v>1.3788234731927926E-3</v>
      </c>
      <c r="BA223" s="149">
        <f t="shared" ca="1" si="666"/>
        <v>1.0000000000001087E-4</v>
      </c>
      <c r="BB223" s="149">
        <f t="shared" ca="1" si="667"/>
        <v>1.0000000000001087E-4</v>
      </c>
      <c r="BC223" s="149">
        <f t="shared" ca="1" si="668"/>
        <v>1.0000000000001087E-4</v>
      </c>
      <c r="BD223" s="143">
        <f t="shared" ca="1" si="602"/>
        <v>0</v>
      </c>
      <c r="BE223" s="144">
        <f t="shared" ca="1" si="603"/>
        <v>0</v>
      </c>
      <c r="BF223" s="40">
        <f t="shared" si="604"/>
        <v>2018</v>
      </c>
      <c r="BG223" s="139">
        <f t="shared" si="605"/>
        <v>4</v>
      </c>
      <c r="BH223" s="140">
        <f t="shared" ca="1" si="606"/>
        <v>6185</v>
      </c>
      <c r="BI223" s="304">
        <f t="shared" ca="1" si="607"/>
        <v>16.977412731006162</v>
      </c>
      <c r="BJ223" s="42">
        <f t="shared" ca="1" si="626"/>
        <v>17.034125354453895</v>
      </c>
      <c r="BK223" s="42">
        <f t="shared" ca="1" si="627"/>
        <v>17.036863205241026</v>
      </c>
      <c r="BL223" s="42">
        <f t="shared" ca="1" si="608"/>
        <v>17.056810403832991</v>
      </c>
      <c r="BM223" s="285">
        <f t="shared" si="609"/>
        <v>21</v>
      </c>
      <c r="BN223" s="41">
        <f t="shared" si="610"/>
        <v>15</v>
      </c>
      <c r="BO223" s="41">
        <f t="shared" si="611"/>
        <v>6</v>
      </c>
      <c r="BP223" s="297" t="str">
        <f t="shared" ca="1" si="628"/>
        <v/>
      </c>
      <c r="BQ223" s="297" t="str">
        <f t="shared" ca="1" si="629"/>
        <v/>
      </c>
      <c r="BR223" s="299" t="str">
        <f t="shared" ca="1" si="630"/>
        <v/>
      </c>
      <c r="BS223" s="153" t="str">
        <f t="shared" ca="1" si="631"/>
        <v/>
      </c>
      <c r="BT223" s="153" t="str">
        <f t="shared" ca="1" si="632"/>
        <v/>
      </c>
      <c r="BU223" s="300" t="str">
        <f t="shared" ca="1" si="633"/>
        <v/>
      </c>
      <c r="BV223" s="301" t="str">
        <f t="shared" ca="1" si="634"/>
        <v/>
      </c>
      <c r="BW223" s="300" t="str">
        <f t="shared" ca="1" si="635"/>
        <v/>
      </c>
      <c r="BX223" s="301" t="str">
        <f t="shared" ca="1" si="636"/>
        <v/>
      </c>
      <c r="BY223" s="146" t="str">
        <f t="shared" ca="1" si="637"/>
        <v/>
      </c>
      <c r="BZ223" s="146" t="str">
        <f t="shared" ca="1" si="638"/>
        <v/>
      </c>
      <c r="CA223" s="146" t="str">
        <f t="shared" ca="1" si="639"/>
        <v/>
      </c>
      <c r="CB223" s="146" t="str">
        <f t="shared" ca="1" si="640"/>
        <v/>
      </c>
      <c r="CC223" s="302">
        <v>1</v>
      </c>
      <c r="CD223" s="154">
        <f ca="1">IF(BD223,_xll.xCrudeAPO(BS223,BT223,BY223,BZ223,S224,S225,BI223,BL223,BN223,BO223,0,Strike1,AO223,CC223,0,BL223,IF(OptControl=4,0,1),0,1),0)</f>
        <v>0</v>
      </c>
      <c r="CE223" s="155">
        <f ca="1">IF(BD223,_xll.xCrudeAPO(BS223,BT223,BY223,BZ223,S224,S225,BI223,BL223,BN223,BO223,0,Strike1,AO223,CC223,0,BL223,IF(OptControl=4,0,1),1,1)+_xll.xCrudeAPO(BS223,BT223,BY223,BZ223,S224,S225,BI223,BL223,BN223,BO223,0,Strike1,AO223,CC223,0,BL223,IF(OptControl=4,0,1),1,2)+IF(OR(VolSkewFlag=2,ABS(BQ223)&lt;0.0001),0,IF(BQ223&gt;0,-1,1)*CF223*Strike1/BP223^2*BW223/10%),0)</f>
        <v>0</v>
      </c>
      <c r="CF223" s="155">
        <f ca="1">IF(BD223,(_xll.xCrudeAPO(BS223,BT223,BY223,BZ223,S224,S225,BI223,BL223,BN223,BO223,0,Strike1,AO223,CC223,0,BL223,IF(OptControl=4,0,1),3,1)+_xll.xCrudeAPO(BS223,BT223,BY223,BZ223,S224,S225,BI223,BL223,BN223,BO223,0,Strike1,AO223,CC223,0,BL223,IF(OptControl=4,0,1),3,2))/100,0)</f>
        <v>0</v>
      </c>
      <c r="CG223" s="155">
        <f ca="1">IF(BD223,_xll.xCrudeAPO(BS223,BT223,BY223,BZ223,S224,S225,BI223-DaysForThetaCalculation/365.25,BL223-DaysForThetaCalculation/365.25,BN223,BO223,0,Strike1,AO223,CC223,0,BL223,IF(OptControl=4,0,1),0,1)-_xll.xCrudeAPO(BS223,BT223,BY223,BZ223,S224,S225,BI223,BL223,BN223,BO223,0,Strike1,AO223,CC223,0,BL223,IF(OptControl=4,0,1),0,1),0)</f>
        <v>0</v>
      </c>
      <c r="CH223" s="303">
        <f ca="1">IF(BD223,_xll.xCrudeAPO(BS223,BT223,CA223,CB223,S224,S225,BI223,BL223,BN223,BO223,0,Strike2,AO223,CC223,0,BL223,IF(OptControl=3,1,0),0,1),0)</f>
        <v>0</v>
      </c>
      <c r="CI223" s="155">
        <f ca="1">IF(BD223,_xll.xCrudeAPO(BS223,BT223,CA223,CB223,S224,S225,BI223,BL223,BN223,BO223,0,Strike2,AO223,CC223,0,BL223,IF(OptControl=3,1,0),1,1)+_xll.xCrudeAPO(BS223,BT223,CA223,CB223,S224,S225,BI223,BL223,BN223,BO223,0,Strike2,AO223,CC223,0,BL223,IF(OptControl=3,1,0),1,2)+IF(OR(VolSkewFlag=2,ABS(BR223)&lt;0.0001),0,IF(BR223&gt;0,-1,1)*CJ223*Strike2/BP223^2*BX223/10%),0)</f>
        <v>0</v>
      </c>
      <c r="CJ223" s="155">
        <f ca="1">IF(BD223,(_xll.xCrudeAPO(BS223,BT223,CA223,CB223,S224,S225,BI223,BL223,BN223,BO223,0,Strike2,AO223,CC223,0,BL223,IF(OptControl=3,1,0),3,1)+_xll.xCrudeAPO(BS223,BT223,CA223,CB223,S224,S225,BI223,BL223,BN223,BO223,0,Strike2,AO223,CC223,0,BL223,IF(OptControl=3,1,0),3,2))/100,0)</f>
        <v>0</v>
      </c>
      <c r="CK223" s="156">
        <f ca="1">IF(BD223,_xll.xCrudeAPO(BS223,BT223,CA223,CB223,S224,S225,BI223-DaysForThetaCalculation/365.25,BL223-DaysForThetaCalculation/365.25,BN223,BO223,0,Strike2,AO223,CC223,0,BL223,IF(OptControl=3,1,0),0,1)-_xll.xCrudeAPO(BS223,BT223,CA223,CB223,S224,S225,BI223,BL223,BN223,BO223,0,Strike2,AO223,CC223,0,BL223,IF(OptControl=3,1,0),0,1),0)</f>
        <v>0</v>
      </c>
      <c r="CL223" s="51"/>
      <c r="CM223" s="779" t="str">
        <f t="shared" ca="1" si="650"/>
        <v/>
      </c>
      <c r="CN223" s="783" t="str">
        <f t="shared" ca="1" si="651"/>
        <v/>
      </c>
      <c r="CO223" s="780" t="str">
        <f t="shared" ca="1" si="652"/>
        <v/>
      </c>
      <c r="CP223" s="780" t="str">
        <f t="shared" ca="1" si="653"/>
        <v/>
      </c>
      <c r="CQ223" s="780" t="str">
        <f t="shared" ca="1" si="654"/>
        <v/>
      </c>
      <c r="CR223" s="780" t="str">
        <f t="shared" ca="1" si="655"/>
        <v/>
      </c>
      <c r="CS223" s="781" t="str">
        <f t="shared" ca="1" si="656"/>
        <v/>
      </c>
      <c r="CT223" s="782" t="str">
        <f t="shared" ca="1" si="657"/>
        <v/>
      </c>
      <c r="CU223" s="782" t="str">
        <f t="shared" ca="1" si="658"/>
        <v/>
      </c>
      <c r="CV223" s="155">
        <f ca="1">IF(BD223,_xll.EURO(CN223,Strike1,AO223,AO223,CT223,CM223,IF(OptControl=4,0,1),0),0)</f>
        <v>0</v>
      </c>
      <c r="CW223" s="155">
        <f ca="1">IF(BD223,_xll.EURO(CN223,Strike1,AO223,AO223,CT223,CM223,IF(OptControl=4,0,1),1)+IF(OR(VolSkewFlag=2,ABS(CO223)&lt;0.0001),0,IF(CO223&gt;0,-1,1)*CX223*100*Strike1/CN223^2*CQ223/10%),0)</f>
        <v>0</v>
      </c>
      <c r="CX223" s="155">
        <f ca="1">IF(BD223,_xll.EURO(CN223,Strike1,AO223,AO223,CT223,CM223,IF(OptControl=4,0,1),3)/100,0)</f>
        <v>0</v>
      </c>
      <c r="CY223" s="155">
        <f ca="1">IF(BD223,_xll.EURO(CN223,Strike1,AO223,AO223,CT223,CM223,IF(OptControl=4,0,1),0)-_xll.EURO(CN223,Strike1,AO223,AO223,CT223,CM223-1,IF(OptControl=4,0,1),0),0)</f>
        <v>0</v>
      </c>
      <c r="CZ223" s="155">
        <f ca="1">IF(BD223,_xll.EURO(CN223,Strike2,AO223,AO223,CU223,CM223,IF(OptControl=3,1,0),0),0)</f>
        <v>0</v>
      </c>
      <c r="DA223" s="155">
        <f ca="1">IF(BD223,_xll.EURO(CN223,Strike2,AO223,AO223,CU223,CM223,IF(OptControl=3,1,0),1)+IF(OR(VolSkewFlag=2,ABS(CP223)&lt;0.0001),0,IF(CP223&gt;0,-1,1)*DB223*100*Strike2/CN223^2*CR223/10%),0)</f>
        <v>0</v>
      </c>
      <c r="DB223" s="155">
        <f ca="1">IF(BD223,_xll.EURO(CN223,Strike2,AO223,AO223,CU223,CM223,IF(OptControl=3,1,0),3)/100,0)</f>
        <v>0</v>
      </c>
      <c r="DC223" s="156">
        <f ca="1">IF(BD223,_xll.EURO(CN223,Strike2,AO223,AO223,CU223,CM223,IF(OptControl=3,1,0),0)-_xll.EURO(CN223,Strike2,AO223,AO223,CU223,CM223-1,IF(OptControl=3,1,0),0),0)</f>
        <v>0</v>
      </c>
      <c r="DE223" s="651">
        <f t="shared" ca="1" si="659"/>
        <v>43101</v>
      </c>
      <c r="DF223" s="465">
        <v>1E-4</v>
      </c>
      <c r="DG223" s="649">
        <v>1E-4</v>
      </c>
      <c r="DH223" s="650">
        <f t="shared" ca="1" si="612"/>
        <v>43101</v>
      </c>
      <c r="DI223" s="465">
        <v>1E-4</v>
      </c>
      <c r="DJ223" s="649">
        <v>1E-4</v>
      </c>
      <c r="DK223" s="651">
        <f t="shared" ca="1" si="613"/>
        <v>43101</v>
      </c>
      <c r="DL223" s="652">
        <f t="shared" si="614"/>
        <v>5.0100000000000006E-2</v>
      </c>
      <c r="DM223" s="651">
        <f t="shared" ca="1" si="615"/>
        <v>43101</v>
      </c>
      <c r="DN223" s="563">
        <f t="shared" si="616"/>
        <v>-0.12990000000000002</v>
      </c>
      <c r="DO223" s="803">
        <v>-0.13</v>
      </c>
      <c r="DP223" s="650">
        <f t="shared" ca="1" si="617"/>
        <v>43101</v>
      </c>
      <c r="DQ223" s="653">
        <v>1E-4</v>
      </c>
      <c r="DR223" s="590">
        <v>1E-4</v>
      </c>
      <c r="DS223" s="650">
        <f t="shared" ca="1" si="618"/>
        <v>43101</v>
      </c>
      <c r="DT223" s="653">
        <v>1E-4</v>
      </c>
      <c r="DU223" s="590">
        <v>1E-4</v>
      </c>
      <c r="DV223" s="651">
        <f t="shared" ca="1" si="619"/>
        <v>43101</v>
      </c>
      <c r="DW223" s="590">
        <v>1E-4</v>
      </c>
      <c r="DX223" s="651">
        <f t="shared" ca="1" si="620"/>
        <v>43101</v>
      </c>
      <c r="DY223" s="590">
        <f t="shared" si="621"/>
        <v>1E-4</v>
      </c>
      <c r="DZ223" s="1"/>
      <c r="EA223" s="857"/>
      <c r="EB223" s="857"/>
      <c r="EC223" s="857"/>
      <c r="ED223" s="868" t="e">
        <f t="shared" ca="1" si="566"/>
        <v>#NAME?</v>
      </c>
      <c r="EE223" s="863" t="e">
        <f t="shared" ca="1" si="641"/>
        <v>#NAME?</v>
      </c>
      <c r="EF223" s="590" t="e">
        <f t="shared" ca="1" si="642"/>
        <v>#NAME?</v>
      </c>
      <c r="EG223" s="862" t="str">
        <f t="shared" ca="1" si="622"/>
        <v/>
      </c>
      <c r="EH223" s="114" t="str">
        <f t="shared" ca="1" si="643"/>
        <v/>
      </c>
      <c r="EI223" s="109" t="str">
        <f t="shared" ca="1" si="644"/>
        <v/>
      </c>
      <c r="EJ223" s="115">
        <f ca="1">IF(BD223,_xll.xASN(BP223,Strike1,AO223,EH223,0,BM223,0,BI223,BL223,IF(OptControl=4,0,1),0),0)</f>
        <v>0</v>
      </c>
      <c r="EK223" s="108">
        <f ca="1">IF(BD223,_xll.xASN(BP223,Strike2,AO223,EI223,0,BM223,0,BI223,BL223,IF(OptControl=3,1,0),0),0)</f>
        <v>0</v>
      </c>
      <c r="EP223" s="53"/>
      <c r="EQ223" s="1"/>
      <c r="ER223" s="103"/>
      <c r="ES223" s="103"/>
      <c r="ET223" s="1"/>
      <c r="EU223" s="667" t="s">
        <v>436</v>
      </c>
      <c r="EW223" s="53"/>
      <c r="EY223" s="104"/>
      <c r="FN223" s="657">
        <v>54</v>
      </c>
      <c r="FO223" s="469" t="str">
        <f ca="1">IF(OR(FO$169&lt;SwaptionFirstMonthPosition+1,$FN223&lt;SwaptionFirstMonthPosition+1,FO$169&gt;SwaptionFirstMonthPosition+SwaptionNumOfMonths+1,$FN223&gt;SwaptionFirstMonthPosition+SwaptionNumOfMonths+1),"",IF($FN223=FO$169,1,IF($FN223&lt;FO$169,INDEX($FO$170:$IH$241,FO$169,$FN223),SUMPRODUCT(INDEX($FO$325:$IH$396,FO$169,1+SwaptionShift):INDEX($FO$325:$IH$396,FO$169,SwaptionMonthsToGo+SwaptionShift),INDEX($FO$245:$IH$316,$FN223-FO$169,73-FO$169+SwaptionShift):INDEX($FO$245:$IH$316,$FN223-FO$169,72-FO$169+SwaptionMonthsToGo+SwaptionShift))/SQRT(SUM(INDEX($FO378:$IH378,1+SwaptionShift):INDEX($FO378:$IH378,SwaptionMonthsToGo+SwaptionShift))*SUM(INDEX($FO$325:$IH$396,FO$169,1+SwaptionShift):INDEX($FO$325:$IH$396,FO$169,SwaptionMonthsToGo+SwaptionShift))))))</f>
        <v/>
      </c>
      <c r="FP223" s="469" t="str">
        <f ca="1">IF(OR(FP$169&lt;SwaptionFirstMonthPosition+1,$FN223&lt;SwaptionFirstMonthPosition+1,FP$169&gt;SwaptionFirstMonthPosition+SwaptionNumOfMonths+1,$FN223&gt;SwaptionFirstMonthPosition+SwaptionNumOfMonths+1),"",IF($FN223=FP$169,1,IF($FN223&lt;FP$169,INDEX($FO$170:$IH$241,FP$169,$FN223),SUMPRODUCT(INDEX($FO$325:$IH$396,FP$169,1+SwaptionShift):INDEX($FO$325:$IH$396,FP$169,SwaptionMonthsToGo+SwaptionShift),INDEX($FO$245:$IH$316,$FN223-FP$169,73-FP$169+SwaptionShift):INDEX($FO$245:$IH$316,$FN223-FP$169,72-FP$169+SwaptionMonthsToGo+SwaptionShift))/SQRT(SUM(INDEX($FO378:$IH378,1+SwaptionShift):INDEX($FO378:$IH378,SwaptionMonthsToGo+SwaptionShift))*SUM(INDEX($FO$325:$IH$396,FP$169,1+SwaptionShift):INDEX($FO$325:$IH$396,FP$169,SwaptionMonthsToGo+SwaptionShift))))))</f>
        <v/>
      </c>
      <c r="FQ223" s="469" t="str">
        <f ca="1">IF(OR(FQ$169&lt;SwaptionFirstMonthPosition+1,$FN223&lt;SwaptionFirstMonthPosition+1,FQ$169&gt;SwaptionFirstMonthPosition+SwaptionNumOfMonths+1,$FN223&gt;SwaptionFirstMonthPosition+SwaptionNumOfMonths+1),"",IF($FN223=FQ$169,1,IF($FN223&lt;FQ$169,INDEX($FO$170:$IH$241,FQ$169,$FN223),SUMPRODUCT(INDEX($FO$325:$IH$396,FQ$169,1+SwaptionShift):INDEX($FO$325:$IH$396,FQ$169,SwaptionMonthsToGo+SwaptionShift),INDEX($FO$245:$IH$316,$FN223-FQ$169,73-FQ$169+SwaptionShift):INDEX($FO$245:$IH$316,$FN223-FQ$169,72-FQ$169+SwaptionMonthsToGo+SwaptionShift))/SQRT(SUM(INDEX($FO378:$IH378,1+SwaptionShift):INDEX($FO378:$IH378,SwaptionMonthsToGo+SwaptionShift))*SUM(INDEX($FO$325:$IH$396,FQ$169,1+SwaptionShift):INDEX($FO$325:$IH$396,FQ$169,SwaptionMonthsToGo+SwaptionShift))))))</f>
        <v/>
      </c>
      <c r="FR223" s="469" t="str">
        <f ca="1">IF(OR(FR$169&lt;SwaptionFirstMonthPosition+1,$FN223&lt;SwaptionFirstMonthPosition+1,FR$169&gt;SwaptionFirstMonthPosition+SwaptionNumOfMonths+1,$FN223&gt;SwaptionFirstMonthPosition+SwaptionNumOfMonths+1),"",IF($FN223=FR$169,1,IF($FN223&lt;FR$169,INDEX($FO$170:$IH$241,FR$169,$FN223),SUMPRODUCT(INDEX($FO$325:$IH$396,FR$169,1+SwaptionShift):INDEX($FO$325:$IH$396,FR$169,SwaptionMonthsToGo+SwaptionShift),INDEX($FO$245:$IH$316,$FN223-FR$169,73-FR$169+SwaptionShift):INDEX($FO$245:$IH$316,$FN223-FR$169,72-FR$169+SwaptionMonthsToGo+SwaptionShift))/SQRT(SUM(INDEX($FO378:$IH378,1+SwaptionShift):INDEX($FO378:$IH378,SwaptionMonthsToGo+SwaptionShift))*SUM(INDEX($FO$325:$IH$396,FR$169,1+SwaptionShift):INDEX($FO$325:$IH$396,FR$169,SwaptionMonthsToGo+SwaptionShift))))))</f>
        <v/>
      </c>
      <c r="FS223" s="469" t="str">
        <f ca="1">IF(OR(FS$169&lt;SwaptionFirstMonthPosition+1,$FN223&lt;SwaptionFirstMonthPosition+1,FS$169&gt;SwaptionFirstMonthPosition+SwaptionNumOfMonths+1,$FN223&gt;SwaptionFirstMonthPosition+SwaptionNumOfMonths+1),"",IF($FN223=FS$169,1,IF($FN223&lt;FS$169,INDEX($FO$170:$IH$241,FS$169,$FN223),SUMPRODUCT(INDEX($FO$325:$IH$396,FS$169,1+SwaptionShift):INDEX($FO$325:$IH$396,FS$169,SwaptionMonthsToGo+SwaptionShift),INDEX($FO$245:$IH$316,$FN223-FS$169,73-FS$169+SwaptionShift):INDEX($FO$245:$IH$316,$FN223-FS$169,72-FS$169+SwaptionMonthsToGo+SwaptionShift))/SQRT(SUM(INDEX($FO378:$IH378,1+SwaptionShift):INDEX($FO378:$IH378,SwaptionMonthsToGo+SwaptionShift))*SUM(INDEX($FO$325:$IH$396,FS$169,1+SwaptionShift):INDEX($FO$325:$IH$396,FS$169,SwaptionMonthsToGo+SwaptionShift))))))</f>
        <v/>
      </c>
      <c r="FT223" s="469" t="str">
        <f ca="1">IF(OR(FT$169&lt;SwaptionFirstMonthPosition+1,$FN223&lt;SwaptionFirstMonthPosition+1,FT$169&gt;SwaptionFirstMonthPosition+SwaptionNumOfMonths+1,$FN223&gt;SwaptionFirstMonthPosition+SwaptionNumOfMonths+1),"",IF($FN223=FT$169,1,IF($FN223&lt;FT$169,INDEX($FO$170:$IH$241,FT$169,$FN223),SUMPRODUCT(INDEX($FO$325:$IH$396,FT$169,1+SwaptionShift):INDEX($FO$325:$IH$396,FT$169,SwaptionMonthsToGo+SwaptionShift),INDEX($FO$245:$IH$316,$FN223-FT$169,73-FT$169+SwaptionShift):INDEX($FO$245:$IH$316,$FN223-FT$169,72-FT$169+SwaptionMonthsToGo+SwaptionShift))/SQRT(SUM(INDEX($FO378:$IH378,1+SwaptionShift):INDEX($FO378:$IH378,SwaptionMonthsToGo+SwaptionShift))*SUM(INDEX($FO$325:$IH$396,FT$169,1+SwaptionShift):INDEX($FO$325:$IH$396,FT$169,SwaptionMonthsToGo+SwaptionShift))))))</f>
        <v/>
      </c>
      <c r="FU223" s="469" t="str">
        <f ca="1">IF(OR(FU$169&lt;SwaptionFirstMonthPosition+1,$FN223&lt;SwaptionFirstMonthPosition+1,FU$169&gt;SwaptionFirstMonthPosition+SwaptionNumOfMonths+1,$FN223&gt;SwaptionFirstMonthPosition+SwaptionNumOfMonths+1),"",IF($FN223=FU$169,1,IF($FN223&lt;FU$169,INDEX($FO$170:$IH$241,FU$169,$FN223),SUMPRODUCT(INDEX($FO$325:$IH$396,FU$169,1+SwaptionShift):INDEX($FO$325:$IH$396,FU$169,SwaptionMonthsToGo+SwaptionShift),INDEX($FO$245:$IH$316,$FN223-FU$169,73-FU$169+SwaptionShift):INDEX($FO$245:$IH$316,$FN223-FU$169,72-FU$169+SwaptionMonthsToGo+SwaptionShift))/SQRT(SUM(INDEX($FO378:$IH378,1+SwaptionShift):INDEX($FO378:$IH378,SwaptionMonthsToGo+SwaptionShift))*SUM(INDEX($FO$325:$IH$396,FU$169,1+SwaptionShift):INDEX($FO$325:$IH$396,FU$169,SwaptionMonthsToGo+SwaptionShift))))))</f>
        <v/>
      </c>
      <c r="FV223" s="469" t="str">
        <f ca="1">IF(OR(FV$169&lt;SwaptionFirstMonthPosition+1,$FN223&lt;SwaptionFirstMonthPosition+1,FV$169&gt;SwaptionFirstMonthPosition+SwaptionNumOfMonths+1,$FN223&gt;SwaptionFirstMonthPosition+SwaptionNumOfMonths+1),"",IF($FN223=FV$169,1,IF($FN223&lt;FV$169,INDEX($FO$170:$IH$241,FV$169,$FN223),SUMPRODUCT(INDEX($FO$325:$IH$396,FV$169,1+SwaptionShift):INDEX($FO$325:$IH$396,FV$169,SwaptionMonthsToGo+SwaptionShift),INDEX($FO$245:$IH$316,$FN223-FV$169,73-FV$169+SwaptionShift):INDEX($FO$245:$IH$316,$FN223-FV$169,72-FV$169+SwaptionMonthsToGo+SwaptionShift))/SQRT(SUM(INDEX($FO378:$IH378,1+SwaptionShift):INDEX($FO378:$IH378,SwaptionMonthsToGo+SwaptionShift))*SUM(INDEX($FO$325:$IH$396,FV$169,1+SwaptionShift):INDEX($FO$325:$IH$396,FV$169,SwaptionMonthsToGo+SwaptionShift))))))</f>
        <v/>
      </c>
      <c r="FW223" s="469" t="str">
        <f ca="1">IF(OR(FW$169&lt;SwaptionFirstMonthPosition+1,$FN223&lt;SwaptionFirstMonthPosition+1,FW$169&gt;SwaptionFirstMonthPosition+SwaptionNumOfMonths+1,$FN223&gt;SwaptionFirstMonthPosition+SwaptionNumOfMonths+1),"",IF($FN223=FW$169,1,IF($FN223&lt;FW$169,INDEX($FO$170:$IH$241,FW$169,$FN223),SUMPRODUCT(INDEX($FO$325:$IH$396,FW$169,1+SwaptionShift):INDEX($FO$325:$IH$396,FW$169,SwaptionMonthsToGo+SwaptionShift),INDEX($FO$245:$IH$316,$FN223-FW$169,73-FW$169+SwaptionShift):INDEX($FO$245:$IH$316,$FN223-FW$169,72-FW$169+SwaptionMonthsToGo+SwaptionShift))/SQRT(SUM(INDEX($FO378:$IH378,1+SwaptionShift):INDEX($FO378:$IH378,SwaptionMonthsToGo+SwaptionShift))*SUM(INDEX($FO$325:$IH$396,FW$169,1+SwaptionShift):INDEX($FO$325:$IH$396,FW$169,SwaptionMonthsToGo+SwaptionShift))))))</f>
        <v/>
      </c>
      <c r="FX223" s="469" t="str">
        <f ca="1">IF(OR(FX$169&lt;SwaptionFirstMonthPosition+1,$FN223&lt;SwaptionFirstMonthPosition+1,FX$169&gt;SwaptionFirstMonthPosition+SwaptionNumOfMonths+1,$FN223&gt;SwaptionFirstMonthPosition+SwaptionNumOfMonths+1),"",IF($FN223=FX$169,1,IF($FN223&lt;FX$169,INDEX($FO$170:$IH$241,FX$169,$FN223),SUMPRODUCT(INDEX($FO$325:$IH$396,FX$169,1+SwaptionShift):INDEX($FO$325:$IH$396,FX$169,SwaptionMonthsToGo+SwaptionShift),INDEX($FO$245:$IH$316,$FN223-FX$169,73-FX$169+SwaptionShift):INDEX($FO$245:$IH$316,$FN223-FX$169,72-FX$169+SwaptionMonthsToGo+SwaptionShift))/SQRT(SUM(INDEX($FO378:$IH378,1+SwaptionShift):INDEX($FO378:$IH378,SwaptionMonthsToGo+SwaptionShift))*SUM(INDEX($FO$325:$IH$396,FX$169,1+SwaptionShift):INDEX($FO$325:$IH$396,FX$169,SwaptionMonthsToGo+SwaptionShift))))))</f>
        <v/>
      </c>
      <c r="FY223" s="469" t="str">
        <f ca="1">IF(OR(FY$169&lt;SwaptionFirstMonthPosition+1,$FN223&lt;SwaptionFirstMonthPosition+1,FY$169&gt;SwaptionFirstMonthPosition+SwaptionNumOfMonths+1,$FN223&gt;SwaptionFirstMonthPosition+SwaptionNumOfMonths+1),"",IF($FN223=FY$169,1,IF($FN223&lt;FY$169,INDEX($FO$170:$IH$241,FY$169,$FN223),SUMPRODUCT(INDEX($FO$325:$IH$396,FY$169,1+SwaptionShift):INDEX($FO$325:$IH$396,FY$169,SwaptionMonthsToGo+SwaptionShift),INDEX($FO$245:$IH$316,$FN223-FY$169,73-FY$169+SwaptionShift):INDEX($FO$245:$IH$316,$FN223-FY$169,72-FY$169+SwaptionMonthsToGo+SwaptionShift))/SQRT(SUM(INDEX($FO378:$IH378,1+SwaptionShift):INDEX($FO378:$IH378,SwaptionMonthsToGo+SwaptionShift))*SUM(INDEX($FO$325:$IH$396,FY$169,1+SwaptionShift):INDEX($FO$325:$IH$396,FY$169,SwaptionMonthsToGo+SwaptionShift))))))</f>
        <v/>
      </c>
      <c r="FZ223" s="469" t="str">
        <f ca="1">IF(OR(FZ$169&lt;SwaptionFirstMonthPosition+1,$FN223&lt;SwaptionFirstMonthPosition+1,FZ$169&gt;SwaptionFirstMonthPosition+SwaptionNumOfMonths+1,$FN223&gt;SwaptionFirstMonthPosition+SwaptionNumOfMonths+1),"",IF($FN223=FZ$169,1,IF($FN223&lt;FZ$169,INDEX($FO$170:$IH$241,FZ$169,$FN223),SUMPRODUCT(INDEX($FO$325:$IH$396,FZ$169,1+SwaptionShift):INDEX($FO$325:$IH$396,FZ$169,SwaptionMonthsToGo+SwaptionShift),INDEX($FO$245:$IH$316,$FN223-FZ$169,73-FZ$169+SwaptionShift):INDEX($FO$245:$IH$316,$FN223-FZ$169,72-FZ$169+SwaptionMonthsToGo+SwaptionShift))/SQRT(SUM(INDEX($FO378:$IH378,1+SwaptionShift):INDEX($FO378:$IH378,SwaptionMonthsToGo+SwaptionShift))*SUM(INDEX($FO$325:$IH$396,FZ$169,1+SwaptionShift):INDEX($FO$325:$IH$396,FZ$169,SwaptionMonthsToGo+SwaptionShift))))))</f>
        <v/>
      </c>
      <c r="GA223" s="469" t="str">
        <f ca="1">IF(OR(GA$169&lt;SwaptionFirstMonthPosition+1,$FN223&lt;SwaptionFirstMonthPosition+1,GA$169&gt;SwaptionFirstMonthPosition+SwaptionNumOfMonths+1,$FN223&gt;SwaptionFirstMonthPosition+SwaptionNumOfMonths+1),"",IF($FN223=GA$169,1,IF($FN223&lt;GA$169,INDEX($FO$170:$IH$241,GA$169,$FN223),SUMPRODUCT(INDEX($FO$325:$IH$396,GA$169,1+SwaptionShift):INDEX($FO$325:$IH$396,GA$169,SwaptionMonthsToGo+SwaptionShift),INDEX($FO$245:$IH$316,$FN223-GA$169,73-GA$169+SwaptionShift):INDEX($FO$245:$IH$316,$FN223-GA$169,72-GA$169+SwaptionMonthsToGo+SwaptionShift))/SQRT(SUM(INDEX($FO378:$IH378,1+SwaptionShift):INDEX($FO378:$IH378,SwaptionMonthsToGo+SwaptionShift))*SUM(INDEX($FO$325:$IH$396,GA$169,1+SwaptionShift):INDEX($FO$325:$IH$396,GA$169,SwaptionMonthsToGo+SwaptionShift))))))</f>
        <v/>
      </c>
      <c r="GB223" s="469" t="str">
        <f ca="1">IF(OR(GB$169&lt;SwaptionFirstMonthPosition+1,$FN223&lt;SwaptionFirstMonthPosition+1,GB$169&gt;SwaptionFirstMonthPosition+SwaptionNumOfMonths+1,$FN223&gt;SwaptionFirstMonthPosition+SwaptionNumOfMonths+1),"",IF($FN223=GB$169,1,IF($FN223&lt;GB$169,INDEX($FO$170:$IH$241,GB$169,$FN223),SUMPRODUCT(INDEX($FO$325:$IH$396,GB$169,1+SwaptionShift):INDEX($FO$325:$IH$396,GB$169,SwaptionMonthsToGo+SwaptionShift),INDEX($FO$245:$IH$316,$FN223-GB$169,73-GB$169+SwaptionShift):INDEX($FO$245:$IH$316,$FN223-GB$169,72-GB$169+SwaptionMonthsToGo+SwaptionShift))/SQRT(SUM(INDEX($FO378:$IH378,1+SwaptionShift):INDEX($FO378:$IH378,SwaptionMonthsToGo+SwaptionShift))*SUM(INDEX($FO$325:$IH$396,GB$169,1+SwaptionShift):INDEX($FO$325:$IH$396,GB$169,SwaptionMonthsToGo+SwaptionShift))))))</f>
        <v/>
      </c>
      <c r="GC223" s="469" t="str">
        <f ca="1">IF(OR(GC$169&lt;SwaptionFirstMonthPosition+1,$FN223&lt;SwaptionFirstMonthPosition+1,GC$169&gt;SwaptionFirstMonthPosition+SwaptionNumOfMonths+1,$FN223&gt;SwaptionFirstMonthPosition+SwaptionNumOfMonths+1),"",IF($FN223=GC$169,1,IF($FN223&lt;GC$169,INDEX($FO$170:$IH$241,GC$169,$FN223),SUMPRODUCT(INDEX($FO$325:$IH$396,GC$169,1+SwaptionShift):INDEX($FO$325:$IH$396,GC$169,SwaptionMonthsToGo+SwaptionShift),INDEX($FO$245:$IH$316,$FN223-GC$169,73-GC$169+SwaptionShift):INDEX($FO$245:$IH$316,$FN223-GC$169,72-GC$169+SwaptionMonthsToGo+SwaptionShift))/SQRT(SUM(INDEX($FO378:$IH378,1+SwaptionShift):INDEX($FO378:$IH378,SwaptionMonthsToGo+SwaptionShift))*SUM(INDEX($FO$325:$IH$396,GC$169,1+SwaptionShift):INDEX($FO$325:$IH$396,GC$169,SwaptionMonthsToGo+SwaptionShift))))))</f>
        <v/>
      </c>
      <c r="GD223" s="469" t="str">
        <f ca="1">IF(OR(GD$169&lt;SwaptionFirstMonthPosition+1,$FN223&lt;SwaptionFirstMonthPosition+1,GD$169&gt;SwaptionFirstMonthPosition+SwaptionNumOfMonths+1,$FN223&gt;SwaptionFirstMonthPosition+SwaptionNumOfMonths+1),"",IF($FN223=GD$169,1,IF($FN223&lt;GD$169,INDEX($FO$170:$IH$241,GD$169,$FN223),SUMPRODUCT(INDEX($FO$325:$IH$396,GD$169,1+SwaptionShift):INDEX($FO$325:$IH$396,GD$169,SwaptionMonthsToGo+SwaptionShift),INDEX($FO$245:$IH$316,$FN223-GD$169,73-GD$169+SwaptionShift):INDEX($FO$245:$IH$316,$FN223-GD$169,72-GD$169+SwaptionMonthsToGo+SwaptionShift))/SQRT(SUM(INDEX($FO378:$IH378,1+SwaptionShift):INDEX($FO378:$IH378,SwaptionMonthsToGo+SwaptionShift))*SUM(INDEX($FO$325:$IH$396,GD$169,1+SwaptionShift):INDEX($FO$325:$IH$396,GD$169,SwaptionMonthsToGo+SwaptionShift))))))</f>
        <v/>
      </c>
      <c r="GE223" s="469" t="str">
        <f ca="1">IF(OR(GE$169&lt;SwaptionFirstMonthPosition+1,$FN223&lt;SwaptionFirstMonthPosition+1,GE$169&gt;SwaptionFirstMonthPosition+SwaptionNumOfMonths+1,$FN223&gt;SwaptionFirstMonthPosition+SwaptionNumOfMonths+1),"",IF($FN223=GE$169,1,IF($FN223&lt;GE$169,INDEX($FO$170:$IH$241,GE$169,$FN223),SUMPRODUCT(INDEX($FO$325:$IH$396,GE$169,1+SwaptionShift):INDEX($FO$325:$IH$396,GE$169,SwaptionMonthsToGo+SwaptionShift),INDEX($FO$245:$IH$316,$FN223-GE$169,73-GE$169+SwaptionShift):INDEX($FO$245:$IH$316,$FN223-GE$169,72-GE$169+SwaptionMonthsToGo+SwaptionShift))/SQRT(SUM(INDEX($FO378:$IH378,1+SwaptionShift):INDEX($FO378:$IH378,SwaptionMonthsToGo+SwaptionShift))*SUM(INDEX($FO$325:$IH$396,GE$169,1+SwaptionShift):INDEX($FO$325:$IH$396,GE$169,SwaptionMonthsToGo+SwaptionShift))))))</f>
        <v/>
      </c>
      <c r="GF223" s="469" t="str">
        <f ca="1">IF(OR(GF$169&lt;SwaptionFirstMonthPosition+1,$FN223&lt;SwaptionFirstMonthPosition+1,GF$169&gt;SwaptionFirstMonthPosition+SwaptionNumOfMonths+1,$FN223&gt;SwaptionFirstMonthPosition+SwaptionNumOfMonths+1),"",IF($FN223=GF$169,1,IF($FN223&lt;GF$169,INDEX($FO$170:$IH$241,GF$169,$FN223),SUMPRODUCT(INDEX($FO$325:$IH$396,GF$169,1+SwaptionShift):INDEX($FO$325:$IH$396,GF$169,SwaptionMonthsToGo+SwaptionShift),INDEX($FO$245:$IH$316,$FN223-GF$169,73-GF$169+SwaptionShift):INDEX($FO$245:$IH$316,$FN223-GF$169,72-GF$169+SwaptionMonthsToGo+SwaptionShift))/SQRT(SUM(INDEX($FO378:$IH378,1+SwaptionShift):INDEX($FO378:$IH378,SwaptionMonthsToGo+SwaptionShift))*SUM(INDEX($FO$325:$IH$396,GF$169,1+SwaptionShift):INDEX($FO$325:$IH$396,GF$169,SwaptionMonthsToGo+SwaptionShift))))))</f>
        <v/>
      </c>
      <c r="GG223" s="469" t="str">
        <f ca="1">IF(OR(GG$169&lt;SwaptionFirstMonthPosition+1,$FN223&lt;SwaptionFirstMonthPosition+1,GG$169&gt;SwaptionFirstMonthPosition+SwaptionNumOfMonths+1,$FN223&gt;SwaptionFirstMonthPosition+SwaptionNumOfMonths+1),"",IF($FN223=GG$169,1,IF($FN223&lt;GG$169,INDEX($FO$170:$IH$241,GG$169,$FN223),SUMPRODUCT(INDEX($FO$325:$IH$396,GG$169,1+SwaptionShift):INDEX($FO$325:$IH$396,GG$169,SwaptionMonthsToGo+SwaptionShift),INDEX($FO$245:$IH$316,$FN223-GG$169,73-GG$169+SwaptionShift):INDEX($FO$245:$IH$316,$FN223-GG$169,72-GG$169+SwaptionMonthsToGo+SwaptionShift))/SQRT(SUM(INDEX($FO378:$IH378,1+SwaptionShift):INDEX($FO378:$IH378,SwaptionMonthsToGo+SwaptionShift))*SUM(INDEX($FO$325:$IH$396,GG$169,1+SwaptionShift):INDEX($FO$325:$IH$396,GG$169,SwaptionMonthsToGo+SwaptionShift))))))</f>
        <v/>
      </c>
      <c r="GH223" s="469" t="str">
        <f ca="1">IF(OR(GH$169&lt;SwaptionFirstMonthPosition+1,$FN223&lt;SwaptionFirstMonthPosition+1,GH$169&gt;SwaptionFirstMonthPosition+SwaptionNumOfMonths+1,$FN223&gt;SwaptionFirstMonthPosition+SwaptionNumOfMonths+1),"",IF($FN223=GH$169,1,IF($FN223&lt;GH$169,INDEX($FO$170:$IH$241,GH$169,$FN223),SUMPRODUCT(INDEX($FO$325:$IH$396,GH$169,1+SwaptionShift):INDEX($FO$325:$IH$396,GH$169,SwaptionMonthsToGo+SwaptionShift),INDEX($FO$245:$IH$316,$FN223-GH$169,73-GH$169+SwaptionShift):INDEX($FO$245:$IH$316,$FN223-GH$169,72-GH$169+SwaptionMonthsToGo+SwaptionShift))/SQRT(SUM(INDEX($FO378:$IH378,1+SwaptionShift):INDEX($FO378:$IH378,SwaptionMonthsToGo+SwaptionShift))*SUM(INDEX($FO$325:$IH$396,GH$169,1+SwaptionShift):INDEX($FO$325:$IH$396,GH$169,SwaptionMonthsToGo+SwaptionShift))))))</f>
        <v/>
      </c>
      <c r="GI223" s="469" t="str">
        <f ca="1">IF(OR(GI$169&lt;SwaptionFirstMonthPosition+1,$FN223&lt;SwaptionFirstMonthPosition+1,GI$169&gt;SwaptionFirstMonthPosition+SwaptionNumOfMonths+1,$FN223&gt;SwaptionFirstMonthPosition+SwaptionNumOfMonths+1),"",IF($FN223=GI$169,1,IF($FN223&lt;GI$169,INDEX($FO$170:$IH$241,GI$169,$FN223),SUMPRODUCT(INDEX($FO$325:$IH$396,GI$169,1+SwaptionShift):INDEX($FO$325:$IH$396,GI$169,SwaptionMonthsToGo+SwaptionShift),INDEX($FO$245:$IH$316,$FN223-GI$169,73-GI$169+SwaptionShift):INDEX($FO$245:$IH$316,$FN223-GI$169,72-GI$169+SwaptionMonthsToGo+SwaptionShift))/SQRT(SUM(INDEX($FO378:$IH378,1+SwaptionShift):INDEX($FO378:$IH378,SwaptionMonthsToGo+SwaptionShift))*SUM(INDEX($FO$325:$IH$396,GI$169,1+SwaptionShift):INDEX($FO$325:$IH$396,GI$169,SwaptionMonthsToGo+SwaptionShift))))))</f>
        <v/>
      </c>
      <c r="GJ223" s="469" t="str">
        <f ca="1">IF(OR(GJ$169&lt;SwaptionFirstMonthPosition+1,$FN223&lt;SwaptionFirstMonthPosition+1,GJ$169&gt;SwaptionFirstMonthPosition+SwaptionNumOfMonths+1,$FN223&gt;SwaptionFirstMonthPosition+SwaptionNumOfMonths+1),"",IF($FN223=GJ$169,1,IF($FN223&lt;GJ$169,INDEX($FO$170:$IH$241,GJ$169,$FN223),SUMPRODUCT(INDEX($FO$325:$IH$396,GJ$169,1+SwaptionShift):INDEX($FO$325:$IH$396,GJ$169,SwaptionMonthsToGo+SwaptionShift),INDEX($FO$245:$IH$316,$FN223-GJ$169,73-GJ$169+SwaptionShift):INDEX($FO$245:$IH$316,$FN223-GJ$169,72-GJ$169+SwaptionMonthsToGo+SwaptionShift))/SQRT(SUM(INDEX($FO378:$IH378,1+SwaptionShift):INDEX($FO378:$IH378,SwaptionMonthsToGo+SwaptionShift))*SUM(INDEX($FO$325:$IH$396,GJ$169,1+SwaptionShift):INDEX($FO$325:$IH$396,GJ$169,SwaptionMonthsToGo+SwaptionShift))))))</f>
        <v/>
      </c>
      <c r="GK223" s="469" t="str">
        <f ca="1">IF(OR(GK$169&lt;SwaptionFirstMonthPosition+1,$FN223&lt;SwaptionFirstMonthPosition+1,GK$169&gt;SwaptionFirstMonthPosition+SwaptionNumOfMonths+1,$FN223&gt;SwaptionFirstMonthPosition+SwaptionNumOfMonths+1),"",IF($FN223=GK$169,1,IF($FN223&lt;GK$169,INDEX($FO$170:$IH$241,GK$169,$FN223),SUMPRODUCT(INDEX($FO$325:$IH$396,GK$169,1+SwaptionShift):INDEX($FO$325:$IH$396,GK$169,SwaptionMonthsToGo+SwaptionShift),INDEX($FO$245:$IH$316,$FN223-GK$169,73-GK$169+SwaptionShift):INDEX($FO$245:$IH$316,$FN223-GK$169,72-GK$169+SwaptionMonthsToGo+SwaptionShift))/SQRT(SUM(INDEX($FO378:$IH378,1+SwaptionShift):INDEX($FO378:$IH378,SwaptionMonthsToGo+SwaptionShift))*SUM(INDEX($FO$325:$IH$396,GK$169,1+SwaptionShift):INDEX($FO$325:$IH$396,GK$169,SwaptionMonthsToGo+SwaptionShift))))))</f>
        <v/>
      </c>
      <c r="GL223" s="469" t="str">
        <f ca="1">IF(OR(GL$169&lt;SwaptionFirstMonthPosition+1,$FN223&lt;SwaptionFirstMonthPosition+1,GL$169&gt;SwaptionFirstMonthPosition+SwaptionNumOfMonths+1,$FN223&gt;SwaptionFirstMonthPosition+SwaptionNumOfMonths+1),"",IF($FN223=GL$169,1,IF($FN223&lt;GL$169,INDEX($FO$170:$IH$241,GL$169,$FN223),SUMPRODUCT(INDEX($FO$325:$IH$396,GL$169,1+SwaptionShift):INDEX($FO$325:$IH$396,GL$169,SwaptionMonthsToGo+SwaptionShift),INDEX($FO$245:$IH$316,$FN223-GL$169,73-GL$169+SwaptionShift):INDEX($FO$245:$IH$316,$FN223-GL$169,72-GL$169+SwaptionMonthsToGo+SwaptionShift))/SQRT(SUM(INDEX($FO378:$IH378,1+SwaptionShift):INDEX($FO378:$IH378,SwaptionMonthsToGo+SwaptionShift))*SUM(INDEX($FO$325:$IH$396,GL$169,1+SwaptionShift):INDEX($FO$325:$IH$396,GL$169,SwaptionMonthsToGo+SwaptionShift))))))</f>
        <v/>
      </c>
      <c r="GM223" s="469" t="str">
        <f ca="1">IF(OR(GM$169&lt;SwaptionFirstMonthPosition+1,$FN223&lt;SwaptionFirstMonthPosition+1,GM$169&gt;SwaptionFirstMonthPosition+SwaptionNumOfMonths+1,$FN223&gt;SwaptionFirstMonthPosition+SwaptionNumOfMonths+1),"",IF($FN223=GM$169,1,IF($FN223&lt;GM$169,INDEX($FO$170:$IH$241,GM$169,$FN223),SUMPRODUCT(INDEX($FO$325:$IH$396,GM$169,1+SwaptionShift):INDEX($FO$325:$IH$396,GM$169,SwaptionMonthsToGo+SwaptionShift),INDEX($FO$245:$IH$316,$FN223-GM$169,73-GM$169+SwaptionShift):INDEX($FO$245:$IH$316,$FN223-GM$169,72-GM$169+SwaptionMonthsToGo+SwaptionShift))/SQRT(SUM(INDEX($FO378:$IH378,1+SwaptionShift):INDEX($FO378:$IH378,SwaptionMonthsToGo+SwaptionShift))*SUM(INDEX($FO$325:$IH$396,GM$169,1+SwaptionShift):INDEX($FO$325:$IH$396,GM$169,SwaptionMonthsToGo+SwaptionShift))))))</f>
        <v/>
      </c>
      <c r="GN223" s="469" t="str">
        <f ca="1">IF(OR(GN$169&lt;SwaptionFirstMonthPosition+1,$FN223&lt;SwaptionFirstMonthPosition+1,GN$169&gt;SwaptionFirstMonthPosition+SwaptionNumOfMonths+1,$FN223&gt;SwaptionFirstMonthPosition+SwaptionNumOfMonths+1),"",IF($FN223=GN$169,1,IF($FN223&lt;GN$169,INDEX($FO$170:$IH$241,GN$169,$FN223),SUMPRODUCT(INDEX($FO$325:$IH$396,GN$169,1+SwaptionShift):INDEX($FO$325:$IH$396,GN$169,SwaptionMonthsToGo+SwaptionShift),INDEX($FO$245:$IH$316,$FN223-GN$169,73-GN$169+SwaptionShift):INDEX($FO$245:$IH$316,$FN223-GN$169,72-GN$169+SwaptionMonthsToGo+SwaptionShift))/SQRT(SUM(INDEX($FO378:$IH378,1+SwaptionShift):INDEX($FO378:$IH378,SwaptionMonthsToGo+SwaptionShift))*SUM(INDEX($FO$325:$IH$396,GN$169,1+SwaptionShift):INDEX($FO$325:$IH$396,GN$169,SwaptionMonthsToGo+SwaptionShift))))))</f>
        <v/>
      </c>
      <c r="GO223" s="469" t="str">
        <f ca="1">IF(OR(GO$169&lt;SwaptionFirstMonthPosition+1,$FN223&lt;SwaptionFirstMonthPosition+1,GO$169&gt;SwaptionFirstMonthPosition+SwaptionNumOfMonths+1,$FN223&gt;SwaptionFirstMonthPosition+SwaptionNumOfMonths+1),"",IF($FN223=GO$169,1,IF($FN223&lt;GO$169,INDEX($FO$170:$IH$241,GO$169,$FN223),SUMPRODUCT(INDEX($FO$325:$IH$396,GO$169,1+SwaptionShift):INDEX($FO$325:$IH$396,GO$169,SwaptionMonthsToGo+SwaptionShift),INDEX($FO$245:$IH$316,$FN223-GO$169,73-GO$169+SwaptionShift):INDEX($FO$245:$IH$316,$FN223-GO$169,72-GO$169+SwaptionMonthsToGo+SwaptionShift))/SQRT(SUM(INDEX($FO378:$IH378,1+SwaptionShift):INDEX($FO378:$IH378,SwaptionMonthsToGo+SwaptionShift))*SUM(INDEX($FO$325:$IH$396,GO$169,1+SwaptionShift):INDEX($FO$325:$IH$396,GO$169,SwaptionMonthsToGo+SwaptionShift))))))</f>
        <v/>
      </c>
      <c r="GP223" s="469" t="str">
        <f ca="1">IF(OR(GP$169&lt;SwaptionFirstMonthPosition+1,$FN223&lt;SwaptionFirstMonthPosition+1,GP$169&gt;SwaptionFirstMonthPosition+SwaptionNumOfMonths+1,$FN223&gt;SwaptionFirstMonthPosition+SwaptionNumOfMonths+1),"",IF($FN223=GP$169,1,IF($FN223&lt;GP$169,INDEX($FO$170:$IH$241,GP$169,$FN223),SUMPRODUCT(INDEX($FO$325:$IH$396,GP$169,1+SwaptionShift):INDEX($FO$325:$IH$396,GP$169,SwaptionMonthsToGo+SwaptionShift),INDEX($FO$245:$IH$316,$FN223-GP$169,73-GP$169+SwaptionShift):INDEX($FO$245:$IH$316,$FN223-GP$169,72-GP$169+SwaptionMonthsToGo+SwaptionShift))/SQRT(SUM(INDEX($FO378:$IH378,1+SwaptionShift):INDEX($FO378:$IH378,SwaptionMonthsToGo+SwaptionShift))*SUM(INDEX($FO$325:$IH$396,GP$169,1+SwaptionShift):INDEX($FO$325:$IH$396,GP$169,SwaptionMonthsToGo+SwaptionShift))))))</f>
        <v/>
      </c>
      <c r="GQ223" s="469" t="str">
        <f ca="1">IF(OR(GQ$169&lt;SwaptionFirstMonthPosition+1,$FN223&lt;SwaptionFirstMonthPosition+1,GQ$169&gt;SwaptionFirstMonthPosition+SwaptionNumOfMonths+1,$FN223&gt;SwaptionFirstMonthPosition+SwaptionNumOfMonths+1),"",IF($FN223=GQ$169,1,IF($FN223&lt;GQ$169,INDEX($FO$170:$IH$241,GQ$169,$FN223),SUMPRODUCT(INDEX($FO$325:$IH$396,GQ$169,1+SwaptionShift):INDEX($FO$325:$IH$396,GQ$169,SwaptionMonthsToGo+SwaptionShift),INDEX($FO$245:$IH$316,$FN223-GQ$169,73-GQ$169+SwaptionShift):INDEX($FO$245:$IH$316,$FN223-GQ$169,72-GQ$169+SwaptionMonthsToGo+SwaptionShift))/SQRT(SUM(INDEX($FO378:$IH378,1+SwaptionShift):INDEX($FO378:$IH378,SwaptionMonthsToGo+SwaptionShift))*SUM(INDEX($FO$325:$IH$396,GQ$169,1+SwaptionShift):INDEX($FO$325:$IH$396,GQ$169,SwaptionMonthsToGo+SwaptionShift))))))</f>
        <v/>
      </c>
      <c r="GR223" s="469" t="str">
        <f ca="1">IF(OR(GR$169&lt;SwaptionFirstMonthPosition+1,$FN223&lt;SwaptionFirstMonthPosition+1,GR$169&gt;SwaptionFirstMonthPosition+SwaptionNumOfMonths+1,$FN223&gt;SwaptionFirstMonthPosition+SwaptionNumOfMonths+1),"",IF($FN223=GR$169,1,IF($FN223&lt;GR$169,INDEX($FO$170:$IH$241,GR$169,$FN223),SUMPRODUCT(INDEX($FO$325:$IH$396,GR$169,1+SwaptionShift):INDEX($FO$325:$IH$396,GR$169,SwaptionMonthsToGo+SwaptionShift),INDEX($FO$245:$IH$316,$FN223-GR$169,73-GR$169+SwaptionShift):INDEX($FO$245:$IH$316,$FN223-GR$169,72-GR$169+SwaptionMonthsToGo+SwaptionShift))/SQRT(SUM(INDEX($FO378:$IH378,1+SwaptionShift):INDEX($FO378:$IH378,SwaptionMonthsToGo+SwaptionShift))*SUM(INDEX($FO$325:$IH$396,GR$169,1+SwaptionShift):INDEX($FO$325:$IH$396,GR$169,SwaptionMonthsToGo+SwaptionShift))))))</f>
        <v/>
      </c>
      <c r="GS223" s="469" t="str">
        <f ca="1">IF(OR(GS$169&lt;SwaptionFirstMonthPosition+1,$FN223&lt;SwaptionFirstMonthPosition+1,GS$169&gt;SwaptionFirstMonthPosition+SwaptionNumOfMonths+1,$FN223&gt;SwaptionFirstMonthPosition+SwaptionNumOfMonths+1),"",IF($FN223=GS$169,1,IF($FN223&lt;GS$169,INDEX($FO$170:$IH$241,GS$169,$FN223),SUMPRODUCT(INDEX($FO$325:$IH$396,GS$169,1+SwaptionShift):INDEX($FO$325:$IH$396,GS$169,SwaptionMonthsToGo+SwaptionShift),INDEX($FO$245:$IH$316,$FN223-GS$169,73-GS$169+SwaptionShift):INDEX($FO$245:$IH$316,$FN223-GS$169,72-GS$169+SwaptionMonthsToGo+SwaptionShift))/SQRT(SUM(INDEX($FO378:$IH378,1+SwaptionShift):INDEX($FO378:$IH378,SwaptionMonthsToGo+SwaptionShift))*SUM(INDEX($FO$325:$IH$396,GS$169,1+SwaptionShift):INDEX($FO$325:$IH$396,GS$169,SwaptionMonthsToGo+SwaptionShift))))))</f>
        <v/>
      </c>
      <c r="GT223" s="469" t="str">
        <f ca="1">IF(OR(GT$169&lt;SwaptionFirstMonthPosition+1,$FN223&lt;SwaptionFirstMonthPosition+1,GT$169&gt;SwaptionFirstMonthPosition+SwaptionNumOfMonths+1,$FN223&gt;SwaptionFirstMonthPosition+SwaptionNumOfMonths+1),"",IF($FN223=GT$169,1,IF($FN223&lt;GT$169,INDEX($FO$170:$IH$241,GT$169,$FN223),SUMPRODUCT(INDEX($FO$325:$IH$396,GT$169,1+SwaptionShift):INDEX($FO$325:$IH$396,GT$169,SwaptionMonthsToGo+SwaptionShift),INDEX($FO$245:$IH$316,$FN223-GT$169,73-GT$169+SwaptionShift):INDEX($FO$245:$IH$316,$FN223-GT$169,72-GT$169+SwaptionMonthsToGo+SwaptionShift))/SQRT(SUM(INDEX($FO378:$IH378,1+SwaptionShift):INDEX($FO378:$IH378,SwaptionMonthsToGo+SwaptionShift))*SUM(INDEX($FO$325:$IH$396,GT$169,1+SwaptionShift):INDEX($FO$325:$IH$396,GT$169,SwaptionMonthsToGo+SwaptionShift))))))</f>
        <v/>
      </c>
      <c r="GU223" s="469" t="str">
        <f ca="1">IF(OR(GU$169&lt;SwaptionFirstMonthPosition+1,$FN223&lt;SwaptionFirstMonthPosition+1,GU$169&gt;SwaptionFirstMonthPosition+SwaptionNumOfMonths+1,$FN223&gt;SwaptionFirstMonthPosition+SwaptionNumOfMonths+1),"",IF($FN223=GU$169,1,IF($FN223&lt;GU$169,INDEX($FO$170:$IH$241,GU$169,$FN223),SUMPRODUCT(INDEX($FO$325:$IH$396,GU$169,1+SwaptionShift):INDEX($FO$325:$IH$396,GU$169,SwaptionMonthsToGo+SwaptionShift),INDEX($FO$245:$IH$316,$FN223-GU$169,73-GU$169+SwaptionShift):INDEX($FO$245:$IH$316,$FN223-GU$169,72-GU$169+SwaptionMonthsToGo+SwaptionShift))/SQRT(SUM(INDEX($FO378:$IH378,1+SwaptionShift):INDEX($FO378:$IH378,SwaptionMonthsToGo+SwaptionShift))*SUM(INDEX($FO$325:$IH$396,GU$169,1+SwaptionShift):INDEX($FO$325:$IH$396,GU$169,SwaptionMonthsToGo+SwaptionShift))))))</f>
        <v/>
      </c>
      <c r="GV223" s="469" t="str">
        <f ca="1">IF(OR(GV$169&lt;SwaptionFirstMonthPosition+1,$FN223&lt;SwaptionFirstMonthPosition+1,GV$169&gt;SwaptionFirstMonthPosition+SwaptionNumOfMonths+1,$FN223&gt;SwaptionFirstMonthPosition+SwaptionNumOfMonths+1),"",IF($FN223=GV$169,1,IF($FN223&lt;GV$169,INDEX($FO$170:$IH$241,GV$169,$FN223),SUMPRODUCT(INDEX($FO$325:$IH$396,GV$169,1+SwaptionShift):INDEX($FO$325:$IH$396,GV$169,SwaptionMonthsToGo+SwaptionShift),INDEX($FO$245:$IH$316,$FN223-GV$169,73-GV$169+SwaptionShift):INDEX($FO$245:$IH$316,$FN223-GV$169,72-GV$169+SwaptionMonthsToGo+SwaptionShift))/SQRT(SUM(INDEX($FO378:$IH378,1+SwaptionShift):INDEX($FO378:$IH378,SwaptionMonthsToGo+SwaptionShift))*SUM(INDEX($FO$325:$IH$396,GV$169,1+SwaptionShift):INDEX($FO$325:$IH$396,GV$169,SwaptionMonthsToGo+SwaptionShift))))))</f>
        <v/>
      </c>
      <c r="GW223" s="469" t="str">
        <f ca="1">IF(OR(GW$169&lt;SwaptionFirstMonthPosition+1,$FN223&lt;SwaptionFirstMonthPosition+1,GW$169&gt;SwaptionFirstMonthPosition+SwaptionNumOfMonths+1,$FN223&gt;SwaptionFirstMonthPosition+SwaptionNumOfMonths+1),"",IF($FN223=GW$169,1,IF($FN223&lt;GW$169,INDEX($FO$170:$IH$241,GW$169,$FN223),SUMPRODUCT(INDEX($FO$325:$IH$396,GW$169,1+SwaptionShift):INDEX($FO$325:$IH$396,GW$169,SwaptionMonthsToGo+SwaptionShift),INDEX($FO$245:$IH$316,$FN223-GW$169,73-GW$169+SwaptionShift):INDEX($FO$245:$IH$316,$FN223-GW$169,72-GW$169+SwaptionMonthsToGo+SwaptionShift))/SQRT(SUM(INDEX($FO378:$IH378,1+SwaptionShift):INDEX($FO378:$IH378,SwaptionMonthsToGo+SwaptionShift))*SUM(INDEX($FO$325:$IH$396,GW$169,1+SwaptionShift):INDEX($FO$325:$IH$396,GW$169,SwaptionMonthsToGo+SwaptionShift))))))</f>
        <v/>
      </c>
      <c r="GX223" s="469" t="str">
        <f ca="1">IF(OR(GX$169&lt;SwaptionFirstMonthPosition+1,$FN223&lt;SwaptionFirstMonthPosition+1,GX$169&gt;SwaptionFirstMonthPosition+SwaptionNumOfMonths+1,$FN223&gt;SwaptionFirstMonthPosition+SwaptionNumOfMonths+1),"",IF($FN223=GX$169,1,IF($FN223&lt;GX$169,INDEX($FO$170:$IH$241,GX$169,$FN223),SUMPRODUCT(INDEX($FO$325:$IH$396,GX$169,1+SwaptionShift):INDEX($FO$325:$IH$396,GX$169,SwaptionMonthsToGo+SwaptionShift),INDEX($FO$245:$IH$316,$FN223-GX$169,73-GX$169+SwaptionShift):INDEX($FO$245:$IH$316,$FN223-GX$169,72-GX$169+SwaptionMonthsToGo+SwaptionShift))/SQRT(SUM(INDEX($FO378:$IH378,1+SwaptionShift):INDEX($FO378:$IH378,SwaptionMonthsToGo+SwaptionShift))*SUM(INDEX($FO$325:$IH$396,GX$169,1+SwaptionShift):INDEX($FO$325:$IH$396,GX$169,SwaptionMonthsToGo+SwaptionShift))))))</f>
        <v/>
      </c>
      <c r="GY223" s="469" t="str">
        <f ca="1">IF(OR(GY$169&lt;SwaptionFirstMonthPosition+1,$FN223&lt;SwaptionFirstMonthPosition+1,GY$169&gt;SwaptionFirstMonthPosition+SwaptionNumOfMonths+1,$FN223&gt;SwaptionFirstMonthPosition+SwaptionNumOfMonths+1),"",IF($FN223=GY$169,1,IF($FN223&lt;GY$169,INDEX($FO$170:$IH$241,GY$169,$FN223),SUMPRODUCT(INDEX($FO$325:$IH$396,GY$169,1+SwaptionShift):INDEX($FO$325:$IH$396,GY$169,SwaptionMonthsToGo+SwaptionShift),INDEX($FO$245:$IH$316,$FN223-GY$169,73-GY$169+SwaptionShift):INDEX($FO$245:$IH$316,$FN223-GY$169,72-GY$169+SwaptionMonthsToGo+SwaptionShift))/SQRT(SUM(INDEX($FO378:$IH378,1+SwaptionShift):INDEX($FO378:$IH378,SwaptionMonthsToGo+SwaptionShift))*SUM(INDEX($FO$325:$IH$396,GY$169,1+SwaptionShift):INDEX($FO$325:$IH$396,GY$169,SwaptionMonthsToGo+SwaptionShift))))))</f>
        <v/>
      </c>
      <c r="GZ223" s="469" t="str">
        <f ca="1">IF(OR(GZ$169&lt;SwaptionFirstMonthPosition+1,$FN223&lt;SwaptionFirstMonthPosition+1,GZ$169&gt;SwaptionFirstMonthPosition+SwaptionNumOfMonths+1,$FN223&gt;SwaptionFirstMonthPosition+SwaptionNumOfMonths+1),"",IF($FN223=GZ$169,1,IF($FN223&lt;GZ$169,INDEX($FO$170:$IH$241,GZ$169,$FN223),SUMPRODUCT(INDEX($FO$325:$IH$396,GZ$169,1+SwaptionShift):INDEX($FO$325:$IH$396,GZ$169,SwaptionMonthsToGo+SwaptionShift),INDEX($FO$245:$IH$316,$FN223-GZ$169,73-GZ$169+SwaptionShift):INDEX($FO$245:$IH$316,$FN223-GZ$169,72-GZ$169+SwaptionMonthsToGo+SwaptionShift))/SQRT(SUM(INDEX($FO378:$IH378,1+SwaptionShift):INDEX($FO378:$IH378,SwaptionMonthsToGo+SwaptionShift))*SUM(INDEX($FO$325:$IH$396,GZ$169,1+SwaptionShift):INDEX($FO$325:$IH$396,GZ$169,SwaptionMonthsToGo+SwaptionShift))))))</f>
        <v/>
      </c>
      <c r="HA223" s="469" t="str">
        <f ca="1">IF(OR(HA$169&lt;SwaptionFirstMonthPosition+1,$FN223&lt;SwaptionFirstMonthPosition+1,HA$169&gt;SwaptionFirstMonthPosition+SwaptionNumOfMonths+1,$FN223&gt;SwaptionFirstMonthPosition+SwaptionNumOfMonths+1),"",IF($FN223=HA$169,1,IF($FN223&lt;HA$169,INDEX($FO$170:$IH$241,HA$169,$FN223),SUMPRODUCT(INDEX($FO$325:$IH$396,HA$169,1+SwaptionShift):INDEX($FO$325:$IH$396,HA$169,SwaptionMonthsToGo+SwaptionShift),INDEX($FO$245:$IH$316,$FN223-HA$169,73-HA$169+SwaptionShift):INDEX($FO$245:$IH$316,$FN223-HA$169,72-HA$169+SwaptionMonthsToGo+SwaptionShift))/SQRT(SUM(INDEX($FO378:$IH378,1+SwaptionShift):INDEX($FO378:$IH378,SwaptionMonthsToGo+SwaptionShift))*SUM(INDEX($FO$325:$IH$396,HA$169,1+SwaptionShift):INDEX($FO$325:$IH$396,HA$169,SwaptionMonthsToGo+SwaptionShift))))))</f>
        <v/>
      </c>
      <c r="HB223" s="469" t="str">
        <f ca="1">IF(OR(HB$169&lt;SwaptionFirstMonthPosition+1,$FN223&lt;SwaptionFirstMonthPosition+1,HB$169&gt;SwaptionFirstMonthPosition+SwaptionNumOfMonths+1,$FN223&gt;SwaptionFirstMonthPosition+SwaptionNumOfMonths+1),"",IF($FN223=HB$169,1,IF($FN223&lt;HB$169,INDEX($FO$170:$IH$241,HB$169,$FN223),SUMPRODUCT(INDEX($FO$325:$IH$396,HB$169,1+SwaptionShift):INDEX($FO$325:$IH$396,HB$169,SwaptionMonthsToGo+SwaptionShift),INDEX($FO$245:$IH$316,$FN223-HB$169,73-HB$169+SwaptionShift):INDEX($FO$245:$IH$316,$FN223-HB$169,72-HB$169+SwaptionMonthsToGo+SwaptionShift))/SQRT(SUM(INDEX($FO378:$IH378,1+SwaptionShift):INDEX($FO378:$IH378,SwaptionMonthsToGo+SwaptionShift))*SUM(INDEX($FO$325:$IH$396,HB$169,1+SwaptionShift):INDEX($FO$325:$IH$396,HB$169,SwaptionMonthsToGo+SwaptionShift))))))</f>
        <v/>
      </c>
      <c r="HC223" s="469" t="str">
        <f ca="1">IF(OR(HC$169&lt;SwaptionFirstMonthPosition+1,$FN223&lt;SwaptionFirstMonthPosition+1,HC$169&gt;SwaptionFirstMonthPosition+SwaptionNumOfMonths+1,$FN223&gt;SwaptionFirstMonthPosition+SwaptionNumOfMonths+1),"",IF($FN223=HC$169,1,IF($FN223&lt;HC$169,INDEX($FO$170:$IH$241,HC$169,$FN223),SUMPRODUCT(INDEX($FO$325:$IH$396,HC$169,1+SwaptionShift):INDEX($FO$325:$IH$396,HC$169,SwaptionMonthsToGo+SwaptionShift),INDEX($FO$245:$IH$316,$FN223-HC$169,73-HC$169+SwaptionShift):INDEX($FO$245:$IH$316,$FN223-HC$169,72-HC$169+SwaptionMonthsToGo+SwaptionShift))/SQRT(SUM(INDEX($FO378:$IH378,1+SwaptionShift):INDEX($FO378:$IH378,SwaptionMonthsToGo+SwaptionShift))*SUM(INDEX($FO$325:$IH$396,HC$169,1+SwaptionShift):INDEX($FO$325:$IH$396,HC$169,SwaptionMonthsToGo+SwaptionShift))))))</f>
        <v/>
      </c>
      <c r="HD223" s="469" t="str">
        <f ca="1">IF(OR(HD$169&lt;SwaptionFirstMonthPosition+1,$FN223&lt;SwaptionFirstMonthPosition+1,HD$169&gt;SwaptionFirstMonthPosition+SwaptionNumOfMonths+1,$FN223&gt;SwaptionFirstMonthPosition+SwaptionNumOfMonths+1),"",IF($FN223=HD$169,1,IF($FN223&lt;HD$169,INDEX($FO$170:$IH$241,HD$169,$FN223),SUMPRODUCT(INDEX($FO$325:$IH$396,HD$169,1+SwaptionShift):INDEX($FO$325:$IH$396,HD$169,SwaptionMonthsToGo+SwaptionShift),INDEX($FO$245:$IH$316,$FN223-HD$169,73-HD$169+SwaptionShift):INDEX($FO$245:$IH$316,$FN223-HD$169,72-HD$169+SwaptionMonthsToGo+SwaptionShift))/SQRT(SUM(INDEX($FO378:$IH378,1+SwaptionShift):INDEX($FO378:$IH378,SwaptionMonthsToGo+SwaptionShift))*SUM(INDEX($FO$325:$IH$396,HD$169,1+SwaptionShift):INDEX($FO$325:$IH$396,HD$169,SwaptionMonthsToGo+SwaptionShift))))))</f>
        <v/>
      </c>
      <c r="HE223" s="469" t="str">
        <f ca="1">IF(OR(HE$169&lt;SwaptionFirstMonthPosition+1,$FN223&lt;SwaptionFirstMonthPosition+1,HE$169&gt;SwaptionFirstMonthPosition+SwaptionNumOfMonths+1,$FN223&gt;SwaptionFirstMonthPosition+SwaptionNumOfMonths+1),"",IF($FN223=HE$169,1,IF($FN223&lt;HE$169,INDEX($FO$170:$IH$241,HE$169,$FN223),SUMPRODUCT(INDEX($FO$325:$IH$396,HE$169,1+SwaptionShift):INDEX($FO$325:$IH$396,HE$169,SwaptionMonthsToGo+SwaptionShift),INDEX($FO$245:$IH$316,$FN223-HE$169,73-HE$169+SwaptionShift):INDEX($FO$245:$IH$316,$FN223-HE$169,72-HE$169+SwaptionMonthsToGo+SwaptionShift))/SQRT(SUM(INDEX($FO378:$IH378,1+SwaptionShift):INDEX($FO378:$IH378,SwaptionMonthsToGo+SwaptionShift))*SUM(INDEX($FO$325:$IH$396,HE$169,1+SwaptionShift):INDEX($FO$325:$IH$396,HE$169,SwaptionMonthsToGo+SwaptionShift))))))</f>
        <v/>
      </c>
      <c r="HF223" s="469" t="str">
        <f ca="1">IF(OR(HF$169&lt;SwaptionFirstMonthPosition+1,$FN223&lt;SwaptionFirstMonthPosition+1,HF$169&gt;SwaptionFirstMonthPosition+SwaptionNumOfMonths+1,$FN223&gt;SwaptionFirstMonthPosition+SwaptionNumOfMonths+1),"",IF($FN223=HF$169,1,IF($FN223&lt;HF$169,INDEX($FO$170:$IH$241,HF$169,$FN223),SUMPRODUCT(INDEX($FO$325:$IH$396,HF$169,1+SwaptionShift):INDEX($FO$325:$IH$396,HF$169,SwaptionMonthsToGo+SwaptionShift),INDEX($FO$245:$IH$316,$FN223-HF$169,73-HF$169+SwaptionShift):INDEX($FO$245:$IH$316,$FN223-HF$169,72-HF$169+SwaptionMonthsToGo+SwaptionShift))/SQRT(SUM(INDEX($FO378:$IH378,1+SwaptionShift):INDEX($FO378:$IH378,SwaptionMonthsToGo+SwaptionShift))*SUM(INDEX($FO$325:$IH$396,HF$169,1+SwaptionShift):INDEX($FO$325:$IH$396,HF$169,SwaptionMonthsToGo+SwaptionShift))))))</f>
        <v/>
      </c>
      <c r="HG223" s="469" t="str">
        <f ca="1">IF(OR(HG$169&lt;SwaptionFirstMonthPosition+1,$FN223&lt;SwaptionFirstMonthPosition+1,HG$169&gt;SwaptionFirstMonthPosition+SwaptionNumOfMonths+1,$FN223&gt;SwaptionFirstMonthPosition+SwaptionNumOfMonths+1),"",IF($FN223=HG$169,1,IF($FN223&lt;HG$169,INDEX($FO$170:$IH$241,HG$169,$FN223),SUMPRODUCT(INDEX($FO$325:$IH$396,HG$169,1+SwaptionShift):INDEX($FO$325:$IH$396,HG$169,SwaptionMonthsToGo+SwaptionShift),INDEX($FO$245:$IH$316,$FN223-HG$169,73-HG$169+SwaptionShift):INDEX($FO$245:$IH$316,$FN223-HG$169,72-HG$169+SwaptionMonthsToGo+SwaptionShift))/SQRT(SUM(INDEX($FO378:$IH378,1+SwaptionShift):INDEX($FO378:$IH378,SwaptionMonthsToGo+SwaptionShift))*SUM(INDEX($FO$325:$IH$396,HG$169,1+SwaptionShift):INDEX($FO$325:$IH$396,HG$169,SwaptionMonthsToGo+SwaptionShift))))))</f>
        <v/>
      </c>
      <c r="HH223" s="469" t="str">
        <f ca="1">IF(OR(HH$169&lt;SwaptionFirstMonthPosition+1,$FN223&lt;SwaptionFirstMonthPosition+1,HH$169&gt;SwaptionFirstMonthPosition+SwaptionNumOfMonths+1,$FN223&gt;SwaptionFirstMonthPosition+SwaptionNumOfMonths+1),"",IF($FN223=HH$169,1,IF($FN223&lt;HH$169,INDEX($FO$170:$IH$241,HH$169,$FN223),SUMPRODUCT(INDEX($FO$325:$IH$396,HH$169,1+SwaptionShift):INDEX($FO$325:$IH$396,HH$169,SwaptionMonthsToGo+SwaptionShift),INDEX($FO$245:$IH$316,$FN223-HH$169,73-HH$169+SwaptionShift):INDEX($FO$245:$IH$316,$FN223-HH$169,72-HH$169+SwaptionMonthsToGo+SwaptionShift))/SQRT(SUM(INDEX($FO378:$IH378,1+SwaptionShift):INDEX($FO378:$IH378,SwaptionMonthsToGo+SwaptionShift))*SUM(INDEX($FO$325:$IH$396,HH$169,1+SwaptionShift):INDEX($FO$325:$IH$396,HH$169,SwaptionMonthsToGo+SwaptionShift))))))</f>
        <v/>
      </c>
      <c r="HI223" s="469" t="str">
        <f ca="1">IF(OR(HI$169&lt;SwaptionFirstMonthPosition+1,$FN223&lt;SwaptionFirstMonthPosition+1,HI$169&gt;SwaptionFirstMonthPosition+SwaptionNumOfMonths+1,$FN223&gt;SwaptionFirstMonthPosition+SwaptionNumOfMonths+1),"",IF($FN223=HI$169,1,IF($FN223&lt;HI$169,INDEX($FO$170:$IH$241,HI$169,$FN223),SUMPRODUCT(INDEX($FO$325:$IH$396,HI$169,1+SwaptionShift):INDEX($FO$325:$IH$396,HI$169,SwaptionMonthsToGo+SwaptionShift),INDEX($FO$245:$IH$316,$FN223-HI$169,73-HI$169+SwaptionShift):INDEX($FO$245:$IH$316,$FN223-HI$169,72-HI$169+SwaptionMonthsToGo+SwaptionShift))/SQRT(SUM(INDEX($FO378:$IH378,1+SwaptionShift):INDEX($FO378:$IH378,SwaptionMonthsToGo+SwaptionShift))*SUM(INDEX($FO$325:$IH$396,HI$169,1+SwaptionShift):INDEX($FO$325:$IH$396,HI$169,SwaptionMonthsToGo+SwaptionShift))))))</f>
        <v/>
      </c>
      <c r="HJ223" s="469" t="str">
        <f ca="1">IF(OR(HJ$169&lt;SwaptionFirstMonthPosition+1,$FN223&lt;SwaptionFirstMonthPosition+1,HJ$169&gt;SwaptionFirstMonthPosition+SwaptionNumOfMonths+1,$FN223&gt;SwaptionFirstMonthPosition+SwaptionNumOfMonths+1),"",IF($FN223=HJ$169,1,IF($FN223&lt;HJ$169,INDEX($FO$170:$IH$241,HJ$169,$FN223),SUMPRODUCT(INDEX($FO$325:$IH$396,HJ$169,1+SwaptionShift):INDEX($FO$325:$IH$396,HJ$169,SwaptionMonthsToGo+SwaptionShift),INDEX($FO$245:$IH$316,$FN223-HJ$169,73-HJ$169+SwaptionShift):INDEX($FO$245:$IH$316,$FN223-HJ$169,72-HJ$169+SwaptionMonthsToGo+SwaptionShift))/SQRT(SUM(INDEX($FO378:$IH378,1+SwaptionShift):INDEX($FO378:$IH378,SwaptionMonthsToGo+SwaptionShift))*SUM(INDEX($FO$325:$IH$396,HJ$169,1+SwaptionShift):INDEX($FO$325:$IH$396,HJ$169,SwaptionMonthsToGo+SwaptionShift))))))</f>
        <v/>
      </c>
      <c r="HK223" s="469" t="str">
        <f ca="1">IF(OR(HK$169&lt;SwaptionFirstMonthPosition+1,$FN223&lt;SwaptionFirstMonthPosition+1,HK$169&gt;SwaptionFirstMonthPosition+SwaptionNumOfMonths+1,$FN223&gt;SwaptionFirstMonthPosition+SwaptionNumOfMonths+1),"",IF($FN223=HK$169,1,IF($FN223&lt;HK$169,INDEX($FO$170:$IH$241,HK$169,$FN223),SUMPRODUCT(INDEX($FO$325:$IH$396,HK$169,1+SwaptionShift):INDEX($FO$325:$IH$396,HK$169,SwaptionMonthsToGo+SwaptionShift),INDEX($FO$245:$IH$316,$FN223-HK$169,73-HK$169+SwaptionShift):INDEX($FO$245:$IH$316,$FN223-HK$169,72-HK$169+SwaptionMonthsToGo+SwaptionShift))/SQRT(SUM(INDEX($FO378:$IH378,1+SwaptionShift):INDEX($FO378:$IH378,SwaptionMonthsToGo+SwaptionShift))*SUM(INDEX($FO$325:$IH$396,HK$169,1+SwaptionShift):INDEX($FO$325:$IH$396,HK$169,SwaptionMonthsToGo+SwaptionShift))))))</f>
        <v/>
      </c>
      <c r="HL223" s="469" t="str">
        <f ca="1">IF(OR(HL$169&lt;SwaptionFirstMonthPosition+1,$FN223&lt;SwaptionFirstMonthPosition+1,HL$169&gt;SwaptionFirstMonthPosition+SwaptionNumOfMonths+1,$FN223&gt;SwaptionFirstMonthPosition+SwaptionNumOfMonths+1),"",IF($FN223=HL$169,1,IF($FN223&lt;HL$169,INDEX($FO$170:$IH$241,HL$169,$FN223),SUMPRODUCT(INDEX($FO$325:$IH$396,HL$169,1+SwaptionShift):INDEX($FO$325:$IH$396,HL$169,SwaptionMonthsToGo+SwaptionShift),INDEX($FO$245:$IH$316,$FN223-HL$169,73-HL$169+SwaptionShift):INDEX($FO$245:$IH$316,$FN223-HL$169,72-HL$169+SwaptionMonthsToGo+SwaptionShift))/SQRT(SUM(INDEX($FO378:$IH378,1+SwaptionShift):INDEX($FO378:$IH378,SwaptionMonthsToGo+SwaptionShift))*SUM(INDEX($FO$325:$IH$396,HL$169,1+SwaptionShift):INDEX($FO$325:$IH$396,HL$169,SwaptionMonthsToGo+SwaptionShift))))))</f>
        <v/>
      </c>
      <c r="HM223" s="469" t="str">
        <f ca="1">IF(OR(HM$169&lt;SwaptionFirstMonthPosition+1,$FN223&lt;SwaptionFirstMonthPosition+1,HM$169&gt;SwaptionFirstMonthPosition+SwaptionNumOfMonths+1,$FN223&gt;SwaptionFirstMonthPosition+SwaptionNumOfMonths+1),"",IF($FN223=HM$169,1,IF($FN223&lt;HM$169,INDEX($FO$170:$IH$241,HM$169,$FN223),SUMPRODUCT(INDEX($FO$325:$IH$396,HM$169,1+SwaptionShift):INDEX($FO$325:$IH$396,HM$169,SwaptionMonthsToGo+SwaptionShift),INDEX($FO$245:$IH$316,$FN223-HM$169,73-HM$169+SwaptionShift):INDEX($FO$245:$IH$316,$FN223-HM$169,72-HM$169+SwaptionMonthsToGo+SwaptionShift))/SQRT(SUM(INDEX($FO378:$IH378,1+SwaptionShift):INDEX($FO378:$IH378,SwaptionMonthsToGo+SwaptionShift))*SUM(INDEX($FO$325:$IH$396,HM$169,1+SwaptionShift):INDEX($FO$325:$IH$396,HM$169,SwaptionMonthsToGo+SwaptionShift))))))</f>
        <v/>
      </c>
      <c r="HN223" s="469" t="str">
        <f ca="1">IF(OR(HN$169&lt;SwaptionFirstMonthPosition+1,$FN223&lt;SwaptionFirstMonthPosition+1,HN$169&gt;SwaptionFirstMonthPosition+SwaptionNumOfMonths+1,$FN223&gt;SwaptionFirstMonthPosition+SwaptionNumOfMonths+1),"",IF($FN223=HN$169,1,IF($FN223&lt;HN$169,INDEX($FO$170:$IH$241,HN$169,$FN223),SUMPRODUCT(INDEX($FO$325:$IH$396,HN$169,1+SwaptionShift):INDEX($FO$325:$IH$396,HN$169,SwaptionMonthsToGo+SwaptionShift),INDEX($FO$245:$IH$316,$FN223-HN$169,73-HN$169+SwaptionShift):INDEX($FO$245:$IH$316,$FN223-HN$169,72-HN$169+SwaptionMonthsToGo+SwaptionShift))/SQRT(SUM(INDEX($FO378:$IH378,1+SwaptionShift):INDEX($FO378:$IH378,SwaptionMonthsToGo+SwaptionShift))*SUM(INDEX($FO$325:$IH$396,HN$169,1+SwaptionShift):INDEX($FO$325:$IH$396,HN$169,SwaptionMonthsToGo+SwaptionShift))))))</f>
        <v/>
      </c>
      <c r="HO223" s="469" t="str">
        <f ca="1">IF(OR(HO$169&lt;SwaptionFirstMonthPosition+1,$FN223&lt;SwaptionFirstMonthPosition+1,HO$169&gt;SwaptionFirstMonthPosition+SwaptionNumOfMonths+1,$FN223&gt;SwaptionFirstMonthPosition+SwaptionNumOfMonths+1),"",IF($FN223=HO$169,1,IF($FN223&lt;HO$169,INDEX($FO$170:$IH$241,HO$169,$FN223),SUMPRODUCT(INDEX($FO$325:$IH$396,HO$169,1+SwaptionShift):INDEX($FO$325:$IH$396,HO$169,SwaptionMonthsToGo+SwaptionShift),INDEX($FO$245:$IH$316,$FN223-HO$169,73-HO$169+SwaptionShift):INDEX($FO$245:$IH$316,$FN223-HO$169,72-HO$169+SwaptionMonthsToGo+SwaptionShift))/SQRT(SUM(INDEX($FO378:$IH378,1+SwaptionShift):INDEX($FO378:$IH378,SwaptionMonthsToGo+SwaptionShift))*SUM(INDEX($FO$325:$IH$396,HO$169,1+SwaptionShift):INDEX($FO$325:$IH$396,HO$169,SwaptionMonthsToGo+SwaptionShift))))))</f>
        <v/>
      </c>
      <c r="HP223" s="469" t="str">
        <f ca="1">IF(OR(HP$169&lt;SwaptionFirstMonthPosition+1,$FN223&lt;SwaptionFirstMonthPosition+1,HP$169&gt;SwaptionFirstMonthPosition+SwaptionNumOfMonths+1,$FN223&gt;SwaptionFirstMonthPosition+SwaptionNumOfMonths+1),"",IF($FN223=HP$169,1,IF($FN223&lt;HP$169,INDEX($FO$170:$IH$241,HP$169,$FN223),SUMPRODUCT(INDEX($FO$325:$IH$396,HP$169,1+SwaptionShift):INDEX($FO$325:$IH$396,HP$169,SwaptionMonthsToGo+SwaptionShift),INDEX($FO$245:$IH$316,$FN223-HP$169,73-HP$169+SwaptionShift):INDEX($FO$245:$IH$316,$FN223-HP$169,72-HP$169+SwaptionMonthsToGo+SwaptionShift))/SQRT(SUM(INDEX($FO378:$IH378,1+SwaptionShift):INDEX($FO378:$IH378,SwaptionMonthsToGo+SwaptionShift))*SUM(INDEX($FO$325:$IH$396,HP$169,1+SwaptionShift):INDEX($FO$325:$IH$396,HP$169,SwaptionMonthsToGo+SwaptionShift))))))</f>
        <v/>
      </c>
      <c r="HQ223" s="469" t="str">
        <f ca="1">IF(OR(HQ$169&lt;SwaptionFirstMonthPosition+1,$FN223&lt;SwaptionFirstMonthPosition+1,HQ$169&gt;SwaptionFirstMonthPosition+SwaptionNumOfMonths+1,$FN223&gt;SwaptionFirstMonthPosition+SwaptionNumOfMonths+1),"",IF($FN223=HQ$169,1,IF($FN223&lt;HQ$169,INDEX($FO$170:$IH$241,HQ$169,$FN223),SUMPRODUCT(INDEX($FO$325:$IH$396,HQ$169,1+SwaptionShift):INDEX($FO$325:$IH$396,HQ$169,SwaptionMonthsToGo+SwaptionShift),INDEX($FO$245:$IH$316,$FN223-HQ$169,73-HQ$169+SwaptionShift):INDEX($FO$245:$IH$316,$FN223-HQ$169,72-HQ$169+SwaptionMonthsToGo+SwaptionShift))/SQRT(SUM(INDEX($FO378:$IH378,1+SwaptionShift):INDEX($FO378:$IH378,SwaptionMonthsToGo+SwaptionShift))*SUM(INDEX($FO$325:$IH$396,HQ$169,1+SwaptionShift):INDEX($FO$325:$IH$396,HQ$169,SwaptionMonthsToGo+SwaptionShift))))))</f>
        <v/>
      </c>
      <c r="HR223" s="469" t="str">
        <f ca="1">IF(OR(HR$169&lt;SwaptionFirstMonthPosition+1,$FN223&lt;SwaptionFirstMonthPosition+1,HR$169&gt;SwaptionFirstMonthPosition+SwaptionNumOfMonths+1,$FN223&gt;SwaptionFirstMonthPosition+SwaptionNumOfMonths+1),"",IF($FN223=HR$169,1,IF($FN223&lt;HR$169,INDEX($FO$170:$IH$241,HR$169,$FN223),SUMPRODUCT(INDEX($FO$325:$IH$396,HR$169,1+SwaptionShift):INDEX($FO$325:$IH$396,HR$169,SwaptionMonthsToGo+SwaptionShift),INDEX($FO$245:$IH$316,$FN223-HR$169,73-HR$169+SwaptionShift):INDEX($FO$245:$IH$316,$FN223-HR$169,72-HR$169+SwaptionMonthsToGo+SwaptionShift))/SQRT(SUM(INDEX($FO378:$IH378,1+SwaptionShift):INDEX($FO378:$IH378,SwaptionMonthsToGo+SwaptionShift))*SUM(INDEX($FO$325:$IH$396,HR$169,1+SwaptionShift):INDEX($FO$325:$IH$396,HR$169,SwaptionMonthsToGo+SwaptionShift))))))</f>
        <v/>
      </c>
      <c r="HS223" s="469" t="str">
        <f ca="1">IF(OR(HS$169&lt;SwaptionFirstMonthPosition+1,$FN223&lt;SwaptionFirstMonthPosition+1,HS$169&gt;SwaptionFirstMonthPosition+SwaptionNumOfMonths+1,$FN223&gt;SwaptionFirstMonthPosition+SwaptionNumOfMonths+1),"",IF($FN223=HS$169,1,IF($FN223&lt;HS$169,INDEX($FO$170:$IH$241,HS$169,$FN223),SUMPRODUCT(INDEX($FO$325:$IH$396,HS$169,1+SwaptionShift):INDEX($FO$325:$IH$396,HS$169,SwaptionMonthsToGo+SwaptionShift),INDEX($FO$245:$IH$316,$FN223-HS$169,73-HS$169+SwaptionShift):INDEX($FO$245:$IH$316,$FN223-HS$169,72-HS$169+SwaptionMonthsToGo+SwaptionShift))/SQRT(SUM(INDEX($FO378:$IH378,1+SwaptionShift):INDEX($FO378:$IH378,SwaptionMonthsToGo+SwaptionShift))*SUM(INDEX($FO$325:$IH$396,HS$169,1+SwaptionShift):INDEX($FO$325:$IH$396,HS$169,SwaptionMonthsToGo+SwaptionShift))))))</f>
        <v/>
      </c>
      <c r="HT223" s="469" t="str">
        <f ca="1">IF(OR(HT$169&lt;SwaptionFirstMonthPosition+1,$FN223&lt;SwaptionFirstMonthPosition+1,HT$169&gt;SwaptionFirstMonthPosition+SwaptionNumOfMonths+1,$FN223&gt;SwaptionFirstMonthPosition+SwaptionNumOfMonths+1),"",IF($FN223=HT$169,1,IF($FN223&lt;HT$169,INDEX($FO$170:$IH$241,HT$169,$FN223),SUMPRODUCT(INDEX($FO$325:$IH$396,HT$169,1+SwaptionShift):INDEX($FO$325:$IH$396,HT$169,SwaptionMonthsToGo+SwaptionShift),INDEX($FO$245:$IH$316,$FN223-HT$169,73-HT$169+SwaptionShift):INDEX($FO$245:$IH$316,$FN223-HT$169,72-HT$169+SwaptionMonthsToGo+SwaptionShift))/SQRT(SUM(INDEX($FO378:$IH378,1+SwaptionShift):INDEX($FO378:$IH378,SwaptionMonthsToGo+SwaptionShift))*SUM(INDEX($FO$325:$IH$396,HT$169,1+SwaptionShift):INDEX($FO$325:$IH$396,HT$169,SwaptionMonthsToGo+SwaptionShift))))))</f>
        <v/>
      </c>
      <c r="HU223" s="469" t="str">
        <f ca="1">IF(OR(HU$169&lt;SwaptionFirstMonthPosition+1,$FN223&lt;SwaptionFirstMonthPosition+1,HU$169&gt;SwaptionFirstMonthPosition+SwaptionNumOfMonths+1,$FN223&gt;SwaptionFirstMonthPosition+SwaptionNumOfMonths+1),"",IF($FN223=HU$169,1,IF($FN223&lt;HU$169,INDEX($FO$170:$IH$241,HU$169,$FN223),SUMPRODUCT(INDEX($FO$325:$IH$396,HU$169,1+SwaptionShift):INDEX($FO$325:$IH$396,HU$169,SwaptionMonthsToGo+SwaptionShift),INDEX($FO$245:$IH$316,$FN223-HU$169,73-HU$169+SwaptionShift):INDEX($FO$245:$IH$316,$FN223-HU$169,72-HU$169+SwaptionMonthsToGo+SwaptionShift))/SQRT(SUM(INDEX($FO378:$IH378,1+SwaptionShift):INDEX($FO378:$IH378,SwaptionMonthsToGo+SwaptionShift))*SUM(INDEX($FO$325:$IH$396,HU$169,1+SwaptionShift):INDEX($FO$325:$IH$396,HU$169,SwaptionMonthsToGo+SwaptionShift))))))</f>
        <v/>
      </c>
      <c r="HV223" s="469" t="str">
        <f ca="1">IF(OR(HV$169&lt;SwaptionFirstMonthPosition+1,$FN223&lt;SwaptionFirstMonthPosition+1,HV$169&gt;SwaptionFirstMonthPosition+SwaptionNumOfMonths+1,$FN223&gt;SwaptionFirstMonthPosition+SwaptionNumOfMonths+1),"",IF($FN223=HV$169,1,IF($FN223&lt;HV$169,INDEX($FO$170:$IH$241,HV$169,$FN223),SUMPRODUCT(INDEX($FO$325:$IH$396,HV$169,1+SwaptionShift):INDEX($FO$325:$IH$396,HV$169,SwaptionMonthsToGo+SwaptionShift),INDEX($FO$245:$IH$316,$FN223-HV$169,73-HV$169+SwaptionShift):INDEX($FO$245:$IH$316,$FN223-HV$169,72-HV$169+SwaptionMonthsToGo+SwaptionShift))/SQRT(SUM(INDEX($FO378:$IH378,1+SwaptionShift):INDEX($FO378:$IH378,SwaptionMonthsToGo+SwaptionShift))*SUM(INDEX($FO$325:$IH$396,HV$169,1+SwaptionShift):INDEX($FO$325:$IH$396,HV$169,SwaptionMonthsToGo+SwaptionShift))))))</f>
        <v/>
      </c>
      <c r="HW223" s="469" t="str">
        <f ca="1">IF(OR(HW$169&lt;SwaptionFirstMonthPosition+1,$FN223&lt;SwaptionFirstMonthPosition+1,HW$169&gt;SwaptionFirstMonthPosition+SwaptionNumOfMonths+1,$FN223&gt;SwaptionFirstMonthPosition+SwaptionNumOfMonths+1),"",IF($FN223=HW$169,1,IF($FN223&lt;HW$169,INDEX($FO$170:$IH$241,HW$169,$FN223),SUMPRODUCT(INDEX($FO$325:$IH$396,HW$169,1+SwaptionShift):INDEX($FO$325:$IH$396,HW$169,SwaptionMonthsToGo+SwaptionShift),INDEX($FO$245:$IH$316,$FN223-HW$169,73-HW$169+SwaptionShift):INDEX($FO$245:$IH$316,$FN223-HW$169,72-HW$169+SwaptionMonthsToGo+SwaptionShift))/SQRT(SUM(INDEX($FO378:$IH378,1+SwaptionShift):INDEX($FO378:$IH378,SwaptionMonthsToGo+SwaptionShift))*SUM(INDEX($FO$325:$IH$396,HW$169,1+SwaptionShift):INDEX($FO$325:$IH$396,HW$169,SwaptionMonthsToGo+SwaptionShift))))))</f>
        <v/>
      </c>
      <c r="HX223" s="469" t="str">
        <f ca="1">IF(OR(HX$169&lt;SwaptionFirstMonthPosition+1,$FN223&lt;SwaptionFirstMonthPosition+1,HX$169&gt;SwaptionFirstMonthPosition+SwaptionNumOfMonths+1,$FN223&gt;SwaptionFirstMonthPosition+SwaptionNumOfMonths+1),"",IF($FN223=HX$169,1,IF($FN223&lt;HX$169,INDEX($FO$170:$IH$241,HX$169,$FN223),SUMPRODUCT(INDEX($FO$325:$IH$396,HX$169,1+SwaptionShift):INDEX($FO$325:$IH$396,HX$169,SwaptionMonthsToGo+SwaptionShift),INDEX($FO$245:$IH$316,$FN223-HX$169,73-HX$169+SwaptionShift):INDEX($FO$245:$IH$316,$FN223-HX$169,72-HX$169+SwaptionMonthsToGo+SwaptionShift))/SQRT(SUM(INDEX($FO378:$IH378,1+SwaptionShift):INDEX($FO378:$IH378,SwaptionMonthsToGo+SwaptionShift))*SUM(INDEX($FO$325:$IH$396,HX$169,1+SwaptionShift):INDEX($FO$325:$IH$396,HX$169,SwaptionMonthsToGo+SwaptionShift))))))</f>
        <v/>
      </c>
      <c r="HY223" s="469" t="str">
        <f ca="1">IF(OR(HY$169&lt;SwaptionFirstMonthPosition+1,$FN223&lt;SwaptionFirstMonthPosition+1,HY$169&gt;SwaptionFirstMonthPosition+SwaptionNumOfMonths+1,$FN223&gt;SwaptionFirstMonthPosition+SwaptionNumOfMonths+1),"",IF($FN223=HY$169,1,IF($FN223&lt;HY$169,INDEX($FO$170:$IH$241,HY$169,$FN223),SUMPRODUCT(INDEX($FO$325:$IH$396,HY$169,1+SwaptionShift):INDEX($FO$325:$IH$396,HY$169,SwaptionMonthsToGo+SwaptionShift),INDEX($FO$245:$IH$316,$FN223-HY$169,73-HY$169+SwaptionShift):INDEX($FO$245:$IH$316,$FN223-HY$169,72-HY$169+SwaptionMonthsToGo+SwaptionShift))/SQRT(SUM(INDEX($FO378:$IH378,1+SwaptionShift):INDEX($FO378:$IH378,SwaptionMonthsToGo+SwaptionShift))*SUM(INDEX($FO$325:$IH$396,HY$169,1+SwaptionShift):INDEX($FO$325:$IH$396,HY$169,SwaptionMonthsToGo+SwaptionShift))))))</f>
        <v/>
      </c>
      <c r="HZ223" s="469" t="str">
        <f ca="1">IF(OR(HZ$169&lt;SwaptionFirstMonthPosition+1,$FN223&lt;SwaptionFirstMonthPosition+1,HZ$169&gt;SwaptionFirstMonthPosition+SwaptionNumOfMonths+1,$FN223&gt;SwaptionFirstMonthPosition+SwaptionNumOfMonths+1),"",IF($FN223=HZ$169,1,IF($FN223&lt;HZ$169,INDEX($FO$170:$IH$241,HZ$169,$FN223),SUMPRODUCT(INDEX($FO$325:$IH$396,HZ$169,1+SwaptionShift):INDEX($FO$325:$IH$396,HZ$169,SwaptionMonthsToGo+SwaptionShift),INDEX($FO$245:$IH$316,$FN223-HZ$169,73-HZ$169+SwaptionShift):INDEX($FO$245:$IH$316,$FN223-HZ$169,72-HZ$169+SwaptionMonthsToGo+SwaptionShift))/SQRT(SUM(INDEX($FO378:$IH378,1+SwaptionShift):INDEX($FO378:$IH378,SwaptionMonthsToGo+SwaptionShift))*SUM(INDEX($FO$325:$IH$396,HZ$169,1+SwaptionShift):INDEX($FO$325:$IH$396,HZ$169,SwaptionMonthsToGo+SwaptionShift))))))</f>
        <v/>
      </c>
      <c r="IA223" s="469" t="str">
        <f ca="1">IF(OR(IA$169&lt;SwaptionFirstMonthPosition+1,$FN223&lt;SwaptionFirstMonthPosition+1,IA$169&gt;SwaptionFirstMonthPosition+SwaptionNumOfMonths+1,$FN223&gt;SwaptionFirstMonthPosition+SwaptionNumOfMonths+1),"",IF($FN223=IA$169,1,IF($FN223&lt;IA$169,INDEX($FO$170:$IH$241,IA$169,$FN223),SUMPRODUCT(INDEX($FO$325:$IH$396,IA$169,1+SwaptionShift):INDEX($FO$325:$IH$396,IA$169,SwaptionMonthsToGo+SwaptionShift),INDEX($FO$245:$IH$316,$FN223-IA$169,73-IA$169+SwaptionShift):INDEX($FO$245:$IH$316,$FN223-IA$169,72-IA$169+SwaptionMonthsToGo+SwaptionShift))/SQRT(SUM(INDEX($FO378:$IH378,1+SwaptionShift):INDEX($FO378:$IH378,SwaptionMonthsToGo+SwaptionShift))*SUM(INDEX($FO$325:$IH$396,IA$169,1+SwaptionShift):INDEX($FO$325:$IH$396,IA$169,SwaptionMonthsToGo+SwaptionShift))))))</f>
        <v/>
      </c>
      <c r="IB223" s="469" t="str">
        <f ca="1">IF(OR(IB$169&lt;SwaptionFirstMonthPosition+1,$FN223&lt;SwaptionFirstMonthPosition+1,IB$169&gt;SwaptionFirstMonthPosition+SwaptionNumOfMonths+1,$FN223&gt;SwaptionFirstMonthPosition+SwaptionNumOfMonths+1),"",IF($FN223=IB$169,1,IF($FN223&lt;IB$169,INDEX($FO$170:$IH$241,IB$169,$FN223),SUMPRODUCT(INDEX($FO$325:$IH$396,IB$169,1+SwaptionShift):INDEX($FO$325:$IH$396,IB$169,SwaptionMonthsToGo+SwaptionShift),INDEX($FO$245:$IH$316,$FN223-IB$169,73-IB$169+SwaptionShift):INDEX($FO$245:$IH$316,$FN223-IB$169,72-IB$169+SwaptionMonthsToGo+SwaptionShift))/SQRT(SUM(INDEX($FO378:$IH378,1+SwaptionShift):INDEX($FO378:$IH378,SwaptionMonthsToGo+SwaptionShift))*SUM(INDEX($FO$325:$IH$396,IB$169,1+SwaptionShift):INDEX($FO$325:$IH$396,IB$169,SwaptionMonthsToGo+SwaptionShift))))))</f>
        <v/>
      </c>
      <c r="IC223" s="469" t="str">
        <f ca="1">IF(OR(IC$169&lt;SwaptionFirstMonthPosition+1,$FN223&lt;SwaptionFirstMonthPosition+1,IC$169&gt;SwaptionFirstMonthPosition+SwaptionNumOfMonths+1,$FN223&gt;SwaptionFirstMonthPosition+SwaptionNumOfMonths+1),"",IF($FN223=IC$169,1,IF($FN223&lt;IC$169,INDEX($FO$170:$IH$241,IC$169,$FN223),SUMPRODUCT(INDEX($FO$325:$IH$396,IC$169,1+SwaptionShift):INDEX($FO$325:$IH$396,IC$169,SwaptionMonthsToGo+SwaptionShift),INDEX($FO$245:$IH$316,$FN223-IC$169,73-IC$169+SwaptionShift):INDEX($FO$245:$IH$316,$FN223-IC$169,72-IC$169+SwaptionMonthsToGo+SwaptionShift))/SQRT(SUM(INDEX($FO378:$IH378,1+SwaptionShift):INDEX($FO378:$IH378,SwaptionMonthsToGo+SwaptionShift))*SUM(INDEX($FO$325:$IH$396,IC$169,1+SwaptionShift):INDEX($FO$325:$IH$396,IC$169,SwaptionMonthsToGo+SwaptionShift))))))</f>
        <v/>
      </c>
      <c r="ID223" s="469" t="str">
        <f ca="1">IF(OR(ID$169&lt;SwaptionFirstMonthPosition+1,$FN223&lt;SwaptionFirstMonthPosition+1,ID$169&gt;SwaptionFirstMonthPosition+SwaptionNumOfMonths+1,$FN223&gt;SwaptionFirstMonthPosition+SwaptionNumOfMonths+1),"",IF($FN223=ID$169,1,IF($FN223&lt;ID$169,INDEX($FO$170:$IH$241,ID$169,$FN223),SUMPRODUCT(INDEX($FO$325:$IH$396,ID$169,1+SwaptionShift):INDEX($FO$325:$IH$396,ID$169,SwaptionMonthsToGo+SwaptionShift),INDEX($FO$245:$IH$316,$FN223-ID$169,73-ID$169+SwaptionShift):INDEX($FO$245:$IH$316,$FN223-ID$169,72-ID$169+SwaptionMonthsToGo+SwaptionShift))/SQRT(SUM(INDEX($FO378:$IH378,1+SwaptionShift):INDEX($FO378:$IH378,SwaptionMonthsToGo+SwaptionShift))*SUM(INDEX($FO$325:$IH$396,ID$169,1+SwaptionShift):INDEX($FO$325:$IH$396,ID$169,SwaptionMonthsToGo+SwaptionShift))))))</f>
        <v/>
      </c>
      <c r="IE223" s="469" t="str">
        <f ca="1">IF(OR(IE$169&lt;SwaptionFirstMonthPosition+1,$FN223&lt;SwaptionFirstMonthPosition+1,IE$169&gt;SwaptionFirstMonthPosition+SwaptionNumOfMonths+1,$FN223&gt;SwaptionFirstMonthPosition+SwaptionNumOfMonths+1),"",IF($FN223=IE$169,1,IF($FN223&lt;IE$169,INDEX($FO$170:$IH$241,IE$169,$FN223),SUMPRODUCT(INDEX($FO$325:$IH$396,IE$169,1+SwaptionShift):INDEX($FO$325:$IH$396,IE$169,SwaptionMonthsToGo+SwaptionShift),INDEX($FO$245:$IH$316,$FN223-IE$169,73-IE$169+SwaptionShift):INDEX($FO$245:$IH$316,$FN223-IE$169,72-IE$169+SwaptionMonthsToGo+SwaptionShift))/SQRT(SUM(INDEX($FO378:$IH378,1+SwaptionShift):INDEX($FO378:$IH378,SwaptionMonthsToGo+SwaptionShift))*SUM(INDEX($FO$325:$IH$396,IE$169,1+SwaptionShift):INDEX($FO$325:$IH$396,IE$169,SwaptionMonthsToGo+SwaptionShift))))))</f>
        <v/>
      </c>
      <c r="IF223" s="469" t="str">
        <f ca="1">IF(OR(IF$169&lt;SwaptionFirstMonthPosition+1,$FN223&lt;SwaptionFirstMonthPosition+1,IF$169&gt;SwaptionFirstMonthPosition+SwaptionNumOfMonths+1,$FN223&gt;SwaptionFirstMonthPosition+SwaptionNumOfMonths+1),"",IF($FN223=IF$169,1,IF($FN223&lt;IF$169,INDEX($FO$170:$IH$241,IF$169,$FN223),SUMPRODUCT(INDEX($FO$325:$IH$396,IF$169,1+SwaptionShift):INDEX($FO$325:$IH$396,IF$169,SwaptionMonthsToGo+SwaptionShift),INDEX($FO$245:$IH$316,$FN223-IF$169,73-IF$169+SwaptionShift):INDEX($FO$245:$IH$316,$FN223-IF$169,72-IF$169+SwaptionMonthsToGo+SwaptionShift))/SQRT(SUM(INDEX($FO378:$IH378,1+SwaptionShift):INDEX($FO378:$IH378,SwaptionMonthsToGo+SwaptionShift))*SUM(INDEX($FO$325:$IH$396,IF$169,1+SwaptionShift):INDEX($FO$325:$IH$396,IF$169,SwaptionMonthsToGo+SwaptionShift))))))</f>
        <v/>
      </c>
      <c r="IG223" s="469" t="str">
        <f ca="1">IF(OR(IG$169&lt;SwaptionFirstMonthPosition+1,$FN223&lt;SwaptionFirstMonthPosition+1,IG$169&gt;SwaptionFirstMonthPosition+SwaptionNumOfMonths+1,$FN223&gt;SwaptionFirstMonthPosition+SwaptionNumOfMonths+1),"",IF($FN223=IG$169,1,IF($FN223&lt;IG$169,INDEX($FO$170:$IH$241,IG$169,$FN223),SUMPRODUCT(INDEX($FO$325:$IH$396,IG$169,1+SwaptionShift):INDEX($FO$325:$IH$396,IG$169,SwaptionMonthsToGo+SwaptionShift),INDEX($FO$245:$IH$316,$FN223-IG$169,73-IG$169+SwaptionShift):INDEX($FO$245:$IH$316,$FN223-IG$169,72-IG$169+SwaptionMonthsToGo+SwaptionShift))/SQRT(SUM(INDEX($FO378:$IH378,1+SwaptionShift):INDEX($FO378:$IH378,SwaptionMonthsToGo+SwaptionShift))*SUM(INDEX($FO$325:$IH$396,IG$169,1+SwaptionShift):INDEX($FO$325:$IH$396,IG$169,SwaptionMonthsToGo+SwaptionShift))))))</f>
        <v/>
      </c>
      <c r="IH223" s="662" t="str">
        <f ca="1">IF(OR(IH$169&lt;SwaptionFirstMonthPosition+1,$FN223&lt;SwaptionFirstMonthPosition+1,IH$169&gt;SwaptionFirstMonthPosition+SwaptionNumOfMonths+1,$FN223&gt;SwaptionFirstMonthPosition+SwaptionNumOfMonths+1),"",IF($FN223=IH$169,1,IF($FN223&lt;IH$169,INDEX($FO$170:$IH$241,IH$169,$FN223),SUMPRODUCT(INDEX($FO$325:$IH$396,IH$169,1+SwaptionShift):INDEX($FO$325:$IH$396,IH$169,SwaptionMonthsToGo+SwaptionShift),INDEX($FO$245:$IH$316,$FN223-IH$169,73-IH$169+SwaptionShift):INDEX($FO$245:$IH$316,$FN223-IH$169,72-IH$169+SwaptionMonthsToGo+SwaptionShift))/SQRT(SUM(INDEX($FO378:$IH378,1+SwaptionShift):INDEX($FO378:$IH378,SwaptionMonthsToGo+SwaptionShift))*SUM(INDEX($FO$325:$IH$396,IH$169,1+SwaptionShift):INDEX($FO$325:$IH$396,IH$169,SwaptionMonthsToGo+SwaptionShift))))))</f>
        <v/>
      </c>
      <c r="II223" s="242"/>
    </row>
    <row r="224" spans="8:243">
      <c r="H224" s="49" t="e">
        <f t="shared" ca="1" si="645"/>
        <v>#N/A</v>
      </c>
      <c r="I224" s="369">
        <f t="shared" si="646"/>
        <v>43221</v>
      </c>
      <c r="J224" s="367">
        <v>24.484999999999797</v>
      </c>
      <c r="K224" s="101" t="s">
        <v>267</v>
      </c>
      <c r="L224" s="382">
        <f t="shared" si="647"/>
        <v>24.48499999999984</v>
      </c>
      <c r="M224" s="163">
        <v>0.1295</v>
      </c>
      <c r="N224" s="372">
        <v>0</v>
      </c>
      <c r="O224" s="163">
        <f t="shared" si="595"/>
        <v>0.1295</v>
      </c>
      <c r="P224" s="367">
        <v>23.2781691613955</v>
      </c>
      <c r="Q224" s="101" t="s">
        <v>267</v>
      </c>
      <c r="R224" s="367">
        <f t="shared" ca="1" si="596"/>
        <v>23.27816916139551</v>
      </c>
      <c r="S224" s="814">
        <f t="shared" si="594"/>
        <v>0.34650001722675045</v>
      </c>
      <c r="T224" s="813">
        <f t="shared" si="660"/>
        <v>0.99999999996386646</v>
      </c>
      <c r="U224" s="532">
        <f t="shared" si="661"/>
        <v>0.99999999999999978</v>
      </c>
      <c r="V224" s="379">
        <v>0</v>
      </c>
      <c r="W224" s="424">
        <f t="shared" si="597"/>
        <v>24.519782608695451</v>
      </c>
      <c r="X224" s="405">
        <f t="shared" si="598"/>
        <v>24.51978260869549</v>
      </c>
      <c r="Y224" s="313">
        <f t="shared" si="599"/>
        <v>23.175782608695449</v>
      </c>
      <c r="Z224" s="313">
        <f t="shared" ca="1" si="600"/>
        <v>23.175782608695489</v>
      </c>
      <c r="AA224" s="419">
        <f t="shared" si="623"/>
        <v>1.3440000000000001</v>
      </c>
      <c r="AB224" s="423">
        <f t="shared" ca="1" si="624"/>
        <v>1.3440000000000001</v>
      </c>
      <c r="AC224" s="221">
        <v>43210</v>
      </c>
      <c r="AD224" s="221">
        <v>43206</v>
      </c>
      <c r="AE224" s="221">
        <v>43205</v>
      </c>
      <c r="AF224" s="221">
        <v>43201</v>
      </c>
      <c r="AG224" s="241" t="s">
        <v>497</v>
      </c>
      <c r="AH224" s="239" t="s">
        <v>497</v>
      </c>
      <c r="AI224" s="141">
        <v>23</v>
      </c>
      <c r="AJ224" s="41">
        <v>14</v>
      </c>
      <c r="AK224" s="41">
        <v>9</v>
      </c>
      <c r="AL224" s="285">
        <v>23</v>
      </c>
      <c r="AM224" s="41">
        <v>10</v>
      </c>
      <c r="AN224" s="142">
        <v>13</v>
      </c>
      <c r="AO224" s="364">
        <v>6.3058727746352794E-2</v>
      </c>
      <c r="AP224" s="145">
        <f t="shared" ca="1" si="648"/>
        <v>0.34498921176140174</v>
      </c>
      <c r="AQ224" s="364">
        <v>5.88842592732313E-2</v>
      </c>
      <c r="AR224" s="145">
        <f t="shared" ca="1" si="662"/>
        <v>0.37245030950896807</v>
      </c>
      <c r="AS224" s="264">
        <f t="shared" si="601"/>
        <v>0.12894347826086958</v>
      </c>
      <c r="AT224" s="149">
        <f t="shared" si="649"/>
        <v>0.1295</v>
      </c>
      <c r="AU224" s="149">
        <f t="shared" si="625"/>
        <v>0.12887391304347826</v>
      </c>
      <c r="AV224" s="263">
        <f t="shared" ca="1" si="669"/>
        <v>0.1274854399915899</v>
      </c>
      <c r="AW224" s="150" t="str">
        <f t="shared" ca="1" si="581"/>
        <v/>
      </c>
      <c r="AX224" s="149">
        <f t="shared" ca="1" si="663"/>
        <v>3.6467119272101597E-3</v>
      </c>
      <c r="AY224" s="149">
        <f t="shared" ca="1" si="664"/>
        <v>1.1319487678023059E-3</v>
      </c>
      <c r="AZ224" s="149">
        <f t="shared" ca="1" si="665"/>
        <v>1.3623907795712324E-3</v>
      </c>
      <c r="BA224" s="149">
        <f t="shared" ca="1" si="666"/>
        <v>1.0000000000001094E-4</v>
      </c>
      <c r="BB224" s="149">
        <f t="shared" ca="1" si="667"/>
        <v>1.0000000000001094E-4</v>
      </c>
      <c r="BC224" s="149">
        <f t="shared" ca="1" si="668"/>
        <v>1.0000000000001094E-4</v>
      </c>
      <c r="BD224" s="143">
        <f t="shared" ca="1" si="602"/>
        <v>0</v>
      </c>
      <c r="BE224" s="144">
        <f t="shared" ca="1" si="603"/>
        <v>0</v>
      </c>
      <c r="BF224" s="40">
        <f t="shared" si="604"/>
        <v>2018</v>
      </c>
      <c r="BG224" s="139">
        <f t="shared" si="605"/>
        <v>5</v>
      </c>
      <c r="BH224" s="140">
        <f t="shared" ca="1" si="606"/>
        <v>6216</v>
      </c>
      <c r="BI224" s="304">
        <f t="shared" ca="1" si="607"/>
        <v>17.059548254620122</v>
      </c>
      <c r="BJ224" s="42">
        <f t="shared" ca="1" si="626"/>
        <v>17.109543790732971</v>
      </c>
      <c r="BK224" s="42">
        <f t="shared" ca="1" si="627"/>
        <v>17.112281641520102</v>
      </c>
      <c r="BL224" s="42">
        <f t="shared" ca="1" si="608"/>
        <v>17.141683778234086</v>
      </c>
      <c r="BM224" s="285">
        <f t="shared" si="609"/>
        <v>23</v>
      </c>
      <c r="BN224" s="41">
        <f t="shared" si="610"/>
        <v>14</v>
      </c>
      <c r="BO224" s="41">
        <f t="shared" si="611"/>
        <v>9</v>
      </c>
      <c r="BP224" s="297" t="str">
        <f t="shared" ca="1" si="628"/>
        <v/>
      </c>
      <c r="BQ224" s="297" t="str">
        <f t="shared" ca="1" si="629"/>
        <v/>
      </c>
      <c r="BR224" s="299" t="str">
        <f t="shared" ca="1" si="630"/>
        <v/>
      </c>
      <c r="BS224" s="153" t="str">
        <f t="shared" ca="1" si="631"/>
        <v/>
      </c>
      <c r="BT224" s="153" t="str">
        <f t="shared" ca="1" si="632"/>
        <v/>
      </c>
      <c r="BU224" s="300" t="str">
        <f t="shared" ca="1" si="633"/>
        <v/>
      </c>
      <c r="BV224" s="301" t="str">
        <f t="shared" ca="1" si="634"/>
        <v/>
      </c>
      <c r="BW224" s="300" t="str">
        <f t="shared" ca="1" si="635"/>
        <v/>
      </c>
      <c r="BX224" s="301" t="str">
        <f t="shared" ca="1" si="636"/>
        <v/>
      </c>
      <c r="BY224" s="146" t="str">
        <f t="shared" ca="1" si="637"/>
        <v/>
      </c>
      <c r="BZ224" s="146" t="str">
        <f t="shared" ca="1" si="638"/>
        <v/>
      </c>
      <c r="CA224" s="146" t="str">
        <f t="shared" ca="1" si="639"/>
        <v/>
      </c>
      <c r="CB224" s="146" t="str">
        <f t="shared" ca="1" si="640"/>
        <v/>
      </c>
      <c r="CC224" s="302">
        <v>1</v>
      </c>
      <c r="CD224" s="154">
        <f ca="1">IF(BD224,_xll.xCrudeAPO(BS224,BT224,BY224,BZ224,S225,S226,BI224,BL224,BN224,BO224,0,Strike1,AO224,CC224,0,BL224,IF(OptControl=4,0,1),0,1),0)</f>
        <v>0</v>
      </c>
      <c r="CE224" s="155">
        <f ca="1">IF(BD224,_xll.xCrudeAPO(BS224,BT224,BY224,BZ224,S225,S226,BI224,BL224,BN224,BO224,0,Strike1,AO224,CC224,0,BL224,IF(OptControl=4,0,1),1,1)+_xll.xCrudeAPO(BS224,BT224,BY224,BZ224,S225,S226,BI224,BL224,BN224,BO224,0,Strike1,AO224,CC224,0,BL224,IF(OptControl=4,0,1),1,2)+IF(OR(VolSkewFlag=2,ABS(BQ224)&lt;0.0001),0,IF(BQ224&gt;0,-1,1)*CF224*Strike1/BP224^2*BW224/10%),0)</f>
        <v>0</v>
      </c>
      <c r="CF224" s="155">
        <f ca="1">IF(BD224,(_xll.xCrudeAPO(BS224,BT224,BY224,BZ224,S225,S226,BI224,BL224,BN224,BO224,0,Strike1,AO224,CC224,0,BL224,IF(OptControl=4,0,1),3,1)+_xll.xCrudeAPO(BS224,BT224,BY224,BZ224,S225,S226,BI224,BL224,BN224,BO224,0,Strike1,AO224,CC224,0,BL224,IF(OptControl=4,0,1),3,2))/100,0)</f>
        <v>0</v>
      </c>
      <c r="CG224" s="155">
        <f ca="1">IF(BD224,_xll.xCrudeAPO(BS224,BT224,BY224,BZ224,S225,S226,BI224-DaysForThetaCalculation/365.25,BL224-DaysForThetaCalculation/365.25,BN224,BO224,0,Strike1,AO224,CC224,0,BL224,IF(OptControl=4,0,1),0,1)-_xll.xCrudeAPO(BS224,BT224,BY224,BZ224,S225,S226,BI224,BL224,BN224,BO224,0,Strike1,AO224,CC224,0,BL224,IF(OptControl=4,0,1),0,1),0)</f>
        <v>0</v>
      </c>
      <c r="CH224" s="303">
        <f ca="1">IF(BD224,_xll.xCrudeAPO(BS224,BT224,CA224,CB224,S225,S226,BI224,BL224,BN224,BO224,0,Strike2,AO224,CC224,0,BL224,IF(OptControl=3,1,0),0,1),0)</f>
        <v>0</v>
      </c>
      <c r="CI224" s="155">
        <f ca="1">IF(BD224,_xll.xCrudeAPO(BS224,BT224,CA224,CB224,S225,S226,BI224,BL224,BN224,BO224,0,Strike2,AO224,CC224,0,BL224,IF(OptControl=3,1,0),1,1)+_xll.xCrudeAPO(BS224,BT224,CA224,CB224,S225,S226,BI224,BL224,BN224,BO224,0,Strike2,AO224,CC224,0,BL224,IF(OptControl=3,1,0),1,2)+IF(OR(VolSkewFlag=2,ABS(BR224)&lt;0.0001),0,IF(BR224&gt;0,-1,1)*CJ224*Strike2/BP224^2*BX224/10%),0)</f>
        <v>0</v>
      </c>
      <c r="CJ224" s="155">
        <f ca="1">IF(BD224,(_xll.xCrudeAPO(BS224,BT224,CA224,CB224,S225,S226,BI224,BL224,BN224,BO224,0,Strike2,AO224,CC224,0,BL224,IF(OptControl=3,1,0),3,1)+_xll.xCrudeAPO(BS224,BT224,CA224,CB224,S225,S226,BI224,BL224,BN224,BO224,0,Strike2,AO224,CC224,0,BL224,IF(OptControl=3,1,0),3,2))/100,0)</f>
        <v>0</v>
      </c>
      <c r="CK224" s="156">
        <f ca="1">IF(BD224,_xll.xCrudeAPO(BS224,BT224,CA224,CB224,S225,S226,BI224-DaysForThetaCalculation/365.25,BL224-DaysForThetaCalculation/365.25,BN224,BO224,0,Strike2,AO224,CC224,0,BL224,IF(OptControl=3,1,0),0,1)-_xll.xCrudeAPO(BS224,BT224,CA224,CB224,S225,S226,BI224,BL224,BN224,BO224,0,Strike2,AO224,CC224,0,BL224,IF(OptControl=3,1,0),0,1),0)</f>
        <v>0</v>
      </c>
      <c r="CL224" s="51"/>
      <c r="CM224" s="779" t="str">
        <f t="shared" ca="1" si="650"/>
        <v/>
      </c>
      <c r="CN224" s="783" t="str">
        <f t="shared" ca="1" si="651"/>
        <v/>
      </c>
      <c r="CO224" s="780" t="str">
        <f t="shared" ca="1" si="652"/>
        <v/>
      </c>
      <c r="CP224" s="780" t="str">
        <f t="shared" ca="1" si="653"/>
        <v/>
      </c>
      <c r="CQ224" s="780" t="str">
        <f t="shared" ca="1" si="654"/>
        <v/>
      </c>
      <c r="CR224" s="780" t="str">
        <f t="shared" ca="1" si="655"/>
        <v/>
      </c>
      <c r="CS224" s="781" t="str">
        <f t="shared" ca="1" si="656"/>
        <v/>
      </c>
      <c r="CT224" s="782" t="str">
        <f t="shared" ca="1" si="657"/>
        <v/>
      </c>
      <c r="CU224" s="782" t="str">
        <f t="shared" ca="1" si="658"/>
        <v/>
      </c>
      <c r="CV224" s="155">
        <f ca="1">IF(BD224,_xll.EURO(CN224,Strike1,AO224,AO224,CT224,CM224,IF(OptControl=4,0,1),0),0)</f>
        <v>0</v>
      </c>
      <c r="CW224" s="155">
        <f ca="1">IF(BD224,_xll.EURO(CN224,Strike1,AO224,AO224,CT224,CM224,IF(OptControl=4,0,1),1)+IF(OR(VolSkewFlag=2,ABS(CO224)&lt;0.0001),0,IF(CO224&gt;0,-1,1)*CX224*100*Strike1/CN224^2*CQ224/10%),0)</f>
        <v>0</v>
      </c>
      <c r="CX224" s="155">
        <f ca="1">IF(BD224,_xll.EURO(CN224,Strike1,AO224,AO224,CT224,CM224,IF(OptControl=4,0,1),3)/100,0)</f>
        <v>0</v>
      </c>
      <c r="CY224" s="155">
        <f ca="1">IF(BD224,_xll.EURO(CN224,Strike1,AO224,AO224,CT224,CM224,IF(OptControl=4,0,1),0)-_xll.EURO(CN224,Strike1,AO224,AO224,CT224,CM224-1,IF(OptControl=4,0,1),0),0)</f>
        <v>0</v>
      </c>
      <c r="CZ224" s="155">
        <f ca="1">IF(BD224,_xll.EURO(CN224,Strike2,AO224,AO224,CU224,CM224,IF(OptControl=3,1,0),0),0)</f>
        <v>0</v>
      </c>
      <c r="DA224" s="155">
        <f ca="1">IF(BD224,_xll.EURO(CN224,Strike2,AO224,AO224,CU224,CM224,IF(OptControl=3,1,0),1)+IF(OR(VolSkewFlag=2,ABS(CP224)&lt;0.0001),0,IF(CP224&gt;0,-1,1)*DB224*100*Strike2/CN224^2*CR224/10%),0)</f>
        <v>0</v>
      </c>
      <c r="DB224" s="155">
        <f ca="1">IF(BD224,_xll.EURO(CN224,Strike2,AO224,AO224,CU224,CM224,IF(OptControl=3,1,0),3)/100,0)</f>
        <v>0</v>
      </c>
      <c r="DC224" s="156">
        <f ca="1">IF(BD224,_xll.EURO(CN224,Strike2,AO224,AO224,CU224,CM224,IF(OptControl=3,1,0),0)-_xll.EURO(CN224,Strike2,AO224,AO224,CU224,CM224-1,IF(OptControl=3,1,0),0),0)</f>
        <v>0</v>
      </c>
      <c r="DE224" s="651">
        <f t="shared" ca="1" si="659"/>
        <v>43132</v>
      </c>
      <c r="DF224" s="465">
        <v>1E-4</v>
      </c>
      <c r="DG224" s="649">
        <v>1E-4</v>
      </c>
      <c r="DH224" s="650">
        <f t="shared" ca="1" si="612"/>
        <v>43132</v>
      </c>
      <c r="DI224" s="465">
        <v>1E-4</v>
      </c>
      <c r="DJ224" s="649">
        <v>1E-4</v>
      </c>
      <c r="DK224" s="651">
        <f t="shared" ca="1" si="613"/>
        <v>43132</v>
      </c>
      <c r="DL224" s="652">
        <f t="shared" si="614"/>
        <v>5.0100000000000006E-2</v>
      </c>
      <c r="DM224" s="651">
        <f t="shared" ca="1" si="615"/>
        <v>43132</v>
      </c>
      <c r="DN224" s="563">
        <f t="shared" si="616"/>
        <v>-0.12990000000000002</v>
      </c>
      <c r="DO224" s="803">
        <v>-0.13</v>
      </c>
      <c r="DP224" s="650">
        <f t="shared" ca="1" si="617"/>
        <v>43132</v>
      </c>
      <c r="DQ224" s="653">
        <v>1E-4</v>
      </c>
      <c r="DR224" s="590">
        <v>1E-4</v>
      </c>
      <c r="DS224" s="650">
        <f t="shared" ca="1" si="618"/>
        <v>43132</v>
      </c>
      <c r="DT224" s="653">
        <v>1E-4</v>
      </c>
      <c r="DU224" s="590">
        <v>1E-4</v>
      </c>
      <c r="DV224" s="651">
        <f t="shared" ca="1" si="619"/>
        <v>43132</v>
      </c>
      <c r="DW224" s="590">
        <v>1E-4</v>
      </c>
      <c r="DX224" s="651">
        <f t="shared" ca="1" si="620"/>
        <v>43132</v>
      </c>
      <c r="DY224" s="590">
        <f t="shared" si="621"/>
        <v>1E-4</v>
      </c>
      <c r="DZ224" s="1"/>
      <c r="EA224" s="857"/>
      <c r="EB224" s="857"/>
      <c r="EC224" s="857"/>
      <c r="ED224" s="868" t="e">
        <f t="shared" ref="ED224:ED260" ca="1" si="670">ED223</f>
        <v>#NAME?</v>
      </c>
      <c r="EE224" s="863" t="e">
        <f t="shared" ca="1" si="641"/>
        <v>#NAME?</v>
      </c>
      <c r="EF224" s="590" t="e">
        <f t="shared" ca="1" si="642"/>
        <v>#NAME?</v>
      </c>
      <c r="EG224" s="862" t="str">
        <f t="shared" ca="1" si="622"/>
        <v/>
      </c>
      <c r="EH224" s="114" t="str">
        <f t="shared" ca="1" si="643"/>
        <v/>
      </c>
      <c r="EI224" s="109" t="str">
        <f t="shared" ca="1" si="644"/>
        <v/>
      </c>
      <c r="EJ224" s="115">
        <f ca="1">IF(BD224,_xll.xASN(BP224,Strike1,AO224,EH224,0,BM224,0,BI224,BL224,IF(OptControl=4,0,1),0),0)</f>
        <v>0</v>
      </c>
      <c r="EK224" s="108">
        <f ca="1">IF(BD224,_xll.xASN(BP224,Strike2,AO224,EI224,0,BM224,0,BI224,BL224,IF(OptControl=3,1,0),0),0)</f>
        <v>0</v>
      </c>
      <c r="EP224" s="53"/>
      <c r="EQ224" s="1"/>
      <c r="ER224" s="103"/>
      <c r="ES224" s="103"/>
      <c r="ET224" s="1"/>
      <c r="EU224" s="667" t="s">
        <v>437</v>
      </c>
      <c r="EW224" s="53"/>
      <c r="EY224" s="104"/>
      <c r="FN224" s="657">
        <v>55</v>
      </c>
      <c r="FO224" s="469" t="str">
        <f ca="1">IF(OR(FO$169&lt;SwaptionFirstMonthPosition+1,$FN224&lt;SwaptionFirstMonthPosition+1,FO$169&gt;SwaptionFirstMonthPosition+SwaptionNumOfMonths+1,$FN224&gt;SwaptionFirstMonthPosition+SwaptionNumOfMonths+1),"",IF($FN224=FO$169,1,IF($FN224&lt;FO$169,INDEX($FO$170:$IH$241,FO$169,$FN224),SUMPRODUCT(INDEX($FO$325:$IH$396,FO$169,1+SwaptionShift):INDEX($FO$325:$IH$396,FO$169,SwaptionMonthsToGo+SwaptionShift),INDEX($FO$245:$IH$316,$FN224-FO$169,73-FO$169+SwaptionShift):INDEX($FO$245:$IH$316,$FN224-FO$169,72-FO$169+SwaptionMonthsToGo+SwaptionShift))/SQRT(SUM(INDEX($FO379:$IH379,1+SwaptionShift):INDEX($FO379:$IH379,SwaptionMonthsToGo+SwaptionShift))*SUM(INDEX($FO$325:$IH$396,FO$169,1+SwaptionShift):INDEX($FO$325:$IH$396,FO$169,SwaptionMonthsToGo+SwaptionShift))))))</f>
        <v/>
      </c>
      <c r="FP224" s="469" t="str">
        <f ca="1">IF(OR(FP$169&lt;SwaptionFirstMonthPosition+1,$FN224&lt;SwaptionFirstMonthPosition+1,FP$169&gt;SwaptionFirstMonthPosition+SwaptionNumOfMonths+1,$FN224&gt;SwaptionFirstMonthPosition+SwaptionNumOfMonths+1),"",IF($FN224=FP$169,1,IF($FN224&lt;FP$169,INDEX($FO$170:$IH$241,FP$169,$FN224),SUMPRODUCT(INDEX($FO$325:$IH$396,FP$169,1+SwaptionShift):INDEX($FO$325:$IH$396,FP$169,SwaptionMonthsToGo+SwaptionShift),INDEX($FO$245:$IH$316,$FN224-FP$169,73-FP$169+SwaptionShift):INDEX($FO$245:$IH$316,$FN224-FP$169,72-FP$169+SwaptionMonthsToGo+SwaptionShift))/SQRT(SUM(INDEX($FO379:$IH379,1+SwaptionShift):INDEX($FO379:$IH379,SwaptionMonthsToGo+SwaptionShift))*SUM(INDEX($FO$325:$IH$396,FP$169,1+SwaptionShift):INDEX($FO$325:$IH$396,FP$169,SwaptionMonthsToGo+SwaptionShift))))))</f>
        <v/>
      </c>
      <c r="FQ224" s="469" t="str">
        <f ca="1">IF(OR(FQ$169&lt;SwaptionFirstMonthPosition+1,$FN224&lt;SwaptionFirstMonthPosition+1,FQ$169&gt;SwaptionFirstMonthPosition+SwaptionNumOfMonths+1,$FN224&gt;SwaptionFirstMonthPosition+SwaptionNumOfMonths+1),"",IF($FN224=FQ$169,1,IF($FN224&lt;FQ$169,INDEX($FO$170:$IH$241,FQ$169,$FN224),SUMPRODUCT(INDEX($FO$325:$IH$396,FQ$169,1+SwaptionShift):INDEX($FO$325:$IH$396,FQ$169,SwaptionMonthsToGo+SwaptionShift),INDEX($FO$245:$IH$316,$FN224-FQ$169,73-FQ$169+SwaptionShift):INDEX($FO$245:$IH$316,$FN224-FQ$169,72-FQ$169+SwaptionMonthsToGo+SwaptionShift))/SQRT(SUM(INDEX($FO379:$IH379,1+SwaptionShift):INDEX($FO379:$IH379,SwaptionMonthsToGo+SwaptionShift))*SUM(INDEX($FO$325:$IH$396,FQ$169,1+SwaptionShift):INDEX($FO$325:$IH$396,FQ$169,SwaptionMonthsToGo+SwaptionShift))))))</f>
        <v/>
      </c>
      <c r="FR224" s="469" t="str">
        <f ca="1">IF(OR(FR$169&lt;SwaptionFirstMonthPosition+1,$FN224&lt;SwaptionFirstMonthPosition+1,FR$169&gt;SwaptionFirstMonthPosition+SwaptionNumOfMonths+1,$FN224&gt;SwaptionFirstMonthPosition+SwaptionNumOfMonths+1),"",IF($FN224=FR$169,1,IF($FN224&lt;FR$169,INDEX($FO$170:$IH$241,FR$169,$FN224),SUMPRODUCT(INDEX($FO$325:$IH$396,FR$169,1+SwaptionShift):INDEX($FO$325:$IH$396,FR$169,SwaptionMonthsToGo+SwaptionShift),INDEX($FO$245:$IH$316,$FN224-FR$169,73-FR$169+SwaptionShift):INDEX($FO$245:$IH$316,$FN224-FR$169,72-FR$169+SwaptionMonthsToGo+SwaptionShift))/SQRT(SUM(INDEX($FO379:$IH379,1+SwaptionShift):INDEX($FO379:$IH379,SwaptionMonthsToGo+SwaptionShift))*SUM(INDEX($FO$325:$IH$396,FR$169,1+SwaptionShift):INDEX($FO$325:$IH$396,FR$169,SwaptionMonthsToGo+SwaptionShift))))))</f>
        <v/>
      </c>
      <c r="FS224" s="469" t="str">
        <f ca="1">IF(OR(FS$169&lt;SwaptionFirstMonthPosition+1,$FN224&lt;SwaptionFirstMonthPosition+1,FS$169&gt;SwaptionFirstMonthPosition+SwaptionNumOfMonths+1,$FN224&gt;SwaptionFirstMonthPosition+SwaptionNumOfMonths+1),"",IF($FN224=FS$169,1,IF($FN224&lt;FS$169,INDEX($FO$170:$IH$241,FS$169,$FN224),SUMPRODUCT(INDEX($FO$325:$IH$396,FS$169,1+SwaptionShift):INDEX($FO$325:$IH$396,FS$169,SwaptionMonthsToGo+SwaptionShift),INDEX($FO$245:$IH$316,$FN224-FS$169,73-FS$169+SwaptionShift):INDEX($FO$245:$IH$316,$FN224-FS$169,72-FS$169+SwaptionMonthsToGo+SwaptionShift))/SQRT(SUM(INDEX($FO379:$IH379,1+SwaptionShift):INDEX($FO379:$IH379,SwaptionMonthsToGo+SwaptionShift))*SUM(INDEX($FO$325:$IH$396,FS$169,1+SwaptionShift):INDEX($FO$325:$IH$396,FS$169,SwaptionMonthsToGo+SwaptionShift))))))</f>
        <v/>
      </c>
      <c r="FT224" s="469" t="str">
        <f ca="1">IF(OR(FT$169&lt;SwaptionFirstMonthPosition+1,$FN224&lt;SwaptionFirstMonthPosition+1,FT$169&gt;SwaptionFirstMonthPosition+SwaptionNumOfMonths+1,$FN224&gt;SwaptionFirstMonthPosition+SwaptionNumOfMonths+1),"",IF($FN224=FT$169,1,IF($FN224&lt;FT$169,INDEX($FO$170:$IH$241,FT$169,$FN224),SUMPRODUCT(INDEX($FO$325:$IH$396,FT$169,1+SwaptionShift):INDEX($FO$325:$IH$396,FT$169,SwaptionMonthsToGo+SwaptionShift),INDEX($FO$245:$IH$316,$FN224-FT$169,73-FT$169+SwaptionShift):INDEX($FO$245:$IH$316,$FN224-FT$169,72-FT$169+SwaptionMonthsToGo+SwaptionShift))/SQRT(SUM(INDEX($FO379:$IH379,1+SwaptionShift):INDEX($FO379:$IH379,SwaptionMonthsToGo+SwaptionShift))*SUM(INDEX($FO$325:$IH$396,FT$169,1+SwaptionShift):INDEX($FO$325:$IH$396,FT$169,SwaptionMonthsToGo+SwaptionShift))))))</f>
        <v/>
      </c>
      <c r="FU224" s="469" t="str">
        <f ca="1">IF(OR(FU$169&lt;SwaptionFirstMonthPosition+1,$FN224&lt;SwaptionFirstMonthPosition+1,FU$169&gt;SwaptionFirstMonthPosition+SwaptionNumOfMonths+1,$FN224&gt;SwaptionFirstMonthPosition+SwaptionNumOfMonths+1),"",IF($FN224=FU$169,1,IF($FN224&lt;FU$169,INDEX($FO$170:$IH$241,FU$169,$FN224),SUMPRODUCT(INDEX($FO$325:$IH$396,FU$169,1+SwaptionShift):INDEX($FO$325:$IH$396,FU$169,SwaptionMonthsToGo+SwaptionShift),INDEX($FO$245:$IH$316,$FN224-FU$169,73-FU$169+SwaptionShift):INDEX($FO$245:$IH$316,$FN224-FU$169,72-FU$169+SwaptionMonthsToGo+SwaptionShift))/SQRT(SUM(INDEX($FO379:$IH379,1+SwaptionShift):INDEX($FO379:$IH379,SwaptionMonthsToGo+SwaptionShift))*SUM(INDEX($FO$325:$IH$396,FU$169,1+SwaptionShift):INDEX($FO$325:$IH$396,FU$169,SwaptionMonthsToGo+SwaptionShift))))))</f>
        <v/>
      </c>
      <c r="FV224" s="469" t="str">
        <f ca="1">IF(OR(FV$169&lt;SwaptionFirstMonthPosition+1,$FN224&lt;SwaptionFirstMonthPosition+1,FV$169&gt;SwaptionFirstMonthPosition+SwaptionNumOfMonths+1,$FN224&gt;SwaptionFirstMonthPosition+SwaptionNumOfMonths+1),"",IF($FN224=FV$169,1,IF($FN224&lt;FV$169,INDEX($FO$170:$IH$241,FV$169,$FN224),SUMPRODUCT(INDEX($FO$325:$IH$396,FV$169,1+SwaptionShift):INDEX($FO$325:$IH$396,FV$169,SwaptionMonthsToGo+SwaptionShift),INDEX($FO$245:$IH$316,$FN224-FV$169,73-FV$169+SwaptionShift):INDEX($FO$245:$IH$316,$FN224-FV$169,72-FV$169+SwaptionMonthsToGo+SwaptionShift))/SQRT(SUM(INDEX($FO379:$IH379,1+SwaptionShift):INDEX($FO379:$IH379,SwaptionMonthsToGo+SwaptionShift))*SUM(INDEX($FO$325:$IH$396,FV$169,1+SwaptionShift):INDEX($FO$325:$IH$396,FV$169,SwaptionMonthsToGo+SwaptionShift))))))</f>
        <v/>
      </c>
      <c r="FW224" s="469" t="str">
        <f ca="1">IF(OR(FW$169&lt;SwaptionFirstMonthPosition+1,$FN224&lt;SwaptionFirstMonthPosition+1,FW$169&gt;SwaptionFirstMonthPosition+SwaptionNumOfMonths+1,$FN224&gt;SwaptionFirstMonthPosition+SwaptionNumOfMonths+1),"",IF($FN224=FW$169,1,IF($FN224&lt;FW$169,INDEX($FO$170:$IH$241,FW$169,$FN224),SUMPRODUCT(INDEX($FO$325:$IH$396,FW$169,1+SwaptionShift):INDEX($FO$325:$IH$396,FW$169,SwaptionMonthsToGo+SwaptionShift),INDEX($FO$245:$IH$316,$FN224-FW$169,73-FW$169+SwaptionShift):INDEX($FO$245:$IH$316,$FN224-FW$169,72-FW$169+SwaptionMonthsToGo+SwaptionShift))/SQRT(SUM(INDEX($FO379:$IH379,1+SwaptionShift):INDEX($FO379:$IH379,SwaptionMonthsToGo+SwaptionShift))*SUM(INDEX($FO$325:$IH$396,FW$169,1+SwaptionShift):INDEX($FO$325:$IH$396,FW$169,SwaptionMonthsToGo+SwaptionShift))))))</f>
        <v/>
      </c>
      <c r="FX224" s="469" t="str">
        <f ca="1">IF(OR(FX$169&lt;SwaptionFirstMonthPosition+1,$FN224&lt;SwaptionFirstMonthPosition+1,FX$169&gt;SwaptionFirstMonthPosition+SwaptionNumOfMonths+1,$FN224&gt;SwaptionFirstMonthPosition+SwaptionNumOfMonths+1),"",IF($FN224=FX$169,1,IF($FN224&lt;FX$169,INDEX($FO$170:$IH$241,FX$169,$FN224),SUMPRODUCT(INDEX($FO$325:$IH$396,FX$169,1+SwaptionShift):INDEX($FO$325:$IH$396,FX$169,SwaptionMonthsToGo+SwaptionShift),INDEX($FO$245:$IH$316,$FN224-FX$169,73-FX$169+SwaptionShift):INDEX($FO$245:$IH$316,$FN224-FX$169,72-FX$169+SwaptionMonthsToGo+SwaptionShift))/SQRT(SUM(INDEX($FO379:$IH379,1+SwaptionShift):INDEX($FO379:$IH379,SwaptionMonthsToGo+SwaptionShift))*SUM(INDEX($FO$325:$IH$396,FX$169,1+SwaptionShift):INDEX($FO$325:$IH$396,FX$169,SwaptionMonthsToGo+SwaptionShift))))))</f>
        <v/>
      </c>
      <c r="FY224" s="469" t="str">
        <f ca="1">IF(OR(FY$169&lt;SwaptionFirstMonthPosition+1,$FN224&lt;SwaptionFirstMonthPosition+1,FY$169&gt;SwaptionFirstMonthPosition+SwaptionNumOfMonths+1,$FN224&gt;SwaptionFirstMonthPosition+SwaptionNumOfMonths+1),"",IF($FN224=FY$169,1,IF($FN224&lt;FY$169,INDEX($FO$170:$IH$241,FY$169,$FN224),SUMPRODUCT(INDEX($FO$325:$IH$396,FY$169,1+SwaptionShift):INDEX($FO$325:$IH$396,FY$169,SwaptionMonthsToGo+SwaptionShift),INDEX($FO$245:$IH$316,$FN224-FY$169,73-FY$169+SwaptionShift):INDEX($FO$245:$IH$316,$FN224-FY$169,72-FY$169+SwaptionMonthsToGo+SwaptionShift))/SQRT(SUM(INDEX($FO379:$IH379,1+SwaptionShift):INDEX($FO379:$IH379,SwaptionMonthsToGo+SwaptionShift))*SUM(INDEX($FO$325:$IH$396,FY$169,1+SwaptionShift):INDEX($FO$325:$IH$396,FY$169,SwaptionMonthsToGo+SwaptionShift))))))</f>
        <v/>
      </c>
      <c r="FZ224" s="469" t="str">
        <f ca="1">IF(OR(FZ$169&lt;SwaptionFirstMonthPosition+1,$FN224&lt;SwaptionFirstMonthPosition+1,FZ$169&gt;SwaptionFirstMonthPosition+SwaptionNumOfMonths+1,$FN224&gt;SwaptionFirstMonthPosition+SwaptionNumOfMonths+1),"",IF($FN224=FZ$169,1,IF($FN224&lt;FZ$169,INDEX($FO$170:$IH$241,FZ$169,$FN224),SUMPRODUCT(INDEX($FO$325:$IH$396,FZ$169,1+SwaptionShift):INDEX($FO$325:$IH$396,FZ$169,SwaptionMonthsToGo+SwaptionShift),INDEX($FO$245:$IH$316,$FN224-FZ$169,73-FZ$169+SwaptionShift):INDEX($FO$245:$IH$316,$FN224-FZ$169,72-FZ$169+SwaptionMonthsToGo+SwaptionShift))/SQRT(SUM(INDEX($FO379:$IH379,1+SwaptionShift):INDEX($FO379:$IH379,SwaptionMonthsToGo+SwaptionShift))*SUM(INDEX($FO$325:$IH$396,FZ$169,1+SwaptionShift):INDEX($FO$325:$IH$396,FZ$169,SwaptionMonthsToGo+SwaptionShift))))))</f>
        <v/>
      </c>
      <c r="GA224" s="469" t="str">
        <f ca="1">IF(OR(GA$169&lt;SwaptionFirstMonthPosition+1,$FN224&lt;SwaptionFirstMonthPosition+1,GA$169&gt;SwaptionFirstMonthPosition+SwaptionNumOfMonths+1,$FN224&gt;SwaptionFirstMonthPosition+SwaptionNumOfMonths+1),"",IF($FN224=GA$169,1,IF($FN224&lt;GA$169,INDEX($FO$170:$IH$241,GA$169,$FN224),SUMPRODUCT(INDEX($FO$325:$IH$396,GA$169,1+SwaptionShift):INDEX($FO$325:$IH$396,GA$169,SwaptionMonthsToGo+SwaptionShift),INDEX($FO$245:$IH$316,$FN224-GA$169,73-GA$169+SwaptionShift):INDEX($FO$245:$IH$316,$FN224-GA$169,72-GA$169+SwaptionMonthsToGo+SwaptionShift))/SQRT(SUM(INDEX($FO379:$IH379,1+SwaptionShift):INDEX($FO379:$IH379,SwaptionMonthsToGo+SwaptionShift))*SUM(INDEX($FO$325:$IH$396,GA$169,1+SwaptionShift):INDEX($FO$325:$IH$396,GA$169,SwaptionMonthsToGo+SwaptionShift))))))</f>
        <v/>
      </c>
      <c r="GB224" s="469" t="str">
        <f ca="1">IF(OR(GB$169&lt;SwaptionFirstMonthPosition+1,$FN224&lt;SwaptionFirstMonthPosition+1,GB$169&gt;SwaptionFirstMonthPosition+SwaptionNumOfMonths+1,$FN224&gt;SwaptionFirstMonthPosition+SwaptionNumOfMonths+1),"",IF($FN224=GB$169,1,IF($FN224&lt;GB$169,INDEX($FO$170:$IH$241,GB$169,$FN224),SUMPRODUCT(INDEX($FO$325:$IH$396,GB$169,1+SwaptionShift):INDEX($FO$325:$IH$396,GB$169,SwaptionMonthsToGo+SwaptionShift),INDEX($FO$245:$IH$316,$FN224-GB$169,73-GB$169+SwaptionShift):INDEX($FO$245:$IH$316,$FN224-GB$169,72-GB$169+SwaptionMonthsToGo+SwaptionShift))/SQRT(SUM(INDEX($FO379:$IH379,1+SwaptionShift):INDEX($FO379:$IH379,SwaptionMonthsToGo+SwaptionShift))*SUM(INDEX($FO$325:$IH$396,GB$169,1+SwaptionShift):INDEX($FO$325:$IH$396,GB$169,SwaptionMonthsToGo+SwaptionShift))))))</f>
        <v/>
      </c>
      <c r="GC224" s="469" t="str">
        <f ca="1">IF(OR(GC$169&lt;SwaptionFirstMonthPosition+1,$FN224&lt;SwaptionFirstMonthPosition+1,GC$169&gt;SwaptionFirstMonthPosition+SwaptionNumOfMonths+1,$FN224&gt;SwaptionFirstMonthPosition+SwaptionNumOfMonths+1),"",IF($FN224=GC$169,1,IF($FN224&lt;GC$169,INDEX($FO$170:$IH$241,GC$169,$FN224),SUMPRODUCT(INDEX($FO$325:$IH$396,GC$169,1+SwaptionShift):INDEX($FO$325:$IH$396,GC$169,SwaptionMonthsToGo+SwaptionShift),INDEX($FO$245:$IH$316,$FN224-GC$169,73-GC$169+SwaptionShift):INDEX($FO$245:$IH$316,$FN224-GC$169,72-GC$169+SwaptionMonthsToGo+SwaptionShift))/SQRT(SUM(INDEX($FO379:$IH379,1+SwaptionShift):INDEX($FO379:$IH379,SwaptionMonthsToGo+SwaptionShift))*SUM(INDEX($FO$325:$IH$396,GC$169,1+SwaptionShift):INDEX($FO$325:$IH$396,GC$169,SwaptionMonthsToGo+SwaptionShift))))))</f>
        <v/>
      </c>
      <c r="GD224" s="469" t="str">
        <f ca="1">IF(OR(GD$169&lt;SwaptionFirstMonthPosition+1,$FN224&lt;SwaptionFirstMonthPosition+1,GD$169&gt;SwaptionFirstMonthPosition+SwaptionNumOfMonths+1,$FN224&gt;SwaptionFirstMonthPosition+SwaptionNumOfMonths+1),"",IF($FN224=GD$169,1,IF($FN224&lt;GD$169,INDEX($FO$170:$IH$241,GD$169,$FN224),SUMPRODUCT(INDEX($FO$325:$IH$396,GD$169,1+SwaptionShift):INDEX($FO$325:$IH$396,GD$169,SwaptionMonthsToGo+SwaptionShift),INDEX($FO$245:$IH$316,$FN224-GD$169,73-GD$169+SwaptionShift):INDEX($FO$245:$IH$316,$FN224-GD$169,72-GD$169+SwaptionMonthsToGo+SwaptionShift))/SQRT(SUM(INDEX($FO379:$IH379,1+SwaptionShift):INDEX($FO379:$IH379,SwaptionMonthsToGo+SwaptionShift))*SUM(INDEX($FO$325:$IH$396,GD$169,1+SwaptionShift):INDEX($FO$325:$IH$396,GD$169,SwaptionMonthsToGo+SwaptionShift))))))</f>
        <v/>
      </c>
      <c r="GE224" s="469" t="str">
        <f ca="1">IF(OR(GE$169&lt;SwaptionFirstMonthPosition+1,$FN224&lt;SwaptionFirstMonthPosition+1,GE$169&gt;SwaptionFirstMonthPosition+SwaptionNumOfMonths+1,$FN224&gt;SwaptionFirstMonthPosition+SwaptionNumOfMonths+1),"",IF($FN224=GE$169,1,IF($FN224&lt;GE$169,INDEX($FO$170:$IH$241,GE$169,$FN224),SUMPRODUCT(INDEX($FO$325:$IH$396,GE$169,1+SwaptionShift):INDEX($FO$325:$IH$396,GE$169,SwaptionMonthsToGo+SwaptionShift),INDEX($FO$245:$IH$316,$FN224-GE$169,73-GE$169+SwaptionShift):INDEX($FO$245:$IH$316,$FN224-GE$169,72-GE$169+SwaptionMonthsToGo+SwaptionShift))/SQRT(SUM(INDEX($FO379:$IH379,1+SwaptionShift):INDEX($FO379:$IH379,SwaptionMonthsToGo+SwaptionShift))*SUM(INDEX($FO$325:$IH$396,GE$169,1+SwaptionShift):INDEX($FO$325:$IH$396,GE$169,SwaptionMonthsToGo+SwaptionShift))))))</f>
        <v/>
      </c>
      <c r="GF224" s="469" t="str">
        <f ca="1">IF(OR(GF$169&lt;SwaptionFirstMonthPosition+1,$FN224&lt;SwaptionFirstMonthPosition+1,GF$169&gt;SwaptionFirstMonthPosition+SwaptionNumOfMonths+1,$FN224&gt;SwaptionFirstMonthPosition+SwaptionNumOfMonths+1),"",IF($FN224=GF$169,1,IF($FN224&lt;GF$169,INDEX($FO$170:$IH$241,GF$169,$FN224),SUMPRODUCT(INDEX($FO$325:$IH$396,GF$169,1+SwaptionShift):INDEX($FO$325:$IH$396,GF$169,SwaptionMonthsToGo+SwaptionShift),INDEX($FO$245:$IH$316,$FN224-GF$169,73-GF$169+SwaptionShift):INDEX($FO$245:$IH$316,$FN224-GF$169,72-GF$169+SwaptionMonthsToGo+SwaptionShift))/SQRT(SUM(INDEX($FO379:$IH379,1+SwaptionShift):INDEX($FO379:$IH379,SwaptionMonthsToGo+SwaptionShift))*SUM(INDEX($FO$325:$IH$396,GF$169,1+SwaptionShift):INDEX($FO$325:$IH$396,GF$169,SwaptionMonthsToGo+SwaptionShift))))))</f>
        <v/>
      </c>
      <c r="GG224" s="469" t="str">
        <f ca="1">IF(OR(GG$169&lt;SwaptionFirstMonthPosition+1,$FN224&lt;SwaptionFirstMonthPosition+1,GG$169&gt;SwaptionFirstMonthPosition+SwaptionNumOfMonths+1,$FN224&gt;SwaptionFirstMonthPosition+SwaptionNumOfMonths+1),"",IF($FN224=GG$169,1,IF($FN224&lt;GG$169,INDEX($FO$170:$IH$241,GG$169,$FN224),SUMPRODUCT(INDEX($FO$325:$IH$396,GG$169,1+SwaptionShift):INDEX($FO$325:$IH$396,GG$169,SwaptionMonthsToGo+SwaptionShift),INDEX($FO$245:$IH$316,$FN224-GG$169,73-GG$169+SwaptionShift):INDEX($FO$245:$IH$316,$FN224-GG$169,72-GG$169+SwaptionMonthsToGo+SwaptionShift))/SQRT(SUM(INDEX($FO379:$IH379,1+SwaptionShift):INDEX($FO379:$IH379,SwaptionMonthsToGo+SwaptionShift))*SUM(INDEX($FO$325:$IH$396,GG$169,1+SwaptionShift):INDEX($FO$325:$IH$396,GG$169,SwaptionMonthsToGo+SwaptionShift))))))</f>
        <v/>
      </c>
      <c r="GH224" s="469" t="str">
        <f ca="1">IF(OR(GH$169&lt;SwaptionFirstMonthPosition+1,$FN224&lt;SwaptionFirstMonthPosition+1,GH$169&gt;SwaptionFirstMonthPosition+SwaptionNumOfMonths+1,$FN224&gt;SwaptionFirstMonthPosition+SwaptionNumOfMonths+1),"",IF($FN224=GH$169,1,IF($FN224&lt;GH$169,INDEX($FO$170:$IH$241,GH$169,$FN224),SUMPRODUCT(INDEX($FO$325:$IH$396,GH$169,1+SwaptionShift):INDEX($FO$325:$IH$396,GH$169,SwaptionMonthsToGo+SwaptionShift),INDEX($FO$245:$IH$316,$FN224-GH$169,73-GH$169+SwaptionShift):INDEX($FO$245:$IH$316,$FN224-GH$169,72-GH$169+SwaptionMonthsToGo+SwaptionShift))/SQRT(SUM(INDEX($FO379:$IH379,1+SwaptionShift):INDEX($FO379:$IH379,SwaptionMonthsToGo+SwaptionShift))*SUM(INDEX($FO$325:$IH$396,GH$169,1+SwaptionShift):INDEX($FO$325:$IH$396,GH$169,SwaptionMonthsToGo+SwaptionShift))))))</f>
        <v/>
      </c>
      <c r="GI224" s="469" t="str">
        <f ca="1">IF(OR(GI$169&lt;SwaptionFirstMonthPosition+1,$FN224&lt;SwaptionFirstMonthPosition+1,GI$169&gt;SwaptionFirstMonthPosition+SwaptionNumOfMonths+1,$FN224&gt;SwaptionFirstMonthPosition+SwaptionNumOfMonths+1),"",IF($FN224=GI$169,1,IF($FN224&lt;GI$169,INDEX($FO$170:$IH$241,GI$169,$FN224),SUMPRODUCT(INDEX($FO$325:$IH$396,GI$169,1+SwaptionShift):INDEX($FO$325:$IH$396,GI$169,SwaptionMonthsToGo+SwaptionShift),INDEX($FO$245:$IH$316,$FN224-GI$169,73-GI$169+SwaptionShift):INDEX($FO$245:$IH$316,$FN224-GI$169,72-GI$169+SwaptionMonthsToGo+SwaptionShift))/SQRT(SUM(INDEX($FO379:$IH379,1+SwaptionShift):INDEX($FO379:$IH379,SwaptionMonthsToGo+SwaptionShift))*SUM(INDEX($FO$325:$IH$396,GI$169,1+SwaptionShift):INDEX($FO$325:$IH$396,GI$169,SwaptionMonthsToGo+SwaptionShift))))))</f>
        <v/>
      </c>
      <c r="GJ224" s="469" t="str">
        <f ca="1">IF(OR(GJ$169&lt;SwaptionFirstMonthPosition+1,$FN224&lt;SwaptionFirstMonthPosition+1,GJ$169&gt;SwaptionFirstMonthPosition+SwaptionNumOfMonths+1,$FN224&gt;SwaptionFirstMonthPosition+SwaptionNumOfMonths+1),"",IF($FN224=GJ$169,1,IF($FN224&lt;GJ$169,INDEX($FO$170:$IH$241,GJ$169,$FN224),SUMPRODUCT(INDEX($FO$325:$IH$396,GJ$169,1+SwaptionShift):INDEX($FO$325:$IH$396,GJ$169,SwaptionMonthsToGo+SwaptionShift),INDEX($FO$245:$IH$316,$FN224-GJ$169,73-GJ$169+SwaptionShift):INDEX($FO$245:$IH$316,$FN224-GJ$169,72-GJ$169+SwaptionMonthsToGo+SwaptionShift))/SQRT(SUM(INDEX($FO379:$IH379,1+SwaptionShift):INDEX($FO379:$IH379,SwaptionMonthsToGo+SwaptionShift))*SUM(INDEX($FO$325:$IH$396,GJ$169,1+SwaptionShift):INDEX($FO$325:$IH$396,GJ$169,SwaptionMonthsToGo+SwaptionShift))))))</f>
        <v/>
      </c>
      <c r="GK224" s="469" t="str">
        <f ca="1">IF(OR(GK$169&lt;SwaptionFirstMonthPosition+1,$FN224&lt;SwaptionFirstMonthPosition+1,GK$169&gt;SwaptionFirstMonthPosition+SwaptionNumOfMonths+1,$FN224&gt;SwaptionFirstMonthPosition+SwaptionNumOfMonths+1),"",IF($FN224=GK$169,1,IF($FN224&lt;GK$169,INDEX($FO$170:$IH$241,GK$169,$FN224),SUMPRODUCT(INDEX($FO$325:$IH$396,GK$169,1+SwaptionShift):INDEX($FO$325:$IH$396,GK$169,SwaptionMonthsToGo+SwaptionShift),INDEX($FO$245:$IH$316,$FN224-GK$169,73-GK$169+SwaptionShift):INDEX($FO$245:$IH$316,$FN224-GK$169,72-GK$169+SwaptionMonthsToGo+SwaptionShift))/SQRT(SUM(INDEX($FO379:$IH379,1+SwaptionShift):INDEX($FO379:$IH379,SwaptionMonthsToGo+SwaptionShift))*SUM(INDEX($FO$325:$IH$396,GK$169,1+SwaptionShift):INDEX($FO$325:$IH$396,GK$169,SwaptionMonthsToGo+SwaptionShift))))))</f>
        <v/>
      </c>
      <c r="GL224" s="469" t="str">
        <f ca="1">IF(OR(GL$169&lt;SwaptionFirstMonthPosition+1,$FN224&lt;SwaptionFirstMonthPosition+1,GL$169&gt;SwaptionFirstMonthPosition+SwaptionNumOfMonths+1,$FN224&gt;SwaptionFirstMonthPosition+SwaptionNumOfMonths+1),"",IF($FN224=GL$169,1,IF($FN224&lt;GL$169,INDEX($FO$170:$IH$241,GL$169,$FN224),SUMPRODUCT(INDEX($FO$325:$IH$396,GL$169,1+SwaptionShift):INDEX($FO$325:$IH$396,GL$169,SwaptionMonthsToGo+SwaptionShift),INDEX($FO$245:$IH$316,$FN224-GL$169,73-GL$169+SwaptionShift):INDEX($FO$245:$IH$316,$FN224-GL$169,72-GL$169+SwaptionMonthsToGo+SwaptionShift))/SQRT(SUM(INDEX($FO379:$IH379,1+SwaptionShift):INDEX($FO379:$IH379,SwaptionMonthsToGo+SwaptionShift))*SUM(INDEX($FO$325:$IH$396,GL$169,1+SwaptionShift):INDEX($FO$325:$IH$396,GL$169,SwaptionMonthsToGo+SwaptionShift))))))</f>
        <v/>
      </c>
      <c r="GM224" s="469" t="str">
        <f ca="1">IF(OR(GM$169&lt;SwaptionFirstMonthPosition+1,$FN224&lt;SwaptionFirstMonthPosition+1,GM$169&gt;SwaptionFirstMonthPosition+SwaptionNumOfMonths+1,$FN224&gt;SwaptionFirstMonthPosition+SwaptionNumOfMonths+1),"",IF($FN224=GM$169,1,IF($FN224&lt;GM$169,INDEX($FO$170:$IH$241,GM$169,$FN224),SUMPRODUCT(INDEX($FO$325:$IH$396,GM$169,1+SwaptionShift):INDEX($FO$325:$IH$396,GM$169,SwaptionMonthsToGo+SwaptionShift),INDEX($FO$245:$IH$316,$FN224-GM$169,73-GM$169+SwaptionShift):INDEX($FO$245:$IH$316,$FN224-GM$169,72-GM$169+SwaptionMonthsToGo+SwaptionShift))/SQRT(SUM(INDEX($FO379:$IH379,1+SwaptionShift):INDEX($FO379:$IH379,SwaptionMonthsToGo+SwaptionShift))*SUM(INDEX($FO$325:$IH$396,GM$169,1+SwaptionShift):INDEX($FO$325:$IH$396,GM$169,SwaptionMonthsToGo+SwaptionShift))))))</f>
        <v/>
      </c>
      <c r="GN224" s="469" t="str">
        <f ca="1">IF(OR(GN$169&lt;SwaptionFirstMonthPosition+1,$FN224&lt;SwaptionFirstMonthPosition+1,GN$169&gt;SwaptionFirstMonthPosition+SwaptionNumOfMonths+1,$FN224&gt;SwaptionFirstMonthPosition+SwaptionNumOfMonths+1),"",IF($FN224=GN$169,1,IF($FN224&lt;GN$169,INDEX($FO$170:$IH$241,GN$169,$FN224),SUMPRODUCT(INDEX($FO$325:$IH$396,GN$169,1+SwaptionShift):INDEX($FO$325:$IH$396,GN$169,SwaptionMonthsToGo+SwaptionShift),INDEX($FO$245:$IH$316,$FN224-GN$169,73-GN$169+SwaptionShift):INDEX($FO$245:$IH$316,$FN224-GN$169,72-GN$169+SwaptionMonthsToGo+SwaptionShift))/SQRT(SUM(INDEX($FO379:$IH379,1+SwaptionShift):INDEX($FO379:$IH379,SwaptionMonthsToGo+SwaptionShift))*SUM(INDEX($FO$325:$IH$396,GN$169,1+SwaptionShift):INDEX($FO$325:$IH$396,GN$169,SwaptionMonthsToGo+SwaptionShift))))))</f>
        <v/>
      </c>
      <c r="GO224" s="469" t="str">
        <f ca="1">IF(OR(GO$169&lt;SwaptionFirstMonthPosition+1,$FN224&lt;SwaptionFirstMonthPosition+1,GO$169&gt;SwaptionFirstMonthPosition+SwaptionNumOfMonths+1,$FN224&gt;SwaptionFirstMonthPosition+SwaptionNumOfMonths+1),"",IF($FN224=GO$169,1,IF($FN224&lt;GO$169,INDEX($FO$170:$IH$241,GO$169,$FN224),SUMPRODUCT(INDEX($FO$325:$IH$396,GO$169,1+SwaptionShift):INDEX($FO$325:$IH$396,GO$169,SwaptionMonthsToGo+SwaptionShift),INDEX($FO$245:$IH$316,$FN224-GO$169,73-GO$169+SwaptionShift):INDEX($FO$245:$IH$316,$FN224-GO$169,72-GO$169+SwaptionMonthsToGo+SwaptionShift))/SQRT(SUM(INDEX($FO379:$IH379,1+SwaptionShift):INDEX($FO379:$IH379,SwaptionMonthsToGo+SwaptionShift))*SUM(INDEX($FO$325:$IH$396,GO$169,1+SwaptionShift):INDEX($FO$325:$IH$396,GO$169,SwaptionMonthsToGo+SwaptionShift))))))</f>
        <v/>
      </c>
      <c r="GP224" s="469" t="str">
        <f ca="1">IF(OR(GP$169&lt;SwaptionFirstMonthPosition+1,$FN224&lt;SwaptionFirstMonthPosition+1,GP$169&gt;SwaptionFirstMonthPosition+SwaptionNumOfMonths+1,$FN224&gt;SwaptionFirstMonthPosition+SwaptionNumOfMonths+1),"",IF($FN224=GP$169,1,IF($FN224&lt;GP$169,INDEX($FO$170:$IH$241,GP$169,$FN224),SUMPRODUCT(INDEX($FO$325:$IH$396,GP$169,1+SwaptionShift):INDEX($FO$325:$IH$396,GP$169,SwaptionMonthsToGo+SwaptionShift),INDEX($FO$245:$IH$316,$FN224-GP$169,73-GP$169+SwaptionShift):INDEX($FO$245:$IH$316,$FN224-GP$169,72-GP$169+SwaptionMonthsToGo+SwaptionShift))/SQRT(SUM(INDEX($FO379:$IH379,1+SwaptionShift):INDEX($FO379:$IH379,SwaptionMonthsToGo+SwaptionShift))*SUM(INDEX($FO$325:$IH$396,GP$169,1+SwaptionShift):INDEX($FO$325:$IH$396,GP$169,SwaptionMonthsToGo+SwaptionShift))))))</f>
        <v/>
      </c>
      <c r="GQ224" s="469" t="str">
        <f ca="1">IF(OR(GQ$169&lt;SwaptionFirstMonthPosition+1,$FN224&lt;SwaptionFirstMonthPosition+1,GQ$169&gt;SwaptionFirstMonthPosition+SwaptionNumOfMonths+1,$FN224&gt;SwaptionFirstMonthPosition+SwaptionNumOfMonths+1),"",IF($FN224=GQ$169,1,IF($FN224&lt;GQ$169,INDEX($FO$170:$IH$241,GQ$169,$FN224),SUMPRODUCT(INDEX($FO$325:$IH$396,GQ$169,1+SwaptionShift):INDEX($FO$325:$IH$396,GQ$169,SwaptionMonthsToGo+SwaptionShift),INDEX($FO$245:$IH$316,$FN224-GQ$169,73-GQ$169+SwaptionShift):INDEX($FO$245:$IH$316,$FN224-GQ$169,72-GQ$169+SwaptionMonthsToGo+SwaptionShift))/SQRT(SUM(INDEX($FO379:$IH379,1+SwaptionShift):INDEX($FO379:$IH379,SwaptionMonthsToGo+SwaptionShift))*SUM(INDEX($FO$325:$IH$396,GQ$169,1+SwaptionShift):INDEX($FO$325:$IH$396,GQ$169,SwaptionMonthsToGo+SwaptionShift))))))</f>
        <v/>
      </c>
      <c r="GR224" s="469" t="str">
        <f ca="1">IF(OR(GR$169&lt;SwaptionFirstMonthPosition+1,$FN224&lt;SwaptionFirstMonthPosition+1,GR$169&gt;SwaptionFirstMonthPosition+SwaptionNumOfMonths+1,$FN224&gt;SwaptionFirstMonthPosition+SwaptionNumOfMonths+1),"",IF($FN224=GR$169,1,IF($FN224&lt;GR$169,INDEX($FO$170:$IH$241,GR$169,$FN224),SUMPRODUCT(INDEX($FO$325:$IH$396,GR$169,1+SwaptionShift):INDEX($FO$325:$IH$396,GR$169,SwaptionMonthsToGo+SwaptionShift),INDEX($FO$245:$IH$316,$FN224-GR$169,73-GR$169+SwaptionShift):INDEX($FO$245:$IH$316,$FN224-GR$169,72-GR$169+SwaptionMonthsToGo+SwaptionShift))/SQRT(SUM(INDEX($FO379:$IH379,1+SwaptionShift):INDEX($FO379:$IH379,SwaptionMonthsToGo+SwaptionShift))*SUM(INDEX($FO$325:$IH$396,GR$169,1+SwaptionShift):INDEX($FO$325:$IH$396,GR$169,SwaptionMonthsToGo+SwaptionShift))))))</f>
        <v/>
      </c>
      <c r="GS224" s="469" t="str">
        <f ca="1">IF(OR(GS$169&lt;SwaptionFirstMonthPosition+1,$FN224&lt;SwaptionFirstMonthPosition+1,GS$169&gt;SwaptionFirstMonthPosition+SwaptionNumOfMonths+1,$FN224&gt;SwaptionFirstMonthPosition+SwaptionNumOfMonths+1),"",IF($FN224=GS$169,1,IF($FN224&lt;GS$169,INDEX($FO$170:$IH$241,GS$169,$FN224),SUMPRODUCT(INDEX($FO$325:$IH$396,GS$169,1+SwaptionShift):INDEX($FO$325:$IH$396,GS$169,SwaptionMonthsToGo+SwaptionShift),INDEX($FO$245:$IH$316,$FN224-GS$169,73-GS$169+SwaptionShift):INDEX($FO$245:$IH$316,$FN224-GS$169,72-GS$169+SwaptionMonthsToGo+SwaptionShift))/SQRT(SUM(INDEX($FO379:$IH379,1+SwaptionShift):INDEX($FO379:$IH379,SwaptionMonthsToGo+SwaptionShift))*SUM(INDEX($FO$325:$IH$396,GS$169,1+SwaptionShift):INDEX($FO$325:$IH$396,GS$169,SwaptionMonthsToGo+SwaptionShift))))))</f>
        <v/>
      </c>
      <c r="GT224" s="469" t="str">
        <f ca="1">IF(OR(GT$169&lt;SwaptionFirstMonthPosition+1,$FN224&lt;SwaptionFirstMonthPosition+1,GT$169&gt;SwaptionFirstMonthPosition+SwaptionNumOfMonths+1,$FN224&gt;SwaptionFirstMonthPosition+SwaptionNumOfMonths+1),"",IF($FN224=GT$169,1,IF($FN224&lt;GT$169,INDEX($FO$170:$IH$241,GT$169,$FN224),SUMPRODUCT(INDEX($FO$325:$IH$396,GT$169,1+SwaptionShift):INDEX($FO$325:$IH$396,GT$169,SwaptionMonthsToGo+SwaptionShift),INDEX($FO$245:$IH$316,$FN224-GT$169,73-GT$169+SwaptionShift):INDEX($FO$245:$IH$316,$FN224-GT$169,72-GT$169+SwaptionMonthsToGo+SwaptionShift))/SQRT(SUM(INDEX($FO379:$IH379,1+SwaptionShift):INDEX($FO379:$IH379,SwaptionMonthsToGo+SwaptionShift))*SUM(INDEX($FO$325:$IH$396,GT$169,1+SwaptionShift):INDEX($FO$325:$IH$396,GT$169,SwaptionMonthsToGo+SwaptionShift))))))</f>
        <v/>
      </c>
      <c r="GU224" s="469" t="str">
        <f ca="1">IF(OR(GU$169&lt;SwaptionFirstMonthPosition+1,$FN224&lt;SwaptionFirstMonthPosition+1,GU$169&gt;SwaptionFirstMonthPosition+SwaptionNumOfMonths+1,$FN224&gt;SwaptionFirstMonthPosition+SwaptionNumOfMonths+1),"",IF($FN224=GU$169,1,IF($FN224&lt;GU$169,INDEX($FO$170:$IH$241,GU$169,$FN224),SUMPRODUCT(INDEX($FO$325:$IH$396,GU$169,1+SwaptionShift):INDEX($FO$325:$IH$396,GU$169,SwaptionMonthsToGo+SwaptionShift),INDEX($FO$245:$IH$316,$FN224-GU$169,73-GU$169+SwaptionShift):INDEX($FO$245:$IH$316,$FN224-GU$169,72-GU$169+SwaptionMonthsToGo+SwaptionShift))/SQRT(SUM(INDEX($FO379:$IH379,1+SwaptionShift):INDEX($FO379:$IH379,SwaptionMonthsToGo+SwaptionShift))*SUM(INDEX($FO$325:$IH$396,GU$169,1+SwaptionShift):INDEX($FO$325:$IH$396,GU$169,SwaptionMonthsToGo+SwaptionShift))))))</f>
        <v/>
      </c>
      <c r="GV224" s="469" t="str">
        <f ca="1">IF(OR(GV$169&lt;SwaptionFirstMonthPosition+1,$FN224&lt;SwaptionFirstMonthPosition+1,GV$169&gt;SwaptionFirstMonthPosition+SwaptionNumOfMonths+1,$FN224&gt;SwaptionFirstMonthPosition+SwaptionNumOfMonths+1),"",IF($FN224=GV$169,1,IF($FN224&lt;GV$169,INDEX($FO$170:$IH$241,GV$169,$FN224),SUMPRODUCT(INDEX($FO$325:$IH$396,GV$169,1+SwaptionShift):INDEX($FO$325:$IH$396,GV$169,SwaptionMonthsToGo+SwaptionShift),INDEX($FO$245:$IH$316,$FN224-GV$169,73-GV$169+SwaptionShift):INDEX($FO$245:$IH$316,$FN224-GV$169,72-GV$169+SwaptionMonthsToGo+SwaptionShift))/SQRT(SUM(INDEX($FO379:$IH379,1+SwaptionShift):INDEX($FO379:$IH379,SwaptionMonthsToGo+SwaptionShift))*SUM(INDEX($FO$325:$IH$396,GV$169,1+SwaptionShift):INDEX($FO$325:$IH$396,GV$169,SwaptionMonthsToGo+SwaptionShift))))))</f>
        <v/>
      </c>
      <c r="GW224" s="469" t="str">
        <f ca="1">IF(OR(GW$169&lt;SwaptionFirstMonthPosition+1,$FN224&lt;SwaptionFirstMonthPosition+1,GW$169&gt;SwaptionFirstMonthPosition+SwaptionNumOfMonths+1,$FN224&gt;SwaptionFirstMonthPosition+SwaptionNumOfMonths+1),"",IF($FN224=GW$169,1,IF($FN224&lt;GW$169,INDEX($FO$170:$IH$241,GW$169,$FN224),SUMPRODUCT(INDEX($FO$325:$IH$396,GW$169,1+SwaptionShift):INDEX($FO$325:$IH$396,GW$169,SwaptionMonthsToGo+SwaptionShift),INDEX($FO$245:$IH$316,$FN224-GW$169,73-GW$169+SwaptionShift):INDEX($FO$245:$IH$316,$FN224-GW$169,72-GW$169+SwaptionMonthsToGo+SwaptionShift))/SQRT(SUM(INDEX($FO379:$IH379,1+SwaptionShift):INDEX($FO379:$IH379,SwaptionMonthsToGo+SwaptionShift))*SUM(INDEX($FO$325:$IH$396,GW$169,1+SwaptionShift):INDEX($FO$325:$IH$396,GW$169,SwaptionMonthsToGo+SwaptionShift))))))</f>
        <v/>
      </c>
      <c r="GX224" s="469" t="str">
        <f ca="1">IF(OR(GX$169&lt;SwaptionFirstMonthPosition+1,$FN224&lt;SwaptionFirstMonthPosition+1,GX$169&gt;SwaptionFirstMonthPosition+SwaptionNumOfMonths+1,$FN224&gt;SwaptionFirstMonthPosition+SwaptionNumOfMonths+1),"",IF($FN224=GX$169,1,IF($FN224&lt;GX$169,INDEX($FO$170:$IH$241,GX$169,$FN224),SUMPRODUCT(INDEX($FO$325:$IH$396,GX$169,1+SwaptionShift):INDEX($FO$325:$IH$396,GX$169,SwaptionMonthsToGo+SwaptionShift),INDEX($FO$245:$IH$316,$FN224-GX$169,73-GX$169+SwaptionShift):INDEX($FO$245:$IH$316,$FN224-GX$169,72-GX$169+SwaptionMonthsToGo+SwaptionShift))/SQRT(SUM(INDEX($FO379:$IH379,1+SwaptionShift):INDEX($FO379:$IH379,SwaptionMonthsToGo+SwaptionShift))*SUM(INDEX($FO$325:$IH$396,GX$169,1+SwaptionShift):INDEX($FO$325:$IH$396,GX$169,SwaptionMonthsToGo+SwaptionShift))))))</f>
        <v/>
      </c>
      <c r="GY224" s="469" t="str">
        <f ca="1">IF(OR(GY$169&lt;SwaptionFirstMonthPosition+1,$FN224&lt;SwaptionFirstMonthPosition+1,GY$169&gt;SwaptionFirstMonthPosition+SwaptionNumOfMonths+1,$FN224&gt;SwaptionFirstMonthPosition+SwaptionNumOfMonths+1),"",IF($FN224=GY$169,1,IF($FN224&lt;GY$169,INDEX($FO$170:$IH$241,GY$169,$FN224),SUMPRODUCT(INDEX($FO$325:$IH$396,GY$169,1+SwaptionShift):INDEX($FO$325:$IH$396,GY$169,SwaptionMonthsToGo+SwaptionShift),INDEX($FO$245:$IH$316,$FN224-GY$169,73-GY$169+SwaptionShift):INDEX($FO$245:$IH$316,$FN224-GY$169,72-GY$169+SwaptionMonthsToGo+SwaptionShift))/SQRT(SUM(INDEX($FO379:$IH379,1+SwaptionShift):INDEX($FO379:$IH379,SwaptionMonthsToGo+SwaptionShift))*SUM(INDEX($FO$325:$IH$396,GY$169,1+SwaptionShift):INDEX($FO$325:$IH$396,GY$169,SwaptionMonthsToGo+SwaptionShift))))))</f>
        <v/>
      </c>
      <c r="GZ224" s="469" t="str">
        <f ca="1">IF(OR(GZ$169&lt;SwaptionFirstMonthPosition+1,$FN224&lt;SwaptionFirstMonthPosition+1,GZ$169&gt;SwaptionFirstMonthPosition+SwaptionNumOfMonths+1,$FN224&gt;SwaptionFirstMonthPosition+SwaptionNumOfMonths+1),"",IF($FN224=GZ$169,1,IF($FN224&lt;GZ$169,INDEX($FO$170:$IH$241,GZ$169,$FN224),SUMPRODUCT(INDEX($FO$325:$IH$396,GZ$169,1+SwaptionShift):INDEX($FO$325:$IH$396,GZ$169,SwaptionMonthsToGo+SwaptionShift),INDEX($FO$245:$IH$316,$FN224-GZ$169,73-GZ$169+SwaptionShift):INDEX($FO$245:$IH$316,$FN224-GZ$169,72-GZ$169+SwaptionMonthsToGo+SwaptionShift))/SQRT(SUM(INDEX($FO379:$IH379,1+SwaptionShift):INDEX($FO379:$IH379,SwaptionMonthsToGo+SwaptionShift))*SUM(INDEX($FO$325:$IH$396,GZ$169,1+SwaptionShift):INDEX($FO$325:$IH$396,GZ$169,SwaptionMonthsToGo+SwaptionShift))))))</f>
        <v/>
      </c>
      <c r="HA224" s="469" t="str">
        <f ca="1">IF(OR(HA$169&lt;SwaptionFirstMonthPosition+1,$FN224&lt;SwaptionFirstMonthPosition+1,HA$169&gt;SwaptionFirstMonthPosition+SwaptionNumOfMonths+1,$FN224&gt;SwaptionFirstMonthPosition+SwaptionNumOfMonths+1),"",IF($FN224=HA$169,1,IF($FN224&lt;HA$169,INDEX($FO$170:$IH$241,HA$169,$FN224),SUMPRODUCT(INDEX($FO$325:$IH$396,HA$169,1+SwaptionShift):INDEX($FO$325:$IH$396,HA$169,SwaptionMonthsToGo+SwaptionShift),INDEX($FO$245:$IH$316,$FN224-HA$169,73-HA$169+SwaptionShift):INDEX($FO$245:$IH$316,$FN224-HA$169,72-HA$169+SwaptionMonthsToGo+SwaptionShift))/SQRT(SUM(INDEX($FO379:$IH379,1+SwaptionShift):INDEX($FO379:$IH379,SwaptionMonthsToGo+SwaptionShift))*SUM(INDEX($FO$325:$IH$396,HA$169,1+SwaptionShift):INDEX($FO$325:$IH$396,HA$169,SwaptionMonthsToGo+SwaptionShift))))))</f>
        <v/>
      </c>
      <c r="HB224" s="469" t="str">
        <f ca="1">IF(OR(HB$169&lt;SwaptionFirstMonthPosition+1,$FN224&lt;SwaptionFirstMonthPosition+1,HB$169&gt;SwaptionFirstMonthPosition+SwaptionNumOfMonths+1,$FN224&gt;SwaptionFirstMonthPosition+SwaptionNumOfMonths+1),"",IF($FN224=HB$169,1,IF($FN224&lt;HB$169,INDEX($FO$170:$IH$241,HB$169,$FN224),SUMPRODUCT(INDEX($FO$325:$IH$396,HB$169,1+SwaptionShift):INDEX($FO$325:$IH$396,HB$169,SwaptionMonthsToGo+SwaptionShift),INDEX($FO$245:$IH$316,$FN224-HB$169,73-HB$169+SwaptionShift):INDEX($FO$245:$IH$316,$FN224-HB$169,72-HB$169+SwaptionMonthsToGo+SwaptionShift))/SQRT(SUM(INDEX($FO379:$IH379,1+SwaptionShift):INDEX($FO379:$IH379,SwaptionMonthsToGo+SwaptionShift))*SUM(INDEX($FO$325:$IH$396,HB$169,1+SwaptionShift):INDEX($FO$325:$IH$396,HB$169,SwaptionMonthsToGo+SwaptionShift))))))</f>
        <v/>
      </c>
      <c r="HC224" s="469" t="str">
        <f ca="1">IF(OR(HC$169&lt;SwaptionFirstMonthPosition+1,$FN224&lt;SwaptionFirstMonthPosition+1,HC$169&gt;SwaptionFirstMonthPosition+SwaptionNumOfMonths+1,$FN224&gt;SwaptionFirstMonthPosition+SwaptionNumOfMonths+1),"",IF($FN224=HC$169,1,IF($FN224&lt;HC$169,INDEX($FO$170:$IH$241,HC$169,$FN224),SUMPRODUCT(INDEX($FO$325:$IH$396,HC$169,1+SwaptionShift):INDEX($FO$325:$IH$396,HC$169,SwaptionMonthsToGo+SwaptionShift),INDEX($FO$245:$IH$316,$FN224-HC$169,73-HC$169+SwaptionShift):INDEX($FO$245:$IH$316,$FN224-HC$169,72-HC$169+SwaptionMonthsToGo+SwaptionShift))/SQRT(SUM(INDEX($FO379:$IH379,1+SwaptionShift):INDEX($FO379:$IH379,SwaptionMonthsToGo+SwaptionShift))*SUM(INDEX($FO$325:$IH$396,HC$169,1+SwaptionShift):INDEX($FO$325:$IH$396,HC$169,SwaptionMonthsToGo+SwaptionShift))))))</f>
        <v/>
      </c>
      <c r="HD224" s="469" t="str">
        <f ca="1">IF(OR(HD$169&lt;SwaptionFirstMonthPosition+1,$FN224&lt;SwaptionFirstMonthPosition+1,HD$169&gt;SwaptionFirstMonthPosition+SwaptionNumOfMonths+1,$FN224&gt;SwaptionFirstMonthPosition+SwaptionNumOfMonths+1),"",IF($FN224=HD$169,1,IF($FN224&lt;HD$169,INDEX($FO$170:$IH$241,HD$169,$FN224),SUMPRODUCT(INDEX($FO$325:$IH$396,HD$169,1+SwaptionShift):INDEX($FO$325:$IH$396,HD$169,SwaptionMonthsToGo+SwaptionShift),INDEX($FO$245:$IH$316,$FN224-HD$169,73-HD$169+SwaptionShift):INDEX($FO$245:$IH$316,$FN224-HD$169,72-HD$169+SwaptionMonthsToGo+SwaptionShift))/SQRT(SUM(INDEX($FO379:$IH379,1+SwaptionShift):INDEX($FO379:$IH379,SwaptionMonthsToGo+SwaptionShift))*SUM(INDEX($FO$325:$IH$396,HD$169,1+SwaptionShift):INDEX($FO$325:$IH$396,HD$169,SwaptionMonthsToGo+SwaptionShift))))))</f>
        <v/>
      </c>
      <c r="HE224" s="469" t="str">
        <f ca="1">IF(OR(HE$169&lt;SwaptionFirstMonthPosition+1,$FN224&lt;SwaptionFirstMonthPosition+1,HE$169&gt;SwaptionFirstMonthPosition+SwaptionNumOfMonths+1,$FN224&gt;SwaptionFirstMonthPosition+SwaptionNumOfMonths+1),"",IF($FN224=HE$169,1,IF($FN224&lt;HE$169,INDEX($FO$170:$IH$241,HE$169,$FN224),SUMPRODUCT(INDEX($FO$325:$IH$396,HE$169,1+SwaptionShift):INDEX($FO$325:$IH$396,HE$169,SwaptionMonthsToGo+SwaptionShift),INDEX($FO$245:$IH$316,$FN224-HE$169,73-HE$169+SwaptionShift):INDEX($FO$245:$IH$316,$FN224-HE$169,72-HE$169+SwaptionMonthsToGo+SwaptionShift))/SQRT(SUM(INDEX($FO379:$IH379,1+SwaptionShift):INDEX($FO379:$IH379,SwaptionMonthsToGo+SwaptionShift))*SUM(INDEX($FO$325:$IH$396,HE$169,1+SwaptionShift):INDEX($FO$325:$IH$396,HE$169,SwaptionMonthsToGo+SwaptionShift))))))</f>
        <v/>
      </c>
      <c r="HF224" s="469" t="str">
        <f ca="1">IF(OR(HF$169&lt;SwaptionFirstMonthPosition+1,$FN224&lt;SwaptionFirstMonthPosition+1,HF$169&gt;SwaptionFirstMonthPosition+SwaptionNumOfMonths+1,$FN224&gt;SwaptionFirstMonthPosition+SwaptionNumOfMonths+1),"",IF($FN224=HF$169,1,IF($FN224&lt;HF$169,INDEX($FO$170:$IH$241,HF$169,$FN224),SUMPRODUCT(INDEX($FO$325:$IH$396,HF$169,1+SwaptionShift):INDEX($FO$325:$IH$396,HF$169,SwaptionMonthsToGo+SwaptionShift),INDEX($FO$245:$IH$316,$FN224-HF$169,73-HF$169+SwaptionShift):INDEX($FO$245:$IH$316,$FN224-HF$169,72-HF$169+SwaptionMonthsToGo+SwaptionShift))/SQRT(SUM(INDEX($FO379:$IH379,1+SwaptionShift):INDEX($FO379:$IH379,SwaptionMonthsToGo+SwaptionShift))*SUM(INDEX($FO$325:$IH$396,HF$169,1+SwaptionShift):INDEX($FO$325:$IH$396,HF$169,SwaptionMonthsToGo+SwaptionShift))))))</f>
        <v/>
      </c>
      <c r="HG224" s="469" t="str">
        <f ca="1">IF(OR(HG$169&lt;SwaptionFirstMonthPosition+1,$FN224&lt;SwaptionFirstMonthPosition+1,HG$169&gt;SwaptionFirstMonthPosition+SwaptionNumOfMonths+1,$FN224&gt;SwaptionFirstMonthPosition+SwaptionNumOfMonths+1),"",IF($FN224=HG$169,1,IF($FN224&lt;HG$169,INDEX($FO$170:$IH$241,HG$169,$FN224),SUMPRODUCT(INDEX($FO$325:$IH$396,HG$169,1+SwaptionShift):INDEX($FO$325:$IH$396,HG$169,SwaptionMonthsToGo+SwaptionShift),INDEX($FO$245:$IH$316,$FN224-HG$169,73-HG$169+SwaptionShift):INDEX($FO$245:$IH$316,$FN224-HG$169,72-HG$169+SwaptionMonthsToGo+SwaptionShift))/SQRT(SUM(INDEX($FO379:$IH379,1+SwaptionShift):INDEX($FO379:$IH379,SwaptionMonthsToGo+SwaptionShift))*SUM(INDEX($FO$325:$IH$396,HG$169,1+SwaptionShift):INDEX($FO$325:$IH$396,HG$169,SwaptionMonthsToGo+SwaptionShift))))))</f>
        <v/>
      </c>
      <c r="HH224" s="469" t="str">
        <f ca="1">IF(OR(HH$169&lt;SwaptionFirstMonthPosition+1,$FN224&lt;SwaptionFirstMonthPosition+1,HH$169&gt;SwaptionFirstMonthPosition+SwaptionNumOfMonths+1,$FN224&gt;SwaptionFirstMonthPosition+SwaptionNumOfMonths+1),"",IF($FN224=HH$169,1,IF($FN224&lt;HH$169,INDEX($FO$170:$IH$241,HH$169,$FN224),SUMPRODUCT(INDEX($FO$325:$IH$396,HH$169,1+SwaptionShift):INDEX($FO$325:$IH$396,HH$169,SwaptionMonthsToGo+SwaptionShift),INDEX($FO$245:$IH$316,$FN224-HH$169,73-HH$169+SwaptionShift):INDEX($FO$245:$IH$316,$FN224-HH$169,72-HH$169+SwaptionMonthsToGo+SwaptionShift))/SQRT(SUM(INDEX($FO379:$IH379,1+SwaptionShift):INDEX($FO379:$IH379,SwaptionMonthsToGo+SwaptionShift))*SUM(INDEX($FO$325:$IH$396,HH$169,1+SwaptionShift):INDEX($FO$325:$IH$396,HH$169,SwaptionMonthsToGo+SwaptionShift))))))</f>
        <v/>
      </c>
      <c r="HI224" s="469" t="str">
        <f ca="1">IF(OR(HI$169&lt;SwaptionFirstMonthPosition+1,$FN224&lt;SwaptionFirstMonthPosition+1,HI$169&gt;SwaptionFirstMonthPosition+SwaptionNumOfMonths+1,$FN224&gt;SwaptionFirstMonthPosition+SwaptionNumOfMonths+1),"",IF($FN224=HI$169,1,IF($FN224&lt;HI$169,INDEX($FO$170:$IH$241,HI$169,$FN224),SUMPRODUCT(INDEX($FO$325:$IH$396,HI$169,1+SwaptionShift):INDEX($FO$325:$IH$396,HI$169,SwaptionMonthsToGo+SwaptionShift),INDEX($FO$245:$IH$316,$FN224-HI$169,73-HI$169+SwaptionShift):INDEX($FO$245:$IH$316,$FN224-HI$169,72-HI$169+SwaptionMonthsToGo+SwaptionShift))/SQRT(SUM(INDEX($FO379:$IH379,1+SwaptionShift):INDEX($FO379:$IH379,SwaptionMonthsToGo+SwaptionShift))*SUM(INDEX($FO$325:$IH$396,HI$169,1+SwaptionShift):INDEX($FO$325:$IH$396,HI$169,SwaptionMonthsToGo+SwaptionShift))))))</f>
        <v/>
      </c>
      <c r="HJ224" s="469" t="str">
        <f ca="1">IF(OR(HJ$169&lt;SwaptionFirstMonthPosition+1,$FN224&lt;SwaptionFirstMonthPosition+1,HJ$169&gt;SwaptionFirstMonthPosition+SwaptionNumOfMonths+1,$FN224&gt;SwaptionFirstMonthPosition+SwaptionNumOfMonths+1),"",IF($FN224=HJ$169,1,IF($FN224&lt;HJ$169,INDEX($FO$170:$IH$241,HJ$169,$FN224),SUMPRODUCT(INDEX($FO$325:$IH$396,HJ$169,1+SwaptionShift):INDEX($FO$325:$IH$396,HJ$169,SwaptionMonthsToGo+SwaptionShift),INDEX($FO$245:$IH$316,$FN224-HJ$169,73-HJ$169+SwaptionShift):INDEX($FO$245:$IH$316,$FN224-HJ$169,72-HJ$169+SwaptionMonthsToGo+SwaptionShift))/SQRT(SUM(INDEX($FO379:$IH379,1+SwaptionShift):INDEX($FO379:$IH379,SwaptionMonthsToGo+SwaptionShift))*SUM(INDEX($FO$325:$IH$396,HJ$169,1+SwaptionShift):INDEX($FO$325:$IH$396,HJ$169,SwaptionMonthsToGo+SwaptionShift))))))</f>
        <v/>
      </c>
      <c r="HK224" s="469" t="str">
        <f ca="1">IF(OR(HK$169&lt;SwaptionFirstMonthPosition+1,$FN224&lt;SwaptionFirstMonthPosition+1,HK$169&gt;SwaptionFirstMonthPosition+SwaptionNumOfMonths+1,$FN224&gt;SwaptionFirstMonthPosition+SwaptionNumOfMonths+1),"",IF($FN224=HK$169,1,IF($FN224&lt;HK$169,INDEX($FO$170:$IH$241,HK$169,$FN224),SUMPRODUCT(INDEX($FO$325:$IH$396,HK$169,1+SwaptionShift):INDEX($FO$325:$IH$396,HK$169,SwaptionMonthsToGo+SwaptionShift),INDEX($FO$245:$IH$316,$FN224-HK$169,73-HK$169+SwaptionShift):INDEX($FO$245:$IH$316,$FN224-HK$169,72-HK$169+SwaptionMonthsToGo+SwaptionShift))/SQRT(SUM(INDEX($FO379:$IH379,1+SwaptionShift):INDEX($FO379:$IH379,SwaptionMonthsToGo+SwaptionShift))*SUM(INDEX($FO$325:$IH$396,HK$169,1+SwaptionShift):INDEX($FO$325:$IH$396,HK$169,SwaptionMonthsToGo+SwaptionShift))))))</f>
        <v/>
      </c>
      <c r="HL224" s="469" t="str">
        <f ca="1">IF(OR(HL$169&lt;SwaptionFirstMonthPosition+1,$FN224&lt;SwaptionFirstMonthPosition+1,HL$169&gt;SwaptionFirstMonthPosition+SwaptionNumOfMonths+1,$FN224&gt;SwaptionFirstMonthPosition+SwaptionNumOfMonths+1),"",IF($FN224=HL$169,1,IF($FN224&lt;HL$169,INDEX($FO$170:$IH$241,HL$169,$FN224),SUMPRODUCT(INDEX($FO$325:$IH$396,HL$169,1+SwaptionShift):INDEX($FO$325:$IH$396,HL$169,SwaptionMonthsToGo+SwaptionShift),INDEX($FO$245:$IH$316,$FN224-HL$169,73-HL$169+SwaptionShift):INDEX($FO$245:$IH$316,$FN224-HL$169,72-HL$169+SwaptionMonthsToGo+SwaptionShift))/SQRT(SUM(INDEX($FO379:$IH379,1+SwaptionShift):INDEX($FO379:$IH379,SwaptionMonthsToGo+SwaptionShift))*SUM(INDEX($FO$325:$IH$396,HL$169,1+SwaptionShift):INDEX($FO$325:$IH$396,HL$169,SwaptionMonthsToGo+SwaptionShift))))))</f>
        <v/>
      </c>
      <c r="HM224" s="469" t="str">
        <f ca="1">IF(OR(HM$169&lt;SwaptionFirstMonthPosition+1,$FN224&lt;SwaptionFirstMonthPosition+1,HM$169&gt;SwaptionFirstMonthPosition+SwaptionNumOfMonths+1,$FN224&gt;SwaptionFirstMonthPosition+SwaptionNumOfMonths+1),"",IF($FN224=HM$169,1,IF($FN224&lt;HM$169,INDEX($FO$170:$IH$241,HM$169,$FN224),SUMPRODUCT(INDEX($FO$325:$IH$396,HM$169,1+SwaptionShift):INDEX($FO$325:$IH$396,HM$169,SwaptionMonthsToGo+SwaptionShift),INDEX($FO$245:$IH$316,$FN224-HM$169,73-HM$169+SwaptionShift):INDEX($FO$245:$IH$316,$FN224-HM$169,72-HM$169+SwaptionMonthsToGo+SwaptionShift))/SQRT(SUM(INDEX($FO379:$IH379,1+SwaptionShift):INDEX($FO379:$IH379,SwaptionMonthsToGo+SwaptionShift))*SUM(INDEX($FO$325:$IH$396,HM$169,1+SwaptionShift):INDEX($FO$325:$IH$396,HM$169,SwaptionMonthsToGo+SwaptionShift))))))</f>
        <v/>
      </c>
      <c r="HN224" s="469" t="str">
        <f ca="1">IF(OR(HN$169&lt;SwaptionFirstMonthPosition+1,$FN224&lt;SwaptionFirstMonthPosition+1,HN$169&gt;SwaptionFirstMonthPosition+SwaptionNumOfMonths+1,$FN224&gt;SwaptionFirstMonthPosition+SwaptionNumOfMonths+1),"",IF($FN224=HN$169,1,IF($FN224&lt;HN$169,INDEX($FO$170:$IH$241,HN$169,$FN224),SUMPRODUCT(INDEX($FO$325:$IH$396,HN$169,1+SwaptionShift):INDEX($FO$325:$IH$396,HN$169,SwaptionMonthsToGo+SwaptionShift),INDEX($FO$245:$IH$316,$FN224-HN$169,73-HN$169+SwaptionShift):INDEX($FO$245:$IH$316,$FN224-HN$169,72-HN$169+SwaptionMonthsToGo+SwaptionShift))/SQRT(SUM(INDEX($FO379:$IH379,1+SwaptionShift):INDEX($FO379:$IH379,SwaptionMonthsToGo+SwaptionShift))*SUM(INDEX($FO$325:$IH$396,HN$169,1+SwaptionShift):INDEX($FO$325:$IH$396,HN$169,SwaptionMonthsToGo+SwaptionShift))))))</f>
        <v/>
      </c>
      <c r="HO224" s="469" t="str">
        <f ca="1">IF(OR(HO$169&lt;SwaptionFirstMonthPosition+1,$FN224&lt;SwaptionFirstMonthPosition+1,HO$169&gt;SwaptionFirstMonthPosition+SwaptionNumOfMonths+1,$FN224&gt;SwaptionFirstMonthPosition+SwaptionNumOfMonths+1),"",IF($FN224=HO$169,1,IF($FN224&lt;HO$169,INDEX($FO$170:$IH$241,HO$169,$FN224),SUMPRODUCT(INDEX($FO$325:$IH$396,HO$169,1+SwaptionShift):INDEX($FO$325:$IH$396,HO$169,SwaptionMonthsToGo+SwaptionShift),INDEX($FO$245:$IH$316,$FN224-HO$169,73-HO$169+SwaptionShift):INDEX($FO$245:$IH$316,$FN224-HO$169,72-HO$169+SwaptionMonthsToGo+SwaptionShift))/SQRT(SUM(INDEX($FO379:$IH379,1+SwaptionShift):INDEX($FO379:$IH379,SwaptionMonthsToGo+SwaptionShift))*SUM(INDEX($FO$325:$IH$396,HO$169,1+SwaptionShift):INDEX($FO$325:$IH$396,HO$169,SwaptionMonthsToGo+SwaptionShift))))))</f>
        <v/>
      </c>
      <c r="HP224" s="469" t="str">
        <f ca="1">IF(OR(HP$169&lt;SwaptionFirstMonthPosition+1,$FN224&lt;SwaptionFirstMonthPosition+1,HP$169&gt;SwaptionFirstMonthPosition+SwaptionNumOfMonths+1,$FN224&gt;SwaptionFirstMonthPosition+SwaptionNumOfMonths+1),"",IF($FN224=HP$169,1,IF($FN224&lt;HP$169,INDEX($FO$170:$IH$241,HP$169,$FN224),SUMPRODUCT(INDEX($FO$325:$IH$396,HP$169,1+SwaptionShift):INDEX($FO$325:$IH$396,HP$169,SwaptionMonthsToGo+SwaptionShift),INDEX($FO$245:$IH$316,$FN224-HP$169,73-HP$169+SwaptionShift):INDEX($FO$245:$IH$316,$FN224-HP$169,72-HP$169+SwaptionMonthsToGo+SwaptionShift))/SQRT(SUM(INDEX($FO379:$IH379,1+SwaptionShift):INDEX($FO379:$IH379,SwaptionMonthsToGo+SwaptionShift))*SUM(INDEX($FO$325:$IH$396,HP$169,1+SwaptionShift):INDEX($FO$325:$IH$396,HP$169,SwaptionMonthsToGo+SwaptionShift))))))</f>
        <v/>
      </c>
      <c r="HQ224" s="469" t="str">
        <f ca="1">IF(OR(HQ$169&lt;SwaptionFirstMonthPosition+1,$FN224&lt;SwaptionFirstMonthPosition+1,HQ$169&gt;SwaptionFirstMonthPosition+SwaptionNumOfMonths+1,$FN224&gt;SwaptionFirstMonthPosition+SwaptionNumOfMonths+1),"",IF($FN224=HQ$169,1,IF($FN224&lt;HQ$169,INDEX($FO$170:$IH$241,HQ$169,$FN224),SUMPRODUCT(INDEX($FO$325:$IH$396,HQ$169,1+SwaptionShift):INDEX($FO$325:$IH$396,HQ$169,SwaptionMonthsToGo+SwaptionShift),INDEX($FO$245:$IH$316,$FN224-HQ$169,73-HQ$169+SwaptionShift):INDEX($FO$245:$IH$316,$FN224-HQ$169,72-HQ$169+SwaptionMonthsToGo+SwaptionShift))/SQRT(SUM(INDEX($FO379:$IH379,1+SwaptionShift):INDEX($FO379:$IH379,SwaptionMonthsToGo+SwaptionShift))*SUM(INDEX($FO$325:$IH$396,HQ$169,1+SwaptionShift):INDEX($FO$325:$IH$396,HQ$169,SwaptionMonthsToGo+SwaptionShift))))))</f>
        <v/>
      </c>
      <c r="HR224" s="469" t="str">
        <f ca="1">IF(OR(HR$169&lt;SwaptionFirstMonthPosition+1,$FN224&lt;SwaptionFirstMonthPosition+1,HR$169&gt;SwaptionFirstMonthPosition+SwaptionNumOfMonths+1,$FN224&gt;SwaptionFirstMonthPosition+SwaptionNumOfMonths+1),"",IF($FN224=HR$169,1,IF($FN224&lt;HR$169,INDEX($FO$170:$IH$241,HR$169,$FN224),SUMPRODUCT(INDEX($FO$325:$IH$396,HR$169,1+SwaptionShift):INDEX($FO$325:$IH$396,HR$169,SwaptionMonthsToGo+SwaptionShift),INDEX($FO$245:$IH$316,$FN224-HR$169,73-HR$169+SwaptionShift):INDEX($FO$245:$IH$316,$FN224-HR$169,72-HR$169+SwaptionMonthsToGo+SwaptionShift))/SQRT(SUM(INDEX($FO379:$IH379,1+SwaptionShift):INDEX($FO379:$IH379,SwaptionMonthsToGo+SwaptionShift))*SUM(INDEX($FO$325:$IH$396,HR$169,1+SwaptionShift):INDEX($FO$325:$IH$396,HR$169,SwaptionMonthsToGo+SwaptionShift))))))</f>
        <v/>
      </c>
      <c r="HS224" s="469" t="str">
        <f ca="1">IF(OR(HS$169&lt;SwaptionFirstMonthPosition+1,$FN224&lt;SwaptionFirstMonthPosition+1,HS$169&gt;SwaptionFirstMonthPosition+SwaptionNumOfMonths+1,$FN224&gt;SwaptionFirstMonthPosition+SwaptionNumOfMonths+1),"",IF($FN224=HS$169,1,IF($FN224&lt;HS$169,INDEX($FO$170:$IH$241,HS$169,$FN224),SUMPRODUCT(INDEX($FO$325:$IH$396,HS$169,1+SwaptionShift):INDEX($FO$325:$IH$396,HS$169,SwaptionMonthsToGo+SwaptionShift),INDEX($FO$245:$IH$316,$FN224-HS$169,73-HS$169+SwaptionShift):INDEX($FO$245:$IH$316,$FN224-HS$169,72-HS$169+SwaptionMonthsToGo+SwaptionShift))/SQRT(SUM(INDEX($FO379:$IH379,1+SwaptionShift):INDEX($FO379:$IH379,SwaptionMonthsToGo+SwaptionShift))*SUM(INDEX($FO$325:$IH$396,HS$169,1+SwaptionShift):INDEX($FO$325:$IH$396,HS$169,SwaptionMonthsToGo+SwaptionShift))))))</f>
        <v/>
      </c>
      <c r="HT224" s="469" t="str">
        <f ca="1">IF(OR(HT$169&lt;SwaptionFirstMonthPosition+1,$FN224&lt;SwaptionFirstMonthPosition+1,HT$169&gt;SwaptionFirstMonthPosition+SwaptionNumOfMonths+1,$FN224&gt;SwaptionFirstMonthPosition+SwaptionNumOfMonths+1),"",IF($FN224=HT$169,1,IF($FN224&lt;HT$169,INDEX($FO$170:$IH$241,HT$169,$FN224),SUMPRODUCT(INDEX($FO$325:$IH$396,HT$169,1+SwaptionShift):INDEX($FO$325:$IH$396,HT$169,SwaptionMonthsToGo+SwaptionShift),INDEX($FO$245:$IH$316,$FN224-HT$169,73-HT$169+SwaptionShift):INDEX($FO$245:$IH$316,$FN224-HT$169,72-HT$169+SwaptionMonthsToGo+SwaptionShift))/SQRT(SUM(INDEX($FO379:$IH379,1+SwaptionShift):INDEX($FO379:$IH379,SwaptionMonthsToGo+SwaptionShift))*SUM(INDEX($FO$325:$IH$396,HT$169,1+SwaptionShift):INDEX($FO$325:$IH$396,HT$169,SwaptionMonthsToGo+SwaptionShift))))))</f>
        <v/>
      </c>
      <c r="HU224" s="469" t="str">
        <f ca="1">IF(OR(HU$169&lt;SwaptionFirstMonthPosition+1,$FN224&lt;SwaptionFirstMonthPosition+1,HU$169&gt;SwaptionFirstMonthPosition+SwaptionNumOfMonths+1,$FN224&gt;SwaptionFirstMonthPosition+SwaptionNumOfMonths+1),"",IF($FN224=HU$169,1,IF($FN224&lt;HU$169,INDEX($FO$170:$IH$241,HU$169,$FN224),SUMPRODUCT(INDEX($FO$325:$IH$396,HU$169,1+SwaptionShift):INDEX($FO$325:$IH$396,HU$169,SwaptionMonthsToGo+SwaptionShift),INDEX($FO$245:$IH$316,$FN224-HU$169,73-HU$169+SwaptionShift):INDEX($FO$245:$IH$316,$FN224-HU$169,72-HU$169+SwaptionMonthsToGo+SwaptionShift))/SQRT(SUM(INDEX($FO379:$IH379,1+SwaptionShift):INDEX($FO379:$IH379,SwaptionMonthsToGo+SwaptionShift))*SUM(INDEX($FO$325:$IH$396,HU$169,1+SwaptionShift):INDEX($FO$325:$IH$396,HU$169,SwaptionMonthsToGo+SwaptionShift))))))</f>
        <v/>
      </c>
      <c r="HV224" s="469" t="str">
        <f ca="1">IF(OR(HV$169&lt;SwaptionFirstMonthPosition+1,$FN224&lt;SwaptionFirstMonthPosition+1,HV$169&gt;SwaptionFirstMonthPosition+SwaptionNumOfMonths+1,$FN224&gt;SwaptionFirstMonthPosition+SwaptionNumOfMonths+1),"",IF($FN224=HV$169,1,IF($FN224&lt;HV$169,INDEX($FO$170:$IH$241,HV$169,$FN224),SUMPRODUCT(INDEX($FO$325:$IH$396,HV$169,1+SwaptionShift):INDEX($FO$325:$IH$396,HV$169,SwaptionMonthsToGo+SwaptionShift),INDEX($FO$245:$IH$316,$FN224-HV$169,73-HV$169+SwaptionShift):INDEX($FO$245:$IH$316,$FN224-HV$169,72-HV$169+SwaptionMonthsToGo+SwaptionShift))/SQRT(SUM(INDEX($FO379:$IH379,1+SwaptionShift):INDEX($FO379:$IH379,SwaptionMonthsToGo+SwaptionShift))*SUM(INDEX($FO$325:$IH$396,HV$169,1+SwaptionShift):INDEX($FO$325:$IH$396,HV$169,SwaptionMonthsToGo+SwaptionShift))))))</f>
        <v/>
      </c>
      <c r="HW224" s="469" t="str">
        <f ca="1">IF(OR(HW$169&lt;SwaptionFirstMonthPosition+1,$FN224&lt;SwaptionFirstMonthPosition+1,HW$169&gt;SwaptionFirstMonthPosition+SwaptionNumOfMonths+1,$FN224&gt;SwaptionFirstMonthPosition+SwaptionNumOfMonths+1),"",IF($FN224=HW$169,1,IF($FN224&lt;HW$169,INDEX($FO$170:$IH$241,HW$169,$FN224),SUMPRODUCT(INDEX($FO$325:$IH$396,HW$169,1+SwaptionShift):INDEX($FO$325:$IH$396,HW$169,SwaptionMonthsToGo+SwaptionShift),INDEX($FO$245:$IH$316,$FN224-HW$169,73-HW$169+SwaptionShift):INDEX($FO$245:$IH$316,$FN224-HW$169,72-HW$169+SwaptionMonthsToGo+SwaptionShift))/SQRT(SUM(INDEX($FO379:$IH379,1+SwaptionShift):INDEX($FO379:$IH379,SwaptionMonthsToGo+SwaptionShift))*SUM(INDEX($FO$325:$IH$396,HW$169,1+SwaptionShift):INDEX($FO$325:$IH$396,HW$169,SwaptionMonthsToGo+SwaptionShift))))))</f>
        <v/>
      </c>
      <c r="HX224" s="469" t="str">
        <f ca="1">IF(OR(HX$169&lt;SwaptionFirstMonthPosition+1,$FN224&lt;SwaptionFirstMonthPosition+1,HX$169&gt;SwaptionFirstMonthPosition+SwaptionNumOfMonths+1,$FN224&gt;SwaptionFirstMonthPosition+SwaptionNumOfMonths+1),"",IF($FN224=HX$169,1,IF($FN224&lt;HX$169,INDEX($FO$170:$IH$241,HX$169,$FN224),SUMPRODUCT(INDEX($FO$325:$IH$396,HX$169,1+SwaptionShift):INDEX($FO$325:$IH$396,HX$169,SwaptionMonthsToGo+SwaptionShift),INDEX($FO$245:$IH$316,$FN224-HX$169,73-HX$169+SwaptionShift):INDEX($FO$245:$IH$316,$FN224-HX$169,72-HX$169+SwaptionMonthsToGo+SwaptionShift))/SQRT(SUM(INDEX($FO379:$IH379,1+SwaptionShift):INDEX($FO379:$IH379,SwaptionMonthsToGo+SwaptionShift))*SUM(INDEX($FO$325:$IH$396,HX$169,1+SwaptionShift):INDEX($FO$325:$IH$396,HX$169,SwaptionMonthsToGo+SwaptionShift))))))</f>
        <v/>
      </c>
      <c r="HY224" s="469" t="str">
        <f ca="1">IF(OR(HY$169&lt;SwaptionFirstMonthPosition+1,$FN224&lt;SwaptionFirstMonthPosition+1,HY$169&gt;SwaptionFirstMonthPosition+SwaptionNumOfMonths+1,$FN224&gt;SwaptionFirstMonthPosition+SwaptionNumOfMonths+1),"",IF($FN224=HY$169,1,IF($FN224&lt;HY$169,INDEX($FO$170:$IH$241,HY$169,$FN224),SUMPRODUCT(INDEX($FO$325:$IH$396,HY$169,1+SwaptionShift):INDEX($FO$325:$IH$396,HY$169,SwaptionMonthsToGo+SwaptionShift),INDEX($FO$245:$IH$316,$FN224-HY$169,73-HY$169+SwaptionShift):INDEX($FO$245:$IH$316,$FN224-HY$169,72-HY$169+SwaptionMonthsToGo+SwaptionShift))/SQRT(SUM(INDEX($FO379:$IH379,1+SwaptionShift):INDEX($FO379:$IH379,SwaptionMonthsToGo+SwaptionShift))*SUM(INDEX($FO$325:$IH$396,HY$169,1+SwaptionShift):INDEX($FO$325:$IH$396,HY$169,SwaptionMonthsToGo+SwaptionShift))))))</f>
        <v/>
      </c>
      <c r="HZ224" s="469" t="str">
        <f ca="1">IF(OR(HZ$169&lt;SwaptionFirstMonthPosition+1,$FN224&lt;SwaptionFirstMonthPosition+1,HZ$169&gt;SwaptionFirstMonthPosition+SwaptionNumOfMonths+1,$FN224&gt;SwaptionFirstMonthPosition+SwaptionNumOfMonths+1),"",IF($FN224=HZ$169,1,IF($FN224&lt;HZ$169,INDEX($FO$170:$IH$241,HZ$169,$FN224),SUMPRODUCT(INDEX($FO$325:$IH$396,HZ$169,1+SwaptionShift):INDEX($FO$325:$IH$396,HZ$169,SwaptionMonthsToGo+SwaptionShift),INDEX($FO$245:$IH$316,$FN224-HZ$169,73-HZ$169+SwaptionShift):INDEX($FO$245:$IH$316,$FN224-HZ$169,72-HZ$169+SwaptionMonthsToGo+SwaptionShift))/SQRT(SUM(INDEX($FO379:$IH379,1+SwaptionShift):INDEX($FO379:$IH379,SwaptionMonthsToGo+SwaptionShift))*SUM(INDEX($FO$325:$IH$396,HZ$169,1+SwaptionShift):INDEX($FO$325:$IH$396,HZ$169,SwaptionMonthsToGo+SwaptionShift))))))</f>
        <v/>
      </c>
      <c r="IA224" s="469" t="str">
        <f ca="1">IF(OR(IA$169&lt;SwaptionFirstMonthPosition+1,$FN224&lt;SwaptionFirstMonthPosition+1,IA$169&gt;SwaptionFirstMonthPosition+SwaptionNumOfMonths+1,$FN224&gt;SwaptionFirstMonthPosition+SwaptionNumOfMonths+1),"",IF($FN224=IA$169,1,IF($FN224&lt;IA$169,INDEX($FO$170:$IH$241,IA$169,$FN224),SUMPRODUCT(INDEX($FO$325:$IH$396,IA$169,1+SwaptionShift):INDEX($FO$325:$IH$396,IA$169,SwaptionMonthsToGo+SwaptionShift),INDEX($FO$245:$IH$316,$FN224-IA$169,73-IA$169+SwaptionShift):INDEX($FO$245:$IH$316,$FN224-IA$169,72-IA$169+SwaptionMonthsToGo+SwaptionShift))/SQRT(SUM(INDEX($FO379:$IH379,1+SwaptionShift):INDEX($FO379:$IH379,SwaptionMonthsToGo+SwaptionShift))*SUM(INDEX($FO$325:$IH$396,IA$169,1+SwaptionShift):INDEX($FO$325:$IH$396,IA$169,SwaptionMonthsToGo+SwaptionShift))))))</f>
        <v/>
      </c>
      <c r="IB224" s="469" t="str">
        <f ca="1">IF(OR(IB$169&lt;SwaptionFirstMonthPosition+1,$FN224&lt;SwaptionFirstMonthPosition+1,IB$169&gt;SwaptionFirstMonthPosition+SwaptionNumOfMonths+1,$FN224&gt;SwaptionFirstMonthPosition+SwaptionNumOfMonths+1),"",IF($FN224=IB$169,1,IF($FN224&lt;IB$169,INDEX($FO$170:$IH$241,IB$169,$FN224),SUMPRODUCT(INDEX($FO$325:$IH$396,IB$169,1+SwaptionShift):INDEX($FO$325:$IH$396,IB$169,SwaptionMonthsToGo+SwaptionShift),INDEX($FO$245:$IH$316,$FN224-IB$169,73-IB$169+SwaptionShift):INDEX($FO$245:$IH$316,$FN224-IB$169,72-IB$169+SwaptionMonthsToGo+SwaptionShift))/SQRT(SUM(INDEX($FO379:$IH379,1+SwaptionShift):INDEX($FO379:$IH379,SwaptionMonthsToGo+SwaptionShift))*SUM(INDEX($FO$325:$IH$396,IB$169,1+SwaptionShift):INDEX($FO$325:$IH$396,IB$169,SwaptionMonthsToGo+SwaptionShift))))))</f>
        <v/>
      </c>
      <c r="IC224" s="469" t="str">
        <f ca="1">IF(OR(IC$169&lt;SwaptionFirstMonthPosition+1,$FN224&lt;SwaptionFirstMonthPosition+1,IC$169&gt;SwaptionFirstMonthPosition+SwaptionNumOfMonths+1,$FN224&gt;SwaptionFirstMonthPosition+SwaptionNumOfMonths+1),"",IF($FN224=IC$169,1,IF($FN224&lt;IC$169,INDEX($FO$170:$IH$241,IC$169,$FN224),SUMPRODUCT(INDEX($FO$325:$IH$396,IC$169,1+SwaptionShift):INDEX($FO$325:$IH$396,IC$169,SwaptionMonthsToGo+SwaptionShift),INDEX($FO$245:$IH$316,$FN224-IC$169,73-IC$169+SwaptionShift):INDEX($FO$245:$IH$316,$FN224-IC$169,72-IC$169+SwaptionMonthsToGo+SwaptionShift))/SQRT(SUM(INDEX($FO379:$IH379,1+SwaptionShift):INDEX($FO379:$IH379,SwaptionMonthsToGo+SwaptionShift))*SUM(INDEX($FO$325:$IH$396,IC$169,1+SwaptionShift):INDEX($FO$325:$IH$396,IC$169,SwaptionMonthsToGo+SwaptionShift))))))</f>
        <v/>
      </c>
      <c r="ID224" s="469" t="str">
        <f ca="1">IF(OR(ID$169&lt;SwaptionFirstMonthPosition+1,$FN224&lt;SwaptionFirstMonthPosition+1,ID$169&gt;SwaptionFirstMonthPosition+SwaptionNumOfMonths+1,$FN224&gt;SwaptionFirstMonthPosition+SwaptionNumOfMonths+1),"",IF($FN224=ID$169,1,IF($FN224&lt;ID$169,INDEX($FO$170:$IH$241,ID$169,$FN224),SUMPRODUCT(INDEX($FO$325:$IH$396,ID$169,1+SwaptionShift):INDEX($FO$325:$IH$396,ID$169,SwaptionMonthsToGo+SwaptionShift),INDEX($FO$245:$IH$316,$FN224-ID$169,73-ID$169+SwaptionShift):INDEX($FO$245:$IH$316,$FN224-ID$169,72-ID$169+SwaptionMonthsToGo+SwaptionShift))/SQRT(SUM(INDEX($FO379:$IH379,1+SwaptionShift):INDEX($FO379:$IH379,SwaptionMonthsToGo+SwaptionShift))*SUM(INDEX($FO$325:$IH$396,ID$169,1+SwaptionShift):INDEX($FO$325:$IH$396,ID$169,SwaptionMonthsToGo+SwaptionShift))))))</f>
        <v/>
      </c>
      <c r="IE224" s="469" t="str">
        <f ca="1">IF(OR(IE$169&lt;SwaptionFirstMonthPosition+1,$FN224&lt;SwaptionFirstMonthPosition+1,IE$169&gt;SwaptionFirstMonthPosition+SwaptionNumOfMonths+1,$FN224&gt;SwaptionFirstMonthPosition+SwaptionNumOfMonths+1),"",IF($FN224=IE$169,1,IF($FN224&lt;IE$169,INDEX($FO$170:$IH$241,IE$169,$FN224),SUMPRODUCT(INDEX($FO$325:$IH$396,IE$169,1+SwaptionShift):INDEX($FO$325:$IH$396,IE$169,SwaptionMonthsToGo+SwaptionShift),INDEX($FO$245:$IH$316,$FN224-IE$169,73-IE$169+SwaptionShift):INDEX($FO$245:$IH$316,$FN224-IE$169,72-IE$169+SwaptionMonthsToGo+SwaptionShift))/SQRT(SUM(INDEX($FO379:$IH379,1+SwaptionShift):INDEX($FO379:$IH379,SwaptionMonthsToGo+SwaptionShift))*SUM(INDEX($FO$325:$IH$396,IE$169,1+SwaptionShift):INDEX($FO$325:$IH$396,IE$169,SwaptionMonthsToGo+SwaptionShift))))))</f>
        <v/>
      </c>
      <c r="IF224" s="469" t="str">
        <f ca="1">IF(OR(IF$169&lt;SwaptionFirstMonthPosition+1,$FN224&lt;SwaptionFirstMonthPosition+1,IF$169&gt;SwaptionFirstMonthPosition+SwaptionNumOfMonths+1,$FN224&gt;SwaptionFirstMonthPosition+SwaptionNumOfMonths+1),"",IF($FN224=IF$169,1,IF($FN224&lt;IF$169,INDEX($FO$170:$IH$241,IF$169,$FN224),SUMPRODUCT(INDEX($FO$325:$IH$396,IF$169,1+SwaptionShift):INDEX($FO$325:$IH$396,IF$169,SwaptionMonthsToGo+SwaptionShift),INDEX($FO$245:$IH$316,$FN224-IF$169,73-IF$169+SwaptionShift):INDEX($FO$245:$IH$316,$FN224-IF$169,72-IF$169+SwaptionMonthsToGo+SwaptionShift))/SQRT(SUM(INDEX($FO379:$IH379,1+SwaptionShift):INDEX($FO379:$IH379,SwaptionMonthsToGo+SwaptionShift))*SUM(INDEX($FO$325:$IH$396,IF$169,1+SwaptionShift):INDEX($FO$325:$IH$396,IF$169,SwaptionMonthsToGo+SwaptionShift))))))</f>
        <v/>
      </c>
      <c r="IG224" s="469" t="str">
        <f ca="1">IF(OR(IG$169&lt;SwaptionFirstMonthPosition+1,$FN224&lt;SwaptionFirstMonthPosition+1,IG$169&gt;SwaptionFirstMonthPosition+SwaptionNumOfMonths+1,$FN224&gt;SwaptionFirstMonthPosition+SwaptionNumOfMonths+1),"",IF($FN224=IG$169,1,IF($FN224&lt;IG$169,INDEX($FO$170:$IH$241,IG$169,$FN224),SUMPRODUCT(INDEX($FO$325:$IH$396,IG$169,1+SwaptionShift):INDEX($FO$325:$IH$396,IG$169,SwaptionMonthsToGo+SwaptionShift),INDEX($FO$245:$IH$316,$FN224-IG$169,73-IG$169+SwaptionShift):INDEX($FO$245:$IH$316,$FN224-IG$169,72-IG$169+SwaptionMonthsToGo+SwaptionShift))/SQRT(SUM(INDEX($FO379:$IH379,1+SwaptionShift):INDEX($FO379:$IH379,SwaptionMonthsToGo+SwaptionShift))*SUM(INDEX($FO$325:$IH$396,IG$169,1+SwaptionShift):INDEX($FO$325:$IH$396,IG$169,SwaptionMonthsToGo+SwaptionShift))))))</f>
        <v/>
      </c>
      <c r="IH224" s="662" t="str">
        <f ca="1">IF(OR(IH$169&lt;SwaptionFirstMonthPosition+1,$FN224&lt;SwaptionFirstMonthPosition+1,IH$169&gt;SwaptionFirstMonthPosition+SwaptionNumOfMonths+1,$FN224&gt;SwaptionFirstMonthPosition+SwaptionNumOfMonths+1),"",IF($FN224=IH$169,1,IF($FN224&lt;IH$169,INDEX($FO$170:$IH$241,IH$169,$FN224),SUMPRODUCT(INDEX($FO$325:$IH$396,IH$169,1+SwaptionShift):INDEX($FO$325:$IH$396,IH$169,SwaptionMonthsToGo+SwaptionShift),INDEX($FO$245:$IH$316,$FN224-IH$169,73-IH$169+SwaptionShift):INDEX($FO$245:$IH$316,$FN224-IH$169,72-IH$169+SwaptionMonthsToGo+SwaptionShift))/SQRT(SUM(INDEX($FO379:$IH379,1+SwaptionShift):INDEX($FO379:$IH379,SwaptionMonthsToGo+SwaptionShift))*SUM(INDEX($FO$325:$IH$396,IH$169,1+SwaptionShift):INDEX($FO$325:$IH$396,IH$169,SwaptionMonthsToGo+SwaptionShift))))))</f>
        <v/>
      </c>
      <c r="II224" s="242"/>
    </row>
    <row r="225" spans="8:243">
      <c r="H225" s="49" t="e">
        <f t="shared" ca="1" si="645"/>
        <v>#N/A</v>
      </c>
      <c r="I225" s="369">
        <f t="shared" si="646"/>
        <v>43252</v>
      </c>
      <c r="J225" s="367">
        <v>24.509999999999799</v>
      </c>
      <c r="K225" s="101" t="s">
        <v>267</v>
      </c>
      <c r="L225" s="382">
        <f t="shared" si="647"/>
        <v>24.509999999999838</v>
      </c>
      <c r="M225" s="163">
        <v>0.12909999999999999</v>
      </c>
      <c r="N225" s="372">
        <v>0</v>
      </c>
      <c r="O225" s="163">
        <f t="shared" si="595"/>
        <v>0.12909999999999999</v>
      </c>
      <c r="P225" s="367">
        <v>23.029937126003801</v>
      </c>
      <c r="Q225" s="101" t="s">
        <v>267</v>
      </c>
      <c r="R225" s="367">
        <f t="shared" ca="1" si="596"/>
        <v>23.02993712600377</v>
      </c>
      <c r="S225" s="814">
        <f t="shared" si="594"/>
        <v>0.34643501705448293</v>
      </c>
      <c r="T225" s="813">
        <f t="shared" si="660"/>
        <v>0.99999999996747979</v>
      </c>
      <c r="U225" s="532">
        <f t="shared" si="661"/>
        <v>0.99999999999999978</v>
      </c>
      <c r="V225" s="379">
        <v>0</v>
      </c>
      <c r="W225" s="424">
        <f t="shared" si="597"/>
        <v>24.54333333333313</v>
      </c>
      <c r="X225" s="405">
        <f t="shared" si="598"/>
        <v>24.54333333333317</v>
      </c>
      <c r="Y225" s="313">
        <f t="shared" si="599"/>
        <v>23.199333333333129</v>
      </c>
      <c r="Z225" s="313">
        <f t="shared" ca="1" si="600"/>
        <v>23.199333333333168</v>
      </c>
      <c r="AA225" s="419">
        <f t="shared" si="623"/>
        <v>1.3440000000000001</v>
      </c>
      <c r="AB225" s="423">
        <f t="shared" ca="1" si="624"/>
        <v>1.3440000000000001</v>
      </c>
      <c r="AC225" s="221">
        <v>43240</v>
      </c>
      <c r="AD225" s="221">
        <v>43236</v>
      </c>
      <c r="AE225" s="221">
        <v>43235</v>
      </c>
      <c r="AF225" s="221">
        <v>43231</v>
      </c>
      <c r="AG225" s="241" t="s">
        <v>497</v>
      </c>
      <c r="AH225" s="239" t="s">
        <v>497</v>
      </c>
      <c r="AI225" s="141">
        <v>21</v>
      </c>
      <c r="AJ225" s="41">
        <v>14</v>
      </c>
      <c r="AK225" s="41">
        <v>7</v>
      </c>
      <c r="AL225" s="285">
        <v>21</v>
      </c>
      <c r="AM225" s="41">
        <v>10</v>
      </c>
      <c r="AN225" s="142">
        <v>11</v>
      </c>
      <c r="AO225" s="364">
        <v>6.3104050332464898E-2</v>
      </c>
      <c r="AP225" s="145">
        <f t="shared" ca="1" si="648"/>
        <v>0.34297480842763522</v>
      </c>
      <c r="AQ225" s="364">
        <v>5.8991292023891501E-2</v>
      </c>
      <c r="AR225" s="145">
        <f t="shared" ca="1" si="662"/>
        <v>0.37002073359693444</v>
      </c>
      <c r="AS225" s="264">
        <f t="shared" si="601"/>
        <v>0.12856666666666666</v>
      </c>
      <c r="AT225" s="149">
        <f t="shared" si="649"/>
        <v>0.12909999999999999</v>
      </c>
      <c r="AU225" s="149">
        <f t="shared" si="625"/>
        <v>0.12849047619047621</v>
      </c>
      <c r="AV225" s="263">
        <f t="shared" ca="1" si="669"/>
        <v>0.12715350793397462</v>
      </c>
      <c r="AW225" s="150" t="str">
        <f t="shared" ca="1" si="581"/>
        <v/>
      </c>
      <c r="AX225" s="149">
        <f t="shared" ca="1" si="663"/>
        <v>3.5954821386394013E-3</v>
      </c>
      <c r="AY225" s="149">
        <f t="shared" ca="1" si="664"/>
        <v>1.1124726061670033E-3</v>
      </c>
      <c r="AZ225" s="149">
        <f t="shared" ca="1" si="665"/>
        <v>1.3461539293080935E-3</v>
      </c>
      <c r="BA225" s="149">
        <f t="shared" ca="1" si="666"/>
        <v>1.0000000000001101E-4</v>
      </c>
      <c r="BB225" s="149">
        <f t="shared" ca="1" si="667"/>
        <v>1.0000000000001101E-4</v>
      </c>
      <c r="BC225" s="149">
        <f t="shared" ca="1" si="668"/>
        <v>1.0000000000001101E-4</v>
      </c>
      <c r="BD225" s="143">
        <f t="shared" ca="1" si="602"/>
        <v>0</v>
      </c>
      <c r="BE225" s="144">
        <f t="shared" ca="1" si="603"/>
        <v>0</v>
      </c>
      <c r="BF225" s="40">
        <f t="shared" si="604"/>
        <v>2018</v>
      </c>
      <c r="BG225" s="139">
        <f t="shared" si="605"/>
        <v>6</v>
      </c>
      <c r="BH225" s="140">
        <f t="shared" ca="1" si="606"/>
        <v>6246</v>
      </c>
      <c r="BI225" s="304">
        <f t="shared" ca="1" si="607"/>
        <v>17.144421629021217</v>
      </c>
      <c r="BJ225" s="42">
        <f t="shared" ca="1" si="626"/>
        <v>17.197353410905773</v>
      </c>
      <c r="BK225" s="42">
        <f t="shared" ca="1" si="627"/>
        <v>17.200091261692904</v>
      </c>
      <c r="BL225" s="42">
        <f t="shared" ca="1" si="608"/>
        <v>17.223819301848049</v>
      </c>
      <c r="BM225" s="285">
        <f t="shared" si="609"/>
        <v>21</v>
      </c>
      <c r="BN225" s="41">
        <f t="shared" si="610"/>
        <v>14</v>
      </c>
      <c r="BO225" s="41">
        <f t="shared" si="611"/>
        <v>7</v>
      </c>
      <c r="BP225" s="297" t="str">
        <f t="shared" ca="1" si="628"/>
        <v/>
      </c>
      <c r="BQ225" s="297" t="str">
        <f t="shared" ca="1" si="629"/>
        <v/>
      </c>
      <c r="BR225" s="299" t="str">
        <f t="shared" ca="1" si="630"/>
        <v/>
      </c>
      <c r="BS225" s="153" t="str">
        <f t="shared" ca="1" si="631"/>
        <v/>
      </c>
      <c r="BT225" s="153" t="str">
        <f t="shared" ca="1" si="632"/>
        <v/>
      </c>
      <c r="BU225" s="300" t="str">
        <f t="shared" ca="1" si="633"/>
        <v/>
      </c>
      <c r="BV225" s="301" t="str">
        <f t="shared" ca="1" si="634"/>
        <v/>
      </c>
      <c r="BW225" s="300" t="str">
        <f t="shared" ca="1" si="635"/>
        <v/>
      </c>
      <c r="BX225" s="301" t="str">
        <f t="shared" ca="1" si="636"/>
        <v/>
      </c>
      <c r="BY225" s="146" t="str">
        <f t="shared" ca="1" si="637"/>
        <v/>
      </c>
      <c r="BZ225" s="146" t="str">
        <f t="shared" ca="1" si="638"/>
        <v/>
      </c>
      <c r="CA225" s="146" t="str">
        <f t="shared" ca="1" si="639"/>
        <v/>
      </c>
      <c r="CB225" s="146" t="str">
        <f t="shared" ca="1" si="640"/>
        <v/>
      </c>
      <c r="CC225" s="302">
        <v>1</v>
      </c>
      <c r="CD225" s="154">
        <f ca="1">IF(BD225,_xll.xCrudeAPO(BS225,BT225,BY225,BZ225,S226,S227,BI225,BL225,BN225,BO225,0,Strike1,AO225,CC225,0,BL225,IF(OptControl=4,0,1),0,1),0)</f>
        <v>0</v>
      </c>
      <c r="CE225" s="155">
        <f ca="1">IF(BD225,_xll.xCrudeAPO(BS225,BT225,BY225,BZ225,S226,S227,BI225,BL225,BN225,BO225,0,Strike1,AO225,CC225,0,BL225,IF(OptControl=4,0,1),1,1)+_xll.xCrudeAPO(BS225,BT225,BY225,BZ225,S226,S227,BI225,BL225,BN225,BO225,0,Strike1,AO225,CC225,0,BL225,IF(OptControl=4,0,1),1,2)+IF(OR(VolSkewFlag=2,ABS(BQ225)&lt;0.0001),0,IF(BQ225&gt;0,-1,1)*CF225*Strike1/BP225^2*BW225/10%),0)</f>
        <v>0</v>
      </c>
      <c r="CF225" s="155">
        <f ca="1">IF(BD225,(_xll.xCrudeAPO(BS225,BT225,BY225,BZ225,S226,S227,BI225,BL225,BN225,BO225,0,Strike1,AO225,CC225,0,BL225,IF(OptControl=4,0,1),3,1)+_xll.xCrudeAPO(BS225,BT225,BY225,BZ225,S226,S227,BI225,BL225,BN225,BO225,0,Strike1,AO225,CC225,0,BL225,IF(OptControl=4,0,1),3,2))/100,0)</f>
        <v>0</v>
      </c>
      <c r="CG225" s="155">
        <f ca="1">IF(BD225,_xll.xCrudeAPO(BS225,BT225,BY225,BZ225,S226,S227,BI225-DaysForThetaCalculation/365.25,BL225-DaysForThetaCalculation/365.25,BN225,BO225,0,Strike1,AO225,CC225,0,BL225,IF(OptControl=4,0,1),0,1)-_xll.xCrudeAPO(BS225,BT225,BY225,BZ225,S226,S227,BI225,BL225,BN225,BO225,0,Strike1,AO225,CC225,0,BL225,IF(OptControl=4,0,1),0,1),0)</f>
        <v>0</v>
      </c>
      <c r="CH225" s="303">
        <f ca="1">IF(BD225,_xll.xCrudeAPO(BS225,BT225,CA225,CB225,S226,S227,BI225,BL225,BN225,BO225,0,Strike2,AO225,CC225,0,BL225,IF(OptControl=3,1,0),0,1),0)</f>
        <v>0</v>
      </c>
      <c r="CI225" s="155">
        <f ca="1">IF(BD225,_xll.xCrudeAPO(BS225,BT225,CA225,CB225,S226,S227,BI225,BL225,BN225,BO225,0,Strike2,AO225,CC225,0,BL225,IF(OptControl=3,1,0),1,1)+_xll.xCrudeAPO(BS225,BT225,CA225,CB225,S226,S227,BI225,BL225,BN225,BO225,0,Strike2,AO225,CC225,0,BL225,IF(OptControl=3,1,0),1,2)+IF(OR(VolSkewFlag=2,ABS(BR225)&lt;0.0001),0,IF(BR225&gt;0,-1,1)*CJ225*Strike2/BP225^2*BX225/10%),0)</f>
        <v>0</v>
      </c>
      <c r="CJ225" s="155">
        <f ca="1">IF(BD225,(_xll.xCrudeAPO(BS225,BT225,CA225,CB225,S226,S227,BI225,BL225,BN225,BO225,0,Strike2,AO225,CC225,0,BL225,IF(OptControl=3,1,0),3,1)+_xll.xCrudeAPO(BS225,BT225,CA225,CB225,S226,S227,BI225,BL225,BN225,BO225,0,Strike2,AO225,CC225,0,BL225,IF(OptControl=3,1,0),3,2))/100,0)</f>
        <v>0</v>
      </c>
      <c r="CK225" s="156">
        <f ca="1">IF(BD225,_xll.xCrudeAPO(BS225,BT225,CA225,CB225,S226,S227,BI225-DaysForThetaCalculation/365.25,BL225-DaysForThetaCalculation/365.25,BN225,BO225,0,Strike2,AO225,CC225,0,BL225,IF(OptControl=3,1,0),0,1)-_xll.xCrudeAPO(BS225,BT225,CA225,CB225,S226,S227,BI225,BL225,BN225,BO225,0,Strike2,AO225,CC225,0,BL225,IF(OptControl=3,1,0),0,1),0)</f>
        <v>0</v>
      </c>
      <c r="CL225" s="51"/>
      <c r="CM225" s="779" t="str">
        <f t="shared" ca="1" si="650"/>
        <v/>
      </c>
      <c r="CN225" s="783" t="str">
        <f t="shared" ca="1" si="651"/>
        <v/>
      </c>
      <c r="CO225" s="780" t="str">
        <f t="shared" ca="1" si="652"/>
        <v/>
      </c>
      <c r="CP225" s="780" t="str">
        <f t="shared" ca="1" si="653"/>
        <v/>
      </c>
      <c r="CQ225" s="780" t="str">
        <f t="shared" ca="1" si="654"/>
        <v/>
      </c>
      <c r="CR225" s="780" t="str">
        <f t="shared" ca="1" si="655"/>
        <v/>
      </c>
      <c r="CS225" s="781" t="str">
        <f t="shared" ca="1" si="656"/>
        <v/>
      </c>
      <c r="CT225" s="782" t="str">
        <f t="shared" ca="1" si="657"/>
        <v/>
      </c>
      <c r="CU225" s="782" t="str">
        <f t="shared" ca="1" si="658"/>
        <v/>
      </c>
      <c r="CV225" s="155">
        <f ca="1">IF(BD225,_xll.EURO(CN225,Strike1,AO225,AO225,CT225,CM225,IF(OptControl=4,0,1),0),0)</f>
        <v>0</v>
      </c>
      <c r="CW225" s="155">
        <f ca="1">IF(BD225,_xll.EURO(CN225,Strike1,AO225,AO225,CT225,CM225,IF(OptControl=4,0,1),1)+IF(OR(VolSkewFlag=2,ABS(CO225)&lt;0.0001),0,IF(CO225&gt;0,-1,1)*CX225*100*Strike1/CN225^2*CQ225/10%),0)</f>
        <v>0</v>
      </c>
      <c r="CX225" s="155">
        <f ca="1">IF(BD225,_xll.EURO(CN225,Strike1,AO225,AO225,CT225,CM225,IF(OptControl=4,0,1),3)/100,0)</f>
        <v>0</v>
      </c>
      <c r="CY225" s="155">
        <f ca="1">IF(BD225,_xll.EURO(CN225,Strike1,AO225,AO225,CT225,CM225,IF(OptControl=4,0,1),0)-_xll.EURO(CN225,Strike1,AO225,AO225,CT225,CM225-1,IF(OptControl=4,0,1),0),0)</f>
        <v>0</v>
      </c>
      <c r="CZ225" s="155">
        <f ca="1">IF(BD225,_xll.EURO(CN225,Strike2,AO225,AO225,CU225,CM225,IF(OptControl=3,1,0),0),0)</f>
        <v>0</v>
      </c>
      <c r="DA225" s="155">
        <f ca="1">IF(BD225,_xll.EURO(CN225,Strike2,AO225,AO225,CU225,CM225,IF(OptControl=3,1,0),1)+IF(OR(VolSkewFlag=2,ABS(CP225)&lt;0.0001),0,IF(CP225&gt;0,-1,1)*DB225*100*Strike2/CN225^2*CR225/10%),0)</f>
        <v>0</v>
      </c>
      <c r="DB225" s="155">
        <f ca="1">IF(BD225,_xll.EURO(CN225,Strike2,AO225,AO225,CU225,CM225,IF(OptControl=3,1,0),3)/100,0)</f>
        <v>0</v>
      </c>
      <c r="DC225" s="156">
        <f ca="1">IF(BD225,_xll.EURO(CN225,Strike2,AO225,AO225,CU225,CM225,IF(OptControl=3,1,0),0)-_xll.EURO(CN225,Strike2,AO225,AO225,CU225,CM225-1,IF(OptControl=3,1,0),0),0)</f>
        <v>0</v>
      </c>
      <c r="DE225" s="651">
        <f t="shared" ca="1" si="659"/>
        <v>43160</v>
      </c>
      <c r="DF225" s="465">
        <v>1E-4</v>
      </c>
      <c r="DG225" s="649">
        <v>1E-4</v>
      </c>
      <c r="DH225" s="650">
        <f t="shared" ca="1" si="612"/>
        <v>43160</v>
      </c>
      <c r="DI225" s="465">
        <v>1E-4</v>
      </c>
      <c r="DJ225" s="649">
        <v>1E-4</v>
      </c>
      <c r="DK225" s="651">
        <f t="shared" ca="1" si="613"/>
        <v>43160</v>
      </c>
      <c r="DL225" s="652">
        <f t="shared" si="614"/>
        <v>5.0100000000000006E-2</v>
      </c>
      <c r="DM225" s="651">
        <f t="shared" ca="1" si="615"/>
        <v>43160</v>
      </c>
      <c r="DN225" s="563">
        <f t="shared" si="616"/>
        <v>-0.12990000000000002</v>
      </c>
      <c r="DO225" s="803">
        <v>-0.13</v>
      </c>
      <c r="DP225" s="650">
        <f t="shared" ca="1" si="617"/>
        <v>43160</v>
      </c>
      <c r="DQ225" s="653">
        <v>1E-4</v>
      </c>
      <c r="DR225" s="590">
        <v>1E-4</v>
      </c>
      <c r="DS225" s="650">
        <f t="shared" ca="1" si="618"/>
        <v>43160</v>
      </c>
      <c r="DT225" s="653">
        <v>1E-4</v>
      </c>
      <c r="DU225" s="590">
        <v>1E-4</v>
      </c>
      <c r="DV225" s="651">
        <f t="shared" ca="1" si="619"/>
        <v>43160</v>
      </c>
      <c r="DW225" s="590">
        <v>1E-4</v>
      </c>
      <c r="DX225" s="651">
        <f t="shared" ca="1" si="620"/>
        <v>43160</v>
      </c>
      <c r="DY225" s="590">
        <f t="shared" si="621"/>
        <v>1E-4</v>
      </c>
      <c r="DZ225" s="1"/>
      <c r="EA225" s="857"/>
      <c r="EB225" s="857"/>
      <c r="EC225" s="857"/>
      <c r="ED225" s="868" t="e">
        <f t="shared" ca="1" si="670"/>
        <v>#NAME?</v>
      </c>
      <c r="EE225" s="863" t="e">
        <f t="shared" ca="1" si="641"/>
        <v>#NAME?</v>
      </c>
      <c r="EF225" s="590" t="e">
        <f t="shared" ca="1" si="642"/>
        <v>#NAME?</v>
      </c>
      <c r="EG225" s="862" t="str">
        <f t="shared" ca="1" si="622"/>
        <v/>
      </c>
      <c r="EH225" s="114" t="str">
        <f t="shared" ca="1" si="643"/>
        <v/>
      </c>
      <c r="EI225" s="109" t="str">
        <f t="shared" ca="1" si="644"/>
        <v/>
      </c>
      <c r="EJ225" s="115">
        <f ca="1">IF(BD225,_xll.xASN(BP225,Strike1,AO225,EH225,0,BM225,0,BI225,BL225,IF(OptControl=4,0,1),0),0)</f>
        <v>0</v>
      </c>
      <c r="EK225" s="108">
        <f ca="1">IF(BD225,_xll.xASN(BP225,Strike2,AO225,EI225,0,BM225,0,BI225,BL225,IF(OptControl=3,1,0),0),0)</f>
        <v>0</v>
      </c>
      <c r="EP225" s="53"/>
      <c r="EQ225" s="1"/>
      <c r="ER225" s="103"/>
      <c r="ES225" s="103"/>
      <c r="ET225" s="1"/>
      <c r="EU225" s="667" t="s">
        <v>438</v>
      </c>
      <c r="EW225" s="53"/>
      <c r="EY225" s="104"/>
      <c r="FN225" s="657">
        <v>56</v>
      </c>
      <c r="FO225" s="469" t="str">
        <f ca="1">IF(OR(FO$169&lt;SwaptionFirstMonthPosition+1,$FN225&lt;SwaptionFirstMonthPosition+1,FO$169&gt;SwaptionFirstMonthPosition+SwaptionNumOfMonths+1,$FN225&gt;SwaptionFirstMonthPosition+SwaptionNumOfMonths+1),"",IF($FN225=FO$169,1,IF($FN225&lt;FO$169,INDEX($FO$170:$IH$241,FO$169,$FN225),SUMPRODUCT(INDEX($FO$325:$IH$396,FO$169,1+SwaptionShift):INDEX($FO$325:$IH$396,FO$169,SwaptionMonthsToGo+SwaptionShift),INDEX($FO$245:$IH$316,$FN225-FO$169,73-FO$169+SwaptionShift):INDEX($FO$245:$IH$316,$FN225-FO$169,72-FO$169+SwaptionMonthsToGo+SwaptionShift))/SQRT(SUM(INDEX($FO380:$IH380,1+SwaptionShift):INDEX($FO380:$IH380,SwaptionMonthsToGo+SwaptionShift))*SUM(INDEX($FO$325:$IH$396,FO$169,1+SwaptionShift):INDEX($FO$325:$IH$396,FO$169,SwaptionMonthsToGo+SwaptionShift))))))</f>
        <v/>
      </c>
      <c r="FP225" s="469" t="str">
        <f ca="1">IF(OR(FP$169&lt;SwaptionFirstMonthPosition+1,$FN225&lt;SwaptionFirstMonthPosition+1,FP$169&gt;SwaptionFirstMonthPosition+SwaptionNumOfMonths+1,$FN225&gt;SwaptionFirstMonthPosition+SwaptionNumOfMonths+1),"",IF($FN225=FP$169,1,IF($FN225&lt;FP$169,INDEX($FO$170:$IH$241,FP$169,$FN225),SUMPRODUCT(INDEX($FO$325:$IH$396,FP$169,1+SwaptionShift):INDEX($FO$325:$IH$396,FP$169,SwaptionMonthsToGo+SwaptionShift),INDEX($FO$245:$IH$316,$FN225-FP$169,73-FP$169+SwaptionShift):INDEX($FO$245:$IH$316,$FN225-FP$169,72-FP$169+SwaptionMonthsToGo+SwaptionShift))/SQRT(SUM(INDEX($FO380:$IH380,1+SwaptionShift):INDEX($FO380:$IH380,SwaptionMonthsToGo+SwaptionShift))*SUM(INDEX($FO$325:$IH$396,FP$169,1+SwaptionShift):INDEX($FO$325:$IH$396,FP$169,SwaptionMonthsToGo+SwaptionShift))))))</f>
        <v/>
      </c>
      <c r="FQ225" s="469" t="str">
        <f ca="1">IF(OR(FQ$169&lt;SwaptionFirstMonthPosition+1,$FN225&lt;SwaptionFirstMonthPosition+1,FQ$169&gt;SwaptionFirstMonthPosition+SwaptionNumOfMonths+1,$FN225&gt;SwaptionFirstMonthPosition+SwaptionNumOfMonths+1),"",IF($FN225=FQ$169,1,IF($FN225&lt;FQ$169,INDEX($FO$170:$IH$241,FQ$169,$FN225),SUMPRODUCT(INDEX($FO$325:$IH$396,FQ$169,1+SwaptionShift):INDEX($FO$325:$IH$396,FQ$169,SwaptionMonthsToGo+SwaptionShift),INDEX($FO$245:$IH$316,$FN225-FQ$169,73-FQ$169+SwaptionShift):INDEX($FO$245:$IH$316,$FN225-FQ$169,72-FQ$169+SwaptionMonthsToGo+SwaptionShift))/SQRT(SUM(INDEX($FO380:$IH380,1+SwaptionShift):INDEX($FO380:$IH380,SwaptionMonthsToGo+SwaptionShift))*SUM(INDEX($FO$325:$IH$396,FQ$169,1+SwaptionShift):INDEX($FO$325:$IH$396,FQ$169,SwaptionMonthsToGo+SwaptionShift))))))</f>
        <v/>
      </c>
      <c r="FR225" s="469" t="str">
        <f ca="1">IF(OR(FR$169&lt;SwaptionFirstMonthPosition+1,$FN225&lt;SwaptionFirstMonthPosition+1,FR$169&gt;SwaptionFirstMonthPosition+SwaptionNumOfMonths+1,$FN225&gt;SwaptionFirstMonthPosition+SwaptionNumOfMonths+1),"",IF($FN225=FR$169,1,IF($FN225&lt;FR$169,INDEX($FO$170:$IH$241,FR$169,$FN225),SUMPRODUCT(INDEX($FO$325:$IH$396,FR$169,1+SwaptionShift):INDEX($FO$325:$IH$396,FR$169,SwaptionMonthsToGo+SwaptionShift),INDEX($FO$245:$IH$316,$FN225-FR$169,73-FR$169+SwaptionShift):INDEX($FO$245:$IH$316,$FN225-FR$169,72-FR$169+SwaptionMonthsToGo+SwaptionShift))/SQRT(SUM(INDEX($FO380:$IH380,1+SwaptionShift):INDEX($FO380:$IH380,SwaptionMonthsToGo+SwaptionShift))*SUM(INDEX($FO$325:$IH$396,FR$169,1+SwaptionShift):INDEX($FO$325:$IH$396,FR$169,SwaptionMonthsToGo+SwaptionShift))))))</f>
        <v/>
      </c>
      <c r="FS225" s="469" t="str">
        <f ca="1">IF(OR(FS$169&lt;SwaptionFirstMonthPosition+1,$FN225&lt;SwaptionFirstMonthPosition+1,FS$169&gt;SwaptionFirstMonthPosition+SwaptionNumOfMonths+1,$FN225&gt;SwaptionFirstMonthPosition+SwaptionNumOfMonths+1),"",IF($FN225=FS$169,1,IF($FN225&lt;FS$169,INDEX($FO$170:$IH$241,FS$169,$FN225),SUMPRODUCT(INDEX($FO$325:$IH$396,FS$169,1+SwaptionShift):INDEX($FO$325:$IH$396,FS$169,SwaptionMonthsToGo+SwaptionShift),INDEX($FO$245:$IH$316,$FN225-FS$169,73-FS$169+SwaptionShift):INDEX($FO$245:$IH$316,$FN225-FS$169,72-FS$169+SwaptionMonthsToGo+SwaptionShift))/SQRT(SUM(INDEX($FO380:$IH380,1+SwaptionShift):INDEX($FO380:$IH380,SwaptionMonthsToGo+SwaptionShift))*SUM(INDEX($FO$325:$IH$396,FS$169,1+SwaptionShift):INDEX($FO$325:$IH$396,FS$169,SwaptionMonthsToGo+SwaptionShift))))))</f>
        <v/>
      </c>
      <c r="FT225" s="469" t="str">
        <f ca="1">IF(OR(FT$169&lt;SwaptionFirstMonthPosition+1,$FN225&lt;SwaptionFirstMonthPosition+1,FT$169&gt;SwaptionFirstMonthPosition+SwaptionNumOfMonths+1,$FN225&gt;SwaptionFirstMonthPosition+SwaptionNumOfMonths+1),"",IF($FN225=FT$169,1,IF($FN225&lt;FT$169,INDEX($FO$170:$IH$241,FT$169,$FN225),SUMPRODUCT(INDEX($FO$325:$IH$396,FT$169,1+SwaptionShift):INDEX($FO$325:$IH$396,FT$169,SwaptionMonthsToGo+SwaptionShift),INDEX($FO$245:$IH$316,$FN225-FT$169,73-FT$169+SwaptionShift):INDEX($FO$245:$IH$316,$FN225-FT$169,72-FT$169+SwaptionMonthsToGo+SwaptionShift))/SQRT(SUM(INDEX($FO380:$IH380,1+SwaptionShift):INDEX($FO380:$IH380,SwaptionMonthsToGo+SwaptionShift))*SUM(INDEX($FO$325:$IH$396,FT$169,1+SwaptionShift):INDEX($FO$325:$IH$396,FT$169,SwaptionMonthsToGo+SwaptionShift))))))</f>
        <v/>
      </c>
      <c r="FU225" s="469" t="str">
        <f ca="1">IF(OR(FU$169&lt;SwaptionFirstMonthPosition+1,$FN225&lt;SwaptionFirstMonthPosition+1,FU$169&gt;SwaptionFirstMonthPosition+SwaptionNumOfMonths+1,$FN225&gt;SwaptionFirstMonthPosition+SwaptionNumOfMonths+1),"",IF($FN225=FU$169,1,IF($FN225&lt;FU$169,INDEX($FO$170:$IH$241,FU$169,$FN225),SUMPRODUCT(INDEX($FO$325:$IH$396,FU$169,1+SwaptionShift):INDEX($FO$325:$IH$396,FU$169,SwaptionMonthsToGo+SwaptionShift),INDEX($FO$245:$IH$316,$FN225-FU$169,73-FU$169+SwaptionShift):INDEX($FO$245:$IH$316,$FN225-FU$169,72-FU$169+SwaptionMonthsToGo+SwaptionShift))/SQRT(SUM(INDEX($FO380:$IH380,1+SwaptionShift):INDEX($FO380:$IH380,SwaptionMonthsToGo+SwaptionShift))*SUM(INDEX($FO$325:$IH$396,FU$169,1+SwaptionShift):INDEX($FO$325:$IH$396,FU$169,SwaptionMonthsToGo+SwaptionShift))))))</f>
        <v/>
      </c>
      <c r="FV225" s="469" t="str">
        <f ca="1">IF(OR(FV$169&lt;SwaptionFirstMonthPosition+1,$FN225&lt;SwaptionFirstMonthPosition+1,FV$169&gt;SwaptionFirstMonthPosition+SwaptionNumOfMonths+1,$FN225&gt;SwaptionFirstMonthPosition+SwaptionNumOfMonths+1),"",IF($FN225=FV$169,1,IF($FN225&lt;FV$169,INDEX($FO$170:$IH$241,FV$169,$FN225),SUMPRODUCT(INDEX($FO$325:$IH$396,FV$169,1+SwaptionShift):INDEX($FO$325:$IH$396,FV$169,SwaptionMonthsToGo+SwaptionShift),INDEX($FO$245:$IH$316,$FN225-FV$169,73-FV$169+SwaptionShift):INDEX($FO$245:$IH$316,$FN225-FV$169,72-FV$169+SwaptionMonthsToGo+SwaptionShift))/SQRT(SUM(INDEX($FO380:$IH380,1+SwaptionShift):INDEX($FO380:$IH380,SwaptionMonthsToGo+SwaptionShift))*SUM(INDEX($FO$325:$IH$396,FV$169,1+SwaptionShift):INDEX($FO$325:$IH$396,FV$169,SwaptionMonthsToGo+SwaptionShift))))))</f>
        <v/>
      </c>
      <c r="FW225" s="469" t="str">
        <f ca="1">IF(OR(FW$169&lt;SwaptionFirstMonthPosition+1,$FN225&lt;SwaptionFirstMonthPosition+1,FW$169&gt;SwaptionFirstMonthPosition+SwaptionNumOfMonths+1,$FN225&gt;SwaptionFirstMonthPosition+SwaptionNumOfMonths+1),"",IF($FN225=FW$169,1,IF($FN225&lt;FW$169,INDEX($FO$170:$IH$241,FW$169,$FN225),SUMPRODUCT(INDEX($FO$325:$IH$396,FW$169,1+SwaptionShift):INDEX($FO$325:$IH$396,FW$169,SwaptionMonthsToGo+SwaptionShift),INDEX($FO$245:$IH$316,$FN225-FW$169,73-FW$169+SwaptionShift):INDEX($FO$245:$IH$316,$FN225-FW$169,72-FW$169+SwaptionMonthsToGo+SwaptionShift))/SQRT(SUM(INDEX($FO380:$IH380,1+SwaptionShift):INDEX($FO380:$IH380,SwaptionMonthsToGo+SwaptionShift))*SUM(INDEX($FO$325:$IH$396,FW$169,1+SwaptionShift):INDEX($FO$325:$IH$396,FW$169,SwaptionMonthsToGo+SwaptionShift))))))</f>
        <v/>
      </c>
      <c r="FX225" s="469" t="str">
        <f ca="1">IF(OR(FX$169&lt;SwaptionFirstMonthPosition+1,$FN225&lt;SwaptionFirstMonthPosition+1,FX$169&gt;SwaptionFirstMonthPosition+SwaptionNumOfMonths+1,$FN225&gt;SwaptionFirstMonthPosition+SwaptionNumOfMonths+1),"",IF($FN225=FX$169,1,IF($FN225&lt;FX$169,INDEX($FO$170:$IH$241,FX$169,$FN225),SUMPRODUCT(INDEX($FO$325:$IH$396,FX$169,1+SwaptionShift):INDEX($FO$325:$IH$396,FX$169,SwaptionMonthsToGo+SwaptionShift),INDEX($FO$245:$IH$316,$FN225-FX$169,73-FX$169+SwaptionShift):INDEX($FO$245:$IH$316,$FN225-FX$169,72-FX$169+SwaptionMonthsToGo+SwaptionShift))/SQRT(SUM(INDEX($FO380:$IH380,1+SwaptionShift):INDEX($FO380:$IH380,SwaptionMonthsToGo+SwaptionShift))*SUM(INDEX($FO$325:$IH$396,FX$169,1+SwaptionShift):INDEX($FO$325:$IH$396,FX$169,SwaptionMonthsToGo+SwaptionShift))))))</f>
        <v/>
      </c>
      <c r="FY225" s="469" t="str">
        <f ca="1">IF(OR(FY$169&lt;SwaptionFirstMonthPosition+1,$FN225&lt;SwaptionFirstMonthPosition+1,FY$169&gt;SwaptionFirstMonthPosition+SwaptionNumOfMonths+1,$FN225&gt;SwaptionFirstMonthPosition+SwaptionNumOfMonths+1),"",IF($FN225=FY$169,1,IF($FN225&lt;FY$169,INDEX($FO$170:$IH$241,FY$169,$FN225),SUMPRODUCT(INDEX($FO$325:$IH$396,FY$169,1+SwaptionShift):INDEX($FO$325:$IH$396,FY$169,SwaptionMonthsToGo+SwaptionShift),INDEX($FO$245:$IH$316,$FN225-FY$169,73-FY$169+SwaptionShift):INDEX($FO$245:$IH$316,$FN225-FY$169,72-FY$169+SwaptionMonthsToGo+SwaptionShift))/SQRT(SUM(INDEX($FO380:$IH380,1+SwaptionShift):INDEX($FO380:$IH380,SwaptionMonthsToGo+SwaptionShift))*SUM(INDEX($FO$325:$IH$396,FY$169,1+SwaptionShift):INDEX($FO$325:$IH$396,FY$169,SwaptionMonthsToGo+SwaptionShift))))))</f>
        <v/>
      </c>
      <c r="FZ225" s="469" t="str">
        <f ca="1">IF(OR(FZ$169&lt;SwaptionFirstMonthPosition+1,$FN225&lt;SwaptionFirstMonthPosition+1,FZ$169&gt;SwaptionFirstMonthPosition+SwaptionNumOfMonths+1,$FN225&gt;SwaptionFirstMonthPosition+SwaptionNumOfMonths+1),"",IF($FN225=FZ$169,1,IF($FN225&lt;FZ$169,INDEX($FO$170:$IH$241,FZ$169,$FN225),SUMPRODUCT(INDEX($FO$325:$IH$396,FZ$169,1+SwaptionShift):INDEX($FO$325:$IH$396,FZ$169,SwaptionMonthsToGo+SwaptionShift),INDEX($FO$245:$IH$316,$FN225-FZ$169,73-FZ$169+SwaptionShift):INDEX($FO$245:$IH$316,$FN225-FZ$169,72-FZ$169+SwaptionMonthsToGo+SwaptionShift))/SQRT(SUM(INDEX($FO380:$IH380,1+SwaptionShift):INDEX($FO380:$IH380,SwaptionMonthsToGo+SwaptionShift))*SUM(INDEX($FO$325:$IH$396,FZ$169,1+SwaptionShift):INDEX($FO$325:$IH$396,FZ$169,SwaptionMonthsToGo+SwaptionShift))))))</f>
        <v/>
      </c>
      <c r="GA225" s="469" t="str">
        <f ca="1">IF(OR(GA$169&lt;SwaptionFirstMonthPosition+1,$FN225&lt;SwaptionFirstMonthPosition+1,GA$169&gt;SwaptionFirstMonthPosition+SwaptionNumOfMonths+1,$FN225&gt;SwaptionFirstMonthPosition+SwaptionNumOfMonths+1),"",IF($FN225=GA$169,1,IF($FN225&lt;GA$169,INDEX($FO$170:$IH$241,GA$169,$FN225),SUMPRODUCT(INDEX($FO$325:$IH$396,GA$169,1+SwaptionShift):INDEX($FO$325:$IH$396,GA$169,SwaptionMonthsToGo+SwaptionShift),INDEX($FO$245:$IH$316,$FN225-GA$169,73-GA$169+SwaptionShift):INDEX($FO$245:$IH$316,$FN225-GA$169,72-GA$169+SwaptionMonthsToGo+SwaptionShift))/SQRT(SUM(INDEX($FO380:$IH380,1+SwaptionShift):INDEX($FO380:$IH380,SwaptionMonthsToGo+SwaptionShift))*SUM(INDEX($FO$325:$IH$396,GA$169,1+SwaptionShift):INDEX($FO$325:$IH$396,GA$169,SwaptionMonthsToGo+SwaptionShift))))))</f>
        <v/>
      </c>
      <c r="GB225" s="469" t="str">
        <f ca="1">IF(OR(GB$169&lt;SwaptionFirstMonthPosition+1,$FN225&lt;SwaptionFirstMonthPosition+1,GB$169&gt;SwaptionFirstMonthPosition+SwaptionNumOfMonths+1,$FN225&gt;SwaptionFirstMonthPosition+SwaptionNumOfMonths+1),"",IF($FN225=GB$169,1,IF($FN225&lt;GB$169,INDEX($FO$170:$IH$241,GB$169,$FN225),SUMPRODUCT(INDEX($FO$325:$IH$396,GB$169,1+SwaptionShift):INDEX($FO$325:$IH$396,GB$169,SwaptionMonthsToGo+SwaptionShift),INDEX($FO$245:$IH$316,$FN225-GB$169,73-GB$169+SwaptionShift):INDEX($FO$245:$IH$316,$FN225-GB$169,72-GB$169+SwaptionMonthsToGo+SwaptionShift))/SQRT(SUM(INDEX($FO380:$IH380,1+SwaptionShift):INDEX($FO380:$IH380,SwaptionMonthsToGo+SwaptionShift))*SUM(INDEX($FO$325:$IH$396,GB$169,1+SwaptionShift):INDEX($FO$325:$IH$396,GB$169,SwaptionMonthsToGo+SwaptionShift))))))</f>
        <v/>
      </c>
      <c r="GC225" s="469" t="str">
        <f ca="1">IF(OR(GC$169&lt;SwaptionFirstMonthPosition+1,$FN225&lt;SwaptionFirstMonthPosition+1,GC$169&gt;SwaptionFirstMonthPosition+SwaptionNumOfMonths+1,$FN225&gt;SwaptionFirstMonthPosition+SwaptionNumOfMonths+1),"",IF($FN225=GC$169,1,IF($FN225&lt;GC$169,INDEX($FO$170:$IH$241,GC$169,$FN225),SUMPRODUCT(INDEX($FO$325:$IH$396,GC$169,1+SwaptionShift):INDEX($FO$325:$IH$396,GC$169,SwaptionMonthsToGo+SwaptionShift),INDEX($FO$245:$IH$316,$FN225-GC$169,73-GC$169+SwaptionShift):INDEX($FO$245:$IH$316,$FN225-GC$169,72-GC$169+SwaptionMonthsToGo+SwaptionShift))/SQRT(SUM(INDEX($FO380:$IH380,1+SwaptionShift):INDEX($FO380:$IH380,SwaptionMonthsToGo+SwaptionShift))*SUM(INDEX($FO$325:$IH$396,GC$169,1+SwaptionShift):INDEX($FO$325:$IH$396,GC$169,SwaptionMonthsToGo+SwaptionShift))))))</f>
        <v/>
      </c>
      <c r="GD225" s="469" t="str">
        <f ca="1">IF(OR(GD$169&lt;SwaptionFirstMonthPosition+1,$FN225&lt;SwaptionFirstMonthPosition+1,GD$169&gt;SwaptionFirstMonthPosition+SwaptionNumOfMonths+1,$FN225&gt;SwaptionFirstMonthPosition+SwaptionNumOfMonths+1),"",IF($FN225=GD$169,1,IF($FN225&lt;GD$169,INDEX($FO$170:$IH$241,GD$169,$FN225),SUMPRODUCT(INDEX($FO$325:$IH$396,GD$169,1+SwaptionShift):INDEX($FO$325:$IH$396,GD$169,SwaptionMonthsToGo+SwaptionShift),INDEX($FO$245:$IH$316,$FN225-GD$169,73-GD$169+SwaptionShift):INDEX($FO$245:$IH$316,$FN225-GD$169,72-GD$169+SwaptionMonthsToGo+SwaptionShift))/SQRT(SUM(INDEX($FO380:$IH380,1+SwaptionShift):INDEX($FO380:$IH380,SwaptionMonthsToGo+SwaptionShift))*SUM(INDEX($FO$325:$IH$396,GD$169,1+SwaptionShift):INDEX($FO$325:$IH$396,GD$169,SwaptionMonthsToGo+SwaptionShift))))))</f>
        <v/>
      </c>
      <c r="GE225" s="469" t="str">
        <f ca="1">IF(OR(GE$169&lt;SwaptionFirstMonthPosition+1,$FN225&lt;SwaptionFirstMonthPosition+1,GE$169&gt;SwaptionFirstMonthPosition+SwaptionNumOfMonths+1,$FN225&gt;SwaptionFirstMonthPosition+SwaptionNumOfMonths+1),"",IF($FN225=GE$169,1,IF($FN225&lt;GE$169,INDEX($FO$170:$IH$241,GE$169,$FN225),SUMPRODUCT(INDEX($FO$325:$IH$396,GE$169,1+SwaptionShift):INDEX($FO$325:$IH$396,GE$169,SwaptionMonthsToGo+SwaptionShift),INDEX($FO$245:$IH$316,$FN225-GE$169,73-GE$169+SwaptionShift):INDEX($FO$245:$IH$316,$FN225-GE$169,72-GE$169+SwaptionMonthsToGo+SwaptionShift))/SQRT(SUM(INDEX($FO380:$IH380,1+SwaptionShift):INDEX($FO380:$IH380,SwaptionMonthsToGo+SwaptionShift))*SUM(INDEX($FO$325:$IH$396,GE$169,1+SwaptionShift):INDEX($FO$325:$IH$396,GE$169,SwaptionMonthsToGo+SwaptionShift))))))</f>
        <v/>
      </c>
      <c r="GF225" s="469" t="str">
        <f ca="1">IF(OR(GF$169&lt;SwaptionFirstMonthPosition+1,$FN225&lt;SwaptionFirstMonthPosition+1,GF$169&gt;SwaptionFirstMonthPosition+SwaptionNumOfMonths+1,$FN225&gt;SwaptionFirstMonthPosition+SwaptionNumOfMonths+1),"",IF($FN225=GF$169,1,IF($FN225&lt;GF$169,INDEX($FO$170:$IH$241,GF$169,$FN225),SUMPRODUCT(INDEX($FO$325:$IH$396,GF$169,1+SwaptionShift):INDEX($FO$325:$IH$396,GF$169,SwaptionMonthsToGo+SwaptionShift),INDEX($FO$245:$IH$316,$FN225-GF$169,73-GF$169+SwaptionShift):INDEX($FO$245:$IH$316,$FN225-GF$169,72-GF$169+SwaptionMonthsToGo+SwaptionShift))/SQRT(SUM(INDEX($FO380:$IH380,1+SwaptionShift):INDEX($FO380:$IH380,SwaptionMonthsToGo+SwaptionShift))*SUM(INDEX($FO$325:$IH$396,GF$169,1+SwaptionShift):INDEX($FO$325:$IH$396,GF$169,SwaptionMonthsToGo+SwaptionShift))))))</f>
        <v/>
      </c>
      <c r="GG225" s="469" t="str">
        <f ca="1">IF(OR(GG$169&lt;SwaptionFirstMonthPosition+1,$FN225&lt;SwaptionFirstMonthPosition+1,GG$169&gt;SwaptionFirstMonthPosition+SwaptionNumOfMonths+1,$FN225&gt;SwaptionFirstMonthPosition+SwaptionNumOfMonths+1),"",IF($FN225=GG$169,1,IF($FN225&lt;GG$169,INDEX($FO$170:$IH$241,GG$169,$FN225),SUMPRODUCT(INDEX($FO$325:$IH$396,GG$169,1+SwaptionShift):INDEX($FO$325:$IH$396,GG$169,SwaptionMonthsToGo+SwaptionShift),INDEX($FO$245:$IH$316,$FN225-GG$169,73-GG$169+SwaptionShift):INDEX($FO$245:$IH$316,$FN225-GG$169,72-GG$169+SwaptionMonthsToGo+SwaptionShift))/SQRT(SUM(INDEX($FO380:$IH380,1+SwaptionShift):INDEX($FO380:$IH380,SwaptionMonthsToGo+SwaptionShift))*SUM(INDEX($FO$325:$IH$396,GG$169,1+SwaptionShift):INDEX($FO$325:$IH$396,GG$169,SwaptionMonthsToGo+SwaptionShift))))))</f>
        <v/>
      </c>
      <c r="GH225" s="469" t="str">
        <f ca="1">IF(OR(GH$169&lt;SwaptionFirstMonthPosition+1,$FN225&lt;SwaptionFirstMonthPosition+1,GH$169&gt;SwaptionFirstMonthPosition+SwaptionNumOfMonths+1,$FN225&gt;SwaptionFirstMonthPosition+SwaptionNumOfMonths+1),"",IF($FN225=GH$169,1,IF($FN225&lt;GH$169,INDEX($FO$170:$IH$241,GH$169,$FN225),SUMPRODUCT(INDEX($FO$325:$IH$396,GH$169,1+SwaptionShift):INDEX($FO$325:$IH$396,GH$169,SwaptionMonthsToGo+SwaptionShift),INDEX($FO$245:$IH$316,$FN225-GH$169,73-GH$169+SwaptionShift):INDEX($FO$245:$IH$316,$FN225-GH$169,72-GH$169+SwaptionMonthsToGo+SwaptionShift))/SQRT(SUM(INDEX($FO380:$IH380,1+SwaptionShift):INDEX($FO380:$IH380,SwaptionMonthsToGo+SwaptionShift))*SUM(INDEX($FO$325:$IH$396,GH$169,1+SwaptionShift):INDEX($FO$325:$IH$396,GH$169,SwaptionMonthsToGo+SwaptionShift))))))</f>
        <v/>
      </c>
      <c r="GI225" s="469" t="str">
        <f ca="1">IF(OR(GI$169&lt;SwaptionFirstMonthPosition+1,$FN225&lt;SwaptionFirstMonthPosition+1,GI$169&gt;SwaptionFirstMonthPosition+SwaptionNumOfMonths+1,$FN225&gt;SwaptionFirstMonthPosition+SwaptionNumOfMonths+1),"",IF($FN225=GI$169,1,IF($FN225&lt;GI$169,INDEX($FO$170:$IH$241,GI$169,$FN225),SUMPRODUCT(INDEX($FO$325:$IH$396,GI$169,1+SwaptionShift):INDEX($FO$325:$IH$396,GI$169,SwaptionMonthsToGo+SwaptionShift),INDEX($FO$245:$IH$316,$FN225-GI$169,73-GI$169+SwaptionShift):INDEX($FO$245:$IH$316,$FN225-GI$169,72-GI$169+SwaptionMonthsToGo+SwaptionShift))/SQRT(SUM(INDEX($FO380:$IH380,1+SwaptionShift):INDEX($FO380:$IH380,SwaptionMonthsToGo+SwaptionShift))*SUM(INDEX($FO$325:$IH$396,GI$169,1+SwaptionShift):INDEX($FO$325:$IH$396,GI$169,SwaptionMonthsToGo+SwaptionShift))))))</f>
        <v/>
      </c>
      <c r="GJ225" s="469" t="str">
        <f ca="1">IF(OR(GJ$169&lt;SwaptionFirstMonthPosition+1,$FN225&lt;SwaptionFirstMonthPosition+1,GJ$169&gt;SwaptionFirstMonthPosition+SwaptionNumOfMonths+1,$FN225&gt;SwaptionFirstMonthPosition+SwaptionNumOfMonths+1),"",IF($FN225=GJ$169,1,IF($FN225&lt;GJ$169,INDEX($FO$170:$IH$241,GJ$169,$FN225),SUMPRODUCT(INDEX($FO$325:$IH$396,GJ$169,1+SwaptionShift):INDEX($FO$325:$IH$396,GJ$169,SwaptionMonthsToGo+SwaptionShift),INDEX($FO$245:$IH$316,$FN225-GJ$169,73-GJ$169+SwaptionShift):INDEX($FO$245:$IH$316,$FN225-GJ$169,72-GJ$169+SwaptionMonthsToGo+SwaptionShift))/SQRT(SUM(INDEX($FO380:$IH380,1+SwaptionShift):INDEX($FO380:$IH380,SwaptionMonthsToGo+SwaptionShift))*SUM(INDEX($FO$325:$IH$396,GJ$169,1+SwaptionShift):INDEX($FO$325:$IH$396,GJ$169,SwaptionMonthsToGo+SwaptionShift))))))</f>
        <v/>
      </c>
      <c r="GK225" s="469" t="str">
        <f ca="1">IF(OR(GK$169&lt;SwaptionFirstMonthPosition+1,$FN225&lt;SwaptionFirstMonthPosition+1,GK$169&gt;SwaptionFirstMonthPosition+SwaptionNumOfMonths+1,$FN225&gt;SwaptionFirstMonthPosition+SwaptionNumOfMonths+1),"",IF($FN225=GK$169,1,IF($FN225&lt;GK$169,INDEX($FO$170:$IH$241,GK$169,$FN225),SUMPRODUCT(INDEX($FO$325:$IH$396,GK$169,1+SwaptionShift):INDEX($FO$325:$IH$396,GK$169,SwaptionMonthsToGo+SwaptionShift),INDEX($FO$245:$IH$316,$FN225-GK$169,73-GK$169+SwaptionShift):INDEX($FO$245:$IH$316,$FN225-GK$169,72-GK$169+SwaptionMonthsToGo+SwaptionShift))/SQRT(SUM(INDEX($FO380:$IH380,1+SwaptionShift):INDEX($FO380:$IH380,SwaptionMonthsToGo+SwaptionShift))*SUM(INDEX($FO$325:$IH$396,GK$169,1+SwaptionShift):INDEX($FO$325:$IH$396,GK$169,SwaptionMonthsToGo+SwaptionShift))))))</f>
        <v/>
      </c>
      <c r="GL225" s="469" t="str">
        <f ca="1">IF(OR(GL$169&lt;SwaptionFirstMonthPosition+1,$FN225&lt;SwaptionFirstMonthPosition+1,GL$169&gt;SwaptionFirstMonthPosition+SwaptionNumOfMonths+1,$FN225&gt;SwaptionFirstMonthPosition+SwaptionNumOfMonths+1),"",IF($FN225=GL$169,1,IF($FN225&lt;GL$169,INDEX($FO$170:$IH$241,GL$169,$FN225),SUMPRODUCT(INDEX($FO$325:$IH$396,GL$169,1+SwaptionShift):INDEX($FO$325:$IH$396,GL$169,SwaptionMonthsToGo+SwaptionShift),INDEX($FO$245:$IH$316,$FN225-GL$169,73-GL$169+SwaptionShift):INDEX($FO$245:$IH$316,$FN225-GL$169,72-GL$169+SwaptionMonthsToGo+SwaptionShift))/SQRT(SUM(INDEX($FO380:$IH380,1+SwaptionShift):INDEX($FO380:$IH380,SwaptionMonthsToGo+SwaptionShift))*SUM(INDEX($FO$325:$IH$396,GL$169,1+SwaptionShift):INDEX($FO$325:$IH$396,GL$169,SwaptionMonthsToGo+SwaptionShift))))))</f>
        <v/>
      </c>
      <c r="GM225" s="469" t="str">
        <f ca="1">IF(OR(GM$169&lt;SwaptionFirstMonthPosition+1,$FN225&lt;SwaptionFirstMonthPosition+1,GM$169&gt;SwaptionFirstMonthPosition+SwaptionNumOfMonths+1,$FN225&gt;SwaptionFirstMonthPosition+SwaptionNumOfMonths+1),"",IF($FN225=GM$169,1,IF($FN225&lt;GM$169,INDEX($FO$170:$IH$241,GM$169,$FN225),SUMPRODUCT(INDEX($FO$325:$IH$396,GM$169,1+SwaptionShift):INDEX($FO$325:$IH$396,GM$169,SwaptionMonthsToGo+SwaptionShift),INDEX($FO$245:$IH$316,$FN225-GM$169,73-GM$169+SwaptionShift):INDEX($FO$245:$IH$316,$FN225-GM$169,72-GM$169+SwaptionMonthsToGo+SwaptionShift))/SQRT(SUM(INDEX($FO380:$IH380,1+SwaptionShift):INDEX($FO380:$IH380,SwaptionMonthsToGo+SwaptionShift))*SUM(INDEX($FO$325:$IH$396,GM$169,1+SwaptionShift):INDEX($FO$325:$IH$396,GM$169,SwaptionMonthsToGo+SwaptionShift))))))</f>
        <v/>
      </c>
      <c r="GN225" s="469" t="str">
        <f ca="1">IF(OR(GN$169&lt;SwaptionFirstMonthPosition+1,$FN225&lt;SwaptionFirstMonthPosition+1,GN$169&gt;SwaptionFirstMonthPosition+SwaptionNumOfMonths+1,$FN225&gt;SwaptionFirstMonthPosition+SwaptionNumOfMonths+1),"",IF($FN225=GN$169,1,IF($FN225&lt;GN$169,INDEX($FO$170:$IH$241,GN$169,$FN225),SUMPRODUCT(INDEX($FO$325:$IH$396,GN$169,1+SwaptionShift):INDEX($FO$325:$IH$396,GN$169,SwaptionMonthsToGo+SwaptionShift),INDEX($FO$245:$IH$316,$FN225-GN$169,73-GN$169+SwaptionShift):INDEX($FO$245:$IH$316,$FN225-GN$169,72-GN$169+SwaptionMonthsToGo+SwaptionShift))/SQRT(SUM(INDEX($FO380:$IH380,1+SwaptionShift):INDEX($FO380:$IH380,SwaptionMonthsToGo+SwaptionShift))*SUM(INDEX($FO$325:$IH$396,GN$169,1+SwaptionShift):INDEX($FO$325:$IH$396,GN$169,SwaptionMonthsToGo+SwaptionShift))))))</f>
        <v/>
      </c>
      <c r="GO225" s="469" t="str">
        <f ca="1">IF(OR(GO$169&lt;SwaptionFirstMonthPosition+1,$FN225&lt;SwaptionFirstMonthPosition+1,GO$169&gt;SwaptionFirstMonthPosition+SwaptionNumOfMonths+1,$FN225&gt;SwaptionFirstMonthPosition+SwaptionNumOfMonths+1),"",IF($FN225=GO$169,1,IF($FN225&lt;GO$169,INDEX($FO$170:$IH$241,GO$169,$FN225),SUMPRODUCT(INDEX($FO$325:$IH$396,GO$169,1+SwaptionShift):INDEX($FO$325:$IH$396,GO$169,SwaptionMonthsToGo+SwaptionShift),INDEX($FO$245:$IH$316,$FN225-GO$169,73-GO$169+SwaptionShift):INDEX($FO$245:$IH$316,$FN225-GO$169,72-GO$169+SwaptionMonthsToGo+SwaptionShift))/SQRT(SUM(INDEX($FO380:$IH380,1+SwaptionShift):INDEX($FO380:$IH380,SwaptionMonthsToGo+SwaptionShift))*SUM(INDEX($FO$325:$IH$396,GO$169,1+SwaptionShift):INDEX($FO$325:$IH$396,GO$169,SwaptionMonthsToGo+SwaptionShift))))))</f>
        <v/>
      </c>
      <c r="GP225" s="469" t="str">
        <f ca="1">IF(OR(GP$169&lt;SwaptionFirstMonthPosition+1,$FN225&lt;SwaptionFirstMonthPosition+1,GP$169&gt;SwaptionFirstMonthPosition+SwaptionNumOfMonths+1,$FN225&gt;SwaptionFirstMonthPosition+SwaptionNumOfMonths+1),"",IF($FN225=GP$169,1,IF($FN225&lt;GP$169,INDEX($FO$170:$IH$241,GP$169,$FN225),SUMPRODUCT(INDEX($FO$325:$IH$396,GP$169,1+SwaptionShift):INDEX($FO$325:$IH$396,GP$169,SwaptionMonthsToGo+SwaptionShift),INDEX($FO$245:$IH$316,$FN225-GP$169,73-GP$169+SwaptionShift):INDEX($FO$245:$IH$316,$FN225-GP$169,72-GP$169+SwaptionMonthsToGo+SwaptionShift))/SQRT(SUM(INDEX($FO380:$IH380,1+SwaptionShift):INDEX($FO380:$IH380,SwaptionMonthsToGo+SwaptionShift))*SUM(INDEX($FO$325:$IH$396,GP$169,1+SwaptionShift):INDEX($FO$325:$IH$396,GP$169,SwaptionMonthsToGo+SwaptionShift))))))</f>
        <v/>
      </c>
      <c r="GQ225" s="469" t="str">
        <f ca="1">IF(OR(GQ$169&lt;SwaptionFirstMonthPosition+1,$FN225&lt;SwaptionFirstMonthPosition+1,GQ$169&gt;SwaptionFirstMonthPosition+SwaptionNumOfMonths+1,$FN225&gt;SwaptionFirstMonthPosition+SwaptionNumOfMonths+1),"",IF($FN225=GQ$169,1,IF($FN225&lt;GQ$169,INDEX($FO$170:$IH$241,GQ$169,$FN225),SUMPRODUCT(INDEX($FO$325:$IH$396,GQ$169,1+SwaptionShift):INDEX($FO$325:$IH$396,GQ$169,SwaptionMonthsToGo+SwaptionShift),INDEX($FO$245:$IH$316,$FN225-GQ$169,73-GQ$169+SwaptionShift):INDEX($FO$245:$IH$316,$FN225-GQ$169,72-GQ$169+SwaptionMonthsToGo+SwaptionShift))/SQRT(SUM(INDEX($FO380:$IH380,1+SwaptionShift):INDEX($FO380:$IH380,SwaptionMonthsToGo+SwaptionShift))*SUM(INDEX($FO$325:$IH$396,GQ$169,1+SwaptionShift):INDEX($FO$325:$IH$396,GQ$169,SwaptionMonthsToGo+SwaptionShift))))))</f>
        <v/>
      </c>
      <c r="GR225" s="469" t="str">
        <f ca="1">IF(OR(GR$169&lt;SwaptionFirstMonthPosition+1,$FN225&lt;SwaptionFirstMonthPosition+1,GR$169&gt;SwaptionFirstMonthPosition+SwaptionNumOfMonths+1,$FN225&gt;SwaptionFirstMonthPosition+SwaptionNumOfMonths+1),"",IF($FN225=GR$169,1,IF($FN225&lt;GR$169,INDEX($FO$170:$IH$241,GR$169,$FN225),SUMPRODUCT(INDEX($FO$325:$IH$396,GR$169,1+SwaptionShift):INDEX($FO$325:$IH$396,GR$169,SwaptionMonthsToGo+SwaptionShift),INDEX($FO$245:$IH$316,$FN225-GR$169,73-GR$169+SwaptionShift):INDEX($FO$245:$IH$316,$FN225-GR$169,72-GR$169+SwaptionMonthsToGo+SwaptionShift))/SQRT(SUM(INDEX($FO380:$IH380,1+SwaptionShift):INDEX($FO380:$IH380,SwaptionMonthsToGo+SwaptionShift))*SUM(INDEX($FO$325:$IH$396,GR$169,1+SwaptionShift):INDEX($FO$325:$IH$396,GR$169,SwaptionMonthsToGo+SwaptionShift))))))</f>
        <v/>
      </c>
      <c r="GS225" s="469" t="str">
        <f ca="1">IF(OR(GS$169&lt;SwaptionFirstMonthPosition+1,$FN225&lt;SwaptionFirstMonthPosition+1,GS$169&gt;SwaptionFirstMonthPosition+SwaptionNumOfMonths+1,$FN225&gt;SwaptionFirstMonthPosition+SwaptionNumOfMonths+1),"",IF($FN225=GS$169,1,IF($FN225&lt;GS$169,INDEX($FO$170:$IH$241,GS$169,$FN225),SUMPRODUCT(INDEX($FO$325:$IH$396,GS$169,1+SwaptionShift):INDEX($FO$325:$IH$396,GS$169,SwaptionMonthsToGo+SwaptionShift),INDEX($FO$245:$IH$316,$FN225-GS$169,73-GS$169+SwaptionShift):INDEX($FO$245:$IH$316,$FN225-GS$169,72-GS$169+SwaptionMonthsToGo+SwaptionShift))/SQRT(SUM(INDEX($FO380:$IH380,1+SwaptionShift):INDEX($FO380:$IH380,SwaptionMonthsToGo+SwaptionShift))*SUM(INDEX($FO$325:$IH$396,GS$169,1+SwaptionShift):INDEX($FO$325:$IH$396,GS$169,SwaptionMonthsToGo+SwaptionShift))))))</f>
        <v/>
      </c>
      <c r="GT225" s="469" t="str">
        <f ca="1">IF(OR(GT$169&lt;SwaptionFirstMonthPosition+1,$FN225&lt;SwaptionFirstMonthPosition+1,GT$169&gt;SwaptionFirstMonthPosition+SwaptionNumOfMonths+1,$FN225&gt;SwaptionFirstMonthPosition+SwaptionNumOfMonths+1),"",IF($FN225=GT$169,1,IF($FN225&lt;GT$169,INDEX($FO$170:$IH$241,GT$169,$FN225),SUMPRODUCT(INDEX($FO$325:$IH$396,GT$169,1+SwaptionShift):INDEX($FO$325:$IH$396,GT$169,SwaptionMonthsToGo+SwaptionShift),INDEX($FO$245:$IH$316,$FN225-GT$169,73-GT$169+SwaptionShift):INDEX($FO$245:$IH$316,$FN225-GT$169,72-GT$169+SwaptionMonthsToGo+SwaptionShift))/SQRT(SUM(INDEX($FO380:$IH380,1+SwaptionShift):INDEX($FO380:$IH380,SwaptionMonthsToGo+SwaptionShift))*SUM(INDEX($FO$325:$IH$396,GT$169,1+SwaptionShift):INDEX($FO$325:$IH$396,GT$169,SwaptionMonthsToGo+SwaptionShift))))))</f>
        <v/>
      </c>
      <c r="GU225" s="469" t="str">
        <f ca="1">IF(OR(GU$169&lt;SwaptionFirstMonthPosition+1,$FN225&lt;SwaptionFirstMonthPosition+1,GU$169&gt;SwaptionFirstMonthPosition+SwaptionNumOfMonths+1,$FN225&gt;SwaptionFirstMonthPosition+SwaptionNumOfMonths+1),"",IF($FN225=GU$169,1,IF($FN225&lt;GU$169,INDEX($FO$170:$IH$241,GU$169,$FN225),SUMPRODUCT(INDEX($FO$325:$IH$396,GU$169,1+SwaptionShift):INDEX($FO$325:$IH$396,GU$169,SwaptionMonthsToGo+SwaptionShift),INDEX($FO$245:$IH$316,$FN225-GU$169,73-GU$169+SwaptionShift):INDEX($FO$245:$IH$316,$FN225-GU$169,72-GU$169+SwaptionMonthsToGo+SwaptionShift))/SQRT(SUM(INDEX($FO380:$IH380,1+SwaptionShift):INDEX($FO380:$IH380,SwaptionMonthsToGo+SwaptionShift))*SUM(INDEX($FO$325:$IH$396,GU$169,1+SwaptionShift):INDEX($FO$325:$IH$396,GU$169,SwaptionMonthsToGo+SwaptionShift))))))</f>
        <v/>
      </c>
      <c r="GV225" s="469" t="str">
        <f ca="1">IF(OR(GV$169&lt;SwaptionFirstMonthPosition+1,$FN225&lt;SwaptionFirstMonthPosition+1,GV$169&gt;SwaptionFirstMonthPosition+SwaptionNumOfMonths+1,$FN225&gt;SwaptionFirstMonthPosition+SwaptionNumOfMonths+1),"",IF($FN225=GV$169,1,IF($FN225&lt;GV$169,INDEX($FO$170:$IH$241,GV$169,$FN225),SUMPRODUCT(INDEX($FO$325:$IH$396,GV$169,1+SwaptionShift):INDEX($FO$325:$IH$396,GV$169,SwaptionMonthsToGo+SwaptionShift),INDEX($FO$245:$IH$316,$FN225-GV$169,73-GV$169+SwaptionShift):INDEX($FO$245:$IH$316,$FN225-GV$169,72-GV$169+SwaptionMonthsToGo+SwaptionShift))/SQRT(SUM(INDEX($FO380:$IH380,1+SwaptionShift):INDEX($FO380:$IH380,SwaptionMonthsToGo+SwaptionShift))*SUM(INDEX($FO$325:$IH$396,GV$169,1+SwaptionShift):INDEX($FO$325:$IH$396,GV$169,SwaptionMonthsToGo+SwaptionShift))))))</f>
        <v/>
      </c>
      <c r="GW225" s="469" t="str">
        <f ca="1">IF(OR(GW$169&lt;SwaptionFirstMonthPosition+1,$FN225&lt;SwaptionFirstMonthPosition+1,GW$169&gt;SwaptionFirstMonthPosition+SwaptionNumOfMonths+1,$FN225&gt;SwaptionFirstMonthPosition+SwaptionNumOfMonths+1),"",IF($FN225=GW$169,1,IF($FN225&lt;GW$169,INDEX($FO$170:$IH$241,GW$169,$FN225),SUMPRODUCT(INDEX($FO$325:$IH$396,GW$169,1+SwaptionShift):INDEX($FO$325:$IH$396,GW$169,SwaptionMonthsToGo+SwaptionShift),INDEX($FO$245:$IH$316,$FN225-GW$169,73-GW$169+SwaptionShift):INDEX($FO$245:$IH$316,$FN225-GW$169,72-GW$169+SwaptionMonthsToGo+SwaptionShift))/SQRT(SUM(INDEX($FO380:$IH380,1+SwaptionShift):INDEX($FO380:$IH380,SwaptionMonthsToGo+SwaptionShift))*SUM(INDEX($FO$325:$IH$396,GW$169,1+SwaptionShift):INDEX($FO$325:$IH$396,GW$169,SwaptionMonthsToGo+SwaptionShift))))))</f>
        <v/>
      </c>
      <c r="GX225" s="469" t="str">
        <f ca="1">IF(OR(GX$169&lt;SwaptionFirstMonthPosition+1,$FN225&lt;SwaptionFirstMonthPosition+1,GX$169&gt;SwaptionFirstMonthPosition+SwaptionNumOfMonths+1,$FN225&gt;SwaptionFirstMonthPosition+SwaptionNumOfMonths+1),"",IF($FN225=GX$169,1,IF($FN225&lt;GX$169,INDEX($FO$170:$IH$241,GX$169,$FN225),SUMPRODUCT(INDEX($FO$325:$IH$396,GX$169,1+SwaptionShift):INDEX($FO$325:$IH$396,GX$169,SwaptionMonthsToGo+SwaptionShift),INDEX($FO$245:$IH$316,$FN225-GX$169,73-GX$169+SwaptionShift):INDEX($FO$245:$IH$316,$FN225-GX$169,72-GX$169+SwaptionMonthsToGo+SwaptionShift))/SQRT(SUM(INDEX($FO380:$IH380,1+SwaptionShift):INDEX($FO380:$IH380,SwaptionMonthsToGo+SwaptionShift))*SUM(INDEX($FO$325:$IH$396,GX$169,1+SwaptionShift):INDEX($FO$325:$IH$396,GX$169,SwaptionMonthsToGo+SwaptionShift))))))</f>
        <v/>
      </c>
      <c r="GY225" s="469" t="str">
        <f ca="1">IF(OR(GY$169&lt;SwaptionFirstMonthPosition+1,$FN225&lt;SwaptionFirstMonthPosition+1,GY$169&gt;SwaptionFirstMonthPosition+SwaptionNumOfMonths+1,$FN225&gt;SwaptionFirstMonthPosition+SwaptionNumOfMonths+1),"",IF($FN225=GY$169,1,IF($FN225&lt;GY$169,INDEX($FO$170:$IH$241,GY$169,$FN225),SUMPRODUCT(INDEX($FO$325:$IH$396,GY$169,1+SwaptionShift):INDEX($FO$325:$IH$396,GY$169,SwaptionMonthsToGo+SwaptionShift),INDEX($FO$245:$IH$316,$FN225-GY$169,73-GY$169+SwaptionShift):INDEX($FO$245:$IH$316,$FN225-GY$169,72-GY$169+SwaptionMonthsToGo+SwaptionShift))/SQRT(SUM(INDEX($FO380:$IH380,1+SwaptionShift):INDEX($FO380:$IH380,SwaptionMonthsToGo+SwaptionShift))*SUM(INDEX($FO$325:$IH$396,GY$169,1+SwaptionShift):INDEX($FO$325:$IH$396,GY$169,SwaptionMonthsToGo+SwaptionShift))))))</f>
        <v/>
      </c>
      <c r="GZ225" s="469" t="str">
        <f ca="1">IF(OR(GZ$169&lt;SwaptionFirstMonthPosition+1,$FN225&lt;SwaptionFirstMonthPosition+1,GZ$169&gt;SwaptionFirstMonthPosition+SwaptionNumOfMonths+1,$FN225&gt;SwaptionFirstMonthPosition+SwaptionNumOfMonths+1),"",IF($FN225=GZ$169,1,IF($FN225&lt;GZ$169,INDEX($FO$170:$IH$241,GZ$169,$FN225),SUMPRODUCT(INDEX($FO$325:$IH$396,GZ$169,1+SwaptionShift):INDEX($FO$325:$IH$396,GZ$169,SwaptionMonthsToGo+SwaptionShift),INDEX($FO$245:$IH$316,$FN225-GZ$169,73-GZ$169+SwaptionShift):INDEX($FO$245:$IH$316,$FN225-GZ$169,72-GZ$169+SwaptionMonthsToGo+SwaptionShift))/SQRT(SUM(INDEX($FO380:$IH380,1+SwaptionShift):INDEX($FO380:$IH380,SwaptionMonthsToGo+SwaptionShift))*SUM(INDEX($FO$325:$IH$396,GZ$169,1+SwaptionShift):INDEX($FO$325:$IH$396,GZ$169,SwaptionMonthsToGo+SwaptionShift))))))</f>
        <v/>
      </c>
      <c r="HA225" s="469" t="str">
        <f ca="1">IF(OR(HA$169&lt;SwaptionFirstMonthPosition+1,$FN225&lt;SwaptionFirstMonthPosition+1,HA$169&gt;SwaptionFirstMonthPosition+SwaptionNumOfMonths+1,$FN225&gt;SwaptionFirstMonthPosition+SwaptionNumOfMonths+1),"",IF($FN225=HA$169,1,IF($FN225&lt;HA$169,INDEX($FO$170:$IH$241,HA$169,$FN225),SUMPRODUCT(INDEX($FO$325:$IH$396,HA$169,1+SwaptionShift):INDEX($FO$325:$IH$396,HA$169,SwaptionMonthsToGo+SwaptionShift),INDEX($FO$245:$IH$316,$FN225-HA$169,73-HA$169+SwaptionShift):INDEX($FO$245:$IH$316,$FN225-HA$169,72-HA$169+SwaptionMonthsToGo+SwaptionShift))/SQRT(SUM(INDEX($FO380:$IH380,1+SwaptionShift):INDEX($FO380:$IH380,SwaptionMonthsToGo+SwaptionShift))*SUM(INDEX($FO$325:$IH$396,HA$169,1+SwaptionShift):INDEX($FO$325:$IH$396,HA$169,SwaptionMonthsToGo+SwaptionShift))))))</f>
        <v/>
      </c>
      <c r="HB225" s="469" t="str">
        <f ca="1">IF(OR(HB$169&lt;SwaptionFirstMonthPosition+1,$FN225&lt;SwaptionFirstMonthPosition+1,HB$169&gt;SwaptionFirstMonthPosition+SwaptionNumOfMonths+1,$FN225&gt;SwaptionFirstMonthPosition+SwaptionNumOfMonths+1),"",IF($FN225=HB$169,1,IF($FN225&lt;HB$169,INDEX($FO$170:$IH$241,HB$169,$FN225),SUMPRODUCT(INDEX($FO$325:$IH$396,HB$169,1+SwaptionShift):INDEX($FO$325:$IH$396,HB$169,SwaptionMonthsToGo+SwaptionShift),INDEX($FO$245:$IH$316,$FN225-HB$169,73-HB$169+SwaptionShift):INDEX($FO$245:$IH$316,$FN225-HB$169,72-HB$169+SwaptionMonthsToGo+SwaptionShift))/SQRT(SUM(INDEX($FO380:$IH380,1+SwaptionShift):INDEX($FO380:$IH380,SwaptionMonthsToGo+SwaptionShift))*SUM(INDEX($FO$325:$IH$396,HB$169,1+SwaptionShift):INDEX($FO$325:$IH$396,HB$169,SwaptionMonthsToGo+SwaptionShift))))))</f>
        <v/>
      </c>
      <c r="HC225" s="469" t="str">
        <f ca="1">IF(OR(HC$169&lt;SwaptionFirstMonthPosition+1,$FN225&lt;SwaptionFirstMonthPosition+1,HC$169&gt;SwaptionFirstMonthPosition+SwaptionNumOfMonths+1,$FN225&gt;SwaptionFirstMonthPosition+SwaptionNumOfMonths+1),"",IF($FN225=HC$169,1,IF($FN225&lt;HC$169,INDEX($FO$170:$IH$241,HC$169,$FN225),SUMPRODUCT(INDEX($FO$325:$IH$396,HC$169,1+SwaptionShift):INDEX($FO$325:$IH$396,HC$169,SwaptionMonthsToGo+SwaptionShift),INDEX($FO$245:$IH$316,$FN225-HC$169,73-HC$169+SwaptionShift):INDEX($FO$245:$IH$316,$FN225-HC$169,72-HC$169+SwaptionMonthsToGo+SwaptionShift))/SQRT(SUM(INDEX($FO380:$IH380,1+SwaptionShift):INDEX($FO380:$IH380,SwaptionMonthsToGo+SwaptionShift))*SUM(INDEX($FO$325:$IH$396,HC$169,1+SwaptionShift):INDEX($FO$325:$IH$396,HC$169,SwaptionMonthsToGo+SwaptionShift))))))</f>
        <v/>
      </c>
      <c r="HD225" s="469" t="str">
        <f ca="1">IF(OR(HD$169&lt;SwaptionFirstMonthPosition+1,$FN225&lt;SwaptionFirstMonthPosition+1,HD$169&gt;SwaptionFirstMonthPosition+SwaptionNumOfMonths+1,$FN225&gt;SwaptionFirstMonthPosition+SwaptionNumOfMonths+1),"",IF($FN225=HD$169,1,IF($FN225&lt;HD$169,INDEX($FO$170:$IH$241,HD$169,$FN225),SUMPRODUCT(INDEX($FO$325:$IH$396,HD$169,1+SwaptionShift):INDEX($FO$325:$IH$396,HD$169,SwaptionMonthsToGo+SwaptionShift),INDEX($FO$245:$IH$316,$FN225-HD$169,73-HD$169+SwaptionShift):INDEX($FO$245:$IH$316,$FN225-HD$169,72-HD$169+SwaptionMonthsToGo+SwaptionShift))/SQRT(SUM(INDEX($FO380:$IH380,1+SwaptionShift):INDEX($FO380:$IH380,SwaptionMonthsToGo+SwaptionShift))*SUM(INDEX($FO$325:$IH$396,HD$169,1+SwaptionShift):INDEX($FO$325:$IH$396,HD$169,SwaptionMonthsToGo+SwaptionShift))))))</f>
        <v/>
      </c>
      <c r="HE225" s="469" t="str">
        <f ca="1">IF(OR(HE$169&lt;SwaptionFirstMonthPosition+1,$FN225&lt;SwaptionFirstMonthPosition+1,HE$169&gt;SwaptionFirstMonthPosition+SwaptionNumOfMonths+1,$FN225&gt;SwaptionFirstMonthPosition+SwaptionNumOfMonths+1),"",IF($FN225=HE$169,1,IF($FN225&lt;HE$169,INDEX($FO$170:$IH$241,HE$169,$FN225),SUMPRODUCT(INDEX($FO$325:$IH$396,HE$169,1+SwaptionShift):INDEX($FO$325:$IH$396,HE$169,SwaptionMonthsToGo+SwaptionShift),INDEX($FO$245:$IH$316,$FN225-HE$169,73-HE$169+SwaptionShift):INDEX($FO$245:$IH$316,$FN225-HE$169,72-HE$169+SwaptionMonthsToGo+SwaptionShift))/SQRT(SUM(INDEX($FO380:$IH380,1+SwaptionShift):INDEX($FO380:$IH380,SwaptionMonthsToGo+SwaptionShift))*SUM(INDEX($FO$325:$IH$396,HE$169,1+SwaptionShift):INDEX($FO$325:$IH$396,HE$169,SwaptionMonthsToGo+SwaptionShift))))))</f>
        <v/>
      </c>
      <c r="HF225" s="469" t="str">
        <f ca="1">IF(OR(HF$169&lt;SwaptionFirstMonthPosition+1,$FN225&lt;SwaptionFirstMonthPosition+1,HF$169&gt;SwaptionFirstMonthPosition+SwaptionNumOfMonths+1,$FN225&gt;SwaptionFirstMonthPosition+SwaptionNumOfMonths+1),"",IF($FN225=HF$169,1,IF($FN225&lt;HF$169,INDEX($FO$170:$IH$241,HF$169,$FN225),SUMPRODUCT(INDEX($FO$325:$IH$396,HF$169,1+SwaptionShift):INDEX($FO$325:$IH$396,HF$169,SwaptionMonthsToGo+SwaptionShift),INDEX($FO$245:$IH$316,$FN225-HF$169,73-HF$169+SwaptionShift):INDEX($FO$245:$IH$316,$FN225-HF$169,72-HF$169+SwaptionMonthsToGo+SwaptionShift))/SQRT(SUM(INDEX($FO380:$IH380,1+SwaptionShift):INDEX($FO380:$IH380,SwaptionMonthsToGo+SwaptionShift))*SUM(INDEX($FO$325:$IH$396,HF$169,1+SwaptionShift):INDEX($FO$325:$IH$396,HF$169,SwaptionMonthsToGo+SwaptionShift))))))</f>
        <v/>
      </c>
      <c r="HG225" s="469" t="str">
        <f ca="1">IF(OR(HG$169&lt;SwaptionFirstMonthPosition+1,$FN225&lt;SwaptionFirstMonthPosition+1,HG$169&gt;SwaptionFirstMonthPosition+SwaptionNumOfMonths+1,$FN225&gt;SwaptionFirstMonthPosition+SwaptionNumOfMonths+1),"",IF($FN225=HG$169,1,IF($FN225&lt;HG$169,INDEX($FO$170:$IH$241,HG$169,$FN225),SUMPRODUCT(INDEX($FO$325:$IH$396,HG$169,1+SwaptionShift):INDEX($FO$325:$IH$396,HG$169,SwaptionMonthsToGo+SwaptionShift),INDEX($FO$245:$IH$316,$FN225-HG$169,73-HG$169+SwaptionShift):INDEX($FO$245:$IH$316,$FN225-HG$169,72-HG$169+SwaptionMonthsToGo+SwaptionShift))/SQRT(SUM(INDEX($FO380:$IH380,1+SwaptionShift):INDEX($FO380:$IH380,SwaptionMonthsToGo+SwaptionShift))*SUM(INDEX($FO$325:$IH$396,HG$169,1+SwaptionShift):INDEX($FO$325:$IH$396,HG$169,SwaptionMonthsToGo+SwaptionShift))))))</f>
        <v/>
      </c>
      <c r="HH225" s="469" t="str">
        <f ca="1">IF(OR(HH$169&lt;SwaptionFirstMonthPosition+1,$FN225&lt;SwaptionFirstMonthPosition+1,HH$169&gt;SwaptionFirstMonthPosition+SwaptionNumOfMonths+1,$FN225&gt;SwaptionFirstMonthPosition+SwaptionNumOfMonths+1),"",IF($FN225=HH$169,1,IF($FN225&lt;HH$169,INDEX($FO$170:$IH$241,HH$169,$FN225),SUMPRODUCT(INDEX($FO$325:$IH$396,HH$169,1+SwaptionShift):INDEX($FO$325:$IH$396,HH$169,SwaptionMonthsToGo+SwaptionShift),INDEX($FO$245:$IH$316,$FN225-HH$169,73-HH$169+SwaptionShift):INDEX($FO$245:$IH$316,$FN225-HH$169,72-HH$169+SwaptionMonthsToGo+SwaptionShift))/SQRT(SUM(INDEX($FO380:$IH380,1+SwaptionShift):INDEX($FO380:$IH380,SwaptionMonthsToGo+SwaptionShift))*SUM(INDEX($FO$325:$IH$396,HH$169,1+SwaptionShift):INDEX($FO$325:$IH$396,HH$169,SwaptionMonthsToGo+SwaptionShift))))))</f>
        <v/>
      </c>
      <c r="HI225" s="469" t="str">
        <f ca="1">IF(OR(HI$169&lt;SwaptionFirstMonthPosition+1,$FN225&lt;SwaptionFirstMonthPosition+1,HI$169&gt;SwaptionFirstMonthPosition+SwaptionNumOfMonths+1,$FN225&gt;SwaptionFirstMonthPosition+SwaptionNumOfMonths+1),"",IF($FN225=HI$169,1,IF($FN225&lt;HI$169,INDEX($FO$170:$IH$241,HI$169,$FN225),SUMPRODUCT(INDEX($FO$325:$IH$396,HI$169,1+SwaptionShift):INDEX($FO$325:$IH$396,HI$169,SwaptionMonthsToGo+SwaptionShift),INDEX($FO$245:$IH$316,$FN225-HI$169,73-HI$169+SwaptionShift):INDEX($FO$245:$IH$316,$FN225-HI$169,72-HI$169+SwaptionMonthsToGo+SwaptionShift))/SQRT(SUM(INDEX($FO380:$IH380,1+SwaptionShift):INDEX($FO380:$IH380,SwaptionMonthsToGo+SwaptionShift))*SUM(INDEX($FO$325:$IH$396,HI$169,1+SwaptionShift):INDEX($FO$325:$IH$396,HI$169,SwaptionMonthsToGo+SwaptionShift))))))</f>
        <v/>
      </c>
      <c r="HJ225" s="469" t="str">
        <f ca="1">IF(OR(HJ$169&lt;SwaptionFirstMonthPosition+1,$FN225&lt;SwaptionFirstMonthPosition+1,HJ$169&gt;SwaptionFirstMonthPosition+SwaptionNumOfMonths+1,$FN225&gt;SwaptionFirstMonthPosition+SwaptionNumOfMonths+1),"",IF($FN225=HJ$169,1,IF($FN225&lt;HJ$169,INDEX($FO$170:$IH$241,HJ$169,$FN225),SUMPRODUCT(INDEX($FO$325:$IH$396,HJ$169,1+SwaptionShift):INDEX($FO$325:$IH$396,HJ$169,SwaptionMonthsToGo+SwaptionShift),INDEX($FO$245:$IH$316,$FN225-HJ$169,73-HJ$169+SwaptionShift):INDEX($FO$245:$IH$316,$FN225-HJ$169,72-HJ$169+SwaptionMonthsToGo+SwaptionShift))/SQRT(SUM(INDEX($FO380:$IH380,1+SwaptionShift):INDEX($FO380:$IH380,SwaptionMonthsToGo+SwaptionShift))*SUM(INDEX($FO$325:$IH$396,HJ$169,1+SwaptionShift):INDEX($FO$325:$IH$396,HJ$169,SwaptionMonthsToGo+SwaptionShift))))))</f>
        <v/>
      </c>
      <c r="HK225" s="469" t="str">
        <f ca="1">IF(OR(HK$169&lt;SwaptionFirstMonthPosition+1,$FN225&lt;SwaptionFirstMonthPosition+1,HK$169&gt;SwaptionFirstMonthPosition+SwaptionNumOfMonths+1,$FN225&gt;SwaptionFirstMonthPosition+SwaptionNumOfMonths+1),"",IF($FN225=HK$169,1,IF($FN225&lt;HK$169,INDEX($FO$170:$IH$241,HK$169,$FN225),SUMPRODUCT(INDEX($FO$325:$IH$396,HK$169,1+SwaptionShift):INDEX($FO$325:$IH$396,HK$169,SwaptionMonthsToGo+SwaptionShift),INDEX($FO$245:$IH$316,$FN225-HK$169,73-HK$169+SwaptionShift):INDEX($FO$245:$IH$316,$FN225-HK$169,72-HK$169+SwaptionMonthsToGo+SwaptionShift))/SQRT(SUM(INDEX($FO380:$IH380,1+SwaptionShift):INDEX($FO380:$IH380,SwaptionMonthsToGo+SwaptionShift))*SUM(INDEX($FO$325:$IH$396,HK$169,1+SwaptionShift):INDEX($FO$325:$IH$396,HK$169,SwaptionMonthsToGo+SwaptionShift))))))</f>
        <v/>
      </c>
      <c r="HL225" s="469" t="str">
        <f ca="1">IF(OR(HL$169&lt;SwaptionFirstMonthPosition+1,$FN225&lt;SwaptionFirstMonthPosition+1,HL$169&gt;SwaptionFirstMonthPosition+SwaptionNumOfMonths+1,$FN225&gt;SwaptionFirstMonthPosition+SwaptionNumOfMonths+1),"",IF($FN225=HL$169,1,IF($FN225&lt;HL$169,INDEX($FO$170:$IH$241,HL$169,$FN225),SUMPRODUCT(INDEX($FO$325:$IH$396,HL$169,1+SwaptionShift):INDEX($FO$325:$IH$396,HL$169,SwaptionMonthsToGo+SwaptionShift),INDEX($FO$245:$IH$316,$FN225-HL$169,73-HL$169+SwaptionShift):INDEX($FO$245:$IH$316,$FN225-HL$169,72-HL$169+SwaptionMonthsToGo+SwaptionShift))/SQRT(SUM(INDEX($FO380:$IH380,1+SwaptionShift):INDEX($FO380:$IH380,SwaptionMonthsToGo+SwaptionShift))*SUM(INDEX($FO$325:$IH$396,HL$169,1+SwaptionShift):INDEX($FO$325:$IH$396,HL$169,SwaptionMonthsToGo+SwaptionShift))))))</f>
        <v/>
      </c>
      <c r="HM225" s="469" t="str">
        <f ca="1">IF(OR(HM$169&lt;SwaptionFirstMonthPosition+1,$FN225&lt;SwaptionFirstMonthPosition+1,HM$169&gt;SwaptionFirstMonthPosition+SwaptionNumOfMonths+1,$FN225&gt;SwaptionFirstMonthPosition+SwaptionNumOfMonths+1),"",IF($FN225=HM$169,1,IF($FN225&lt;HM$169,INDEX($FO$170:$IH$241,HM$169,$FN225),SUMPRODUCT(INDEX($FO$325:$IH$396,HM$169,1+SwaptionShift):INDEX($FO$325:$IH$396,HM$169,SwaptionMonthsToGo+SwaptionShift),INDEX($FO$245:$IH$316,$FN225-HM$169,73-HM$169+SwaptionShift):INDEX($FO$245:$IH$316,$FN225-HM$169,72-HM$169+SwaptionMonthsToGo+SwaptionShift))/SQRT(SUM(INDEX($FO380:$IH380,1+SwaptionShift):INDEX($FO380:$IH380,SwaptionMonthsToGo+SwaptionShift))*SUM(INDEX($FO$325:$IH$396,HM$169,1+SwaptionShift):INDEX($FO$325:$IH$396,HM$169,SwaptionMonthsToGo+SwaptionShift))))))</f>
        <v/>
      </c>
      <c r="HN225" s="469" t="str">
        <f ca="1">IF(OR(HN$169&lt;SwaptionFirstMonthPosition+1,$FN225&lt;SwaptionFirstMonthPosition+1,HN$169&gt;SwaptionFirstMonthPosition+SwaptionNumOfMonths+1,$FN225&gt;SwaptionFirstMonthPosition+SwaptionNumOfMonths+1),"",IF($FN225=HN$169,1,IF($FN225&lt;HN$169,INDEX($FO$170:$IH$241,HN$169,$FN225),SUMPRODUCT(INDEX($FO$325:$IH$396,HN$169,1+SwaptionShift):INDEX($FO$325:$IH$396,HN$169,SwaptionMonthsToGo+SwaptionShift),INDEX($FO$245:$IH$316,$FN225-HN$169,73-HN$169+SwaptionShift):INDEX($FO$245:$IH$316,$FN225-HN$169,72-HN$169+SwaptionMonthsToGo+SwaptionShift))/SQRT(SUM(INDEX($FO380:$IH380,1+SwaptionShift):INDEX($FO380:$IH380,SwaptionMonthsToGo+SwaptionShift))*SUM(INDEX($FO$325:$IH$396,HN$169,1+SwaptionShift):INDEX($FO$325:$IH$396,HN$169,SwaptionMonthsToGo+SwaptionShift))))))</f>
        <v/>
      </c>
      <c r="HO225" s="469" t="str">
        <f ca="1">IF(OR(HO$169&lt;SwaptionFirstMonthPosition+1,$FN225&lt;SwaptionFirstMonthPosition+1,HO$169&gt;SwaptionFirstMonthPosition+SwaptionNumOfMonths+1,$FN225&gt;SwaptionFirstMonthPosition+SwaptionNumOfMonths+1),"",IF($FN225=HO$169,1,IF($FN225&lt;HO$169,INDEX($FO$170:$IH$241,HO$169,$FN225),SUMPRODUCT(INDEX($FO$325:$IH$396,HO$169,1+SwaptionShift):INDEX($FO$325:$IH$396,HO$169,SwaptionMonthsToGo+SwaptionShift),INDEX($FO$245:$IH$316,$FN225-HO$169,73-HO$169+SwaptionShift):INDEX($FO$245:$IH$316,$FN225-HO$169,72-HO$169+SwaptionMonthsToGo+SwaptionShift))/SQRT(SUM(INDEX($FO380:$IH380,1+SwaptionShift):INDEX($FO380:$IH380,SwaptionMonthsToGo+SwaptionShift))*SUM(INDEX($FO$325:$IH$396,HO$169,1+SwaptionShift):INDEX($FO$325:$IH$396,HO$169,SwaptionMonthsToGo+SwaptionShift))))))</f>
        <v/>
      </c>
      <c r="HP225" s="469" t="str">
        <f ca="1">IF(OR(HP$169&lt;SwaptionFirstMonthPosition+1,$FN225&lt;SwaptionFirstMonthPosition+1,HP$169&gt;SwaptionFirstMonthPosition+SwaptionNumOfMonths+1,$FN225&gt;SwaptionFirstMonthPosition+SwaptionNumOfMonths+1),"",IF($FN225=HP$169,1,IF($FN225&lt;HP$169,INDEX($FO$170:$IH$241,HP$169,$FN225),SUMPRODUCT(INDEX($FO$325:$IH$396,HP$169,1+SwaptionShift):INDEX($FO$325:$IH$396,HP$169,SwaptionMonthsToGo+SwaptionShift),INDEX($FO$245:$IH$316,$FN225-HP$169,73-HP$169+SwaptionShift):INDEX($FO$245:$IH$316,$FN225-HP$169,72-HP$169+SwaptionMonthsToGo+SwaptionShift))/SQRT(SUM(INDEX($FO380:$IH380,1+SwaptionShift):INDEX($FO380:$IH380,SwaptionMonthsToGo+SwaptionShift))*SUM(INDEX($FO$325:$IH$396,HP$169,1+SwaptionShift):INDEX($FO$325:$IH$396,HP$169,SwaptionMonthsToGo+SwaptionShift))))))</f>
        <v/>
      </c>
      <c r="HQ225" s="469" t="str">
        <f ca="1">IF(OR(HQ$169&lt;SwaptionFirstMonthPosition+1,$FN225&lt;SwaptionFirstMonthPosition+1,HQ$169&gt;SwaptionFirstMonthPosition+SwaptionNumOfMonths+1,$FN225&gt;SwaptionFirstMonthPosition+SwaptionNumOfMonths+1),"",IF($FN225=HQ$169,1,IF($FN225&lt;HQ$169,INDEX($FO$170:$IH$241,HQ$169,$FN225),SUMPRODUCT(INDEX($FO$325:$IH$396,HQ$169,1+SwaptionShift):INDEX($FO$325:$IH$396,HQ$169,SwaptionMonthsToGo+SwaptionShift),INDEX($FO$245:$IH$316,$FN225-HQ$169,73-HQ$169+SwaptionShift):INDEX($FO$245:$IH$316,$FN225-HQ$169,72-HQ$169+SwaptionMonthsToGo+SwaptionShift))/SQRT(SUM(INDEX($FO380:$IH380,1+SwaptionShift):INDEX($FO380:$IH380,SwaptionMonthsToGo+SwaptionShift))*SUM(INDEX($FO$325:$IH$396,HQ$169,1+SwaptionShift):INDEX($FO$325:$IH$396,HQ$169,SwaptionMonthsToGo+SwaptionShift))))))</f>
        <v/>
      </c>
      <c r="HR225" s="469" t="str">
        <f ca="1">IF(OR(HR$169&lt;SwaptionFirstMonthPosition+1,$FN225&lt;SwaptionFirstMonthPosition+1,HR$169&gt;SwaptionFirstMonthPosition+SwaptionNumOfMonths+1,$FN225&gt;SwaptionFirstMonthPosition+SwaptionNumOfMonths+1),"",IF($FN225=HR$169,1,IF($FN225&lt;HR$169,INDEX($FO$170:$IH$241,HR$169,$FN225),SUMPRODUCT(INDEX($FO$325:$IH$396,HR$169,1+SwaptionShift):INDEX($FO$325:$IH$396,HR$169,SwaptionMonthsToGo+SwaptionShift),INDEX($FO$245:$IH$316,$FN225-HR$169,73-HR$169+SwaptionShift):INDEX($FO$245:$IH$316,$FN225-HR$169,72-HR$169+SwaptionMonthsToGo+SwaptionShift))/SQRT(SUM(INDEX($FO380:$IH380,1+SwaptionShift):INDEX($FO380:$IH380,SwaptionMonthsToGo+SwaptionShift))*SUM(INDEX($FO$325:$IH$396,HR$169,1+SwaptionShift):INDEX($FO$325:$IH$396,HR$169,SwaptionMonthsToGo+SwaptionShift))))))</f>
        <v/>
      </c>
      <c r="HS225" s="469" t="str">
        <f ca="1">IF(OR(HS$169&lt;SwaptionFirstMonthPosition+1,$FN225&lt;SwaptionFirstMonthPosition+1,HS$169&gt;SwaptionFirstMonthPosition+SwaptionNumOfMonths+1,$FN225&gt;SwaptionFirstMonthPosition+SwaptionNumOfMonths+1),"",IF($FN225=HS$169,1,IF($FN225&lt;HS$169,INDEX($FO$170:$IH$241,HS$169,$FN225),SUMPRODUCT(INDEX($FO$325:$IH$396,HS$169,1+SwaptionShift):INDEX($FO$325:$IH$396,HS$169,SwaptionMonthsToGo+SwaptionShift),INDEX($FO$245:$IH$316,$FN225-HS$169,73-HS$169+SwaptionShift):INDEX($FO$245:$IH$316,$FN225-HS$169,72-HS$169+SwaptionMonthsToGo+SwaptionShift))/SQRT(SUM(INDEX($FO380:$IH380,1+SwaptionShift):INDEX($FO380:$IH380,SwaptionMonthsToGo+SwaptionShift))*SUM(INDEX($FO$325:$IH$396,HS$169,1+SwaptionShift):INDEX($FO$325:$IH$396,HS$169,SwaptionMonthsToGo+SwaptionShift))))))</f>
        <v/>
      </c>
      <c r="HT225" s="469" t="str">
        <f ca="1">IF(OR(HT$169&lt;SwaptionFirstMonthPosition+1,$FN225&lt;SwaptionFirstMonthPosition+1,HT$169&gt;SwaptionFirstMonthPosition+SwaptionNumOfMonths+1,$FN225&gt;SwaptionFirstMonthPosition+SwaptionNumOfMonths+1),"",IF($FN225=HT$169,1,IF($FN225&lt;HT$169,INDEX($FO$170:$IH$241,HT$169,$FN225),SUMPRODUCT(INDEX($FO$325:$IH$396,HT$169,1+SwaptionShift):INDEX($FO$325:$IH$396,HT$169,SwaptionMonthsToGo+SwaptionShift),INDEX($FO$245:$IH$316,$FN225-HT$169,73-HT$169+SwaptionShift):INDEX($FO$245:$IH$316,$FN225-HT$169,72-HT$169+SwaptionMonthsToGo+SwaptionShift))/SQRT(SUM(INDEX($FO380:$IH380,1+SwaptionShift):INDEX($FO380:$IH380,SwaptionMonthsToGo+SwaptionShift))*SUM(INDEX($FO$325:$IH$396,HT$169,1+SwaptionShift):INDEX($FO$325:$IH$396,HT$169,SwaptionMonthsToGo+SwaptionShift))))))</f>
        <v/>
      </c>
      <c r="HU225" s="469" t="str">
        <f ca="1">IF(OR(HU$169&lt;SwaptionFirstMonthPosition+1,$FN225&lt;SwaptionFirstMonthPosition+1,HU$169&gt;SwaptionFirstMonthPosition+SwaptionNumOfMonths+1,$FN225&gt;SwaptionFirstMonthPosition+SwaptionNumOfMonths+1),"",IF($FN225=HU$169,1,IF($FN225&lt;HU$169,INDEX($FO$170:$IH$241,HU$169,$FN225),SUMPRODUCT(INDEX($FO$325:$IH$396,HU$169,1+SwaptionShift):INDEX($FO$325:$IH$396,HU$169,SwaptionMonthsToGo+SwaptionShift),INDEX($FO$245:$IH$316,$FN225-HU$169,73-HU$169+SwaptionShift):INDEX($FO$245:$IH$316,$FN225-HU$169,72-HU$169+SwaptionMonthsToGo+SwaptionShift))/SQRT(SUM(INDEX($FO380:$IH380,1+SwaptionShift):INDEX($FO380:$IH380,SwaptionMonthsToGo+SwaptionShift))*SUM(INDEX($FO$325:$IH$396,HU$169,1+SwaptionShift):INDEX($FO$325:$IH$396,HU$169,SwaptionMonthsToGo+SwaptionShift))))))</f>
        <v/>
      </c>
      <c r="HV225" s="469" t="str">
        <f ca="1">IF(OR(HV$169&lt;SwaptionFirstMonthPosition+1,$FN225&lt;SwaptionFirstMonthPosition+1,HV$169&gt;SwaptionFirstMonthPosition+SwaptionNumOfMonths+1,$FN225&gt;SwaptionFirstMonthPosition+SwaptionNumOfMonths+1),"",IF($FN225=HV$169,1,IF($FN225&lt;HV$169,INDEX($FO$170:$IH$241,HV$169,$FN225),SUMPRODUCT(INDEX($FO$325:$IH$396,HV$169,1+SwaptionShift):INDEX($FO$325:$IH$396,HV$169,SwaptionMonthsToGo+SwaptionShift),INDEX($FO$245:$IH$316,$FN225-HV$169,73-HV$169+SwaptionShift):INDEX($FO$245:$IH$316,$FN225-HV$169,72-HV$169+SwaptionMonthsToGo+SwaptionShift))/SQRT(SUM(INDEX($FO380:$IH380,1+SwaptionShift):INDEX($FO380:$IH380,SwaptionMonthsToGo+SwaptionShift))*SUM(INDEX($FO$325:$IH$396,HV$169,1+SwaptionShift):INDEX($FO$325:$IH$396,HV$169,SwaptionMonthsToGo+SwaptionShift))))))</f>
        <v/>
      </c>
      <c r="HW225" s="469" t="str">
        <f ca="1">IF(OR(HW$169&lt;SwaptionFirstMonthPosition+1,$FN225&lt;SwaptionFirstMonthPosition+1,HW$169&gt;SwaptionFirstMonthPosition+SwaptionNumOfMonths+1,$FN225&gt;SwaptionFirstMonthPosition+SwaptionNumOfMonths+1),"",IF($FN225=HW$169,1,IF($FN225&lt;HW$169,INDEX($FO$170:$IH$241,HW$169,$FN225),SUMPRODUCT(INDEX($FO$325:$IH$396,HW$169,1+SwaptionShift):INDEX($FO$325:$IH$396,HW$169,SwaptionMonthsToGo+SwaptionShift),INDEX($FO$245:$IH$316,$FN225-HW$169,73-HW$169+SwaptionShift):INDEX($FO$245:$IH$316,$FN225-HW$169,72-HW$169+SwaptionMonthsToGo+SwaptionShift))/SQRT(SUM(INDEX($FO380:$IH380,1+SwaptionShift):INDEX($FO380:$IH380,SwaptionMonthsToGo+SwaptionShift))*SUM(INDEX($FO$325:$IH$396,HW$169,1+SwaptionShift):INDEX($FO$325:$IH$396,HW$169,SwaptionMonthsToGo+SwaptionShift))))))</f>
        <v/>
      </c>
      <c r="HX225" s="469" t="str">
        <f ca="1">IF(OR(HX$169&lt;SwaptionFirstMonthPosition+1,$FN225&lt;SwaptionFirstMonthPosition+1,HX$169&gt;SwaptionFirstMonthPosition+SwaptionNumOfMonths+1,$FN225&gt;SwaptionFirstMonthPosition+SwaptionNumOfMonths+1),"",IF($FN225=HX$169,1,IF($FN225&lt;HX$169,INDEX($FO$170:$IH$241,HX$169,$FN225),SUMPRODUCT(INDEX($FO$325:$IH$396,HX$169,1+SwaptionShift):INDEX($FO$325:$IH$396,HX$169,SwaptionMonthsToGo+SwaptionShift),INDEX($FO$245:$IH$316,$FN225-HX$169,73-HX$169+SwaptionShift):INDEX($FO$245:$IH$316,$FN225-HX$169,72-HX$169+SwaptionMonthsToGo+SwaptionShift))/SQRT(SUM(INDEX($FO380:$IH380,1+SwaptionShift):INDEX($FO380:$IH380,SwaptionMonthsToGo+SwaptionShift))*SUM(INDEX($FO$325:$IH$396,HX$169,1+SwaptionShift):INDEX($FO$325:$IH$396,HX$169,SwaptionMonthsToGo+SwaptionShift))))))</f>
        <v/>
      </c>
      <c r="HY225" s="469" t="str">
        <f ca="1">IF(OR(HY$169&lt;SwaptionFirstMonthPosition+1,$FN225&lt;SwaptionFirstMonthPosition+1,HY$169&gt;SwaptionFirstMonthPosition+SwaptionNumOfMonths+1,$FN225&gt;SwaptionFirstMonthPosition+SwaptionNumOfMonths+1),"",IF($FN225=HY$169,1,IF($FN225&lt;HY$169,INDEX($FO$170:$IH$241,HY$169,$FN225),SUMPRODUCT(INDEX($FO$325:$IH$396,HY$169,1+SwaptionShift):INDEX($FO$325:$IH$396,HY$169,SwaptionMonthsToGo+SwaptionShift),INDEX($FO$245:$IH$316,$FN225-HY$169,73-HY$169+SwaptionShift):INDEX($FO$245:$IH$316,$FN225-HY$169,72-HY$169+SwaptionMonthsToGo+SwaptionShift))/SQRT(SUM(INDEX($FO380:$IH380,1+SwaptionShift):INDEX($FO380:$IH380,SwaptionMonthsToGo+SwaptionShift))*SUM(INDEX($FO$325:$IH$396,HY$169,1+SwaptionShift):INDEX($FO$325:$IH$396,HY$169,SwaptionMonthsToGo+SwaptionShift))))))</f>
        <v/>
      </c>
      <c r="HZ225" s="469" t="str">
        <f ca="1">IF(OR(HZ$169&lt;SwaptionFirstMonthPosition+1,$FN225&lt;SwaptionFirstMonthPosition+1,HZ$169&gt;SwaptionFirstMonthPosition+SwaptionNumOfMonths+1,$FN225&gt;SwaptionFirstMonthPosition+SwaptionNumOfMonths+1),"",IF($FN225=HZ$169,1,IF($FN225&lt;HZ$169,INDEX($FO$170:$IH$241,HZ$169,$FN225),SUMPRODUCT(INDEX($FO$325:$IH$396,HZ$169,1+SwaptionShift):INDEX($FO$325:$IH$396,HZ$169,SwaptionMonthsToGo+SwaptionShift),INDEX($FO$245:$IH$316,$FN225-HZ$169,73-HZ$169+SwaptionShift):INDEX($FO$245:$IH$316,$FN225-HZ$169,72-HZ$169+SwaptionMonthsToGo+SwaptionShift))/SQRT(SUM(INDEX($FO380:$IH380,1+SwaptionShift):INDEX($FO380:$IH380,SwaptionMonthsToGo+SwaptionShift))*SUM(INDEX($FO$325:$IH$396,HZ$169,1+SwaptionShift):INDEX($FO$325:$IH$396,HZ$169,SwaptionMonthsToGo+SwaptionShift))))))</f>
        <v/>
      </c>
      <c r="IA225" s="469" t="str">
        <f ca="1">IF(OR(IA$169&lt;SwaptionFirstMonthPosition+1,$FN225&lt;SwaptionFirstMonthPosition+1,IA$169&gt;SwaptionFirstMonthPosition+SwaptionNumOfMonths+1,$FN225&gt;SwaptionFirstMonthPosition+SwaptionNumOfMonths+1),"",IF($FN225=IA$169,1,IF($FN225&lt;IA$169,INDEX($FO$170:$IH$241,IA$169,$FN225),SUMPRODUCT(INDEX($FO$325:$IH$396,IA$169,1+SwaptionShift):INDEX($FO$325:$IH$396,IA$169,SwaptionMonthsToGo+SwaptionShift),INDEX($FO$245:$IH$316,$FN225-IA$169,73-IA$169+SwaptionShift):INDEX($FO$245:$IH$316,$FN225-IA$169,72-IA$169+SwaptionMonthsToGo+SwaptionShift))/SQRT(SUM(INDEX($FO380:$IH380,1+SwaptionShift):INDEX($FO380:$IH380,SwaptionMonthsToGo+SwaptionShift))*SUM(INDEX($FO$325:$IH$396,IA$169,1+SwaptionShift):INDEX($FO$325:$IH$396,IA$169,SwaptionMonthsToGo+SwaptionShift))))))</f>
        <v/>
      </c>
      <c r="IB225" s="469" t="str">
        <f ca="1">IF(OR(IB$169&lt;SwaptionFirstMonthPosition+1,$FN225&lt;SwaptionFirstMonthPosition+1,IB$169&gt;SwaptionFirstMonthPosition+SwaptionNumOfMonths+1,$FN225&gt;SwaptionFirstMonthPosition+SwaptionNumOfMonths+1),"",IF($FN225=IB$169,1,IF($FN225&lt;IB$169,INDEX($FO$170:$IH$241,IB$169,$FN225),SUMPRODUCT(INDEX($FO$325:$IH$396,IB$169,1+SwaptionShift):INDEX($FO$325:$IH$396,IB$169,SwaptionMonthsToGo+SwaptionShift),INDEX($FO$245:$IH$316,$FN225-IB$169,73-IB$169+SwaptionShift):INDEX($FO$245:$IH$316,$FN225-IB$169,72-IB$169+SwaptionMonthsToGo+SwaptionShift))/SQRT(SUM(INDEX($FO380:$IH380,1+SwaptionShift):INDEX($FO380:$IH380,SwaptionMonthsToGo+SwaptionShift))*SUM(INDEX($FO$325:$IH$396,IB$169,1+SwaptionShift):INDEX($FO$325:$IH$396,IB$169,SwaptionMonthsToGo+SwaptionShift))))))</f>
        <v/>
      </c>
      <c r="IC225" s="469" t="str">
        <f ca="1">IF(OR(IC$169&lt;SwaptionFirstMonthPosition+1,$FN225&lt;SwaptionFirstMonthPosition+1,IC$169&gt;SwaptionFirstMonthPosition+SwaptionNumOfMonths+1,$FN225&gt;SwaptionFirstMonthPosition+SwaptionNumOfMonths+1),"",IF($FN225=IC$169,1,IF($FN225&lt;IC$169,INDEX($FO$170:$IH$241,IC$169,$FN225),SUMPRODUCT(INDEX($FO$325:$IH$396,IC$169,1+SwaptionShift):INDEX($FO$325:$IH$396,IC$169,SwaptionMonthsToGo+SwaptionShift),INDEX($FO$245:$IH$316,$FN225-IC$169,73-IC$169+SwaptionShift):INDEX($FO$245:$IH$316,$FN225-IC$169,72-IC$169+SwaptionMonthsToGo+SwaptionShift))/SQRT(SUM(INDEX($FO380:$IH380,1+SwaptionShift):INDEX($FO380:$IH380,SwaptionMonthsToGo+SwaptionShift))*SUM(INDEX($FO$325:$IH$396,IC$169,1+SwaptionShift):INDEX($FO$325:$IH$396,IC$169,SwaptionMonthsToGo+SwaptionShift))))))</f>
        <v/>
      </c>
      <c r="ID225" s="469" t="str">
        <f ca="1">IF(OR(ID$169&lt;SwaptionFirstMonthPosition+1,$FN225&lt;SwaptionFirstMonthPosition+1,ID$169&gt;SwaptionFirstMonthPosition+SwaptionNumOfMonths+1,$FN225&gt;SwaptionFirstMonthPosition+SwaptionNumOfMonths+1),"",IF($FN225=ID$169,1,IF($FN225&lt;ID$169,INDEX($FO$170:$IH$241,ID$169,$FN225),SUMPRODUCT(INDEX($FO$325:$IH$396,ID$169,1+SwaptionShift):INDEX($FO$325:$IH$396,ID$169,SwaptionMonthsToGo+SwaptionShift),INDEX($FO$245:$IH$316,$FN225-ID$169,73-ID$169+SwaptionShift):INDEX($FO$245:$IH$316,$FN225-ID$169,72-ID$169+SwaptionMonthsToGo+SwaptionShift))/SQRT(SUM(INDEX($FO380:$IH380,1+SwaptionShift):INDEX($FO380:$IH380,SwaptionMonthsToGo+SwaptionShift))*SUM(INDEX($FO$325:$IH$396,ID$169,1+SwaptionShift):INDEX($FO$325:$IH$396,ID$169,SwaptionMonthsToGo+SwaptionShift))))))</f>
        <v/>
      </c>
      <c r="IE225" s="469" t="str">
        <f ca="1">IF(OR(IE$169&lt;SwaptionFirstMonthPosition+1,$FN225&lt;SwaptionFirstMonthPosition+1,IE$169&gt;SwaptionFirstMonthPosition+SwaptionNumOfMonths+1,$FN225&gt;SwaptionFirstMonthPosition+SwaptionNumOfMonths+1),"",IF($FN225=IE$169,1,IF($FN225&lt;IE$169,INDEX($FO$170:$IH$241,IE$169,$FN225),SUMPRODUCT(INDEX($FO$325:$IH$396,IE$169,1+SwaptionShift):INDEX($FO$325:$IH$396,IE$169,SwaptionMonthsToGo+SwaptionShift),INDEX($FO$245:$IH$316,$FN225-IE$169,73-IE$169+SwaptionShift):INDEX($FO$245:$IH$316,$FN225-IE$169,72-IE$169+SwaptionMonthsToGo+SwaptionShift))/SQRT(SUM(INDEX($FO380:$IH380,1+SwaptionShift):INDEX($FO380:$IH380,SwaptionMonthsToGo+SwaptionShift))*SUM(INDEX($FO$325:$IH$396,IE$169,1+SwaptionShift):INDEX($FO$325:$IH$396,IE$169,SwaptionMonthsToGo+SwaptionShift))))))</f>
        <v/>
      </c>
      <c r="IF225" s="469" t="str">
        <f ca="1">IF(OR(IF$169&lt;SwaptionFirstMonthPosition+1,$FN225&lt;SwaptionFirstMonthPosition+1,IF$169&gt;SwaptionFirstMonthPosition+SwaptionNumOfMonths+1,$FN225&gt;SwaptionFirstMonthPosition+SwaptionNumOfMonths+1),"",IF($FN225=IF$169,1,IF($FN225&lt;IF$169,INDEX($FO$170:$IH$241,IF$169,$FN225),SUMPRODUCT(INDEX($FO$325:$IH$396,IF$169,1+SwaptionShift):INDEX($FO$325:$IH$396,IF$169,SwaptionMonthsToGo+SwaptionShift),INDEX($FO$245:$IH$316,$FN225-IF$169,73-IF$169+SwaptionShift):INDEX($FO$245:$IH$316,$FN225-IF$169,72-IF$169+SwaptionMonthsToGo+SwaptionShift))/SQRT(SUM(INDEX($FO380:$IH380,1+SwaptionShift):INDEX($FO380:$IH380,SwaptionMonthsToGo+SwaptionShift))*SUM(INDEX($FO$325:$IH$396,IF$169,1+SwaptionShift):INDEX($FO$325:$IH$396,IF$169,SwaptionMonthsToGo+SwaptionShift))))))</f>
        <v/>
      </c>
      <c r="IG225" s="469" t="str">
        <f ca="1">IF(OR(IG$169&lt;SwaptionFirstMonthPosition+1,$FN225&lt;SwaptionFirstMonthPosition+1,IG$169&gt;SwaptionFirstMonthPosition+SwaptionNumOfMonths+1,$FN225&gt;SwaptionFirstMonthPosition+SwaptionNumOfMonths+1),"",IF($FN225=IG$169,1,IF($FN225&lt;IG$169,INDEX($FO$170:$IH$241,IG$169,$FN225),SUMPRODUCT(INDEX($FO$325:$IH$396,IG$169,1+SwaptionShift):INDEX($FO$325:$IH$396,IG$169,SwaptionMonthsToGo+SwaptionShift),INDEX($FO$245:$IH$316,$FN225-IG$169,73-IG$169+SwaptionShift):INDEX($FO$245:$IH$316,$FN225-IG$169,72-IG$169+SwaptionMonthsToGo+SwaptionShift))/SQRT(SUM(INDEX($FO380:$IH380,1+SwaptionShift):INDEX($FO380:$IH380,SwaptionMonthsToGo+SwaptionShift))*SUM(INDEX($FO$325:$IH$396,IG$169,1+SwaptionShift):INDEX($FO$325:$IH$396,IG$169,SwaptionMonthsToGo+SwaptionShift))))))</f>
        <v/>
      </c>
      <c r="IH225" s="662" t="str">
        <f ca="1">IF(OR(IH$169&lt;SwaptionFirstMonthPosition+1,$FN225&lt;SwaptionFirstMonthPosition+1,IH$169&gt;SwaptionFirstMonthPosition+SwaptionNumOfMonths+1,$FN225&gt;SwaptionFirstMonthPosition+SwaptionNumOfMonths+1),"",IF($FN225=IH$169,1,IF($FN225&lt;IH$169,INDEX($FO$170:$IH$241,IH$169,$FN225),SUMPRODUCT(INDEX($FO$325:$IH$396,IH$169,1+SwaptionShift):INDEX($FO$325:$IH$396,IH$169,SwaptionMonthsToGo+SwaptionShift),INDEX($FO$245:$IH$316,$FN225-IH$169,73-IH$169+SwaptionShift):INDEX($FO$245:$IH$316,$FN225-IH$169,72-IH$169+SwaptionMonthsToGo+SwaptionShift))/SQRT(SUM(INDEX($FO380:$IH380,1+SwaptionShift):INDEX($FO380:$IH380,SwaptionMonthsToGo+SwaptionShift))*SUM(INDEX($FO$325:$IH$396,IH$169,1+SwaptionShift):INDEX($FO$325:$IH$396,IH$169,SwaptionMonthsToGo+SwaptionShift))))))</f>
        <v/>
      </c>
      <c r="II225" s="242"/>
    </row>
    <row r="226" spans="8:243">
      <c r="H226" s="49" t="e">
        <f t="shared" ca="1" si="645"/>
        <v>#N/A</v>
      </c>
      <c r="I226" s="369">
        <f t="shared" si="646"/>
        <v>43282</v>
      </c>
      <c r="J226" s="367">
        <v>24.534999999999798</v>
      </c>
      <c r="K226" s="101" t="s">
        <v>267</v>
      </c>
      <c r="L226" s="382">
        <f t="shared" si="647"/>
        <v>24.534999999999837</v>
      </c>
      <c r="M226" s="163">
        <v>0.12870000000000001</v>
      </c>
      <c r="N226" s="372">
        <v>0</v>
      </c>
      <c r="O226" s="163">
        <f t="shared" si="595"/>
        <v>0.12870000000000001</v>
      </c>
      <c r="P226" s="367">
        <v>23.287971441535298</v>
      </c>
      <c r="Q226" s="101" t="s">
        <v>267</v>
      </c>
      <c r="R226" s="367">
        <f t="shared" ca="1" si="596"/>
        <v>23.287971441535277</v>
      </c>
      <c r="S226" s="814">
        <f t="shared" si="594"/>
        <v>0.34637066688393808</v>
      </c>
      <c r="T226" s="813">
        <f t="shared" si="660"/>
        <v>0.99999999997073186</v>
      </c>
      <c r="U226" s="532">
        <f t="shared" si="661"/>
        <v>0.99999999999999978</v>
      </c>
      <c r="V226" s="379">
        <v>0</v>
      </c>
      <c r="W226" s="424">
        <f t="shared" si="597"/>
        <v>24.568333333333129</v>
      </c>
      <c r="X226" s="405">
        <f t="shared" si="598"/>
        <v>24.568333333333168</v>
      </c>
      <c r="Y226" s="313">
        <f t="shared" si="599"/>
        <v>23.249933333333129</v>
      </c>
      <c r="Z226" s="313">
        <f t="shared" ca="1" si="600"/>
        <v>23.249933333333168</v>
      </c>
      <c r="AA226" s="419">
        <f t="shared" si="623"/>
        <v>1.3184</v>
      </c>
      <c r="AB226" s="423">
        <f t="shared" ca="1" si="624"/>
        <v>1.3184</v>
      </c>
      <c r="AC226" s="221">
        <v>43271</v>
      </c>
      <c r="AD226" s="221">
        <v>43267</v>
      </c>
      <c r="AE226" s="221">
        <v>43266</v>
      </c>
      <c r="AF226" s="221">
        <v>43262</v>
      </c>
      <c r="AG226" s="241" t="s">
        <v>497</v>
      </c>
      <c r="AH226" s="239" t="s">
        <v>497</v>
      </c>
      <c r="AI226" s="141">
        <v>21</v>
      </c>
      <c r="AJ226" s="41">
        <v>14</v>
      </c>
      <c r="AK226" s="41">
        <v>7</v>
      </c>
      <c r="AL226" s="285">
        <v>22</v>
      </c>
      <c r="AM226" s="41">
        <v>10</v>
      </c>
      <c r="AN226" s="142">
        <v>12</v>
      </c>
      <c r="AO226" s="364">
        <v>6.3147910900319501E-2</v>
      </c>
      <c r="AP226" s="145">
        <f t="shared" ca="1" si="648"/>
        <v>0.34092004003687926</v>
      </c>
      <c r="AQ226" s="364">
        <v>5.9094872181321402E-2</v>
      </c>
      <c r="AR226" s="145">
        <f t="shared" ca="1" si="662"/>
        <v>0.36756333262190144</v>
      </c>
      <c r="AS226" s="264">
        <f t="shared" si="601"/>
        <v>0.12816666666666668</v>
      </c>
      <c r="AT226" s="149">
        <f t="shared" si="649"/>
        <v>0.12870000000000001</v>
      </c>
      <c r="AU226" s="149">
        <f t="shared" si="625"/>
        <v>0.12808181818181819</v>
      </c>
      <c r="AV226" s="263">
        <f t="shared" ca="1" si="669"/>
        <v>0.12669038298930924</v>
      </c>
      <c r="AW226" s="150" t="str">
        <f t="shared" ca="1" si="581"/>
        <v/>
      </c>
      <c r="AX226" s="149">
        <f t="shared" ca="1" si="663"/>
        <v>3.5449720370879056E-3</v>
      </c>
      <c r="AY226" s="149">
        <f t="shared" ca="1" si="664"/>
        <v>1.0933315488074718E-3</v>
      </c>
      <c r="AZ226" s="149">
        <f t="shared" ca="1" si="665"/>
        <v>1.3301105883599181E-3</v>
      </c>
      <c r="BA226" s="149">
        <f t="shared" ca="1" si="666"/>
        <v>1.0000000000001108E-4</v>
      </c>
      <c r="BB226" s="149">
        <f t="shared" ca="1" si="667"/>
        <v>1.0000000000001108E-4</v>
      </c>
      <c r="BC226" s="149">
        <f t="shared" ca="1" si="668"/>
        <v>1.0000000000001108E-4</v>
      </c>
      <c r="BD226" s="143">
        <f t="shared" ca="1" si="602"/>
        <v>0</v>
      </c>
      <c r="BE226" s="144">
        <f t="shared" ca="1" si="603"/>
        <v>0</v>
      </c>
      <c r="BF226" s="40">
        <f t="shared" si="604"/>
        <v>2018</v>
      </c>
      <c r="BG226" s="139">
        <f t="shared" si="605"/>
        <v>7</v>
      </c>
      <c r="BH226" s="140">
        <f t="shared" ca="1" si="606"/>
        <v>6277</v>
      </c>
      <c r="BI226" s="304">
        <f t="shared" ca="1" si="607"/>
        <v>17.226557152635181</v>
      </c>
      <c r="BJ226" s="42">
        <f t="shared" ca="1" si="626"/>
        <v>17.281314168377822</v>
      </c>
      <c r="BK226" s="42">
        <f t="shared" ca="1" si="627"/>
        <v>17.284052019164953</v>
      </c>
      <c r="BL226" s="42">
        <f t="shared" ca="1" si="608"/>
        <v>17.308692676249144</v>
      </c>
      <c r="BM226" s="285">
        <f t="shared" si="609"/>
        <v>21</v>
      </c>
      <c r="BN226" s="41">
        <f t="shared" si="610"/>
        <v>14</v>
      </c>
      <c r="BO226" s="41">
        <f t="shared" si="611"/>
        <v>7</v>
      </c>
      <c r="BP226" s="297" t="str">
        <f t="shared" ca="1" si="628"/>
        <v/>
      </c>
      <c r="BQ226" s="297" t="str">
        <f t="shared" ca="1" si="629"/>
        <v/>
      </c>
      <c r="BR226" s="299" t="str">
        <f t="shared" ca="1" si="630"/>
        <v/>
      </c>
      <c r="BS226" s="153" t="str">
        <f t="shared" ca="1" si="631"/>
        <v/>
      </c>
      <c r="BT226" s="153" t="str">
        <f t="shared" ca="1" si="632"/>
        <v/>
      </c>
      <c r="BU226" s="300" t="str">
        <f t="shared" ca="1" si="633"/>
        <v/>
      </c>
      <c r="BV226" s="301" t="str">
        <f t="shared" ca="1" si="634"/>
        <v/>
      </c>
      <c r="BW226" s="300" t="str">
        <f t="shared" ca="1" si="635"/>
        <v/>
      </c>
      <c r="BX226" s="301" t="str">
        <f t="shared" ca="1" si="636"/>
        <v/>
      </c>
      <c r="BY226" s="146" t="str">
        <f t="shared" ca="1" si="637"/>
        <v/>
      </c>
      <c r="BZ226" s="146" t="str">
        <f t="shared" ca="1" si="638"/>
        <v/>
      </c>
      <c r="CA226" s="146" t="str">
        <f t="shared" ca="1" si="639"/>
        <v/>
      </c>
      <c r="CB226" s="146" t="str">
        <f t="shared" ca="1" si="640"/>
        <v/>
      </c>
      <c r="CC226" s="302">
        <v>1</v>
      </c>
      <c r="CD226" s="154">
        <f ca="1">IF(BD226,_xll.xCrudeAPO(BS226,BT226,BY226,BZ226,S227,S228,BI226,BL226,BN226,BO226,0,Strike1,AO226,CC226,0,BL226,IF(OptControl=4,0,1),0,1),0)</f>
        <v>0</v>
      </c>
      <c r="CE226" s="155">
        <f ca="1">IF(BD226,_xll.xCrudeAPO(BS226,BT226,BY226,BZ226,S227,S228,BI226,BL226,BN226,BO226,0,Strike1,AO226,CC226,0,BL226,IF(OptControl=4,0,1),1,1)+_xll.xCrudeAPO(BS226,BT226,BY226,BZ226,S227,S228,BI226,BL226,BN226,BO226,0,Strike1,AO226,CC226,0,BL226,IF(OptControl=4,0,1),1,2)+IF(OR(VolSkewFlag=2,ABS(BQ226)&lt;0.0001),0,IF(BQ226&gt;0,-1,1)*CF226*Strike1/BP226^2*BW226/10%),0)</f>
        <v>0</v>
      </c>
      <c r="CF226" s="155">
        <f ca="1">IF(BD226,(_xll.xCrudeAPO(BS226,BT226,BY226,BZ226,S227,S228,BI226,BL226,BN226,BO226,0,Strike1,AO226,CC226,0,BL226,IF(OptControl=4,0,1),3,1)+_xll.xCrudeAPO(BS226,BT226,BY226,BZ226,S227,S228,BI226,BL226,BN226,BO226,0,Strike1,AO226,CC226,0,BL226,IF(OptControl=4,0,1),3,2))/100,0)</f>
        <v>0</v>
      </c>
      <c r="CG226" s="155">
        <f ca="1">IF(BD226,_xll.xCrudeAPO(BS226,BT226,BY226,BZ226,S227,S228,BI226-DaysForThetaCalculation/365.25,BL226-DaysForThetaCalculation/365.25,BN226,BO226,0,Strike1,AO226,CC226,0,BL226,IF(OptControl=4,0,1),0,1)-_xll.xCrudeAPO(BS226,BT226,BY226,BZ226,S227,S228,BI226,BL226,BN226,BO226,0,Strike1,AO226,CC226,0,BL226,IF(OptControl=4,0,1),0,1),0)</f>
        <v>0</v>
      </c>
      <c r="CH226" s="303">
        <f ca="1">IF(BD226,_xll.xCrudeAPO(BS226,BT226,CA226,CB226,S227,S228,BI226,BL226,BN226,BO226,0,Strike2,AO226,CC226,0,BL226,IF(OptControl=3,1,0),0,1),0)</f>
        <v>0</v>
      </c>
      <c r="CI226" s="155">
        <f ca="1">IF(BD226,_xll.xCrudeAPO(BS226,BT226,CA226,CB226,S227,S228,BI226,BL226,BN226,BO226,0,Strike2,AO226,CC226,0,BL226,IF(OptControl=3,1,0),1,1)+_xll.xCrudeAPO(BS226,BT226,CA226,CB226,S227,S228,BI226,BL226,BN226,BO226,0,Strike2,AO226,CC226,0,BL226,IF(OptControl=3,1,0),1,2)+IF(OR(VolSkewFlag=2,ABS(BR226)&lt;0.0001),0,IF(BR226&gt;0,-1,1)*CJ226*Strike2/BP226^2*BX226/10%),0)</f>
        <v>0</v>
      </c>
      <c r="CJ226" s="155">
        <f ca="1">IF(BD226,(_xll.xCrudeAPO(BS226,BT226,CA226,CB226,S227,S228,BI226,BL226,BN226,BO226,0,Strike2,AO226,CC226,0,BL226,IF(OptControl=3,1,0),3,1)+_xll.xCrudeAPO(BS226,BT226,CA226,CB226,S227,S228,BI226,BL226,BN226,BO226,0,Strike2,AO226,CC226,0,BL226,IF(OptControl=3,1,0),3,2))/100,0)</f>
        <v>0</v>
      </c>
      <c r="CK226" s="156">
        <f ca="1">IF(BD226,_xll.xCrudeAPO(BS226,BT226,CA226,CB226,S227,S228,BI226-DaysForThetaCalculation/365.25,BL226-DaysForThetaCalculation/365.25,BN226,BO226,0,Strike2,AO226,CC226,0,BL226,IF(OptControl=3,1,0),0,1)-_xll.xCrudeAPO(BS226,BT226,CA226,CB226,S227,S228,BI226,BL226,BN226,BO226,0,Strike2,AO226,CC226,0,BL226,IF(OptControl=3,1,0),0,1),0)</f>
        <v>0</v>
      </c>
      <c r="CL226" s="51"/>
      <c r="CM226" s="779" t="str">
        <f t="shared" ca="1" si="650"/>
        <v/>
      </c>
      <c r="CN226" s="783" t="str">
        <f t="shared" ca="1" si="651"/>
        <v/>
      </c>
      <c r="CO226" s="780" t="str">
        <f t="shared" ca="1" si="652"/>
        <v/>
      </c>
      <c r="CP226" s="780" t="str">
        <f t="shared" ca="1" si="653"/>
        <v/>
      </c>
      <c r="CQ226" s="780" t="str">
        <f t="shared" ca="1" si="654"/>
        <v/>
      </c>
      <c r="CR226" s="780" t="str">
        <f t="shared" ca="1" si="655"/>
        <v/>
      </c>
      <c r="CS226" s="781" t="str">
        <f t="shared" ca="1" si="656"/>
        <v/>
      </c>
      <c r="CT226" s="782" t="str">
        <f t="shared" ca="1" si="657"/>
        <v/>
      </c>
      <c r="CU226" s="782" t="str">
        <f t="shared" ca="1" si="658"/>
        <v/>
      </c>
      <c r="CV226" s="155">
        <f ca="1">IF(BD226,_xll.EURO(CN226,Strike1,AO226,AO226,CT226,CM226,IF(OptControl=4,0,1),0),0)</f>
        <v>0</v>
      </c>
      <c r="CW226" s="155">
        <f ca="1">IF(BD226,_xll.EURO(CN226,Strike1,AO226,AO226,CT226,CM226,IF(OptControl=4,0,1),1)+IF(OR(VolSkewFlag=2,ABS(CO226)&lt;0.0001),0,IF(CO226&gt;0,-1,1)*CX226*100*Strike1/CN226^2*CQ226/10%),0)</f>
        <v>0</v>
      </c>
      <c r="CX226" s="155">
        <f ca="1">IF(BD226,_xll.EURO(CN226,Strike1,AO226,AO226,CT226,CM226,IF(OptControl=4,0,1),3)/100,0)</f>
        <v>0</v>
      </c>
      <c r="CY226" s="155">
        <f ca="1">IF(BD226,_xll.EURO(CN226,Strike1,AO226,AO226,CT226,CM226,IF(OptControl=4,0,1),0)-_xll.EURO(CN226,Strike1,AO226,AO226,CT226,CM226-1,IF(OptControl=4,0,1),0),0)</f>
        <v>0</v>
      </c>
      <c r="CZ226" s="155">
        <f ca="1">IF(BD226,_xll.EURO(CN226,Strike2,AO226,AO226,CU226,CM226,IF(OptControl=3,1,0),0),0)</f>
        <v>0</v>
      </c>
      <c r="DA226" s="155">
        <f ca="1">IF(BD226,_xll.EURO(CN226,Strike2,AO226,AO226,CU226,CM226,IF(OptControl=3,1,0),1)+IF(OR(VolSkewFlag=2,ABS(CP226)&lt;0.0001),0,IF(CP226&gt;0,-1,1)*DB226*100*Strike2/CN226^2*CR226/10%),0)</f>
        <v>0</v>
      </c>
      <c r="DB226" s="155">
        <f ca="1">IF(BD226,_xll.EURO(CN226,Strike2,AO226,AO226,CU226,CM226,IF(OptControl=3,1,0),3)/100,0)</f>
        <v>0</v>
      </c>
      <c r="DC226" s="156">
        <f ca="1">IF(BD226,_xll.EURO(CN226,Strike2,AO226,AO226,CU226,CM226,IF(OptControl=3,1,0),0)-_xll.EURO(CN226,Strike2,AO226,AO226,CU226,CM226-1,IF(OptControl=3,1,0),0),0)</f>
        <v>0</v>
      </c>
      <c r="DE226" s="651">
        <f t="shared" ca="1" si="659"/>
        <v>43191</v>
      </c>
      <c r="DF226" s="465">
        <v>1E-4</v>
      </c>
      <c r="DG226" s="649">
        <v>1E-4</v>
      </c>
      <c r="DH226" s="650">
        <f t="shared" ca="1" si="612"/>
        <v>43191</v>
      </c>
      <c r="DI226" s="465">
        <v>1E-4</v>
      </c>
      <c r="DJ226" s="649">
        <v>1E-4</v>
      </c>
      <c r="DK226" s="651">
        <f t="shared" ca="1" si="613"/>
        <v>43191</v>
      </c>
      <c r="DL226" s="652">
        <f t="shared" si="614"/>
        <v>5.0100000000000006E-2</v>
      </c>
      <c r="DM226" s="651">
        <f t="shared" ca="1" si="615"/>
        <v>43191</v>
      </c>
      <c r="DN226" s="563">
        <f t="shared" si="616"/>
        <v>-0.12990000000000002</v>
      </c>
      <c r="DO226" s="803">
        <v>-0.13</v>
      </c>
      <c r="DP226" s="650">
        <f t="shared" ca="1" si="617"/>
        <v>43191</v>
      </c>
      <c r="DQ226" s="653">
        <v>1E-4</v>
      </c>
      <c r="DR226" s="590">
        <v>1E-4</v>
      </c>
      <c r="DS226" s="650">
        <f t="shared" ca="1" si="618"/>
        <v>43191</v>
      </c>
      <c r="DT226" s="653">
        <v>1E-4</v>
      </c>
      <c r="DU226" s="590">
        <v>1E-4</v>
      </c>
      <c r="DV226" s="651">
        <f t="shared" ca="1" si="619"/>
        <v>43191</v>
      </c>
      <c r="DW226" s="590">
        <v>1E-4</v>
      </c>
      <c r="DX226" s="651">
        <f t="shared" ca="1" si="620"/>
        <v>43191</v>
      </c>
      <c r="DY226" s="590">
        <f t="shared" si="621"/>
        <v>1E-4</v>
      </c>
      <c r="DZ226" s="1"/>
      <c r="EA226" s="857"/>
      <c r="EB226" s="857"/>
      <c r="EC226" s="857"/>
      <c r="ED226" s="868" t="e">
        <f t="shared" ca="1" si="670"/>
        <v>#NAME?</v>
      </c>
      <c r="EE226" s="863" t="e">
        <f t="shared" ca="1" si="641"/>
        <v>#NAME?</v>
      </c>
      <c r="EF226" s="590" t="e">
        <f t="shared" ca="1" si="642"/>
        <v>#NAME?</v>
      </c>
      <c r="EG226" s="862" t="str">
        <f t="shared" ca="1" si="622"/>
        <v/>
      </c>
      <c r="EH226" s="114" t="str">
        <f t="shared" ca="1" si="643"/>
        <v/>
      </c>
      <c r="EI226" s="109" t="str">
        <f t="shared" ca="1" si="644"/>
        <v/>
      </c>
      <c r="EJ226" s="115">
        <f ca="1">IF(BD226,_xll.xASN(BP226,Strike1,AO226,EH226,0,BM226,0,BI226,BL226,IF(OptControl=4,0,1),0),0)</f>
        <v>0</v>
      </c>
      <c r="EK226" s="108">
        <f ca="1">IF(BD226,_xll.xASN(BP226,Strike2,AO226,EI226,0,BM226,0,BI226,BL226,IF(OptControl=3,1,0),0),0)</f>
        <v>0</v>
      </c>
      <c r="EP226" s="53"/>
      <c r="EQ226" s="1"/>
      <c r="ER226" s="103"/>
      <c r="ES226" s="103"/>
      <c r="ET226" s="1"/>
      <c r="EU226" s="667" t="s">
        <v>439</v>
      </c>
      <c r="EW226" s="53"/>
      <c r="EY226" s="104"/>
      <c r="FN226" s="657">
        <v>57</v>
      </c>
      <c r="FO226" s="469" t="str">
        <f ca="1">IF(OR(FO$169&lt;SwaptionFirstMonthPosition+1,$FN226&lt;SwaptionFirstMonthPosition+1,FO$169&gt;SwaptionFirstMonthPosition+SwaptionNumOfMonths+1,$FN226&gt;SwaptionFirstMonthPosition+SwaptionNumOfMonths+1),"",IF($FN226=FO$169,1,IF($FN226&lt;FO$169,INDEX($FO$170:$IH$241,FO$169,$FN226),SUMPRODUCT(INDEX($FO$325:$IH$396,FO$169,1+SwaptionShift):INDEX($FO$325:$IH$396,FO$169,SwaptionMonthsToGo+SwaptionShift),INDEX($FO$245:$IH$316,$FN226-FO$169,73-FO$169+SwaptionShift):INDEX($FO$245:$IH$316,$FN226-FO$169,72-FO$169+SwaptionMonthsToGo+SwaptionShift))/SQRT(SUM(INDEX($FO381:$IH381,1+SwaptionShift):INDEX($FO381:$IH381,SwaptionMonthsToGo+SwaptionShift))*SUM(INDEX($FO$325:$IH$396,FO$169,1+SwaptionShift):INDEX($FO$325:$IH$396,FO$169,SwaptionMonthsToGo+SwaptionShift))))))</f>
        <v/>
      </c>
      <c r="FP226" s="469" t="str">
        <f ca="1">IF(OR(FP$169&lt;SwaptionFirstMonthPosition+1,$FN226&lt;SwaptionFirstMonthPosition+1,FP$169&gt;SwaptionFirstMonthPosition+SwaptionNumOfMonths+1,$FN226&gt;SwaptionFirstMonthPosition+SwaptionNumOfMonths+1),"",IF($FN226=FP$169,1,IF($FN226&lt;FP$169,INDEX($FO$170:$IH$241,FP$169,$FN226),SUMPRODUCT(INDEX($FO$325:$IH$396,FP$169,1+SwaptionShift):INDEX($FO$325:$IH$396,FP$169,SwaptionMonthsToGo+SwaptionShift),INDEX($FO$245:$IH$316,$FN226-FP$169,73-FP$169+SwaptionShift):INDEX($FO$245:$IH$316,$FN226-FP$169,72-FP$169+SwaptionMonthsToGo+SwaptionShift))/SQRT(SUM(INDEX($FO381:$IH381,1+SwaptionShift):INDEX($FO381:$IH381,SwaptionMonthsToGo+SwaptionShift))*SUM(INDEX($FO$325:$IH$396,FP$169,1+SwaptionShift):INDEX($FO$325:$IH$396,FP$169,SwaptionMonthsToGo+SwaptionShift))))))</f>
        <v/>
      </c>
      <c r="FQ226" s="469" t="str">
        <f ca="1">IF(OR(FQ$169&lt;SwaptionFirstMonthPosition+1,$FN226&lt;SwaptionFirstMonthPosition+1,FQ$169&gt;SwaptionFirstMonthPosition+SwaptionNumOfMonths+1,$FN226&gt;SwaptionFirstMonthPosition+SwaptionNumOfMonths+1),"",IF($FN226=FQ$169,1,IF($FN226&lt;FQ$169,INDEX($FO$170:$IH$241,FQ$169,$FN226),SUMPRODUCT(INDEX($FO$325:$IH$396,FQ$169,1+SwaptionShift):INDEX($FO$325:$IH$396,FQ$169,SwaptionMonthsToGo+SwaptionShift),INDEX($FO$245:$IH$316,$FN226-FQ$169,73-FQ$169+SwaptionShift):INDEX($FO$245:$IH$316,$FN226-FQ$169,72-FQ$169+SwaptionMonthsToGo+SwaptionShift))/SQRT(SUM(INDEX($FO381:$IH381,1+SwaptionShift):INDEX($FO381:$IH381,SwaptionMonthsToGo+SwaptionShift))*SUM(INDEX($FO$325:$IH$396,FQ$169,1+SwaptionShift):INDEX($FO$325:$IH$396,FQ$169,SwaptionMonthsToGo+SwaptionShift))))))</f>
        <v/>
      </c>
      <c r="FR226" s="469" t="str">
        <f ca="1">IF(OR(FR$169&lt;SwaptionFirstMonthPosition+1,$FN226&lt;SwaptionFirstMonthPosition+1,FR$169&gt;SwaptionFirstMonthPosition+SwaptionNumOfMonths+1,$FN226&gt;SwaptionFirstMonthPosition+SwaptionNumOfMonths+1),"",IF($FN226=FR$169,1,IF($FN226&lt;FR$169,INDEX($FO$170:$IH$241,FR$169,$FN226),SUMPRODUCT(INDEX($FO$325:$IH$396,FR$169,1+SwaptionShift):INDEX($FO$325:$IH$396,FR$169,SwaptionMonthsToGo+SwaptionShift),INDEX($FO$245:$IH$316,$FN226-FR$169,73-FR$169+SwaptionShift):INDEX($FO$245:$IH$316,$FN226-FR$169,72-FR$169+SwaptionMonthsToGo+SwaptionShift))/SQRT(SUM(INDEX($FO381:$IH381,1+SwaptionShift):INDEX($FO381:$IH381,SwaptionMonthsToGo+SwaptionShift))*SUM(INDEX($FO$325:$IH$396,FR$169,1+SwaptionShift):INDEX($FO$325:$IH$396,FR$169,SwaptionMonthsToGo+SwaptionShift))))))</f>
        <v/>
      </c>
      <c r="FS226" s="469" t="str">
        <f ca="1">IF(OR(FS$169&lt;SwaptionFirstMonthPosition+1,$FN226&lt;SwaptionFirstMonthPosition+1,FS$169&gt;SwaptionFirstMonthPosition+SwaptionNumOfMonths+1,$FN226&gt;SwaptionFirstMonthPosition+SwaptionNumOfMonths+1),"",IF($FN226=FS$169,1,IF($FN226&lt;FS$169,INDEX($FO$170:$IH$241,FS$169,$FN226),SUMPRODUCT(INDEX($FO$325:$IH$396,FS$169,1+SwaptionShift):INDEX($FO$325:$IH$396,FS$169,SwaptionMonthsToGo+SwaptionShift),INDEX($FO$245:$IH$316,$FN226-FS$169,73-FS$169+SwaptionShift):INDEX($FO$245:$IH$316,$FN226-FS$169,72-FS$169+SwaptionMonthsToGo+SwaptionShift))/SQRT(SUM(INDEX($FO381:$IH381,1+SwaptionShift):INDEX($FO381:$IH381,SwaptionMonthsToGo+SwaptionShift))*SUM(INDEX($FO$325:$IH$396,FS$169,1+SwaptionShift):INDEX($FO$325:$IH$396,FS$169,SwaptionMonthsToGo+SwaptionShift))))))</f>
        <v/>
      </c>
      <c r="FT226" s="469" t="str">
        <f ca="1">IF(OR(FT$169&lt;SwaptionFirstMonthPosition+1,$FN226&lt;SwaptionFirstMonthPosition+1,FT$169&gt;SwaptionFirstMonthPosition+SwaptionNumOfMonths+1,$FN226&gt;SwaptionFirstMonthPosition+SwaptionNumOfMonths+1),"",IF($FN226=FT$169,1,IF($FN226&lt;FT$169,INDEX($FO$170:$IH$241,FT$169,$FN226),SUMPRODUCT(INDEX($FO$325:$IH$396,FT$169,1+SwaptionShift):INDEX($FO$325:$IH$396,FT$169,SwaptionMonthsToGo+SwaptionShift),INDEX($FO$245:$IH$316,$FN226-FT$169,73-FT$169+SwaptionShift):INDEX($FO$245:$IH$316,$FN226-FT$169,72-FT$169+SwaptionMonthsToGo+SwaptionShift))/SQRT(SUM(INDEX($FO381:$IH381,1+SwaptionShift):INDEX($FO381:$IH381,SwaptionMonthsToGo+SwaptionShift))*SUM(INDEX($FO$325:$IH$396,FT$169,1+SwaptionShift):INDEX($FO$325:$IH$396,FT$169,SwaptionMonthsToGo+SwaptionShift))))))</f>
        <v/>
      </c>
      <c r="FU226" s="469" t="str">
        <f ca="1">IF(OR(FU$169&lt;SwaptionFirstMonthPosition+1,$FN226&lt;SwaptionFirstMonthPosition+1,FU$169&gt;SwaptionFirstMonthPosition+SwaptionNumOfMonths+1,$FN226&gt;SwaptionFirstMonthPosition+SwaptionNumOfMonths+1),"",IF($FN226=FU$169,1,IF($FN226&lt;FU$169,INDEX($FO$170:$IH$241,FU$169,$FN226),SUMPRODUCT(INDEX($FO$325:$IH$396,FU$169,1+SwaptionShift):INDEX($FO$325:$IH$396,FU$169,SwaptionMonthsToGo+SwaptionShift),INDEX($FO$245:$IH$316,$FN226-FU$169,73-FU$169+SwaptionShift):INDEX($FO$245:$IH$316,$FN226-FU$169,72-FU$169+SwaptionMonthsToGo+SwaptionShift))/SQRT(SUM(INDEX($FO381:$IH381,1+SwaptionShift):INDEX($FO381:$IH381,SwaptionMonthsToGo+SwaptionShift))*SUM(INDEX($FO$325:$IH$396,FU$169,1+SwaptionShift):INDEX($FO$325:$IH$396,FU$169,SwaptionMonthsToGo+SwaptionShift))))))</f>
        <v/>
      </c>
      <c r="FV226" s="469" t="str">
        <f ca="1">IF(OR(FV$169&lt;SwaptionFirstMonthPosition+1,$FN226&lt;SwaptionFirstMonthPosition+1,FV$169&gt;SwaptionFirstMonthPosition+SwaptionNumOfMonths+1,$FN226&gt;SwaptionFirstMonthPosition+SwaptionNumOfMonths+1),"",IF($FN226=FV$169,1,IF($FN226&lt;FV$169,INDEX($FO$170:$IH$241,FV$169,$FN226),SUMPRODUCT(INDEX($FO$325:$IH$396,FV$169,1+SwaptionShift):INDEX($FO$325:$IH$396,FV$169,SwaptionMonthsToGo+SwaptionShift),INDEX($FO$245:$IH$316,$FN226-FV$169,73-FV$169+SwaptionShift):INDEX($FO$245:$IH$316,$FN226-FV$169,72-FV$169+SwaptionMonthsToGo+SwaptionShift))/SQRT(SUM(INDEX($FO381:$IH381,1+SwaptionShift):INDEX($FO381:$IH381,SwaptionMonthsToGo+SwaptionShift))*SUM(INDEX($FO$325:$IH$396,FV$169,1+SwaptionShift):INDEX($FO$325:$IH$396,FV$169,SwaptionMonthsToGo+SwaptionShift))))))</f>
        <v/>
      </c>
      <c r="FW226" s="469" t="str">
        <f ca="1">IF(OR(FW$169&lt;SwaptionFirstMonthPosition+1,$FN226&lt;SwaptionFirstMonthPosition+1,FW$169&gt;SwaptionFirstMonthPosition+SwaptionNumOfMonths+1,$FN226&gt;SwaptionFirstMonthPosition+SwaptionNumOfMonths+1),"",IF($FN226=FW$169,1,IF($FN226&lt;FW$169,INDEX($FO$170:$IH$241,FW$169,$FN226),SUMPRODUCT(INDEX($FO$325:$IH$396,FW$169,1+SwaptionShift):INDEX($FO$325:$IH$396,FW$169,SwaptionMonthsToGo+SwaptionShift),INDEX($FO$245:$IH$316,$FN226-FW$169,73-FW$169+SwaptionShift):INDEX($FO$245:$IH$316,$FN226-FW$169,72-FW$169+SwaptionMonthsToGo+SwaptionShift))/SQRT(SUM(INDEX($FO381:$IH381,1+SwaptionShift):INDEX($FO381:$IH381,SwaptionMonthsToGo+SwaptionShift))*SUM(INDEX($FO$325:$IH$396,FW$169,1+SwaptionShift):INDEX($FO$325:$IH$396,FW$169,SwaptionMonthsToGo+SwaptionShift))))))</f>
        <v/>
      </c>
      <c r="FX226" s="469" t="str">
        <f ca="1">IF(OR(FX$169&lt;SwaptionFirstMonthPosition+1,$FN226&lt;SwaptionFirstMonthPosition+1,FX$169&gt;SwaptionFirstMonthPosition+SwaptionNumOfMonths+1,$FN226&gt;SwaptionFirstMonthPosition+SwaptionNumOfMonths+1),"",IF($FN226=FX$169,1,IF($FN226&lt;FX$169,INDEX($FO$170:$IH$241,FX$169,$FN226),SUMPRODUCT(INDEX($FO$325:$IH$396,FX$169,1+SwaptionShift):INDEX($FO$325:$IH$396,FX$169,SwaptionMonthsToGo+SwaptionShift),INDEX($FO$245:$IH$316,$FN226-FX$169,73-FX$169+SwaptionShift):INDEX($FO$245:$IH$316,$FN226-FX$169,72-FX$169+SwaptionMonthsToGo+SwaptionShift))/SQRT(SUM(INDEX($FO381:$IH381,1+SwaptionShift):INDEX($FO381:$IH381,SwaptionMonthsToGo+SwaptionShift))*SUM(INDEX($FO$325:$IH$396,FX$169,1+SwaptionShift):INDEX($FO$325:$IH$396,FX$169,SwaptionMonthsToGo+SwaptionShift))))))</f>
        <v/>
      </c>
      <c r="FY226" s="469" t="str">
        <f ca="1">IF(OR(FY$169&lt;SwaptionFirstMonthPosition+1,$FN226&lt;SwaptionFirstMonthPosition+1,FY$169&gt;SwaptionFirstMonthPosition+SwaptionNumOfMonths+1,$FN226&gt;SwaptionFirstMonthPosition+SwaptionNumOfMonths+1),"",IF($FN226=FY$169,1,IF($FN226&lt;FY$169,INDEX($FO$170:$IH$241,FY$169,$FN226),SUMPRODUCT(INDEX($FO$325:$IH$396,FY$169,1+SwaptionShift):INDEX($FO$325:$IH$396,FY$169,SwaptionMonthsToGo+SwaptionShift),INDEX($FO$245:$IH$316,$FN226-FY$169,73-FY$169+SwaptionShift):INDEX($FO$245:$IH$316,$FN226-FY$169,72-FY$169+SwaptionMonthsToGo+SwaptionShift))/SQRT(SUM(INDEX($FO381:$IH381,1+SwaptionShift):INDEX($FO381:$IH381,SwaptionMonthsToGo+SwaptionShift))*SUM(INDEX($FO$325:$IH$396,FY$169,1+SwaptionShift):INDEX($FO$325:$IH$396,FY$169,SwaptionMonthsToGo+SwaptionShift))))))</f>
        <v/>
      </c>
      <c r="FZ226" s="469" t="str">
        <f ca="1">IF(OR(FZ$169&lt;SwaptionFirstMonthPosition+1,$FN226&lt;SwaptionFirstMonthPosition+1,FZ$169&gt;SwaptionFirstMonthPosition+SwaptionNumOfMonths+1,$FN226&gt;SwaptionFirstMonthPosition+SwaptionNumOfMonths+1),"",IF($FN226=FZ$169,1,IF($FN226&lt;FZ$169,INDEX($FO$170:$IH$241,FZ$169,$FN226),SUMPRODUCT(INDEX($FO$325:$IH$396,FZ$169,1+SwaptionShift):INDEX($FO$325:$IH$396,FZ$169,SwaptionMonthsToGo+SwaptionShift),INDEX($FO$245:$IH$316,$FN226-FZ$169,73-FZ$169+SwaptionShift):INDEX($FO$245:$IH$316,$FN226-FZ$169,72-FZ$169+SwaptionMonthsToGo+SwaptionShift))/SQRT(SUM(INDEX($FO381:$IH381,1+SwaptionShift):INDEX($FO381:$IH381,SwaptionMonthsToGo+SwaptionShift))*SUM(INDEX($FO$325:$IH$396,FZ$169,1+SwaptionShift):INDEX($FO$325:$IH$396,FZ$169,SwaptionMonthsToGo+SwaptionShift))))))</f>
        <v/>
      </c>
      <c r="GA226" s="469" t="str">
        <f ca="1">IF(OR(GA$169&lt;SwaptionFirstMonthPosition+1,$FN226&lt;SwaptionFirstMonthPosition+1,GA$169&gt;SwaptionFirstMonthPosition+SwaptionNumOfMonths+1,$FN226&gt;SwaptionFirstMonthPosition+SwaptionNumOfMonths+1),"",IF($FN226=GA$169,1,IF($FN226&lt;GA$169,INDEX($FO$170:$IH$241,GA$169,$FN226),SUMPRODUCT(INDEX($FO$325:$IH$396,GA$169,1+SwaptionShift):INDEX($FO$325:$IH$396,GA$169,SwaptionMonthsToGo+SwaptionShift),INDEX($FO$245:$IH$316,$FN226-GA$169,73-GA$169+SwaptionShift):INDEX($FO$245:$IH$316,$FN226-GA$169,72-GA$169+SwaptionMonthsToGo+SwaptionShift))/SQRT(SUM(INDEX($FO381:$IH381,1+SwaptionShift):INDEX($FO381:$IH381,SwaptionMonthsToGo+SwaptionShift))*SUM(INDEX($FO$325:$IH$396,GA$169,1+SwaptionShift):INDEX($FO$325:$IH$396,GA$169,SwaptionMonthsToGo+SwaptionShift))))))</f>
        <v/>
      </c>
      <c r="GB226" s="469" t="str">
        <f ca="1">IF(OR(GB$169&lt;SwaptionFirstMonthPosition+1,$FN226&lt;SwaptionFirstMonthPosition+1,GB$169&gt;SwaptionFirstMonthPosition+SwaptionNumOfMonths+1,$FN226&gt;SwaptionFirstMonthPosition+SwaptionNumOfMonths+1),"",IF($FN226=GB$169,1,IF($FN226&lt;GB$169,INDEX($FO$170:$IH$241,GB$169,$FN226),SUMPRODUCT(INDEX($FO$325:$IH$396,GB$169,1+SwaptionShift):INDEX($FO$325:$IH$396,GB$169,SwaptionMonthsToGo+SwaptionShift),INDEX($FO$245:$IH$316,$FN226-GB$169,73-GB$169+SwaptionShift):INDEX($FO$245:$IH$316,$FN226-GB$169,72-GB$169+SwaptionMonthsToGo+SwaptionShift))/SQRT(SUM(INDEX($FO381:$IH381,1+SwaptionShift):INDEX($FO381:$IH381,SwaptionMonthsToGo+SwaptionShift))*SUM(INDEX($FO$325:$IH$396,GB$169,1+SwaptionShift):INDEX($FO$325:$IH$396,GB$169,SwaptionMonthsToGo+SwaptionShift))))))</f>
        <v/>
      </c>
      <c r="GC226" s="469" t="str">
        <f ca="1">IF(OR(GC$169&lt;SwaptionFirstMonthPosition+1,$FN226&lt;SwaptionFirstMonthPosition+1,GC$169&gt;SwaptionFirstMonthPosition+SwaptionNumOfMonths+1,$FN226&gt;SwaptionFirstMonthPosition+SwaptionNumOfMonths+1),"",IF($FN226=GC$169,1,IF($FN226&lt;GC$169,INDEX($FO$170:$IH$241,GC$169,$FN226),SUMPRODUCT(INDEX($FO$325:$IH$396,GC$169,1+SwaptionShift):INDEX($FO$325:$IH$396,GC$169,SwaptionMonthsToGo+SwaptionShift),INDEX($FO$245:$IH$316,$FN226-GC$169,73-GC$169+SwaptionShift):INDEX($FO$245:$IH$316,$FN226-GC$169,72-GC$169+SwaptionMonthsToGo+SwaptionShift))/SQRT(SUM(INDEX($FO381:$IH381,1+SwaptionShift):INDEX($FO381:$IH381,SwaptionMonthsToGo+SwaptionShift))*SUM(INDEX($FO$325:$IH$396,GC$169,1+SwaptionShift):INDEX($FO$325:$IH$396,GC$169,SwaptionMonthsToGo+SwaptionShift))))))</f>
        <v/>
      </c>
      <c r="GD226" s="469" t="str">
        <f ca="1">IF(OR(GD$169&lt;SwaptionFirstMonthPosition+1,$FN226&lt;SwaptionFirstMonthPosition+1,GD$169&gt;SwaptionFirstMonthPosition+SwaptionNumOfMonths+1,$FN226&gt;SwaptionFirstMonthPosition+SwaptionNumOfMonths+1),"",IF($FN226=GD$169,1,IF($FN226&lt;GD$169,INDEX($FO$170:$IH$241,GD$169,$FN226),SUMPRODUCT(INDEX($FO$325:$IH$396,GD$169,1+SwaptionShift):INDEX($FO$325:$IH$396,GD$169,SwaptionMonthsToGo+SwaptionShift),INDEX($FO$245:$IH$316,$FN226-GD$169,73-GD$169+SwaptionShift):INDEX($FO$245:$IH$316,$FN226-GD$169,72-GD$169+SwaptionMonthsToGo+SwaptionShift))/SQRT(SUM(INDEX($FO381:$IH381,1+SwaptionShift):INDEX($FO381:$IH381,SwaptionMonthsToGo+SwaptionShift))*SUM(INDEX($FO$325:$IH$396,GD$169,1+SwaptionShift):INDEX($FO$325:$IH$396,GD$169,SwaptionMonthsToGo+SwaptionShift))))))</f>
        <v/>
      </c>
      <c r="GE226" s="469" t="str">
        <f ca="1">IF(OR(GE$169&lt;SwaptionFirstMonthPosition+1,$FN226&lt;SwaptionFirstMonthPosition+1,GE$169&gt;SwaptionFirstMonthPosition+SwaptionNumOfMonths+1,$FN226&gt;SwaptionFirstMonthPosition+SwaptionNumOfMonths+1),"",IF($FN226=GE$169,1,IF($FN226&lt;GE$169,INDEX($FO$170:$IH$241,GE$169,$FN226),SUMPRODUCT(INDEX($FO$325:$IH$396,GE$169,1+SwaptionShift):INDEX($FO$325:$IH$396,GE$169,SwaptionMonthsToGo+SwaptionShift),INDEX($FO$245:$IH$316,$FN226-GE$169,73-GE$169+SwaptionShift):INDEX($FO$245:$IH$316,$FN226-GE$169,72-GE$169+SwaptionMonthsToGo+SwaptionShift))/SQRT(SUM(INDEX($FO381:$IH381,1+SwaptionShift):INDEX($FO381:$IH381,SwaptionMonthsToGo+SwaptionShift))*SUM(INDEX($FO$325:$IH$396,GE$169,1+SwaptionShift):INDEX($FO$325:$IH$396,GE$169,SwaptionMonthsToGo+SwaptionShift))))))</f>
        <v/>
      </c>
      <c r="GF226" s="469" t="str">
        <f ca="1">IF(OR(GF$169&lt;SwaptionFirstMonthPosition+1,$FN226&lt;SwaptionFirstMonthPosition+1,GF$169&gt;SwaptionFirstMonthPosition+SwaptionNumOfMonths+1,$FN226&gt;SwaptionFirstMonthPosition+SwaptionNumOfMonths+1),"",IF($FN226=GF$169,1,IF($FN226&lt;GF$169,INDEX($FO$170:$IH$241,GF$169,$FN226),SUMPRODUCT(INDEX($FO$325:$IH$396,GF$169,1+SwaptionShift):INDEX($FO$325:$IH$396,GF$169,SwaptionMonthsToGo+SwaptionShift),INDEX($FO$245:$IH$316,$FN226-GF$169,73-GF$169+SwaptionShift):INDEX($FO$245:$IH$316,$FN226-GF$169,72-GF$169+SwaptionMonthsToGo+SwaptionShift))/SQRT(SUM(INDEX($FO381:$IH381,1+SwaptionShift):INDEX($FO381:$IH381,SwaptionMonthsToGo+SwaptionShift))*SUM(INDEX($FO$325:$IH$396,GF$169,1+SwaptionShift):INDEX($FO$325:$IH$396,GF$169,SwaptionMonthsToGo+SwaptionShift))))))</f>
        <v/>
      </c>
      <c r="GG226" s="469" t="str">
        <f ca="1">IF(OR(GG$169&lt;SwaptionFirstMonthPosition+1,$FN226&lt;SwaptionFirstMonthPosition+1,GG$169&gt;SwaptionFirstMonthPosition+SwaptionNumOfMonths+1,$FN226&gt;SwaptionFirstMonthPosition+SwaptionNumOfMonths+1),"",IF($FN226=GG$169,1,IF($FN226&lt;GG$169,INDEX($FO$170:$IH$241,GG$169,$FN226),SUMPRODUCT(INDEX($FO$325:$IH$396,GG$169,1+SwaptionShift):INDEX($FO$325:$IH$396,GG$169,SwaptionMonthsToGo+SwaptionShift),INDEX($FO$245:$IH$316,$FN226-GG$169,73-GG$169+SwaptionShift):INDEX($FO$245:$IH$316,$FN226-GG$169,72-GG$169+SwaptionMonthsToGo+SwaptionShift))/SQRT(SUM(INDEX($FO381:$IH381,1+SwaptionShift):INDEX($FO381:$IH381,SwaptionMonthsToGo+SwaptionShift))*SUM(INDEX($FO$325:$IH$396,GG$169,1+SwaptionShift):INDEX($FO$325:$IH$396,GG$169,SwaptionMonthsToGo+SwaptionShift))))))</f>
        <v/>
      </c>
      <c r="GH226" s="469" t="str">
        <f ca="1">IF(OR(GH$169&lt;SwaptionFirstMonthPosition+1,$FN226&lt;SwaptionFirstMonthPosition+1,GH$169&gt;SwaptionFirstMonthPosition+SwaptionNumOfMonths+1,$FN226&gt;SwaptionFirstMonthPosition+SwaptionNumOfMonths+1),"",IF($FN226=GH$169,1,IF($FN226&lt;GH$169,INDEX($FO$170:$IH$241,GH$169,$FN226),SUMPRODUCT(INDEX($FO$325:$IH$396,GH$169,1+SwaptionShift):INDEX($FO$325:$IH$396,GH$169,SwaptionMonthsToGo+SwaptionShift),INDEX($FO$245:$IH$316,$FN226-GH$169,73-GH$169+SwaptionShift):INDEX($FO$245:$IH$316,$FN226-GH$169,72-GH$169+SwaptionMonthsToGo+SwaptionShift))/SQRT(SUM(INDEX($FO381:$IH381,1+SwaptionShift):INDEX($FO381:$IH381,SwaptionMonthsToGo+SwaptionShift))*SUM(INDEX($FO$325:$IH$396,GH$169,1+SwaptionShift):INDEX($FO$325:$IH$396,GH$169,SwaptionMonthsToGo+SwaptionShift))))))</f>
        <v/>
      </c>
      <c r="GI226" s="469" t="str">
        <f ca="1">IF(OR(GI$169&lt;SwaptionFirstMonthPosition+1,$FN226&lt;SwaptionFirstMonthPosition+1,GI$169&gt;SwaptionFirstMonthPosition+SwaptionNumOfMonths+1,$FN226&gt;SwaptionFirstMonthPosition+SwaptionNumOfMonths+1),"",IF($FN226=GI$169,1,IF($FN226&lt;GI$169,INDEX($FO$170:$IH$241,GI$169,$FN226),SUMPRODUCT(INDEX($FO$325:$IH$396,GI$169,1+SwaptionShift):INDEX($FO$325:$IH$396,GI$169,SwaptionMonthsToGo+SwaptionShift),INDEX($FO$245:$IH$316,$FN226-GI$169,73-GI$169+SwaptionShift):INDEX($FO$245:$IH$316,$FN226-GI$169,72-GI$169+SwaptionMonthsToGo+SwaptionShift))/SQRT(SUM(INDEX($FO381:$IH381,1+SwaptionShift):INDEX($FO381:$IH381,SwaptionMonthsToGo+SwaptionShift))*SUM(INDEX($FO$325:$IH$396,GI$169,1+SwaptionShift):INDEX($FO$325:$IH$396,GI$169,SwaptionMonthsToGo+SwaptionShift))))))</f>
        <v/>
      </c>
      <c r="GJ226" s="469" t="str">
        <f ca="1">IF(OR(GJ$169&lt;SwaptionFirstMonthPosition+1,$FN226&lt;SwaptionFirstMonthPosition+1,GJ$169&gt;SwaptionFirstMonthPosition+SwaptionNumOfMonths+1,$FN226&gt;SwaptionFirstMonthPosition+SwaptionNumOfMonths+1),"",IF($FN226=GJ$169,1,IF($FN226&lt;GJ$169,INDEX($FO$170:$IH$241,GJ$169,$FN226),SUMPRODUCT(INDEX($FO$325:$IH$396,GJ$169,1+SwaptionShift):INDEX($FO$325:$IH$396,GJ$169,SwaptionMonthsToGo+SwaptionShift),INDEX($FO$245:$IH$316,$FN226-GJ$169,73-GJ$169+SwaptionShift):INDEX($FO$245:$IH$316,$FN226-GJ$169,72-GJ$169+SwaptionMonthsToGo+SwaptionShift))/SQRT(SUM(INDEX($FO381:$IH381,1+SwaptionShift):INDEX($FO381:$IH381,SwaptionMonthsToGo+SwaptionShift))*SUM(INDEX($FO$325:$IH$396,GJ$169,1+SwaptionShift):INDEX($FO$325:$IH$396,GJ$169,SwaptionMonthsToGo+SwaptionShift))))))</f>
        <v/>
      </c>
      <c r="GK226" s="469" t="str">
        <f ca="1">IF(OR(GK$169&lt;SwaptionFirstMonthPosition+1,$FN226&lt;SwaptionFirstMonthPosition+1,GK$169&gt;SwaptionFirstMonthPosition+SwaptionNumOfMonths+1,$FN226&gt;SwaptionFirstMonthPosition+SwaptionNumOfMonths+1),"",IF($FN226=GK$169,1,IF($FN226&lt;GK$169,INDEX($FO$170:$IH$241,GK$169,$FN226),SUMPRODUCT(INDEX($FO$325:$IH$396,GK$169,1+SwaptionShift):INDEX($FO$325:$IH$396,GK$169,SwaptionMonthsToGo+SwaptionShift),INDEX($FO$245:$IH$316,$FN226-GK$169,73-GK$169+SwaptionShift):INDEX($FO$245:$IH$316,$FN226-GK$169,72-GK$169+SwaptionMonthsToGo+SwaptionShift))/SQRT(SUM(INDEX($FO381:$IH381,1+SwaptionShift):INDEX($FO381:$IH381,SwaptionMonthsToGo+SwaptionShift))*SUM(INDEX($FO$325:$IH$396,GK$169,1+SwaptionShift):INDEX($FO$325:$IH$396,GK$169,SwaptionMonthsToGo+SwaptionShift))))))</f>
        <v/>
      </c>
      <c r="GL226" s="469" t="str">
        <f ca="1">IF(OR(GL$169&lt;SwaptionFirstMonthPosition+1,$FN226&lt;SwaptionFirstMonthPosition+1,GL$169&gt;SwaptionFirstMonthPosition+SwaptionNumOfMonths+1,$FN226&gt;SwaptionFirstMonthPosition+SwaptionNumOfMonths+1),"",IF($FN226=GL$169,1,IF($FN226&lt;GL$169,INDEX($FO$170:$IH$241,GL$169,$FN226),SUMPRODUCT(INDEX($FO$325:$IH$396,GL$169,1+SwaptionShift):INDEX($FO$325:$IH$396,GL$169,SwaptionMonthsToGo+SwaptionShift),INDEX($FO$245:$IH$316,$FN226-GL$169,73-GL$169+SwaptionShift):INDEX($FO$245:$IH$316,$FN226-GL$169,72-GL$169+SwaptionMonthsToGo+SwaptionShift))/SQRT(SUM(INDEX($FO381:$IH381,1+SwaptionShift):INDEX($FO381:$IH381,SwaptionMonthsToGo+SwaptionShift))*SUM(INDEX($FO$325:$IH$396,GL$169,1+SwaptionShift):INDEX($FO$325:$IH$396,GL$169,SwaptionMonthsToGo+SwaptionShift))))))</f>
        <v/>
      </c>
      <c r="GM226" s="469" t="str">
        <f ca="1">IF(OR(GM$169&lt;SwaptionFirstMonthPosition+1,$FN226&lt;SwaptionFirstMonthPosition+1,GM$169&gt;SwaptionFirstMonthPosition+SwaptionNumOfMonths+1,$FN226&gt;SwaptionFirstMonthPosition+SwaptionNumOfMonths+1),"",IF($FN226=GM$169,1,IF($FN226&lt;GM$169,INDEX($FO$170:$IH$241,GM$169,$FN226),SUMPRODUCT(INDEX($FO$325:$IH$396,GM$169,1+SwaptionShift):INDEX($FO$325:$IH$396,GM$169,SwaptionMonthsToGo+SwaptionShift),INDEX($FO$245:$IH$316,$FN226-GM$169,73-GM$169+SwaptionShift):INDEX($FO$245:$IH$316,$FN226-GM$169,72-GM$169+SwaptionMonthsToGo+SwaptionShift))/SQRT(SUM(INDEX($FO381:$IH381,1+SwaptionShift):INDEX($FO381:$IH381,SwaptionMonthsToGo+SwaptionShift))*SUM(INDEX($FO$325:$IH$396,GM$169,1+SwaptionShift):INDEX($FO$325:$IH$396,GM$169,SwaptionMonthsToGo+SwaptionShift))))))</f>
        <v/>
      </c>
      <c r="GN226" s="469" t="str">
        <f ca="1">IF(OR(GN$169&lt;SwaptionFirstMonthPosition+1,$FN226&lt;SwaptionFirstMonthPosition+1,GN$169&gt;SwaptionFirstMonthPosition+SwaptionNumOfMonths+1,$FN226&gt;SwaptionFirstMonthPosition+SwaptionNumOfMonths+1),"",IF($FN226=GN$169,1,IF($FN226&lt;GN$169,INDEX($FO$170:$IH$241,GN$169,$FN226),SUMPRODUCT(INDEX($FO$325:$IH$396,GN$169,1+SwaptionShift):INDEX($FO$325:$IH$396,GN$169,SwaptionMonthsToGo+SwaptionShift),INDEX($FO$245:$IH$316,$FN226-GN$169,73-GN$169+SwaptionShift):INDEX($FO$245:$IH$316,$FN226-GN$169,72-GN$169+SwaptionMonthsToGo+SwaptionShift))/SQRT(SUM(INDEX($FO381:$IH381,1+SwaptionShift):INDEX($FO381:$IH381,SwaptionMonthsToGo+SwaptionShift))*SUM(INDEX($FO$325:$IH$396,GN$169,1+SwaptionShift):INDEX($FO$325:$IH$396,GN$169,SwaptionMonthsToGo+SwaptionShift))))))</f>
        <v/>
      </c>
      <c r="GO226" s="469" t="str">
        <f ca="1">IF(OR(GO$169&lt;SwaptionFirstMonthPosition+1,$FN226&lt;SwaptionFirstMonthPosition+1,GO$169&gt;SwaptionFirstMonthPosition+SwaptionNumOfMonths+1,$FN226&gt;SwaptionFirstMonthPosition+SwaptionNumOfMonths+1),"",IF($FN226=GO$169,1,IF($FN226&lt;GO$169,INDEX($FO$170:$IH$241,GO$169,$FN226),SUMPRODUCT(INDEX($FO$325:$IH$396,GO$169,1+SwaptionShift):INDEX($FO$325:$IH$396,GO$169,SwaptionMonthsToGo+SwaptionShift),INDEX($FO$245:$IH$316,$FN226-GO$169,73-GO$169+SwaptionShift):INDEX($FO$245:$IH$316,$FN226-GO$169,72-GO$169+SwaptionMonthsToGo+SwaptionShift))/SQRT(SUM(INDEX($FO381:$IH381,1+SwaptionShift):INDEX($FO381:$IH381,SwaptionMonthsToGo+SwaptionShift))*SUM(INDEX($FO$325:$IH$396,GO$169,1+SwaptionShift):INDEX($FO$325:$IH$396,GO$169,SwaptionMonthsToGo+SwaptionShift))))))</f>
        <v/>
      </c>
      <c r="GP226" s="469" t="str">
        <f ca="1">IF(OR(GP$169&lt;SwaptionFirstMonthPosition+1,$FN226&lt;SwaptionFirstMonthPosition+1,GP$169&gt;SwaptionFirstMonthPosition+SwaptionNumOfMonths+1,$FN226&gt;SwaptionFirstMonthPosition+SwaptionNumOfMonths+1),"",IF($FN226=GP$169,1,IF($FN226&lt;GP$169,INDEX($FO$170:$IH$241,GP$169,$FN226),SUMPRODUCT(INDEX($FO$325:$IH$396,GP$169,1+SwaptionShift):INDEX($FO$325:$IH$396,GP$169,SwaptionMonthsToGo+SwaptionShift),INDEX($FO$245:$IH$316,$FN226-GP$169,73-GP$169+SwaptionShift):INDEX($FO$245:$IH$316,$FN226-GP$169,72-GP$169+SwaptionMonthsToGo+SwaptionShift))/SQRT(SUM(INDEX($FO381:$IH381,1+SwaptionShift):INDEX($FO381:$IH381,SwaptionMonthsToGo+SwaptionShift))*SUM(INDEX($FO$325:$IH$396,GP$169,1+SwaptionShift):INDEX($FO$325:$IH$396,GP$169,SwaptionMonthsToGo+SwaptionShift))))))</f>
        <v/>
      </c>
      <c r="GQ226" s="469" t="str">
        <f ca="1">IF(OR(GQ$169&lt;SwaptionFirstMonthPosition+1,$FN226&lt;SwaptionFirstMonthPosition+1,GQ$169&gt;SwaptionFirstMonthPosition+SwaptionNumOfMonths+1,$FN226&gt;SwaptionFirstMonthPosition+SwaptionNumOfMonths+1),"",IF($FN226=GQ$169,1,IF($FN226&lt;GQ$169,INDEX($FO$170:$IH$241,GQ$169,$FN226),SUMPRODUCT(INDEX($FO$325:$IH$396,GQ$169,1+SwaptionShift):INDEX($FO$325:$IH$396,GQ$169,SwaptionMonthsToGo+SwaptionShift),INDEX($FO$245:$IH$316,$FN226-GQ$169,73-GQ$169+SwaptionShift):INDEX($FO$245:$IH$316,$FN226-GQ$169,72-GQ$169+SwaptionMonthsToGo+SwaptionShift))/SQRT(SUM(INDEX($FO381:$IH381,1+SwaptionShift):INDEX($FO381:$IH381,SwaptionMonthsToGo+SwaptionShift))*SUM(INDEX($FO$325:$IH$396,GQ$169,1+SwaptionShift):INDEX($FO$325:$IH$396,GQ$169,SwaptionMonthsToGo+SwaptionShift))))))</f>
        <v/>
      </c>
      <c r="GR226" s="469" t="str">
        <f ca="1">IF(OR(GR$169&lt;SwaptionFirstMonthPosition+1,$FN226&lt;SwaptionFirstMonthPosition+1,GR$169&gt;SwaptionFirstMonthPosition+SwaptionNumOfMonths+1,$FN226&gt;SwaptionFirstMonthPosition+SwaptionNumOfMonths+1),"",IF($FN226=GR$169,1,IF($FN226&lt;GR$169,INDEX($FO$170:$IH$241,GR$169,$FN226),SUMPRODUCT(INDEX($FO$325:$IH$396,GR$169,1+SwaptionShift):INDEX($FO$325:$IH$396,GR$169,SwaptionMonthsToGo+SwaptionShift),INDEX($FO$245:$IH$316,$FN226-GR$169,73-GR$169+SwaptionShift):INDEX($FO$245:$IH$316,$FN226-GR$169,72-GR$169+SwaptionMonthsToGo+SwaptionShift))/SQRT(SUM(INDEX($FO381:$IH381,1+SwaptionShift):INDEX($FO381:$IH381,SwaptionMonthsToGo+SwaptionShift))*SUM(INDEX($FO$325:$IH$396,GR$169,1+SwaptionShift):INDEX($FO$325:$IH$396,GR$169,SwaptionMonthsToGo+SwaptionShift))))))</f>
        <v/>
      </c>
      <c r="GS226" s="469" t="str">
        <f ca="1">IF(OR(GS$169&lt;SwaptionFirstMonthPosition+1,$FN226&lt;SwaptionFirstMonthPosition+1,GS$169&gt;SwaptionFirstMonthPosition+SwaptionNumOfMonths+1,$FN226&gt;SwaptionFirstMonthPosition+SwaptionNumOfMonths+1),"",IF($FN226=GS$169,1,IF($FN226&lt;GS$169,INDEX($FO$170:$IH$241,GS$169,$FN226),SUMPRODUCT(INDEX($FO$325:$IH$396,GS$169,1+SwaptionShift):INDEX($FO$325:$IH$396,GS$169,SwaptionMonthsToGo+SwaptionShift),INDEX($FO$245:$IH$316,$FN226-GS$169,73-GS$169+SwaptionShift):INDEX($FO$245:$IH$316,$FN226-GS$169,72-GS$169+SwaptionMonthsToGo+SwaptionShift))/SQRT(SUM(INDEX($FO381:$IH381,1+SwaptionShift):INDEX($FO381:$IH381,SwaptionMonthsToGo+SwaptionShift))*SUM(INDEX($FO$325:$IH$396,GS$169,1+SwaptionShift):INDEX($FO$325:$IH$396,GS$169,SwaptionMonthsToGo+SwaptionShift))))))</f>
        <v/>
      </c>
      <c r="GT226" s="469" t="str">
        <f ca="1">IF(OR(GT$169&lt;SwaptionFirstMonthPosition+1,$FN226&lt;SwaptionFirstMonthPosition+1,GT$169&gt;SwaptionFirstMonthPosition+SwaptionNumOfMonths+1,$FN226&gt;SwaptionFirstMonthPosition+SwaptionNumOfMonths+1),"",IF($FN226=GT$169,1,IF($FN226&lt;GT$169,INDEX($FO$170:$IH$241,GT$169,$FN226),SUMPRODUCT(INDEX($FO$325:$IH$396,GT$169,1+SwaptionShift):INDEX($FO$325:$IH$396,GT$169,SwaptionMonthsToGo+SwaptionShift),INDEX($FO$245:$IH$316,$FN226-GT$169,73-GT$169+SwaptionShift):INDEX($FO$245:$IH$316,$FN226-GT$169,72-GT$169+SwaptionMonthsToGo+SwaptionShift))/SQRT(SUM(INDEX($FO381:$IH381,1+SwaptionShift):INDEX($FO381:$IH381,SwaptionMonthsToGo+SwaptionShift))*SUM(INDEX($FO$325:$IH$396,GT$169,1+SwaptionShift):INDEX($FO$325:$IH$396,GT$169,SwaptionMonthsToGo+SwaptionShift))))))</f>
        <v/>
      </c>
      <c r="GU226" s="469" t="str">
        <f ca="1">IF(OR(GU$169&lt;SwaptionFirstMonthPosition+1,$FN226&lt;SwaptionFirstMonthPosition+1,GU$169&gt;SwaptionFirstMonthPosition+SwaptionNumOfMonths+1,$FN226&gt;SwaptionFirstMonthPosition+SwaptionNumOfMonths+1),"",IF($FN226=GU$169,1,IF($FN226&lt;GU$169,INDEX($FO$170:$IH$241,GU$169,$FN226),SUMPRODUCT(INDEX($FO$325:$IH$396,GU$169,1+SwaptionShift):INDEX($FO$325:$IH$396,GU$169,SwaptionMonthsToGo+SwaptionShift),INDEX($FO$245:$IH$316,$FN226-GU$169,73-GU$169+SwaptionShift):INDEX($FO$245:$IH$316,$FN226-GU$169,72-GU$169+SwaptionMonthsToGo+SwaptionShift))/SQRT(SUM(INDEX($FO381:$IH381,1+SwaptionShift):INDEX($FO381:$IH381,SwaptionMonthsToGo+SwaptionShift))*SUM(INDEX($FO$325:$IH$396,GU$169,1+SwaptionShift):INDEX($FO$325:$IH$396,GU$169,SwaptionMonthsToGo+SwaptionShift))))))</f>
        <v/>
      </c>
      <c r="GV226" s="469" t="str">
        <f ca="1">IF(OR(GV$169&lt;SwaptionFirstMonthPosition+1,$FN226&lt;SwaptionFirstMonthPosition+1,GV$169&gt;SwaptionFirstMonthPosition+SwaptionNumOfMonths+1,$FN226&gt;SwaptionFirstMonthPosition+SwaptionNumOfMonths+1),"",IF($FN226=GV$169,1,IF($FN226&lt;GV$169,INDEX($FO$170:$IH$241,GV$169,$FN226),SUMPRODUCT(INDEX($FO$325:$IH$396,GV$169,1+SwaptionShift):INDEX($FO$325:$IH$396,GV$169,SwaptionMonthsToGo+SwaptionShift),INDEX($FO$245:$IH$316,$FN226-GV$169,73-GV$169+SwaptionShift):INDEX($FO$245:$IH$316,$FN226-GV$169,72-GV$169+SwaptionMonthsToGo+SwaptionShift))/SQRT(SUM(INDEX($FO381:$IH381,1+SwaptionShift):INDEX($FO381:$IH381,SwaptionMonthsToGo+SwaptionShift))*SUM(INDEX($FO$325:$IH$396,GV$169,1+SwaptionShift):INDEX($FO$325:$IH$396,GV$169,SwaptionMonthsToGo+SwaptionShift))))))</f>
        <v/>
      </c>
      <c r="GW226" s="469" t="str">
        <f ca="1">IF(OR(GW$169&lt;SwaptionFirstMonthPosition+1,$FN226&lt;SwaptionFirstMonthPosition+1,GW$169&gt;SwaptionFirstMonthPosition+SwaptionNumOfMonths+1,$FN226&gt;SwaptionFirstMonthPosition+SwaptionNumOfMonths+1),"",IF($FN226=GW$169,1,IF($FN226&lt;GW$169,INDEX($FO$170:$IH$241,GW$169,$FN226),SUMPRODUCT(INDEX($FO$325:$IH$396,GW$169,1+SwaptionShift):INDEX($FO$325:$IH$396,GW$169,SwaptionMonthsToGo+SwaptionShift),INDEX($FO$245:$IH$316,$FN226-GW$169,73-GW$169+SwaptionShift):INDEX($FO$245:$IH$316,$FN226-GW$169,72-GW$169+SwaptionMonthsToGo+SwaptionShift))/SQRT(SUM(INDEX($FO381:$IH381,1+SwaptionShift):INDEX($FO381:$IH381,SwaptionMonthsToGo+SwaptionShift))*SUM(INDEX($FO$325:$IH$396,GW$169,1+SwaptionShift):INDEX($FO$325:$IH$396,GW$169,SwaptionMonthsToGo+SwaptionShift))))))</f>
        <v/>
      </c>
      <c r="GX226" s="469" t="str">
        <f ca="1">IF(OR(GX$169&lt;SwaptionFirstMonthPosition+1,$FN226&lt;SwaptionFirstMonthPosition+1,GX$169&gt;SwaptionFirstMonthPosition+SwaptionNumOfMonths+1,$FN226&gt;SwaptionFirstMonthPosition+SwaptionNumOfMonths+1),"",IF($FN226=GX$169,1,IF($FN226&lt;GX$169,INDEX($FO$170:$IH$241,GX$169,$FN226),SUMPRODUCT(INDEX($FO$325:$IH$396,GX$169,1+SwaptionShift):INDEX($FO$325:$IH$396,GX$169,SwaptionMonthsToGo+SwaptionShift),INDEX($FO$245:$IH$316,$FN226-GX$169,73-GX$169+SwaptionShift):INDEX($FO$245:$IH$316,$FN226-GX$169,72-GX$169+SwaptionMonthsToGo+SwaptionShift))/SQRT(SUM(INDEX($FO381:$IH381,1+SwaptionShift):INDEX($FO381:$IH381,SwaptionMonthsToGo+SwaptionShift))*SUM(INDEX($FO$325:$IH$396,GX$169,1+SwaptionShift):INDEX($FO$325:$IH$396,GX$169,SwaptionMonthsToGo+SwaptionShift))))))</f>
        <v/>
      </c>
      <c r="GY226" s="469" t="str">
        <f ca="1">IF(OR(GY$169&lt;SwaptionFirstMonthPosition+1,$FN226&lt;SwaptionFirstMonthPosition+1,GY$169&gt;SwaptionFirstMonthPosition+SwaptionNumOfMonths+1,$FN226&gt;SwaptionFirstMonthPosition+SwaptionNumOfMonths+1),"",IF($FN226=GY$169,1,IF($FN226&lt;GY$169,INDEX($FO$170:$IH$241,GY$169,$FN226),SUMPRODUCT(INDEX($FO$325:$IH$396,GY$169,1+SwaptionShift):INDEX($FO$325:$IH$396,GY$169,SwaptionMonthsToGo+SwaptionShift),INDEX($FO$245:$IH$316,$FN226-GY$169,73-GY$169+SwaptionShift):INDEX($FO$245:$IH$316,$FN226-GY$169,72-GY$169+SwaptionMonthsToGo+SwaptionShift))/SQRT(SUM(INDEX($FO381:$IH381,1+SwaptionShift):INDEX($FO381:$IH381,SwaptionMonthsToGo+SwaptionShift))*SUM(INDEX($FO$325:$IH$396,GY$169,1+SwaptionShift):INDEX($FO$325:$IH$396,GY$169,SwaptionMonthsToGo+SwaptionShift))))))</f>
        <v/>
      </c>
      <c r="GZ226" s="469" t="str">
        <f ca="1">IF(OR(GZ$169&lt;SwaptionFirstMonthPosition+1,$FN226&lt;SwaptionFirstMonthPosition+1,GZ$169&gt;SwaptionFirstMonthPosition+SwaptionNumOfMonths+1,$FN226&gt;SwaptionFirstMonthPosition+SwaptionNumOfMonths+1),"",IF($FN226=GZ$169,1,IF($FN226&lt;GZ$169,INDEX($FO$170:$IH$241,GZ$169,$FN226),SUMPRODUCT(INDEX($FO$325:$IH$396,GZ$169,1+SwaptionShift):INDEX($FO$325:$IH$396,GZ$169,SwaptionMonthsToGo+SwaptionShift),INDEX($FO$245:$IH$316,$FN226-GZ$169,73-GZ$169+SwaptionShift):INDEX($FO$245:$IH$316,$FN226-GZ$169,72-GZ$169+SwaptionMonthsToGo+SwaptionShift))/SQRT(SUM(INDEX($FO381:$IH381,1+SwaptionShift):INDEX($FO381:$IH381,SwaptionMonthsToGo+SwaptionShift))*SUM(INDEX($FO$325:$IH$396,GZ$169,1+SwaptionShift):INDEX($FO$325:$IH$396,GZ$169,SwaptionMonthsToGo+SwaptionShift))))))</f>
        <v/>
      </c>
      <c r="HA226" s="469" t="str">
        <f ca="1">IF(OR(HA$169&lt;SwaptionFirstMonthPosition+1,$FN226&lt;SwaptionFirstMonthPosition+1,HA$169&gt;SwaptionFirstMonthPosition+SwaptionNumOfMonths+1,$FN226&gt;SwaptionFirstMonthPosition+SwaptionNumOfMonths+1),"",IF($FN226=HA$169,1,IF($FN226&lt;HA$169,INDEX($FO$170:$IH$241,HA$169,$FN226),SUMPRODUCT(INDEX($FO$325:$IH$396,HA$169,1+SwaptionShift):INDEX($FO$325:$IH$396,HA$169,SwaptionMonthsToGo+SwaptionShift),INDEX($FO$245:$IH$316,$FN226-HA$169,73-HA$169+SwaptionShift):INDEX($FO$245:$IH$316,$FN226-HA$169,72-HA$169+SwaptionMonthsToGo+SwaptionShift))/SQRT(SUM(INDEX($FO381:$IH381,1+SwaptionShift):INDEX($FO381:$IH381,SwaptionMonthsToGo+SwaptionShift))*SUM(INDEX($FO$325:$IH$396,HA$169,1+SwaptionShift):INDEX($FO$325:$IH$396,HA$169,SwaptionMonthsToGo+SwaptionShift))))))</f>
        <v/>
      </c>
      <c r="HB226" s="469" t="str">
        <f ca="1">IF(OR(HB$169&lt;SwaptionFirstMonthPosition+1,$FN226&lt;SwaptionFirstMonthPosition+1,HB$169&gt;SwaptionFirstMonthPosition+SwaptionNumOfMonths+1,$FN226&gt;SwaptionFirstMonthPosition+SwaptionNumOfMonths+1),"",IF($FN226=HB$169,1,IF($FN226&lt;HB$169,INDEX($FO$170:$IH$241,HB$169,$FN226),SUMPRODUCT(INDEX($FO$325:$IH$396,HB$169,1+SwaptionShift):INDEX($FO$325:$IH$396,HB$169,SwaptionMonthsToGo+SwaptionShift),INDEX($FO$245:$IH$316,$FN226-HB$169,73-HB$169+SwaptionShift):INDEX($FO$245:$IH$316,$FN226-HB$169,72-HB$169+SwaptionMonthsToGo+SwaptionShift))/SQRT(SUM(INDEX($FO381:$IH381,1+SwaptionShift):INDEX($FO381:$IH381,SwaptionMonthsToGo+SwaptionShift))*SUM(INDEX($FO$325:$IH$396,HB$169,1+SwaptionShift):INDEX($FO$325:$IH$396,HB$169,SwaptionMonthsToGo+SwaptionShift))))))</f>
        <v/>
      </c>
      <c r="HC226" s="469" t="str">
        <f ca="1">IF(OR(HC$169&lt;SwaptionFirstMonthPosition+1,$FN226&lt;SwaptionFirstMonthPosition+1,HC$169&gt;SwaptionFirstMonthPosition+SwaptionNumOfMonths+1,$FN226&gt;SwaptionFirstMonthPosition+SwaptionNumOfMonths+1),"",IF($FN226=HC$169,1,IF($FN226&lt;HC$169,INDEX($FO$170:$IH$241,HC$169,$FN226),SUMPRODUCT(INDEX($FO$325:$IH$396,HC$169,1+SwaptionShift):INDEX($FO$325:$IH$396,HC$169,SwaptionMonthsToGo+SwaptionShift),INDEX($FO$245:$IH$316,$FN226-HC$169,73-HC$169+SwaptionShift):INDEX($FO$245:$IH$316,$FN226-HC$169,72-HC$169+SwaptionMonthsToGo+SwaptionShift))/SQRT(SUM(INDEX($FO381:$IH381,1+SwaptionShift):INDEX($FO381:$IH381,SwaptionMonthsToGo+SwaptionShift))*SUM(INDEX($FO$325:$IH$396,HC$169,1+SwaptionShift):INDEX($FO$325:$IH$396,HC$169,SwaptionMonthsToGo+SwaptionShift))))))</f>
        <v/>
      </c>
      <c r="HD226" s="469" t="str">
        <f ca="1">IF(OR(HD$169&lt;SwaptionFirstMonthPosition+1,$FN226&lt;SwaptionFirstMonthPosition+1,HD$169&gt;SwaptionFirstMonthPosition+SwaptionNumOfMonths+1,$FN226&gt;SwaptionFirstMonthPosition+SwaptionNumOfMonths+1),"",IF($FN226=HD$169,1,IF($FN226&lt;HD$169,INDEX($FO$170:$IH$241,HD$169,$FN226),SUMPRODUCT(INDEX($FO$325:$IH$396,HD$169,1+SwaptionShift):INDEX($FO$325:$IH$396,HD$169,SwaptionMonthsToGo+SwaptionShift),INDEX($FO$245:$IH$316,$FN226-HD$169,73-HD$169+SwaptionShift):INDEX($FO$245:$IH$316,$FN226-HD$169,72-HD$169+SwaptionMonthsToGo+SwaptionShift))/SQRT(SUM(INDEX($FO381:$IH381,1+SwaptionShift):INDEX($FO381:$IH381,SwaptionMonthsToGo+SwaptionShift))*SUM(INDEX($FO$325:$IH$396,HD$169,1+SwaptionShift):INDEX($FO$325:$IH$396,HD$169,SwaptionMonthsToGo+SwaptionShift))))))</f>
        <v/>
      </c>
      <c r="HE226" s="469" t="str">
        <f ca="1">IF(OR(HE$169&lt;SwaptionFirstMonthPosition+1,$FN226&lt;SwaptionFirstMonthPosition+1,HE$169&gt;SwaptionFirstMonthPosition+SwaptionNumOfMonths+1,$FN226&gt;SwaptionFirstMonthPosition+SwaptionNumOfMonths+1),"",IF($FN226=HE$169,1,IF($FN226&lt;HE$169,INDEX($FO$170:$IH$241,HE$169,$FN226),SUMPRODUCT(INDEX($FO$325:$IH$396,HE$169,1+SwaptionShift):INDEX($FO$325:$IH$396,HE$169,SwaptionMonthsToGo+SwaptionShift),INDEX($FO$245:$IH$316,$FN226-HE$169,73-HE$169+SwaptionShift):INDEX($FO$245:$IH$316,$FN226-HE$169,72-HE$169+SwaptionMonthsToGo+SwaptionShift))/SQRT(SUM(INDEX($FO381:$IH381,1+SwaptionShift):INDEX($FO381:$IH381,SwaptionMonthsToGo+SwaptionShift))*SUM(INDEX($FO$325:$IH$396,HE$169,1+SwaptionShift):INDEX($FO$325:$IH$396,HE$169,SwaptionMonthsToGo+SwaptionShift))))))</f>
        <v/>
      </c>
      <c r="HF226" s="469" t="str">
        <f ca="1">IF(OR(HF$169&lt;SwaptionFirstMonthPosition+1,$FN226&lt;SwaptionFirstMonthPosition+1,HF$169&gt;SwaptionFirstMonthPosition+SwaptionNumOfMonths+1,$FN226&gt;SwaptionFirstMonthPosition+SwaptionNumOfMonths+1),"",IF($FN226=HF$169,1,IF($FN226&lt;HF$169,INDEX($FO$170:$IH$241,HF$169,$FN226),SUMPRODUCT(INDEX($FO$325:$IH$396,HF$169,1+SwaptionShift):INDEX($FO$325:$IH$396,HF$169,SwaptionMonthsToGo+SwaptionShift),INDEX($FO$245:$IH$316,$FN226-HF$169,73-HF$169+SwaptionShift):INDEX($FO$245:$IH$316,$FN226-HF$169,72-HF$169+SwaptionMonthsToGo+SwaptionShift))/SQRT(SUM(INDEX($FO381:$IH381,1+SwaptionShift):INDEX($FO381:$IH381,SwaptionMonthsToGo+SwaptionShift))*SUM(INDEX($FO$325:$IH$396,HF$169,1+SwaptionShift):INDEX($FO$325:$IH$396,HF$169,SwaptionMonthsToGo+SwaptionShift))))))</f>
        <v/>
      </c>
      <c r="HG226" s="469" t="str">
        <f ca="1">IF(OR(HG$169&lt;SwaptionFirstMonthPosition+1,$FN226&lt;SwaptionFirstMonthPosition+1,HG$169&gt;SwaptionFirstMonthPosition+SwaptionNumOfMonths+1,$FN226&gt;SwaptionFirstMonthPosition+SwaptionNumOfMonths+1),"",IF($FN226=HG$169,1,IF($FN226&lt;HG$169,INDEX($FO$170:$IH$241,HG$169,$FN226),SUMPRODUCT(INDEX($FO$325:$IH$396,HG$169,1+SwaptionShift):INDEX($FO$325:$IH$396,HG$169,SwaptionMonthsToGo+SwaptionShift),INDEX($FO$245:$IH$316,$FN226-HG$169,73-HG$169+SwaptionShift):INDEX($FO$245:$IH$316,$FN226-HG$169,72-HG$169+SwaptionMonthsToGo+SwaptionShift))/SQRT(SUM(INDEX($FO381:$IH381,1+SwaptionShift):INDEX($FO381:$IH381,SwaptionMonthsToGo+SwaptionShift))*SUM(INDEX($FO$325:$IH$396,HG$169,1+SwaptionShift):INDEX($FO$325:$IH$396,HG$169,SwaptionMonthsToGo+SwaptionShift))))))</f>
        <v/>
      </c>
      <c r="HH226" s="469" t="str">
        <f ca="1">IF(OR(HH$169&lt;SwaptionFirstMonthPosition+1,$FN226&lt;SwaptionFirstMonthPosition+1,HH$169&gt;SwaptionFirstMonthPosition+SwaptionNumOfMonths+1,$FN226&gt;SwaptionFirstMonthPosition+SwaptionNumOfMonths+1),"",IF($FN226=HH$169,1,IF($FN226&lt;HH$169,INDEX($FO$170:$IH$241,HH$169,$FN226),SUMPRODUCT(INDEX($FO$325:$IH$396,HH$169,1+SwaptionShift):INDEX($FO$325:$IH$396,HH$169,SwaptionMonthsToGo+SwaptionShift),INDEX($FO$245:$IH$316,$FN226-HH$169,73-HH$169+SwaptionShift):INDEX($FO$245:$IH$316,$FN226-HH$169,72-HH$169+SwaptionMonthsToGo+SwaptionShift))/SQRT(SUM(INDEX($FO381:$IH381,1+SwaptionShift):INDEX($FO381:$IH381,SwaptionMonthsToGo+SwaptionShift))*SUM(INDEX($FO$325:$IH$396,HH$169,1+SwaptionShift):INDEX($FO$325:$IH$396,HH$169,SwaptionMonthsToGo+SwaptionShift))))))</f>
        <v/>
      </c>
      <c r="HI226" s="469" t="str">
        <f ca="1">IF(OR(HI$169&lt;SwaptionFirstMonthPosition+1,$FN226&lt;SwaptionFirstMonthPosition+1,HI$169&gt;SwaptionFirstMonthPosition+SwaptionNumOfMonths+1,$FN226&gt;SwaptionFirstMonthPosition+SwaptionNumOfMonths+1),"",IF($FN226=HI$169,1,IF($FN226&lt;HI$169,INDEX($FO$170:$IH$241,HI$169,$FN226),SUMPRODUCT(INDEX($FO$325:$IH$396,HI$169,1+SwaptionShift):INDEX($FO$325:$IH$396,HI$169,SwaptionMonthsToGo+SwaptionShift),INDEX($FO$245:$IH$316,$FN226-HI$169,73-HI$169+SwaptionShift):INDEX($FO$245:$IH$316,$FN226-HI$169,72-HI$169+SwaptionMonthsToGo+SwaptionShift))/SQRT(SUM(INDEX($FO381:$IH381,1+SwaptionShift):INDEX($FO381:$IH381,SwaptionMonthsToGo+SwaptionShift))*SUM(INDEX($FO$325:$IH$396,HI$169,1+SwaptionShift):INDEX($FO$325:$IH$396,HI$169,SwaptionMonthsToGo+SwaptionShift))))))</f>
        <v/>
      </c>
      <c r="HJ226" s="469" t="str">
        <f ca="1">IF(OR(HJ$169&lt;SwaptionFirstMonthPosition+1,$FN226&lt;SwaptionFirstMonthPosition+1,HJ$169&gt;SwaptionFirstMonthPosition+SwaptionNumOfMonths+1,$FN226&gt;SwaptionFirstMonthPosition+SwaptionNumOfMonths+1),"",IF($FN226=HJ$169,1,IF($FN226&lt;HJ$169,INDEX($FO$170:$IH$241,HJ$169,$FN226),SUMPRODUCT(INDEX($FO$325:$IH$396,HJ$169,1+SwaptionShift):INDEX($FO$325:$IH$396,HJ$169,SwaptionMonthsToGo+SwaptionShift),INDEX($FO$245:$IH$316,$FN226-HJ$169,73-HJ$169+SwaptionShift):INDEX($FO$245:$IH$316,$FN226-HJ$169,72-HJ$169+SwaptionMonthsToGo+SwaptionShift))/SQRT(SUM(INDEX($FO381:$IH381,1+SwaptionShift):INDEX($FO381:$IH381,SwaptionMonthsToGo+SwaptionShift))*SUM(INDEX($FO$325:$IH$396,HJ$169,1+SwaptionShift):INDEX($FO$325:$IH$396,HJ$169,SwaptionMonthsToGo+SwaptionShift))))))</f>
        <v/>
      </c>
      <c r="HK226" s="469" t="str">
        <f ca="1">IF(OR(HK$169&lt;SwaptionFirstMonthPosition+1,$FN226&lt;SwaptionFirstMonthPosition+1,HK$169&gt;SwaptionFirstMonthPosition+SwaptionNumOfMonths+1,$FN226&gt;SwaptionFirstMonthPosition+SwaptionNumOfMonths+1),"",IF($FN226=HK$169,1,IF($FN226&lt;HK$169,INDEX($FO$170:$IH$241,HK$169,$FN226),SUMPRODUCT(INDEX($FO$325:$IH$396,HK$169,1+SwaptionShift):INDEX($FO$325:$IH$396,HK$169,SwaptionMonthsToGo+SwaptionShift),INDEX($FO$245:$IH$316,$FN226-HK$169,73-HK$169+SwaptionShift):INDEX($FO$245:$IH$316,$FN226-HK$169,72-HK$169+SwaptionMonthsToGo+SwaptionShift))/SQRT(SUM(INDEX($FO381:$IH381,1+SwaptionShift):INDEX($FO381:$IH381,SwaptionMonthsToGo+SwaptionShift))*SUM(INDEX($FO$325:$IH$396,HK$169,1+SwaptionShift):INDEX($FO$325:$IH$396,HK$169,SwaptionMonthsToGo+SwaptionShift))))))</f>
        <v/>
      </c>
      <c r="HL226" s="469" t="str">
        <f ca="1">IF(OR(HL$169&lt;SwaptionFirstMonthPosition+1,$FN226&lt;SwaptionFirstMonthPosition+1,HL$169&gt;SwaptionFirstMonthPosition+SwaptionNumOfMonths+1,$FN226&gt;SwaptionFirstMonthPosition+SwaptionNumOfMonths+1),"",IF($FN226=HL$169,1,IF($FN226&lt;HL$169,INDEX($FO$170:$IH$241,HL$169,$FN226),SUMPRODUCT(INDEX($FO$325:$IH$396,HL$169,1+SwaptionShift):INDEX($FO$325:$IH$396,HL$169,SwaptionMonthsToGo+SwaptionShift),INDEX($FO$245:$IH$316,$FN226-HL$169,73-HL$169+SwaptionShift):INDEX($FO$245:$IH$316,$FN226-HL$169,72-HL$169+SwaptionMonthsToGo+SwaptionShift))/SQRT(SUM(INDEX($FO381:$IH381,1+SwaptionShift):INDEX($FO381:$IH381,SwaptionMonthsToGo+SwaptionShift))*SUM(INDEX($FO$325:$IH$396,HL$169,1+SwaptionShift):INDEX($FO$325:$IH$396,HL$169,SwaptionMonthsToGo+SwaptionShift))))))</f>
        <v/>
      </c>
      <c r="HM226" s="469" t="str">
        <f ca="1">IF(OR(HM$169&lt;SwaptionFirstMonthPosition+1,$FN226&lt;SwaptionFirstMonthPosition+1,HM$169&gt;SwaptionFirstMonthPosition+SwaptionNumOfMonths+1,$FN226&gt;SwaptionFirstMonthPosition+SwaptionNumOfMonths+1),"",IF($FN226=HM$169,1,IF($FN226&lt;HM$169,INDEX($FO$170:$IH$241,HM$169,$FN226),SUMPRODUCT(INDEX($FO$325:$IH$396,HM$169,1+SwaptionShift):INDEX($FO$325:$IH$396,HM$169,SwaptionMonthsToGo+SwaptionShift),INDEX($FO$245:$IH$316,$FN226-HM$169,73-HM$169+SwaptionShift):INDEX($FO$245:$IH$316,$FN226-HM$169,72-HM$169+SwaptionMonthsToGo+SwaptionShift))/SQRT(SUM(INDEX($FO381:$IH381,1+SwaptionShift):INDEX($FO381:$IH381,SwaptionMonthsToGo+SwaptionShift))*SUM(INDEX($FO$325:$IH$396,HM$169,1+SwaptionShift):INDEX($FO$325:$IH$396,HM$169,SwaptionMonthsToGo+SwaptionShift))))))</f>
        <v/>
      </c>
      <c r="HN226" s="469" t="str">
        <f ca="1">IF(OR(HN$169&lt;SwaptionFirstMonthPosition+1,$FN226&lt;SwaptionFirstMonthPosition+1,HN$169&gt;SwaptionFirstMonthPosition+SwaptionNumOfMonths+1,$FN226&gt;SwaptionFirstMonthPosition+SwaptionNumOfMonths+1),"",IF($FN226=HN$169,1,IF($FN226&lt;HN$169,INDEX($FO$170:$IH$241,HN$169,$FN226),SUMPRODUCT(INDEX($FO$325:$IH$396,HN$169,1+SwaptionShift):INDEX($FO$325:$IH$396,HN$169,SwaptionMonthsToGo+SwaptionShift),INDEX($FO$245:$IH$316,$FN226-HN$169,73-HN$169+SwaptionShift):INDEX($FO$245:$IH$316,$FN226-HN$169,72-HN$169+SwaptionMonthsToGo+SwaptionShift))/SQRT(SUM(INDEX($FO381:$IH381,1+SwaptionShift):INDEX($FO381:$IH381,SwaptionMonthsToGo+SwaptionShift))*SUM(INDEX($FO$325:$IH$396,HN$169,1+SwaptionShift):INDEX($FO$325:$IH$396,HN$169,SwaptionMonthsToGo+SwaptionShift))))))</f>
        <v/>
      </c>
      <c r="HO226" s="469" t="str">
        <f ca="1">IF(OR(HO$169&lt;SwaptionFirstMonthPosition+1,$FN226&lt;SwaptionFirstMonthPosition+1,HO$169&gt;SwaptionFirstMonthPosition+SwaptionNumOfMonths+1,$FN226&gt;SwaptionFirstMonthPosition+SwaptionNumOfMonths+1),"",IF($FN226=HO$169,1,IF($FN226&lt;HO$169,INDEX($FO$170:$IH$241,HO$169,$FN226),SUMPRODUCT(INDEX($FO$325:$IH$396,HO$169,1+SwaptionShift):INDEX($FO$325:$IH$396,HO$169,SwaptionMonthsToGo+SwaptionShift),INDEX($FO$245:$IH$316,$FN226-HO$169,73-HO$169+SwaptionShift):INDEX($FO$245:$IH$316,$FN226-HO$169,72-HO$169+SwaptionMonthsToGo+SwaptionShift))/SQRT(SUM(INDEX($FO381:$IH381,1+SwaptionShift):INDEX($FO381:$IH381,SwaptionMonthsToGo+SwaptionShift))*SUM(INDEX($FO$325:$IH$396,HO$169,1+SwaptionShift):INDEX($FO$325:$IH$396,HO$169,SwaptionMonthsToGo+SwaptionShift))))))</f>
        <v/>
      </c>
      <c r="HP226" s="469" t="str">
        <f ca="1">IF(OR(HP$169&lt;SwaptionFirstMonthPosition+1,$FN226&lt;SwaptionFirstMonthPosition+1,HP$169&gt;SwaptionFirstMonthPosition+SwaptionNumOfMonths+1,$FN226&gt;SwaptionFirstMonthPosition+SwaptionNumOfMonths+1),"",IF($FN226=HP$169,1,IF($FN226&lt;HP$169,INDEX($FO$170:$IH$241,HP$169,$FN226),SUMPRODUCT(INDEX($FO$325:$IH$396,HP$169,1+SwaptionShift):INDEX($FO$325:$IH$396,HP$169,SwaptionMonthsToGo+SwaptionShift),INDEX($FO$245:$IH$316,$FN226-HP$169,73-HP$169+SwaptionShift):INDEX($FO$245:$IH$316,$FN226-HP$169,72-HP$169+SwaptionMonthsToGo+SwaptionShift))/SQRT(SUM(INDEX($FO381:$IH381,1+SwaptionShift):INDEX($FO381:$IH381,SwaptionMonthsToGo+SwaptionShift))*SUM(INDEX($FO$325:$IH$396,HP$169,1+SwaptionShift):INDEX($FO$325:$IH$396,HP$169,SwaptionMonthsToGo+SwaptionShift))))))</f>
        <v/>
      </c>
      <c r="HQ226" s="469" t="str">
        <f ca="1">IF(OR(HQ$169&lt;SwaptionFirstMonthPosition+1,$FN226&lt;SwaptionFirstMonthPosition+1,HQ$169&gt;SwaptionFirstMonthPosition+SwaptionNumOfMonths+1,$FN226&gt;SwaptionFirstMonthPosition+SwaptionNumOfMonths+1),"",IF($FN226=HQ$169,1,IF($FN226&lt;HQ$169,INDEX($FO$170:$IH$241,HQ$169,$FN226),SUMPRODUCT(INDEX($FO$325:$IH$396,HQ$169,1+SwaptionShift):INDEX($FO$325:$IH$396,HQ$169,SwaptionMonthsToGo+SwaptionShift),INDEX($FO$245:$IH$316,$FN226-HQ$169,73-HQ$169+SwaptionShift):INDEX($FO$245:$IH$316,$FN226-HQ$169,72-HQ$169+SwaptionMonthsToGo+SwaptionShift))/SQRT(SUM(INDEX($FO381:$IH381,1+SwaptionShift):INDEX($FO381:$IH381,SwaptionMonthsToGo+SwaptionShift))*SUM(INDEX($FO$325:$IH$396,HQ$169,1+SwaptionShift):INDEX($FO$325:$IH$396,HQ$169,SwaptionMonthsToGo+SwaptionShift))))))</f>
        <v/>
      </c>
      <c r="HR226" s="469" t="str">
        <f ca="1">IF(OR(HR$169&lt;SwaptionFirstMonthPosition+1,$FN226&lt;SwaptionFirstMonthPosition+1,HR$169&gt;SwaptionFirstMonthPosition+SwaptionNumOfMonths+1,$FN226&gt;SwaptionFirstMonthPosition+SwaptionNumOfMonths+1),"",IF($FN226=HR$169,1,IF($FN226&lt;HR$169,INDEX($FO$170:$IH$241,HR$169,$FN226),SUMPRODUCT(INDEX($FO$325:$IH$396,HR$169,1+SwaptionShift):INDEX($FO$325:$IH$396,HR$169,SwaptionMonthsToGo+SwaptionShift),INDEX($FO$245:$IH$316,$FN226-HR$169,73-HR$169+SwaptionShift):INDEX($FO$245:$IH$316,$FN226-HR$169,72-HR$169+SwaptionMonthsToGo+SwaptionShift))/SQRT(SUM(INDEX($FO381:$IH381,1+SwaptionShift):INDEX($FO381:$IH381,SwaptionMonthsToGo+SwaptionShift))*SUM(INDEX($FO$325:$IH$396,HR$169,1+SwaptionShift):INDEX($FO$325:$IH$396,HR$169,SwaptionMonthsToGo+SwaptionShift))))))</f>
        <v/>
      </c>
      <c r="HS226" s="469" t="str">
        <f ca="1">IF(OR(HS$169&lt;SwaptionFirstMonthPosition+1,$FN226&lt;SwaptionFirstMonthPosition+1,HS$169&gt;SwaptionFirstMonthPosition+SwaptionNumOfMonths+1,$FN226&gt;SwaptionFirstMonthPosition+SwaptionNumOfMonths+1),"",IF($FN226=HS$169,1,IF($FN226&lt;HS$169,INDEX($FO$170:$IH$241,HS$169,$FN226),SUMPRODUCT(INDEX($FO$325:$IH$396,HS$169,1+SwaptionShift):INDEX($FO$325:$IH$396,HS$169,SwaptionMonthsToGo+SwaptionShift),INDEX($FO$245:$IH$316,$FN226-HS$169,73-HS$169+SwaptionShift):INDEX($FO$245:$IH$316,$FN226-HS$169,72-HS$169+SwaptionMonthsToGo+SwaptionShift))/SQRT(SUM(INDEX($FO381:$IH381,1+SwaptionShift):INDEX($FO381:$IH381,SwaptionMonthsToGo+SwaptionShift))*SUM(INDEX($FO$325:$IH$396,HS$169,1+SwaptionShift):INDEX($FO$325:$IH$396,HS$169,SwaptionMonthsToGo+SwaptionShift))))))</f>
        <v/>
      </c>
      <c r="HT226" s="469" t="str">
        <f ca="1">IF(OR(HT$169&lt;SwaptionFirstMonthPosition+1,$FN226&lt;SwaptionFirstMonthPosition+1,HT$169&gt;SwaptionFirstMonthPosition+SwaptionNumOfMonths+1,$FN226&gt;SwaptionFirstMonthPosition+SwaptionNumOfMonths+1),"",IF($FN226=HT$169,1,IF($FN226&lt;HT$169,INDEX($FO$170:$IH$241,HT$169,$FN226),SUMPRODUCT(INDEX($FO$325:$IH$396,HT$169,1+SwaptionShift):INDEX($FO$325:$IH$396,HT$169,SwaptionMonthsToGo+SwaptionShift),INDEX($FO$245:$IH$316,$FN226-HT$169,73-HT$169+SwaptionShift):INDEX($FO$245:$IH$316,$FN226-HT$169,72-HT$169+SwaptionMonthsToGo+SwaptionShift))/SQRT(SUM(INDEX($FO381:$IH381,1+SwaptionShift):INDEX($FO381:$IH381,SwaptionMonthsToGo+SwaptionShift))*SUM(INDEX($FO$325:$IH$396,HT$169,1+SwaptionShift):INDEX($FO$325:$IH$396,HT$169,SwaptionMonthsToGo+SwaptionShift))))))</f>
        <v/>
      </c>
      <c r="HU226" s="469" t="str">
        <f ca="1">IF(OR(HU$169&lt;SwaptionFirstMonthPosition+1,$FN226&lt;SwaptionFirstMonthPosition+1,HU$169&gt;SwaptionFirstMonthPosition+SwaptionNumOfMonths+1,$FN226&gt;SwaptionFirstMonthPosition+SwaptionNumOfMonths+1),"",IF($FN226=HU$169,1,IF($FN226&lt;HU$169,INDEX($FO$170:$IH$241,HU$169,$FN226),SUMPRODUCT(INDEX($FO$325:$IH$396,HU$169,1+SwaptionShift):INDEX($FO$325:$IH$396,HU$169,SwaptionMonthsToGo+SwaptionShift),INDEX($FO$245:$IH$316,$FN226-HU$169,73-HU$169+SwaptionShift):INDEX($FO$245:$IH$316,$FN226-HU$169,72-HU$169+SwaptionMonthsToGo+SwaptionShift))/SQRT(SUM(INDEX($FO381:$IH381,1+SwaptionShift):INDEX($FO381:$IH381,SwaptionMonthsToGo+SwaptionShift))*SUM(INDEX($FO$325:$IH$396,HU$169,1+SwaptionShift):INDEX($FO$325:$IH$396,HU$169,SwaptionMonthsToGo+SwaptionShift))))))</f>
        <v/>
      </c>
      <c r="HV226" s="469" t="str">
        <f ca="1">IF(OR(HV$169&lt;SwaptionFirstMonthPosition+1,$FN226&lt;SwaptionFirstMonthPosition+1,HV$169&gt;SwaptionFirstMonthPosition+SwaptionNumOfMonths+1,$FN226&gt;SwaptionFirstMonthPosition+SwaptionNumOfMonths+1),"",IF($FN226=HV$169,1,IF($FN226&lt;HV$169,INDEX($FO$170:$IH$241,HV$169,$FN226),SUMPRODUCT(INDEX($FO$325:$IH$396,HV$169,1+SwaptionShift):INDEX($FO$325:$IH$396,HV$169,SwaptionMonthsToGo+SwaptionShift),INDEX($FO$245:$IH$316,$FN226-HV$169,73-HV$169+SwaptionShift):INDEX($FO$245:$IH$316,$FN226-HV$169,72-HV$169+SwaptionMonthsToGo+SwaptionShift))/SQRT(SUM(INDEX($FO381:$IH381,1+SwaptionShift):INDEX($FO381:$IH381,SwaptionMonthsToGo+SwaptionShift))*SUM(INDEX($FO$325:$IH$396,HV$169,1+SwaptionShift):INDEX($FO$325:$IH$396,HV$169,SwaptionMonthsToGo+SwaptionShift))))))</f>
        <v/>
      </c>
      <c r="HW226" s="469" t="str">
        <f ca="1">IF(OR(HW$169&lt;SwaptionFirstMonthPosition+1,$FN226&lt;SwaptionFirstMonthPosition+1,HW$169&gt;SwaptionFirstMonthPosition+SwaptionNumOfMonths+1,$FN226&gt;SwaptionFirstMonthPosition+SwaptionNumOfMonths+1),"",IF($FN226=HW$169,1,IF($FN226&lt;HW$169,INDEX($FO$170:$IH$241,HW$169,$FN226),SUMPRODUCT(INDEX($FO$325:$IH$396,HW$169,1+SwaptionShift):INDEX($FO$325:$IH$396,HW$169,SwaptionMonthsToGo+SwaptionShift),INDEX($FO$245:$IH$316,$FN226-HW$169,73-HW$169+SwaptionShift):INDEX($FO$245:$IH$316,$FN226-HW$169,72-HW$169+SwaptionMonthsToGo+SwaptionShift))/SQRT(SUM(INDEX($FO381:$IH381,1+SwaptionShift):INDEX($FO381:$IH381,SwaptionMonthsToGo+SwaptionShift))*SUM(INDEX($FO$325:$IH$396,HW$169,1+SwaptionShift):INDEX($FO$325:$IH$396,HW$169,SwaptionMonthsToGo+SwaptionShift))))))</f>
        <v/>
      </c>
      <c r="HX226" s="469" t="str">
        <f ca="1">IF(OR(HX$169&lt;SwaptionFirstMonthPosition+1,$FN226&lt;SwaptionFirstMonthPosition+1,HX$169&gt;SwaptionFirstMonthPosition+SwaptionNumOfMonths+1,$FN226&gt;SwaptionFirstMonthPosition+SwaptionNumOfMonths+1),"",IF($FN226=HX$169,1,IF($FN226&lt;HX$169,INDEX($FO$170:$IH$241,HX$169,$FN226),SUMPRODUCT(INDEX($FO$325:$IH$396,HX$169,1+SwaptionShift):INDEX($FO$325:$IH$396,HX$169,SwaptionMonthsToGo+SwaptionShift),INDEX($FO$245:$IH$316,$FN226-HX$169,73-HX$169+SwaptionShift):INDEX($FO$245:$IH$316,$FN226-HX$169,72-HX$169+SwaptionMonthsToGo+SwaptionShift))/SQRT(SUM(INDEX($FO381:$IH381,1+SwaptionShift):INDEX($FO381:$IH381,SwaptionMonthsToGo+SwaptionShift))*SUM(INDEX($FO$325:$IH$396,HX$169,1+SwaptionShift):INDEX($FO$325:$IH$396,HX$169,SwaptionMonthsToGo+SwaptionShift))))))</f>
        <v/>
      </c>
      <c r="HY226" s="469" t="str">
        <f ca="1">IF(OR(HY$169&lt;SwaptionFirstMonthPosition+1,$FN226&lt;SwaptionFirstMonthPosition+1,HY$169&gt;SwaptionFirstMonthPosition+SwaptionNumOfMonths+1,$FN226&gt;SwaptionFirstMonthPosition+SwaptionNumOfMonths+1),"",IF($FN226=HY$169,1,IF($FN226&lt;HY$169,INDEX($FO$170:$IH$241,HY$169,$FN226),SUMPRODUCT(INDEX($FO$325:$IH$396,HY$169,1+SwaptionShift):INDEX($FO$325:$IH$396,HY$169,SwaptionMonthsToGo+SwaptionShift),INDEX($FO$245:$IH$316,$FN226-HY$169,73-HY$169+SwaptionShift):INDEX($FO$245:$IH$316,$FN226-HY$169,72-HY$169+SwaptionMonthsToGo+SwaptionShift))/SQRT(SUM(INDEX($FO381:$IH381,1+SwaptionShift):INDEX($FO381:$IH381,SwaptionMonthsToGo+SwaptionShift))*SUM(INDEX($FO$325:$IH$396,HY$169,1+SwaptionShift):INDEX($FO$325:$IH$396,HY$169,SwaptionMonthsToGo+SwaptionShift))))))</f>
        <v/>
      </c>
      <c r="HZ226" s="469" t="str">
        <f ca="1">IF(OR(HZ$169&lt;SwaptionFirstMonthPosition+1,$FN226&lt;SwaptionFirstMonthPosition+1,HZ$169&gt;SwaptionFirstMonthPosition+SwaptionNumOfMonths+1,$FN226&gt;SwaptionFirstMonthPosition+SwaptionNumOfMonths+1),"",IF($FN226=HZ$169,1,IF($FN226&lt;HZ$169,INDEX($FO$170:$IH$241,HZ$169,$FN226),SUMPRODUCT(INDEX($FO$325:$IH$396,HZ$169,1+SwaptionShift):INDEX($FO$325:$IH$396,HZ$169,SwaptionMonthsToGo+SwaptionShift),INDEX($FO$245:$IH$316,$FN226-HZ$169,73-HZ$169+SwaptionShift):INDEX($FO$245:$IH$316,$FN226-HZ$169,72-HZ$169+SwaptionMonthsToGo+SwaptionShift))/SQRT(SUM(INDEX($FO381:$IH381,1+SwaptionShift):INDEX($FO381:$IH381,SwaptionMonthsToGo+SwaptionShift))*SUM(INDEX($FO$325:$IH$396,HZ$169,1+SwaptionShift):INDEX($FO$325:$IH$396,HZ$169,SwaptionMonthsToGo+SwaptionShift))))))</f>
        <v/>
      </c>
      <c r="IA226" s="469" t="str">
        <f ca="1">IF(OR(IA$169&lt;SwaptionFirstMonthPosition+1,$FN226&lt;SwaptionFirstMonthPosition+1,IA$169&gt;SwaptionFirstMonthPosition+SwaptionNumOfMonths+1,$FN226&gt;SwaptionFirstMonthPosition+SwaptionNumOfMonths+1),"",IF($FN226=IA$169,1,IF($FN226&lt;IA$169,INDEX($FO$170:$IH$241,IA$169,$FN226),SUMPRODUCT(INDEX($FO$325:$IH$396,IA$169,1+SwaptionShift):INDEX($FO$325:$IH$396,IA$169,SwaptionMonthsToGo+SwaptionShift),INDEX($FO$245:$IH$316,$FN226-IA$169,73-IA$169+SwaptionShift):INDEX($FO$245:$IH$316,$FN226-IA$169,72-IA$169+SwaptionMonthsToGo+SwaptionShift))/SQRT(SUM(INDEX($FO381:$IH381,1+SwaptionShift):INDEX($FO381:$IH381,SwaptionMonthsToGo+SwaptionShift))*SUM(INDEX($FO$325:$IH$396,IA$169,1+SwaptionShift):INDEX($FO$325:$IH$396,IA$169,SwaptionMonthsToGo+SwaptionShift))))))</f>
        <v/>
      </c>
      <c r="IB226" s="469" t="str">
        <f ca="1">IF(OR(IB$169&lt;SwaptionFirstMonthPosition+1,$FN226&lt;SwaptionFirstMonthPosition+1,IB$169&gt;SwaptionFirstMonthPosition+SwaptionNumOfMonths+1,$FN226&gt;SwaptionFirstMonthPosition+SwaptionNumOfMonths+1),"",IF($FN226=IB$169,1,IF($FN226&lt;IB$169,INDEX($FO$170:$IH$241,IB$169,$FN226),SUMPRODUCT(INDEX($FO$325:$IH$396,IB$169,1+SwaptionShift):INDEX($FO$325:$IH$396,IB$169,SwaptionMonthsToGo+SwaptionShift),INDEX($FO$245:$IH$316,$FN226-IB$169,73-IB$169+SwaptionShift):INDEX($FO$245:$IH$316,$FN226-IB$169,72-IB$169+SwaptionMonthsToGo+SwaptionShift))/SQRT(SUM(INDEX($FO381:$IH381,1+SwaptionShift):INDEX($FO381:$IH381,SwaptionMonthsToGo+SwaptionShift))*SUM(INDEX($FO$325:$IH$396,IB$169,1+SwaptionShift):INDEX($FO$325:$IH$396,IB$169,SwaptionMonthsToGo+SwaptionShift))))))</f>
        <v/>
      </c>
      <c r="IC226" s="469" t="str">
        <f ca="1">IF(OR(IC$169&lt;SwaptionFirstMonthPosition+1,$FN226&lt;SwaptionFirstMonthPosition+1,IC$169&gt;SwaptionFirstMonthPosition+SwaptionNumOfMonths+1,$FN226&gt;SwaptionFirstMonthPosition+SwaptionNumOfMonths+1),"",IF($FN226=IC$169,1,IF($FN226&lt;IC$169,INDEX($FO$170:$IH$241,IC$169,$FN226),SUMPRODUCT(INDEX($FO$325:$IH$396,IC$169,1+SwaptionShift):INDEX($FO$325:$IH$396,IC$169,SwaptionMonthsToGo+SwaptionShift),INDEX($FO$245:$IH$316,$FN226-IC$169,73-IC$169+SwaptionShift):INDEX($FO$245:$IH$316,$FN226-IC$169,72-IC$169+SwaptionMonthsToGo+SwaptionShift))/SQRT(SUM(INDEX($FO381:$IH381,1+SwaptionShift):INDEX($FO381:$IH381,SwaptionMonthsToGo+SwaptionShift))*SUM(INDEX($FO$325:$IH$396,IC$169,1+SwaptionShift):INDEX($FO$325:$IH$396,IC$169,SwaptionMonthsToGo+SwaptionShift))))))</f>
        <v/>
      </c>
      <c r="ID226" s="469" t="str">
        <f ca="1">IF(OR(ID$169&lt;SwaptionFirstMonthPosition+1,$FN226&lt;SwaptionFirstMonthPosition+1,ID$169&gt;SwaptionFirstMonthPosition+SwaptionNumOfMonths+1,$FN226&gt;SwaptionFirstMonthPosition+SwaptionNumOfMonths+1),"",IF($FN226=ID$169,1,IF($FN226&lt;ID$169,INDEX($FO$170:$IH$241,ID$169,$FN226),SUMPRODUCT(INDEX($FO$325:$IH$396,ID$169,1+SwaptionShift):INDEX($FO$325:$IH$396,ID$169,SwaptionMonthsToGo+SwaptionShift),INDEX($FO$245:$IH$316,$FN226-ID$169,73-ID$169+SwaptionShift):INDEX($FO$245:$IH$316,$FN226-ID$169,72-ID$169+SwaptionMonthsToGo+SwaptionShift))/SQRT(SUM(INDEX($FO381:$IH381,1+SwaptionShift):INDEX($FO381:$IH381,SwaptionMonthsToGo+SwaptionShift))*SUM(INDEX($FO$325:$IH$396,ID$169,1+SwaptionShift):INDEX($FO$325:$IH$396,ID$169,SwaptionMonthsToGo+SwaptionShift))))))</f>
        <v/>
      </c>
      <c r="IE226" s="469" t="str">
        <f ca="1">IF(OR(IE$169&lt;SwaptionFirstMonthPosition+1,$FN226&lt;SwaptionFirstMonthPosition+1,IE$169&gt;SwaptionFirstMonthPosition+SwaptionNumOfMonths+1,$FN226&gt;SwaptionFirstMonthPosition+SwaptionNumOfMonths+1),"",IF($FN226=IE$169,1,IF($FN226&lt;IE$169,INDEX($FO$170:$IH$241,IE$169,$FN226),SUMPRODUCT(INDEX($FO$325:$IH$396,IE$169,1+SwaptionShift):INDEX($FO$325:$IH$396,IE$169,SwaptionMonthsToGo+SwaptionShift),INDEX($FO$245:$IH$316,$FN226-IE$169,73-IE$169+SwaptionShift):INDEX($FO$245:$IH$316,$FN226-IE$169,72-IE$169+SwaptionMonthsToGo+SwaptionShift))/SQRT(SUM(INDEX($FO381:$IH381,1+SwaptionShift):INDEX($FO381:$IH381,SwaptionMonthsToGo+SwaptionShift))*SUM(INDEX($FO$325:$IH$396,IE$169,1+SwaptionShift):INDEX($FO$325:$IH$396,IE$169,SwaptionMonthsToGo+SwaptionShift))))))</f>
        <v/>
      </c>
      <c r="IF226" s="469" t="str">
        <f ca="1">IF(OR(IF$169&lt;SwaptionFirstMonthPosition+1,$FN226&lt;SwaptionFirstMonthPosition+1,IF$169&gt;SwaptionFirstMonthPosition+SwaptionNumOfMonths+1,$FN226&gt;SwaptionFirstMonthPosition+SwaptionNumOfMonths+1),"",IF($FN226=IF$169,1,IF($FN226&lt;IF$169,INDEX($FO$170:$IH$241,IF$169,$FN226),SUMPRODUCT(INDEX($FO$325:$IH$396,IF$169,1+SwaptionShift):INDEX($FO$325:$IH$396,IF$169,SwaptionMonthsToGo+SwaptionShift),INDEX($FO$245:$IH$316,$FN226-IF$169,73-IF$169+SwaptionShift):INDEX($FO$245:$IH$316,$FN226-IF$169,72-IF$169+SwaptionMonthsToGo+SwaptionShift))/SQRT(SUM(INDEX($FO381:$IH381,1+SwaptionShift):INDEX($FO381:$IH381,SwaptionMonthsToGo+SwaptionShift))*SUM(INDEX($FO$325:$IH$396,IF$169,1+SwaptionShift):INDEX($FO$325:$IH$396,IF$169,SwaptionMonthsToGo+SwaptionShift))))))</f>
        <v/>
      </c>
      <c r="IG226" s="469" t="str">
        <f ca="1">IF(OR(IG$169&lt;SwaptionFirstMonthPosition+1,$FN226&lt;SwaptionFirstMonthPosition+1,IG$169&gt;SwaptionFirstMonthPosition+SwaptionNumOfMonths+1,$FN226&gt;SwaptionFirstMonthPosition+SwaptionNumOfMonths+1),"",IF($FN226=IG$169,1,IF($FN226&lt;IG$169,INDEX($FO$170:$IH$241,IG$169,$FN226),SUMPRODUCT(INDEX($FO$325:$IH$396,IG$169,1+SwaptionShift):INDEX($FO$325:$IH$396,IG$169,SwaptionMonthsToGo+SwaptionShift),INDEX($FO$245:$IH$316,$FN226-IG$169,73-IG$169+SwaptionShift):INDEX($FO$245:$IH$316,$FN226-IG$169,72-IG$169+SwaptionMonthsToGo+SwaptionShift))/SQRT(SUM(INDEX($FO381:$IH381,1+SwaptionShift):INDEX($FO381:$IH381,SwaptionMonthsToGo+SwaptionShift))*SUM(INDEX($FO$325:$IH$396,IG$169,1+SwaptionShift):INDEX($FO$325:$IH$396,IG$169,SwaptionMonthsToGo+SwaptionShift))))))</f>
        <v/>
      </c>
      <c r="IH226" s="662" t="str">
        <f ca="1">IF(OR(IH$169&lt;SwaptionFirstMonthPosition+1,$FN226&lt;SwaptionFirstMonthPosition+1,IH$169&gt;SwaptionFirstMonthPosition+SwaptionNumOfMonths+1,$FN226&gt;SwaptionFirstMonthPosition+SwaptionNumOfMonths+1),"",IF($FN226=IH$169,1,IF($FN226&lt;IH$169,INDEX($FO$170:$IH$241,IH$169,$FN226),SUMPRODUCT(INDEX($FO$325:$IH$396,IH$169,1+SwaptionShift):INDEX($FO$325:$IH$396,IH$169,SwaptionMonthsToGo+SwaptionShift),INDEX($FO$245:$IH$316,$FN226-IH$169,73-IH$169+SwaptionShift):INDEX($FO$245:$IH$316,$FN226-IH$169,72-IH$169+SwaptionMonthsToGo+SwaptionShift))/SQRT(SUM(INDEX($FO381:$IH381,1+SwaptionShift):INDEX($FO381:$IH381,SwaptionMonthsToGo+SwaptionShift))*SUM(INDEX($FO$325:$IH$396,IH$169,1+SwaptionShift):INDEX($FO$325:$IH$396,IH$169,SwaptionMonthsToGo+SwaptionShift))))))</f>
        <v/>
      </c>
      <c r="II226" s="242"/>
    </row>
    <row r="227" spans="8:243">
      <c r="H227" s="49" t="e">
        <f t="shared" ca="1" si="645"/>
        <v>#N/A</v>
      </c>
      <c r="I227" s="369">
        <f t="shared" si="646"/>
        <v>43313</v>
      </c>
      <c r="J227" s="367">
        <v>24.559999999999796</v>
      </c>
      <c r="K227" s="101" t="s">
        <v>267</v>
      </c>
      <c r="L227" s="382">
        <f t="shared" si="647"/>
        <v>24.559999999999835</v>
      </c>
      <c r="M227" s="163">
        <v>0.1283</v>
      </c>
      <c r="N227" s="372">
        <v>0</v>
      </c>
      <c r="O227" s="163">
        <f t="shared" si="595"/>
        <v>0.1283</v>
      </c>
      <c r="P227" s="367">
        <v>23.118753234967599</v>
      </c>
      <c r="Q227" s="101" t="s">
        <v>267</v>
      </c>
      <c r="R227" s="367">
        <f t="shared" ca="1" si="596"/>
        <v>23.118753234967613</v>
      </c>
      <c r="S227" s="814">
        <f t="shared" si="594"/>
        <v>0.34630696021509871</v>
      </c>
      <c r="T227" s="813">
        <f t="shared" si="660"/>
        <v>0.99999999997365863</v>
      </c>
      <c r="U227" s="532">
        <f t="shared" si="661"/>
        <v>0.99999999999999978</v>
      </c>
      <c r="V227" s="379">
        <v>0</v>
      </c>
      <c r="W227" s="424">
        <f t="shared" si="597"/>
        <v>24.594782608695446</v>
      </c>
      <c r="X227" s="405">
        <f t="shared" si="598"/>
        <v>24.594782608695485</v>
      </c>
      <c r="Y227" s="313">
        <f t="shared" si="599"/>
        <v>23.276382608695446</v>
      </c>
      <c r="Z227" s="313">
        <f t="shared" ca="1" si="600"/>
        <v>23.276382608695485</v>
      </c>
      <c r="AA227" s="419">
        <f t="shared" si="623"/>
        <v>1.3184</v>
      </c>
      <c r="AB227" s="423">
        <f t="shared" ca="1" si="624"/>
        <v>1.3184</v>
      </c>
      <c r="AC227" s="221">
        <v>43301</v>
      </c>
      <c r="AD227" s="221">
        <v>43297</v>
      </c>
      <c r="AE227" s="221">
        <v>43296</v>
      </c>
      <c r="AF227" s="221">
        <v>43292</v>
      </c>
      <c r="AG227" s="241" t="s">
        <v>497</v>
      </c>
      <c r="AH227" s="239" t="s">
        <v>497</v>
      </c>
      <c r="AI227" s="141">
        <v>23</v>
      </c>
      <c r="AJ227" s="41">
        <v>14</v>
      </c>
      <c r="AK227" s="41">
        <v>9</v>
      </c>
      <c r="AL227" s="285">
        <v>23</v>
      </c>
      <c r="AM227" s="41">
        <v>10</v>
      </c>
      <c r="AN227" s="142">
        <v>13</v>
      </c>
      <c r="AO227" s="364">
        <v>6.3193233487773601E-2</v>
      </c>
      <c r="AP227" s="145">
        <f t="shared" ca="1" si="648"/>
        <v>0.33886678786688862</v>
      </c>
      <c r="AQ227" s="364">
        <v>5.9201905089346002E-2</v>
      </c>
      <c r="AR227" s="145">
        <f t="shared" ca="1" si="662"/>
        <v>0.36515322525656163</v>
      </c>
      <c r="AS227" s="264">
        <f t="shared" si="601"/>
        <v>0.12774347826086957</v>
      </c>
      <c r="AT227" s="149">
        <f t="shared" si="649"/>
        <v>0.1283</v>
      </c>
      <c r="AU227" s="149">
        <f t="shared" si="625"/>
        <v>0.12767391304347828</v>
      </c>
      <c r="AV227" s="263">
        <f t="shared" ca="1" si="669"/>
        <v>0.12635814851659749</v>
      </c>
      <c r="AW227" s="150" t="str">
        <f t="shared" ca="1" si="581"/>
        <v/>
      </c>
      <c r="AX227" s="149">
        <f t="shared" ca="1" si="663"/>
        <v>3.4951715122386066E-3</v>
      </c>
      <c r="AY227" s="149">
        <f t="shared" ca="1" si="664"/>
        <v>1.0745198299636125E-3</v>
      </c>
      <c r="AZ227" s="149">
        <f t="shared" ca="1" si="665"/>
        <v>1.3142584505001678E-3</v>
      </c>
      <c r="BA227" s="149">
        <f t="shared" ca="1" si="666"/>
        <v>1.0000000000001114E-4</v>
      </c>
      <c r="BB227" s="149">
        <f t="shared" ca="1" si="667"/>
        <v>1.0000000000001114E-4</v>
      </c>
      <c r="BC227" s="149">
        <f t="shared" ca="1" si="668"/>
        <v>1.0000000000001114E-4</v>
      </c>
      <c r="BD227" s="143">
        <f t="shared" ca="1" si="602"/>
        <v>0</v>
      </c>
      <c r="BE227" s="144">
        <f t="shared" ca="1" si="603"/>
        <v>0</v>
      </c>
      <c r="BF227" s="40">
        <f t="shared" si="604"/>
        <v>2018</v>
      </c>
      <c r="BG227" s="139">
        <f t="shared" si="605"/>
        <v>8</v>
      </c>
      <c r="BH227" s="140">
        <f t="shared" ca="1" si="606"/>
        <v>6307</v>
      </c>
      <c r="BI227" s="304">
        <f t="shared" ca="1" si="607"/>
        <v>17.311430527036276</v>
      </c>
      <c r="BJ227" s="42">
        <f t="shared" ca="1" si="626"/>
        <v>17.361426063149125</v>
      </c>
      <c r="BK227" s="42">
        <f t="shared" ca="1" si="627"/>
        <v>17.364163913936256</v>
      </c>
      <c r="BL227" s="42">
        <f t="shared" ca="1" si="608"/>
        <v>17.393566050650239</v>
      </c>
      <c r="BM227" s="285">
        <f t="shared" si="609"/>
        <v>23</v>
      </c>
      <c r="BN227" s="41">
        <f t="shared" si="610"/>
        <v>14</v>
      </c>
      <c r="BO227" s="41">
        <f t="shared" si="611"/>
        <v>9</v>
      </c>
      <c r="BP227" s="297" t="str">
        <f t="shared" ca="1" si="628"/>
        <v/>
      </c>
      <c r="BQ227" s="297" t="str">
        <f t="shared" ca="1" si="629"/>
        <v/>
      </c>
      <c r="BR227" s="299" t="str">
        <f t="shared" ca="1" si="630"/>
        <v/>
      </c>
      <c r="BS227" s="153" t="str">
        <f t="shared" ca="1" si="631"/>
        <v/>
      </c>
      <c r="BT227" s="153" t="str">
        <f t="shared" ca="1" si="632"/>
        <v/>
      </c>
      <c r="BU227" s="300" t="str">
        <f t="shared" ca="1" si="633"/>
        <v/>
      </c>
      <c r="BV227" s="301" t="str">
        <f t="shared" ca="1" si="634"/>
        <v/>
      </c>
      <c r="BW227" s="300" t="str">
        <f t="shared" ca="1" si="635"/>
        <v/>
      </c>
      <c r="BX227" s="301" t="str">
        <f t="shared" ca="1" si="636"/>
        <v/>
      </c>
      <c r="BY227" s="146" t="str">
        <f t="shared" ca="1" si="637"/>
        <v/>
      </c>
      <c r="BZ227" s="146" t="str">
        <f t="shared" ca="1" si="638"/>
        <v/>
      </c>
      <c r="CA227" s="146" t="str">
        <f t="shared" ca="1" si="639"/>
        <v/>
      </c>
      <c r="CB227" s="146" t="str">
        <f t="shared" ca="1" si="640"/>
        <v/>
      </c>
      <c r="CC227" s="302">
        <v>1</v>
      </c>
      <c r="CD227" s="154">
        <f ca="1">IF(BD227,_xll.xCrudeAPO(BS227,BT227,BY227,BZ227,S228,S229,BI227,BL227,BN227,BO227,0,Strike1,AO227,CC227,0,BL227,IF(OptControl=4,0,1),0,1),0)</f>
        <v>0</v>
      </c>
      <c r="CE227" s="155">
        <f ca="1">IF(BD227,_xll.xCrudeAPO(BS227,BT227,BY227,BZ227,S228,S229,BI227,BL227,BN227,BO227,0,Strike1,AO227,CC227,0,BL227,IF(OptControl=4,0,1),1,1)+_xll.xCrudeAPO(BS227,BT227,BY227,BZ227,S228,S229,BI227,BL227,BN227,BO227,0,Strike1,AO227,CC227,0,BL227,IF(OptControl=4,0,1),1,2)+IF(OR(VolSkewFlag=2,ABS(BQ227)&lt;0.0001),0,IF(BQ227&gt;0,-1,1)*CF227*Strike1/BP227^2*BW227/10%),0)</f>
        <v>0</v>
      </c>
      <c r="CF227" s="155">
        <f ca="1">IF(BD227,(_xll.xCrudeAPO(BS227,BT227,BY227,BZ227,S228,S229,BI227,BL227,BN227,BO227,0,Strike1,AO227,CC227,0,BL227,IF(OptControl=4,0,1),3,1)+_xll.xCrudeAPO(BS227,BT227,BY227,BZ227,S228,S229,BI227,BL227,BN227,BO227,0,Strike1,AO227,CC227,0,BL227,IF(OptControl=4,0,1),3,2))/100,0)</f>
        <v>0</v>
      </c>
      <c r="CG227" s="155">
        <f ca="1">IF(BD227,_xll.xCrudeAPO(BS227,BT227,BY227,BZ227,S228,S229,BI227-DaysForThetaCalculation/365.25,BL227-DaysForThetaCalculation/365.25,BN227,BO227,0,Strike1,AO227,CC227,0,BL227,IF(OptControl=4,0,1),0,1)-_xll.xCrudeAPO(BS227,BT227,BY227,BZ227,S228,S229,BI227,BL227,BN227,BO227,0,Strike1,AO227,CC227,0,BL227,IF(OptControl=4,0,1),0,1),0)</f>
        <v>0</v>
      </c>
      <c r="CH227" s="303">
        <f ca="1">IF(BD227,_xll.xCrudeAPO(BS227,BT227,CA227,CB227,S228,S229,BI227,BL227,BN227,BO227,0,Strike2,AO227,CC227,0,BL227,IF(OptControl=3,1,0),0,1),0)</f>
        <v>0</v>
      </c>
      <c r="CI227" s="155">
        <f ca="1">IF(BD227,_xll.xCrudeAPO(BS227,BT227,CA227,CB227,S228,S229,BI227,BL227,BN227,BO227,0,Strike2,AO227,CC227,0,BL227,IF(OptControl=3,1,0),1,1)+_xll.xCrudeAPO(BS227,BT227,CA227,CB227,S228,S229,BI227,BL227,BN227,BO227,0,Strike2,AO227,CC227,0,BL227,IF(OptControl=3,1,0),1,2)+IF(OR(VolSkewFlag=2,ABS(BR227)&lt;0.0001),0,IF(BR227&gt;0,-1,1)*CJ227*Strike2/BP227^2*BX227/10%),0)</f>
        <v>0</v>
      </c>
      <c r="CJ227" s="155">
        <f ca="1">IF(BD227,(_xll.xCrudeAPO(BS227,BT227,CA227,CB227,S228,S229,BI227,BL227,BN227,BO227,0,Strike2,AO227,CC227,0,BL227,IF(OptControl=3,1,0),3,1)+_xll.xCrudeAPO(BS227,BT227,CA227,CB227,S228,S229,BI227,BL227,BN227,BO227,0,Strike2,AO227,CC227,0,BL227,IF(OptControl=3,1,0),3,2))/100,0)</f>
        <v>0</v>
      </c>
      <c r="CK227" s="156">
        <f ca="1">IF(BD227,_xll.xCrudeAPO(BS227,BT227,CA227,CB227,S228,S229,BI227-DaysForThetaCalculation/365.25,BL227-DaysForThetaCalculation/365.25,BN227,BO227,0,Strike2,AO227,CC227,0,BL227,IF(OptControl=3,1,0),0,1)-_xll.xCrudeAPO(BS227,BT227,CA227,CB227,S228,S229,BI227,BL227,BN227,BO227,0,Strike2,AO227,CC227,0,BL227,IF(OptControl=3,1,0),0,1),0)</f>
        <v>0</v>
      </c>
      <c r="CL227" s="51"/>
      <c r="CM227" s="779" t="str">
        <f t="shared" ca="1" si="650"/>
        <v/>
      </c>
      <c r="CN227" s="783" t="str">
        <f t="shared" ca="1" si="651"/>
        <v/>
      </c>
      <c r="CO227" s="780" t="str">
        <f t="shared" ca="1" si="652"/>
        <v/>
      </c>
      <c r="CP227" s="780" t="str">
        <f t="shared" ca="1" si="653"/>
        <v/>
      </c>
      <c r="CQ227" s="780" t="str">
        <f t="shared" ca="1" si="654"/>
        <v/>
      </c>
      <c r="CR227" s="780" t="str">
        <f t="shared" ca="1" si="655"/>
        <v/>
      </c>
      <c r="CS227" s="781" t="str">
        <f t="shared" ca="1" si="656"/>
        <v/>
      </c>
      <c r="CT227" s="782" t="str">
        <f t="shared" ca="1" si="657"/>
        <v/>
      </c>
      <c r="CU227" s="782" t="str">
        <f t="shared" ca="1" si="658"/>
        <v/>
      </c>
      <c r="CV227" s="155">
        <f ca="1">IF(BD227,_xll.EURO(CN227,Strike1,AO227,AO227,CT227,CM227,IF(OptControl=4,0,1),0),0)</f>
        <v>0</v>
      </c>
      <c r="CW227" s="155">
        <f ca="1">IF(BD227,_xll.EURO(CN227,Strike1,AO227,AO227,CT227,CM227,IF(OptControl=4,0,1),1)+IF(OR(VolSkewFlag=2,ABS(CO227)&lt;0.0001),0,IF(CO227&gt;0,-1,1)*CX227*100*Strike1/CN227^2*CQ227/10%),0)</f>
        <v>0</v>
      </c>
      <c r="CX227" s="155">
        <f ca="1">IF(BD227,_xll.EURO(CN227,Strike1,AO227,AO227,CT227,CM227,IF(OptControl=4,0,1),3)/100,0)</f>
        <v>0</v>
      </c>
      <c r="CY227" s="155">
        <f ca="1">IF(BD227,_xll.EURO(CN227,Strike1,AO227,AO227,CT227,CM227,IF(OptControl=4,0,1),0)-_xll.EURO(CN227,Strike1,AO227,AO227,CT227,CM227-1,IF(OptControl=4,0,1),0),0)</f>
        <v>0</v>
      </c>
      <c r="CZ227" s="155">
        <f ca="1">IF(BD227,_xll.EURO(CN227,Strike2,AO227,AO227,CU227,CM227,IF(OptControl=3,1,0),0),0)</f>
        <v>0</v>
      </c>
      <c r="DA227" s="155">
        <f ca="1">IF(BD227,_xll.EURO(CN227,Strike2,AO227,AO227,CU227,CM227,IF(OptControl=3,1,0),1)+IF(OR(VolSkewFlag=2,ABS(CP227)&lt;0.0001),0,IF(CP227&gt;0,-1,1)*DB227*100*Strike2/CN227^2*CR227/10%),0)</f>
        <v>0</v>
      </c>
      <c r="DB227" s="155">
        <f ca="1">IF(BD227,_xll.EURO(CN227,Strike2,AO227,AO227,CU227,CM227,IF(OptControl=3,1,0),3)/100,0)</f>
        <v>0</v>
      </c>
      <c r="DC227" s="156">
        <f ca="1">IF(BD227,_xll.EURO(CN227,Strike2,AO227,AO227,CU227,CM227,IF(OptControl=3,1,0),0)-_xll.EURO(CN227,Strike2,AO227,AO227,CU227,CM227-1,IF(OptControl=3,1,0),0),0)</f>
        <v>0</v>
      </c>
      <c r="DE227" s="651">
        <f t="shared" ca="1" si="659"/>
        <v>43221</v>
      </c>
      <c r="DF227" s="465">
        <v>1E-4</v>
      </c>
      <c r="DG227" s="649">
        <v>1E-4</v>
      </c>
      <c r="DH227" s="650">
        <f t="shared" ca="1" si="612"/>
        <v>43221</v>
      </c>
      <c r="DI227" s="465">
        <v>1E-4</v>
      </c>
      <c r="DJ227" s="649">
        <v>1E-4</v>
      </c>
      <c r="DK227" s="651">
        <f t="shared" ca="1" si="613"/>
        <v>43221</v>
      </c>
      <c r="DL227" s="652">
        <f t="shared" si="614"/>
        <v>5.0100000000000006E-2</v>
      </c>
      <c r="DM227" s="651">
        <f t="shared" ca="1" si="615"/>
        <v>43221</v>
      </c>
      <c r="DN227" s="563">
        <f t="shared" si="616"/>
        <v>-0.12990000000000002</v>
      </c>
      <c r="DO227" s="803">
        <v>-0.13</v>
      </c>
      <c r="DP227" s="650">
        <f t="shared" ca="1" si="617"/>
        <v>43221</v>
      </c>
      <c r="DQ227" s="653">
        <v>1E-4</v>
      </c>
      <c r="DR227" s="590">
        <v>1E-4</v>
      </c>
      <c r="DS227" s="650">
        <f t="shared" ca="1" si="618"/>
        <v>43221</v>
      </c>
      <c r="DT227" s="653">
        <v>1E-4</v>
      </c>
      <c r="DU227" s="590">
        <v>1E-4</v>
      </c>
      <c r="DV227" s="651">
        <f t="shared" ca="1" si="619"/>
        <v>43221</v>
      </c>
      <c r="DW227" s="590">
        <v>1E-4</v>
      </c>
      <c r="DX227" s="651">
        <f t="shared" ca="1" si="620"/>
        <v>43221</v>
      </c>
      <c r="DY227" s="590">
        <f t="shared" si="621"/>
        <v>1E-4</v>
      </c>
      <c r="DZ227" s="1"/>
      <c r="EA227" s="857"/>
      <c r="EB227" s="857"/>
      <c r="EC227" s="857"/>
      <c r="ED227" s="868" t="e">
        <f t="shared" ca="1" si="670"/>
        <v>#NAME?</v>
      </c>
      <c r="EE227" s="863" t="e">
        <f t="shared" ca="1" si="641"/>
        <v>#NAME?</v>
      </c>
      <c r="EF227" s="590" t="e">
        <f t="shared" ca="1" si="642"/>
        <v>#NAME?</v>
      </c>
      <c r="EG227" s="862" t="str">
        <f t="shared" ca="1" si="622"/>
        <v/>
      </c>
      <c r="EH227" s="114" t="str">
        <f t="shared" ca="1" si="643"/>
        <v/>
      </c>
      <c r="EI227" s="109" t="str">
        <f t="shared" ca="1" si="644"/>
        <v/>
      </c>
      <c r="EJ227" s="115">
        <f ca="1">IF(BD227,_xll.xASN(BP227,Strike1,AO227,EH227,0,BM227,0,BI227,BL227,IF(OptControl=4,0,1),0),0)</f>
        <v>0</v>
      </c>
      <c r="EK227" s="108">
        <f ca="1">IF(BD227,_xll.xASN(BP227,Strike2,AO227,EI227,0,BM227,0,BI227,BL227,IF(OptControl=3,1,0),0),0)</f>
        <v>0</v>
      </c>
      <c r="EP227" s="53"/>
      <c r="EQ227" s="1"/>
      <c r="ER227" s="103"/>
      <c r="ES227" s="103"/>
      <c r="ET227" s="1"/>
      <c r="EU227" s="667" t="s">
        <v>440</v>
      </c>
      <c r="EW227" s="53"/>
      <c r="EY227" s="104"/>
      <c r="FN227" s="657">
        <v>58</v>
      </c>
      <c r="FO227" s="469" t="str">
        <f ca="1">IF(OR(FO$169&lt;SwaptionFirstMonthPosition+1,$FN227&lt;SwaptionFirstMonthPosition+1,FO$169&gt;SwaptionFirstMonthPosition+SwaptionNumOfMonths+1,$FN227&gt;SwaptionFirstMonthPosition+SwaptionNumOfMonths+1),"",IF($FN227=FO$169,1,IF($FN227&lt;FO$169,INDEX($FO$170:$IH$241,FO$169,$FN227),SUMPRODUCT(INDEX($FO$325:$IH$396,FO$169,1+SwaptionShift):INDEX($FO$325:$IH$396,FO$169,SwaptionMonthsToGo+SwaptionShift),INDEX($FO$245:$IH$316,$FN227-FO$169,73-FO$169+SwaptionShift):INDEX($FO$245:$IH$316,$FN227-FO$169,72-FO$169+SwaptionMonthsToGo+SwaptionShift))/SQRT(SUM(INDEX($FO382:$IH382,1+SwaptionShift):INDEX($FO382:$IH382,SwaptionMonthsToGo+SwaptionShift))*SUM(INDEX($FO$325:$IH$396,FO$169,1+SwaptionShift):INDEX($FO$325:$IH$396,FO$169,SwaptionMonthsToGo+SwaptionShift))))))</f>
        <v/>
      </c>
      <c r="FP227" s="469" t="str">
        <f ca="1">IF(OR(FP$169&lt;SwaptionFirstMonthPosition+1,$FN227&lt;SwaptionFirstMonthPosition+1,FP$169&gt;SwaptionFirstMonthPosition+SwaptionNumOfMonths+1,$FN227&gt;SwaptionFirstMonthPosition+SwaptionNumOfMonths+1),"",IF($FN227=FP$169,1,IF($FN227&lt;FP$169,INDEX($FO$170:$IH$241,FP$169,$FN227),SUMPRODUCT(INDEX($FO$325:$IH$396,FP$169,1+SwaptionShift):INDEX($FO$325:$IH$396,FP$169,SwaptionMonthsToGo+SwaptionShift),INDEX($FO$245:$IH$316,$FN227-FP$169,73-FP$169+SwaptionShift):INDEX($FO$245:$IH$316,$FN227-FP$169,72-FP$169+SwaptionMonthsToGo+SwaptionShift))/SQRT(SUM(INDEX($FO382:$IH382,1+SwaptionShift):INDEX($FO382:$IH382,SwaptionMonthsToGo+SwaptionShift))*SUM(INDEX($FO$325:$IH$396,FP$169,1+SwaptionShift):INDEX($FO$325:$IH$396,FP$169,SwaptionMonthsToGo+SwaptionShift))))))</f>
        <v/>
      </c>
      <c r="FQ227" s="469" t="str">
        <f ca="1">IF(OR(FQ$169&lt;SwaptionFirstMonthPosition+1,$FN227&lt;SwaptionFirstMonthPosition+1,FQ$169&gt;SwaptionFirstMonthPosition+SwaptionNumOfMonths+1,$FN227&gt;SwaptionFirstMonthPosition+SwaptionNumOfMonths+1),"",IF($FN227=FQ$169,1,IF($FN227&lt;FQ$169,INDEX($FO$170:$IH$241,FQ$169,$FN227),SUMPRODUCT(INDEX($FO$325:$IH$396,FQ$169,1+SwaptionShift):INDEX($FO$325:$IH$396,FQ$169,SwaptionMonthsToGo+SwaptionShift),INDEX($FO$245:$IH$316,$FN227-FQ$169,73-FQ$169+SwaptionShift):INDEX($FO$245:$IH$316,$FN227-FQ$169,72-FQ$169+SwaptionMonthsToGo+SwaptionShift))/SQRT(SUM(INDEX($FO382:$IH382,1+SwaptionShift):INDEX($FO382:$IH382,SwaptionMonthsToGo+SwaptionShift))*SUM(INDEX($FO$325:$IH$396,FQ$169,1+SwaptionShift):INDEX($FO$325:$IH$396,FQ$169,SwaptionMonthsToGo+SwaptionShift))))))</f>
        <v/>
      </c>
      <c r="FR227" s="469" t="str">
        <f ca="1">IF(OR(FR$169&lt;SwaptionFirstMonthPosition+1,$FN227&lt;SwaptionFirstMonthPosition+1,FR$169&gt;SwaptionFirstMonthPosition+SwaptionNumOfMonths+1,$FN227&gt;SwaptionFirstMonthPosition+SwaptionNumOfMonths+1),"",IF($FN227=FR$169,1,IF($FN227&lt;FR$169,INDEX($FO$170:$IH$241,FR$169,$FN227),SUMPRODUCT(INDEX($FO$325:$IH$396,FR$169,1+SwaptionShift):INDEX($FO$325:$IH$396,FR$169,SwaptionMonthsToGo+SwaptionShift),INDEX($FO$245:$IH$316,$FN227-FR$169,73-FR$169+SwaptionShift):INDEX($FO$245:$IH$316,$FN227-FR$169,72-FR$169+SwaptionMonthsToGo+SwaptionShift))/SQRT(SUM(INDEX($FO382:$IH382,1+SwaptionShift):INDEX($FO382:$IH382,SwaptionMonthsToGo+SwaptionShift))*SUM(INDEX($FO$325:$IH$396,FR$169,1+SwaptionShift):INDEX($FO$325:$IH$396,FR$169,SwaptionMonthsToGo+SwaptionShift))))))</f>
        <v/>
      </c>
      <c r="FS227" s="469" t="str">
        <f ca="1">IF(OR(FS$169&lt;SwaptionFirstMonthPosition+1,$FN227&lt;SwaptionFirstMonthPosition+1,FS$169&gt;SwaptionFirstMonthPosition+SwaptionNumOfMonths+1,$FN227&gt;SwaptionFirstMonthPosition+SwaptionNumOfMonths+1),"",IF($FN227=FS$169,1,IF($FN227&lt;FS$169,INDEX($FO$170:$IH$241,FS$169,$FN227),SUMPRODUCT(INDEX($FO$325:$IH$396,FS$169,1+SwaptionShift):INDEX($FO$325:$IH$396,FS$169,SwaptionMonthsToGo+SwaptionShift),INDEX($FO$245:$IH$316,$FN227-FS$169,73-FS$169+SwaptionShift):INDEX($FO$245:$IH$316,$FN227-FS$169,72-FS$169+SwaptionMonthsToGo+SwaptionShift))/SQRT(SUM(INDEX($FO382:$IH382,1+SwaptionShift):INDEX($FO382:$IH382,SwaptionMonthsToGo+SwaptionShift))*SUM(INDEX($FO$325:$IH$396,FS$169,1+SwaptionShift):INDEX($FO$325:$IH$396,FS$169,SwaptionMonthsToGo+SwaptionShift))))))</f>
        <v/>
      </c>
      <c r="FT227" s="469" t="str">
        <f ca="1">IF(OR(FT$169&lt;SwaptionFirstMonthPosition+1,$FN227&lt;SwaptionFirstMonthPosition+1,FT$169&gt;SwaptionFirstMonthPosition+SwaptionNumOfMonths+1,$FN227&gt;SwaptionFirstMonthPosition+SwaptionNumOfMonths+1),"",IF($FN227=FT$169,1,IF($FN227&lt;FT$169,INDEX($FO$170:$IH$241,FT$169,$FN227),SUMPRODUCT(INDEX($FO$325:$IH$396,FT$169,1+SwaptionShift):INDEX($FO$325:$IH$396,FT$169,SwaptionMonthsToGo+SwaptionShift),INDEX($FO$245:$IH$316,$FN227-FT$169,73-FT$169+SwaptionShift):INDEX($FO$245:$IH$316,$FN227-FT$169,72-FT$169+SwaptionMonthsToGo+SwaptionShift))/SQRT(SUM(INDEX($FO382:$IH382,1+SwaptionShift):INDEX($FO382:$IH382,SwaptionMonthsToGo+SwaptionShift))*SUM(INDEX($FO$325:$IH$396,FT$169,1+SwaptionShift):INDEX($FO$325:$IH$396,FT$169,SwaptionMonthsToGo+SwaptionShift))))))</f>
        <v/>
      </c>
      <c r="FU227" s="469" t="str">
        <f ca="1">IF(OR(FU$169&lt;SwaptionFirstMonthPosition+1,$FN227&lt;SwaptionFirstMonthPosition+1,FU$169&gt;SwaptionFirstMonthPosition+SwaptionNumOfMonths+1,$FN227&gt;SwaptionFirstMonthPosition+SwaptionNumOfMonths+1),"",IF($FN227=FU$169,1,IF($FN227&lt;FU$169,INDEX($FO$170:$IH$241,FU$169,$FN227),SUMPRODUCT(INDEX($FO$325:$IH$396,FU$169,1+SwaptionShift):INDEX($FO$325:$IH$396,FU$169,SwaptionMonthsToGo+SwaptionShift),INDEX($FO$245:$IH$316,$FN227-FU$169,73-FU$169+SwaptionShift):INDEX($FO$245:$IH$316,$FN227-FU$169,72-FU$169+SwaptionMonthsToGo+SwaptionShift))/SQRT(SUM(INDEX($FO382:$IH382,1+SwaptionShift):INDEX($FO382:$IH382,SwaptionMonthsToGo+SwaptionShift))*SUM(INDEX($FO$325:$IH$396,FU$169,1+SwaptionShift):INDEX($FO$325:$IH$396,FU$169,SwaptionMonthsToGo+SwaptionShift))))))</f>
        <v/>
      </c>
      <c r="FV227" s="469" t="str">
        <f ca="1">IF(OR(FV$169&lt;SwaptionFirstMonthPosition+1,$FN227&lt;SwaptionFirstMonthPosition+1,FV$169&gt;SwaptionFirstMonthPosition+SwaptionNumOfMonths+1,$FN227&gt;SwaptionFirstMonthPosition+SwaptionNumOfMonths+1),"",IF($FN227=FV$169,1,IF($FN227&lt;FV$169,INDEX($FO$170:$IH$241,FV$169,$FN227),SUMPRODUCT(INDEX($FO$325:$IH$396,FV$169,1+SwaptionShift):INDEX($FO$325:$IH$396,FV$169,SwaptionMonthsToGo+SwaptionShift),INDEX($FO$245:$IH$316,$FN227-FV$169,73-FV$169+SwaptionShift):INDEX($FO$245:$IH$316,$FN227-FV$169,72-FV$169+SwaptionMonthsToGo+SwaptionShift))/SQRT(SUM(INDEX($FO382:$IH382,1+SwaptionShift):INDEX($FO382:$IH382,SwaptionMonthsToGo+SwaptionShift))*SUM(INDEX($FO$325:$IH$396,FV$169,1+SwaptionShift):INDEX($FO$325:$IH$396,FV$169,SwaptionMonthsToGo+SwaptionShift))))))</f>
        <v/>
      </c>
      <c r="FW227" s="469" t="str">
        <f ca="1">IF(OR(FW$169&lt;SwaptionFirstMonthPosition+1,$FN227&lt;SwaptionFirstMonthPosition+1,FW$169&gt;SwaptionFirstMonthPosition+SwaptionNumOfMonths+1,$FN227&gt;SwaptionFirstMonthPosition+SwaptionNumOfMonths+1),"",IF($FN227=FW$169,1,IF($FN227&lt;FW$169,INDEX($FO$170:$IH$241,FW$169,$FN227),SUMPRODUCT(INDEX($FO$325:$IH$396,FW$169,1+SwaptionShift):INDEX($FO$325:$IH$396,FW$169,SwaptionMonthsToGo+SwaptionShift),INDEX($FO$245:$IH$316,$FN227-FW$169,73-FW$169+SwaptionShift):INDEX($FO$245:$IH$316,$FN227-FW$169,72-FW$169+SwaptionMonthsToGo+SwaptionShift))/SQRT(SUM(INDEX($FO382:$IH382,1+SwaptionShift):INDEX($FO382:$IH382,SwaptionMonthsToGo+SwaptionShift))*SUM(INDEX($FO$325:$IH$396,FW$169,1+SwaptionShift):INDEX($FO$325:$IH$396,FW$169,SwaptionMonthsToGo+SwaptionShift))))))</f>
        <v/>
      </c>
      <c r="FX227" s="469" t="str">
        <f ca="1">IF(OR(FX$169&lt;SwaptionFirstMonthPosition+1,$FN227&lt;SwaptionFirstMonthPosition+1,FX$169&gt;SwaptionFirstMonthPosition+SwaptionNumOfMonths+1,$FN227&gt;SwaptionFirstMonthPosition+SwaptionNumOfMonths+1),"",IF($FN227=FX$169,1,IF($FN227&lt;FX$169,INDEX($FO$170:$IH$241,FX$169,$FN227),SUMPRODUCT(INDEX($FO$325:$IH$396,FX$169,1+SwaptionShift):INDEX($FO$325:$IH$396,FX$169,SwaptionMonthsToGo+SwaptionShift),INDEX($FO$245:$IH$316,$FN227-FX$169,73-FX$169+SwaptionShift):INDEX($FO$245:$IH$316,$FN227-FX$169,72-FX$169+SwaptionMonthsToGo+SwaptionShift))/SQRT(SUM(INDEX($FO382:$IH382,1+SwaptionShift):INDEX($FO382:$IH382,SwaptionMonthsToGo+SwaptionShift))*SUM(INDEX($FO$325:$IH$396,FX$169,1+SwaptionShift):INDEX($FO$325:$IH$396,FX$169,SwaptionMonthsToGo+SwaptionShift))))))</f>
        <v/>
      </c>
      <c r="FY227" s="469" t="str">
        <f ca="1">IF(OR(FY$169&lt;SwaptionFirstMonthPosition+1,$FN227&lt;SwaptionFirstMonthPosition+1,FY$169&gt;SwaptionFirstMonthPosition+SwaptionNumOfMonths+1,$FN227&gt;SwaptionFirstMonthPosition+SwaptionNumOfMonths+1),"",IF($FN227=FY$169,1,IF($FN227&lt;FY$169,INDEX($FO$170:$IH$241,FY$169,$FN227),SUMPRODUCT(INDEX($FO$325:$IH$396,FY$169,1+SwaptionShift):INDEX($FO$325:$IH$396,FY$169,SwaptionMonthsToGo+SwaptionShift),INDEX($FO$245:$IH$316,$FN227-FY$169,73-FY$169+SwaptionShift):INDEX($FO$245:$IH$316,$FN227-FY$169,72-FY$169+SwaptionMonthsToGo+SwaptionShift))/SQRT(SUM(INDEX($FO382:$IH382,1+SwaptionShift):INDEX($FO382:$IH382,SwaptionMonthsToGo+SwaptionShift))*SUM(INDEX($FO$325:$IH$396,FY$169,1+SwaptionShift):INDEX($FO$325:$IH$396,FY$169,SwaptionMonthsToGo+SwaptionShift))))))</f>
        <v/>
      </c>
      <c r="FZ227" s="469" t="str">
        <f ca="1">IF(OR(FZ$169&lt;SwaptionFirstMonthPosition+1,$FN227&lt;SwaptionFirstMonthPosition+1,FZ$169&gt;SwaptionFirstMonthPosition+SwaptionNumOfMonths+1,$FN227&gt;SwaptionFirstMonthPosition+SwaptionNumOfMonths+1),"",IF($FN227=FZ$169,1,IF($FN227&lt;FZ$169,INDEX($FO$170:$IH$241,FZ$169,$FN227),SUMPRODUCT(INDEX($FO$325:$IH$396,FZ$169,1+SwaptionShift):INDEX($FO$325:$IH$396,FZ$169,SwaptionMonthsToGo+SwaptionShift),INDEX($FO$245:$IH$316,$FN227-FZ$169,73-FZ$169+SwaptionShift):INDEX($FO$245:$IH$316,$FN227-FZ$169,72-FZ$169+SwaptionMonthsToGo+SwaptionShift))/SQRT(SUM(INDEX($FO382:$IH382,1+SwaptionShift):INDEX($FO382:$IH382,SwaptionMonthsToGo+SwaptionShift))*SUM(INDEX($FO$325:$IH$396,FZ$169,1+SwaptionShift):INDEX($FO$325:$IH$396,FZ$169,SwaptionMonthsToGo+SwaptionShift))))))</f>
        <v/>
      </c>
      <c r="GA227" s="469" t="str">
        <f ca="1">IF(OR(GA$169&lt;SwaptionFirstMonthPosition+1,$FN227&lt;SwaptionFirstMonthPosition+1,GA$169&gt;SwaptionFirstMonthPosition+SwaptionNumOfMonths+1,$FN227&gt;SwaptionFirstMonthPosition+SwaptionNumOfMonths+1),"",IF($FN227=GA$169,1,IF($FN227&lt;GA$169,INDEX($FO$170:$IH$241,GA$169,$FN227),SUMPRODUCT(INDEX($FO$325:$IH$396,GA$169,1+SwaptionShift):INDEX($FO$325:$IH$396,GA$169,SwaptionMonthsToGo+SwaptionShift),INDEX($FO$245:$IH$316,$FN227-GA$169,73-GA$169+SwaptionShift):INDEX($FO$245:$IH$316,$FN227-GA$169,72-GA$169+SwaptionMonthsToGo+SwaptionShift))/SQRT(SUM(INDEX($FO382:$IH382,1+SwaptionShift):INDEX($FO382:$IH382,SwaptionMonthsToGo+SwaptionShift))*SUM(INDEX($FO$325:$IH$396,GA$169,1+SwaptionShift):INDEX($FO$325:$IH$396,GA$169,SwaptionMonthsToGo+SwaptionShift))))))</f>
        <v/>
      </c>
      <c r="GB227" s="469" t="str">
        <f ca="1">IF(OR(GB$169&lt;SwaptionFirstMonthPosition+1,$FN227&lt;SwaptionFirstMonthPosition+1,GB$169&gt;SwaptionFirstMonthPosition+SwaptionNumOfMonths+1,$FN227&gt;SwaptionFirstMonthPosition+SwaptionNumOfMonths+1),"",IF($FN227=GB$169,1,IF($FN227&lt;GB$169,INDEX($FO$170:$IH$241,GB$169,$FN227),SUMPRODUCT(INDEX($FO$325:$IH$396,GB$169,1+SwaptionShift):INDEX($FO$325:$IH$396,GB$169,SwaptionMonthsToGo+SwaptionShift),INDEX($FO$245:$IH$316,$FN227-GB$169,73-GB$169+SwaptionShift):INDEX($FO$245:$IH$316,$FN227-GB$169,72-GB$169+SwaptionMonthsToGo+SwaptionShift))/SQRT(SUM(INDEX($FO382:$IH382,1+SwaptionShift):INDEX($FO382:$IH382,SwaptionMonthsToGo+SwaptionShift))*SUM(INDEX($FO$325:$IH$396,GB$169,1+SwaptionShift):INDEX($FO$325:$IH$396,GB$169,SwaptionMonthsToGo+SwaptionShift))))))</f>
        <v/>
      </c>
      <c r="GC227" s="469" t="str">
        <f ca="1">IF(OR(GC$169&lt;SwaptionFirstMonthPosition+1,$FN227&lt;SwaptionFirstMonthPosition+1,GC$169&gt;SwaptionFirstMonthPosition+SwaptionNumOfMonths+1,$FN227&gt;SwaptionFirstMonthPosition+SwaptionNumOfMonths+1),"",IF($FN227=GC$169,1,IF($FN227&lt;GC$169,INDEX($FO$170:$IH$241,GC$169,$FN227),SUMPRODUCT(INDEX($FO$325:$IH$396,GC$169,1+SwaptionShift):INDEX($FO$325:$IH$396,GC$169,SwaptionMonthsToGo+SwaptionShift),INDEX($FO$245:$IH$316,$FN227-GC$169,73-GC$169+SwaptionShift):INDEX($FO$245:$IH$316,$FN227-GC$169,72-GC$169+SwaptionMonthsToGo+SwaptionShift))/SQRT(SUM(INDEX($FO382:$IH382,1+SwaptionShift):INDEX($FO382:$IH382,SwaptionMonthsToGo+SwaptionShift))*SUM(INDEX($FO$325:$IH$396,GC$169,1+SwaptionShift):INDEX($FO$325:$IH$396,GC$169,SwaptionMonthsToGo+SwaptionShift))))))</f>
        <v/>
      </c>
      <c r="GD227" s="469" t="str">
        <f ca="1">IF(OR(GD$169&lt;SwaptionFirstMonthPosition+1,$FN227&lt;SwaptionFirstMonthPosition+1,GD$169&gt;SwaptionFirstMonthPosition+SwaptionNumOfMonths+1,$FN227&gt;SwaptionFirstMonthPosition+SwaptionNumOfMonths+1),"",IF($FN227=GD$169,1,IF($FN227&lt;GD$169,INDEX($FO$170:$IH$241,GD$169,$FN227),SUMPRODUCT(INDEX($FO$325:$IH$396,GD$169,1+SwaptionShift):INDEX($FO$325:$IH$396,GD$169,SwaptionMonthsToGo+SwaptionShift),INDEX($FO$245:$IH$316,$FN227-GD$169,73-GD$169+SwaptionShift):INDEX($FO$245:$IH$316,$FN227-GD$169,72-GD$169+SwaptionMonthsToGo+SwaptionShift))/SQRT(SUM(INDEX($FO382:$IH382,1+SwaptionShift):INDEX($FO382:$IH382,SwaptionMonthsToGo+SwaptionShift))*SUM(INDEX($FO$325:$IH$396,GD$169,1+SwaptionShift):INDEX($FO$325:$IH$396,GD$169,SwaptionMonthsToGo+SwaptionShift))))))</f>
        <v/>
      </c>
      <c r="GE227" s="469" t="str">
        <f ca="1">IF(OR(GE$169&lt;SwaptionFirstMonthPosition+1,$FN227&lt;SwaptionFirstMonthPosition+1,GE$169&gt;SwaptionFirstMonthPosition+SwaptionNumOfMonths+1,$FN227&gt;SwaptionFirstMonthPosition+SwaptionNumOfMonths+1),"",IF($FN227=GE$169,1,IF($FN227&lt;GE$169,INDEX($FO$170:$IH$241,GE$169,$FN227),SUMPRODUCT(INDEX($FO$325:$IH$396,GE$169,1+SwaptionShift):INDEX($FO$325:$IH$396,GE$169,SwaptionMonthsToGo+SwaptionShift),INDEX($FO$245:$IH$316,$FN227-GE$169,73-GE$169+SwaptionShift):INDEX($FO$245:$IH$316,$FN227-GE$169,72-GE$169+SwaptionMonthsToGo+SwaptionShift))/SQRT(SUM(INDEX($FO382:$IH382,1+SwaptionShift):INDEX($FO382:$IH382,SwaptionMonthsToGo+SwaptionShift))*SUM(INDEX($FO$325:$IH$396,GE$169,1+SwaptionShift):INDEX($FO$325:$IH$396,GE$169,SwaptionMonthsToGo+SwaptionShift))))))</f>
        <v/>
      </c>
      <c r="GF227" s="469" t="str">
        <f ca="1">IF(OR(GF$169&lt;SwaptionFirstMonthPosition+1,$FN227&lt;SwaptionFirstMonthPosition+1,GF$169&gt;SwaptionFirstMonthPosition+SwaptionNumOfMonths+1,$FN227&gt;SwaptionFirstMonthPosition+SwaptionNumOfMonths+1),"",IF($FN227=GF$169,1,IF($FN227&lt;GF$169,INDEX($FO$170:$IH$241,GF$169,$FN227),SUMPRODUCT(INDEX($FO$325:$IH$396,GF$169,1+SwaptionShift):INDEX($FO$325:$IH$396,GF$169,SwaptionMonthsToGo+SwaptionShift),INDEX($FO$245:$IH$316,$FN227-GF$169,73-GF$169+SwaptionShift):INDEX($FO$245:$IH$316,$FN227-GF$169,72-GF$169+SwaptionMonthsToGo+SwaptionShift))/SQRT(SUM(INDEX($FO382:$IH382,1+SwaptionShift):INDEX($FO382:$IH382,SwaptionMonthsToGo+SwaptionShift))*SUM(INDEX($FO$325:$IH$396,GF$169,1+SwaptionShift):INDEX($FO$325:$IH$396,GF$169,SwaptionMonthsToGo+SwaptionShift))))))</f>
        <v/>
      </c>
      <c r="GG227" s="469" t="str">
        <f ca="1">IF(OR(GG$169&lt;SwaptionFirstMonthPosition+1,$FN227&lt;SwaptionFirstMonthPosition+1,GG$169&gt;SwaptionFirstMonthPosition+SwaptionNumOfMonths+1,$FN227&gt;SwaptionFirstMonthPosition+SwaptionNumOfMonths+1),"",IF($FN227=GG$169,1,IF($FN227&lt;GG$169,INDEX($FO$170:$IH$241,GG$169,$FN227),SUMPRODUCT(INDEX($FO$325:$IH$396,GG$169,1+SwaptionShift):INDEX($FO$325:$IH$396,GG$169,SwaptionMonthsToGo+SwaptionShift),INDEX($FO$245:$IH$316,$FN227-GG$169,73-GG$169+SwaptionShift):INDEX($FO$245:$IH$316,$FN227-GG$169,72-GG$169+SwaptionMonthsToGo+SwaptionShift))/SQRT(SUM(INDEX($FO382:$IH382,1+SwaptionShift):INDEX($FO382:$IH382,SwaptionMonthsToGo+SwaptionShift))*SUM(INDEX($FO$325:$IH$396,GG$169,1+SwaptionShift):INDEX($FO$325:$IH$396,GG$169,SwaptionMonthsToGo+SwaptionShift))))))</f>
        <v/>
      </c>
      <c r="GH227" s="469" t="str">
        <f ca="1">IF(OR(GH$169&lt;SwaptionFirstMonthPosition+1,$FN227&lt;SwaptionFirstMonthPosition+1,GH$169&gt;SwaptionFirstMonthPosition+SwaptionNumOfMonths+1,$FN227&gt;SwaptionFirstMonthPosition+SwaptionNumOfMonths+1),"",IF($FN227=GH$169,1,IF($FN227&lt;GH$169,INDEX($FO$170:$IH$241,GH$169,$FN227),SUMPRODUCT(INDEX($FO$325:$IH$396,GH$169,1+SwaptionShift):INDEX($FO$325:$IH$396,GH$169,SwaptionMonthsToGo+SwaptionShift),INDEX($FO$245:$IH$316,$FN227-GH$169,73-GH$169+SwaptionShift):INDEX($FO$245:$IH$316,$FN227-GH$169,72-GH$169+SwaptionMonthsToGo+SwaptionShift))/SQRT(SUM(INDEX($FO382:$IH382,1+SwaptionShift):INDEX($FO382:$IH382,SwaptionMonthsToGo+SwaptionShift))*SUM(INDEX($FO$325:$IH$396,GH$169,1+SwaptionShift):INDEX($FO$325:$IH$396,GH$169,SwaptionMonthsToGo+SwaptionShift))))))</f>
        <v/>
      </c>
      <c r="GI227" s="469" t="str">
        <f ca="1">IF(OR(GI$169&lt;SwaptionFirstMonthPosition+1,$FN227&lt;SwaptionFirstMonthPosition+1,GI$169&gt;SwaptionFirstMonthPosition+SwaptionNumOfMonths+1,$FN227&gt;SwaptionFirstMonthPosition+SwaptionNumOfMonths+1),"",IF($FN227=GI$169,1,IF($FN227&lt;GI$169,INDEX($FO$170:$IH$241,GI$169,$FN227),SUMPRODUCT(INDEX($FO$325:$IH$396,GI$169,1+SwaptionShift):INDEX($FO$325:$IH$396,GI$169,SwaptionMonthsToGo+SwaptionShift),INDEX($FO$245:$IH$316,$FN227-GI$169,73-GI$169+SwaptionShift):INDEX($FO$245:$IH$316,$FN227-GI$169,72-GI$169+SwaptionMonthsToGo+SwaptionShift))/SQRT(SUM(INDEX($FO382:$IH382,1+SwaptionShift):INDEX($FO382:$IH382,SwaptionMonthsToGo+SwaptionShift))*SUM(INDEX($FO$325:$IH$396,GI$169,1+SwaptionShift):INDEX($FO$325:$IH$396,GI$169,SwaptionMonthsToGo+SwaptionShift))))))</f>
        <v/>
      </c>
      <c r="GJ227" s="469" t="str">
        <f ca="1">IF(OR(GJ$169&lt;SwaptionFirstMonthPosition+1,$FN227&lt;SwaptionFirstMonthPosition+1,GJ$169&gt;SwaptionFirstMonthPosition+SwaptionNumOfMonths+1,$FN227&gt;SwaptionFirstMonthPosition+SwaptionNumOfMonths+1),"",IF($FN227=GJ$169,1,IF($FN227&lt;GJ$169,INDEX($FO$170:$IH$241,GJ$169,$FN227),SUMPRODUCT(INDEX($FO$325:$IH$396,GJ$169,1+SwaptionShift):INDEX($FO$325:$IH$396,GJ$169,SwaptionMonthsToGo+SwaptionShift),INDEX($FO$245:$IH$316,$FN227-GJ$169,73-GJ$169+SwaptionShift):INDEX($FO$245:$IH$316,$FN227-GJ$169,72-GJ$169+SwaptionMonthsToGo+SwaptionShift))/SQRT(SUM(INDEX($FO382:$IH382,1+SwaptionShift):INDEX($FO382:$IH382,SwaptionMonthsToGo+SwaptionShift))*SUM(INDEX($FO$325:$IH$396,GJ$169,1+SwaptionShift):INDEX($FO$325:$IH$396,GJ$169,SwaptionMonthsToGo+SwaptionShift))))))</f>
        <v/>
      </c>
      <c r="GK227" s="469" t="str">
        <f ca="1">IF(OR(GK$169&lt;SwaptionFirstMonthPosition+1,$FN227&lt;SwaptionFirstMonthPosition+1,GK$169&gt;SwaptionFirstMonthPosition+SwaptionNumOfMonths+1,$FN227&gt;SwaptionFirstMonthPosition+SwaptionNumOfMonths+1),"",IF($FN227=GK$169,1,IF($FN227&lt;GK$169,INDEX($FO$170:$IH$241,GK$169,$FN227),SUMPRODUCT(INDEX($FO$325:$IH$396,GK$169,1+SwaptionShift):INDEX($FO$325:$IH$396,GK$169,SwaptionMonthsToGo+SwaptionShift),INDEX($FO$245:$IH$316,$FN227-GK$169,73-GK$169+SwaptionShift):INDEX($FO$245:$IH$316,$FN227-GK$169,72-GK$169+SwaptionMonthsToGo+SwaptionShift))/SQRT(SUM(INDEX($FO382:$IH382,1+SwaptionShift):INDEX($FO382:$IH382,SwaptionMonthsToGo+SwaptionShift))*SUM(INDEX($FO$325:$IH$396,GK$169,1+SwaptionShift):INDEX($FO$325:$IH$396,GK$169,SwaptionMonthsToGo+SwaptionShift))))))</f>
        <v/>
      </c>
      <c r="GL227" s="469" t="str">
        <f ca="1">IF(OR(GL$169&lt;SwaptionFirstMonthPosition+1,$FN227&lt;SwaptionFirstMonthPosition+1,GL$169&gt;SwaptionFirstMonthPosition+SwaptionNumOfMonths+1,$FN227&gt;SwaptionFirstMonthPosition+SwaptionNumOfMonths+1),"",IF($FN227=GL$169,1,IF($FN227&lt;GL$169,INDEX($FO$170:$IH$241,GL$169,$FN227),SUMPRODUCT(INDEX($FO$325:$IH$396,GL$169,1+SwaptionShift):INDEX($FO$325:$IH$396,GL$169,SwaptionMonthsToGo+SwaptionShift),INDEX($FO$245:$IH$316,$FN227-GL$169,73-GL$169+SwaptionShift):INDEX($FO$245:$IH$316,$FN227-GL$169,72-GL$169+SwaptionMonthsToGo+SwaptionShift))/SQRT(SUM(INDEX($FO382:$IH382,1+SwaptionShift):INDEX($FO382:$IH382,SwaptionMonthsToGo+SwaptionShift))*SUM(INDEX($FO$325:$IH$396,GL$169,1+SwaptionShift):INDEX($FO$325:$IH$396,GL$169,SwaptionMonthsToGo+SwaptionShift))))))</f>
        <v/>
      </c>
      <c r="GM227" s="469" t="str">
        <f ca="1">IF(OR(GM$169&lt;SwaptionFirstMonthPosition+1,$FN227&lt;SwaptionFirstMonthPosition+1,GM$169&gt;SwaptionFirstMonthPosition+SwaptionNumOfMonths+1,$FN227&gt;SwaptionFirstMonthPosition+SwaptionNumOfMonths+1),"",IF($FN227=GM$169,1,IF($FN227&lt;GM$169,INDEX($FO$170:$IH$241,GM$169,$FN227),SUMPRODUCT(INDEX($FO$325:$IH$396,GM$169,1+SwaptionShift):INDEX($FO$325:$IH$396,GM$169,SwaptionMonthsToGo+SwaptionShift),INDEX($FO$245:$IH$316,$FN227-GM$169,73-GM$169+SwaptionShift):INDEX($FO$245:$IH$316,$FN227-GM$169,72-GM$169+SwaptionMonthsToGo+SwaptionShift))/SQRT(SUM(INDEX($FO382:$IH382,1+SwaptionShift):INDEX($FO382:$IH382,SwaptionMonthsToGo+SwaptionShift))*SUM(INDEX($FO$325:$IH$396,GM$169,1+SwaptionShift):INDEX($FO$325:$IH$396,GM$169,SwaptionMonthsToGo+SwaptionShift))))))</f>
        <v/>
      </c>
      <c r="GN227" s="469" t="str">
        <f ca="1">IF(OR(GN$169&lt;SwaptionFirstMonthPosition+1,$FN227&lt;SwaptionFirstMonthPosition+1,GN$169&gt;SwaptionFirstMonthPosition+SwaptionNumOfMonths+1,$FN227&gt;SwaptionFirstMonthPosition+SwaptionNumOfMonths+1),"",IF($FN227=GN$169,1,IF($FN227&lt;GN$169,INDEX($FO$170:$IH$241,GN$169,$FN227),SUMPRODUCT(INDEX($FO$325:$IH$396,GN$169,1+SwaptionShift):INDEX($FO$325:$IH$396,GN$169,SwaptionMonthsToGo+SwaptionShift),INDEX($FO$245:$IH$316,$FN227-GN$169,73-GN$169+SwaptionShift):INDEX($FO$245:$IH$316,$FN227-GN$169,72-GN$169+SwaptionMonthsToGo+SwaptionShift))/SQRT(SUM(INDEX($FO382:$IH382,1+SwaptionShift):INDEX($FO382:$IH382,SwaptionMonthsToGo+SwaptionShift))*SUM(INDEX($FO$325:$IH$396,GN$169,1+SwaptionShift):INDEX($FO$325:$IH$396,GN$169,SwaptionMonthsToGo+SwaptionShift))))))</f>
        <v/>
      </c>
      <c r="GO227" s="469" t="str">
        <f ca="1">IF(OR(GO$169&lt;SwaptionFirstMonthPosition+1,$FN227&lt;SwaptionFirstMonthPosition+1,GO$169&gt;SwaptionFirstMonthPosition+SwaptionNumOfMonths+1,$FN227&gt;SwaptionFirstMonthPosition+SwaptionNumOfMonths+1),"",IF($FN227=GO$169,1,IF($FN227&lt;GO$169,INDEX($FO$170:$IH$241,GO$169,$FN227),SUMPRODUCT(INDEX($FO$325:$IH$396,GO$169,1+SwaptionShift):INDEX($FO$325:$IH$396,GO$169,SwaptionMonthsToGo+SwaptionShift),INDEX($FO$245:$IH$316,$FN227-GO$169,73-GO$169+SwaptionShift):INDEX($FO$245:$IH$316,$FN227-GO$169,72-GO$169+SwaptionMonthsToGo+SwaptionShift))/SQRT(SUM(INDEX($FO382:$IH382,1+SwaptionShift):INDEX($FO382:$IH382,SwaptionMonthsToGo+SwaptionShift))*SUM(INDEX($FO$325:$IH$396,GO$169,1+SwaptionShift):INDEX($FO$325:$IH$396,GO$169,SwaptionMonthsToGo+SwaptionShift))))))</f>
        <v/>
      </c>
      <c r="GP227" s="469" t="str">
        <f ca="1">IF(OR(GP$169&lt;SwaptionFirstMonthPosition+1,$FN227&lt;SwaptionFirstMonthPosition+1,GP$169&gt;SwaptionFirstMonthPosition+SwaptionNumOfMonths+1,$FN227&gt;SwaptionFirstMonthPosition+SwaptionNumOfMonths+1),"",IF($FN227=GP$169,1,IF($FN227&lt;GP$169,INDEX($FO$170:$IH$241,GP$169,$FN227),SUMPRODUCT(INDEX($FO$325:$IH$396,GP$169,1+SwaptionShift):INDEX($FO$325:$IH$396,GP$169,SwaptionMonthsToGo+SwaptionShift),INDEX($FO$245:$IH$316,$FN227-GP$169,73-GP$169+SwaptionShift):INDEX($FO$245:$IH$316,$FN227-GP$169,72-GP$169+SwaptionMonthsToGo+SwaptionShift))/SQRT(SUM(INDEX($FO382:$IH382,1+SwaptionShift):INDEX($FO382:$IH382,SwaptionMonthsToGo+SwaptionShift))*SUM(INDEX($FO$325:$IH$396,GP$169,1+SwaptionShift):INDEX($FO$325:$IH$396,GP$169,SwaptionMonthsToGo+SwaptionShift))))))</f>
        <v/>
      </c>
      <c r="GQ227" s="469" t="str">
        <f ca="1">IF(OR(GQ$169&lt;SwaptionFirstMonthPosition+1,$FN227&lt;SwaptionFirstMonthPosition+1,GQ$169&gt;SwaptionFirstMonthPosition+SwaptionNumOfMonths+1,$FN227&gt;SwaptionFirstMonthPosition+SwaptionNumOfMonths+1),"",IF($FN227=GQ$169,1,IF($FN227&lt;GQ$169,INDEX($FO$170:$IH$241,GQ$169,$FN227),SUMPRODUCT(INDEX($FO$325:$IH$396,GQ$169,1+SwaptionShift):INDEX($FO$325:$IH$396,GQ$169,SwaptionMonthsToGo+SwaptionShift),INDEX($FO$245:$IH$316,$FN227-GQ$169,73-GQ$169+SwaptionShift):INDEX($FO$245:$IH$316,$FN227-GQ$169,72-GQ$169+SwaptionMonthsToGo+SwaptionShift))/SQRT(SUM(INDEX($FO382:$IH382,1+SwaptionShift):INDEX($FO382:$IH382,SwaptionMonthsToGo+SwaptionShift))*SUM(INDEX($FO$325:$IH$396,GQ$169,1+SwaptionShift):INDEX($FO$325:$IH$396,GQ$169,SwaptionMonthsToGo+SwaptionShift))))))</f>
        <v/>
      </c>
      <c r="GR227" s="469" t="str">
        <f ca="1">IF(OR(GR$169&lt;SwaptionFirstMonthPosition+1,$FN227&lt;SwaptionFirstMonthPosition+1,GR$169&gt;SwaptionFirstMonthPosition+SwaptionNumOfMonths+1,$FN227&gt;SwaptionFirstMonthPosition+SwaptionNumOfMonths+1),"",IF($FN227=GR$169,1,IF($FN227&lt;GR$169,INDEX($FO$170:$IH$241,GR$169,$FN227),SUMPRODUCT(INDEX($FO$325:$IH$396,GR$169,1+SwaptionShift):INDEX($FO$325:$IH$396,GR$169,SwaptionMonthsToGo+SwaptionShift),INDEX($FO$245:$IH$316,$FN227-GR$169,73-GR$169+SwaptionShift):INDEX($FO$245:$IH$316,$FN227-GR$169,72-GR$169+SwaptionMonthsToGo+SwaptionShift))/SQRT(SUM(INDEX($FO382:$IH382,1+SwaptionShift):INDEX($FO382:$IH382,SwaptionMonthsToGo+SwaptionShift))*SUM(INDEX($FO$325:$IH$396,GR$169,1+SwaptionShift):INDEX($FO$325:$IH$396,GR$169,SwaptionMonthsToGo+SwaptionShift))))))</f>
        <v/>
      </c>
      <c r="GS227" s="469" t="str">
        <f ca="1">IF(OR(GS$169&lt;SwaptionFirstMonthPosition+1,$FN227&lt;SwaptionFirstMonthPosition+1,GS$169&gt;SwaptionFirstMonthPosition+SwaptionNumOfMonths+1,$FN227&gt;SwaptionFirstMonthPosition+SwaptionNumOfMonths+1),"",IF($FN227=GS$169,1,IF($FN227&lt;GS$169,INDEX($FO$170:$IH$241,GS$169,$FN227),SUMPRODUCT(INDEX($FO$325:$IH$396,GS$169,1+SwaptionShift):INDEX($FO$325:$IH$396,GS$169,SwaptionMonthsToGo+SwaptionShift),INDEX($FO$245:$IH$316,$FN227-GS$169,73-GS$169+SwaptionShift):INDEX($FO$245:$IH$316,$FN227-GS$169,72-GS$169+SwaptionMonthsToGo+SwaptionShift))/SQRT(SUM(INDEX($FO382:$IH382,1+SwaptionShift):INDEX($FO382:$IH382,SwaptionMonthsToGo+SwaptionShift))*SUM(INDEX($FO$325:$IH$396,GS$169,1+SwaptionShift):INDEX($FO$325:$IH$396,GS$169,SwaptionMonthsToGo+SwaptionShift))))))</f>
        <v/>
      </c>
      <c r="GT227" s="469" t="str">
        <f ca="1">IF(OR(GT$169&lt;SwaptionFirstMonthPosition+1,$FN227&lt;SwaptionFirstMonthPosition+1,GT$169&gt;SwaptionFirstMonthPosition+SwaptionNumOfMonths+1,$FN227&gt;SwaptionFirstMonthPosition+SwaptionNumOfMonths+1),"",IF($FN227=GT$169,1,IF($FN227&lt;GT$169,INDEX($FO$170:$IH$241,GT$169,$FN227),SUMPRODUCT(INDEX($FO$325:$IH$396,GT$169,1+SwaptionShift):INDEX($FO$325:$IH$396,GT$169,SwaptionMonthsToGo+SwaptionShift),INDEX($FO$245:$IH$316,$FN227-GT$169,73-GT$169+SwaptionShift):INDEX($FO$245:$IH$316,$FN227-GT$169,72-GT$169+SwaptionMonthsToGo+SwaptionShift))/SQRT(SUM(INDEX($FO382:$IH382,1+SwaptionShift):INDEX($FO382:$IH382,SwaptionMonthsToGo+SwaptionShift))*SUM(INDEX($FO$325:$IH$396,GT$169,1+SwaptionShift):INDEX($FO$325:$IH$396,GT$169,SwaptionMonthsToGo+SwaptionShift))))))</f>
        <v/>
      </c>
      <c r="GU227" s="469" t="str">
        <f ca="1">IF(OR(GU$169&lt;SwaptionFirstMonthPosition+1,$FN227&lt;SwaptionFirstMonthPosition+1,GU$169&gt;SwaptionFirstMonthPosition+SwaptionNumOfMonths+1,$FN227&gt;SwaptionFirstMonthPosition+SwaptionNumOfMonths+1),"",IF($FN227=GU$169,1,IF($FN227&lt;GU$169,INDEX($FO$170:$IH$241,GU$169,$FN227),SUMPRODUCT(INDEX($FO$325:$IH$396,GU$169,1+SwaptionShift):INDEX($FO$325:$IH$396,GU$169,SwaptionMonthsToGo+SwaptionShift),INDEX($FO$245:$IH$316,$FN227-GU$169,73-GU$169+SwaptionShift):INDEX($FO$245:$IH$316,$FN227-GU$169,72-GU$169+SwaptionMonthsToGo+SwaptionShift))/SQRT(SUM(INDEX($FO382:$IH382,1+SwaptionShift):INDEX($FO382:$IH382,SwaptionMonthsToGo+SwaptionShift))*SUM(INDEX($FO$325:$IH$396,GU$169,1+SwaptionShift):INDEX($FO$325:$IH$396,GU$169,SwaptionMonthsToGo+SwaptionShift))))))</f>
        <v/>
      </c>
      <c r="GV227" s="469" t="str">
        <f ca="1">IF(OR(GV$169&lt;SwaptionFirstMonthPosition+1,$FN227&lt;SwaptionFirstMonthPosition+1,GV$169&gt;SwaptionFirstMonthPosition+SwaptionNumOfMonths+1,$FN227&gt;SwaptionFirstMonthPosition+SwaptionNumOfMonths+1),"",IF($FN227=GV$169,1,IF($FN227&lt;GV$169,INDEX($FO$170:$IH$241,GV$169,$FN227),SUMPRODUCT(INDEX($FO$325:$IH$396,GV$169,1+SwaptionShift):INDEX($FO$325:$IH$396,GV$169,SwaptionMonthsToGo+SwaptionShift),INDEX($FO$245:$IH$316,$FN227-GV$169,73-GV$169+SwaptionShift):INDEX($FO$245:$IH$316,$FN227-GV$169,72-GV$169+SwaptionMonthsToGo+SwaptionShift))/SQRT(SUM(INDEX($FO382:$IH382,1+SwaptionShift):INDEX($FO382:$IH382,SwaptionMonthsToGo+SwaptionShift))*SUM(INDEX($FO$325:$IH$396,GV$169,1+SwaptionShift):INDEX($FO$325:$IH$396,GV$169,SwaptionMonthsToGo+SwaptionShift))))))</f>
        <v/>
      </c>
      <c r="GW227" s="469" t="str">
        <f ca="1">IF(OR(GW$169&lt;SwaptionFirstMonthPosition+1,$FN227&lt;SwaptionFirstMonthPosition+1,GW$169&gt;SwaptionFirstMonthPosition+SwaptionNumOfMonths+1,$FN227&gt;SwaptionFirstMonthPosition+SwaptionNumOfMonths+1),"",IF($FN227=GW$169,1,IF($FN227&lt;GW$169,INDEX($FO$170:$IH$241,GW$169,$FN227),SUMPRODUCT(INDEX($FO$325:$IH$396,GW$169,1+SwaptionShift):INDEX($FO$325:$IH$396,GW$169,SwaptionMonthsToGo+SwaptionShift),INDEX($FO$245:$IH$316,$FN227-GW$169,73-GW$169+SwaptionShift):INDEX($FO$245:$IH$316,$FN227-GW$169,72-GW$169+SwaptionMonthsToGo+SwaptionShift))/SQRT(SUM(INDEX($FO382:$IH382,1+SwaptionShift):INDEX($FO382:$IH382,SwaptionMonthsToGo+SwaptionShift))*SUM(INDEX($FO$325:$IH$396,GW$169,1+SwaptionShift):INDEX($FO$325:$IH$396,GW$169,SwaptionMonthsToGo+SwaptionShift))))))</f>
        <v/>
      </c>
      <c r="GX227" s="469" t="str">
        <f ca="1">IF(OR(GX$169&lt;SwaptionFirstMonthPosition+1,$FN227&lt;SwaptionFirstMonthPosition+1,GX$169&gt;SwaptionFirstMonthPosition+SwaptionNumOfMonths+1,$FN227&gt;SwaptionFirstMonthPosition+SwaptionNumOfMonths+1),"",IF($FN227=GX$169,1,IF($FN227&lt;GX$169,INDEX($FO$170:$IH$241,GX$169,$FN227),SUMPRODUCT(INDEX($FO$325:$IH$396,GX$169,1+SwaptionShift):INDEX($FO$325:$IH$396,GX$169,SwaptionMonthsToGo+SwaptionShift),INDEX($FO$245:$IH$316,$FN227-GX$169,73-GX$169+SwaptionShift):INDEX($FO$245:$IH$316,$FN227-GX$169,72-GX$169+SwaptionMonthsToGo+SwaptionShift))/SQRT(SUM(INDEX($FO382:$IH382,1+SwaptionShift):INDEX($FO382:$IH382,SwaptionMonthsToGo+SwaptionShift))*SUM(INDEX($FO$325:$IH$396,GX$169,1+SwaptionShift):INDEX($FO$325:$IH$396,GX$169,SwaptionMonthsToGo+SwaptionShift))))))</f>
        <v/>
      </c>
      <c r="GY227" s="469" t="str">
        <f ca="1">IF(OR(GY$169&lt;SwaptionFirstMonthPosition+1,$FN227&lt;SwaptionFirstMonthPosition+1,GY$169&gt;SwaptionFirstMonthPosition+SwaptionNumOfMonths+1,$FN227&gt;SwaptionFirstMonthPosition+SwaptionNumOfMonths+1),"",IF($FN227=GY$169,1,IF($FN227&lt;GY$169,INDEX($FO$170:$IH$241,GY$169,$FN227),SUMPRODUCT(INDEX($FO$325:$IH$396,GY$169,1+SwaptionShift):INDEX($FO$325:$IH$396,GY$169,SwaptionMonthsToGo+SwaptionShift),INDEX($FO$245:$IH$316,$FN227-GY$169,73-GY$169+SwaptionShift):INDEX($FO$245:$IH$316,$FN227-GY$169,72-GY$169+SwaptionMonthsToGo+SwaptionShift))/SQRT(SUM(INDEX($FO382:$IH382,1+SwaptionShift):INDEX($FO382:$IH382,SwaptionMonthsToGo+SwaptionShift))*SUM(INDEX($FO$325:$IH$396,GY$169,1+SwaptionShift):INDEX($FO$325:$IH$396,GY$169,SwaptionMonthsToGo+SwaptionShift))))))</f>
        <v/>
      </c>
      <c r="GZ227" s="469" t="str">
        <f ca="1">IF(OR(GZ$169&lt;SwaptionFirstMonthPosition+1,$FN227&lt;SwaptionFirstMonthPosition+1,GZ$169&gt;SwaptionFirstMonthPosition+SwaptionNumOfMonths+1,$FN227&gt;SwaptionFirstMonthPosition+SwaptionNumOfMonths+1),"",IF($FN227=GZ$169,1,IF($FN227&lt;GZ$169,INDEX($FO$170:$IH$241,GZ$169,$FN227),SUMPRODUCT(INDEX($FO$325:$IH$396,GZ$169,1+SwaptionShift):INDEX($FO$325:$IH$396,GZ$169,SwaptionMonthsToGo+SwaptionShift),INDEX($FO$245:$IH$316,$FN227-GZ$169,73-GZ$169+SwaptionShift):INDEX($FO$245:$IH$316,$FN227-GZ$169,72-GZ$169+SwaptionMonthsToGo+SwaptionShift))/SQRT(SUM(INDEX($FO382:$IH382,1+SwaptionShift):INDEX($FO382:$IH382,SwaptionMonthsToGo+SwaptionShift))*SUM(INDEX($FO$325:$IH$396,GZ$169,1+SwaptionShift):INDEX($FO$325:$IH$396,GZ$169,SwaptionMonthsToGo+SwaptionShift))))))</f>
        <v/>
      </c>
      <c r="HA227" s="469" t="str">
        <f ca="1">IF(OR(HA$169&lt;SwaptionFirstMonthPosition+1,$FN227&lt;SwaptionFirstMonthPosition+1,HA$169&gt;SwaptionFirstMonthPosition+SwaptionNumOfMonths+1,$FN227&gt;SwaptionFirstMonthPosition+SwaptionNumOfMonths+1),"",IF($FN227=HA$169,1,IF($FN227&lt;HA$169,INDEX($FO$170:$IH$241,HA$169,$FN227),SUMPRODUCT(INDEX($FO$325:$IH$396,HA$169,1+SwaptionShift):INDEX($FO$325:$IH$396,HA$169,SwaptionMonthsToGo+SwaptionShift),INDEX($FO$245:$IH$316,$FN227-HA$169,73-HA$169+SwaptionShift):INDEX($FO$245:$IH$316,$FN227-HA$169,72-HA$169+SwaptionMonthsToGo+SwaptionShift))/SQRT(SUM(INDEX($FO382:$IH382,1+SwaptionShift):INDEX($FO382:$IH382,SwaptionMonthsToGo+SwaptionShift))*SUM(INDEX($FO$325:$IH$396,HA$169,1+SwaptionShift):INDEX($FO$325:$IH$396,HA$169,SwaptionMonthsToGo+SwaptionShift))))))</f>
        <v/>
      </c>
      <c r="HB227" s="469" t="str">
        <f ca="1">IF(OR(HB$169&lt;SwaptionFirstMonthPosition+1,$FN227&lt;SwaptionFirstMonthPosition+1,HB$169&gt;SwaptionFirstMonthPosition+SwaptionNumOfMonths+1,$FN227&gt;SwaptionFirstMonthPosition+SwaptionNumOfMonths+1),"",IF($FN227=HB$169,1,IF($FN227&lt;HB$169,INDEX($FO$170:$IH$241,HB$169,$FN227),SUMPRODUCT(INDEX($FO$325:$IH$396,HB$169,1+SwaptionShift):INDEX($FO$325:$IH$396,HB$169,SwaptionMonthsToGo+SwaptionShift),INDEX($FO$245:$IH$316,$FN227-HB$169,73-HB$169+SwaptionShift):INDEX($FO$245:$IH$316,$FN227-HB$169,72-HB$169+SwaptionMonthsToGo+SwaptionShift))/SQRT(SUM(INDEX($FO382:$IH382,1+SwaptionShift):INDEX($FO382:$IH382,SwaptionMonthsToGo+SwaptionShift))*SUM(INDEX($FO$325:$IH$396,HB$169,1+SwaptionShift):INDEX($FO$325:$IH$396,HB$169,SwaptionMonthsToGo+SwaptionShift))))))</f>
        <v/>
      </c>
      <c r="HC227" s="469" t="str">
        <f ca="1">IF(OR(HC$169&lt;SwaptionFirstMonthPosition+1,$FN227&lt;SwaptionFirstMonthPosition+1,HC$169&gt;SwaptionFirstMonthPosition+SwaptionNumOfMonths+1,$FN227&gt;SwaptionFirstMonthPosition+SwaptionNumOfMonths+1),"",IF($FN227=HC$169,1,IF($FN227&lt;HC$169,INDEX($FO$170:$IH$241,HC$169,$FN227),SUMPRODUCT(INDEX($FO$325:$IH$396,HC$169,1+SwaptionShift):INDEX($FO$325:$IH$396,HC$169,SwaptionMonthsToGo+SwaptionShift),INDEX($FO$245:$IH$316,$FN227-HC$169,73-HC$169+SwaptionShift):INDEX($FO$245:$IH$316,$FN227-HC$169,72-HC$169+SwaptionMonthsToGo+SwaptionShift))/SQRT(SUM(INDEX($FO382:$IH382,1+SwaptionShift):INDEX($FO382:$IH382,SwaptionMonthsToGo+SwaptionShift))*SUM(INDEX($FO$325:$IH$396,HC$169,1+SwaptionShift):INDEX($FO$325:$IH$396,HC$169,SwaptionMonthsToGo+SwaptionShift))))))</f>
        <v/>
      </c>
      <c r="HD227" s="469" t="str">
        <f ca="1">IF(OR(HD$169&lt;SwaptionFirstMonthPosition+1,$FN227&lt;SwaptionFirstMonthPosition+1,HD$169&gt;SwaptionFirstMonthPosition+SwaptionNumOfMonths+1,$FN227&gt;SwaptionFirstMonthPosition+SwaptionNumOfMonths+1),"",IF($FN227=HD$169,1,IF($FN227&lt;HD$169,INDEX($FO$170:$IH$241,HD$169,$FN227),SUMPRODUCT(INDEX($FO$325:$IH$396,HD$169,1+SwaptionShift):INDEX($FO$325:$IH$396,HD$169,SwaptionMonthsToGo+SwaptionShift),INDEX($FO$245:$IH$316,$FN227-HD$169,73-HD$169+SwaptionShift):INDEX($FO$245:$IH$316,$FN227-HD$169,72-HD$169+SwaptionMonthsToGo+SwaptionShift))/SQRT(SUM(INDEX($FO382:$IH382,1+SwaptionShift):INDEX($FO382:$IH382,SwaptionMonthsToGo+SwaptionShift))*SUM(INDEX($FO$325:$IH$396,HD$169,1+SwaptionShift):INDEX($FO$325:$IH$396,HD$169,SwaptionMonthsToGo+SwaptionShift))))))</f>
        <v/>
      </c>
      <c r="HE227" s="469" t="str">
        <f ca="1">IF(OR(HE$169&lt;SwaptionFirstMonthPosition+1,$FN227&lt;SwaptionFirstMonthPosition+1,HE$169&gt;SwaptionFirstMonthPosition+SwaptionNumOfMonths+1,$FN227&gt;SwaptionFirstMonthPosition+SwaptionNumOfMonths+1),"",IF($FN227=HE$169,1,IF($FN227&lt;HE$169,INDEX($FO$170:$IH$241,HE$169,$FN227),SUMPRODUCT(INDEX($FO$325:$IH$396,HE$169,1+SwaptionShift):INDEX($FO$325:$IH$396,HE$169,SwaptionMonthsToGo+SwaptionShift),INDEX($FO$245:$IH$316,$FN227-HE$169,73-HE$169+SwaptionShift):INDEX($FO$245:$IH$316,$FN227-HE$169,72-HE$169+SwaptionMonthsToGo+SwaptionShift))/SQRT(SUM(INDEX($FO382:$IH382,1+SwaptionShift):INDEX($FO382:$IH382,SwaptionMonthsToGo+SwaptionShift))*SUM(INDEX($FO$325:$IH$396,HE$169,1+SwaptionShift):INDEX($FO$325:$IH$396,HE$169,SwaptionMonthsToGo+SwaptionShift))))))</f>
        <v/>
      </c>
      <c r="HF227" s="469" t="str">
        <f ca="1">IF(OR(HF$169&lt;SwaptionFirstMonthPosition+1,$FN227&lt;SwaptionFirstMonthPosition+1,HF$169&gt;SwaptionFirstMonthPosition+SwaptionNumOfMonths+1,$FN227&gt;SwaptionFirstMonthPosition+SwaptionNumOfMonths+1),"",IF($FN227=HF$169,1,IF($FN227&lt;HF$169,INDEX($FO$170:$IH$241,HF$169,$FN227),SUMPRODUCT(INDEX($FO$325:$IH$396,HF$169,1+SwaptionShift):INDEX($FO$325:$IH$396,HF$169,SwaptionMonthsToGo+SwaptionShift),INDEX($FO$245:$IH$316,$FN227-HF$169,73-HF$169+SwaptionShift):INDEX($FO$245:$IH$316,$FN227-HF$169,72-HF$169+SwaptionMonthsToGo+SwaptionShift))/SQRT(SUM(INDEX($FO382:$IH382,1+SwaptionShift):INDEX($FO382:$IH382,SwaptionMonthsToGo+SwaptionShift))*SUM(INDEX($FO$325:$IH$396,HF$169,1+SwaptionShift):INDEX($FO$325:$IH$396,HF$169,SwaptionMonthsToGo+SwaptionShift))))))</f>
        <v/>
      </c>
      <c r="HG227" s="469" t="str">
        <f ca="1">IF(OR(HG$169&lt;SwaptionFirstMonthPosition+1,$FN227&lt;SwaptionFirstMonthPosition+1,HG$169&gt;SwaptionFirstMonthPosition+SwaptionNumOfMonths+1,$FN227&gt;SwaptionFirstMonthPosition+SwaptionNumOfMonths+1),"",IF($FN227=HG$169,1,IF($FN227&lt;HG$169,INDEX($FO$170:$IH$241,HG$169,$FN227),SUMPRODUCT(INDEX($FO$325:$IH$396,HG$169,1+SwaptionShift):INDEX($FO$325:$IH$396,HG$169,SwaptionMonthsToGo+SwaptionShift),INDEX($FO$245:$IH$316,$FN227-HG$169,73-HG$169+SwaptionShift):INDEX($FO$245:$IH$316,$FN227-HG$169,72-HG$169+SwaptionMonthsToGo+SwaptionShift))/SQRT(SUM(INDEX($FO382:$IH382,1+SwaptionShift):INDEX($FO382:$IH382,SwaptionMonthsToGo+SwaptionShift))*SUM(INDEX($FO$325:$IH$396,HG$169,1+SwaptionShift):INDEX($FO$325:$IH$396,HG$169,SwaptionMonthsToGo+SwaptionShift))))))</f>
        <v/>
      </c>
      <c r="HH227" s="469" t="str">
        <f ca="1">IF(OR(HH$169&lt;SwaptionFirstMonthPosition+1,$FN227&lt;SwaptionFirstMonthPosition+1,HH$169&gt;SwaptionFirstMonthPosition+SwaptionNumOfMonths+1,$FN227&gt;SwaptionFirstMonthPosition+SwaptionNumOfMonths+1),"",IF($FN227=HH$169,1,IF($FN227&lt;HH$169,INDEX($FO$170:$IH$241,HH$169,$FN227),SUMPRODUCT(INDEX($FO$325:$IH$396,HH$169,1+SwaptionShift):INDEX($FO$325:$IH$396,HH$169,SwaptionMonthsToGo+SwaptionShift),INDEX($FO$245:$IH$316,$FN227-HH$169,73-HH$169+SwaptionShift):INDEX($FO$245:$IH$316,$FN227-HH$169,72-HH$169+SwaptionMonthsToGo+SwaptionShift))/SQRT(SUM(INDEX($FO382:$IH382,1+SwaptionShift):INDEX($FO382:$IH382,SwaptionMonthsToGo+SwaptionShift))*SUM(INDEX($FO$325:$IH$396,HH$169,1+SwaptionShift):INDEX($FO$325:$IH$396,HH$169,SwaptionMonthsToGo+SwaptionShift))))))</f>
        <v/>
      </c>
      <c r="HI227" s="469" t="str">
        <f ca="1">IF(OR(HI$169&lt;SwaptionFirstMonthPosition+1,$FN227&lt;SwaptionFirstMonthPosition+1,HI$169&gt;SwaptionFirstMonthPosition+SwaptionNumOfMonths+1,$FN227&gt;SwaptionFirstMonthPosition+SwaptionNumOfMonths+1),"",IF($FN227=HI$169,1,IF($FN227&lt;HI$169,INDEX($FO$170:$IH$241,HI$169,$FN227),SUMPRODUCT(INDEX($FO$325:$IH$396,HI$169,1+SwaptionShift):INDEX($FO$325:$IH$396,HI$169,SwaptionMonthsToGo+SwaptionShift),INDEX($FO$245:$IH$316,$FN227-HI$169,73-HI$169+SwaptionShift):INDEX($FO$245:$IH$316,$FN227-HI$169,72-HI$169+SwaptionMonthsToGo+SwaptionShift))/SQRT(SUM(INDEX($FO382:$IH382,1+SwaptionShift):INDEX($FO382:$IH382,SwaptionMonthsToGo+SwaptionShift))*SUM(INDEX($FO$325:$IH$396,HI$169,1+SwaptionShift):INDEX($FO$325:$IH$396,HI$169,SwaptionMonthsToGo+SwaptionShift))))))</f>
        <v/>
      </c>
      <c r="HJ227" s="469" t="str">
        <f ca="1">IF(OR(HJ$169&lt;SwaptionFirstMonthPosition+1,$FN227&lt;SwaptionFirstMonthPosition+1,HJ$169&gt;SwaptionFirstMonthPosition+SwaptionNumOfMonths+1,$FN227&gt;SwaptionFirstMonthPosition+SwaptionNumOfMonths+1),"",IF($FN227=HJ$169,1,IF($FN227&lt;HJ$169,INDEX($FO$170:$IH$241,HJ$169,$FN227),SUMPRODUCT(INDEX($FO$325:$IH$396,HJ$169,1+SwaptionShift):INDEX($FO$325:$IH$396,HJ$169,SwaptionMonthsToGo+SwaptionShift),INDEX($FO$245:$IH$316,$FN227-HJ$169,73-HJ$169+SwaptionShift):INDEX($FO$245:$IH$316,$FN227-HJ$169,72-HJ$169+SwaptionMonthsToGo+SwaptionShift))/SQRT(SUM(INDEX($FO382:$IH382,1+SwaptionShift):INDEX($FO382:$IH382,SwaptionMonthsToGo+SwaptionShift))*SUM(INDEX($FO$325:$IH$396,HJ$169,1+SwaptionShift):INDEX($FO$325:$IH$396,HJ$169,SwaptionMonthsToGo+SwaptionShift))))))</f>
        <v/>
      </c>
      <c r="HK227" s="469" t="str">
        <f ca="1">IF(OR(HK$169&lt;SwaptionFirstMonthPosition+1,$FN227&lt;SwaptionFirstMonthPosition+1,HK$169&gt;SwaptionFirstMonthPosition+SwaptionNumOfMonths+1,$FN227&gt;SwaptionFirstMonthPosition+SwaptionNumOfMonths+1),"",IF($FN227=HK$169,1,IF($FN227&lt;HK$169,INDEX($FO$170:$IH$241,HK$169,$FN227),SUMPRODUCT(INDEX($FO$325:$IH$396,HK$169,1+SwaptionShift):INDEX($FO$325:$IH$396,HK$169,SwaptionMonthsToGo+SwaptionShift),INDEX($FO$245:$IH$316,$FN227-HK$169,73-HK$169+SwaptionShift):INDEX($FO$245:$IH$316,$FN227-HK$169,72-HK$169+SwaptionMonthsToGo+SwaptionShift))/SQRT(SUM(INDEX($FO382:$IH382,1+SwaptionShift):INDEX($FO382:$IH382,SwaptionMonthsToGo+SwaptionShift))*SUM(INDEX($FO$325:$IH$396,HK$169,1+SwaptionShift):INDEX($FO$325:$IH$396,HK$169,SwaptionMonthsToGo+SwaptionShift))))))</f>
        <v/>
      </c>
      <c r="HL227" s="469" t="str">
        <f ca="1">IF(OR(HL$169&lt;SwaptionFirstMonthPosition+1,$FN227&lt;SwaptionFirstMonthPosition+1,HL$169&gt;SwaptionFirstMonthPosition+SwaptionNumOfMonths+1,$FN227&gt;SwaptionFirstMonthPosition+SwaptionNumOfMonths+1),"",IF($FN227=HL$169,1,IF($FN227&lt;HL$169,INDEX($FO$170:$IH$241,HL$169,$FN227),SUMPRODUCT(INDEX($FO$325:$IH$396,HL$169,1+SwaptionShift):INDEX($FO$325:$IH$396,HL$169,SwaptionMonthsToGo+SwaptionShift),INDEX($FO$245:$IH$316,$FN227-HL$169,73-HL$169+SwaptionShift):INDEX($FO$245:$IH$316,$FN227-HL$169,72-HL$169+SwaptionMonthsToGo+SwaptionShift))/SQRT(SUM(INDEX($FO382:$IH382,1+SwaptionShift):INDEX($FO382:$IH382,SwaptionMonthsToGo+SwaptionShift))*SUM(INDEX($FO$325:$IH$396,HL$169,1+SwaptionShift):INDEX($FO$325:$IH$396,HL$169,SwaptionMonthsToGo+SwaptionShift))))))</f>
        <v/>
      </c>
      <c r="HM227" s="469" t="str">
        <f ca="1">IF(OR(HM$169&lt;SwaptionFirstMonthPosition+1,$FN227&lt;SwaptionFirstMonthPosition+1,HM$169&gt;SwaptionFirstMonthPosition+SwaptionNumOfMonths+1,$FN227&gt;SwaptionFirstMonthPosition+SwaptionNumOfMonths+1),"",IF($FN227=HM$169,1,IF($FN227&lt;HM$169,INDEX($FO$170:$IH$241,HM$169,$FN227),SUMPRODUCT(INDEX($FO$325:$IH$396,HM$169,1+SwaptionShift):INDEX($FO$325:$IH$396,HM$169,SwaptionMonthsToGo+SwaptionShift),INDEX($FO$245:$IH$316,$FN227-HM$169,73-HM$169+SwaptionShift):INDEX($FO$245:$IH$316,$FN227-HM$169,72-HM$169+SwaptionMonthsToGo+SwaptionShift))/SQRT(SUM(INDEX($FO382:$IH382,1+SwaptionShift):INDEX($FO382:$IH382,SwaptionMonthsToGo+SwaptionShift))*SUM(INDEX($FO$325:$IH$396,HM$169,1+SwaptionShift):INDEX($FO$325:$IH$396,HM$169,SwaptionMonthsToGo+SwaptionShift))))))</f>
        <v/>
      </c>
      <c r="HN227" s="469" t="str">
        <f ca="1">IF(OR(HN$169&lt;SwaptionFirstMonthPosition+1,$FN227&lt;SwaptionFirstMonthPosition+1,HN$169&gt;SwaptionFirstMonthPosition+SwaptionNumOfMonths+1,$FN227&gt;SwaptionFirstMonthPosition+SwaptionNumOfMonths+1),"",IF($FN227=HN$169,1,IF($FN227&lt;HN$169,INDEX($FO$170:$IH$241,HN$169,$FN227),SUMPRODUCT(INDEX($FO$325:$IH$396,HN$169,1+SwaptionShift):INDEX($FO$325:$IH$396,HN$169,SwaptionMonthsToGo+SwaptionShift),INDEX($FO$245:$IH$316,$FN227-HN$169,73-HN$169+SwaptionShift):INDEX($FO$245:$IH$316,$FN227-HN$169,72-HN$169+SwaptionMonthsToGo+SwaptionShift))/SQRT(SUM(INDEX($FO382:$IH382,1+SwaptionShift):INDEX($FO382:$IH382,SwaptionMonthsToGo+SwaptionShift))*SUM(INDEX($FO$325:$IH$396,HN$169,1+SwaptionShift):INDEX($FO$325:$IH$396,HN$169,SwaptionMonthsToGo+SwaptionShift))))))</f>
        <v/>
      </c>
      <c r="HO227" s="469" t="str">
        <f ca="1">IF(OR(HO$169&lt;SwaptionFirstMonthPosition+1,$FN227&lt;SwaptionFirstMonthPosition+1,HO$169&gt;SwaptionFirstMonthPosition+SwaptionNumOfMonths+1,$FN227&gt;SwaptionFirstMonthPosition+SwaptionNumOfMonths+1),"",IF($FN227=HO$169,1,IF($FN227&lt;HO$169,INDEX($FO$170:$IH$241,HO$169,$FN227),SUMPRODUCT(INDEX($FO$325:$IH$396,HO$169,1+SwaptionShift):INDEX($FO$325:$IH$396,HO$169,SwaptionMonthsToGo+SwaptionShift),INDEX($FO$245:$IH$316,$FN227-HO$169,73-HO$169+SwaptionShift):INDEX($FO$245:$IH$316,$FN227-HO$169,72-HO$169+SwaptionMonthsToGo+SwaptionShift))/SQRT(SUM(INDEX($FO382:$IH382,1+SwaptionShift):INDEX($FO382:$IH382,SwaptionMonthsToGo+SwaptionShift))*SUM(INDEX($FO$325:$IH$396,HO$169,1+SwaptionShift):INDEX($FO$325:$IH$396,HO$169,SwaptionMonthsToGo+SwaptionShift))))))</f>
        <v/>
      </c>
      <c r="HP227" s="469" t="str">
        <f ca="1">IF(OR(HP$169&lt;SwaptionFirstMonthPosition+1,$FN227&lt;SwaptionFirstMonthPosition+1,HP$169&gt;SwaptionFirstMonthPosition+SwaptionNumOfMonths+1,$FN227&gt;SwaptionFirstMonthPosition+SwaptionNumOfMonths+1),"",IF($FN227=HP$169,1,IF($FN227&lt;HP$169,INDEX($FO$170:$IH$241,HP$169,$FN227),SUMPRODUCT(INDEX($FO$325:$IH$396,HP$169,1+SwaptionShift):INDEX($FO$325:$IH$396,HP$169,SwaptionMonthsToGo+SwaptionShift),INDEX($FO$245:$IH$316,$FN227-HP$169,73-HP$169+SwaptionShift):INDEX($FO$245:$IH$316,$FN227-HP$169,72-HP$169+SwaptionMonthsToGo+SwaptionShift))/SQRT(SUM(INDEX($FO382:$IH382,1+SwaptionShift):INDEX($FO382:$IH382,SwaptionMonthsToGo+SwaptionShift))*SUM(INDEX($FO$325:$IH$396,HP$169,1+SwaptionShift):INDEX($FO$325:$IH$396,HP$169,SwaptionMonthsToGo+SwaptionShift))))))</f>
        <v/>
      </c>
      <c r="HQ227" s="469" t="str">
        <f ca="1">IF(OR(HQ$169&lt;SwaptionFirstMonthPosition+1,$FN227&lt;SwaptionFirstMonthPosition+1,HQ$169&gt;SwaptionFirstMonthPosition+SwaptionNumOfMonths+1,$FN227&gt;SwaptionFirstMonthPosition+SwaptionNumOfMonths+1),"",IF($FN227=HQ$169,1,IF($FN227&lt;HQ$169,INDEX($FO$170:$IH$241,HQ$169,$FN227),SUMPRODUCT(INDEX($FO$325:$IH$396,HQ$169,1+SwaptionShift):INDEX($FO$325:$IH$396,HQ$169,SwaptionMonthsToGo+SwaptionShift),INDEX($FO$245:$IH$316,$FN227-HQ$169,73-HQ$169+SwaptionShift):INDEX($FO$245:$IH$316,$FN227-HQ$169,72-HQ$169+SwaptionMonthsToGo+SwaptionShift))/SQRT(SUM(INDEX($FO382:$IH382,1+SwaptionShift):INDEX($FO382:$IH382,SwaptionMonthsToGo+SwaptionShift))*SUM(INDEX($FO$325:$IH$396,HQ$169,1+SwaptionShift):INDEX($FO$325:$IH$396,HQ$169,SwaptionMonthsToGo+SwaptionShift))))))</f>
        <v/>
      </c>
      <c r="HR227" s="469" t="str">
        <f ca="1">IF(OR(HR$169&lt;SwaptionFirstMonthPosition+1,$FN227&lt;SwaptionFirstMonthPosition+1,HR$169&gt;SwaptionFirstMonthPosition+SwaptionNumOfMonths+1,$FN227&gt;SwaptionFirstMonthPosition+SwaptionNumOfMonths+1),"",IF($FN227=HR$169,1,IF($FN227&lt;HR$169,INDEX($FO$170:$IH$241,HR$169,$FN227),SUMPRODUCT(INDEX($FO$325:$IH$396,HR$169,1+SwaptionShift):INDEX($FO$325:$IH$396,HR$169,SwaptionMonthsToGo+SwaptionShift),INDEX($FO$245:$IH$316,$FN227-HR$169,73-HR$169+SwaptionShift):INDEX($FO$245:$IH$316,$FN227-HR$169,72-HR$169+SwaptionMonthsToGo+SwaptionShift))/SQRT(SUM(INDEX($FO382:$IH382,1+SwaptionShift):INDEX($FO382:$IH382,SwaptionMonthsToGo+SwaptionShift))*SUM(INDEX($FO$325:$IH$396,HR$169,1+SwaptionShift):INDEX($FO$325:$IH$396,HR$169,SwaptionMonthsToGo+SwaptionShift))))))</f>
        <v/>
      </c>
      <c r="HS227" s="469" t="str">
        <f ca="1">IF(OR(HS$169&lt;SwaptionFirstMonthPosition+1,$FN227&lt;SwaptionFirstMonthPosition+1,HS$169&gt;SwaptionFirstMonthPosition+SwaptionNumOfMonths+1,$FN227&gt;SwaptionFirstMonthPosition+SwaptionNumOfMonths+1),"",IF($FN227=HS$169,1,IF($FN227&lt;HS$169,INDEX($FO$170:$IH$241,HS$169,$FN227),SUMPRODUCT(INDEX($FO$325:$IH$396,HS$169,1+SwaptionShift):INDEX($FO$325:$IH$396,HS$169,SwaptionMonthsToGo+SwaptionShift),INDEX($FO$245:$IH$316,$FN227-HS$169,73-HS$169+SwaptionShift):INDEX($FO$245:$IH$316,$FN227-HS$169,72-HS$169+SwaptionMonthsToGo+SwaptionShift))/SQRT(SUM(INDEX($FO382:$IH382,1+SwaptionShift):INDEX($FO382:$IH382,SwaptionMonthsToGo+SwaptionShift))*SUM(INDEX($FO$325:$IH$396,HS$169,1+SwaptionShift):INDEX($FO$325:$IH$396,HS$169,SwaptionMonthsToGo+SwaptionShift))))))</f>
        <v/>
      </c>
      <c r="HT227" s="469" t="str">
        <f ca="1">IF(OR(HT$169&lt;SwaptionFirstMonthPosition+1,$FN227&lt;SwaptionFirstMonthPosition+1,HT$169&gt;SwaptionFirstMonthPosition+SwaptionNumOfMonths+1,$FN227&gt;SwaptionFirstMonthPosition+SwaptionNumOfMonths+1),"",IF($FN227=HT$169,1,IF($FN227&lt;HT$169,INDEX($FO$170:$IH$241,HT$169,$FN227),SUMPRODUCT(INDEX($FO$325:$IH$396,HT$169,1+SwaptionShift):INDEX($FO$325:$IH$396,HT$169,SwaptionMonthsToGo+SwaptionShift),INDEX($FO$245:$IH$316,$FN227-HT$169,73-HT$169+SwaptionShift):INDEX($FO$245:$IH$316,$FN227-HT$169,72-HT$169+SwaptionMonthsToGo+SwaptionShift))/SQRT(SUM(INDEX($FO382:$IH382,1+SwaptionShift):INDEX($FO382:$IH382,SwaptionMonthsToGo+SwaptionShift))*SUM(INDEX($FO$325:$IH$396,HT$169,1+SwaptionShift):INDEX($FO$325:$IH$396,HT$169,SwaptionMonthsToGo+SwaptionShift))))))</f>
        <v/>
      </c>
      <c r="HU227" s="469" t="str">
        <f ca="1">IF(OR(HU$169&lt;SwaptionFirstMonthPosition+1,$FN227&lt;SwaptionFirstMonthPosition+1,HU$169&gt;SwaptionFirstMonthPosition+SwaptionNumOfMonths+1,$FN227&gt;SwaptionFirstMonthPosition+SwaptionNumOfMonths+1),"",IF($FN227=HU$169,1,IF($FN227&lt;HU$169,INDEX($FO$170:$IH$241,HU$169,$FN227),SUMPRODUCT(INDEX($FO$325:$IH$396,HU$169,1+SwaptionShift):INDEX($FO$325:$IH$396,HU$169,SwaptionMonthsToGo+SwaptionShift),INDEX($FO$245:$IH$316,$FN227-HU$169,73-HU$169+SwaptionShift):INDEX($FO$245:$IH$316,$FN227-HU$169,72-HU$169+SwaptionMonthsToGo+SwaptionShift))/SQRT(SUM(INDEX($FO382:$IH382,1+SwaptionShift):INDEX($FO382:$IH382,SwaptionMonthsToGo+SwaptionShift))*SUM(INDEX($FO$325:$IH$396,HU$169,1+SwaptionShift):INDEX($FO$325:$IH$396,HU$169,SwaptionMonthsToGo+SwaptionShift))))))</f>
        <v/>
      </c>
      <c r="HV227" s="469" t="str">
        <f ca="1">IF(OR(HV$169&lt;SwaptionFirstMonthPosition+1,$FN227&lt;SwaptionFirstMonthPosition+1,HV$169&gt;SwaptionFirstMonthPosition+SwaptionNumOfMonths+1,$FN227&gt;SwaptionFirstMonthPosition+SwaptionNumOfMonths+1),"",IF($FN227=HV$169,1,IF($FN227&lt;HV$169,INDEX($FO$170:$IH$241,HV$169,$FN227),SUMPRODUCT(INDEX($FO$325:$IH$396,HV$169,1+SwaptionShift):INDEX($FO$325:$IH$396,HV$169,SwaptionMonthsToGo+SwaptionShift),INDEX($FO$245:$IH$316,$FN227-HV$169,73-HV$169+SwaptionShift):INDEX($FO$245:$IH$316,$FN227-HV$169,72-HV$169+SwaptionMonthsToGo+SwaptionShift))/SQRT(SUM(INDEX($FO382:$IH382,1+SwaptionShift):INDEX($FO382:$IH382,SwaptionMonthsToGo+SwaptionShift))*SUM(INDEX($FO$325:$IH$396,HV$169,1+SwaptionShift):INDEX($FO$325:$IH$396,HV$169,SwaptionMonthsToGo+SwaptionShift))))))</f>
        <v/>
      </c>
      <c r="HW227" s="469" t="str">
        <f ca="1">IF(OR(HW$169&lt;SwaptionFirstMonthPosition+1,$FN227&lt;SwaptionFirstMonthPosition+1,HW$169&gt;SwaptionFirstMonthPosition+SwaptionNumOfMonths+1,$FN227&gt;SwaptionFirstMonthPosition+SwaptionNumOfMonths+1),"",IF($FN227=HW$169,1,IF($FN227&lt;HW$169,INDEX($FO$170:$IH$241,HW$169,$FN227),SUMPRODUCT(INDEX($FO$325:$IH$396,HW$169,1+SwaptionShift):INDEX($FO$325:$IH$396,HW$169,SwaptionMonthsToGo+SwaptionShift),INDEX($FO$245:$IH$316,$FN227-HW$169,73-HW$169+SwaptionShift):INDEX($FO$245:$IH$316,$FN227-HW$169,72-HW$169+SwaptionMonthsToGo+SwaptionShift))/SQRT(SUM(INDEX($FO382:$IH382,1+SwaptionShift):INDEX($FO382:$IH382,SwaptionMonthsToGo+SwaptionShift))*SUM(INDEX($FO$325:$IH$396,HW$169,1+SwaptionShift):INDEX($FO$325:$IH$396,HW$169,SwaptionMonthsToGo+SwaptionShift))))))</f>
        <v/>
      </c>
      <c r="HX227" s="469" t="str">
        <f ca="1">IF(OR(HX$169&lt;SwaptionFirstMonthPosition+1,$FN227&lt;SwaptionFirstMonthPosition+1,HX$169&gt;SwaptionFirstMonthPosition+SwaptionNumOfMonths+1,$FN227&gt;SwaptionFirstMonthPosition+SwaptionNumOfMonths+1),"",IF($FN227=HX$169,1,IF($FN227&lt;HX$169,INDEX($FO$170:$IH$241,HX$169,$FN227),SUMPRODUCT(INDEX($FO$325:$IH$396,HX$169,1+SwaptionShift):INDEX($FO$325:$IH$396,HX$169,SwaptionMonthsToGo+SwaptionShift),INDEX($FO$245:$IH$316,$FN227-HX$169,73-HX$169+SwaptionShift):INDEX($FO$245:$IH$316,$FN227-HX$169,72-HX$169+SwaptionMonthsToGo+SwaptionShift))/SQRT(SUM(INDEX($FO382:$IH382,1+SwaptionShift):INDEX($FO382:$IH382,SwaptionMonthsToGo+SwaptionShift))*SUM(INDEX($FO$325:$IH$396,HX$169,1+SwaptionShift):INDEX($FO$325:$IH$396,HX$169,SwaptionMonthsToGo+SwaptionShift))))))</f>
        <v/>
      </c>
      <c r="HY227" s="469" t="str">
        <f ca="1">IF(OR(HY$169&lt;SwaptionFirstMonthPosition+1,$FN227&lt;SwaptionFirstMonthPosition+1,HY$169&gt;SwaptionFirstMonthPosition+SwaptionNumOfMonths+1,$FN227&gt;SwaptionFirstMonthPosition+SwaptionNumOfMonths+1),"",IF($FN227=HY$169,1,IF($FN227&lt;HY$169,INDEX($FO$170:$IH$241,HY$169,$FN227),SUMPRODUCT(INDEX($FO$325:$IH$396,HY$169,1+SwaptionShift):INDEX($FO$325:$IH$396,HY$169,SwaptionMonthsToGo+SwaptionShift),INDEX($FO$245:$IH$316,$FN227-HY$169,73-HY$169+SwaptionShift):INDEX($FO$245:$IH$316,$FN227-HY$169,72-HY$169+SwaptionMonthsToGo+SwaptionShift))/SQRT(SUM(INDEX($FO382:$IH382,1+SwaptionShift):INDEX($FO382:$IH382,SwaptionMonthsToGo+SwaptionShift))*SUM(INDEX($FO$325:$IH$396,HY$169,1+SwaptionShift):INDEX($FO$325:$IH$396,HY$169,SwaptionMonthsToGo+SwaptionShift))))))</f>
        <v/>
      </c>
      <c r="HZ227" s="469" t="str">
        <f ca="1">IF(OR(HZ$169&lt;SwaptionFirstMonthPosition+1,$FN227&lt;SwaptionFirstMonthPosition+1,HZ$169&gt;SwaptionFirstMonthPosition+SwaptionNumOfMonths+1,$FN227&gt;SwaptionFirstMonthPosition+SwaptionNumOfMonths+1),"",IF($FN227=HZ$169,1,IF($FN227&lt;HZ$169,INDEX($FO$170:$IH$241,HZ$169,$FN227),SUMPRODUCT(INDEX($FO$325:$IH$396,HZ$169,1+SwaptionShift):INDEX($FO$325:$IH$396,HZ$169,SwaptionMonthsToGo+SwaptionShift),INDEX($FO$245:$IH$316,$FN227-HZ$169,73-HZ$169+SwaptionShift):INDEX($FO$245:$IH$316,$FN227-HZ$169,72-HZ$169+SwaptionMonthsToGo+SwaptionShift))/SQRT(SUM(INDEX($FO382:$IH382,1+SwaptionShift):INDEX($FO382:$IH382,SwaptionMonthsToGo+SwaptionShift))*SUM(INDEX($FO$325:$IH$396,HZ$169,1+SwaptionShift):INDEX($FO$325:$IH$396,HZ$169,SwaptionMonthsToGo+SwaptionShift))))))</f>
        <v/>
      </c>
      <c r="IA227" s="469" t="str">
        <f ca="1">IF(OR(IA$169&lt;SwaptionFirstMonthPosition+1,$FN227&lt;SwaptionFirstMonthPosition+1,IA$169&gt;SwaptionFirstMonthPosition+SwaptionNumOfMonths+1,$FN227&gt;SwaptionFirstMonthPosition+SwaptionNumOfMonths+1),"",IF($FN227=IA$169,1,IF($FN227&lt;IA$169,INDEX($FO$170:$IH$241,IA$169,$FN227),SUMPRODUCT(INDEX($FO$325:$IH$396,IA$169,1+SwaptionShift):INDEX($FO$325:$IH$396,IA$169,SwaptionMonthsToGo+SwaptionShift),INDEX($FO$245:$IH$316,$FN227-IA$169,73-IA$169+SwaptionShift):INDEX($FO$245:$IH$316,$FN227-IA$169,72-IA$169+SwaptionMonthsToGo+SwaptionShift))/SQRT(SUM(INDEX($FO382:$IH382,1+SwaptionShift):INDEX($FO382:$IH382,SwaptionMonthsToGo+SwaptionShift))*SUM(INDEX($FO$325:$IH$396,IA$169,1+SwaptionShift):INDEX($FO$325:$IH$396,IA$169,SwaptionMonthsToGo+SwaptionShift))))))</f>
        <v/>
      </c>
      <c r="IB227" s="469" t="str">
        <f ca="1">IF(OR(IB$169&lt;SwaptionFirstMonthPosition+1,$FN227&lt;SwaptionFirstMonthPosition+1,IB$169&gt;SwaptionFirstMonthPosition+SwaptionNumOfMonths+1,$FN227&gt;SwaptionFirstMonthPosition+SwaptionNumOfMonths+1),"",IF($FN227=IB$169,1,IF($FN227&lt;IB$169,INDEX($FO$170:$IH$241,IB$169,$FN227),SUMPRODUCT(INDEX($FO$325:$IH$396,IB$169,1+SwaptionShift):INDEX($FO$325:$IH$396,IB$169,SwaptionMonthsToGo+SwaptionShift),INDEX($FO$245:$IH$316,$FN227-IB$169,73-IB$169+SwaptionShift):INDEX($FO$245:$IH$316,$FN227-IB$169,72-IB$169+SwaptionMonthsToGo+SwaptionShift))/SQRT(SUM(INDEX($FO382:$IH382,1+SwaptionShift):INDEX($FO382:$IH382,SwaptionMonthsToGo+SwaptionShift))*SUM(INDEX($FO$325:$IH$396,IB$169,1+SwaptionShift):INDEX($FO$325:$IH$396,IB$169,SwaptionMonthsToGo+SwaptionShift))))))</f>
        <v/>
      </c>
      <c r="IC227" s="469" t="str">
        <f ca="1">IF(OR(IC$169&lt;SwaptionFirstMonthPosition+1,$FN227&lt;SwaptionFirstMonthPosition+1,IC$169&gt;SwaptionFirstMonthPosition+SwaptionNumOfMonths+1,$FN227&gt;SwaptionFirstMonthPosition+SwaptionNumOfMonths+1),"",IF($FN227=IC$169,1,IF($FN227&lt;IC$169,INDEX($FO$170:$IH$241,IC$169,$FN227),SUMPRODUCT(INDEX($FO$325:$IH$396,IC$169,1+SwaptionShift):INDEX($FO$325:$IH$396,IC$169,SwaptionMonthsToGo+SwaptionShift),INDEX($FO$245:$IH$316,$FN227-IC$169,73-IC$169+SwaptionShift):INDEX($FO$245:$IH$316,$FN227-IC$169,72-IC$169+SwaptionMonthsToGo+SwaptionShift))/SQRT(SUM(INDEX($FO382:$IH382,1+SwaptionShift):INDEX($FO382:$IH382,SwaptionMonthsToGo+SwaptionShift))*SUM(INDEX($FO$325:$IH$396,IC$169,1+SwaptionShift):INDEX($FO$325:$IH$396,IC$169,SwaptionMonthsToGo+SwaptionShift))))))</f>
        <v/>
      </c>
      <c r="ID227" s="469" t="str">
        <f ca="1">IF(OR(ID$169&lt;SwaptionFirstMonthPosition+1,$FN227&lt;SwaptionFirstMonthPosition+1,ID$169&gt;SwaptionFirstMonthPosition+SwaptionNumOfMonths+1,$FN227&gt;SwaptionFirstMonthPosition+SwaptionNumOfMonths+1),"",IF($FN227=ID$169,1,IF($FN227&lt;ID$169,INDEX($FO$170:$IH$241,ID$169,$FN227),SUMPRODUCT(INDEX($FO$325:$IH$396,ID$169,1+SwaptionShift):INDEX($FO$325:$IH$396,ID$169,SwaptionMonthsToGo+SwaptionShift),INDEX($FO$245:$IH$316,$FN227-ID$169,73-ID$169+SwaptionShift):INDEX($FO$245:$IH$316,$FN227-ID$169,72-ID$169+SwaptionMonthsToGo+SwaptionShift))/SQRT(SUM(INDEX($FO382:$IH382,1+SwaptionShift):INDEX($FO382:$IH382,SwaptionMonthsToGo+SwaptionShift))*SUM(INDEX($FO$325:$IH$396,ID$169,1+SwaptionShift):INDEX($FO$325:$IH$396,ID$169,SwaptionMonthsToGo+SwaptionShift))))))</f>
        <v/>
      </c>
      <c r="IE227" s="469" t="str">
        <f ca="1">IF(OR(IE$169&lt;SwaptionFirstMonthPosition+1,$FN227&lt;SwaptionFirstMonthPosition+1,IE$169&gt;SwaptionFirstMonthPosition+SwaptionNumOfMonths+1,$FN227&gt;SwaptionFirstMonthPosition+SwaptionNumOfMonths+1),"",IF($FN227=IE$169,1,IF($FN227&lt;IE$169,INDEX($FO$170:$IH$241,IE$169,$FN227),SUMPRODUCT(INDEX($FO$325:$IH$396,IE$169,1+SwaptionShift):INDEX($FO$325:$IH$396,IE$169,SwaptionMonthsToGo+SwaptionShift),INDEX($FO$245:$IH$316,$FN227-IE$169,73-IE$169+SwaptionShift):INDEX($FO$245:$IH$316,$FN227-IE$169,72-IE$169+SwaptionMonthsToGo+SwaptionShift))/SQRT(SUM(INDEX($FO382:$IH382,1+SwaptionShift):INDEX($FO382:$IH382,SwaptionMonthsToGo+SwaptionShift))*SUM(INDEX($FO$325:$IH$396,IE$169,1+SwaptionShift):INDEX($FO$325:$IH$396,IE$169,SwaptionMonthsToGo+SwaptionShift))))))</f>
        <v/>
      </c>
      <c r="IF227" s="469" t="str">
        <f ca="1">IF(OR(IF$169&lt;SwaptionFirstMonthPosition+1,$FN227&lt;SwaptionFirstMonthPosition+1,IF$169&gt;SwaptionFirstMonthPosition+SwaptionNumOfMonths+1,$FN227&gt;SwaptionFirstMonthPosition+SwaptionNumOfMonths+1),"",IF($FN227=IF$169,1,IF($FN227&lt;IF$169,INDEX($FO$170:$IH$241,IF$169,$FN227),SUMPRODUCT(INDEX($FO$325:$IH$396,IF$169,1+SwaptionShift):INDEX($FO$325:$IH$396,IF$169,SwaptionMonthsToGo+SwaptionShift),INDEX($FO$245:$IH$316,$FN227-IF$169,73-IF$169+SwaptionShift):INDEX($FO$245:$IH$316,$FN227-IF$169,72-IF$169+SwaptionMonthsToGo+SwaptionShift))/SQRT(SUM(INDEX($FO382:$IH382,1+SwaptionShift):INDEX($FO382:$IH382,SwaptionMonthsToGo+SwaptionShift))*SUM(INDEX($FO$325:$IH$396,IF$169,1+SwaptionShift):INDEX($FO$325:$IH$396,IF$169,SwaptionMonthsToGo+SwaptionShift))))))</f>
        <v/>
      </c>
      <c r="IG227" s="469" t="str">
        <f ca="1">IF(OR(IG$169&lt;SwaptionFirstMonthPosition+1,$FN227&lt;SwaptionFirstMonthPosition+1,IG$169&gt;SwaptionFirstMonthPosition+SwaptionNumOfMonths+1,$FN227&gt;SwaptionFirstMonthPosition+SwaptionNumOfMonths+1),"",IF($FN227=IG$169,1,IF($FN227&lt;IG$169,INDEX($FO$170:$IH$241,IG$169,$FN227),SUMPRODUCT(INDEX($FO$325:$IH$396,IG$169,1+SwaptionShift):INDEX($FO$325:$IH$396,IG$169,SwaptionMonthsToGo+SwaptionShift),INDEX($FO$245:$IH$316,$FN227-IG$169,73-IG$169+SwaptionShift):INDEX($FO$245:$IH$316,$FN227-IG$169,72-IG$169+SwaptionMonthsToGo+SwaptionShift))/SQRT(SUM(INDEX($FO382:$IH382,1+SwaptionShift):INDEX($FO382:$IH382,SwaptionMonthsToGo+SwaptionShift))*SUM(INDEX($FO$325:$IH$396,IG$169,1+SwaptionShift):INDEX($FO$325:$IH$396,IG$169,SwaptionMonthsToGo+SwaptionShift))))))</f>
        <v/>
      </c>
      <c r="IH227" s="662" t="str">
        <f ca="1">IF(OR(IH$169&lt;SwaptionFirstMonthPosition+1,$FN227&lt;SwaptionFirstMonthPosition+1,IH$169&gt;SwaptionFirstMonthPosition+SwaptionNumOfMonths+1,$FN227&gt;SwaptionFirstMonthPosition+SwaptionNumOfMonths+1),"",IF($FN227=IH$169,1,IF($FN227&lt;IH$169,INDEX($FO$170:$IH$241,IH$169,$FN227),SUMPRODUCT(INDEX($FO$325:$IH$396,IH$169,1+SwaptionShift):INDEX($FO$325:$IH$396,IH$169,SwaptionMonthsToGo+SwaptionShift),INDEX($FO$245:$IH$316,$FN227-IH$169,73-IH$169+SwaptionShift):INDEX($FO$245:$IH$316,$FN227-IH$169,72-IH$169+SwaptionMonthsToGo+SwaptionShift))/SQRT(SUM(INDEX($FO382:$IH382,1+SwaptionShift):INDEX($FO382:$IH382,SwaptionMonthsToGo+SwaptionShift))*SUM(INDEX($FO$325:$IH$396,IH$169,1+SwaptionShift):INDEX($FO$325:$IH$396,IH$169,SwaptionMonthsToGo+SwaptionShift))))))</f>
        <v/>
      </c>
      <c r="II227" s="242"/>
    </row>
    <row r="228" spans="8:243">
      <c r="H228" s="49" t="e">
        <f t="shared" ca="1" si="645"/>
        <v>#N/A</v>
      </c>
      <c r="I228" s="369">
        <f t="shared" si="646"/>
        <v>43344</v>
      </c>
      <c r="J228" s="367">
        <v>24.584999999999798</v>
      </c>
      <c r="K228" s="101" t="s">
        <v>267</v>
      </c>
      <c r="L228" s="382">
        <f t="shared" si="647"/>
        <v>24.584999999999834</v>
      </c>
      <c r="M228" s="163">
        <v>0.12790000000000001</v>
      </c>
      <c r="N228" s="372">
        <v>0</v>
      </c>
      <c r="O228" s="163">
        <f t="shared" si="595"/>
        <v>0.12790000000000001</v>
      </c>
      <c r="P228" s="367">
        <v>23.359250081971098</v>
      </c>
      <c r="Q228" s="101" t="s">
        <v>267</v>
      </c>
      <c r="R228" s="367">
        <f t="shared" ca="1" si="596"/>
        <v>23.35925008197113</v>
      </c>
      <c r="S228" s="814">
        <f t="shared" si="594"/>
        <v>0.34624389061294775</v>
      </c>
      <c r="T228" s="813">
        <f t="shared" si="660"/>
        <v>0.99999999997629274</v>
      </c>
      <c r="U228" s="532">
        <f t="shared" si="661"/>
        <v>0.99999999999999978</v>
      </c>
      <c r="V228" s="379">
        <v>0</v>
      </c>
      <c r="W228" s="424">
        <f t="shared" si="597"/>
        <v>24.617499999999801</v>
      </c>
      <c r="X228" s="405">
        <f t="shared" si="598"/>
        <v>24.617499999999829</v>
      </c>
      <c r="Y228" s="313">
        <f t="shared" si="599"/>
        <v>23.2990999999998</v>
      </c>
      <c r="Z228" s="313">
        <f t="shared" ca="1" si="600"/>
        <v>23.299099999999829</v>
      </c>
      <c r="AA228" s="419">
        <f t="shared" si="623"/>
        <v>1.3184</v>
      </c>
      <c r="AB228" s="423">
        <f t="shared" ca="1" si="624"/>
        <v>1.3184</v>
      </c>
      <c r="AC228" s="221">
        <v>43332</v>
      </c>
      <c r="AD228" s="221">
        <v>43328</v>
      </c>
      <c r="AE228" s="221">
        <v>43327</v>
      </c>
      <c r="AF228" s="221">
        <v>43323</v>
      </c>
      <c r="AG228" s="241" t="s">
        <v>497</v>
      </c>
      <c r="AH228" s="239" t="s">
        <v>497</v>
      </c>
      <c r="AI228" s="141">
        <v>20</v>
      </c>
      <c r="AJ228" s="41">
        <v>14</v>
      </c>
      <c r="AK228" s="41">
        <v>6</v>
      </c>
      <c r="AL228" s="285">
        <v>20</v>
      </c>
      <c r="AM228" s="41">
        <v>10</v>
      </c>
      <c r="AN228" s="142">
        <v>10</v>
      </c>
      <c r="AO228" s="364">
        <v>6.3238556075908101E-2</v>
      </c>
      <c r="AP228" s="145">
        <f t="shared" ca="1" si="648"/>
        <v>0.33688081423105004</v>
      </c>
      <c r="AQ228" s="364">
        <v>5.93089380773364E-2</v>
      </c>
      <c r="AR228" s="145">
        <f t="shared" ca="1" si="662"/>
        <v>0.36269471722617352</v>
      </c>
      <c r="AS228" s="264">
        <f t="shared" si="601"/>
        <v>0.12737999999999999</v>
      </c>
      <c r="AT228" s="149">
        <f t="shared" si="649"/>
        <v>0.12790000000000001</v>
      </c>
      <c r="AU228" s="149">
        <f t="shared" si="625"/>
        <v>0.12730000000000002</v>
      </c>
      <c r="AV228" s="263">
        <f t="shared" ca="1" si="669"/>
        <v>0.12589503430640486</v>
      </c>
      <c r="AW228" s="150" t="str">
        <f t="shared" ca="1" si="581"/>
        <v/>
      </c>
      <c r="AX228" s="149">
        <f t="shared" ca="1" si="663"/>
        <v>3.446070595806333E-3</v>
      </c>
      <c r="AY228" s="149">
        <f t="shared" ca="1" si="664"/>
        <v>1.0560317830802363E-3</v>
      </c>
      <c r="AZ228" s="149">
        <f t="shared" ca="1" si="665"/>
        <v>1.2985952369877038E-3</v>
      </c>
      <c r="BA228" s="149">
        <f t="shared" ca="1" si="666"/>
        <v>1.0000000000001121E-4</v>
      </c>
      <c r="BB228" s="149">
        <f t="shared" ca="1" si="667"/>
        <v>1.0000000000001121E-4</v>
      </c>
      <c r="BC228" s="149">
        <f t="shared" ca="1" si="668"/>
        <v>1.0000000000001121E-4</v>
      </c>
      <c r="BD228" s="143">
        <f t="shared" ca="1" si="602"/>
        <v>0</v>
      </c>
      <c r="BE228" s="144">
        <f t="shared" ca="1" si="603"/>
        <v>0</v>
      </c>
      <c r="BF228" s="40">
        <f t="shared" si="604"/>
        <v>2018</v>
      </c>
      <c r="BG228" s="139">
        <f t="shared" si="605"/>
        <v>9</v>
      </c>
      <c r="BH228" s="140">
        <f t="shared" ca="1" si="606"/>
        <v>6338</v>
      </c>
      <c r="BI228" s="304">
        <f t="shared" ca="1" si="607"/>
        <v>17.396303901437371</v>
      </c>
      <c r="BJ228" s="42">
        <f t="shared" ca="1" si="626"/>
        <v>17.451882272416153</v>
      </c>
      <c r="BK228" s="42">
        <f t="shared" ca="1" si="627"/>
        <v>17.454620123203284</v>
      </c>
      <c r="BL228" s="42">
        <f t="shared" ca="1" si="608"/>
        <v>17.475701574264203</v>
      </c>
      <c r="BM228" s="285">
        <f t="shared" si="609"/>
        <v>20</v>
      </c>
      <c r="BN228" s="41">
        <f t="shared" si="610"/>
        <v>14</v>
      </c>
      <c r="BO228" s="41">
        <f t="shared" si="611"/>
        <v>6</v>
      </c>
      <c r="BP228" s="297" t="str">
        <f t="shared" ca="1" si="628"/>
        <v/>
      </c>
      <c r="BQ228" s="297" t="str">
        <f t="shared" ca="1" si="629"/>
        <v/>
      </c>
      <c r="BR228" s="299" t="str">
        <f t="shared" ca="1" si="630"/>
        <v/>
      </c>
      <c r="BS228" s="153" t="str">
        <f t="shared" ca="1" si="631"/>
        <v/>
      </c>
      <c r="BT228" s="153" t="str">
        <f t="shared" ca="1" si="632"/>
        <v/>
      </c>
      <c r="BU228" s="300" t="str">
        <f t="shared" ca="1" si="633"/>
        <v/>
      </c>
      <c r="BV228" s="301" t="str">
        <f t="shared" ca="1" si="634"/>
        <v/>
      </c>
      <c r="BW228" s="300" t="str">
        <f t="shared" ca="1" si="635"/>
        <v/>
      </c>
      <c r="BX228" s="301" t="str">
        <f t="shared" ca="1" si="636"/>
        <v/>
      </c>
      <c r="BY228" s="146" t="str">
        <f t="shared" ca="1" si="637"/>
        <v/>
      </c>
      <c r="BZ228" s="146" t="str">
        <f t="shared" ca="1" si="638"/>
        <v/>
      </c>
      <c r="CA228" s="146" t="str">
        <f t="shared" ca="1" si="639"/>
        <v/>
      </c>
      <c r="CB228" s="146" t="str">
        <f t="shared" ca="1" si="640"/>
        <v/>
      </c>
      <c r="CC228" s="302">
        <v>1</v>
      </c>
      <c r="CD228" s="154">
        <f ca="1">IF(BD228,_xll.xCrudeAPO(BS228,BT228,BY228,BZ228,S229,S230,BI228,BL228,BN228,BO228,0,Strike1,AO228,CC228,0,BL228,IF(OptControl=4,0,1),0,1),0)</f>
        <v>0</v>
      </c>
      <c r="CE228" s="155">
        <f ca="1">IF(BD228,_xll.xCrudeAPO(BS228,BT228,BY228,BZ228,S229,S230,BI228,BL228,BN228,BO228,0,Strike1,AO228,CC228,0,BL228,IF(OptControl=4,0,1),1,1)+_xll.xCrudeAPO(BS228,BT228,BY228,BZ228,S229,S230,BI228,BL228,BN228,BO228,0,Strike1,AO228,CC228,0,BL228,IF(OptControl=4,0,1),1,2)+IF(OR(VolSkewFlag=2,ABS(BQ228)&lt;0.0001),0,IF(BQ228&gt;0,-1,1)*CF228*Strike1/BP228^2*BW228/10%),0)</f>
        <v>0</v>
      </c>
      <c r="CF228" s="155">
        <f ca="1">IF(BD228,(_xll.xCrudeAPO(BS228,BT228,BY228,BZ228,S229,S230,BI228,BL228,BN228,BO228,0,Strike1,AO228,CC228,0,BL228,IF(OptControl=4,0,1),3,1)+_xll.xCrudeAPO(BS228,BT228,BY228,BZ228,S229,S230,BI228,BL228,BN228,BO228,0,Strike1,AO228,CC228,0,BL228,IF(OptControl=4,0,1),3,2))/100,0)</f>
        <v>0</v>
      </c>
      <c r="CG228" s="155">
        <f ca="1">IF(BD228,_xll.xCrudeAPO(BS228,BT228,BY228,BZ228,S229,S230,BI228-DaysForThetaCalculation/365.25,BL228-DaysForThetaCalculation/365.25,BN228,BO228,0,Strike1,AO228,CC228,0,BL228,IF(OptControl=4,0,1),0,1)-_xll.xCrudeAPO(BS228,BT228,BY228,BZ228,S229,S230,BI228,BL228,BN228,BO228,0,Strike1,AO228,CC228,0,BL228,IF(OptControl=4,0,1),0,1),0)</f>
        <v>0</v>
      </c>
      <c r="CH228" s="303">
        <f ca="1">IF(BD228,_xll.xCrudeAPO(BS228,BT228,CA228,CB228,S229,S230,BI228,BL228,BN228,BO228,0,Strike2,AO228,CC228,0,BL228,IF(OptControl=3,1,0),0,1),0)</f>
        <v>0</v>
      </c>
      <c r="CI228" s="155">
        <f ca="1">IF(BD228,_xll.xCrudeAPO(BS228,BT228,CA228,CB228,S229,S230,BI228,BL228,BN228,BO228,0,Strike2,AO228,CC228,0,BL228,IF(OptControl=3,1,0),1,1)+_xll.xCrudeAPO(BS228,BT228,CA228,CB228,S229,S230,BI228,BL228,BN228,BO228,0,Strike2,AO228,CC228,0,BL228,IF(OptControl=3,1,0),1,2)+IF(OR(VolSkewFlag=2,ABS(BR228)&lt;0.0001),0,IF(BR228&gt;0,-1,1)*CJ228*Strike2/BP228^2*BX228/10%),0)</f>
        <v>0</v>
      </c>
      <c r="CJ228" s="155">
        <f ca="1">IF(BD228,(_xll.xCrudeAPO(BS228,BT228,CA228,CB228,S229,S230,BI228,BL228,BN228,BO228,0,Strike2,AO228,CC228,0,BL228,IF(OptControl=3,1,0),3,1)+_xll.xCrudeAPO(BS228,BT228,CA228,CB228,S229,S230,BI228,BL228,BN228,BO228,0,Strike2,AO228,CC228,0,BL228,IF(OptControl=3,1,0),3,2))/100,0)</f>
        <v>0</v>
      </c>
      <c r="CK228" s="156">
        <f ca="1">IF(BD228,_xll.xCrudeAPO(BS228,BT228,CA228,CB228,S229,S230,BI228-DaysForThetaCalculation/365.25,BL228-DaysForThetaCalculation/365.25,BN228,BO228,0,Strike2,AO228,CC228,0,BL228,IF(OptControl=3,1,0),0,1)-_xll.xCrudeAPO(BS228,BT228,CA228,CB228,S229,S230,BI228,BL228,BN228,BO228,0,Strike2,AO228,CC228,0,BL228,IF(OptControl=3,1,0),0,1),0)</f>
        <v>0</v>
      </c>
      <c r="CL228" s="51"/>
      <c r="CM228" s="779" t="str">
        <f t="shared" ca="1" si="650"/>
        <v/>
      </c>
      <c r="CN228" s="783" t="str">
        <f t="shared" ca="1" si="651"/>
        <v/>
      </c>
      <c r="CO228" s="780" t="str">
        <f t="shared" ca="1" si="652"/>
        <v/>
      </c>
      <c r="CP228" s="780" t="str">
        <f t="shared" ca="1" si="653"/>
        <v/>
      </c>
      <c r="CQ228" s="780" t="str">
        <f t="shared" ca="1" si="654"/>
        <v/>
      </c>
      <c r="CR228" s="780" t="str">
        <f t="shared" ca="1" si="655"/>
        <v/>
      </c>
      <c r="CS228" s="781" t="str">
        <f t="shared" ca="1" si="656"/>
        <v/>
      </c>
      <c r="CT228" s="782" t="str">
        <f t="shared" ca="1" si="657"/>
        <v/>
      </c>
      <c r="CU228" s="782" t="str">
        <f t="shared" ca="1" si="658"/>
        <v/>
      </c>
      <c r="CV228" s="155">
        <f ca="1">IF(BD228,_xll.EURO(CN228,Strike1,AO228,AO228,CT228,CM228,IF(OptControl=4,0,1),0),0)</f>
        <v>0</v>
      </c>
      <c r="CW228" s="155">
        <f ca="1">IF(BD228,_xll.EURO(CN228,Strike1,AO228,AO228,CT228,CM228,IF(OptControl=4,0,1),1)+IF(OR(VolSkewFlag=2,ABS(CO228)&lt;0.0001),0,IF(CO228&gt;0,-1,1)*CX228*100*Strike1/CN228^2*CQ228/10%),0)</f>
        <v>0</v>
      </c>
      <c r="CX228" s="155">
        <f ca="1">IF(BD228,_xll.EURO(CN228,Strike1,AO228,AO228,CT228,CM228,IF(OptControl=4,0,1),3)/100,0)</f>
        <v>0</v>
      </c>
      <c r="CY228" s="155">
        <f ca="1">IF(BD228,_xll.EURO(CN228,Strike1,AO228,AO228,CT228,CM228,IF(OptControl=4,0,1),0)-_xll.EURO(CN228,Strike1,AO228,AO228,CT228,CM228-1,IF(OptControl=4,0,1),0),0)</f>
        <v>0</v>
      </c>
      <c r="CZ228" s="155">
        <f ca="1">IF(BD228,_xll.EURO(CN228,Strike2,AO228,AO228,CU228,CM228,IF(OptControl=3,1,0),0),0)</f>
        <v>0</v>
      </c>
      <c r="DA228" s="155">
        <f ca="1">IF(BD228,_xll.EURO(CN228,Strike2,AO228,AO228,CU228,CM228,IF(OptControl=3,1,0),1)+IF(OR(VolSkewFlag=2,ABS(CP228)&lt;0.0001),0,IF(CP228&gt;0,-1,1)*DB228*100*Strike2/CN228^2*CR228/10%),0)</f>
        <v>0</v>
      </c>
      <c r="DB228" s="155">
        <f ca="1">IF(BD228,_xll.EURO(CN228,Strike2,AO228,AO228,CU228,CM228,IF(OptControl=3,1,0),3)/100,0)</f>
        <v>0</v>
      </c>
      <c r="DC228" s="156">
        <f ca="1">IF(BD228,_xll.EURO(CN228,Strike2,AO228,AO228,CU228,CM228,IF(OptControl=3,1,0),0)-_xll.EURO(CN228,Strike2,AO228,AO228,CU228,CM228-1,IF(OptControl=3,1,0),0),0)</f>
        <v>0</v>
      </c>
      <c r="DE228" s="651">
        <f t="shared" ca="1" si="659"/>
        <v>43252</v>
      </c>
      <c r="DF228" s="465">
        <v>1E-4</v>
      </c>
      <c r="DG228" s="649">
        <v>1E-4</v>
      </c>
      <c r="DH228" s="650">
        <f t="shared" ca="1" si="612"/>
        <v>43252</v>
      </c>
      <c r="DI228" s="465">
        <v>1E-4</v>
      </c>
      <c r="DJ228" s="649">
        <v>1E-4</v>
      </c>
      <c r="DK228" s="651">
        <f t="shared" ca="1" si="613"/>
        <v>43252</v>
      </c>
      <c r="DL228" s="652">
        <f t="shared" si="614"/>
        <v>5.0100000000000006E-2</v>
      </c>
      <c r="DM228" s="651">
        <f t="shared" ca="1" si="615"/>
        <v>43252</v>
      </c>
      <c r="DN228" s="563">
        <f t="shared" si="616"/>
        <v>-0.12990000000000002</v>
      </c>
      <c r="DO228" s="803">
        <v>-0.13</v>
      </c>
      <c r="DP228" s="650">
        <f t="shared" ca="1" si="617"/>
        <v>43252</v>
      </c>
      <c r="DQ228" s="653">
        <v>1E-4</v>
      </c>
      <c r="DR228" s="590">
        <v>1E-4</v>
      </c>
      <c r="DS228" s="650">
        <f t="shared" ca="1" si="618"/>
        <v>43252</v>
      </c>
      <c r="DT228" s="653">
        <v>1E-4</v>
      </c>
      <c r="DU228" s="590">
        <v>1E-4</v>
      </c>
      <c r="DV228" s="651">
        <f t="shared" ca="1" si="619"/>
        <v>43252</v>
      </c>
      <c r="DW228" s="590">
        <v>1E-4</v>
      </c>
      <c r="DX228" s="651">
        <f t="shared" ca="1" si="620"/>
        <v>43252</v>
      </c>
      <c r="DY228" s="590">
        <f t="shared" si="621"/>
        <v>1E-4</v>
      </c>
      <c r="DZ228" s="1"/>
      <c r="EA228" s="857"/>
      <c r="EB228" s="857"/>
      <c r="EC228" s="857"/>
      <c r="ED228" s="868" t="e">
        <f t="shared" ca="1" si="670"/>
        <v>#NAME?</v>
      </c>
      <c r="EE228" s="863" t="e">
        <f t="shared" ca="1" si="641"/>
        <v>#NAME?</v>
      </c>
      <c r="EF228" s="590" t="e">
        <f t="shared" ca="1" si="642"/>
        <v>#NAME?</v>
      </c>
      <c r="EG228" s="862" t="str">
        <f t="shared" ca="1" si="622"/>
        <v/>
      </c>
      <c r="EH228" s="114" t="str">
        <f t="shared" ca="1" si="643"/>
        <v/>
      </c>
      <c r="EI228" s="109" t="str">
        <f t="shared" ca="1" si="644"/>
        <v/>
      </c>
      <c r="EJ228" s="115">
        <f ca="1">IF(BD228,_xll.xASN(BP228,Strike1,AO228,EH228,0,BM228,0,BI228,BL228,IF(OptControl=4,0,1),0),0)</f>
        <v>0</v>
      </c>
      <c r="EK228" s="108">
        <f ca="1">IF(BD228,_xll.xASN(BP228,Strike2,AO228,EI228,0,BM228,0,BI228,BL228,IF(OptControl=3,1,0),0),0)</f>
        <v>0</v>
      </c>
      <c r="EP228" s="53"/>
      <c r="EQ228" s="1"/>
      <c r="ER228" s="103"/>
      <c r="ES228" s="103"/>
      <c r="ET228" s="1"/>
      <c r="EU228" s="667" t="s">
        <v>441</v>
      </c>
      <c r="EW228" s="53"/>
      <c r="EY228" s="104"/>
      <c r="FN228" s="657">
        <v>59</v>
      </c>
      <c r="FO228" s="469" t="str">
        <f ca="1">IF(OR(FO$169&lt;SwaptionFirstMonthPosition+1,$FN228&lt;SwaptionFirstMonthPosition+1,FO$169&gt;SwaptionFirstMonthPosition+SwaptionNumOfMonths+1,$FN228&gt;SwaptionFirstMonthPosition+SwaptionNumOfMonths+1),"",IF($FN228=FO$169,1,IF($FN228&lt;FO$169,INDEX($FO$170:$IH$241,FO$169,$FN228),SUMPRODUCT(INDEX($FO$325:$IH$396,FO$169,1+SwaptionShift):INDEX($FO$325:$IH$396,FO$169,SwaptionMonthsToGo+SwaptionShift),INDEX($FO$245:$IH$316,$FN228-FO$169,73-FO$169+SwaptionShift):INDEX($FO$245:$IH$316,$FN228-FO$169,72-FO$169+SwaptionMonthsToGo+SwaptionShift))/SQRT(SUM(INDEX($FO383:$IH383,1+SwaptionShift):INDEX($FO383:$IH383,SwaptionMonthsToGo+SwaptionShift))*SUM(INDEX($FO$325:$IH$396,FO$169,1+SwaptionShift):INDEX($FO$325:$IH$396,FO$169,SwaptionMonthsToGo+SwaptionShift))))))</f>
        <v/>
      </c>
      <c r="FP228" s="469" t="str">
        <f ca="1">IF(OR(FP$169&lt;SwaptionFirstMonthPosition+1,$FN228&lt;SwaptionFirstMonthPosition+1,FP$169&gt;SwaptionFirstMonthPosition+SwaptionNumOfMonths+1,$FN228&gt;SwaptionFirstMonthPosition+SwaptionNumOfMonths+1),"",IF($FN228=FP$169,1,IF($FN228&lt;FP$169,INDEX($FO$170:$IH$241,FP$169,$FN228),SUMPRODUCT(INDEX($FO$325:$IH$396,FP$169,1+SwaptionShift):INDEX($FO$325:$IH$396,FP$169,SwaptionMonthsToGo+SwaptionShift),INDEX($FO$245:$IH$316,$FN228-FP$169,73-FP$169+SwaptionShift):INDEX($FO$245:$IH$316,$FN228-FP$169,72-FP$169+SwaptionMonthsToGo+SwaptionShift))/SQRT(SUM(INDEX($FO383:$IH383,1+SwaptionShift):INDEX($FO383:$IH383,SwaptionMonthsToGo+SwaptionShift))*SUM(INDEX($FO$325:$IH$396,FP$169,1+SwaptionShift):INDEX($FO$325:$IH$396,FP$169,SwaptionMonthsToGo+SwaptionShift))))))</f>
        <v/>
      </c>
      <c r="FQ228" s="469" t="str">
        <f ca="1">IF(OR(FQ$169&lt;SwaptionFirstMonthPosition+1,$FN228&lt;SwaptionFirstMonthPosition+1,FQ$169&gt;SwaptionFirstMonthPosition+SwaptionNumOfMonths+1,$FN228&gt;SwaptionFirstMonthPosition+SwaptionNumOfMonths+1),"",IF($FN228=FQ$169,1,IF($FN228&lt;FQ$169,INDEX($FO$170:$IH$241,FQ$169,$FN228),SUMPRODUCT(INDEX($FO$325:$IH$396,FQ$169,1+SwaptionShift):INDEX($FO$325:$IH$396,FQ$169,SwaptionMonthsToGo+SwaptionShift),INDEX($FO$245:$IH$316,$FN228-FQ$169,73-FQ$169+SwaptionShift):INDEX($FO$245:$IH$316,$FN228-FQ$169,72-FQ$169+SwaptionMonthsToGo+SwaptionShift))/SQRT(SUM(INDEX($FO383:$IH383,1+SwaptionShift):INDEX($FO383:$IH383,SwaptionMonthsToGo+SwaptionShift))*SUM(INDEX($FO$325:$IH$396,FQ$169,1+SwaptionShift):INDEX($FO$325:$IH$396,FQ$169,SwaptionMonthsToGo+SwaptionShift))))))</f>
        <v/>
      </c>
      <c r="FR228" s="469" t="str">
        <f ca="1">IF(OR(FR$169&lt;SwaptionFirstMonthPosition+1,$FN228&lt;SwaptionFirstMonthPosition+1,FR$169&gt;SwaptionFirstMonthPosition+SwaptionNumOfMonths+1,$FN228&gt;SwaptionFirstMonthPosition+SwaptionNumOfMonths+1),"",IF($FN228=FR$169,1,IF($FN228&lt;FR$169,INDEX($FO$170:$IH$241,FR$169,$FN228),SUMPRODUCT(INDEX($FO$325:$IH$396,FR$169,1+SwaptionShift):INDEX($FO$325:$IH$396,FR$169,SwaptionMonthsToGo+SwaptionShift),INDEX($FO$245:$IH$316,$FN228-FR$169,73-FR$169+SwaptionShift):INDEX($FO$245:$IH$316,$FN228-FR$169,72-FR$169+SwaptionMonthsToGo+SwaptionShift))/SQRT(SUM(INDEX($FO383:$IH383,1+SwaptionShift):INDEX($FO383:$IH383,SwaptionMonthsToGo+SwaptionShift))*SUM(INDEX($FO$325:$IH$396,FR$169,1+SwaptionShift):INDEX($FO$325:$IH$396,FR$169,SwaptionMonthsToGo+SwaptionShift))))))</f>
        <v/>
      </c>
      <c r="FS228" s="469" t="str">
        <f ca="1">IF(OR(FS$169&lt;SwaptionFirstMonthPosition+1,$FN228&lt;SwaptionFirstMonthPosition+1,FS$169&gt;SwaptionFirstMonthPosition+SwaptionNumOfMonths+1,$FN228&gt;SwaptionFirstMonthPosition+SwaptionNumOfMonths+1),"",IF($FN228=FS$169,1,IF($FN228&lt;FS$169,INDEX($FO$170:$IH$241,FS$169,$FN228),SUMPRODUCT(INDEX($FO$325:$IH$396,FS$169,1+SwaptionShift):INDEX($FO$325:$IH$396,FS$169,SwaptionMonthsToGo+SwaptionShift),INDEX($FO$245:$IH$316,$FN228-FS$169,73-FS$169+SwaptionShift):INDEX($FO$245:$IH$316,$FN228-FS$169,72-FS$169+SwaptionMonthsToGo+SwaptionShift))/SQRT(SUM(INDEX($FO383:$IH383,1+SwaptionShift):INDEX($FO383:$IH383,SwaptionMonthsToGo+SwaptionShift))*SUM(INDEX($FO$325:$IH$396,FS$169,1+SwaptionShift):INDEX($FO$325:$IH$396,FS$169,SwaptionMonthsToGo+SwaptionShift))))))</f>
        <v/>
      </c>
      <c r="FT228" s="469" t="str">
        <f ca="1">IF(OR(FT$169&lt;SwaptionFirstMonthPosition+1,$FN228&lt;SwaptionFirstMonthPosition+1,FT$169&gt;SwaptionFirstMonthPosition+SwaptionNumOfMonths+1,$FN228&gt;SwaptionFirstMonthPosition+SwaptionNumOfMonths+1),"",IF($FN228=FT$169,1,IF($FN228&lt;FT$169,INDEX($FO$170:$IH$241,FT$169,$FN228),SUMPRODUCT(INDEX($FO$325:$IH$396,FT$169,1+SwaptionShift):INDEX($FO$325:$IH$396,FT$169,SwaptionMonthsToGo+SwaptionShift),INDEX($FO$245:$IH$316,$FN228-FT$169,73-FT$169+SwaptionShift):INDEX($FO$245:$IH$316,$FN228-FT$169,72-FT$169+SwaptionMonthsToGo+SwaptionShift))/SQRT(SUM(INDEX($FO383:$IH383,1+SwaptionShift):INDEX($FO383:$IH383,SwaptionMonthsToGo+SwaptionShift))*SUM(INDEX($FO$325:$IH$396,FT$169,1+SwaptionShift):INDEX($FO$325:$IH$396,FT$169,SwaptionMonthsToGo+SwaptionShift))))))</f>
        <v/>
      </c>
      <c r="FU228" s="469" t="str">
        <f ca="1">IF(OR(FU$169&lt;SwaptionFirstMonthPosition+1,$FN228&lt;SwaptionFirstMonthPosition+1,FU$169&gt;SwaptionFirstMonthPosition+SwaptionNumOfMonths+1,$FN228&gt;SwaptionFirstMonthPosition+SwaptionNumOfMonths+1),"",IF($FN228=FU$169,1,IF($FN228&lt;FU$169,INDEX($FO$170:$IH$241,FU$169,$FN228),SUMPRODUCT(INDEX($FO$325:$IH$396,FU$169,1+SwaptionShift):INDEX($FO$325:$IH$396,FU$169,SwaptionMonthsToGo+SwaptionShift),INDEX($FO$245:$IH$316,$FN228-FU$169,73-FU$169+SwaptionShift):INDEX($FO$245:$IH$316,$FN228-FU$169,72-FU$169+SwaptionMonthsToGo+SwaptionShift))/SQRT(SUM(INDEX($FO383:$IH383,1+SwaptionShift):INDEX($FO383:$IH383,SwaptionMonthsToGo+SwaptionShift))*SUM(INDEX($FO$325:$IH$396,FU$169,1+SwaptionShift):INDEX($FO$325:$IH$396,FU$169,SwaptionMonthsToGo+SwaptionShift))))))</f>
        <v/>
      </c>
      <c r="FV228" s="469" t="str">
        <f ca="1">IF(OR(FV$169&lt;SwaptionFirstMonthPosition+1,$FN228&lt;SwaptionFirstMonthPosition+1,FV$169&gt;SwaptionFirstMonthPosition+SwaptionNumOfMonths+1,$FN228&gt;SwaptionFirstMonthPosition+SwaptionNumOfMonths+1),"",IF($FN228=FV$169,1,IF($FN228&lt;FV$169,INDEX($FO$170:$IH$241,FV$169,$FN228),SUMPRODUCT(INDEX($FO$325:$IH$396,FV$169,1+SwaptionShift):INDEX($FO$325:$IH$396,FV$169,SwaptionMonthsToGo+SwaptionShift),INDEX($FO$245:$IH$316,$FN228-FV$169,73-FV$169+SwaptionShift):INDEX($FO$245:$IH$316,$FN228-FV$169,72-FV$169+SwaptionMonthsToGo+SwaptionShift))/SQRT(SUM(INDEX($FO383:$IH383,1+SwaptionShift):INDEX($FO383:$IH383,SwaptionMonthsToGo+SwaptionShift))*SUM(INDEX($FO$325:$IH$396,FV$169,1+SwaptionShift):INDEX($FO$325:$IH$396,FV$169,SwaptionMonthsToGo+SwaptionShift))))))</f>
        <v/>
      </c>
      <c r="FW228" s="469" t="str">
        <f ca="1">IF(OR(FW$169&lt;SwaptionFirstMonthPosition+1,$FN228&lt;SwaptionFirstMonthPosition+1,FW$169&gt;SwaptionFirstMonthPosition+SwaptionNumOfMonths+1,$FN228&gt;SwaptionFirstMonthPosition+SwaptionNumOfMonths+1),"",IF($FN228=FW$169,1,IF($FN228&lt;FW$169,INDEX($FO$170:$IH$241,FW$169,$FN228),SUMPRODUCT(INDEX($FO$325:$IH$396,FW$169,1+SwaptionShift):INDEX($FO$325:$IH$396,FW$169,SwaptionMonthsToGo+SwaptionShift),INDEX($FO$245:$IH$316,$FN228-FW$169,73-FW$169+SwaptionShift):INDEX($FO$245:$IH$316,$FN228-FW$169,72-FW$169+SwaptionMonthsToGo+SwaptionShift))/SQRT(SUM(INDEX($FO383:$IH383,1+SwaptionShift):INDEX($FO383:$IH383,SwaptionMonthsToGo+SwaptionShift))*SUM(INDEX($FO$325:$IH$396,FW$169,1+SwaptionShift):INDEX($FO$325:$IH$396,FW$169,SwaptionMonthsToGo+SwaptionShift))))))</f>
        <v/>
      </c>
      <c r="FX228" s="469" t="str">
        <f ca="1">IF(OR(FX$169&lt;SwaptionFirstMonthPosition+1,$FN228&lt;SwaptionFirstMonthPosition+1,FX$169&gt;SwaptionFirstMonthPosition+SwaptionNumOfMonths+1,$FN228&gt;SwaptionFirstMonthPosition+SwaptionNumOfMonths+1),"",IF($FN228=FX$169,1,IF($FN228&lt;FX$169,INDEX($FO$170:$IH$241,FX$169,$FN228),SUMPRODUCT(INDEX($FO$325:$IH$396,FX$169,1+SwaptionShift):INDEX($FO$325:$IH$396,FX$169,SwaptionMonthsToGo+SwaptionShift),INDEX($FO$245:$IH$316,$FN228-FX$169,73-FX$169+SwaptionShift):INDEX($FO$245:$IH$316,$FN228-FX$169,72-FX$169+SwaptionMonthsToGo+SwaptionShift))/SQRT(SUM(INDEX($FO383:$IH383,1+SwaptionShift):INDEX($FO383:$IH383,SwaptionMonthsToGo+SwaptionShift))*SUM(INDEX($FO$325:$IH$396,FX$169,1+SwaptionShift):INDEX($FO$325:$IH$396,FX$169,SwaptionMonthsToGo+SwaptionShift))))))</f>
        <v/>
      </c>
      <c r="FY228" s="469" t="str">
        <f ca="1">IF(OR(FY$169&lt;SwaptionFirstMonthPosition+1,$FN228&lt;SwaptionFirstMonthPosition+1,FY$169&gt;SwaptionFirstMonthPosition+SwaptionNumOfMonths+1,$FN228&gt;SwaptionFirstMonthPosition+SwaptionNumOfMonths+1),"",IF($FN228=FY$169,1,IF($FN228&lt;FY$169,INDEX($FO$170:$IH$241,FY$169,$FN228),SUMPRODUCT(INDEX($FO$325:$IH$396,FY$169,1+SwaptionShift):INDEX($FO$325:$IH$396,FY$169,SwaptionMonthsToGo+SwaptionShift),INDEX($FO$245:$IH$316,$FN228-FY$169,73-FY$169+SwaptionShift):INDEX($FO$245:$IH$316,$FN228-FY$169,72-FY$169+SwaptionMonthsToGo+SwaptionShift))/SQRT(SUM(INDEX($FO383:$IH383,1+SwaptionShift):INDEX($FO383:$IH383,SwaptionMonthsToGo+SwaptionShift))*SUM(INDEX($FO$325:$IH$396,FY$169,1+SwaptionShift):INDEX($FO$325:$IH$396,FY$169,SwaptionMonthsToGo+SwaptionShift))))))</f>
        <v/>
      </c>
      <c r="FZ228" s="469" t="str">
        <f ca="1">IF(OR(FZ$169&lt;SwaptionFirstMonthPosition+1,$FN228&lt;SwaptionFirstMonthPosition+1,FZ$169&gt;SwaptionFirstMonthPosition+SwaptionNumOfMonths+1,$FN228&gt;SwaptionFirstMonthPosition+SwaptionNumOfMonths+1),"",IF($FN228=FZ$169,1,IF($FN228&lt;FZ$169,INDEX($FO$170:$IH$241,FZ$169,$FN228),SUMPRODUCT(INDEX($FO$325:$IH$396,FZ$169,1+SwaptionShift):INDEX($FO$325:$IH$396,FZ$169,SwaptionMonthsToGo+SwaptionShift),INDEX($FO$245:$IH$316,$FN228-FZ$169,73-FZ$169+SwaptionShift):INDEX($FO$245:$IH$316,$FN228-FZ$169,72-FZ$169+SwaptionMonthsToGo+SwaptionShift))/SQRT(SUM(INDEX($FO383:$IH383,1+SwaptionShift):INDEX($FO383:$IH383,SwaptionMonthsToGo+SwaptionShift))*SUM(INDEX($FO$325:$IH$396,FZ$169,1+SwaptionShift):INDEX($FO$325:$IH$396,FZ$169,SwaptionMonthsToGo+SwaptionShift))))))</f>
        <v/>
      </c>
      <c r="GA228" s="469" t="str">
        <f ca="1">IF(OR(GA$169&lt;SwaptionFirstMonthPosition+1,$FN228&lt;SwaptionFirstMonthPosition+1,GA$169&gt;SwaptionFirstMonthPosition+SwaptionNumOfMonths+1,$FN228&gt;SwaptionFirstMonthPosition+SwaptionNumOfMonths+1),"",IF($FN228=GA$169,1,IF($FN228&lt;GA$169,INDEX($FO$170:$IH$241,GA$169,$FN228),SUMPRODUCT(INDEX($FO$325:$IH$396,GA$169,1+SwaptionShift):INDEX($FO$325:$IH$396,GA$169,SwaptionMonthsToGo+SwaptionShift),INDEX($FO$245:$IH$316,$FN228-GA$169,73-GA$169+SwaptionShift):INDEX($FO$245:$IH$316,$FN228-GA$169,72-GA$169+SwaptionMonthsToGo+SwaptionShift))/SQRT(SUM(INDEX($FO383:$IH383,1+SwaptionShift):INDEX($FO383:$IH383,SwaptionMonthsToGo+SwaptionShift))*SUM(INDEX($FO$325:$IH$396,GA$169,1+SwaptionShift):INDEX($FO$325:$IH$396,GA$169,SwaptionMonthsToGo+SwaptionShift))))))</f>
        <v/>
      </c>
      <c r="GB228" s="469" t="str">
        <f ca="1">IF(OR(GB$169&lt;SwaptionFirstMonthPosition+1,$FN228&lt;SwaptionFirstMonthPosition+1,GB$169&gt;SwaptionFirstMonthPosition+SwaptionNumOfMonths+1,$FN228&gt;SwaptionFirstMonthPosition+SwaptionNumOfMonths+1),"",IF($FN228=GB$169,1,IF($FN228&lt;GB$169,INDEX($FO$170:$IH$241,GB$169,$FN228),SUMPRODUCT(INDEX($FO$325:$IH$396,GB$169,1+SwaptionShift):INDEX($FO$325:$IH$396,GB$169,SwaptionMonthsToGo+SwaptionShift),INDEX($FO$245:$IH$316,$FN228-GB$169,73-GB$169+SwaptionShift):INDEX($FO$245:$IH$316,$FN228-GB$169,72-GB$169+SwaptionMonthsToGo+SwaptionShift))/SQRT(SUM(INDEX($FO383:$IH383,1+SwaptionShift):INDEX($FO383:$IH383,SwaptionMonthsToGo+SwaptionShift))*SUM(INDEX($FO$325:$IH$396,GB$169,1+SwaptionShift):INDEX($FO$325:$IH$396,GB$169,SwaptionMonthsToGo+SwaptionShift))))))</f>
        <v/>
      </c>
      <c r="GC228" s="469" t="str">
        <f ca="1">IF(OR(GC$169&lt;SwaptionFirstMonthPosition+1,$FN228&lt;SwaptionFirstMonthPosition+1,GC$169&gt;SwaptionFirstMonthPosition+SwaptionNumOfMonths+1,$FN228&gt;SwaptionFirstMonthPosition+SwaptionNumOfMonths+1),"",IF($FN228=GC$169,1,IF($FN228&lt;GC$169,INDEX($FO$170:$IH$241,GC$169,$FN228),SUMPRODUCT(INDEX($FO$325:$IH$396,GC$169,1+SwaptionShift):INDEX($FO$325:$IH$396,GC$169,SwaptionMonthsToGo+SwaptionShift),INDEX($FO$245:$IH$316,$FN228-GC$169,73-GC$169+SwaptionShift):INDEX($FO$245:$IH$316,$FN228-GC$169,72-GC$169+SwaptionMonthsToGo+SwaptionShift))/SQRT(SUM(INDEX($FO383:$IH383,1+SwaptionShift):INDEX($FO383:$IH383,SwaptionMonthsToGo+SwaptionShift))*SUM(INDEX($FO$325:$IH$396,GC$169,1+SwaptionShift):INDEX($FO$325:$IH$396,GC$169,SwaptionMonthsToGo+SwaptionShift))))))</f>
        <v/>
      </c>
      <c r="GD228" s="469" t="str">
        <f ca="1">IF(OR(GD$169&lt;SwaptionFirstMonthPosition+1,$FN228&lt;SwaptionFirstMonthPosition+1,GD$169&gt;SwaptionFirstMonthPosition+SwaptionNumOfMonths+1,$FN228&gt;SwaptionFirstMonthPosition+SwaptionNumOfMonths+1),"",IF($FN228=GD$169,1,IF($FN228&lt;GD$169,INDEX($FO$170:$IH$241,GD$169,$FN228),SUMPRODUCT(INDEX($FO$325:$IH$396,GD$169,1+SwaptionShift):INDEX($FO$325:$IH$396,GD$169,SwaptionMonthsToGo+SwaptionShift),INDEX($FO$245:$IH$316,$FN228-GD$169,73-GD$169+SwaptionShift):INDEX($FO$245:$IH$316,$FN228-GD$169,72-GD$169+SwaptionMonthsToGo+SwaptionShift))/SQRT(SUM(INDEX($FO383:$IH383,1+SwaptionShift):INDEX($FO383:$IH383,SwaptionMonthsToGo+SwaptionShift))*SUM(INDEX($FO$325:$IH$396,GD$169,1+SwaptionShift):INDEX($FO$325:$IH$396,GD$169,SwaptionMonthsToGo+SwaptionShift))))))</f>
        <v/>
      </c>
      <c r="GE228" s="469" t="str">
        <f ca="1">IF(OR(GE$169&lt;SwaptionFirstMonthPosition+1,$FN228&lt;SwaptionFirstMonthPosition+1,GE$169&gt;SwaptionFirstMonthPosition+SwaptionNumOfMonths+1,$FN228&gt;SwaptionFirstMonthPosition+SwaptionNumOfMonths+1),"",IF($FN228=GE$169,1,IF($FN228&lt;GE$169,INDEX($FO$170:$IH$241,GE$169,$FN228),SUMPRODUCT(INDEX($FO$325:$IH$396,GE$169,1+SwaptionShift):INDEX($FO$325:$IH$396,GE$169,SwaptionMonthsToGo+SwaptionShift),INDEX($FO$245:$IH$316,$FN228-GE$169,73-GE$169+SwaptionShift):INDEX($FO$245:$IH$316,$FN228-GE$169,72-GE$169+SwaptionMonthsToGo+SwaptionShift))/SQRT(SUM(INDEX($FO383:$IH383,1+SwaptionShift):INDEX($FO383:$IH383,SwaptionMonthsToGo+SwaptionShift))*SUM(INDEX($FO$325:$IH$396,GE$169,1+SwaptionShift):INDEX($FO$325:$IH$396,GE$169,SwaptionMonthsToGo+SwaptionShift))))))</f>
        <v/>
      </c>
      <c r="GF228" s="469" t="str">
        <f ca="1">IF(OR(GF$169&lt;SwaptionFirstMonthPosition+1,$FN228&lt;SwaptionFirstMonthPosition+1,GF$169&gt;SwaptionFirstMonthPosition+SwaptionNumOfMonths+1,$FN228&gt;SwaptionFirstMonthPosition+SwaptionNumOfMonths+1),"",IF($FN228=GF$169,1,IF($FN228&lt;GF$169,INDEX($FO$170:$IH$241,GF$169,$FN228),SUMPRODUCT(INDEX($FO$325:$IH$396,GF$169,1+SwaptionShift):INDEX($FO$325:$IH$396,GF$169,SwaptionMonthsToGo+SwaptionShift),INDEX($FO$245:$IH$316,$FN228-GF$169,73-GF$169+SwaptionShift):INDEX($FO$245:$IH$316,$FN228-GF$169,72-GF$169+SwaptionMonthsToGo+SwaptionShift))/SQRT(SUM(INDEX($FO383:$IH383,1+SwaptionShift):INDEX($FO383:$IH383,SwaptionMonthsToGo+SwaptionShift))*SUM(INDEX($FO$325:$IH$396,GF$169,1+SwaptionShift):INDEX($FO$325:$IH$396,GF$169,SwaptionMonthsToGo+SwaptionShift))))))</f>
        <v/>
      </c>
      <c r="GG228" s="469" t="str">
        <f ca="1">IF(OR(GG$169&lt;SwaptionFirstMonthPosition+1,$FN228&lt;SwaptionFirstMonthPosition+1,GG$169&gt;SwaptionFirstMonthPosition+SwaptionNumOfMonths+1,$FN228&gt;SwaptionFirstMonthPosition+SwaptionNumOfMonths+1),"",IF($FN228=GG$169,1,IF($FN228&lt;GG$169,INDEX($FO$170:$IH$241,GG$169,$FN228),SUMPRODUCT(INDEX($FO$325:$IH$396,GG$169,1+SwaptionShift):INDEX($FO$325:$IH$396,GG$169,SwaptionMonthsToGo+SwaptionShift),INDEX($FO$245:$IH$316,$FN228-GG$169,73-GG$169+SwaptionShift):INDEX($FO$245:$IH$316,$FN228-GG$169,72-GG$169+SwaptionMonthsToGo+SwaptionShift))/SQRT(SUM(INDEX($FO383:$IH383,1+SwaptionShift):INDEX($FO383:$IH383,SwaptionMonthsToGo+SwaptionShift))*SUM(INDEX($FO$325:$IH$396,GG$169,1+SwaptionShift):INDEX($FO$325:$IH$396,GG$169,SwaptionMonthsToGo+SwaptionShift))))))</f>
        <v/>
      </c>
      <c r="GH228" s="469" t="str">
        <f ca="1">IF(OR(GH$169&lt;SwaptionFirstMonthPosition+1,$FN228&lt;SwaptionFirstMonthPosition+1,GH$169&gt;SwaptionFirstMonthPosition+SwaptionNumOfMonths+1,$FN228&gt;SwaptionFirstMonthPosition+SwaptionNumOfMonths+1),"",IF($FN228=GH$169,1,IF($FN228&lt;GH$169,INDEX($FO$170:$IH$241,GH$169,$FN228),SUMPRODUCT(INDEX($FO$325:$IH$396,GH$169,1+SwaptionShift):INDEX($FO$325:$IH$396,GH$169,SwaptionMonthsToGo+SwaptionShift),INDEX($FO$245:$IH$316,$FN228-GH$169,73-GH$169+SwaptionShift):INDEX($FO$245:$IH$316,$FN228-GH$169,72-GH$169+SwaptionMonthsToGo+SwaptionShift))/SQRT(SUM(INDEX($FO383:$IH383,1+SwaptionShift):INDEX($FO383:$IH383,SwaptionMonthsToGo+SwaptionShift))*SUM(INDEX($FO$325:$IH$396,GH$169,1+SwaptionShift):INDEX($FO$325:$IH$396,GH$169,SwaptionMonthsToGo+SwaptionShift))))))</f>
        <v/>
      </c>
      <c r="GI228" s="469" t="str">
        <f ca="1">IF(OR(GI$169&lt;SwaptionFirstMonthPosition+1,$FN228&lt;SwaptionFirstMonthPosition+1,GI$169&gt;SwaptionFirstMonthPosition+SwaptionNumOfMonths+1,$FN228&gt;SwaptionFirstMonthPosition+SwaptionNumOfMonths+1),"",IF($FN228=GI$169,1,IF($FN228&lt;GI$169,INDEX($FO$170:$IH$241,GI$169,$FN228),SUMPRODUCT(INDEX($FO$325:$IH$396,GI$169,1+SwaptionShift):INDEX($FO$325:$IH$396,GI$169,SwaptionMonthsToGo+SwaptionShift),INDEX($FO$245:$IH$316,$FN228-GI$169,73-GI$169+SwaptionShift):INDEX($FO$245:$IH$316,$FN228-GI$169,72-GI$169+SwaptionMonthsToGo+SwaptionShift))/SQRT(SUM(INDEX($FO383:$IH383,1+SwaptionShift):INDEX($FO383:$IH383,SwaptionMonthsToGo+SwaptionShift))*SUM(INDEX($FO$325:$IH$396,GI$169,1+SwaptionShift):INDEX($FO$325:$IH$396,GI$169,SwaptionMonthsToGo+SwaptionShift))))))</f>
        <v/>
      </c>
      <c r="GJ228" s="469" t="str">
        <f ca="1">IF(OR(GJ$169&lt;SwaptionFirstMonthPosition+1,$FN228&lt;SwaptionFirstMonthPosition+1,GJ$169&gt;SwaptionFirstMonthPosition+SwaptionNumOfMonths+1,$FN228&gt;SwaptionFirstMonthPosition+SwaptionNumOfMonths+1),"",IF($FN228=GJ$169,1,IF($FN228&lt;GJ$169,INDEX($FO$170:$IH$241,GJ$169,$FN228),SUMPRODUCT(INDEX($FO$325:$IH$396,GJ$169,1+SwaptionShift):INDEX($FO$325:$IH$396,GJ$169,SwaptionMonthsToGo+SwaptionShift),INDEX($FO$245:$IH$316,$FN228-GJ$169,73-GJ$169+SwaptionShift):INDEX($FO$245:$IH$316,$FN228-GJ$169,72-GJ$169+SwaptionMonthsToGo+SwaptionShift))/SQRT(SUM(INDEX($FO383:$IH383,1+SwaptionShift):INDEX($FO383:$IH383,SwaptionMonthsToGo+SwaptionShift))*SUM(INDEX($FO$325:$IH$396,GJ$169,1+SwaptionShift):INDEX($FO$325:$IH$396,GJ$169,SwaptionMonthsToGo+SwaptionShift))))))</f>
        <v/>
      </c>
      <c r="GK228" s="469" t="str">
        <f ca="1">IF(OR(GK$169&lt;SwaptionFirstMonthPosition+1,$FN228&lt;SwaptionFirstMonthPosition+1,GK$169&gt;SwaptionFirstMonthPosition+SwaptionNumOfMonths+1,$FN228&gt;SwaptionFirstMonthPosition+SwaptionNumOfMonths+1),"",IF($FN228=GK$169,1,IF($FN228&lt;GK$169,INDEX($FO$170:$IH$241,GK$169,$FN228),SUMPRODUCT(INDEX($FO$325:$IH$396,GK$169,1+SwaptionShift):INDEX($FO$325:$IH$396,GK$169,SwaptionMonthsToGo+SwaptionShift),INDEX($FO$245:$IH$316,$FN228-GK$169,73-GK$169+SwaptionShift):INDEX($FO$245:$IH$316,$FN228-GK$169,72-GK$169+SwaptionMonthsToGo+SwaptionShift))/SQRT(SUM(INDEX($FO383:$IH383,1+SwaptionShift):INDEX($FO383:$IH383,SwaptionMonthsToGo+SwaptionShift))*SUM(INDEX($FO$325:$IH$396,GK$169,1+SwaptionShift):INDEX($FO$325:$IH$396,GK$169,SwaptionMonthsToGo+SwaptionShift))))))</f>
        <v/>
      </c>
      <c r="GL228" s="469" t="str">
        <f ca="1">IF(OR(GL$169&lt;SwaptionFirstMonthPosition+1,$FN228&lt;SwaptionFirstMonthPosition+1,GL$169&gt;SwaptionFirstMonthPosition+SwaptionNumOfMonths+1,$FN228&gt;SwaptionFirstMonthPosition+SwaptionNumOfMonths+1),"",IF($FN228=GL$169,1,IF($FN228&lt;GL$169,INDEX($FO$170:$IH$241,GL$169,$FN228),SUMPRODUCT(INDEX($FO$325:$IH$396,GL$169,1+SwaptionShift):INDEX($FO$325:$IH$396,GL$169,SwaptionMonthsToGo+SwaptionShift),INDEX($FO$245:$IH$316,$FN228-GL$169,73-GL$169+SwaptionShift):INDEX($FO$245:$IH$316,$FN228-GL$169,72-GL$169+SwaptionMonthsToGo+SwaptionShift))/SQRT(SUM(INDEX($FO383:$IH383,1+SwaptionShift):INDEX($FO383:$IH383,SwaptionMonthsToGo+SwaptionShift))*SUM(INDEX($FO$325:$IH$396,GL$169,1+SwaptionShift):INDEX($FO$325:$IH$396,GL$169,SwaptionMonthsToGo+SwaptionShift))))))</f>
        <v/>
      </c>
      <c r="GM228" s="469" t="str">
        <f ca="1">IF(OR(GM$169&lt;SwaptionFirstMonthPosition+1,$FN228&lt;SwaptionFirstMonthPosition+1,GM$169&gt;SwaptionFirstMonthPosition+SwaptionNumOfMonths+1,$FN228&gt;SwaptionFirstMonthPosition+SwaptionNumOfMonths+1),"",IF($FN228=GM$169,1,IF($FN228&lt;GM$169,INDEX($FO$170:$IH$241,GM$169,$FN228),SUMPRODUCT(INDEX($FO$325:$IH$396,GM$169,1+SwaptionShift):INDEX($FO$325:$IH$396,GM$169,SwaptionMonthsToGo+SwaptionShift),INDEX($FO$245:$IH$316,$FN228-GM$169,73-GM$169+SwaptionShift):INDEX($FO$245:$IH$316,$FN228-GM$169,72-GM$169+SwaptionMonthsToGo+SwaptionShift))/SQRT(SUM(INDEX($FO383:$IH383,1+SwaptionShift):INDEX($FO383:$IH383,SwaptionMonthsToGo+SwaptionShift))*SUM(INDEX($FO$325:$IH$396,GM$169,1+SwaptionShift):INDEX($FO$325:$IH$396,GM$169,SwaptionMonthsToGo+SwaptionShift))))))</f>
        <v/>
      </c>
      <c r="GN228" s="469" t="str">
        <f ca="1">IF(OR(GN$169&lt;SwaptionFirstMonthPosition+1,$FN228&lt;SwaptionFirstMonthPosition+1,GN$169&gt;SwaptionFirstMonthPosition+SwaptionNumOfMonths+1,$FN228&gt;SwaptionFirstMonthPosition+SwaptionNumOfMonths+1),"",IF($FN228=GN$169,1,IF($FN228&lt;GN$169,INDEX($FO$170:$IH$241,GN$169,$FN228),SUMPRODUCT(INDEX($FO$325:$IH$396,GN$169,1+SwaptionShift):INDEX($FO$325:$IH$396,GN$169,SwaptionMonthsToGo+SwaptionShift),INDEX($FO$245:$IH$316,$FN228-GN$169,73-GN$169+SwaptionShift):INDEX($FO$245:$IH$316,$FN228-GN$169,72-GN$169+SwaptionMonthsToGo+SwaptionShift))/SQRT(SUM(INDEX($FO383:$IH383,1+SwaptionShift):INDEX($FO383:$IH383,SwaptionMonthsToGo+SwaptionShift))*SUM(INDEX($FO$325:$IH$396,GN$169,1+SwaptionShift):INDEX($FO$325:$IH$396,GN$169,SwaptionMonthsToGo+SwaptionShift))))))</f>
        <v/>
      </c>
      <c r="GO228" s="469" t="str">
        <f ca="1">IF(OR(GO$169&lt;SwaptionFirstMonthPosition+1,$FN228&lt;SwaptionFirstMonthPosition+1,GO$169&gt;SwaptionFirstMonthPosition+SwaptionNumOfMonths+1,$FN228&gt;SwaptionFirstMonthPosition+SwaptionNumOfMonths+1),"",IF($FN228=GO$169,1,IF($FN228&lt;GO$169,INDEX($FO$170:$IH$241,GO$169,$FN228),SUMPRODUCT(INDEX($FO$325:$IH$396,GO$169,1+SwaptionShift):INDEX($FO$325:$IH$396,GO$169,SwaptionMonthsToGo+SwaptionShift),INDEX($FO$245:$IH$316,$FN228-GO$169,73-GO$169+SwaptionShift):INDEX($FO$245:$IH$316,$FN228-GO$169,72-GO$169+SwaptionMonthsToGo+SwaptionShift))/SQRT(SUM(INDEX($FO383:$IH383,1+SwaptionShift):INDEX($FO383:$IH383,SwaptionMonthsToGo+SwaptionShift))*SUM(INDEX($FO$325:$IH$396,GO$169,1+SwaptionShift):INDEX($FO$325:$IH$396,GO$169,SwaptionMonthsToGo+SwaptionShift))))))</f>
        <v/>
      </c>
      <c r="GP228" s="469" t="str">
        <f ca="1">IF(OR(GP$169&lt;SwaptionFirstMonthPosition+1,$FN228&lt;SwaptionFirstMonthPosition+1,GP$169&gt;SwaptionFirstMonthPosition+SwaptionNumOfMonths+1,$FN228&gt;SwaptionFirstMonthPosition+SwaptionNumOfMonths+1),"",IF($FN228=GP$169,1,IF($FN228&lt;GP$169,INDEX($FO$170:$IH$241,GP$169,$FN228),SUMPRODUCT(INDEX($FO$325:$IH$396,GP$169,1+SwaptionShift):INDEX($FO$325:$IH$396,GP$169,SwaptionMonthsToGo+SwaptionShift),INDEX($FO$245:$IH$316,$FN228-GP$169,73-GP$169+SwaptionShift):INDEX($FO$245:$IH$316,$FN228-GP$169,72-GP$169+SwaptionMonthsToGo+SwaptionShift))/SQRT(SUM(INDEX($FO383:$IH383,1+SwaptionShift):INDEX($FO383:$IH383,SwaptionMonthsToGo+SwaptionShift))*SUM(INDEX($FO$325:$IH$396,GP$169,1+SwaptionShift):INDEX($FO$325:$IH$396,GP$169,SwaptionMonthsToGo+SwaptionShift))))))</f>
        <v/>
      </c>
      <c r="GQ228" s="469" t="str">
        <f ca="1">IF(OR(GQ$169&lt;SwaptionFirstMonthPosition+1,$FN228&lt;SwaptionFirstMonthPosition+1,GQ$169&gt;SwaptionFirstMonthPosition+SwaptionNumOfMonths+1,$FN228&gt;SwaptionFirstMonthPosition+SwaptionNumOfMonths+1),"",IF($FN228=GQ$169,1,IF($FN228&lt;GQ$169,INDEX($FO$170:$IH$241,GQ$169,$FN228),SUMPRODUCT(INDEX($FO$325:$IH$396,GQ$169,1+SwaptionShift):INDEX($FO$325:$IH$396,GQ$169,SwaptionMonthsToGo+SwaptionShift),INDEX($FO$245:$IH$316,$FN228-GQ$169,73-GQ$169+SwaptionShift):INDEX($FO$245:$IH$316,$FN228-GQ$169,72-GQ$169+SwaptionMonthsToGo+SwaptionShift))/SQRT(SUM(INDEX($FO383:$IH383,1+SwaptionShift):INDEX($FO383:$IH383,SwaptionMonthsToGo+SwaptionShift))*SUM(INDEX($FO$325:$IH$396,GQ$169,1+SwaptionShift):INDEX($FO$325:$IH$396,GQ$169,SwaptionMonthsToGo+SwaptionShift))))))</f>
        <v/>
      </c>
      <c r="GR228" s="469" t="str">
        <f ca="1">IF(OR(GR$169&lt;SwaptionFirstMonthPosition+1,$FN228&lt;SwaptionFirstMonthPosition+1,GR$169&gt;SwaptionFirstMonthPosition+SwaptionNumOfMonths+1,$FN228&gt;SwaptionFirstMonthPosition+SwaptionNumOfMonths+1),"",IF($FN228=GR$169,1,IF($FN228&lt;GR$169,INDEX($FO$170:$IH$241,GR$169,$FN228),SUMPRODUCT(INDEX($FO$325:$IH$396,GR$169,1+SwaptionShift):INDEX($FO$325:$IH$396,GR$169,SwaptionMonthsToGo+SwaptionShift),INDEX($FO$245:$IH$316,$FN228-GR$169,73-GR$169+SwaptionShift):INDEX($FO$245:$IH$316,$FN228-GR$169,72-GR$169+SwaptionMonthsToGo+SwaptionShift))/SQRT(SUM(INDEX($FO383:$IH383,1+SwaptionShift):INDEX($FO383:$IH383,SwaptionMonthsToGo+SwaptionShift))*SUM(INDEX($FO$325:$IH$396,GR$169,1+SwaptionShift):INDEX($FO$325:$IH$396,GR$169,SwaptionMonthsToGo+SwaptionShift))))))</f>
        <v/>
      </c>
      <c r="GS228" s="469" t="str">
        <f ca="1">IF(OR(GS$169&lt;SwaptionFirstMonthPosition+1,$FN228&lt;SwaptionFirstMonthPosition+1,GS$169&gt;SwaptionFirstMonthPosition+SwaptionNumOfMonths+1,$FN228&gt;SwaptionFirstMonthPosition+SwaptionNumOfMonths+1),"",IF($FN228=GS$169,1,IF($FN228&lt;GS$169,INDEX($FO$170:$IH$241,GS$169,$FN228),SUMPRODUCT(INDEX($FO$325:$IH$396,GS$169,1+SwaptionShift):INDEX($FO$325:$IH$396,GS$169,SwaptionMonthsToGo+SwaptionShift),INDEX($FO$245:$IH$316,$FN228-GS$169,73-GS$169+SwaptionShift):INDEX($FO$245:$IH$316,$FN228-GS$169,72-GS$169+SwaptionMonthsToGo+SwaptionShift))/SQRT(SUM(INDEX($FO383:$IH383,1+SwaptionShift):INDEX($FO383:$IH383,SwaptionMonthsToGo+SwaptionShift))*SUM(INDEX($FO$325:$IH$396,GS$169,1+SwaptionShift):INDEX($FO$325:$IH$396,GS$169,SwaptionMonthsToGo+SwaptionShift))))))</f>
        <v/>
      </c>
      <c r="GT228" s="469" t="str">
        <f ca="1">IF(OR(GT$169&lt;SwaptionFirstMonthPosition+1,$FN228&lt;SwaptionFirstMonthPosition+1,GT$169&gt;SwaptionFirstMonthPosition+SwaptionNumOfMonths+1,$FN228&gt;SwaptionFirstMonthPosition+SwaptionNumOfMonths+1),"",IF($FN228=GT$169,1,IF($FN228&lt;GT$169,INDEX($FO$170:$IH$241,GT$169,$FN228),SUMPRODUCT(INDEX($FO$325:$IH$396,GT$169,1+SwaptionShift):INDEX($FO$325:$IH$396,GT$169,SwaptionMonthsToGo+SwaptionShift),INDEX($FO$245:$IH$316,$FN228-GT$169,73-GT$169+SwaptionShift):INDEX($FO$245:$IH$316,$FN228-GT$169,72-GT$169+SwaptionMonthsToGo+SwaptionShift))/SQRT(SUM(INDEX($FO383:$IH383,1+SwaptionShift):INDEX($FO383:$IH383,SwaptionMonthsToGo+SwaptionShift))*SUM(INDEX($FO$325:$IH$396,GT$169,1+SwaptionShift):INDEX($FO$325:$IH$396,GT$169,SwaptionMonthsToGo+SwaptionShift))))))</f>
        <v/>
      </c>
      <c r="GU228" s="469" t="str">
        <f ca="1">IF(OR(GU$169&lt;SwaptionFirstMonthPosition+1,$FN228&lt;SwaptionFirstMonthPosition+1,GU$169&gt;SwaptionFirstMonthPosition+SwaptionNumOfMonths+1,$FN228&gt;SwaptionFirstMonthPosition+SwaptionNumOfMonths+1),"",IF($FN228=GU$169,1,IF($FN228&lt;GU$169,INDEX($FO$170:$IH$241,GU$169,$FN228),SUMPRODUCT(INDEX($FO$325:$IH$396,GU$169,1+SwaptionShift):INDEX($FO$325:$IH$396,GU$169,SwaptionMonthsToGo+SwaptionShift),INDEX($FO$245:$IH$316,$FN228-GU$169,73-GU$169+SwaptionShift):INDEX($FO$245:$IH$316,$FN228-GU$169,72-GU$169+SwaptionMonthsToGo+SwaptionShift))/SQRT(SUM(INDEX($FO383:$IH383,1+SwaptionShift):INDEX($FO383:$IH383,SwaptionMonthsToGo+SwaptionShift))*SUM(INDEX($FO$325:$IH$396,GU$169,1+SwaptionShift):INDEX($FO$325:$IH$396,GU$169,SwaptionMonthsToGo+SwaptionShift))))))</f>
        <v/>
      </c>
      <c r="GV228" s="469" t="str">
        <f ca="1">IF(OR(GV$169&lt;SwaptionFirstMonthPosition+1,$FN228&lt;SwaptionFirstMonthPosition+1,GV$169&gt;SwaptionFirstMonthPosition+SwaptionNumOfMonths+1,$FN228&gt;SwaptionFirstMonthPosition+SwaptionNumOfMonths+1),"",IF($FN228=GV$169,1,IF($FN228&lt;GV$169,INDEX($FO$170:$IH$241,GV$169,$FN228),SUMPRODUCT(INDEX($FO$325:$IH$396,GV$169,1+SwaptionShift):INDEX($FO$325:$IH$396,GV$169,SwaptionMonthsToGo+SwaptionShift),INDEX($FO$245:$IH$316,$FN228-GV$169,73-GV$169+SwaptionShift):INDEX($FO$245:$IH$316,$FN228-GV$169,72-GV$169+SwaptionMonthsToGo+SwaptionShift))/SQRT(SUM(INDEX($FO383:$IH383,1+SwaptionShift):INDEX($FO383:$IH383,SwaptionMonthsToGo+SwaptionShift))*SUM(INDEX($FO$325:$IH$396,GV$169,1+SwaptionShift):INDEX($FO$325:$IH$396,GV$169,SwaptionMonthsToGo+SwaptionShift))))))</f>
        <v/>
      </c>
      <c r="GW228" s="469" t="str">
        <f ca="1">IF(OR(GW$169&lt;SwaptionFirstMonthPosition+1,$FN228&lt;SwaptionFirstMonthPosition+1,GW$169&gt;SwaptionFirstMonthPosition+SwaptionNumOfMonths+1,$FN228&gt;SwaptionFirstMonthPosition+SwaptionNumOfMonths+1),"",IF($FN228=GW$169,1,IF($FN228&lt;GW$169,INDEX($FO$170:$IH$241,GW$169,$FN228),SUMPRODUCT(INDEX($FO$325:$IH$396,GW$169,1+SwaptionShift):INDEX($FO$325:$IH$396,GW$169,SwaptionMonthsToGo+SwaptionShift),INDEX($FO$245:$IH$316,$FN228-GW$169,73-GW$169+SwaptionShift):INDEX($FO$245:$IH$316,$FN228-GW$169,72-GW$169+SwaptionMonthsToGo+SwaptionShift))/SQRT(SUM(INDEX($FO383:$IH383,1+SwaptionShift):INDEX($FO383:$IH383,SwaptionMonthsToGo+SwaptionShift))*SUM(INDEX($FO$325:$IH$396,GW$169,1+SwaptionShift):INDEX($FO$325:$IH$396,GW$169,SwaptionMonthsToGo+SwaptionShift))))))</f>
        <v/>
      </c>
      <c r="GX228" s="469" t="str">
        <f ca="1">IF(OR(GX$169&lt;SwaptionFirstMonthPosition+1,$FN228&lt;SwaptionFirstMonthPosition+1,GX$169&gt;SwaptionFirstMonthPosition+SwaptionNumOfMonths+1,$FN228&gt;SwaptionFirstMonthPosition+SwaptionNumOfMonths+1),"",IF($FN228=GX$169,1,IF($FN228&lt;GX$169,INDEX($FO$170:$IH$241,GX$169,$FN228),SUMPRODUCT(INDEX($FO$325:$IH$396,GX$169,1+SwaptionShift):INDEX($FO$325:$IH$396,GX$169,SwaptionMonthsToGo+SwaptionShift),INDEX($FO$245:$IH$316,$FN228-GX$169,73-GX$169+SwaptionShift):INDEX($FO$245:$IH$316,$FN228-GX$169,72-GX$169+SwaptionMonthsToGo+SwaptionShift))/SQRT(SUM(INDEX($FO383:$IH383,1+SwaptionShift):INDEX($FO383:$IH383,SwaptionMonthsToGo+SwaptionShift))*SUM(INDEX($FO$325:$IH$396,GX$169,1+SwaptionShift):INDEX($FO$325:$IH$396,GX$169,SwaptionMonthsToGo+SwaptionShift))))))</f>
        <v/>
      </c>
      <c r="GY228" s="469" t="str">
        <f ca="1">IF(OR(GY$169&lt;SwaptionFirstMonthPosition+1,$FN228&lt;SwaptionFirstMonthPosition+1,GY$169&gt;SwaptionFirstMonthPosition+SwaptionNumOfMonths+1,$FN228&gt;SwaptionFirstMonthPosition+SwaptionNumOfMonths+1),"",IF($FN228=GY$169,1,IF($FN228&lt;GY$169,INDEX($FO$170:$IH$241,GY$169,$FN228),SUMPRODUCT(INDEX($FO$325:$IH$396,GY$169,1+SwaptionShift):INDEX($FO$325:$IH$396,GY$169,SwaptionMonthsToGo+SwaptionShift),INDEX($FO$245:$IH$316,$FN228-GY$169,73-GY$169+SwaptionShift):INDEX($FO$245:$IH$316,$FN228-GY$169,72-GY$169+SwaptionMonthsToGo+SwaptionShift))/SQRT(SUM(INDEX($FO383:$IH383,1+SwaptionShift):INDEX($FO383:$IH383,SwaptionMonthsToGo+SwaptionShift))*SUM(INDEX($FO$325:$IH$396,GY$169,1+SwaptionShift):INDEX($FO$325:$IH$396,GY$169,SwaptionMonthsToGo+SwaptionShift))))))</f>
        <v/>
      </c>
      <c r="GZ228" s="469" t="str">
        <f ca="1">IF(OR(GZ$169&lt;SwaptionFirstMonthPosition+1,$FN228&lt;SwaptionFirstMonthPosition+1,GZ$169&gt;SwaptionFirstMonthPosition+SwaptionNumOfMonths+1,$FN228&gt;SwaptionFirstMonthPosition+SwaptionNumOfMonths+1),"",IF($FN228=GZ$169,1,IF($FN228&lt;GZ$169,INDEX($FO$170:$IH$241,GZ$169,$FN228),SUMPRODUCT(INDEX($FO$325:$IH$396,GZ$169,1+SwaptionShift):INDEX($FO$325:$IH$396,GZ$169,SwaptionMonthsToGo+SwaptionShift),INDEX($FO$245:$IH$316,$FN228-GZ$169,73-GZ$169+SwaptionShift):INDEX($FO$245:$IH$316,$FN228-GZ$169,72-GZ$169+SwaptionMonthsToGo+SwaptionShift))/SQRT(SUM(INDEX($FO383:$IH383,1+SwaptionShift):INDEX($FO383:$IH383,SwaptionMonthsToGo+SwaptionShift))*SUM(INDEX($FO$325:$IH$396,GZ$169,1+SwaptionShift):INDEX($FO$325:$IH$396,GZ$169,SwaptionMonthsToGo+SwaptionShift))))))</f>
        <v/>
      </c>
      <c r="HA228" s="469" t="str">
        <f ca="1">IF(OR(HA$169&lt;SwaptionFirstMonthPosition+1,$FN228&lt;SwaptionFirstMonthPosition+1,HA$169&gt;SwaptionFirstMonthPosition+SwaptionNumOfMonths+1,$FN228&gt;SwaptionFirstMonthPosition+SwaptionNumOfMonths+1),"",IF($FN228=HA$169,1,IF($FN228&lt;HA$169,INDEX($FO$170:$IH$241,HA$169,$FN228),SUMPRODUCT(INDEX($FO$325:$IH$396,HA$169,1+SwaptionShift):INDEX($FO$325:$IH$396,HA$169,SwaptionMonthsToGo+SwaptionShift),INDEX($FO$245:$IH$316,$FN228-HA$169,73-HA$169+SwaptionShift):INDEX($FO$245:$IH$316,$FN228-HA$169,72-HA$169+SwaptionMonthsToGo+SwaptionShift))/SQRT(SUM(INDEX($FO383:$IH383,1+SwaptionShift):INDEX($FO383:$IH383,SwaptionMonthsToGo+SwaptionShift))*SUM(INDEX($FO$325:$IH$396,HA$169,1+SwaptionShift):INDEX($FO$325:$IH$396,HA$169,SwaptionMonthsToGo+SwaptionShift))))))</f>
        <v/>
      </c>
      <c r="HB228" s="469" t="str">
        <f ca="1">IF(OR(HB$169&lt;SwaptionFirstMonthPosition+1,$FN228&lt;SwaptionFirstMonthPosition+1,HB$169&gt;SwaptionFirstMonthPosition+SwaptionNumOfMonths+1,$FN228&gt;SwaptionFirstMonthPosition+SwaptionNumOfMonths+1),"",IF($FN228=HB$169,1,IF($FN228&lt;HB$169,INDEX($FO$170:$IH$241,HB$169,$FN228),SUMPRODUCT(INDEX($FO$325:$IH$396,HB$169,1+SwaptionShift):INDEX($FO$325:$IH$396,HB$169,SwaptionMonthsToGo+SwaptionShift),INDEX($FO$245:$IH$316,$FN228-HB$169,73-HB$169+SwaptionShift):INDEX($FO$245:$IH$316,$FN228-HB$169,72-HB$169+SwaptionMonthsToGo+SwaptionShift))/SQRT(SUM(INDEX($FO383:$IH383,1+SwaptionShift):INDEX($FO383:$IH383,SwaptionMonthsToGo+SwaptionShift))*SUM(INDEX($FO$325:$IH$396,HB$169,1+SwaptionShift):INDEX($FO$325:$IH$396,HB$169,SwaptionMonthsToGo+SwaptionShift))))))</f>
        <v/>
      </c>
      <c r="HC228" s="469" t="str">
        <f ca="1">IF(OR(HC$169&lt;SwaptionFirstMonthPosition+1,$FN228&lt;SwaptionFirstMonthPosition+1,HC$169&gt;SwaptionFirstMonthPosition+SwaptionNumOfMonths+1,$FN228&gt;SwaptionFirstMonthPosition+SwaptionNumOfMonths+1),"",IF($FN228=HC$169,1,IF($FN228&lt;HC$169,INDEX($FO$170:$IH$241,HC$169,$FN228),SUMPRODUCT(INDEX($FO$325:$IH$396,HC$169,1+SwaptionShift):INDEX($FO$325:$IH$396,HC$169,SwaptionMonthsToGo+SwaptionShift),INDEX($FO$245:$IH$316,$FN228-HC$169,73-HC$169+SwaptionShift):INDEX($FO$245:$IH$316,$FN228-HC$169,72-HC$169+SwaptionMonthsToGo+SwaptionShift))/SQRT(SUM(INDEX($FO383:$IH383,1+SwaptionShift):INDEX($FO383:$IH383,SwaptionMonthsToGo+SwaptionShift))*SUM(INDEX($FO$325:$IH$396,HC$169,1+SwaptionShift):INDEX($FO$325:$IH$396,HC$169,SwaptionMonthsToGo+SwaptionShift))))))</f>
        <v/>
      </c>
      <c r="HD228" s="469" t="str">
        <f ca="1">IF(OR(HD$169&lt;SwaptionFirstMonthPosition+1,$FN228&lt;SwaptionFirstMonthPosition+1,HD$169&gt;SwaptionFirstMonthPosition+SwaptionNumOfMonths+1,$FN228&gt;SwaptionFirstMonthPosition+SwaptionNumOfMonths+1),"",IF($FN228=HD$169,1,IF($FN228&lt;HD$169,INDEX($FO$170:$IH$241,HD$169,$FN228),SUMPRODUCT(INDEX($FO$325:$IH$396,HD$169,1+SwaptionShift):INDEX($FO$325:$IH$396,HD$169,SwaptionMonthsToGo+SwaptionShift),INDEX($FO$245:$IH$316,$FN228-HD$169,73-HD$169+SwaptionShift):INDEX($FO$245:$IH$316,$FN228-HD$169,72-HD$169+SwaptionMonthsToGo+SwaptionShift))/SQRT(SUM(INDEX($FO383:$IH383,1+SwaptionShift):INDEX($FO383:$IH383,SwaptionMonthsToGo+SwaptionShift))*SUM(INDEX($FO$325:$IH$396,HD$169,1+SwaptionShift):INDEX($FO$325:$IH$396,HD$169,SwaptionMonthsToGo+SwaptionShift))))))</f>
        <v/>
      </c>
      <c r="HE228" s="469" t="str">
        <f ca="1">IF(OR(HE$169&lt;SwaptionFirstMonthPosition+1,$FN228&lt;SwaptionFirstMonthPosition+1,HE$169&gt;SwaptionFirstMonthPosition+SwaptionNumOfMonths+1,$FN228&gt;SwaptionFirstMonthPosition+SwaptionNumOfMonths+1),"",IF($FN228=HE$169,1,IF($FN228&lt;HE$169,INDEX($FO$170:$IH$241,HE$169,$FN228),SUMPRODUCT(INDEX($FO$325:$IH$396,HE$169,1+SwaptionShift):INDEX($FO$325:$IH$396,HE$169,SwaptionMonthsToGo+SwaptionShift),INDEX($FO$245:$IH$316,$FN228-HE$169,73-HE$169+SwaptionShift):INDEX($FO$245:$IH$316,$FN228-HE$169,72-HE$169+SwaptionMonthsToGo+SwaptionShift))/SQRT(SUM(INDEX($FO383:$IH383,1+SwaptionShift):INDEX($FO383:$IH383,SwaptionMonthsToGo+SwaptionShift))*SUM(INDEX($FO$325:$IH$396,HE$169,1+SwaptionShift):INDEX($FO$325:$IH$396,HE$169,SwaptionMonthsToGo+SwaptionShift))))))</f>
        <v/>
      </c>
      <c r="HF228" s="469" t="str">
        <f ca="1">IF(OR(HF$169&lt;SwaptionFirstMonthPosition+1,$FN228&lt;SwaptionFirstMonthPosition+1,HF$169&gt;SwaptionFirstMonthPosition+SwaptionNumOfMonths+1,$FN228&gt;SwaptionFirstMonthPosition+SwaptionNumOfMonths+1),"",IF($FN228=HF$169,1,IF($FN228&lt;HF$169,INDEX($FO$170:$IH$241,HF$169,$FN228),SUMPRODUCT(INDEX($FO$325:$IH$396,HF$169,1+SwaptionShift):INDEX($FO$325:$IH$396,HF$169,SwaptionMonthsToGo+SwaptionShift),INDEX($FO$245:$IH$316,$FN228-HF$169,73-HF$169+SwaptionShift):INDEX($FO$245:$IH$316,$FN228-HF$169,72-HF$169+SwaptionMonthsToGo+SwaptionShift))/SQRT(SUM(INDEX($FO383:$IH383,1+SwaptionShift):INDEX($FO383:$IH383,SwaptionMonthsToGo+SwaptionShift))*SUM(INDEX($FO$325:$IH$396,HF$169,1+SwaptionShift):INDEX($FO$325:$IH$396,HF$169,SwaptionMonthsToGo+SwaptionShift))))))</f>
        <v/>
      </c>
      <c r="HG228" s="469" t="str">
        <f ca="1">IF(OR(HG$169&lt;SwaptionFirstMonthPosition+1,$FN228&lt;SwaptionFirstMonthPosition+1,HG$169&gt;SwaptionFirstMonthPosition+SwaptionNumOfMonths+1,$FN228&gt;SwaptionFirstMonthPosition+SwaptionNumOfMonths+1),"",IF($FN228=HG$169,1,IF($FN228&lt;HG$169,INDEX($FO$170:$IH$241,HG$169,$FN228),SUMPRODUCT(INDEX($FO$325:$IH$396,HG$169,1+SwaptionShift):INDEX($FO$325:$IH$396,HG$169,SwaptionMonthsToGo+SwaptionShift),INDEX($FO$245:$IH$316,$FN228-HG$169,73-HG$169+SwaptionShift):INDEX($FO$245:$IH$316,$FN228-HG$169,72-HG$169+SwaptionMonthsToGo+SwaptionShift))/SQRT(SUM(INDEX($FO383:$IH383,1+SwaptionShift):INDEX($FO383:$IH383,SwaptionMonthsToGo+SwaptionShift))*SUM(INDEX($FO$325:$IH$396,HG$169,1+SwaptionShift):INDEX($FO$325:$IH$396,HG$169,SwaptionMonthsToGo+SwaptionShift))))))</f>
        <v/>
      </c>
      <c r="HH228" s="469" t="str">
        <f ca="1">IF(OR(HH$169&lt;SwaptionFirstMonthPosition+1,$FN228&lt;SwaptionFirstMonthPosition+1,HH$169&gt;SwaptionFirstMonthPosition+SwaptionNumOfMonths+1,$FN228&gt;SwaptionFirstMonthPosition+SwaptionNumOfMonths+1),"",IF($FN228=HH$169,1,IF($FN228&lt;HH$169,INDEX($FO$170:$IH$241,HH$169,$FN228),SUMPRODUCT(INDEX($FO$325:$IH$396,HH$169,1+SwaptionShift):INDEX($FO$325:$IH$396,HH$169,SwaptionMonthsToGo+SwaptionShift),INDEX($FO$245:$IH$316,$FN228-HH$169,73-HH$169+SwaptionShift):INDEX($FO$245:$IH$316,$FN228-HH$169,72-HH$169+SwaptionMonthsToGo+SwaptionShift))/SQRT(SUM(INDEX($FO383:$IH383,1+SwaptionShift):INDEX($FO383:$IH383,SwaptionMonthsToGo+SwaptionShift))*SUM(INDEX($FO$325:$IH$396,HH$169,1+SwaptionShift):INDEX($FO$325:$IH$396,HH$169,SwaptionMonthsToGo+SwaptionShift))))))</f>
        <v/>
      </c>
      <c r="HI228" s="469" t="str">
        <f ca="1">IF(OR(HI$169&lt;SwaptionFirstMonthPosition+1,$FN228&lt;SwaptionFirstMonthPosition+1,HI$169&gt;SwaptionFirstMonthPosition+SwaptionNumOfMonths+1,$FN228&gt;SwaptionFirstMonthPosition+SwaptionNumOfMonths+1),"",IF($FN228=HI$169,1,IF($FN228&lt;HI$169,INDEX($FO$170:$IH$241,HI$169,$FN228),SUMPRODUCT(INDEX($FO$325:$IH$396,HI$169,1+SwaptionShift):INDEX($FO$325:$IH$396,HI$169,SwaptionMonthsToGo+SwaptionShift),INDEX($FO$245:$IH$316,$FN228-HI$169,73-HI$169+SwaptionShift):INDEX($FO$245:$IH$316,$FN228-HI$169,72-HI$169+SwaptionMonthsToGo+SwaptionShift))/SQRT(SUM(INDEX($FO383:$IH383,1+SwaptionShift):INDEX($FO383:$IH383,SwaptionMonthsToGo+SwaptionShift))*SUM(INDEX($FO$325:$IH$396,HI$169,1+SwaptionShift):INDEX($FO$325:$IH$396,HI$169,SwaptionMonthsToGo+SwaptionShift))))))</f>
        <v/>
      </c>
      <c r="HJ228" s="469" t="str">
        <f ca="1">IF(OR(HJ$169&lt;SwaptionFirstMonthPosition+1,$FN228&lt;SwaptionFirstMonthPosition+1,HJ$169&gt;SwaptionFirstMonthPosition+SwaptionNumOfMonths+1,$FN228&gt;SwaptionFirstMonthPosition+SwaptionNumOfMonths+1),"",IF($FN228=HJ$169,1,IF($FN228&lt;HJ$169,INDEX($FO$170:$IH$241,HJ$169,$FN228),SUMPRODUCT(INDEX($FO$325:$IH$396,HJ$169,1+SwaptionShift):INDEX($FO$325:$IH$396,HJ$169,SwaptionMonthsToGo+SwaptionShift),INDEX($FO$245:$IH$316,$FN228-HJ$169,73-HJ$169+SwaptionShift):INDEX($FO$245:$IH$316,$FN228-HJ$169,72-HJ$169+SwaptionMonthsToGo+SwaptionShift))/SQRT(SUM(INDEX($FO383:$IH383,1+SwaptionShift):INDEX($FO383:$IH383,SwaptionMonthsToGo+SwaptionShift))*SUM(INDEX($FO$325:$IH$396,HJ$169,1+SwaptionShift):INDEX($FO$325:$IH$396,HJ$169,SwaptionMonthsToGo+SwaptionShift))))))</f>
        <v/>
      </c>
      <c r="HK228" s="469" t="str">
        <f ca="1">IF(OR(HK$169&lt;SwaptionFirstMonthPosition+1,$FN228&lt;SwaptionFirstMonthPosition+1,HK$169&gt;SwaptionFirstMonthPosition+SwaptionNumOfMonths+1,$FN228&gt;SwaptionFirstMonthPosition+SwaptionNumOfMonths+1),"",IF($FN228=HK$169,1,IF($FN228&lt;HK$169,INDEX($FO$170:$IH$241,HK$169,$FN228),SUMPRODUCT(INDEX($FO$325:$IH$396,HK$169,1+SwaptionShift):INDEX($FO$325:$IH$396,HK$169,SwaptionMonthsToGo+SwaptionShift),INDEX($FO$245:$IH$316,$FN228-HK$169,73-HK$169+SwaptionShift):INDEX($FO$245:$IH$316,$FN228-HK$169,72-HK$169+SwaptionMonthsToGo+SwaptionShift))/SQRT(SUM(INDEX($FO383:$IH383,1+SwaptionShift):INDEX($FO383:$IH383,SwaptionMonthsToGo+SwaptionShift))*SUM(INDEX($FO$325:$IH$396,HK$169,1+SwaptionShift):INDEX($FO$325:$IH$396,HK$169,SwaptionMonthsToGo+SwaptionShift))))))</f>
        <v/>
      </c>
      <c r="HL228" s="469" t="str">
        <f ca="1">IF(OR(HL$169&lt;SwaptionFirstMonthPosition+1,$FN228&lt;SwaptionFirstMonthPosition+1,HL$169&gt;SwaptionFirstMonthPosition+SwaptionNumOfMonths+1,$FN228&gt;SwaptionFirstMonthPosition+SwaptionNumOfMonths+1),"",IF($FN228=HL$169,1,IF($FN228&lt;HL$169,INDEX($FO$170:$IH$241,HL$169,$FN228),SUMPRODUCT(INDEX($FO$325:$IH$396,HL$169,1+SwaptionShift):INDEX($FO$325:$IH$396,HL$169,SwaptionMonthsToGo+SwaptionShift),INDEX($FO$245:$IH$316,$FN228-HL$169,73-HL$169+SwaptionShift):INDEX($FO$245:$IH$316,$FN228-HL$169,72-HL$169+SwaptionMonthsToGo+SwaptionShift))/SQRT(SUM(INDEX($FO383:$IH383,1+SwaptionShift):INDEX($FO383:$IH383,SwaptionMonthsToGo+SwaptionShift))*SUM(INDEX($FO$325:$IH$396,HL$169,1+SwaptionShift):INDEX($FO$325:$IH$396,HL$169,SwaptionMonthsToGo+SwaptionShift))))))</f>
        <v/>
      </c>
      <c r="HM228" s="469" t="str">
        <f ca="1">IF(OR(HM$169&lt;SwaptionFirstMonthPosition+1,$FN228&lt;SwaptionFirstMonthPosition+1,HM$169&gt;SwaptionFirstMonthPosition+SwaptionNumOfMonths+1,$FN228&gt;SwaptionFirstMonthPosition+SwaptionNumOfMonths+1),"",IF($FN228=HM$169,1,IF($FN228&lt;HM$169,INDEX($FO$170:$IH$241,HM$169,$FN228),SUMPRODUCT(INDEX($FO$325:$IH$396,HM$169,1+SwaptionShift):INDEX($FO$325:$IH$396,HM$169,SwaptionMonthsToGo+SwaptionShift),INDEX($FO$245:$IH$316,$FN228-HM$169,73-HM$169+SwaptionShift):INDEX($FO$245:$IH$316,$FN228-HM$169,72-HM$169+SwaptionMonthsToGo+SwaptionShift))/SQRT(SUM(INDEX($FO383:$IH383,1+SwaptionShift):INDEX($FO383:$IH383,SwaptionMonthsToGo+SwaptionShift))*SUM(INDEX($FO$325:$IH$396,HM$169,1+SwaptionShift):INDEX($FO$325:$IH$396,HM$169,SwaptionMonthsToGo+SwaptionShift))))))</f>
        <v/>
      </c>
      <c r="HN228" s="469" t="str">
        <f ca="1">IF(OR(HN$169&lt;SwaptionFirstMonthPosition+1,$FN228&lt;SwaptionFirstMonthPosition+1,HN$169&gt;SwaptionFirstMonthPosition+SwaptionNumOfMonths+1,$FN228&gt;SwaptionFirstMonthPosition+SwaptionNumOfMonths+1),"",IF($FN228=HN$169,1,IF($FN228&lt;HN$169,INDEX($FO$170:$IH$241,HN$169,$FN228),SUMPRODUCT(INDEX($FO$325:$IH$396,HN$169,1+SwaptionShift):INDEX($FO$325:$IH$396,HN$169,SwaptionMonthsToGo+SwaptionShift),INDEX($FO$245:$IH$316,$FN228-HN$169,73-HN$169+SwaptionShift):INDEX($FO$245:$IH$316,$FN228-HN$169,72-HN$169+SwaptionMonthsToGo+SwaptionShift))/SQRT(SUM(INDEX($FO383:$IH383,1+SwaptionShift):INDEX($FO383:$IH383,SwaptionMonthsToGo+SwaptionShift))*SUM(INDEX($FO$325:$IH$396,HN$169,1+SwaptionShift):INDEX($FO$325:$IH$396,HN$169,SwaptionMonthsToGo+SwaptionShift))))))</f>
        <v/>
      </c>
      <c r="HO228" s="469" t="str">
        <f ca="1">IF(OR(HO$169&lt;SwaptionFirstMonthPosition+1,$FN228&lt;SwaptionFirstMonthPosition+1,HO$169&gt;SwaptionFirstMonthPosition+SwaptionNumOfMonths+1,$FN228&gt;SwaptionFirstMonthPosition+SwaptionNumOfMonths+1),"",IF($FN228=HO$169,1,IF($FN228&lt;HO$169,INDEX($FO$170:$IH$241,HO$169,$FN228),SUMPRODUCT(INDEX($FO$325:$IH$396,HO$169,1+SwaptionShift):INDEX($FO$325:$IH$396,HO$169,SwaptionMonthsToGo+SwaptionShift),INDEX($FO$245:$IH$316,$FN228-HO$169,73-HO$169+SwaptionShift):INDEX($FO$245:$IH$316,$FN228-HO$169,72-HO$169+SwaptionMonthsToGo+SwaptionShift))/SQRT(SUM(INDEX($FO383:$IH383,1+SwaptionShift):INDEX($FO383:$IH383,SwaptionMonthsToGo+SwaptionShift))*SUM(INDEX($FO$325:$IH$396,HO$169,1+SwaptionShift):INDEX($FO$325:$IH$396,HO$169,SwaptionMonthsToGo+SwaptionShift))))))</f>
        <v/>
      </c>
      <c r="HP228" s="469" t="str">
        <f ca="1">IF(OR(HP$169&lt;SwaptionFirstMonthPosition+1,$FN228&lt;SwaptionFirstMonthPosition+1,HP$169&gt;SwaptionFirstMonthPosition+SwaptionNumOfMonths+1,$FN228&gt;SwaptionFirstMonthPosition+SwaptionNumOfMonths+1),"",IF($FN228=HP$169,1,IF($FN228&lt;HP$169,INDEX($FO$170:$IH$241,HP$169,$FN228),SUMPRODUCT(INDEX($FO$325:$IH$396,HP$169,1+SwaptionShift):INDEX($FO$325:$IH$396,HP$169,SwaptionMonthsToGo+SwaptionShift),INDEX($FO$245:$IH$316,$FN228-HP$169,73-HP$169+SwaptionShift):INDEX($FO$245:$IH$316,$FN228-HP$169,72-HP$169+SwaptionMonthsToGo+SwaptionShift))/SQRT(SUM(INDEX($FO383:$IH383,1+SwaptionShift):INDEX($FO383:$IH383,SwaptionMonthsToGo+SwaptionShift))*SUM(INDEX($FO$325:$IH$396,HP$169,1+SwaptionShift):INDEX($FO$325:$IH$396,HP$169,SwaptionMonthsToGo+SwaptionShift))))))</f>
        <v/>
      </c>
      <c r="HQ228" s="469" t="str">
        <f ca="1">IF(OR(HQ$169&lt;SwaptionFirstMonthPosition+1,$FN228&lt;SwaptionFirstMonthPosition+1,HQ$169&gt;SwaptionFirstMonthPosition+SwaptionNumOfMonths+1,$FN228&gt;SwaptionFirstMonthPosition+SwaptionNumOfMonths+1),"",IF($FN228=HQ$169,1,IF($FN228&lt;HQ$169,INDEX($FO$170:$IH$241,HQ$169,$FN228),SUMPRODUCT(INDEX($FO$325:$IH$396,HQ$169,1+SwaptionShift):INDEX($FO$325:$IH$396,HQ$169,SwaptionMonthsToGo+SwaptionShift),INDEX($FO$245:$IH$316,$FN228-HQ$169,73-HQ$169+SwaptionShift):INDEX($FO$245:$IH$316,$FN228-HQ$169,72-HQ$169+SwaptionMonthsToGo+SwaptionShift))/SQRT(SUM(INDEX($FO383:$IH383,1+SwaptionShift):INDEX($FO383:$IH383,SwaptionMonthsToGo+SwaptionShift))*SUM(INDEX($FO$325:$IH$396,HQ$169,1+SwaptionShift):INDEX($FO$325:$IH$396,HQ$169,SwaptionMonthsToGo+SwaptionShift))))))</f>
        <v/>
      </c>
      <c r="HR228" s="469" t="str">
        <f ca="1">IF(OR(HR$169&lt;SwaptionFirstMonthPosition+1,$FN228&lt;SwaptionFirstMonthPosition+1,HR$169&gt;SwaptionFirstMonthPosition+SwaptionNumOfMonths+1,$FN228&gt;SwaptionFirstMonthPosition+SwaptionNumOfMonths+1),"",IF($FN228=HR$169,1,IF($FN228&lt;HR$169,INDEX($FO$170:$IH$241,HR$169,$FN228),SUMPRODUCT(INDEX($FO$325:$IH$396,HR$169,1+SwaptionShift):INDEX($FO$325:$IH$396,HR$169,SwaptionMonthsToGo+SwaptionShift),INDEX($FO$245:$IH$316,$FN228-HR$169,73-HR$169+SwaptionShift):INDEX($FO$245:$IH$316,$FN228-HR$169,72-HR$169+SwaptionMonthsToGo+SwaptionShift))/SQRT(SUM(INDEX($FO383:$IH383,1+SwaptionShift):INDEX($FO383:$IH383,SwaptionMonthsToGo+SwaptionShift))*SUM(INDEX($FO$325:$IH$396,HR$169,1+SwaptionShift):INDEX($FO$325:$IH$396,HR$169,SwaptionMonthsToGo+SwaptionShift))))))</f>
        <v/>
      </c>
      <c r="HS228" s="469" t="str">
        <f ca="1">IF(OR(HS$169&lt;SwaptionFirstMonthPosition+1,$FN228&lt;SwaptionFirstMonthPosition+1,HS$169&gt;SwaptionFirstMonthPosition+SwaptionNumOfMonths+1,$FN228&gt;SwaptionFirstMonthPosition+SwaptionNumOfMonths+1),"",IF($FN228=HS$169,1,IF($FN228&lt;HS$169,INDEX($FO$170:$IH$241,HS$169,$FN228),SUMPRODUCT(INDEX($FO$325:$IH$396,HS$169,1+SwaptionShift):INDEX($FO$325:$IH$396,HS$169,SwaptionMonthsToGo+SwaptionShift),INDEX($FO$245:$IH$316,$FN228-HS$169,73-HS$169+SwaptionShift):INDEX($FO$245:$IH$316,$FN228-HS$169,72-HS$169+SwaptionMonthsToGo+SwaptionShift))/SQRT(SUM(INDEX($FO383:$IH383,1+SwaptionShift):INDEX($FO383:$IH383,SwaptionMonthsToGo+SwaptionShift))*SUM(INDEX($FO$325:$IH$396,HS$169,1+SwaptionShift):INDEX($FO$325:$IH$396,HS$169,SwaptionMonthsToGo+SwaptionShift))))))</f>
        <v/>
      </c>
      <c r="HT228" s="469" t="str">
        <f ca="1">IF(OR(HT$169&lt;SwaptionFirstMonthPosition+1,$FN228&lt;SwaptionFirstMonthPosition+1,HT$169&gt;SwaptionFirstMonthPosition+SwaptionNumOfMonths+1,$FN228&gt;SwaptionFirstMonthPosition+SwaptionNumOfMonths+1),"",IF($FN228=HT$169,1,IF($FN228&lt;HT$169,INDEX($FO$170:$IH$241,HT$169,$FN228),SUMPRODUCT(INDEX($FO$325:$IH$396,HT$169,1+SwaptionShift):INDEX($FO$325:$IH$396,HT$169,SwaptionMonthsToGo+SwaptionShift),INDEX($FO$245:$IH$316,$FN228-HT$169,73-HT$169+SwaptionShift):INDEX($FO$245:$IH$316,$FN228-HT$169,72-HT$169+SwaptionMonthsToGo+SwaptionShift))/SQRT(SUM(INDEX($FO383:$IH383,1+SwaptionShift):INDEX($FO383:$IH383,SwaptionMonthsToGo+SwaptionShift))*SUM(INDEX($FO$325:$IH$396,HT$169,1+SwaptionShift):INDEX($FO$325:$IH$396,HT$169,SwaptionMonthsToGo+SwaptionShift))))))</f>
        <v/>
      </c>
      <c r="HU228" s="469" t="str">
        <f ca="1">IF(OR(HU$169&lt;SwaptionFirstMonthPosition+1,$FN228&lt;SwaptionFirstMonthPosition+1,HU$169&gt;SwaptionFirstMonthPosition+SwaptionNumOfMonths+1,$FN228&gt;SwaptionFirstMonthPosition+SwaptionNumOfMonths+1),"",IF($FN228=HU$169,1,IF($FN228&lt;HU$169,INDEX($FO$170:$IH$241,HU$169,$FN228),SUMPRODUCT(INDEX($FO$325:$IH$396,HU$169,1+SwaptionShift):INDEX($FO$325:$IH$396,HU$169,SwaptionMonthsToGo+SwaptionShift),INDEX($FO$245:$IH$316,$FN228-HU$169,73-HU$169+SwaptionShift):INDEX($FO$245:$IH$316,$FN228-HU$169,72-HU$169+SwaptionMonthsToGo+SwaptionShift))/SQRT(SUM(INDEX($FO383:$IH383,1+SwaptionShift):INDEX($FO383:$IH383,SwaptionMonthsToGo+SwaptionShift))*SUM(INDEX($FO$325:$IH$396,HU$169,1+SwaptionShift):INDEX($FO$325:$IH$396,HU$169,SwaptionMonthsToGo+SwaptionShift))))))</f>
        <v/>
      </c>
      <c r="HV228" s="469" t="str">
        <f ca="1">IF(OR(HV$169&lt;SwaptionFirstMonthPosition+1,$FN228&lt;SwaptionFirstMonthPosition+1,HV$169&gt;SwaptionFirstMonthPosition+SwaptionNumOfMonths+1,$FN228&gt;SwaptionFirstMonthPosition+SwaptionNumOfMonths+1),"",IF($FN228=HV$169,1,IF($FN228&lt;HV$169,INDEX($FO$170:$IH$241,HV$169,$FN228),SUMPRODUCT(INDEX($FO$325:$IH$396,HV$169,1+SwaptionShift):INDEX($FO$325:$IH$396,HV$169,SwaptionMonthsToGo+SwaptionShift),INDEX($FO$245:$IH$316,$FN228-HV$169,73-HV$169+SwaptionShift):INDEX($FO$245:$IH$316,$FN228-HV$169,72-HV$169+SwaptionMonthsToGo+SwaptionShift))/SQRT(SUM(INDEX($FO383:$IH383,1+SwaptionShift):INDEX($FO383:$IH383,SwaptionMonthsToGo+SwaptionShift))*SUM(INDEX($FO$325:$IH$396,HV$169,1+SwaptionShift):INDEX($FO$325:$IH$396,HV$169,SwaptionMonthsToGo+SwaptionShift))))))</f>
        <v/>
      </c>
      <c r="HW228" s="469" t="str">
        <f ca="1">IF(OR(HW$169&lt;SwaptionFirstMonthPosition+1,$FN228&lt;SwaptionFirstMonthPosition+1,HW$169&gt;SwaptionFirstMonthPosition+SwaptionNumOfMonths+1,$FN228&gt;SwaptionFirstMonthPosition+SwaptionNumOfMonths+1),"",IF($FN228=HW$169,1,IF($FN228&lt;HW$169,INDEX($FO$170:$IH$241,HW$169,$FN228),SUMPRODUCT(INDEX($FO$325:$IH$396,HW$169,1+SwaptionShift):INDEX($FO$325:$IH$396,HW$169,SwaptionMonthsToGo+SwaptionShift),INDEX($FO$245:$IH$316,$FN228-HW$169,73-HW$169+SwaptionShift):INDEX($FO$245:$IH$316,$FN228-HW$169,72-HW$169+SwaptionMonthsToGo+SwaptionShift))/SQRT(SUM(INDEX($FO383:$IH383,1+SwaptionShift):INDEX($FO383:$IH383,SwaptionMonthsToGo+SwaptionShift))*SUM(INDEX($FO$325:$IH$396,HW$169,1+SwaptionShift):INDEX($FO$325:$IH$396,HW$169,SwaptionMonthsToGo+SwaptionShift))))))</f>
        <v/>
      </c>
      <c r="HX228" s="469" t="str">
        <f ca="1">IF(OR(HX$169&lt;SwaptionFirstMonthPosition+1,$FN228&lt;SwaptionFirstMonthPosition+1,HX$169&gt;SwaptionFirstMonthPosition+SwaptionNumOfMonths+1,$FN228&gt;SwaptionFirstMonthPosition+SwaptionNumOfMonths+1),"",IF($FN228=HX$169,1,IF($FN228&lt;HX$169,INDEX($FO$170:$IH$241,HX$169,$FN228),SUMPRODUCT(INDEX($FO$325:$IH$396,HX$169,1+SwaptionShift):INDEX($FO$325:$IH$396,HX$169,SwaptionMonthsToGo+SwaptionShift),INDEX($FO$245:$IH$316,$FN228-HX$169,73-HX$169+SwaptionShift):INDEX($FO$245:$IH$316,$FN228-HX$169,72-HX$169+SwaptionMonthsToGo+SwaptionShift))/SQRT(SUM(INDEX($FO383:$IH383,1+SwaptionShift):INDEX($FO383:$IH383,SwaptionMonthsToGo+SwaptionShift))*SUM(INDEX($FO$325:$IH$396,HX$169,1+SwaptionShift):INDEX($FO$325:$IH$396,HX$169,SwaptionMonthsToGo+SwaptionShift))))))</f>
        <v/>
      </c>
      <c r="HY228" s="469" t="str">
        <f ca="1">IF(OR(HY$169&lt;SwaptionFirstMonthPosition+1,$FN228&lt;SwaptionFirstMonthPosition+1,HY$169&gt;SwaptionFirstMonthPosition+SwaptionNumOfMonths+1,$FN228&gt;SwaptionFirstMonthPosition+SwaptionNumOfMonths+1),"",IF($FN228=HY$169,1,IF($FN228&lt;HY$169,INDEX($FO$170:$IH$241,HY$169,$FN228),SUMPRODUCT(INDEX($FO$325:$IH$396,HY$169,1+SwaptionShift):INDEX($FO$325:$IH$396,HY$169,SwaptionMonthsToGo+SwaptionShift),INDEX($FO$245:$IH$316,$FN228-HY$169,73-HY$169+SwaptionShift):INDEX($FO$245:$IH$316,$FN228-HY$169,72-HY$169+SwaptionMonthsToGo+SwaptionShift))/SQRT(SUM(INDEX($FO383:$IH383,1+SwaptionShift):INDEX($FO383:$IH383,SwaptionMonthsToGo+SwaptionShift))*SUM(INDEX($FO$325:$IH$396,HY$169,1+SwaptionShift):INDEX($FO$325:$IH$396,HY$169,SwaptionMonthsToGo+SwaptionShift))))))</f>
        <v/>
      </c>
      <c r="HZ228" s="469" t="str">
        <f ca="1">IF(OR(HZ$169&lt;SwaptionFirstMonthPosition+1,$FN228&lt;SwaptionFirstMonthPosition+1,HZ$169&gt;SwaptionFirstMonthPosition+SwaptionNumOfMonths+1,$FN228&gt;SwaptionFirstMonthPosition+SwaptionNumOfMonths+1),"",IF($FN228=HZ$169,1,IF($FN228&lt;HZ$169,INDEX($FO$170:$IH$241,HZ$169,$FN228),SUMPRODUCT(INDEX($FO$325:$IH$396,HZ$169,1+SwaptionShift):INDEX($FO$325:$IH$396,HZ$169,SwaptionMonthsToGo+SwaptionShift),INDEX($FO$245:$IH$316,$FN228-HZ$169,73-HZ$169+SwaptionShift):INDEX($FO$245:$IH$316,$FN228-HZ$169,72-HZ$169+SwaptionMonthsToGo+SwaptionShift))/SQRT(SUM(INDEX($FO383:$IH383,1+SwaptionShift):INDEX($FO383:$IH383,SwaptionMonthsToGo+SwaptionShift))*SUM(INDEX($FO$325:$IH$396,HZ$169,1+SwaptionShift):INDEX($FO$325:$IH$396,HZ$169,SwaptionMonthsToGo+SwaptionShift))))))</f>
        <v/>
      </c>
      <c r="IA228" s="469" t="str">
        <f ca="1">IF(OR(IA$169&lt;SwaptionFirstMonthPosition+1,$FN228&lt;SwaptionFirstMonthPosition+1,IA$169&gt;SwaptionFirstMonthPosition+SwaptionNumOfMonths+1,$FN228&gt;SwaptionFirstMonthPosition+SwaptionNumOfMonths+1),"",IF($FN228=IA$169,1,IF($FN228&lt;IA$169,INDEX($FO$170:$IH$241,IA$169,$FN228),SUMPRODUCT(INDEX($FO$325:$IH$396,IA$169,1+SwaptionShift):INDEX($FO$325:$IH$396,IA$169,SwaptionMonthsToGo+SwaptionShift),INDEX($FO$245:$IH$316,$FN228-IA$169,73-IA$169+SwaptionShift):INDEX($FO$245:$IH$316,$FN228-IA$169,72-IA$169+SwaptionMonthsToGo+SwaptionShift))/SQRT(SUM(INDEX($FO383:$IH383,1+SwaptionShift):INDEX($FO383:$IH383,SwaptionMonthsToGo+SwaptionShift))*SUM(INDEX($FO$325:$IH$396,IA$169,1+SwaptionShift):INDEX($FO$325:$IH$396,IA$169,SwaptionMonthsToGo+SwaptionShift))))))</f>
        <v/>
      </c>
      <c r="IB228" s="469" t="str">
        <f ca="1">IF(OR(IB$169&lt;SwaptionFirstMonthPosition+1,$FN228&lt;SwaptionFirstMonthPosition+1,IB$169&gt;SwaptionFirstMonthPosition+SwaptionNumOfMonths+1,$FN228&gt;SwaptionFirstMonthPosition+SwaptionNumOfMonths+1),"",IF($FN228=IB$169,1,IF($FN228&lt;IB$169,INDEX($FO$170:$IH$241,IB$169,$FN228),SUMPRODUCT(INDEX($FO$325:$IH$396,IB$169,1+SwaptionShift):INDEX($FO$325:$IH$396,IB$169,SwaptionMonthsToGo+SwaptionShift),INDEX($FO$245:$IH$316,$FN228-IB$169,73-IB$169+SwaptionShift):INDEX($FO$245:$IH$316,$FN228-IB$169,72-IB$169+SwaptionMonthsToGo+SwaptionShift))/SQRT(SUM(INDEX($FO383:$IH383,1+SwaptionShift):INDEX($FO383:$IH383,SwaptionMonthsToGo+SwaptionShift))*SUM(INDEX($FO$325:$IH$396,IB$169,1+SwaptionShift):INDEX($FO$325:$IH$396,IB$169,SwaptionMonthsToGo+SwaptionShift))))))</f>
        <v/>
      </c>
      <c r="IC228" s="469" t="str">
        <f ca="1">IF(OR(IC$169&lt;SwaptionFirstMonthPosition+1,$FN228&lt;SwaptionFirstMonthPosition+1,IC$169&gt;SwaptionFirstMonthPosition+SwaptionNumOfMonths+1,$FN228&gt;SwaptionFirstMonthPosition+SwaptionNumOfMonths+1),"",IF($FN228=IC$169,1,IF($FN228&lt;IC$169,INDEX($FO$170:$IH$241,IC$169,$FN228),SUMPRODUCT(INDEX($FO$325:$IH$396,IC$169,1+SwaptionShift):INDEX($FO$325:$IH$396,IC$169,SwaptionMonthsToGo+SwaptionShift),INDEX($FO$245:$IH$316,$FN228-IC$169,73-IC$169+SwaptionShift):INDEX($FO$245:$IH$316,$FN228-IC$169,72-IC$169+SwaptionMonthsToGo+SwaptionShift))/SQRT(SUM(INDEX($FO383:$IH383,1+SwaptionShift):INDEX($FO383:$IH383,SwaptionMonthsToGo+SwaptionShift))*SUM(INDEX($FO$325:$IH$396,IC$169,1+SwaptionShift):INDEX($FO$325:$IH$396,IC$169,SwaptionMonthsToGo+SwaptionShift))))))</f>
        <v/>
      </c>
      <c r="ID228" s="469" t="str">
        <f ca="1">IF(OR(ID$169&lt;SwaptionFirstMonthPosition+1,$FN228&lt;SwaptionFirstMonthPosition+1,ID$169&gt;SwaptionFirstMonthPosition+SwaptionNumOfMonths+1,$FN228&gt;SwaptionFirstMonthPosition+SwaptionNumOfMonths+1),"",IF($FN228=ID$169,1,IF($FN228&lt;ID$169,INDEX($FO$170:$IH$241,ID$169,$FN228),SUMPRODUCT(INDEX($FO$325:$IH$396,ID$169,1+SwaptionShift):INDEX($FO$325:$IH$396,ID$169,SwaptionMonthsToGo+SwaptionShift),INDEX($FO$245:$IH$316,$FN228-ID$169,73-ID$169+SwaptionShift):INDEX($FO$245:$IH$316,$FN228-ID$169,72-ID$169+SwaptionMonthsToGo+SwaptionShift))/SQRT(SUM(INDEX($FO383:$IH383,1+SwaptionShift):INDEX($FO383:$IH383,SwaptionMonthsToGo+SwaptionShift))*SUM(INDEX($FO$325:$IH$396,ID$169,1+SwaptionShift):INDEX($FO$325:$IH$396,ID$169,SwaptionMonthsToGo+SwaptionShift))))))</f>
        <v/>
      </c>
      <c r="IE228" s="469" t="str">
        <f ca="1">IF(OR(IE$169&lt;SwaptionFirstMonthPosition+1,$FN228&lt;SwaptionFirstMonthPosition+1,IE$169&gt;SwaptionFirstMonthPosition+SwaptionNumOfMonths+1,$FN228&gt;SwaptionFirstMonthPosition+SwaptionNumOfMonths+1),"",IF($FN228=IE$169,1,IF($FN228&lt;IE$169,INDEX($FO$170:$IH$241,IE$169,$FN228),SUMPRODUCT(INDEX($FO$325:$IH$396,IE$169,1+SwaptionShift):INDEX($FO$325:$IH$396,IE$169,SwaptionMonthsToGo+SwaptionShift),INDEX($FO$245:$IH$316,$FN228-IE$169,73-IE$169+SwaptionShift):INDEX($FO$245:$IH$316,$FN228-IE$169,72-IE$169+SwaptionMonthsToGo+SwaptionShift))/SQRT(SUM(INDEX($FO383:$IH383,1+SwaptionShift):INDEX($FO383:$IH383,SwaptionMonthsToGo+SwaptionShift))*SUM(INDEX($FO$325:$IH$396,IE$169,1+SwaptionShift):INDEX($FO$325:$IH$396,IE$169,SwaptionMonthsToGo+SwaptionShift))))))</f>
        <v/>
      </c>
      <c r="IF228" s="469" t="str">
        <f ca="1">IF(OR(IF$169&lt;SwaptionFirstMonthPosition+1,$FN228&lt;SwaptionFirstMonthPosition+1,IF$169&gt;SwaptionFirstMonthPosition+SwaptionNumOfMonths+1,$FN228&gt;SwaptionFirstMonthPosition+SwaptionNumOfMonths+1),"",IF($FN228=IF$169,1,IF($FN228&lt;IF$169,INDEX($FO$170:$IH$241,IF$169,$FN228),SUMPRODUCT(INDEX($FO$325:$IH$396,IF$169,1+SwaptionShift):INDEX($FO$325:$IH$396,IF$169,SwaptionMonthsToGo+SwaptionShift),INDEX($FO$245:$IH$316,$FN228-IF$169,73-IF$169+SwaptionShift):INDEX($FO$245:$IH$316,$FN228-IF$169,72-IF$169+SwaptionMonthsToGo+SwaptionShift))/SQRT(SUM(INDEX($FO383:$IH383,1+SwaptionShift):INDEX($FO383:$IH383,SwaptionMonthsToGo+SwaptionShift))*SUM(INDEX($FO$325:$IH$396,IF$169,1+SwaptionShift):INDEX($FO$325:$IH$396,IF$169,SwaptionMonthsToGo+SwaptionShift))))))</f>
        <v/>
      </c>
      <c r="IG228" s="469" t="str">
        <f ca="1">IF(OR(IG$169&lt;SwaptionFirstMonthPosition+1,$FN228&lt;SwaptionFirstMonthPosition+1,IG$169&gt;SwaptionFirstMonthPosition+SwaptionNumOfMonths+1,$FN228&gt;SwaptionFirstMonthPosition+SwaptionNumOfMonths+1),"",IF($FN228=IG$169,1,IF($FN228&lt;IG$169,INDEX($FO$170:$IH$241,IG$169,$FN228),SUMPRODUCT(INDEX($FO$325:$IH$396,IG$169,1+SwaptionShift):INDEX($FO$325:$IH$396,IG$169,SwaptionMonthsToGo+SwaptionShift),INDEX($FO$245:$IH$316,$FN228-IG$169,73-IG$169+SwaptionShift):INDEX($FO$245:$IH$316,$FN228-IG$169,72-IG$169+SwaptionMonthsToGo+SwaptionShift))/SQRT(SUM(INDEX($FO383:$IH383,1+SwaptionShift):INDEX($FO383:$IH383,SwaptionMonthsToGo+SwaptionShift))*SUM(INDEX($FO$325:$IH$396,IG$169,1+SwaptionShift):INDEX($FO$325:$IH$396,IG$169,SwaptionMonthsToGo+SwaptionShift))))))</f>
        <v/>
      </c>
      <c r="IH228" s="662" t="str">
        <f ca="1">IF(OR(IH$169&lt;SwaptionFirstMonthPosition+1,$FN228&lt;SwaptionFirstMonthPosition+1,IH$169&gt;SwaptionFirstMonthPosition+SwaptionNumOfMonths+1,$FN228&gt;SwaptionFirstMonthPosition+SwaptionNumOfMonths+1),"",IF($FN228=IH$169,1,IF($FN228&lt;IH$169,INDEX($FO$170:$IH$241,IH$169,$FN228),SUMPRODUCT(INDEX($FO$325:$IH$396,IH$169,1+SwaptionShift):INDEX($FO$325:$IH$396,IH$169,SwaptionMonthsToGo+SwaptionShift),INDEX($FO$245:$IH$316,$FN228-IH$169,73-IH$169+SwaptionShift):INDEX($FO$245:$IH$316,$FN228-IH$169,72-IH$169+SwaptionMonthsToGo+SwaptionShift))/SQRT(SUM(INDEX($FO383:$IH383,1+SwaptionShift):INDEX($FO383:$IH383,SwaptionMonthsToGo+SwaptionShift))*SUM(INDEX($FO$325:$IH$396,IH$169,1+SwaptionShift):INDEX($FO$325:$IH$396,IH$169,SwaptionMonthsToGo+SwaptionShift))))))</f>
        <v/>
      </c>
      <c r="II228" s="242"/>
    </row>
    <row r="229" spans="8:243">
      <c r="H229" s="49" t="e">
        <f t="shared" ca="1" si="645"/>
        <v>#N/A</v>
      </c>
      <c r="I229" s="369">
        <f t="shared" si="646"/>
        <v>43374</v>
      </c>
      <c r="J229" s="367">
        <v>24.609999999999797</v>
      </c>
      <c r="K229" s="101" t="s">
        <v>267</v>
      </c>
      <c r="L229" s="382">
        <f t="shared" si="647"/>
        <v>24.609999999999832</v>
      </c>
      <c r="M229" s="163">
        <v>0.1275</v>
      </c>
      <c r="N229" s="372">
        <v>0</v>
      </c>
      <c r="O229" s="163">
        <f t="shared" si="595"/>
        <v>0.1275</v>
      </c>
      <c r="P229" s="367">
        <v>23.212638398483499</v>
      </c>
      <c r="Q229" s="101" t="s">
        <v>267</v>
      </c>
      <c r="R229" s="367">
        <f t="shared" ca="1" si="596"/>
        <v>23.212638398483453</v>
      </c>
      <c r="S229" s="814">
        <f t="shared" si="594"/>
        <v>0.34618145170681824</v>
      </c>
      <c r="T229" s="813">
        <f t="shared" si="660"/>
        <v>0.99999999997866351</v>
      </c>
      <c r="U229" s="532">
        <f t="shared" si="661"/>
        <v>0.99999999999999978</v>
      </c>
      <c r="V229" s="379">
        <v>0</v>
      </c>
      <c r="W229" s="424">
        <f t="shared" si="597"/>
        <v>24.643695652173708</v>
      </c>
      <c r="X229" s="405">
        <f t="shared" si="598"/>
        <v>24.643695652173744</v>
      </c>
      <c r="Y229" s="313">
        <f t="shared" si="599"/>
        <v>23.402095652173706</v>
      </c>
      <c r="Z229" s="313">
        <f t="shared" ca="1" si="600"/>
        <v>23.402095652173742</v>
      </c>
      <c r="AA229" s="419">
        <f t="shared" si="623"/>
        <v>1.2416</v>
      </c>
      <c r="AB229" s="423">
        <f t="shared" ca="1" si="624"/>
        <v>1.2416</v>
      </c>
      <c r="AC229" s="221">
        <v>43363</v>
      </c>
      <c r="AD229" s="221">
        <v>43359</v>
      </c>
      <c r="AE229" s="221">
        <v>43358</v>
      </c>
      <c r="AF229" s="221">
        <v>43354</v>
      </c>
      <c r="AG229" s="241" t="s">
        <v>497</v>
      </c>
      <c r="AH229" s="239" t="s">
        <v>497</v>
      </c>
      <c r="AI229" s="141">
        <v>23</v>
      </c>
      <c r="AJ229" s="41">
        <v>15</v>
      </c>
      <c r="AK229" s="41">
        <v>8</v>
      </c>
      <c r="AL229" s="285">
        <v>23</v>
      </c>
      <c r="AM229" s="41">
        <v>10</v>
      </c>
      <c r="AN229" s="142">
        <v>13</v>
      </c>
      <c r="AO229" s="364">
        <v>6.3282416645719791E-2</v>
      </c>
      <c r="AP229" s="145">
        <f t="shared" ca="1" si="648"/>
        <v>0.33485527944293964</v>
      </c>
      <c r="AQ229" s="364">
        <v>5.9412518464428701E-2</v>
      </c>
      <c r="AR229" s="145">
        <f t="shared" ca="1" si="662"/>
        <v>0.3602675022352661</v>
      </c>
      <c r="AS229" s="264">
        <f t="shared" si="601"/>
        <v>0.1269608695652174</v>
      </c>
      <c r="AT229" s="149">
        <f t="shared" si="649"/>
        <v>0.1275</v>
      </c>
      <c r="AU229" s="149">
        <f t="shared" si="625"/>
        <v>0.12687391304347825</v>
      </c>
      <c r="AV229" s="263">
        <f t="shared" ca="1" si="669"/>
        <v>0.12549741154338384</v>
      </c>
      <c r="AW229" s="150" t="str">
        <f t="shared" ca="1" si="581"/>
        <v/>
      </c>
      <c r="AX229" s="149">
        <f t="shared" ca="1" si="663"/>
        <v>3.3976594595425138E-3</v>
      </c>
      <c r="AY229" s="149">
        <f t="shared" ca="1" si="664"/>
        <v>1.0378618391001574E-3</v>
      </c>
      <c r="AZ229" s="149">
        <f t="shared" ca="1" si="665"/>
        <v>1.2831186962392184E-3</v>
      </c>
      <c r="BA229" s="149">
        <f t="shared" ca="1" si="666"/>
        <v>1.0000000000001127E-4</v>
      </c>
      <c r="BB229" s="149">
        <f t="shared" ca="1" si="667"/>
        <v>1.0000000000001127E-4</v>
      </c>
      <c r="BC229" s="149">
        <f t="shared" ca="1" si="668"/>
        <v>1.0000000000001127E-4</v>
      </c>
      <c r="BD229" s="143">
        <f t="shared" ca="1" si="602"/>
        <v>0</v>
      </c>
      <c r="BE229" s="144">
        <f t="shared" ca="1" si="603"/>
        <v>0</v>
      </c>
      <c r="BF229" s="40">
        <f t="shared" si="604"/>
        <v>2018</v>
      </c>
      <c r="BG229" s="139">
        <f t="shared" si="605"/>
        <v>10</v>
      </c>
      <c r="BH229" s="140">
        <f t="shared" ca="1" si="606"/>
        <v>6369</v>
      </c>
      <c r="BI229" s="304">
        <f t="shared" ca="1" si="607"/>
        <v>17.478439425051334</v>
      </c>
      <c r="BJ229" s="42">
        <f t="shared" ca="1" si="626"/>
        <v>17.532006070886528</v>
      </c>
      <c r="BK229" s="42">
        <f t="shared" ca="1" si="627"/>
        <v>17.534743921673659</v>
      </c>
      <c r="BL229" s="42">
        <f t="shared" ca="1" si="608"/>
        <v>17.560574948665298</v>
      </c>
      <c r="BM229" s="285">
        <f t="shared" si="609"/>
        <v>23</v>
      </c>
      <c r="BN229" s="41">
        <f t="shared" si="610"/>
        <v>15</v>
      </c>
      <c r="BO229" s="41">
        <f t="shared" si="611"/>
        <v>8</v>
      </c>
      <c r="BP229" s="297" t="str">
        <f t="shared" ca="1" si="628"/>
        <v/>
      </c>
      <c r="BQ229" s="297" t="str">
        <f t="shared" ca="1" si="629"/>
        <v/>
      </c>
      <c r="BR229" s="299" t="str">
        <f t="shared" ca="1" si="630"/>
        <v/>
      </c>
      <c r="BS229" s="153" t="str">
        <f t="shared" ca="1" si="631"/>
        <v/>
      </c>
      <c r="BT229" s="153" t="str">
        <f t="shared" ca="1" si="632"/>
        <v/>
      </c>
      <c r="BU229" s="300" t="str">
        <f t="shared" ca="1" si="633"/>
        <v/>
      </c>
      <c r="BV229" s="301" t="str">
        <f t="shared" ca="1" si="634"/>
        <v/>
      </c>
      <c r="BW229" s="300" t="str">
        <f t="shared" ca="1" si="635"/>
        <v/>
      </c>
      <c r="BX229" s="301" t="str">
        <f t="shared" ca="1" si="636"/>
        <v/>
      </c>
      <c r="BY229" s="146" t="str">
        <f t="shared" ca="1" si="637"/>
        <v/>
      </c>
      <c r="BZ229" s="146" t="str">
        <f t="shared" ca="1" si="638"/>
        <v/>
      </c>
      <c r="CA229" s="146" t="str">
        <f t="shared" ca="1" si="639"/>
        <v/>
      </c>
      <c r="CB229" s="146" t="str">
        <f t="shared" ca="1" si="640"/>
        <v/>
      </c>
      <c r="CC229" s="302">
        <v>1</v>
      </c>
      <c r="CD229" s="154">
        <f ca="1">IF(BD229,_xll.xCrudeAPO(BS229,BT229,BY229,BZ229,S230,S231,BI229,BL229,BN229,BO229,0,Strike1,AO229,CC229,0,BL229,IF(OptControl=4,0,1),0,1),0)</f>
        <v>0</v>
      </c>
      <c r="CE229" s="155">
        <f ca="1">IF(BD229,_xll.xCrudeAPO(BS229,BT229,BY229,BZ229,S230,S231,BI229,BL229,BN229,BO229,0,Strike1,AO229,CC229,0,BL229,IF(OptControl=4,0,1),1,1)+_xll.xCrudeAPO(BS229,BT229,BY229,BZ229,S230,S231,BI229,BL229,BN229,BO229,0,Strike1,AO229,CC229,0,BL229,IF(OptControl=4,0,1),1,2)+IF(OR(VolSkewFlag=2,ABS(BQ229)&lt;0.0001),0,IF(BQ229&gt;0,-1,1)*CF229*Strike1/BP229^2*BW229/10%),0)</f>
        <v>0</v>
      </c>
      <c r="CF229" s="155">
        <f ca="1">IF(BD229,(_xll.xCrudeAPO(BS229,BT229,BY229,BZ229,S230,S231,BI229,BL229,BN229,BO229,0,Strike1,AO229,CC229,0,BL229,IF(OptControl=4,0,1),3,1)+_xll.xCrudeAPO(BS229,BT229,BY229,BZ229,S230,S231,BI229,BL229,BN229,BO229,0,Strike1,AO229,CC229,0,BL229,IF(OptControl=4,0,1),3,2))/100,0)</f>
        <v>0</v>
      </c>
      <c r="CG229" s="155">
        <f ca="1">IF(BD229,_xll.xCrudeAPO(BS229,BT229,BY229,BZ229,S230,S231,BI229-DaysForThetaCalculation/365.25,BL229-DaysForThetaCalculation/365.25,BN229,BO229,0,Strike1,AO229,CC229,0,BL229,IF(OptControl=4,0,1),0,1)-_xll.xCrudeAPO(BS229,BT229,BY229,BZ229,S230,S231,BI229,BL229,BN229,BO229,0,Strike1,AO229,CC229,0,BL229,IF(OptControl=4,0,1),0,1),0)</f>
        <v>0</v>
      </c>
      <c r="CH229" s="303">
        <f ca="1">IF(BD229,_xll.xCrudeAPO(BS229,BT229,CA229,CB229,S230,S231,BI229,BL229,BN229,BO229,0,Strike2,AO229,CC229,0,BL229,IF(OptControl=3,1,0),0,1),0)</f>
        <v>0</v>
      </c>
      <c r="CI229" s="155">
        <f ca="1">IF(BD229,_xll.xCrudeAPO(BS229,BT229,CA229,CB229,S230,S231,BI229,BL229,BN229,BO229,0,Strike2,AO229,CC229,0,BL229,IF(OptControl=3,1,0),1,1)+_xll.xCrudeAPO(BS229,BT229,CA229,CB229,S230,S231,BI229,BL229,BN229,BO229,0,Strike2,AO229,CC229,0,BL229,IF(OptControl=3,1,0),1,2)+IF(OR(VolSkewFlag=2,ABS(BR229)&lt;0.0001),0,IF(BR229&gt;0,-1,1)*CJ229*Strike2/BP229^2*BX229/10%),0)</f>
        <v>0</v>
      </c>
      <c r="CJ229" s="155">
        <f ca="1">IF(BD229,(_xll.xCrudeAPO(BS229,BT229,CA229,CB229,S230,S231,BI229,BL229,BN229,BO229,0,Strike2,AO229,CC229,0,BL229,IF(OptControl=3,1,0),3,1)+_xll.xCrudeAPO(BS229,BT229,CA229,CB229,S230,S231,BI229,BL229,BN229,BO229,0,Strike2,AO229,CC229,0,BL229,IF(OptControl=3,1,0),3,2))/100,0)</f>
        <v>0</v>
      </c>
      <c r="CK229" s="156">
        <f ca="1">IF(BD229,_xll.xCrudeAPO(BS229,BT229,CA229,CB229,S230,S231,BI229-DaysForThetaCalculation/365.25,BL229-DaysForThetaCalculation/365.25,BN229,BO229,0,Strike2,AO229,CC229,0,BL229,IF(OptControl=3,1,0),0,1)-_xll.xCrudeAPO(BS229,BT229,CA229,CB229,S230,S231,BI229,BL229,BN229,BO229,0,Strike2,AO229,CC229,0,BL229,IF(OptControl=3,1,0),0,1),0)</f>
        <v>0</v>
      </c>
      <c r="CL229" s="51"/>
      <c r="CM229" s="779" t="str">
        <f t="shared" ca="1" si="650"/>
        <v/>
      </c>
      <c r="CN229" s="783" t="str">
        <f t="shared" ca="1" si="651"/>
        <v/>
      </c>
      <c r="CO229" s="780" t="str">
        <f t="shared" ca="1" si="652"/>
        <v/>
      </c>
      <c r="CP229" s="780" t="str">
        <f t="shared" ca="1" si="653"/>
        <v/>
      </c>
      <c r="CQ229" s="780" t="str">
        <f t="shared" ca="1" si="654"/>
        <v/>
      </c>
      <c r="CR229" s="780" t="str">
        <f t="shared" ca="1" si="655"/>
        <v/>
      </c>
      <c r="CS229" s="781" t="str">
        <f t="shared" ca="1" si="656"/>
        <v/>
      </c>
      <c r="CT229" s="782" t="str">
        <f t="shared" ca="1" si="657"/>
        <v/>
      </c>
      <c r="CU229" s="782" t="str">
        <f t="shared" ca="1" si="658"/>
        <v/>
      </c>
      <c r="CV229" s="155">
        <f ca="1">IF(BD229,_xll.EURO(CN229,Strike1,AO229,AO229,CT229,CM229,IF(OptControl=4,0,1),0),0)</f>
        <v>0</v>
      </c>
      <c r="CW229" s="155">
        <f ca="1">IF(BD229,_xll.EURO(CN229,Strike1,AO229,AO229,CT229,CM229,IF(OptControl=4,0,1),1)+IF(OR(VolSkewFlag=2,ABS(CO229)&lt;0.0001),0,IF(CO229&gt;0,-1,1)*CX229*100*Strike1/CN229^2*CQ229/10%),0)</f>
        <v>0</v>
      </c>
      <c r="CX229" s="155">
        <f ca="1">IF(BD229,_xll.EURO(CN229,Strike1,AO229,AO229,CT229,CM229,IF(OptControl=4,0,1),3)/100,0)</f>
        <v>0</v>
      </c>
      <c r="CY229" s="155">
        <f ca="1">IF(BD229,_xll.EURO(CN229,Strike1,AO229,AO229,CT229,CM229,IF(OptControl=4,0,1),0)-_xll.EURO(CN229,Strike1,AO229,AO229,CT229,CM229-1,IF(OptControl=4,0,1),0),0)</f>
        <v>0</v>
      </c>
      <c r="CZ229" s="155">
        <f ca="1">IF(BD229,_xll.EURO(CN229,Strike2,AO229,AO229,CU229,CM229,IF(OptControl=3,1,0),0),0)</f>
        <v>0</v>
      </c>
      <c r="DA229" s="155">
        <f ca="1">IF(BD229,_xll.EURO(CN229,Strike2,AO229,AO229,CU229,CM229,IF(OptControl=3,1,0),1)+IF(OR(VolSkewFlag=2,ABS(CP229)&lt;0.0001),0,IF(CP229&gt;0,-1,1)*DB229*100*Strike2/CN229^2*CR229/10%),0)</f>
        <v>0</v>
      </c>
      <c r="DB229" s="155">
        <f ca="1">IF(BD229,_xll.EURO(CN229,Strike2,AO229,AO229,CU229,CM229,IF(OptControl=3,1,0),3)/100,0)</f>
        <v>0</v>
      </c>
      <c r="DC229" s="156">
        <f ca="1">IF(BD229,_xll.EURO(CN229,Strike2,AO229,AO229,CU229,CM229,IF(OptControl=3,1,0),0)-_xll.EURO(CN229,Strike2,AO229,AO229,CU229,CM229-1,IF(OptControl=3,1,0),0),0)</f>
        <v>0</v>
      </c>
      <c r="DE229" s="651">
        <f t="shared" ca="1" si="659"/>
        <v>43282</v>
      </c>
      <c r="DF229" s="465">
        <v>1E-4</v>
      </c>
      <c r="DG229" s="649">
        <v>1E-4</v>
      </c>
      <c r="DH229" s="650">
        <f t="shared" ca="1" si="612"/>
        <v>43282</v>
      </c>
      <c r="DI229" s="465">
        <v>1E-4</v>
      </c>
      <c r="DJ229" s="649">
        <v>1E-4</v>
      </c>
      <c r="DK229" s="651">
        <f t="shared" ca="1" si="613"/>
        <v>43282</v>
      </c>
      <c r="DL229" s="652">
        <f t="shared" si="614"/>
        <v>5.0100000000000006E-2</v>
      </c>
      <c r="DM229" s="651">
        <f t="shared" ca="1" si="615"/>
        <v>43282</v>
      </c>
      <c r="DN229" s="563">
        <f t="shared" si="616"/>
        <v>-0.12990000000000002</v>
      </c>
      <c r="DO229" s="803">
        <v>-0.13</v>
      </c>
      <c r="DP229" s="650">
        <f t="shared" ca="1" si="617"/>
        <v>43282</v>
      </c>
      <c r="DQ229" s="653">
        <v>1E-4</v>
      </c>
      <c r="DR229" s="590">
        <v>1E-4</v>
      </c>
      <c r="DS229" s="650">
        <f t="shared" ca="1" si="618"/>
        <v>43282</v>
      </c>
      <c r="DT229" s="653">
        <v>1E-4</v>
      </c>
      <c r="DU229" s="590">
        <v>1E-4</v>
      </c>
      <c r="DV229" s="651">
        <f t="shared" ca="1" si="619"/>
        <v>43282</v>
      </c>
      <c r="DW229" s="590">
        <v>1E-4</v>
      </c>
      <c r="DX229" s="651">
        <f t="shared" ca="1" si="620"/>
        <v>43282</v>
      </c>
      <c r="DY229" s="590">
        <f t="shared" si="621"/>
        <v>1E-4</v>
      </c>
      <c r="DZ229" s="1"/>
      <c r="EA229" s="857"/>
      <c r="EB229" s="857"/>
      <c r="EC229" s="857"/>
      <c r="ED229" s="868" t="e">
        <f t="shared" ca="1" si="670"/>
        <v>#NAME?</v>
      </c>
      <c r="EE229" s="863" t="e">
        <f t="shared" ca="1" si="641"/>
        <v>#NAME?</v>
      </c>
      <c r="EF229" s="590" t="e">
        <f t="shared" ca="1" si="642"/>
        <v>#NAME?</v>
      </c>
      <c r="EG229" s="862" t="str">
        <f t="shared" ca="1" si="622"/>
        <v/>
      </c>
      <c r="EH229" s="114" t="str">
        <f t="shared" ca="1" si="643"/>
        <v/>
      </c>
      <c r="EI229" s="109" t="str">
        <f t="shared" ca="1" si="644"/>
        <v/>
      </c>
      <c r="EJ229" s="115">
        <f ca="1">IF(BD229,_xll.xASN(BP229,Strike1,AO229,EH229,0,BM229,0,BI229,BL229,IF(OptControl=4,0,1),0),0)</f>
        <v>0</v>
      </c>
      <c r="EK229" s="108">
        <f ca="1">IF(BD229,_xll.xASN(BP229,Strike2,AO229,EI229,0,BM229,0,BI229,BL229,IF(OptControl=3,1,0),0),0)</f>
        <v>0</v>
      </c>
      <c r="EP229" s="53"/>
      <c r="EQ229" s="1"/>
      <c r="ER229" s="103"/>
      <c r="ES229" s="103"/>
      <c r="ET229" s="1"/>
      <c r="EU229" s="667" t="s">
        <v>442</v>
      </c>
      <c r="EW229" s="53"/>
      <c r="EY229" s="104"/>
      <c r="FN229" s="657">
        <v>60</v>
      </c>
      <c r="FO229" s="469" t="str">
        <f ca="1">IF(OR(FO$169&lt;SwaptionFirstMonthPosition+1,$FN229&lt;SwaptionFirstMonthPosition+1,FO$169&gt;SwaptionFirstMonthPosition+SwaptionNumOfMonths+1,$FN229&gt;SwaptionFirstMonthPosition+SwaptionNumOfMonths+1),"",IF($FN229=FO$169,1,IF($FN229&lt;FO$169,INDEX($FO$170:$IH$241,FO$169,$FN229),SUMPRODUCT(INDEX($FO$325:$IH$396,FO$169,1+SwaptionShift):INDEX($FO$325:$IH$396,FO$169,SwaptionMonthsToGo+SwaptionShift),INDEX($FO$245:$IH$316,$FN229-FO$169,73-FO$169+SwaptionShift):INDEX($FO$245:$IH$316,$FN229-FO$169,72-FO$169+SwaptionMonthsToGo+SwaptionShift))/SQRT(SUM(INDEX($FO384:$IH384,1+SwaptionShift):INDEX($FO384:$IH384,SwaptionMonthsToGo+SwaptionShift))*SUM(INDEX($FO$325:$IH$396,FO$169,1+SwaptionShift):INDEX($FO$325:$IH$396,FO$169,SwaptionMonthsToGo+SwaptionShift))))))</f>
        <v/>
      </c>
      <c r="FP229" s="469" t="str">
        <f ca="1">IF(OR(FP$169&lt;SwaptionFirstMonthPosition+1,$FN229&lt;SwaptionFirstMonthPosition+1,FP$169&gt;SwaptionFirstMonthPosition+SwaptionNumOfMonths+1,$FN229&gt;SwaptionFirstMonthPosition+SwaptionNumOfMonths+1),"",IF($FN229=FP$169,1,IF($FN229&lt;FP$169,INDEX($FO$170:$IH$241,FP$169,$FN229),SUMPRODUCT(INDEX($FO$325:$IH$396,FP$169,1+SwaptionShift):INDEX($FO$325:$IH$396,FP$169,SwaptionMonthsToGo+SwaptionShift),INDEX($FO$245:$IH$316,$FN229-FP$169,73-FP$169+SwaptionShift):INDEX($FO$245:$IH$316,$FN229-FP$169,72-FP$169+SwaptionMonthsToGo+SwaptionShift))/SQRT(SUM(INDEX($FO384:$IH384,1+SwaptionShift):INDEX($FO384:$IH384,SwaptionMonthsToGo+SwaptionShift))*SUM(INDEX($FO$325:$IH$396,FP$169,1+SwaptionShift):INDEX($FO$325:$IH$396,FP$169,SwaptionMonthsToGo+SwaptionShift))))))</f>
        <v/>
      </c>
      <c r="FQ229" s="469" t="str">
        <f ca="1">IF(OR(FQ$169&lt;SwaptionFirstMonthPosition+1,$FN229&lt;SwaptionFirstMonthPosition+1,FQ$169&gt;SwaptionFirstMonthPosition+SwaptionNumOfMonths+1,$FN229&gt;SwaptionFirstMonthPosition+SwaptionNumOfMonths+1),"",IF($FN229=FQ$169,1,IF($FN229&lt;FQ$169,INDEX($FO$170:$IH$241,FQ$169,$FN229),SUMPRODUCT(INDEX($FO$325:$IH$396,FQ$169,1+SwaptionShift):INDEX($FO$325:$IH$396,FQ$169,SwaptionMonthsToGo+SwaptionShift),INDEX($FO$245:$IH$316,$FN229-FQ$169,73-FQ$169+SwaptionShift):INDEX($FO$245:$IH$316,$FN229-FQ$169,72-FQ$169+SwaptionMonthsToGo+SwaptionShift))/SQRT(SUM(INDEX($FO384:$IH384,1+SwaptionShift):INDEX($FO384:$IH384,SwaptionMonthsToGo+SwaptionShift))*SUM(INDEX($FO$325:$IH$396,FQ$169,1+SwaptionShift):INDEX($FO$325:$IH$396,FQ$169,SwaptionMonthsToGo+SwaptionShift))))))</f>
        <v/>
      </c>
      <c r="FR229" s="469" t="str">
        <f ca="1">IF(OR(FR$169&lt;SwaptionFirstMonthPosition+1,$FN229&lt;SwaptionFirstMonthPosition+1,FR$169&gt;SwaptionFirstMonthPosition+SwaptionNumOfMonths+1,$FN229&gt;SwaptionFirstMonthPosition+SwaptionNumOfMonths+1),"",IF($FN229=FR$169,1,IF($FN229&lt;FR$169,INDEX($FO$170:$IH$241,FR$169,$FN229),SUMPRODUCT(INDEX($FO$325:$IH$396,FR$169,1+SwaptionShift):INDEX($FO$325:$IH$396,FR$169,SwaptionMonthsToGo+SwaptionShift),INDEX($FO$245:$IH$316,$FN229-FR$169,73-FR$169+SwaptionShift):INDEX($FO$245:$IH$316,$FN229-FR$169,72-FR$169+SwaptionMonthsToGo+SwaptionShift))/SQRT(SUM(INDEX($FO384:$IH384,1+SwaptionShift):INDEX($FO384:$IH384,SwaptionMonthsToGo+SwaptionShift))*SUM(INDEX($FO$325:$IH$396,FR$169,1+SwaptionShift):INDEX($FO$325:$IH$396,FR$169,SwaptionMonthsToGo+SwaptionShift))))))</f>
        <v/>
      </c>
      <c r="FS229" s="469" t="str">
        <f ca="1">IF(OR(FS$169&lt;SwaptionFirstMonthPosition+1,$FN229&lt;SwaptionFirstMonthPosition+1,FS$169&gt;SwaptionFirstMonthPosition+SwaptionNumOfMonths+1,$FN229&gt;SwaptionFirstMonthPosition+SwaptionNumOfMonths+1),"",IF($FN229=FS$169,1,IF($FN229&lt;FS$169,INDEX($FO$170:$IH$241,FS$169,$FN229),SUMPRODUCT(INDEX($FO$325:$IH$396,FS$169,1+SwaptionShift):INDEX($FO$325:$IH$396,FS$169,SwaptionMonthsToGo+SwaptionShift),INDEX($FO$245:$IH$316,$FN229-FS$169,73-FS$169+SwaptionShift):INDEX($FO$245:$IH$316,$FN229-FS$169,72-FS$169+SwaptionMonthsToGo+SwaptionShift))/SQRT(SUM(INDEX($FO384:$IH384,1+SwaptionShift):INDEX($FO384:$IH384,SwaptionMonthsToGo+SwaptionShift))*SUM(INDEX($FO$325:$IH$396,FS$169,1+SwaptionShift):INDEX($FO$325:$IH$396,FS$169,SwaptionMonthsToGo+SwaptionShift))))))</f>
        <v/>
      </c>
      <c r="FT229" s="469" t="str">
        <f ca="1">IF(OR(FT$169&lt;SwaptionFirstMonthPosition+1,$FN229&lt;SwaptionFirstMonthPosition+1,FT$169&gt;SwaptionFirstMonthPosition+SwaptionNumOfMonths+1,$FN229&gt;SwaptionFirstMonthPosition+SwaptionNumOfMonths+1),"",IF($FN229=FT$169,1,IF($FN229&lt;FT$169,INDEX($FO$170:$IH$241,FT$169,$FN229),SUMPRODUCT(INDEX($FO$325:$IH$396,FT$169,1+SwaptionShift):INDEX($FO$325:$IH$396,FT$169,SwaptionMonthsToGo+SwaptionShift),INDEX($FO$245:$IH$316,$FN229-FT$169,73-FT$169+SwaptionShift):INDEX($FO$245:$IH$316,$FN229-FT$169,72-FT$169+SwaptionMonthsToGo+SwaptionShift))/SQRT(SUM(INDEX($FO384:$IH384,1+SwaptionShift):INDEX($FO384:$IH384,SwaptionMonthsToGo+SwaptionShift))*SUM(INDEX($FO$325:$IH$396,FT$169,1+SwaptionShift):INDEX($FO$325:$IH$396,FT$169,SwaptionMonthsToGo+SwaptionShift))))))</f>
        <v/>
      </c>
      <c r="FU229" s="469" t="str">
        <f ca="1">IF(OR(FU$169&lt;SwaptionFirstMonthPosition+1,$FN229&lt;SwaptionFirstMonthPosition+1,FU$169&gt;SwaptionFirstMonthPosition+SwaptionNumOfMonths+1,$FN229&gt;SwaptionFirstMonthPosition+SwaptionNumOfMonths+1),"",IF($FN229=FU$169,1,IF($FN229&lt;FU$169,INDEX($FO$170:$IH$241,FU$169,$FN229),SUMPRODUCT(INDEX($FO$325:$IH$396,FU$169,1+SwaptionShift):INDEX($FO$325:$IH$396,FU$169,SwaptionMonthsToGo+SwaptionShift),INDEX($FO$245:$IH$316,$FN229-FU$169,73-FU$169+SwaptionShift):INDEX($FO$245:$IH$316,$FN229-FU$169,72-FU$169+SwaptionMonthsToGo+SwaptionShift))/SQRT(SUM(INDEX($FO384:$IH384,1+SwaptionShift):INDEX($FO384:$IH384,SwaptionMonthsToGo+SwaptionShift))*SUM(INDEX($FO$325:$IH$396,FU$169,1+SwaptionShift):INDEX($FO$325:$IH$396,FU$169,SwaptionMonthsToGo+SwaptionShift))))))</f>
        <v/>
      </c>
      <c r="FV229" s="469" t="str">
        <f ca="1">IF(OR(FV$169&lt;SwaptionFirstMonthPosition+1,$FN229&lt;SwaptionFirstMonthPosition+1,FV$169&gt;SwaptionFirstMonthPosition+SwaptionNumOfMonths+1,$FN229&gt;SwaptionFirstMonthPosition+SwaptionNumOfMonths+1),"",IF($FN229=FV$169,1,IF($FN229&lt;FV$169,INDEX($FO$170:$IH$241,FV$169,$FN229),SUMPRODUCT(INDEX($FO$325:$IH$396,FV$169,1+SwaptionShift):INDEX($FO$325:$IH$396,FV$169,SwaptionMonthsToGo+SwaptionShift),INDEX($FO$245:$IH$316,$FN229-FV$169,73-FV$169+SwaptionShift):INDEX($FO$245:$IH$316,$FN229-FV$169,72-FV$169+SwaptionMonthsToGo+SwaptionShift))/SQRT(SUM(INDEX($FO384:$IH384,1+SwaptionShift):INDEX($FO384:$IH384,SwaptionMonthsToGo+SwaptionShift))*SUM(INDEX($FO$325:$IH$396,FV$169,1+SwaptionShift):INDEX($FO$325:$IH$396,FV$169,SwaptionMonthsToGo+SwaptionShift))))))</f>
        <v/>
      </c>
      <c r="FW229" s="469" t="str">
        <f ca="1">IF(OR(FW$169&lt;SwaptionFirstMonthPosition+1,$FN229&lt;SwaptionFirstMonthPosition+1,FW$169&gt;SwaptionFirstMonthPosition+SwaptionNumOfMonths+1,$FN229&gt;SwaptionFirstMonthPosition+SwaptionNumOfMonths+1),"",IF($FN229=FW$169,1,IF($FN229&lt;FW$169,INDEX($FO$170:$IH$241,FW$169,$FN229),SUMPRODUCT(INDEX($FO$325:$IH$396,FW$169,1+SwaptionShift):INDEX($FO$325:$IH$396,FW$169,SwaptionMonthsToGo+SwaptionShift),INDEX($FO$245:$IH$316,$FN229-FW$169,73-FW$169+SwaptionShift):INDEX($FO$245:$IH$316,$FN229-FW$169,72-FW$169+SwaptionMonthsToGo+SwaptionShift))/SQRT(SUM(INDEX($FO384:$IH384,1+SwaptionShift):INDEX($FO384:$IH384,SwaptionMonthsToGo+SwaptionShift))*SUM(INDEX($FO$325:$IH$396,FW$169,1+SwaptionShift):INDEX($FO$325:$IH$396,FW$169,SwaptionMonthsToGo+SwaptionShift))))))</f>
        <v/>
      </c>
      <c r="FX229" s="469" t="str">
        <f ca="1">IF(OR(FX$169&lt;SwaptionFirstMonthPosition+1,$FN229&lt;SwaptionFirstMonthPosition+1,FX$169&gt;SwaptionFirstMonthPosition+SwaptionNumOfMonths+1,$FN229&gt;SwaptionFirstMonthPosition+SwaptionNumOfMonths+1),"",IF($FN229=FX$169,1,IF($FN229&lt;FX$169,INDEX($FO$170:$IH$241,FX$169,$FN229),SUMPRODUCT(INDEX($FO$325:$IH$396,FX$169,1+SwaptionShift):INDEX($FO$325:$IH$396,FX$169,SwaptionMonthsToGo+SwaptionShift),INDEX($FO$245:$IH$316,$FN229-FX$169,73-FX$169+SwaptionShift):INDEX($FO$245:$IH$316,$FN229-FX$169,72-FX$169+SwaptionMonthsToGo+SwaptionShift))/SQRT(SUM(INDEX($FO384:$IH384,1+SwaptionShift):INDEX($FO384:$IH384,SwaptionMonthsToGo+SwaptionShift))*SUM(INDEX($FO$325:$IH$396,FX$169,1+SwaptionShift):INDEX($FO$325:$IH$396,FX$169,SwaptionMonthsToGo+SwaptionShift))))))</f>
        <v/>
      </c>
      <c r="FY229" s="469" t="str">
        <f ca="1">IF(OR(FY$169&lt;SwaptionFirstMonthPosition+1,$FN229&lt;SwaptionFirstMonthPosition+1,FY$169&gt;SwaptionFirstMonthPosition+SwaptionNumOfMonths+1,$FN229&gt;SwaptionFirstMonthPosition+SwaptionNumOfMonths+1),"",IF($FN229=FY$169,1,IF($FN229&lt;FY$169,INDEX($FO$170:$IH$241,FY$169,$FN229),SUMPRODUCT(INDEX($FO$325:$IH$396,FY$169,1+SwaptionShift):INDEX($FO$325:$IH$396,FY$169,SwaptionMonthsToGo+SwaptionShift),INDEX($FO$245:$IH$316,$FN229-FY$169,73-FY$169+SwaptionShift):INDEX($FO$245:$IH$316,$FN229-FY$169,72-FY$169+SwaptionMonthsToGo+SwaptionShift))/SQRT(SUM(INDEX($FO384:$IH384,1+SwaptionShift):INDEX($FO384:$IH384,SwaptionMonthsToGo+SwaptionShift))*SUM(INDEX($FO$325:$IH$396,FY$169,1+SwaptionShift):INDEX($FO$325:$IH$396,FY$169,SwaptionMonthsToGo+SwaptionShift))))))</f>
        <v/>
      </c>
      <c r="FZ229" s="469" t="str">
        <f ca="1">IF(OR(FZ$169&lt;SwaptionFirstMonthPosition+1,$FN229&lt;SwaptionFirstMonthPosition+1,FZ$169&gt;SwaptionFirstMonthPosition+SwaptionNumOfMonths+1,$FN229&gt;SwaptionFirstMonthPosition+SwaptionNumOfMonths+1),"",IF($FN229=FZ$169,1,IF($FN229&lt;FZ$169,INDEX($FO$170:$IH$241,FZ$169,$FN229),SUMPRODUCT(INDEX($FO$325:$IH$396,FZ$169,1+SwaptionShift):INDEX($FO$325:$IH$396,FZ$169,SwaptionMonthsToGo+SwaptionShift),INDEX($FO$245:$IH$316,$FN229-FZ$169,73-FZ$169+SwaptionShift):INDEX($FO$245:$IH$316,$FN229-FZ$169,72-FZ$169+SwaptionMonthsToGo+SwaptionShift))/SQRT(SUM(INDEX($FO384:$IH384,1+SwaptionShift):INDEX($FO384:$IH384,SwaptionMonthsToGo+SwaptionShift))*SUM(INDEX($FO$325:$IH$396,FZ$169,1+SwaptionShift):INDEX($FO$325:$IH$396,FZ$169,SwaptionMonthsToGo+SwaptionShift))))))</f>
        <v/>
      </c>
      <c r="GA229" s="469" t="str">
        <f ca="1">IF(OR(GA$169&lt;SwaptionFirstMonthPosition+1,$FN229&lt;SwaptionFirstMonthPosition+1,GA$169&gt;SwaptionFirstMonthPosition+SwaptionNumOfMonths+1,$FN229&gt;SwaptionFirstMonthPosition+SwaptionNumOfMonths+1),"",IF($FN229=GA$169,1,IF($FN229&lt;GA$169,INDEX($FO$170:$IH$241,GA$169,$FN229),SUMPRODUCT(INDEX($FO$325:$IH$396,GA$169,1+SwaptionShift):INDEX($FO$325:$IH$396,GA$169,SwaptionMonthsToGo+SwaptionShift),INDEX($FO$245:$IH$316,$FN229-GA$169,73-GA$169+SwaptionShift):INDEX($FO$245:$IH$316,$FN229-GA$169,72-GA$169+SwaptionMonthsToGo+SwaptionShift))/SQRT(SUM(INDEX($FO384:$IH384,1+SwaptionShift):INDEX($FO384:$IH384,SwaptionMonthsToGo+SwaptionShift))*SUM(INDEX($FO$325:$IH$396,GA$169,1+SwaptionShift):INDEX($FO$325:$IH$396,GA$169,SwaptionMonthsToGo+SwaptionShift))))))</f>
        <v/>
      </c>
      <c r="GB229" s="469" t="str">
        <f ca="1">IF(OR(GB$169&lt;SwaptionFirstMonthPosition+1,$FN229&lt;SwaptionFirstMonthPosition+1,GB$169&gt;SwaptionFirstMonthPosition+SwaptionNumOfMonths+1,$FN229&gt;SwaptionFirstMonthPosition+SwaptionNumOfMonths+1),"",IF($FN229=GB$169,1,IF($FN229&lt;GB$169,INDEX($FO$170:$IH$241,GB$169,$FN229),SUMPRODUCT(INDEX($FO$325:$IH$396,GB$169,1+SwaptionShift):INDEX($FO$325:$IH$396,GB$169,SwaptionMonthsToGo+SwaptionShift),INDEX($FO$245:$IH$316,$FN229-GB$169,73-GB$169+SwaptionShift):INDEX($FO$245:$IH$316,$FN229-GB$169,72-GB$169+SwaptionMonthsToGo+SwaptionShift))/SQRT(SUM(INDEX($FO384:$IH384,1+SwaptionShift):INDEX($FO384:$IH384,SwaptionMonthsToGo+SwaptionShift))*SUM(INDEX($FO$325:$IH$396,GB$169,1+SwaptionShift):INDEX($FO$325:$IH$396,GB$169,SwaptionMonthsToGo+SwaptionShift))))))</f>
        <v/>
      </c>
      <c r="GC229" s="469" t="str">
        <f ca="1">IF(OR(GC$169&lt;SwaptionFirstMonthPosition+1,$FN229&lt;SwaptionFirstMonthPosition+1,GC$169&gt;SwaptionFirstMonthPosition+SwaptionNumOfMonths+1,$FN229&gt;SwaptionFirstMonthPosition+SwaptionNumOfMonths+1),"",IF($FN229=GC$169,1,IF($FN229&lt;GC$169,INDEX($FO$170:$IH$241,GC$169,$FN229),SUMPRODUCT(INDEX($FO$325:$IH$396,GC$169,1+SwaptionShift):INDEX($FO$325:$IH$396,GC$169,SwaptionMonthsToGo+SwaptionShift),INDEX($FO$245:$IH$316,$FN229-GC$169,73-GC$169+SwaptionShift):INDEX($FO$245:$IH$316,$FN229-GC$169,72-GC$169+SwaptionMonthsToGo+SwaptionShift))/SQRT(SUM(INDEX($FO384:$IH384,1+SwaptionShift):INDEX($FO384:$IH384,SwaptionMonthsToGo+SwaptionShift))*SUM(INDEX($FO$325:$IH$396,GC$169,1+SwaptionShift):INDEX($FO$325:$IH$396,GC$169,SwaptionMonthsToGo+SwaptionShift))))))</f>
        <v/>
      </c>
      <c r="GD229" s="469" t="str">
        <f ca="1">IF(OR(GD$169&lt;SwaptionFirstMonthPosition+1,$FN229&lt;SwaptionFirstMonthPosition+1,GD$169&gt;SwaptionFirstMonthPosition+SwaptionNumOfMonths+1,$FN229&gt;SwaptionFirstMonthPosition+SwaptionNumOfMonths+1),"",IF($FN229=GD$169,1,IF($FN229&lt;GD$169,INDEX($FO$170:$IH$241,GD$169,$FN229),SUMPRODUCT(INDEX($FO$325:$IH$396,GD$169,1+SwaptionShift):INDEX($FO$325:$IH$396,GD$169,SwaptionMonthsToGo+SwaptionShift),INDEX($FO$245:$IH$316,$FN229-GD$169,73-GD$169+SwaptionShift):INDEX($FO$245:$IH$316,$FN229-GD$169,72-GD$169+SwaptionMonthsToGo+SwaptionShift))/SQRT(SUM(INDEX($FO384:$IH384,1+SwaptionShift):INDEX($FO384:$IH384,SwaptionMonthsToGo+SwaptionShift))*SUM(INDEX($FO$325:$IH$396,GD$169,1+SwaptionShift):INDEX($FO$325:$IH$396,GD$169,SwaptionMonthsToGo+SwaptionShift))))))</f>
        <v/>
      </c>
      <c r="GE229" s="469" t="str">
        <f ca="1">IF(OR(GE$169&lt;SwaptionFirstMonthPosition+1,$FN229&lt;SwaptionFirstMonthPosition+1,GE$169&gt;SwaptionFirstMonthPosition+SwaptionNumOfMonths+1,$FN229&gt;SwaptionFirstMonthPosition+SwaptionNumOfMonths+1),"",IF($FN229=GE$169,1,IF($FN229&lt;GE$169,INDEX($FO$170:$IH$241,GE$169,$FN229),SUMPRODUCT(INDEX($FO$325:$IH$396,GE$169,1+SwaptionShift):INDEX($FO$325:$IH$396,GE$169,SwaptionMonthsToGo+SwaptionShift),INDEX($FO$245:$IH$316,$FN229-GE$169,73-GE$169+SwaptionShift):INDEX($FO$245:$IH$316,$FN229-GE$169,72-GE$169+SwaptionMonthsToGo+SwaptionShift))/SQRT(SUM(INDEX($FO384:$IH384,1+SwaptionShift):INDEX($FO384:$IH384,SwaptionMonthsToGo+SwaptionShift))*SUM(INDEX($FO$325:$IH$396,GE$169,1+SwaptionShift):INDEX($FO$325:$IH$396,GE$169,SwaptionMonthsToGo+SwaptionShift))))))</f>
        <v/>
      </c>
      <c r="GF229" s="469" t="str">
        <f ca="1">IF(OR(GF$169&lt;SwaptionFirstMonthPosition+1,$FN229&lt;SwaptionFirstMonthPosition+1,GF$169&gt;SwaptionFirstMonthPosition+SwaptionNumOfMonths+1,$FN229&gt;SwaptionFirstMonthPosition+SwaptionNumOfMonths+1),"",IF($FN229=GF$169,1,IF($FN229&lt;GF$169,INDEX($FO$170:$IH$241,GF$169,$FN229),SUMPRODUCT(INDEX($FO$325:$IH$396,GF$169,1+SwaptionShift):INDEX($FO$325:$IH$396,GF$169,SwaptionMonthsToGo+SwaptionShift),INDEX($FO$245:$IH$316,$FN229-GF$169,73-GF$169+SwaptionShift):INDEX($FO$245:$IH$316,$FN229-GF$169,72-GF$169+SwaptionMonthsToGo+SwaptionShift))/SQRT(SUM(INDEX($FO384:$IH384,1+SwaptionShift):INDEX($FO384:$IH384,SwaptionMonthsToGo+SwaptionShift))*SUM(INDEX($FO$325:$IH$396,GF$169,1+SwaptionShift):INDEX($FO$325:$IH$396,GF$169,SwaptionMonthsToGo+SwaptionShift))))))</f>
        <v/>
      </c>
      <c r="GG229" s="469" t="str">
        <f ca="1">IF(OR(GG$169&lt;SwaptionFirstMonthPosition+1,$FN229&lt;SwaptionFirstMonthPosition+1,GG$169&gt;SwaptionFirstMonthPosition+SwaptionNumOfMonths+1,$FN229&gt;SwaptionFirstMonthPosition+SwaptionNumOfMonths+1),"",IF($FN229=GG$169,1,IF($FN229&lt;GG$169,INDEX($FO$170:$IH$241,GG$169,$FN229),SUMPRODUCT(INDEX($FO$325:$IH$396,GG$169,1+SwaptionShift):INDEX($FO$325:$IH$396,GG$169,SwaptionMonthsToGo+SwaptionShift),INDEX($FO$245:$IH$316,$FN229-GG$169,73-GG$169+SwaptionShift):INDEX($FO$245:$IH$316,$FN229-GG$169,72-GG$169+SwaptionMonthsToGo+SwaptionShift))/SQRT(SUM(INDEX($FO384:$IH384,1+SwaptionShift):INDEX($FO384:$IH384,SwaptionMonthsToGo+SwaptionShift))*SUM(INDEX($FO$325:$IH$396,GG$169,1+SwaptionShift):INDEX($FO$325:$IH$396,GG$169,SwaptionMonthsToGo+SwaptionShift))))))</f>
        <v/>
      </c>
      <c r="GH229" s="469" t="str">
        <f ca="1">IF(OR(GH$169&lt;SwaptionFirstMonthPosition+1,$FN229&lt;SwaptionFirstMonthPosition+1,GH$169&gt;SwaptionFirstMonthPosition+SwaptionNumOfMonths+1,$FN229&gt;SwaptionFirstMonthPosition+SwaptionNumOfMonths+1),"",IF($FN229=GH$169,1,IF($FN229&lt;GH$169,INDEX($FO$170:$IH$241,GH$169,$FN229),SUMPRODUCT(INDEX($FO$325:$IH$396,GH$169,1+SwaptionShift):INDEX($FO$325:$IH$396,GH$169,SwaptionMonthsToGo+SwaptionShift),INDEX($FO$245:$IH$316,$FN229-GH$169,73-GH$169+SwaptionShift):INDEX($FO$245:$IH$316,$FN229-GH$169,72-GH$169+SwaptionMonthsToGo+SwaptionShift))/SQRT(SUM(INDEX($FO384:$IH384,1+SwaptionShift):INDEX($FO384:$IH384,SwaptionMonthsToGo+SwaptionShift))*SUM(INDEX($FO$325:$IH$396,GH$169,1+SwaptionShift):INDEX($FO$325:$IH$396,GH$169,SwaptionMonthsToGo+SwaptionShift))))))</f>
        <v/>
      </c>
      <c r="GI229" s="469" t="str">
        <f ca="1">IF(OR(GI$169&lt;SwaptionFirstMonthPosition+1,$FN229&lt;SwaptionFirstMonthPosition+1,GI$169&gt;SwaptionFirstMonthPosition+SwaptionNumOfMonths+1,$FN229&gt;SwaptionFirstMonthPosition+SwaptionNumOfMonths+1),"",IF($FN229=GI$169,1,IF($FN229&lt;GI$169,INDEX($FO$170:$IH$241,GI$169,$FN229),SUMPRODUCT(INDEX($FO$325:$IH$396,GI$169,1+SwaptionShift):INDEX($FO$325:$IH$396,GI$169,SwaptionMonthsToGo+SwaptionShift),INDEX($FO$245:$IH$316,$FN229-GI$169,73-GI$169+SwaptionShift):INDEX($FO$245:$IH$316,$FN229-GI$169,72-GI$169+SwaptionMonthsToGo+SwaptionShift))/SQRT(SUM(INDEX($FO384:$IH384,1+SwaptionShift):INDEX($FO384:$IH384,SwaptionMonthsToGo+SwaptionShift))*SUM(INDEX($FO$325:$IH$396,GI$169,1+SwaptionShift):INDEX($FO$325:$IH$396,GI$169,SwaptionMonthsToGo+SwaptionShift))))))</f>
        <v/>
      </c>
      <c r="GJ229" s="469" t="str">
        <f ca="1">IF(OR(GJ$169&lt;SwaptionFirstMonthPosition+1,$FN229&lt;SwaptionFirstMonthPosition+1,GJ$169&gt;SwaptionFirstMonthPosition+SwaptionNumOfMonths+1,$FN229&gt;SwaptionFirstMonthPosition+SwaptionNumOfMonths+1),"",IF($FN229=GJ$169,1,IF($FN229&lt;GJ$169,INDEX($FO$170:$IH$241,GJ$169,$FN229),SUMPRODUCT(INDEX($FO$325:$IH$396,GJ$169,1+SwaptionShift):INDEX($FO$325:$IH$396,GJ$169,SwaptionMonthsToGo+SwaptionShift),INDEX($FO$245:$IH$316,$FN229-GJ$169,73-GJ$169+SwaptionShift):INDEX($FO$245:$IH$316,$FN229-GJ$169,72-GJ$169+SwaptionMonthsToGo+SwaptionShift))/SQRT(SUM(INDEX($FO384:$IH384,1+SwaptionShift):INDEX($FO384:$IH384,SwaptionMonthsToGo+SwaptionShift))*SUM(INDEX($FO$325:$IH$396,GJ$169,1+SwaptionShift):INDEX($FO$325:$IH$396,GJ$169,SwaptionMonthsToGo+SwaptionShift))))))</f>
        <v/>
      </c>
      <c r="GK229" s="469" t="str">
        <f ca="1">IF(OR(GK$169&lt;SwaptionFirstMonthPosition+1,$FN229&lt;SwaptionFirstMonthPosition+1,GK$169&gt;SwaptionFirstMonthPosition+SwaptionNumOfMonths+1,$FN229&gt;SwaptionFirstMonthPosition+SwaptionNumOfMonths+1),"",IF($FN229=GK$169,1,IF($FN229&lt;GK$169,INDEX($FO$170:$IH$241,GK$169,$FN229),SUMPRODUCT(INDEX($FO$325:$IH$396,GK$169,1+SwaptionShift):INDEX($FO$325:$IH$396,GK$169,SwaptionMonthsToGo+SwaptionShift),INDEX($FO$245:$IH$316,$FN229-GK$169,73-GK$169+SwaptionShift):INDEX($FO$245:$IH$316,$FN229-GK$169,72-GK$169+SwaptionMonthsToGo+SwaptionShift))/SQRT(SUM(INDEX($FO384:$IH384,1+SwaptionShift):INDEX($FO384:$IH384,SwaptionMonthsToGo+SwaptionShift))*SUM(INDEX($FO$325:$IH$396,GK$169,1+SwaptionShift):INDEX($FO$325:$IH$396,GK$169,SwaptionMonthsToGo+SwaptionShift))))))</f>
        <v/>
      </c>
      <c r="GL229" s="469" t="str">
        <f ca="1">IF(OR(GL$169&lt;SwaptionFirstMonthPosition+1,$FN229&lt;SwaptionFirstMonthPosition+1,GL$169&gt;SwaptionFirstMonthPosition+SwaptionNumOfMonths+1,$FN229&gt;SwaptionFirstMonthPosition+SwaptionNumOfMonths+1),"",IF($FN229=GL$169,1,IF($FN229&lt;GL$169,INDEX($FO$170:$IH$241,GL$169,$FN229),SUMPRODUCT(INDEX($FO$325:$IH$396,GL$169,1+SwaptionShift):INDEX($FO$325:$IH$396,GL$169,SwaptionMonthsToGo+SwaptionShift),INDEX($FO$245:$IH$316,$FN229-GL$169,73-GL$169+SwaptionShift):INDEX($FO$245:$IH$316,$FN229-GL$169,72-GL$169+SwaptionMonthsToGo+SwaptionShift))/SQRT(SUM(INDEX($FO384:$IH384,1+SwaptionShift):INDEX($FO384:$IH384,SwaptionMonthsToGo+SwaptionShift))*SUM(INDEX($FO$325:$IH$396,GL$169,1+SwaptionShift):INDEX($FO$325:$IH$396,GL$169,SwaptionMonthsToGo+SwaptionShift))))))</f>
        <v/>
      </c>
      <c r="GM229" s="469" t="str">
        <f ca="1">IF(OR(GM$169&lt;SwaptionFirstMonthPosition+1,$FN229&lt;SwaptionFirstMonthPosition+1,GM$169&gt;SwaptionFirstMonthPosition+SwaptionNumOfMonths+1,$FN229&gt;SwaptionFirstMonthPosition+SwaptionNumOfMonths+1),"",IF($FN229=GM$169,1,IF($FN229&lt;GM$169,INDEX($FO$170:$IH$241,GM$169,$FN229),SUMPRODUCT(INDEX($FO$325:$IH$396,GM$169,1+SwaptionShift):INDEX($FO$325:$IH$396,GM$169,SwaptionMonthsToGo+SwaptionShift),INDEX($FO$245:$IH$316,$FN229-GM$169,73-GM$169+SwaptionShift):INDEX($FO$245:$IH$316,$FN229-GM$169,72-GM$169+SwaptionMonthsToGo+SwaptionShift))/SQRT(SUM(INDEX($FO384:$IH384,1+SwaptionShift):INDEX($FO384:$IH384,SwaptionMonthsToGo+SwaptionShift))*SUM(INDEX($FO$325:$IH$396,GM$169,1+SwaptionShift):INDEX($FO$325:$IH$396,GM$169,SwaptionMonthsToGo+SwaptionShift))))))</f>
        <v/>
      </c>
      <c r="GN229" s="469" t="str">
        <f ca="1">IF(OR(GN$169&lt;SwaptionFirstMonthPosition+1,$FN229&lt;SwaptionFirstMonthPosition+1,GN$169&gt;SwaptionFirstMonthPosition+SwaptionNumOfMonths+1,$FN229&gt;SwaptionFirstMonthPosition+SwaptionNumOfMonths+1),"",IF($FN229=GN$169,1,IF($FN229&lt;GN$169,INDEX($FO$170:$IH$241,GN$169,$FN229),SUMPRODUCT(INDEX($FO$325:$IH$396,GN$169,1+SwaptionShift):INDEX($FO$325:$IH$396,GN$169,SwaptionMonthsToGo+SwaptionShift),INDEX($FO$245:$IH$316,$FN229-GN$169,73-GN$169+SwaptionShift):INDEX($FO$245:$IH$316,$FN229-GN$169,72-GN$169+SwaptionMonthsToGo+SwaptionShift))/SQRT(SUM(INDEX($FO384:$IH384,1+SwaptionShift):INDEX($FO384:$IH384,SwaptionMonthsToGo+SwaptionShift))*SUM(INDEX($FO$325:$IH$396,GN$169,1+SwaptionShift):INDEX($FO$325:$IH$396,GN$169,SwaptionMonthsToGo+SwaptionShift))))))</f>
        <v/>
      </c>
      <c r="GO229" s="469" t="str">
        <f ca="1">IF(OR(GO$169&lt;SwaptionFirstMonthPosition+1,$FN229&lt;SwaptionFirstMonthPosition+1,GO$169&gt;SwaptionFirstMonthPosition+SwaptionNumOfMonths+1,$FN229&gt;SwaptionFirstMonthPosition+SwaptionNumOfMonths+1),"",IF($FN229=GO$169,1,IF($FN229&lt;GO$169,INDEX($FO$170:$IH$241,GO$169,$FN229),SUMPRODUCT(INDEX($FO$325:$IH$396,GO$169,1+SwaptionShift):INDEX($FO$325:$IH$396,GO$169,SwaptionMonthsToGo+SwaptionShift),INDEX($FO$245:$IH$316,$FN229-GO$169,73-GO$169+SwaptionShift):INDEX($FO$245:$IH$316,$FN229-GO$169,72-GO$169+SwaptionMonthsToGo+SwaptionShift))/SQRT(SUM(INDEX($FO384:$IH384,1+SwaptionShift):INDEX($FO384:$IH384,SwaptionMonthsToGo+SwaptionShift))*SUM(INDEX($FO$325:$IH$396,GO$169,1+SwaptionShift):INDEX($FO$325:$IH$396,GO$169,SwaptionMonthsToGo+SwaptionShift))))))</f>
        <v/>
      </c>
      <c r="GP229" s="469" t="str">
        <f ca="1">IF(OR(GP$169&lt;SwaptionFirstMonthPosition+1,$FN229&lt;SwaptionFirstMonthPosition+1,GP$169&gt;SwaptionFirstMonthPosition+SwaptionNumOfMonths+1,$FN229&gt;SwaptionFirstMonthPosition+SwaptionNumOfMonths+1),"",IF($FN229=GP$169,1,IF($FN229&lt;GP$169,INDEX($FO$170:$IH$241,GP$169,$FN229),SUMPRODUCT(INDEX($FO$325:$IH$396,GP$169,1+SwaptionShift):INDEX($FO$325:$IH$396,GP$169,SwaptionMonthsToGo+SwaptionShift),INDEX($FO$245:$IH$316,$FN229-GP$169,73-GP$169+SwaptionShift):INDEX($FO$245:$IH$316,$FN229-GP$169,72-GP$169+SwaptionMonthsToGo+SwaptionShift))/SQRT(SUM(INDEX($FO384:$IH384,1+SwaptionShift):INDEX($FO384:$IH384,SwaptionMonthsToGo+SwaptionShift))*SUM(INDEX($FO$325:$IH$396,GP$169,1+SwaptionShift):INDEX($FO$325:$IH$396,GP$169,SwaptionMonthsToGo+SwaptionShift))))))</f>
        <v/>
      </c>
      <c r="GQ229" s="469" t="str">
        <f ca="1">IF(OR(GQ$169&lt;SwaptionFirstMonthPosition+1,$FN229&lt;SwaptionFirstMonthPosition+1,GQ$169&gt;SwaptionFirstMonthPosition+SwaptionNumOfMonths+1,$FN229&gt;SwaptionFirstMonthPosition+SwaptionNumOfMonths+1),"",IF($FN229=GQ$169,1,IF($FN229&lt;GQ$169,INDEX($FO$170:$IH$241,GQ$169,$FN229),SUMPRODUCT(INDEX($FO$325:$IH$396,GQ$169,1+SwaptionShift):INDEX($FO$325:$IH$396,GQ$169,SwaptionMonthsToGo+SwaptionShift),INDEX($FO$245:$IH$316,$FN229-GQ$169,73-GQ$169+SwaptionShift):INDEX($FO$245:$IH$316,$FN229-GQ$169,72-GQ$169+SwaptionMonthsToGo+SwaptionShift))/SQRT(SUM(INDEX($FO384:$IH384,1+SwaptionShift):INDEX($FO384:$IH384,SwaptionMonthsToGo+SwaptionShift))*SUM(INDEX($FO$325:$IH$396,GQ$169,1+SwaptionShift):INDEX($FO$325:$IH$396,GQ$169,SwaptionMonthsToGo+SwaptionShift))))))</f>
        <v/>
      </c>
      <c r="GR229" s="469" t="str">
        <f ca="1">IF(OR(GR$169&lt;SwaptionFirstMonthPosition+1,$FN229&lt;SwaptionFirstMonthPosition+1,GR$169&gt;SwaptionFirstMonthPosition+SwaptionNumOfMonths+1,$FN229&gt;SwaptionFirstMonthPosition+SwaptionNumOfMonths+1),"",IF($FN229=GR$169,1,IF($FN229&lt;GR$169,INDEX($FO$170:$IH$241,GR$169,$FN229),SUMPRODUCT(INDEX($FO$325:$IH$396,GR$169,1+SwaptionShift):INDEX($FO$325:$IH$396,GR$169,SwaptionMonthsToGo+SwaptionShift),INDEX($FO$245:$IH$316,$FN229-GR$169,73-GR$169+SwaptionShift):INDEX($FO$245:$IH$316,$FN229-GR$169,72-GR$169+SwaptionMonthsToGo+SwaptionShift))/SQRT(SUM(INDEX($FO384:$IH384,1+SwaptionShift):INDEX($FO384:$IH384,SwaptionMonthsToGo+SwaptionShift))*SUM(INDEX($FO$325:$IH$396,GR$169,1+SwaptionShift):INDEX($FO$325:$IH$396,GR$169,SwaptionMonthsToGo+SwaptionShift))))))</f>
        <v/>
      </c>
      <c r="GS229" s="469" t="str">
        <f ca="1">IF(OR(GS$169&lt;SwaptionFirstMonthPosition+1,$FN229&lt;SwaptionFirstMonthPosition+1,GS$169&gt;SwaptionFirstMonthPosition+SwaptionNumOfMonths+1,$FN229&gt;SwaptionFirstMonthPosition+SwaptionNumOfMonths+1),"",IF($FN229=GS$169,1,IF($FN229&lt;GS$169,INDEX($FO$170:$IH$241,GS$169,$FN229),SUMPRODUCT(INDEX($FO$325:$IH$396,GS$169,1+SwaptionShift):INDEX($FO$325:$IH$396,GS$169,SwaptionMonthsToGo+SwaptionShift),INDEX($FO$245:$IH$316,$FN229-GS$169,73-GS$169+SwaptionShift):INDEX($FO$245:$IH$316,$FN229-GS$169,72-GS$169+SwaptionMonthsToGo+SwaptionShift))/SQRT(SUM(INDEX($FO384:$IH384,1+SwaptionShift):INDEX($FO384:$IH384,SwaptionMonthsToGo+SwaptionShift))*SUM(INDEX($FO$325:$IH$396,GS$169,1+SwaptionShift):INDEX($FO$325:$IH$396,GS$169,SwaptionMonthsToGo+SwaptionShift))))))</f>
        <v/>
      </c>
      <c r="GT229" s="469" t="str">
        <f ca="1">IF(OR(GT$169&lt;SwaptionFirstMonthPosition+1,$FN229&lt;SwaptionFirstMonthPosition+1,GT$169&gt;SwaptionFirstMonthPosition+SwaptionNumOfMonths+1,$FN229&gt;SwaptionFirstMonthPosition+SwaptionNumOfMonths+1),"",IF($FN229=GT$169,1,IF($FN229&lt;GT$169,INDEX($FO$170:$IH$241,GT$169,$FN229),SUMPRODUCT(INDEX($FO$325:$IH$396,GT$169,1+SwaptionShift):INDEX($FO$325:$IH$396,GT$169,SwaptionMonthsToGo+SwaptionShift),INDEX($FO$245:$IH$316,$FN229-GT$169,73-GT$169+SwaptionShift):INDEX($FO$245:$IH$316,$FN229-GT$169,72-GT$169+SwaptionMonthsToGo+SwaptionShift))/SQRT(SUM(INDEX($FO384:$IH384,1+SwaptionShift):INDEX($FO384:$IH384,SwaptionMonthsToGo+SwaptionShift))*SUM(INDEX($FO$325:$IH$396,GT$169,1+SwaptionShift):INDEX($FO$325:$IH$396,GT$169,SwaptionMonthsToGo+SwaptionShift))))))</f>
        <v/>
      </c>
      <c r="GU229" s="469" t="str">
        <f ca="1">IF(OR(GU$169&lt;SwaptionFirstMonthPosition+1,$FN229&lt;SwaptionFirstMonthPosition+1,GU$169&gt;SwaptionFirstMonthPosition+SwaptionNumOfMonths+1,$FN229&gt;SwaptionFirstMonthPosition+SwaptionNumOfMonths+1),"",IF($FN229=GU$169,1,IF($FN229&lt;GU$169,INDEX($FO$170:$IH$241,GU$169,$FN229),SUMPRODUCT(INDEX($FO$325:$IH$396,GU$169,1+SwaptionShift):INDEX($FO$325:$IH$396,GU$169,SwaptionMonthsToGo+SwaptionShift),INDEX($FO$245:$IH$316,$FN229-GU$169,73-GU$169+SwaptionShift):INDEX($FO$245:$IH$316,$FN229-GU$169,72-GU$169+SwaptionMonthsToGo+SwaptionShift))/SQRT(SUM(INDEX($FO384:$IH384,1+SwaptionShift):INDEX($FO384:$IH384,SwaptionMonthsToGo+SwaptionShift))*SUM(INDEX($FO$325:$IH$396,GU$169,1+SwaptionShift):INDEX($FO$325:$IH$396,GU$169,SwaptionMonthsToGo+SwaptionShift))))))</f>
        <v/>
      </c>
      <c r="GV229" s="469" t="str">
        <f ca="1">IF(OR(GV$169&lt;SwaptionFirstMonthPosition+1,$FN229&lt;SwaptionFirstMonthPosition+1,GV$169&gt;SwaptionFirstMonthPosition+SwaptionNumOfMonths+1,$FN229&gt;SwaptionFirstMonthPosition+SwaptionNumOfMonths+1),"",IF($FN229=GV$169,1,IF($FN229&lt;GV$169,INDEX($FO$170:$IH$241,GV$169,$FN229),SUMPRODUCT(INDEX($FO$325:$IH$396,GV$169,1+SwaptionShift):INDEX($FO$325:$IH$396,GV$169,SwaptionMonthsToGo+SwaptionShift),INDEX($FO$245:$IH$316,$FN229-GV$169,73-GV$169+SwaptionShift):INDEX($FO$245:$IH$316,$FN229-GV$169,72-GV$169+SwaptionMonthsToGo+SwaptionShift))/SQRT(SUM(INDEX($FO384:$IH384,1+SwaptionShift):INDEX($FO384:$IH384,SwaptionMonthsToGo+SwaptionShift))*SUM(INDEX($FO$325:$IH$396,GV$169,1+SwaptionShift):INDEX($FO$325:$IH$396,GV$169,SwaptionMonthsToGo+SwaptionShift))))))</f>
        <v/>
      </c>
      <c r="GW229" s="469" t="str">
        <f ca="1">IF(OR(GW$169&lt;SwaptionFirstMonthPosition+1,$FN229&lt;SwaptionFirstMonthPosition+1,GW$169&gt;SwaptionFirstMonthPosition+SwaptionNumOfMonths+1,$FN229&gt;SwaptionFirstMonthPosition+SwaptionNumOfMonths+1),"",IF($FN229=GW$169,1,IF($FN229&lt;GW$169,INDEX($FO$170:$IH$241,GW$169,$FN229),SUMPRODUCT(INDEX($FO$325:$IH$396,GW$169,1+SwaptionShift):INDEX($FO$325:$IH$396,GW$169,SwaptionMonthsToGo+SwaptionShift),INDEX($FO$245:$IH$316,$FN229-GW$169,73-GW$169+SwaptionShift):INDEX($FO$245:$IH$316,$FN229-GW$169,72-GW$169+SwaptionMonthsToGo+SwaptionShift))/SQRT(SUM(INDEX($FO384:$IH384,1+SwaptionShift):INDEX($FO384:$IH384,SwaptionMonthsToGo+SwaptionShift))*SUM(INDEX($FO$325:$IH$396,GW$169,1+SwaptionShift):INDEX($FO$325:$IH$396,GW$169,SwaptionMonthsToGo+SwaptionShift))))))</f>
        <v/>
      </c>
      <c r="GX229" s="469" t="str">
        <f ca="1">IF(OR(GX$169&lt;SwaptionFirstMonthPosition+1,$FN229&lt;SwaptionFirstMonthPosition+1,GX$169&gt;SwaptionFirstMonthPosition+SwaptionNumOfMonths+1,$FN229&gt;SwaptionFirstMonthPosition+SwaptionNumOfMonths+1),"",IF($FN229=GX$169,1,IF($FN229&lt;GX$169,INDEX($FO$170:$IH$241,GX$169,$FN229),SUMPRODUCT(INDEX($FO$325:$IH$396,GX$169,1+SwaptionShift):INDEX($FO$325:$IH$396,GX$169,SwaptionMonthsToGo+SwaptionShift),INDEX($FO$245:$IH$316,$FN229-GX$169,73-GX$169+SwaptionShift):INDEX($FO$245:$IH$316,$FN229-GX$169,72-GX$169+SwaptionMonthsToGo+SwaptionShift))/SQRT(SUM(INDEX($FO384:$IH384,1+SwaptionShift):INDEX($FO384:$IH384,SwaptionMonthsToGo+SwaptionShift))*SUM(INDEX($FO$325:$IH$396,GX$169,1+SwaptionShift):INDEX($FO$325:$IH$396,GX$169,SwaptionMonthsToGo+SwaptionShift))))))</f>
        <v/>
      </c>
      <c r="GY229" s="469" t="str">
        <f ca="1">IF(OR(GY$169&lt;SwaptionFirstMonthPosition+1,$FN229&lt;SwaptionFirstMonthPosition+1,GY$169&gt;SwaptionFirstMonthPosition+SwaptionNumOfMonths+1,$FN229&gt;SwaptionFirstMonthPosition+SwaptionNumOfMonths+1),"",IF($FN229=GY$169,1,IF($FN229&lt;GY$169,INDEX($FO$170:$IH$241,GY$169,$FN229),SUMPRODUCT(INDEX($FO$325:$IH$396,GY$169,1+SwaptionShift):INDEX($FO$325:$IH$396,GY$169,SwaptionMonthsToGo+SwaptionShift),INDEX($FO$245:$IH$316,$FN229-GY$169,73-GY$169+SwaptionShift):INDEX($FO$245:$IH$316,$FN229-GY$169,72-GY$169+SwaptionMonthsToGo+SwaptionShift))/SQRT(SUM(INDEX($FO384:$IH384,1+SwaptionShift):INDEX($FO384:$IH384,SwaptionMonthsToGo+SwaptionShift))*SUM(INDEX($FO$325:$IH$396,GY$169,1+SwaptionShift):INDEX($FO$325:$IH$396,GY$169,SwaptionMonthsToGo+SwaptionShift))))))</f>
        <v/>
      </c>
      <c r="GZ229" s="469" t="str">
        <f ca="1">IF(OR(GZ$169&lt;SwaptionFirstMonthPosition+1,$FN229&lt;SwaptionFirstMonthPosition+1,GZ$169&gt;SwaptionFirstMonthPosition+SwaptionNumOfMonths+1,$FN229&gt;SwaptionFirstMonthPosition+SwaptionNumOfMonths+1),"",IF($FN229=GZ$169,1,IF($FN229&lt;GZ$169,INDEX($FO$170:$IH$241,GZ$169,$FN229),SUMPRODUCT(INDEX($FO$325:$IH$396,GZ$169,1+SwaptionShift):INDEX($FO$325:$IH$396,GZ$169,SwaptionMonthsToGo+SwaptionShift),INDEX($FO$245:$IH$316,$FN229-GZ$169,73-GZ$169+SwaptionShift):INDEX($FO$245:$IH$316,$FN229-GZ$169,72-GZ$169+SwaptionMonthsToGo+SwaptionShift))/SQRT(SUM(INDEX($FO384:$IH384,1+SwaptionShift):INDEX($FO384:$IH384,SwaptionMonthsToGo+SwaptionShift))*SUM(INDEX($FO$325:$IH$396,GZ$169,1+SwaptionShift):INDEX($FO$325:$IH$396,GZ$169,SwaptionMonthsToGo+SwaptionShift))))))</f>
        <v/>
      </c>
      <c r="HA229" s="469" t="str">
        <f ca="1">IF(OR(HA$169&lt;SwaptionFirstMonthPosition+1,$FN229&lt;SwaptionFirstMonthPosition+1,HA$169&gt;SwaptionFirstMonthPosition+SwaptionNumOfMonths+1,$FN229&gt;SwaptionFirstMonthPosition+SwaptionNumOfMonths+1),"",IF($FN229=HA$169,1,IF($FN229&lt;HA$169,INDEX($FO$170:$IH$241,HA$169,$FN229),SUMPRODUCT(INDEX($FO$325:$IH$396,HA$169,1+SwaptionShift):INDEX($FO$325:$IH$396,HA$169,SwaptionMonthsToGo+SwaptionShift),INDEX($FO$245:$IH$316,$FN229-HA$169,73-HA$169+SwaptionShift):INDEX($FO$245:$IH$316,$FN229-HA$169,72-HA$169+SwaptionMonthsToGo+SwaptionShift))/SQRT(SUM(INDEX($FO384:$IH384,1+SwaptionShift):INDEX($FO384:$IH384,SwaptionMonthsToGo+SwaptionShift))*SUM(INDEX($FO$325:$IH$396,HA$169,1+SwaptionShift):INDEX($FO$325:$IH$396,HA$169,SwaptionMonthsToGo+SwaptionShift))))))</f>
        <v/>
      </c>
      <c r="HB229" s="469" t="str">
        <f ca="1">IF(OR(HB$169&lt;SwaptionFirstMonthPosition+1,$FN229&lt;SwaptionFirstMonthPosition+1,HB$169&gt;SwaptionFirstMonthPosition+SwaptionNumOfMonths+1,$FN229&gt;SwaptionFirstMonthPosition+SwaptionNumOfMonths+1),"",IF($FN229=HB$169,1,IF($FN229&lt;HB$169,INDEX($FO$170:$IH$241,HB$169,$FN229),SUMPRODUCT(INDEX($FO$325:$IH$396,HB$169,1+SwaptionShift):INDEX($FO$325:$IH$396,HB$169,SwaptionMonthsToGo+SwaptionShift),INDEX($FO$245:$IH$316,$FN229-HB$169,73-HB$169+SwaptionShift):INDEX($FO$245:$IH$316,$FN229-HB$169,72-HB$169+SwaptionMonthsToGo+SwaptionShift))/SQRT(SUM(INDEX($FO384:$IH384,1+SwaptionShift):INDEX($FO384:$IH384,SwaptionMonthsToGo+SwaptionShift))*SUM(INDEX($FO$325:$IH$396,HB$169,1+SwaptionShift):INDEX($FO$325:$IH$396,HB$169,SwaptionMonthsToGo+SwaptionShift))))))</f>
        <v/>
      </c>
      <c r="HC229" s="469" t="str">
        <f ca="1">IF(OR(HC$169&lt;SwaptionFirstMonthPosition+1,$FN229&lt;SwaptionFirstMonthPosition+1,HC$169&gt;SwaptionFirstMonthPosition+SwaptionNumOfMonths+1,$FN229&gt;SwaptionFirstMonthPosition+SwaptionNumOfMonths+1),"",IF($FN229=HC$169,1,IF($FN229&lt;HC$169,INDEX($FO$170:$IH$241,HC$169,$FN229),SUMPRODUCT(INDEX($FO$325:$IH$396,HC$169,1+SwaptionShift):INDEX($FO$325:$IH$396,HC$169,SwaptionMonthsToGo+SwaptionShift),INDEX($FO$245:$IH$316,$FN229-HC$169,73-HC$169+SwaptionShift):INDEX($FO$245:$IH$316,$FN229-HC$169,72-HC$169+SwaptionMonthsToGo+SwaptionShift))/SQRT(SUM(INDEX($FO384:$IH384,1+SwaptionShift):INDEX($FO384:$IH384,SwaptionMonthsToGo+SwaptionShift))*SUM(INDEX($FO$325:$IH$396,HC$169,1+SwaptionShift):INDEX($FO$325:$IH$396,HC$169,SwaptionMonthsToGo+SwaptionShift))))))</f>
        <v/>
      </c>
      <c r="HD229" s="469" t="str">
        <f ca="1">IF(OR(HD$169&lt;SwaptionFirstMonthPosition+1,$FN229&lt;SwaptionFirstMonthPosition+1,HD$169&gt;SwaptionFirstMonthPosition+SwaptionNumOfMonths+1,$FN229&gt;SwaptionFirstMonthPosition+SwaptionNumOfMonths+1),"",IF($FN229=HD$169,1,IF($FN229&lt;HD$169,INDEX($FO$170:$IH$241,HD$169,$FN229),SUMPRODUCT(INDEX($FO$325:$IH$396,HD$169,1+SwaptionShift):INDEX($FO$325:$IH$396,HD$169,SwaptionMonthsToGo+SwaptionShift),INDEX($FO$245:$IH$316,$FN229-HD$169,73-HD$169+SwaptionShift):INDEX($FO$245:$IH$316,$FN229-HD$169,72-HD$169+SwaptionMonthsToGo+SwaptionShift))/SQRT(SUM(INDEX($FO384:$IH384,1+SwaptionShift):INDEX($FO384:$IH384,SwaptionMonthsToGo+SwaptionShift))*SUM(INDEX($FO$325:$IH$396,HD$169,1+SwaptionShift):INDEX($FO$325:$IH$396,HD$169,SwaptionMonthsToGo+SwaptionShift))))))</f>
        <v/>
      </c>
      <c r="HE229" s="469" t="str">
        <f ca="1">IF(OR(HE$169&lt;SwaptionFirstMonthPosition+1,$FN229&lt;SwaptionFirstMonthPosition+1,HE$169&gt;SwaptionFirstMonthPosition+SwaptionNumOfMonths+1,$FN229&gt;SwaptionFirstMonthPosition+SwaptionNumOfMonths+1),"",IF($FN229=HE$169,1,IF($FN229&lt;HE$169,INDEX($FO$170:$IH$241,HE$169,$FN229),SUMPRODUCT(INDEX($FO$325:$IH$396,HE$169,1+SwaptionShift):INDEX($FO$325:$IH$396,HE$169,SwaptionMonthsToGo+SwaptionShift),INDEX($FO$245:$IH$316,$FN229-HE$169,73-HE$169+SwaptionShift):INDEX($FO$245:$IH$316,$FN229-HE$169,72-HE$169+SwaptionMonthsToGo+SwaptionShift))/SQRT(SUM(INDEX($FO384:$IH384,1+SwaptionShift):INDEX($FO384:$IH384,SwaptionMonthsToGo+SwaptionShift))*SUM(INDEX($FO$325:$IH$396,HE$169,1+SwaptionShift):INDEX($FO$325:$IH$396,HE$169,SwaptionMonthsToGo+SwaptionShift))))))</f>
        <v/>
      </c>
      <c r="HF229" s="469" t="str">
        <f ca="1">IF(OR(HF$169&lt;SwaptionFirstMonthPosition+1,$FN229&lt;SwaptionFirstMonthPosition+1,HF$169&gt;SwaptionFirstMonthPosition+SwaptionNumOfMonths+1,$FN229&gt;SwaptionFirstMonthPosition+SwaptionNumOfMonths+1),"",IF($FN229=HF$169,1,IF($FN229&lt;HF$169,INDEX($FO$170:$IH$241,HF$169,$FN229),SUMPRODUCT(INDEX($FO$325:$IH$396,HF$169,1+SwaptionShift):INDEX($FO$325:$IH$396,HF$169,SwaptionMonthsToGo+SwaptionShift),INDEX($FO$245:$IH$316,$FN229-HF$169,73-HF$169+SwaptionShift):INDEX($FO$245:$IH$316,$FN229-HF$169,72-HF$169+SwaptionMonthsToGo+SwaptionShift))/SQRT(SUM(INDEX($FO384:$IH384,1+SwaptionShift):INDEX($FO384:$IH384,SwaptionMonthsToGo+SwaptionShift))*SUM(INDEX($FO$325:$IH$396,HF$169,1+SwaptionShift):INDEX($FO$325:$IH$396,HF$169,SwaptionMonthsToGo+SwaptionShift))))))</f>
        <v/>
      </c>
      <c r="HG229" s="469" t="str">
        <f ca="1">IF(OR(HG$169&lt;SwaptionFirstMonthPosition+1,$FN229&lt;SwaptionFirstMonthPosition+1,HG$169&gt;SwaptionFirstMonthPosition+SwaptionNumOfMonths+1,$FN229&gt;SwaptionFirstMonthPosition+SwaptionNumOfMonths+1),"",IF($FN229=HG$169,1,IF($FN229&lt;HG$169,INDEX($FO$170:$IH$241,HG$169,$FN229),SUMPRODUCT(INDEX($FO$325:$IH$396,HG$169,1+SwaptionShift):INDEX($FO$325:$IH$396,HG$169,SwaptionMonthsToGo+SwaptionShift),INDEX($FO$245:$IH$316,$FN229-HG$169,73-HG$169+SwaptionShift):INDEX($FO$245:$IH$316,$FN229-HG$169,72-HG$169+SwaptionMonthsToGo+SwaptionShift))/SQRT(SUM(INDEX($FO384:$IH384,1+SwaptionShift):INDEX($FO384:$IH384,SwaptionMonthsToGo+SwaptionShift))*SUM(INDEX($FO$325:$IH$396,HG$169,1+SwaptionShift):INDEX($FO$325:$IH$396,HG$169,SwaptionMonthsToGo+SwaptionShift))))))</f>
        <v/>
      </c>
      <c r="HH229" s="469" t="str">
        <f ca="1">IF(OR(HH$169&lt;SwaptionFirstMonthPosition+1,$FN229&lt;SwaptionFirstMonthPosition+1,HH$169&gt;SwaptionFirstMonthPosition+SwaptionNumOfMonths+1,$FN229&gt;SwaptionFirstMonthPosition+SwaptionNumOfMonths+1),"",IF($FN229=HH$169,1,IF($FN229&lt;HH$169,INDEX($FO$170:$IH$241,HH$169,$FN229),SUMPRODUCT(INDEX($FO$325:$IH$396,HH$169,1+SwaptionShift):INDEX($FO$325:$IH$396,HH$169,SwaptionMonthsToGo+SwaptionShift),INDEX($FO$245:$IH$316,$FN229-HH$169,73-HH$169+SwaptionShift):INDEX($FO$245:$IH$316,$FN229-HH$169,72-HH$169+SwaptionMonthsToGo+SwaptionShift))/SQRT(SUM(INDEX($FO384:$IH384,1+SwaptionShift):INDEX($FO384:$IH384,SwaptionMonthsToGo+SwaptionShift))*SUM(INDEX($FO$325:$IH$396,HH$169,1+SwaptionShift):INDEX($FO$325:$IH$396,HH$169,SwaptionMonthsToGo+SwaptionShift))))))</f>
        <v/>
      </c>
      <c r="HI229" s="469" t="str">
        <f ca="1">IF(OR(HI$169&lt;SwaptionFirstMonthPosition+1,$FN229&lt;SwaptionFirstMonthPosition+1,HI$169&gt;SwaptionFirstMonthPosition+SwaptionNumOfMonths+1,$FN229&gt;SwaptionFirstMonthPosition+SwaptionNumOfMonths+1),"",IF($FN229=HI$169,1,IF($FN229&lt;HI$169,INDEX($FO$170:$IH$241,HI$169,$FN229),SUMPRODUCT(INDEX($FO$325:$IH$396,HI$169,1+SwaptionShift):INDEX($FO$325:$IH$396,HI$169,SwaptionMonthsToGo+SwaptionShift),INDEX($FO$245:$IH$316,$FN229-HI$169,73-HI$169+SwaptionShift):INDEX($FO$245:$IH$316,$FN229-HI$169,72-HI$169+SwaptionMonthsToGo+SwaptionShift))/SQRT(SUM(INDEX($FO384:$IH384,1+SwaptionShift):INDEX($FO384:$IH384,SwaptionMonthsToGo+SwaptionShift))*SUM(INDEX($FO$325:$IH$396,HI$169,1+SwaptionShift):INDEX($FO$325:$IH$396,HI$169,SwaptionMonthsToGo+SwaptionShift))))))</f>
        <v/>
      </c>
      <c r="HJ229" s="469" t="str">
        <f ca="1">IF(OR(HJ$169&lt;SwaptionFirstMonthPosition+1,$FN229&lt;SwaptionFirstMonthPosition+1,HJ$169&gt;SwaptionFirstMonthPosition+SwaptionNumOfMonths+1,$FN229&gt;SwaptionFirstMonthPosition+SwaptionNumOfMonths+1),"",IF($FN229=HJ$169,1,IF($FN229&lt;HJ$169,INDEX($FO$170:$IH$241,HJ$169,$FN229),SUMPRODUCT(INDEX($FO$325:$IH$396,HJ$169,1+SwaptionShift):INDEX($FO$325:$IH$396,HJ$169,SwaptionMonthsToGo+SwaptionShift),INDEX($FO$245:$IH$316,$FN229-HJ$169,73-HJ$169+SwaptionShift):INDEX($FO$245:$IH$316,$FN229-HJ$169,72-HJ$169+SwaptionMonthsToGo+SwaptionShift))/SQRT(SUM(INDEX($FO384:$IH384,1+SwaptionShift):INDEX($FO384:$IH384,SwaptionMonthsToGo+SwaptionShift))*SUM(INDEX($FO$325:$IH$396,HJ$169,1+SwaptionShift):INDEX($FO$325:$IH$396,HJ$169,SwaptionMonthsToGo+SwaptionShift))))))</f>
        <v/>
      </c>
      <c r="HK229" s="469" t="str">
        <f ca="1">IF(OR(HK$169&lt;SwaptionFirstMonthPosition+1,$FN229&lt;SwaptionFirstMonthPosition+1,HK$169&gt;SwaptionFirstMonthPosition+SwaptionNumOfMonths+1,$FN229&gt;SwaptionFirstMonthPosition+SwaptionNumOfMonths+1),"",IF($FN229=HK$169,1,IF($FN229&lt;HK$169,INDEX($FO$170:$IH$241,HK$169,$FN229),SUMPRODUCT(INDEX($FO$325:$IH$396,HK$169,1+SwaptionShift):INDEX($FO$325:$IH$396,HK$169,SwaptionMonthsToGo+SwaptionShift),INDEX($FO$245:$IH$316,$FN229-HK$169,73-HK$169+SwaptionShift):INDEX($FO$245:$IH$316,$FN229-HK$169,72-HK$169+SwaptionMonthsToGo+SwaptionShift))/SQRT(SUM(INDEX($FO384:$IH384,1+SwaptionShift):INDEX($FO384:$IH384,SwaptionMonthsToGo+SwaptionShift))*SUM(INDEX($FO$325:$IH$396,HK$169,1+SwaptionShift):INDEX($FO$325:$IH$396,HK$169,SwaptionMonthsToGo+SwaptionShift))))))</f>
        <v/>
      </c>
      <c r="HL229" s="469" t="str">
        <f ca="1">IF(OR(HL$169&lt;SwaptionFirstMonthPosition+1,$FN229&lt;SwaptionFirstMonthPosition+1,HL$169&gt;SwaptionFirstMonthPosition+SwaptionNumOfMonths+1,$FN229&gt;SwaptionFirstMonthPosition+SwaptionNumOfMonths+1),"",IF($FN229=HL$169,1,IF($FN229&lt;HL$169,INDEX($FO$170:$IH$241,HL$169,$FN229),SUMPRODUCT(INDEX($FO$325:$IH$396,HL$169,1+SwaptionShift):INDEX($FO$325:$IH$396,HL$169,SwaptionMonthsToGo+SwaptionShift),INDEX($FO$245:$IH$316,$FN229-HL$169,73-HL$169+SwaptionShift):INDEX($FO$245:$IH$316,$FN229-HL$169,72-HL$169+SwaptionMonthsToGo+SwaptionShift))/SQRT(SUM(INDEX($FO384:$IH384,1+SwaptionShift):INDEX($FO384:$IH384,SwaptionMonthsToGo+SwaptionShift))*SUM(INDEX($FO$325:$IH$396,HL$169,1+SwaptionShift):INDEX($FO$325:$IH$396,HL$169,SwaptionMonthsToGo+SwaptionShift))))))</f>
        <v/>
      </c>
      <c r="HM229" s="469" t="str">
        <f ca="1">IF(OR(HM$169&lt;SwaptionFirstMonthPosition+1,$FN229&lt;SwaptionFirstMonthPosition+1,HM$169&gt;SwaptionFirstMonthPosition+SwaptionNumOfMonths+1,$FN229&gt;SwaptionFirstMonthPosition+SwaptionNumOfMonths+1),"",IF($FN229=HM$169,1,IF($FN229&lt;HM$169,INDEX($FO$170:$IH$241,HM$169,$FN229),SUMPRODUCT(INDEX($FO$325:$IH$396,HM$169,1+SwaptionShift):INDEX($FO$325:$IH$396,HM$169,SwaptionMonthsToGo+SwaptionShift),INDEX($FO$245:$IH$316,$FN229-HM$169,73-HM$169+SwaptionShift):INDEX($FO$245:$IH$316,$FN229-HM$169,72-HM$169+SwaptionMonthsToGo+SwaptionShift))/SQRT(SUM(INDEX($FO384:$IH384,1+SwaptionShift):INDEX($FO384:$IH384,SwaptionMonthsToGo+SwaptionShift))*SUM(INDEX($FO$325:$IH$396,HM$169,1+SwaptionShift):INDEX($FO$325:$IH$396,HM$169,SwaptionMonthsToGo+SwaptionShift))))))</f>
        <v/>
      </c>
      <c r="HN229" s="469" t="str">
        <f ca="1">IF(OR(HN$169&lt;SwaptionFirstMonthPosition+1,$FN229&lt;SwaptionFirstMonthPosition+1,HN$169&gt;SwaptionFirstMonthPosition+SwaptionNumOfMonths+1,$FN229&gt;SwaptionFirstMonthPosition+SwaptionNumOfMonths+1),"",IF($FN229=HN$169,1,IF($FN229&lt;HN$169,INDEX($FO$170:$IH$241,HN$169,$FN229),SUMPRODUCT(INDEX($FO$325:$IH$396,HN$169,1+SwaptionShift):INDEX($FO$325:$IH$396,HN$169,SwaptionMonthsToGo+SwaptionShift),INDEX($FO$245:$IH$316,$FN229-HN$169,73-HN$169+SwaptionShift):INDEX($FO$245:$IH$316,$FN229-HN$169,72-HN$169+SwaptionMonthsToGo+SwaptionShift))/SQRT(SUM(INDEX($FO384:$IH384,1+SwaptionShift):INDEX($FO384:$IH384,SwaptionMonthsToGo+SwaptionShift))*SUM(INDEX($FO$325:$IH$396,HN$169,1+SwaptionShift):INDEX($FO$325:$IH$396,HN$169,SwaptionMonthsToGo+SwaptionShift))))))</f>
        <v/>
      </c>
      <c r="HO229" s="469" t="str">
        <f ca="1">IF(OR(HO$169&lt;SwaptionFirstMonthPosition+1,$FN229&lt;SwaptionFirstMonthPosition+1,HO$169&gt;SwaptionFirstMonthPosition+SwaptionNumOfMonths+1,$FN229&gt;SwaptionFirstMonthPosition+SwaptionNumOfMonths+1),"",IF($FN229=HO$169,1,IF($FN229&lt;HO$169,INDEX($FO$170:$IH$241,HO$169,$FN229),SUMPRODUCT(INDEX($FO$325:$IH$396,HO$169,1+SwaptionShift):INDEX($FO$325:$IH$396,HO$169,SwaptionMonthsToGo+SwaptionShift),INDEX($FO$245:$IH$316,$FN229-HO$169,73-HO$169+SwaptionShift):INDEX($FO$245:$IH$316,$FN229-HO$169,72-HO$169+SwaptionMonthsToGo+SwaptionShift))/SQRT(SUM(INDEX($FO384:$IH384,1+SwaptionShift):INDEX($FO384:$IH384,SwaptionMonthsToGo+SwaptionShift))*SUM(INDEX($FO$325:$IH$396,HO$169,1+SwaptionShift):INDEX($FO$325:$IH$396,HO$169,SwaptionMonthsToGo+SwaptionShift))))))</f>
        <v/>
      </c>
      <c r="HP229" s="469" t="str">
        <f ca="1">IF(OR(HP$169&lt;SwaptionFirstMonthPosition+1,$FN229&lt;SwaptionFirstMonthPosition+1,HP$169&gt;SwaptionFirstMonthPosition+SwaptionNumOfMonths+1,$FN229&gt;SwaptionFirstMonthPosition+SwaptionNumOfMonths+1),"",IF($FN229=HP$169,1,IF($FN229&lt;HP$169,INDEX($FO$170:$IH$241,HP$169,$FN229),SUMPRODUCT(INDEX($FO$325:$IH$396,HP$169,1+SwaptionShift):INDEX($FO$325:$IH$396,HP$169,SwaptionMonthsToGo+SwaptionShift),INDEX($FO$245:$IH$316,$FN229-HP$169,73-HP$169+SwaptionShift):INDEX($FO$245:$IH$316,$FN229-HP$169,72-HP$169+SwaptionMonthsToGo+SwaptionShift))/SQRT(SUM(INDEX($FO384:$IH384,1+SwaptionShift):INDEX($FO384:$IH384,SwaptionMonthsToGo+SwaptionShift))*SUM(INDEX($FO$325:$IH$396,HP$169,1+SwaptionShift):INDEX($FO$325:$IH$396,HP$169,SwaptionMonthsToGo+SwaptionShift))))))</f>
        <v/>
      </c>
      <c r="HQ229" s="469" t="str">
        <f ca="1">IF(OR(HQ$169&lt;SwaptionFirstMonthPosition+1,$FN229&lt;SwaptionFirstMonthPosition+1,HQ$169&gt;SwaptionFirstMonthPosition+SwaptionNumOfMonths+1,$FN229&gt;SwaptionFirstMonthPosition+SwaptionNumOfMonths+1),"",IF($FN229=HQ$169,1,IF($FN229&lt;HQ$169,INDEX($FO$170:$IH$241,HQ$169,$FN229),SUMPRODUCT(INDEX($FO$325:$IH$396,HQ$169,1+SwaptionShift):INDEX($FO$325:$IH$396,HQ$169,SwaptionMonthsToGo+SwaptionShift),INDEX($FO$245:$IH$316,$FN229-HQ$169,73-HQ$169+SwaptionShift):INDEX($FO$245:$IH$316,$FN229-HQ$169,72-HQ$169+SwaptionMonthsToGo+SwaptionShift))/SQRT(SUM(INDEX($FO384:$IH384,1+SwaptionShift):INDEX($FO384:$IH384,SwaptionMonthsToGo+SwaptionShift))*SUM(INDEX($FO$325:$IH$396,HQ$169,1+SwaptionShift):INDEX($FO$325:$IH$396,HQ$169,SwaptionMonthsToGo+SwaptionShift))))))</f>
        <v/>
      </c>
      <c r="HR229" s="469" t="str">
        <f ca="1">IF(OR(HR$169&lt;SwaptionFirstMonthPosition+1,$FN229&lt;SwaptionFirstMonthPosition+1,HR$169&gt;SwaptionFirstMonthPosition+SwaptionNumOfMonths+1,$FN229&gt;SwaptionFirstMonthPosition+SwaptionNumOfMonths+1),"",IF($FN229=HR$169,1,IF($FN229&lt;HR$169,INDEX($FO$170:$IH$241,HR$169,$FN229),SUMPRODUCT(INDEX($FO$325:$IH$396,HR$169,1+SwaptionShift):INDEX($FO$325:$IH$396,HR$169,SwaptionMonthsToGo+SwaptionShift),INDEX($FO$245:$IH$316,$FN229-HR$169,73-HR$169+SwaptionShift):INDEX($FO$245:$IH$316,$FN229-HR$169,72-HR$169+SwaptionMonthsToGo+SwaptionShift))/SQRT(SUM(INDEX($FO384:$IH384,1+SwaptionShift):INDEX($FO384:$IH384,SwaptionMonthsToGo+SwaptionShift))*SUM(INDEX($FO$325:$IH$396,HR$169,1+SwaptionShift):INDEX($FO$325:$IH$396,HR$169,SwaptionMonthsToGo+SwaptionShift))))))</f>
        <v/>
      </c>
      <c r="HS229" s="469" t="str">
        <f ca="1">IF(OR(HS$169&lt;SwaptionFirstMonthPosition+1,$FN229&lt;SwaptionFirstMonthPosition+1,HS$169&gt;SwaptionFirstMonthPosition+SwaptionNumOfMonths+1,$FN229&gt;SwaptionFirstMonthPosition+SwaptionNumOfMonths+1),"",IF($FN229=HS$169,1,IF($FN229&lt;HS$169,INDEX($FO$170:$IH$241,HS$169,$FN229),SUMPRODUCT(INDEX($FO$325:$IH$396,HS$169,1+SwaptionShift):INDEX($FO$325:$IH$396,HS$169,SwaptionMonthsToGo+SwaptionShift),INDEX($FO$245:$IH$316,$FN229-HS$169,73-HS$169+SwaptionShift):INDEX($FO$245:$IH$316,$FN229-HS$169,72-HS$169+SwaptionMonthsToGo+SwaptionShift))/SQRT(SUM(INDEX($FO384:$IH384,1+SwaptionShift):INDEX($FO384:$IH384,SwaptionMonthsToGo+SwaptionShift))*SUM(INDEX($FO$325:$IH$396,HS$169,1+SwaptionShift):INDEX($FO$325:$IH$396,HS$169,SwaptionMonthsToGo+SwaptionShift))))))</f>
        <v/>
      </c>
      <c r="HT229" s="469" t="str">
        <f ca="1">IF(OR(HT$169&lt;SwaptionFirstMonthPosition+1,$FN229&lt;SwaptionFirstMonthPosition+1,HT$169&gt;SwaptionFirstMonthPosition+SwaptionNumOfMonths+1,$FN229&gt;SwaptionFirstMonthPosition+SwaptionNumOfMonths+1),"",IF($FN229=HT$169,1,IF($FN229&lt;HT$169,INDEX($FO$170:$IH$241,HT$169,$FN229),SUMPRODUCT(INDEX($FO$325:$IH$396,HT$169,1+SwaptionShift):INDEX($FO$325:$IH$396,HT$169,SwaptionMonthsToGo+SwaptionShift),INDEX($FO$245:$IH$316,$FN229-HT$169,73-HT$169+SwaptionShift):INDEX($FO$245:$IH$316,$FN229-HT$169,72-HT$169+SwaptionMonthsToGo+SwaptionShift))/SQRT(SUM(INDEX($FO384:$IH384,1+SwaptionShift):INDEX($FO384:$IH384,SwaptionMonthsToGo+SwaptionShift))*SUM(INDEX($FO$325:$IH$396,HT$169,1+SwaptionShift):INDEX($FO$325:$IH$396,HT$169,SwaptionMonthsToGo+SwaptionShift))))))</f>
        <v/>
      </c>
      <c r="HU229" s="469" t="str">
        <f ca="1">IF(OR(HU$169&lt;SwaptionFirstMonthPosition+1,$FN229&lt;SwaptionFirstMonthPosition+1,HU$169&gt;SwaptionFirstMonthPosition+SwaptionNumOfMonths+1,$FN229&gt;SwaptionFirstMonthPosition+SwaptionNumOfMonths+1),"",IF($FN229=HU$169,1,IF($FN229&lt;HU$169,INDEX($FO$170:$IH$241,HU$169,$FN229),SUMPRODUCT(INDEX($FO$325:$IH$396,HU$169,1+SwaptionShift):INDEX($FO$325:$IH$396,HU$169,SwaptionMonthsToGo+SwaptionShift),INDEX($FO$245:$IH$316,$FN229-HU$169,73-HU$169+SwaptionShift):INDEX($FO$245:$IH$316,$FN229-HU$169,72-HU$169+SwaptionMonthsToGo+SwaptionShift))/SQRT(SUM(INDEX($FO384:$IH384,1+SwaptionShift):INDEX($FO384:$IH384,SwaptionMonthsToGo+SwaptionShift))*SUM(INDEX($FO$325:$IH$396,HU$169,1+SwaptionShift):INDEX($FO$325:$IH$396,HU$169,SwaptionMonthsToGo+SwaptionShift))))))</f>
        <v/>
      </c>
      <c r="HV229" s="469" t="str">
        <f ca="1">IF(OR(HV$169&lt;SwaptionFirstMonthPosition+1,$FN229&lt;SwaptionFirstMonthPosition+1,HV$169&gt;SwaptionFirstMonthPosition+SwaptionNumOfMonths+1,$FN229&gt;SwaptionFirstMonthPosition+SwaptionNumOfMonths+1),"",IF($FN229=HV$169,1,IF($FN229&lt;HV$169,INDEX($FO$170:$IH$241,HV$169,$FN229),SUMPRODUCT(INDEX($FO$325:$IH$396,HV$169,1+SwaptionShift):INDEX($FO$325:$IH$396,HV$169,SwaptionMonthsToGo+SwaptionShift),INDEX($FO$245:$IH$316,$FN229-HV$169,73-HV$169+SwaptionShift):INDEX($FO$245:$IH$316,$FN229-HV$169,72-HV$169+SwaptionMonthsToGo+SwaptionShift))/SQRT(SUM(INDEX($FO384:$IH384,1+SwaptionShift):INDEX($FO384:$IH384,SwaptionMonthsToGo+SwaptionShift))*SUM(INDEX($FO$325:$IH$396,HV$169,1+SwaptionShift):INDEX($FO$325:$IH$396,HV$169,SwaptionMonthsToGo+SwaptionShift))))))</f>
        <v/>
      </c>
      <c r="HW229" s="469" t="str">
        <f ca="1">IF(OR(HW$169&lt;SwaptionFirstMonthPosition+1,$FN229&lt;SwaptionFirstMonthPosition+1,HW$169&gt;SwaptionFirstMonthPosition+SwaptionNumOfMonths+1,$FN229&gt;SwaptionFirstMonthPosition+SwaptionNumOfMonths+1),"",IF($FN229=HW$169,1,IF($FN229&lt;HW$169,INDEX($FO$170:$IH$241,HW$169,$FN229),SUMPRODUCT(INDEX($FO$325:$IH$396,HW$169,1+SwaptionShift):INDEX($FO$325:$IH$396,HW$169,SwaptionMonthsToGo+SwaptionShift),INDEX($FO$245:$IH$316,$FN229-HW$169,73-HW$169+SwaptionShift):INDEX($FO$245:$IH$316,$FN229-HW$169,72-HW$169+SwaptionMonthsToGo+SwaptionShift))/SQRT(SUM(INDEX($FO384:$IH384,1+SwaptionShift):INDEX($FO384:$IH384,SwaptionMonthsToGo+SwaptionShift))*SUM(INDEX($FO$325:$IH$396,HW$169,1+SwaptionShift):INDEX($FO$325:$IH$396,HW$169,SwaptionMonthsToGo+SwaptionShift))))))</f>
        <v/>
      </c>
      <c r="HX229" s="469" t="str">
        <f ca="1">IF(OR(HX$169&lt;SwaptionFirstMonthPosition+1,$FN229&lt;SwaptionFirstMonthPosition+1,HX$169&gt;SwaptionFirstMonthPosition+SwaptionNumOfMonths+1,$FN229&gt;SwaptionFirstMonthPosition+SwaptionNumOfMonths+1),"",IF($FN229=HX$169,1,IF($FN229&lt;HX$169,INDEX($FO$170:$IH$241,HX$169,$FN229),SUMPRODUCT(INDEX($FO$325:$IH$396,HX$169,1+SwaptionShift):INDEX($FO$325:$IH$396,HX$169,SwaptionMonthsToGo+SwaptionShift),INDEX($FO$245:$IH$316,$FN229-HX$169,73-HX$169+SwaptionShift):INDEX($FO$245:$IH$316,$FN229-HX$169,72-HX$169+SwaptionMonthsToGo+SwaptionShift))/SQRT(SUM(INDEX($FO384:$IH384,1+SwaptionShift):INDEX($FO384:$IH384,SwaptionMonthsToGo+SwaptionShift))*SUM(INDEX($FO$325:$IH$396,HX$169,1+SwaptionShift):INDEX($FO$325:$IH$396,HX$169,SwaptionMonthsToGo+SwaptionShift))))))</f>
        <v/>
      </c>
      <c r="HY229" s="469" t="str">
        <f ca="1">IF(OR(HY$169&lt;SwaptionFirstMonthPosition+1,$FN229&lt;SwaptionFirstMonthPosition+1,HY$169&gt;SwaptionFirstMonthPosition+SwaptionNumOfMonths+1,$FN229&gt;SwaptionFirstMonthPosition+SwaptionNumOfMonths+1),"",IF($FN229=HY$169,1,IF($FN229&lt;HY$169,INDEX($FO$170:$IH$241,HY$169,$FN229),SUMPRODUCT(INDEX($FO$325:$IH$396,HY$169,1+SwaptionShift):INDEX($FO$325:$IH$396,HY$169,SwaptionMonthsToGo+SwaptionShift),INDEX($FO$245:$IH$316,$FN229-HY$169,73-HY$169+SwaptionShift):INDEX($FO$245:$IH$316,$FN229-HY$169,72-HY$169+SwaptionMonthsToGo+SwaptionShift))/SQRT(SUM(INDEX($FO384:$IH384,1+SwaptionShift):INDEX($FO384:$IH384,SwaptionMonthsToGo+SwaptionShift))*SUM(INDEX($FO$325:$IH$396,HY$169,1+SwaptionShift):INDEX($FO$325:$IH$396,HY$169,SwaptionMonthsToGo+SwaptionShift))))))</f>
        <v/>
      </c>
      <c r="HZ229" s="469" t="str">
        <f ca="1">IF(OR(HZ$169&lt;SwaptionFirstMonthPosition+1,$FN229&lt;SwaptionFirstMonthPosition+1,HZ$169&gt;SwaptionFirstMonthPosition+SwaptionNumOfMonths+1,$FN229&gt;SwaptionFirstMonthPosition+SwaptionNumOfMonths+1),"",IF($FN229=HZ$169,1,IF($FN229&lt;HZ$169,INDEX($FO$170:$IH$241,HZ$169,$FN229),SUMPRODUCT(INDEX($FO$325:$IH$396,HZ$169,1+SwaptionShift):INDEX($FO$325:$IH$396,HZ$169,SwaptionMonthsToGo+SwaptionShift),INDEX($FO$245:$IH$316,$FN229-HZ$169,73-HZ$169+SwaptionShift):INDEX($FO$245:$IH$316,$FN229-HZ$169,72-HZ$169+SwaptionMonthsToGo+SwaptionShift))/SQRT(SUM(INDEX($FO384:$IH384,1+SwaptionShift):INDEX($FO384:$IH384,SwaptionMonthsToGo+SwaptionShift))*SUM(INDEX($FO$325:$IH$396,HZ$169,1+SwaptionShift):INDEX($FO$325:$IH$396,HZ$169,SwaptionMonthsToGo+SwaptionShift))))))</f>
        <v/>
      </c>
      <c r="IA229" s="469" t="str">
        <f ca="1">IF(OR(IA$169&lt;SwaptionFirstMonthPosition+1,$FN229&lt;SwaptionFirstMonthPosition+1,IA$169&gt;SwaptionFirstMonthPosition+SwaptionNumOfMonths+1,$FN229&gt;SwaptionFirstMonthPosition+SwaptionNumOfMonths+1),"",IF($FN229=IA$169,1,IF($FN229&lt;IA$169,INDEX($FO$170:$IH$241,IA$169,$FN229),SUMPRODUCT(INDEX($FO$325:$IH$396,IA$169,1+SwaptionShift):INDEX($FO$325:$IH$396,IA$169,SwaptionMonthsToGo+SwaptionShift),INDEX($FO$245:$IH$316,$FN229-IA$169,73-IA$169+SwaptionShift):INDEX($FO$245:$IH$316,$FN229-IA$169,72-IA$169+SwaptionMonthsToGo+SwaptionShift))/SQRT(SUM(INDEX($FO384:$IH384,1+SwaptionShift):INDEX($FO384:$IH384,SwaptionMonthsToGo+SwaptionShift))*SUM(INDEX($FO$325:$IH$396,IA$169,1+SwaptionShift):INDEX($FO$325:$IH$396,IA$169,SwaptionMonthsToGo+SwaptionShift))))))</f>
        <v/>
      </c>
      <c r="IB229" s="469" t="str">
        <f ca="1">IF(OR(IB$169&lt;SwaptionFirstMonthPosition+1,$FN229&lt;SwaptionFirstMonthPosition+1,IB$169&gt;SwaptionFirstMonthPosition+SwaptionNumOfMonths+1,$FN229&gt;SwaptionFirstMonthPosition+SwaptionNumOfMonths+1),"",IF($FN229=IB$169,1,IF($FN229&lt;IB$169,INDEX($FO$170:$IH$241,IB$169,$FN229),SUMPRODUCT(INDEX($FO$325:$IH$396,IB$169,1+SwaptionShift):INDEX($FO$325:$IH$396,IB$169,SwaptionMonthsToGo+SwaptionShift),INDEX($FO$245:$IH$316,$FN229-IB$169,73-IB$169+SwaptionShift):INDEX($FO$245:$IH$316,$FN229-IB$169,72-IB$169+SwaptionMonthsToGo+SwaptionShift))/SQRT(SUM(INDEX($FO384:$IH384,1+SwaptionShift):INDEX($FO384:$IH384,SwaptionMonthsToGo+SwaptionShift))*SUM(INDEX($FO$325:$IH$396,IB$169,1+SwaptionShift):INDEX($FO$325:$IH$396,IB$169,SwaptionMonthsToGo+SwaptionShift))))))</f>
        <v/>
      </c>
      <c r="IC229" s="469" t="str">
        <f ca="1">IF(OR(IC$169&lt;SwaptionFirstMonthPosition+1,$FN229&lt;SwaptionFirstMonthPosition+1,IC$169&gt;SwaptionFirstMonthPosition+SwaptionNumOfMonths+1,$FN229&gt;SwaptionFirstMonthPosition+SwaptionNumOfMonths+1),"",IF($FN229=IC$169,1,IF($FN229&lt;IC$169,INDEX($FO$170:$IH$241,IC$169,$FN229),SUMPRODUCT(INDEX($FO$325:$IH$396,IC$169,1+SwaptionShift):INDEX($FO$325:$IH$396,IC$169,SwaptionMonthsToGo+SwaptionShift),INDEX($FO$245:$IH$316,$FN229-IC$169,73-IC$169+SwaptionShift):INDEX($FO$245:$IH$316,$FN229-IC$169,72-IC$169+SwaptionMonthsToGo+SwaptionShift))/SQRT(SUM(INDEX($FO384:$IH384,1+SwaptionShift):INDEX($FO384:$IH384,SwaptionMonthsToGo+SwaptionShift))*SUM(INDEX($FO$325:$IH$396,IC$169,1+SwaptionShift):INDEX($FO$325:$IH$396,IC$169,SwaptionMonthsToGo+SwaptionShift))))))</f>
        <v/>
      </c>
      <c r="ID229" s="469" t="str">
        <f ca="1">IF(OR(ID$169&lt;SwaptionFirstMonthPosition+1,$FN229&lt;SwaptionFirstMonthPosition+1,ID$169&gt;SwaptionFirstMonthPosition+SwaptionNumOfMonths+1,$FN229&gt;SwaptionFirstMonthPosition+SwaptionNumOfMonths+1),"",IF($FN229=ID$169,1,IF($FN229&lt;ID$169,INDEX($FO$170:$IH$241,ID$169,$FN229),SUMPRODUCT(INDEX($FO$325:$IH$396,ID$169,1+SwaptionShift):INDEX($FO$325:$IH$396,ID$169,SwaptionMonthsToGo+SwaptionShift),INDEX($FO$245:$IH$316,$FN229-ID$169,73-ID$169+SwaptionShift):INDEX($FO$245:$IH$316,$FN229-ID$169,72-ID$169+SwaptionMonthsToGo+SwaptionShift))/SQRT(SUM(INDEX($FO384:$IH384,1+SwaptionShift):INDEX($FO384:$IH384,SwaptionMonthsToGo+SwaptionShift))*SUM(INDEX($FO$325:$IH$396,ID$169,1+SwaptionShift):INDEX($FO$325:$IH$396,ID$169,SwaptionMonthsToGo+SwaptionShift))))))</f>
        <v/>
      </c>
      <c r="IE229" s="469" t="str">
        <f ca="1">IF(OR(IE$169&lt;SwaptionFirstMonthPosition+1,$FN229&lt;SwaptionFirstMonthPosition+1,IE$169&gt;SwaptionFirstMonthPosition+SwaptionNumOfMonths+1,$FN229&gt;SwaptionFirstMonthPosition+SwaptionNumOfMonths+1),"",IF($FN229=IE$169,1,IF($FN229&lt;IE$169,INDEX($FO$170:$IH$241,IE$169,$FN229),SUMPRODUCT(INDEX($FO$325:$IH$396,IE$169,1+SwaptionShift):INDEX($FO$325:$IH$396,IE$169,SwaptionMonthsToGo+SwaptionShift),INDEX($FO$245:$IH$316,$FN229-IE$169,73-IE$169+SwaptionShift):INDEX($FO$245:$IH$316,$FN229-IE$169,72-IE$169+SwaptionMonthsToGo+SwaptionShift))/SQRT(SUM(INDEX($FO384:$IH384,1+SwaptionShift):INDEX($FO384:$IH384,SwaptionMonthsToGo+SwaptionShift))*SUM(INDEX($FO$325:$IH$396,IE$169,1+SwaptionShift):INDEX($FO$325:$IH$396,IE$169,SwaptionMonthsToGo+SwaptionShift))))))</f>
        <v/>
      </c>
      <c r="IF229" s="469" t="str">
        <f ca="1">IF(OR(IF$169&lt;SwaptionFirstMonthPosition+1,$FN229&lt;SwaptionFirstMonthPosition+1,IF$169&gt;SwaptionFirstMonthPosition+SwaptionNumOfMonths+1,$FN229&gt;SwaptionFirstMonthPosition+SwaptionNumOfMonths+1),"",IF($FN229=IF$169,1,IF($FN229&lt;IF$169,INDEX($FO$170:$IH$241,IF$169,$FN229),SUMPRODUCT(INDEX($FO$325:$IH$396,IF$169,1+SwaptionShift):INDEX($FO$325:$IH$396,IF$169,SwaptionMonthsToGo+SwaptionShift),INDEX($FO$245:$IH$316,$FN229-IF$169,73-IF$169+SwaptionShift):INDEX($FO$245:$IH$316,$FN229-IF$169,72-IF$169+SwaptionMonthsToGo+SwaptionShift))/SQRT(SUM(INDEX($FO384:$IH384,1+SwaptionShift):INDEX($FO384:$IH384,SwaptionMonthsToGo+SwaptionShift))*SUM(INDEX($FO$325:$IH$396,IF$169,1+SwaptionShift):INDEX($FO$325:$IH$396,IF$169,SwaptionMonthsToGo+SwaptionShift))))))</f>
        <v/>
      </c>
      <c r="IG229" s="469" t="str">
        <f ca="1">IF(OR(IG$169&lt;SwaptionFirstMonthPosition+1,$FN229&lt;SwaptionFirstMonthPosition+1,IG$169&gt;SwaptionFirstMonthPosition+SwaptionNumOfMonths+1,$FN229&gt;SwaptionFirstMonthPosition+SwaptionNumOfMonths+1),"",IF($FN229=IG$169,1,IF($FN229&lt;IG$169,INDEX($FO$170:$IH$241,IG$169,$FN229),SUMPRODUCT(INDEX($FO$325:$IH$396,IG$169,1+SwaptionShift):INDEX($FO$325:$IH$396,IG$169,SwaptionMonthsToGo+SwaptionShift),INDEX($FO$245:$IH$316,$FN229-IG$169,73-IG$169+SwaptionShift):INDEX($FO$245:$IH$316,$FN229-IG$169,72-IG$169+SwaptionMonthsToGo+SwaptionShift))/SQRT(SUM(INDEX($FO384:$IH384,1+SwaptionShift):INDEX($FO384:$IH384,SwaptionMonthsToGo+SwaptionShift))*SUM(INDEX($FO$325:$IH$396,IG$169,1+SwaptionShift):INDEX($FO$325:$IH$396,IG$169,SwaptionMonthsToGo+SwaptionShift))))))</f>
        <v/>
      </c>
      <c r="IH229" s="662" t="str">
        <f ca="1">IF(OR(IH$169&lt;SwaptionFirstMonthPosition+1,$FN229&lt;SwaptionFirstMonthPosition+1,IH$169&gt;SwaptionFirstMonthPosition+SwaptionNumOfMonths+1,$FN229&gt;SwaptionFirstMonthPosition+SwaptionNumOfMonths+1),"",IF($FN229=IH$169,1,IF($FN229&lt;IH$169,INDEX($FO$170:$IH$241,IH$169,$FN229),SUMPRODUCT(INDEX($FO$325:$IH$396,IH$169,1+SwaptionShift):INDEX($FO$325:$IH$396,IH$169,SwaptionMonthsToGo+SwaptionShift),INDEX($FO$245:$IH$316,$FN229-IH$169,73-IH$169+SwaptionShift):INDEX($FO$245:$IH$316,$FN229-IH$169,72-IH$169+SwaptionMonthsToGo+SwaptionShift))/SQRT(SUM(INDEX($FO384:$IH384,1+SwaptionShift):INDEX($FO384:$IH384,SwaptionMonthsToGo+SwaptionShift))*SUM(INDEX($FO$325:$IH$396,IH$169,1+SwaptionShift):INDEX($FO$325:$IH$396,IH$169,SwaptionMonthsToGo+SwaptionShift))))))</f>
        <v/>
      </c>
      <c r="II229" s="242"/>
    </row>
    <row r="230" spans="8:243">
      <c r="H230" s="49" t="e">
        <f t="shared" ca="1" si="645"/>
        <v>#N/A</v>
      </c>
      <c r="I230" s="369">
        <f t="shared" si="646"/>
        <v>43405</v>
      </c>
      <c r="J230" s="367">
        <v>24.634999999999799</v>
      </c>
      <c r="K230" s="101" t="s">
        <v>267</v>
      </c>
      <c r="L230" s="382">
        <f t="shared" si="647"/>
        <v>24.634999999999831</v>
      </c>
      <c r="M230" s="163">
        <v>0.12710000000000002</v>
      </c>
      <c r="N230" s="372">
        <v>0</v>
      </c>
      <c r="O230" s="163">
        <f t="shared" si="595"/>
        <v>0.12710000000000002</v>
      </c>
      <c r="P230" s="367">
        <v>23.385561601516198</v>
      </c>
      <c r="Q230" s="101" t="s">
        <v>267</v>
      </c>
      <c r="R230" s="367">
        <f t="shared" ca="1" si="596"/>
        <v>23.385561601516205</v>
      </c>
      <c r="S230" s="814">
        <f t="shared" si="594"/>
        <v>0.34611963718975008</v>
      </c>
      <c r="T230" s="813">
        <f t="shared" si="660"/>
        <v>0.99999999998079714</v>
      </c>
      <c r="U230" s="532">
        <f t="shared" si="661"/>
        <v>0.99999999999999978</v>
      </c>
      <c r="V230" s="379">
        <v>0</v>
      </c>
      <c r="W230" s="424">
        <f t="shared" si="597"/>
        <v>24.669090909090702</v>
      </c>
      <c r="X230" s="405">
        <f t="shared" si="598"/>
        <v>24.669090909090741</v>
      </c>
      <c r="Y230" s="313">
        <f t="shared" si="599"/>
        <v>23.4274909090907</v>
      </c>
      <c r="Z230" s="313">
        <f t="shared" ca="1" si="600"/>
        <v>23.427490909090743</v>
      </c>
      <c r="AA230" s="419">
        <f t="shared" si="623"/>
        <v>1.2416</v>
      </c>
      <c r="AB230" s="423">
        <f t="shared" ca="1" si="624"/>
        <v>1.2416</v>
      </c>
      <c r="AC230" s="221">
        <v>43393</v>
      </c>
      <c r="AD230" s="221">
        <v>43389</v>
      </c>
      <c r="AE230" s="221">
        <v>43388</v>
      </c>
      <c r="AF230" s="221">
        <v>43384</v>
      </c>
      <c r="AG230" s="241" t="s">
        <v>497</v>
      </c>
      <c r="AH230" s="239" t="s">
        <v>497</v>
      </c>
      <c r="AI230" s="141">
        <v>22</v>
      </c>
      <c r="AJ230" s="41">
        <v>14</v>
      </c>
      <c r="AK230" s="41">
        <v>8</v>
      </c>
      <c r="AL230" s="285">
        <v>22</v>
      </c>
      <c r="AM230" s="41">
        <v>10</v>
      </c>
      <c r="AN230" s="142">
        <v>12</v>
      </c>
      <c r="AO230" s="364">
        <v>6.3327739235195898E-2</v>
      </c>
      <c r="AP230" s="145">
        <f t="shared" ca="1" si="648"/>
        <v>0.33288802067317325</v>
      </c>
      <c r="AQ230" s="364">
        <v>5.9519551609759101E-2</v>
      </c>
      <c r="AR230" s="145">
        <f t="shared" ca="1" si="662"/>
        <v>0.35788689216231306</v>
      </c>
      <c r="AS230" s="264">
        <f t="shared" si="601"/>
        <v>0.12655454545454548</v>
      </c>
      <c r="AT230" s="149">
        <f t="shared" si="649"/>
        <v>0.12710000000000002</v>
      </c>
      <c r="AU230" s="149">
        <f t="shared" si="625"/>
        <v>0.1264818181818182</v>
      </c>
      <c r="AV230" s="263">
        <f t="shared" ca="1" si="669"/>
        <v>0.12516474023680754</v>
      </c>
      <c r="AW230" s="150" t="str">
        <f t="shared" ca="1" si="581"/>
        <v/>
      </c>
      <c r="AX230" s="149">
        <f t="shared" ca="1" si="663"/>
        <v>3.349928413267915E-3</v>
      </c>
      <c r="AY230" s="149">
        <f t="shared" ca="1" si="664"/>
        <v>1.0200045247866555E-3</v>
      </c>
      <c r="AZ230" s="149">
        <f t="shared" ca="1" si="665"/>
        <v>1.2678266035055703E-3</v>
      </c>
      <c r="BA230" s="149">
        <f t="shared" ca="1" si="666"/>
        <v>1.0000000000001132E-4</v>
      </c>
      <c r="BB230" s="149">
        <f t="shared" ca="1" si="667"/>
        <v>1.0000000000001132E-4</v>
      </c>
      <c r="BC230" s="149">
        <f t="shared" ca="1" si="668"/>
        <v>1.0000000000001132E-4</v>
      </c>
      <c r="BD230" s="143">
        <f t="shared" ca="1" si="602"/>
        <v>0</v>
      </c>
      <c r="BE230" s="144">
        <f t="shared" ca="1" si="603"/>
        <v>0</v>
      </c>
      <c r="BF230" s="40">
        <f t="shared" si="604"/>
        <v>2018</v>
      </c>
      <c r="BG230" s="139">
        <f t="shared" si="605"/>
        <v>11</v>
      </c>
      <c r="BH230" s="140">
        <f t="shared" ca="1" si="606"/>
        <v>6399</v>
      </c>
      <c r="BI230" s="304">
        <f t="shared" ca="1" si="607"/>
        <v>17.563312799452429</v>
      </c>
      <c r="BJ230" s="42">
        <f t="shared" ca="1" si="626"/>
        <v>17.613838591251323</v>
      </c>
      <c r="BK230" s="42">
        <f t="shared" ca="1" si="627"/>
        <v>17.616576442038454</v>
      </c>
      <c r="BL230" s="42">
        <f t="shared" ca="1" si="608"/>
        <v>17.642710472279262</v>
      </c>
      <c r="BM230" s="285">
        <f t="shared" si="609"/>
        <v>22</v>
      </c>
      <c r="BN230" s="41">
        <f t="shared" si="610"/>
        <v>14</v>
      </c>
      <c r="BO230" s="41">
        <f t="shared" si="611"/>
        <v>8</v>
      </c>
      <c r="BP230" s="297" t="str">
        <f t="shared" ca="1" si="628"/>
        <v/>
      </c>
      <c r="BQ230" s="297" t="str">
        <f t="shared" ca="1" si="629"/>
        <v/>
      </c>
      <c r="BR230" s="299" t="str">
        <f t="shared" ca="1" si="630"/>
        <v/>
      </c>
      <c r="BS230" s="153" t="str">
        <f t="shared" ca="1" si="631"/>
        <v/>
      </c>
      <c r="BT230" s="153" t="str">
        <f t="shared" ca="1" si="632"/>
        <v/>
      </c>
      <c r="BU230" s="300" t="str">
        <f t="shared" ca="1" si="633"/>
        <v/>
      </c>
      <c r="BV230" s="301" t="str">
        <f t="shared" ca="1" si="634"/>
        <v/>
      </c>
      <c r="BW230" s="300" t="str">
        <f t="shared" ca="1" si="635"/>
        <v/>
      </c>
      <c r="BX230" s="301" t="str">
        <f t="shared" ca="1" si="636"/>
        <v/>
      </c>
      <c r="BY230" s="146" t="str">
        <f t="shared" ca="1" si="637"/>
        <v/>
      </c>
      <c r="BZ230" s="146" t="str">
        <f t="shared" ca="1" si="638"/>
        <v/>
      </c>
      <c r="CA230" s="146" t="str">
        <f t="shared" ca="1" si="639"/>
        <v/>
      </c>
      <c r="CB230" s="146" t="str">
        <f t="shared" ca="1" si="640"/>
        <v/>
      </c>
      <c r="CC230" s="302">
        <v>1</v>
      </c>
      <c r="CD230" s="154">
        <f ca="1">IF(BD230,_xll.xCrudeAPO(BS230,BT230,BY230,BZ230,S231,S232,BI230,BL230,BN230,BO230,0,Strike1,AO230,CC230,0,BL230,IF(OptControl=4,0,1),0,1),0)</f>
        <v>0</v>
      </c>
      <c r="CE230" s="155">
        <f ca="1">IF(BD230,_xll.xCrudeAPO(BS230,BT230,BY230,BZ230,S231,S232,BI230,BL230,BN230,BO230,0,Strike1,AO230,CC230,0,BL230,IF(OptControl=4,0,1),1,1)+_xll.xCrudeAPO(BS230,BT230,BY230,BZ230,S231,S232,BI230,BL230,BN230,BO230,0,Strike1,AO230,CC230,0,BL230,IF(OptControl=4,0,1),1,2)+IF(OR(VolSkewFlag=2,ABS(BQ230)&lt;0.0001),0,IF(BQ230&gt;0,-1,1)*CF230*Strike1/BP230^2*BW230/10%),0)</f>
        <v>0</v>
      </c>
      <c r="CF230" s="155">
        <f ca="1">IF(BD230,(_xll.xCrudeAPO(BS230,BT230,BY230,BZ230,S231,S232,BI230,BL230,BN230,BO230,0,Strike1,AO230,CC230,0,BL230,IF(OptControl=4,0,1),3,1)+_xll.xCrudeAPO(BS230,BT230,BY230,BZ230,S231,S232,BI230,BL230,BN230,BO230,0,Strike1,AO230,CC230,0,BL230,IF(OptControl=4,0,1),3,2))/100,0)</f>
        <v>0</v>
      </c>
      <c r="CG230" s="155">
        <f ca="1">IF(BD230,_xll.xCrudeAPO(BS230,BT230,BY230,BZ230,S231,S232,BI230-DaysForThetaCalculation/365.25,BL230-DaysForThetaCalculation/365.25,BN230,BO230,0,Strike1,AO230,CC230,0,BL230,IF(OptControl=4,0,1),0,1)-_xll.xCrudeAPO(BS230,BT230,BY230,BZ230,S231,S232,BI230,BL230,BN230,BO230,0,Strike1,AO230,CC230,0,BL230,IF(OptControl=4,0,1),0,1),0)</f>
        <v>0</v>
      </c>
      <c r="CH230" s="303">
        <f ca="1">IF(BD230,_xll.xCrudeAPO(BS230,BT230,CA230,CB230,S231,S232,BI230,BL230,BN230,BO230,0,Strike2,AO230,CC230,0,BL230,IF(OptControl=3,1,0),0,1),0)</f>
        <v>0</v>
      </c>
      <c r="CI230" s="155">
        <f ca="1">IF(BD230,_xll.xCrudeAPO(BS230,BT230,CA230,CB230,S231,S232,BI230,BL230,BN230,BO230,0,Strike2,AO230,CC230,0,BL230,IF(OptControl=3,1,0),1,1)+_xll.xCrudeAPO(BS230,BT230,CA230,CB230,S231,S232,BI230,BL230,BN230,BO230,0,Strike2,AO230,CC230,0,BL230,IF(OptControl=3,1,0),1,2)+IF(OR(VolSkewFlag=2,ABS(BR230)&lt;0.0001),0,IF(BR230&gt;0,-1,1)*CJ230*Strike2/BP230^2*BX230/10%),0)</f>
        <v>0</v>
      </c>
      <c r="CJ230" s="155">
        <f ca="1">IF(BD230,(_xll.xCrudeAPO(BS230,BT230,CA230,CB230,S231,S232,BI230,BL230,BN230,BO230,0,Strike2,AO230,CC230,0,BL230,IF(OptControl=3,1,0),3,1)+_xll.xCrudeAPO(BS230,BT230,CA230,CB230,S231,S232,BI230,BL230,BN230,BO230,0,Strike2,AO230,CC230,0,BL230,IF(OptControl=3,1,0),3,2))/100,0)</f>
        <v>0</v>
      </c>
      <c r="CK230" s="156">
        <f ca="1">IF(BD230,_xll.xCrudeAPO(BS230,BT230,CA230,CB230,S231,S232,BI230-DaysForThetaCalculation/365.25,BL230-DaysForThetaCalculation/365.25,BN230,BO230,0,Strike2,AO230,CC230,0,BL230,IF(OptControl=3,1,0),0,1)-_xll.xCrudeAPO(BS230,BT230,CA230,CB230,S231,S232,BI230,BL230,BN230,BO230,0,Strike2,AO230,CC230,0,BL230,IF(OptControl=3,1,0),0,1),0)</f>
        <v>0</v>
      </c>
      <c r="CL230" s="51"/>
      <c r="CM230" s="779" t="str">
        <f t="shared" ca="1" si="650"/>
        <v/>
      </c>
      <c r="CN230" s="783" t="str">
        <f t="shared" ca="1" si="651"/>
        <v/>
      </c>
      <c r="CO230" s="780" t="str">
        <f t="shared" ca="1" si="652"/>
        <v/>
      </c>
      <c r="CP230" s="780" t="str">
        <f t="shared" ca="1" si="653"/>
        <v/>
      </c>
      <c r="CQ230" s="780" t="str">
        <f t="shared" ca="1" si="654"/>
        <v/>
      </c>
      <c r="CR230" s="780" t="str">
        <f t="shared" ca="1" si="655"/>
        <v/>
      </c>
      <c r="CS230" s="781" t="str">
        <f t="shared" ca="1" si="656"/>
        <v/>
      </c>
      <c r="CT230" s="782" t="str">
        <f t="shared" ca="1" si="657"/>
        <v/>
      </c>
      <c r="CU230" s="782" t="str">
        <f t="shared" ca="1" si="658"/>
        <v/>
      </c>
      <c r="CV230" s="155">
        <f ca="1">IF(BD230,_xll.EURO(CN230,Strike1,AO230,AO230,CT230,CM230,IF(OptControl=4,0,1),0),0)</f>
        <v>0</v>
      </c>
      <c r="CW230" s="155">
        <f ca="1">IF(BD230,_xll.EURO(CN230,Strike1,AO230,AO230,CT230,CM230,IF(OptControl=4,0,1),1)+IF(OR(VolSkewFlag=2,ABS(CO230)&lt;0.0001),0,IF(CO230&gt;0,-1,1)*CX230*100*Strike1/CN230^2*CQ230/10%),0)</f>
        <v>0</v>
      </c>
      <c r="CX230" s="155">
        <f ca="1">IF(BD230,_xll.EURO(CN230,Strike1,AO230,AO230,CT230,CM230,IF(OptControl=4,0,1),3)/100,0)</f>
        <v>0</v>
      </c>
      <c r="CY230" s="155">
        <f ca="1">IF(BD230,_xll.EURO(CN230,Strike1,AO230,AO230,CT230,CM230,IF(OptControl=4,0,1),0)-_xll.EURO(CN230,Strike1,AO230,AO230,CT230,CM230-1,IF(OptControl=4,0,1),0),0)</f>
        <v>0</v>
      </c>
      <c r="CZ230" s="155">
        <f ca="1">IF(BD230,_xll.EURO(CN230,Strike2,AO230,AO230,CU230,CM230,IF(OptControl=3,1,0),0),0)</f>
        <v>0</v>
      </c>
      <c r="DA230" s="155">
        <f ca="1">IF(BD230,_xll.EURO(CN230,Strike2,AO230,AO230,CU230,CM230,IF(OptControl=3,1,0),1)+IF(OR(VolSkewFlag=2,ABS(CP230)&lt;0.0001),0,IF(CP230&gt;0,-1,1)*DB230*100*Strike2/CN230^2*CR230/10%),0)</f>
        <v>0</v>
      </c>
      <c r="DB230" s="155">
        <f ca="1">IF(BD230,_xll.EURO(CN230,Strike2,AO230,AO230,CU230,CM230,IF(OptControl=3,1,0),3)/100,0)</f>
        <v>0</v>
      </c>
      <c r="DC230" s="156">
        <f ca="1">IF(BD230,_xll.EURO(CN230,Strike2,AO230,AO230,CU230,CM230,IF(OptControl=3,1,0),0)-_xll.EURO(CN230,Strike2,AO230,AO230,CU230,CM230-1,IF(OptControl=3,1,0),0),0)</f>
        <v>0</v>
      </c>
      <c r="DE230" s="651">
        <f t="shared" ca="1" si="659"/>
        <v>43313</v>
      </c>
      <c r="DF230" s="465">
        <v>1E-4</v>
      </c>
      <c r="DG230" s="649">
        <v>1E-4</v>
      </c>
      <c r="DH230" s="650">
        <f t="shared" ca="1" si="612"/>
        <v>43313</v>
      </c>
      <c r="DI230" s="465">
        <v>1E-4</v>
      </c>
      <c r="DJ230" s="649">
        <v>1E-4</v>
      </c>
      <c r="DK230" s="651">
        <f t="shared" ca="1" si="613"/>
        <v>43313</v>
      </c>
      <c r="DL230" s="652">
        <f t="shared" si="614"/>
        <v>5.0100000000000006E-2</v>
      </c>
      <c r="DM230" s="651">
        <f t="shared" ca="1" si="615"/>
        <v>43313</v>
      </c>
      <c r="DN230" s="563">
        <f t="shared" si="616"/>
        <v>-0.12990000000000002</v>
      </c>
      <c r="DO230" s="803">
        <v>-0.13</v>
      </c>
      <c r="DP230" s="650">
        <f t="shared" ca="1" si="617"/>
        <v>43313</v>
      </c>
      <c r="DQ230" s="653">
        <v>1E-4</v>
      </c>
      <c r="DR230" s="590">
        <v>1E-4</v>
      </c>
      <c r="DS230" s="650">
        <f t="shared" ca="1" si="618"/>
        <v>43313</v>
      </c>
      <c r="DT230" s="653">
        <v>1E-4</v>
      </c>
      <c r="DU230" s="590">
        <v>1E-4</v>
      </c>
      <c r="DV230" s="651">
        <f t="shared" ca="1" si="619"/>
        <v>43313</v>
      </c>
      <c r="DW230" s="590">
        <v>1E-4</v>
      </c>
      <c r="DX230" s="651">
        <f t="shared" ca="1" si="620"/>
        <v>43313</v>
      </c>
      <c r="DY230" s="590">
        <f t="shared" si="621"/>
        <v>1E-4</v>
      </c>
      <c r="DZ230" s="1"/>
      <c r="EA230" s="857"/>
      <c r="EB230" s="857"/>
      <c r="EC230" s="857"/>
      <c r="ED230" s="868" t="e">
        <f t="shared" ca="1" si="670"/>
        <v>#NAME?</v>
      </c>
      <c r="EE230" s="863" t="e">
        <f t="shared" ca="1" si="641"/>
        <v>#NAME?</v>
      </c>
      <c r="EF230" s="590" t="e">
        <f t="shared" ca="1" si="642"/>
        <v>#NAME?</v>
      </c>
      <c r="EG230" s="862" t="str">
        <f t="shared" ca="1" si="622"/>
        <v/>
      </c>
      <c r="EH230" s="114" t="str">
        <f t="shared" ca="1" si="643"/>
        <v/>
      </c>
      <c r="EI230" s="109" t="str">
        <f t="shared" ca="1" si="644"/>
        <v/>
      </c>
      <c r="EJ230" s="115">
        <f ca="1">IF(BD230,_xll.xASN(BP230,Strike1,AO230,EH230,0,BM230,0,BI230,BL230,IF(OptControl=4,0,1),0),0)</f>
        <v>0</v>
      </c>
      <c r="EK230" s="108">
        <f ca="1">IF(BD230,_xll.xASN(BP230,Strike2,AO230,EI230,0,BM230,0,BI230,BL230,IF(OptControl=3,1,0),0),0)</f>
        <v>0</v>
      </c>
      <c r="EP230" s="53"/>
      <c r="EQ230" s="1"/>
      <c r="ER230" s="103"/>
      <c r="ES230" s="103"/>
      <c r="ET230" s="1"/>
      <c r="EU230" s="667" t="s">
        <v>443</v>
      </c>
      <c r="EW230" s="53"/>
      <c r="EY230" s="104"/>
      <c r="FN230" s="657">
        <v>61</v>
      </c>
      <c r="FO230" s="469" t="str">
        <f ca="1">IF(OR(FO$169&lt;SwaptionFirstMonthPosition+1,$FN230&lt;SwaptionFirstMonthPosition+1,FO$169&gt;SwaptionFirstMonthPosition+SwaptionNumOfMonths+1,$FN230&gt;SwaptionFirstMonthPosition+SwaptionNumOfMonths+1),"",IF($FN230=FO$169,1,IF($FN230&lt;FO$169,INDEX($FO$170:$IH$241,FO$169,$FN230),SUMPRODUCT(INDEX($FO$325:$IH$396,FO$169,1+SwaptionShift):INDEX($FO$325:$IH$396,FO$169,SwaptionMonthsToGo+SwaptionShift),INDEX($FO$245:$IH$316,$FN230-FO$169,73-FO$169+SwaptionShift):INDEX($FO$245:$IH$316,$FN230-FO$169,72-FO$169+SwaptionMonthsToGo+SwaptionShift))/SQRT(SUM(INDEX($FO385:$IH385,1+SwaptionShift):INDEX($FO385:$IH385,SwaptionMonthsToGo+SwaptionShift))*SUM(INDEX($FO$325:$IH$396,FO$169,1+SwaptionShift):INDEX($FO$325:$IH$396,FO$169,SwaptionMonthsToGo+SwaptionShift))))))</f>
        <v/>
      </c>
      <c r="FP230" s="469" t="str">
        <f ca="1">IF(OR(FP$169&lt;SwaptionFirstMonthPosition+1,$FN230&lt;SwaptionFirstMonthPosition+1,FP$169&gt;SwaptionFirstMonthPosition+SwaptionNumOfMonths+1,$FN230&gt;SwaptionFirstMonthPosition+SwaptionNumOfMonths+1),"",IF($FN230=FP$169,1,IF($FN230&lt;FP$169,INDEX($FO$170:$IH$241,FP$169,$FN230),SUMPRODUCT(INDEX($FO$325:$IH$396,FP$169,1+SwaptionShift):INDEX($FO$325:$IH$396,FP$169,SwaptionMonthsToGo+SwaptionShift),INDEX($FO$245:$IH$316,$FN230-FP$169,73-FP$169+SwaptionShift):INDEX($FO$245:$IH$316,$FN230-FP$169,72-FP$169+SwaptionMonthsToGo+SwaptionShift))/SQRT(SUM(INDEX($FO385:$IH385,1+SwaptionShift):INDEX($FO385:$IH385,SwaptionMonthsToGo+SwaptionShift))*SUM(INDEX($FO$325:$IH$396,FP$169,1+SwaptionShift):INDEX($FO$325:$IH$396,FP$169,SwaptionMonthsToGo+SwaptionShift))))))</f>
        <v/>
      </c>
      <c r="FQ230" s="469" t="str">
        <f ca="1">IF(OR(FQ$169&lt;SwaptionFirstMonthPosition+1,$FN230&lt;SwaptionFirstMonthPosition+1,FQ$169&gt;SwaptionFirstMonthPosition+SwaptionNumOfMonths+1,$FN230&gt;SwaptionFirstMonthPosition+SwaptionNumOfMonths+1),"",IF($FN230=FQ$169,1,IF($FN230&lt;FQ$169,INDEX($FO$170:$IH$241,FQ$169,$FN230),SUMPRODUCT(INDEX($FO$325:$IH$396,FQ$169,1+SwaptionShift):INDEX($FO$325:$IH$396,FQ$169,SwaptionMonthsToGo+SwaptionShift),INDEX($FO$245:$IH$316,$FN230-FQ$169,73-FQ$169+SwaptionShift):INDEX($FO$245:$IH$316,$FN230-FQ$169,72-FQ$169+SwaptionMonthsToGo+SwaptionShift))/SQRT(SUM(INDEX($FO385:$IH385,1+SwaptionShift):INDEX($FO385:$IH385,SwaptionMonthsToGo+SwaptionShift))*SUM(INDEX($FO$325:$IH$396,FQ$169,1+SwaptionShift):INDEX($FO$325:$IH$396,FQ$169,SwaptionMonthsToGo+SwaptionShift))))))</f>
        <v/>
      </c>
      <c r="FR230" s="469" t="str">
        <f ca="1">IF(OR(FR$169&lt;SwaptionFirstMonthPosition+1,$FN230&lt;SwaptionFirstMonthPosition+1,FR$169&gt;SwaptionFirstMonthPosition+SwaptionNumOfMonths+1,$FN230&gt;SwaptionFirstMonthPosition+SwaptionNumOfMonths+1),"",IF($FN230=FR$169,1,IF($FN230&lt;FR$169,INDEX($FO$170:$IH$241,FR$169,$FN230),SUMPRODUCT(INDEX($FO$325:$IH$396,FR$169,1+SwaptionShift):INDEX($FO$325:$IH$396,FR$169,SwaptionMonthsToGo+SwaptionShift),INDEX($FO$245:$IH$316,$FN230-FR$169,73-FR$169+SwaptionShift):INDEX($FO$245:$IH$316,$FN230-FR$169,72-FR$169+SwaptionMonthsToGo+SwaptionShift))/SQRT(SUM(INDEX($FO385:$IH385,1+SwaptionShift):INDEX($FO385:$IH385,SwaptionMonthsToGo+SwaptionShift))*SUM(INDEX($FO$325:$IH$396,FR$169,1+SwaptionShift):INDEX($FO$325:$IH$396,FR$169,SwaptionMonthsToGo+SwaptionShift))))))</f>
        <v/>
      </c>
      <c r="FS230" s="469" t="str">
        <f ca="1">IF(OR(FS$169&lt;SwaptionFirstMonthPosition+1,$FN230&lt;SwaptionFirstMonthPosition+1,FS$169&gt;SwaptionFirstMonthPosition+SwaptionNumOfMonths+1,$FN230&gt;SwaptionFirstMonthPosition+SwaptionNumOfMonths+1),"",IF($FN230=FS$169,1,IF($FN230&lt;FS$169,INDEX($FO$170:$IH$241,FS$169,$FN230),SUMPRODUCT(INDEX($FO$325:$IH$396,FS$169,1+SwaptionShift):INDEX($FO$325:$IH$396,FS$169,SwaptionMonthsToGo+SwaptionShift),INDEX($FO$245:$IH$316,$FN230-FS$169,73-FS$169+SwaptionShift):INDEX($FO$245:$IH$316,$FN230-FS$169,72-FS$169+SwaptionMonthsToGo+SwaptionShift))/SQRT(SUM(INDEX($FO385:$IH385,1+SwaptionShift):INDEX($FO385:$IH385,SwaptionMonthsToGo+SwaptionShift))*SUM(INDEX($FO$325:$IH$396,FS$169,1+SwaptionShift):INDEX($FO$325:$IH$396,FS$169,SwaptionMonthsToGo+SwaptionShift))))))</f>
        <v/>
      </c>
      <c r="FT230" s="469" t="str">
        <f ca="1">IF(OR(FT$169&lt;SwaptionFirstMonthPosition+1,$FN230&lt;SwaptionFirstMonthPosition+1,FT$169&gt;SwaptionFirstMonthPosition+SwaptionNumOfMonths+1,$FN230&gt;SwaptionFirstMonthPosition+SwaptionNumOfMonths+1),"",IF($FN230=FT$169,1,IF($FN230&lt;FT$169,INDEX($FO$170:$IH$241,FT$169,$FN230),SUMPRODUCT(INDEX($FO$325:$IH$396,FT$169,1+SwaptionShift):INDEX($FO$325:$IH$396,FT$169,SwaptionMonthsToGo+SwaptionShift),INDEX($FO$245:$IH$316,$FN230-FT$169,73-FT$169+SwaptionShift):INDEX($FO$245:$IH$316,$FN230-FT$169,72-FT$169+SwaptionMonthsToGo+SwaptionShift))/SQRT(SUM(INDEX($FO385:$IH385,1+SwaptionShift):INDEX($FO385:$IH385,SwaptionMonthsToGo+SwaptionShift))*SUM(INDEX($FO$325:$IH$396,FT$169,1+SwaptionShift):INDEX($FO$325:$IH$396,FT$169,SwaptionMonthsToGo+SwaptionShift))))))</f>
        <v/>
      </c>
      <c r="FU230" s="469" t="str">
        <f ca="1">IF(OR(FU$169&lt;SwaptionFirstMonthPosition+1,$FN230&lt;SwaptionFirstMonthPosition+1,FU$169&gt;SwaptionFirstMonthPosition+SwaptionNumOfMonths+1,$FN230&gt;SwaptionFirstMonthPosition+SwaptionNumOfMonths+1),"",IF($FN230=FU$169,1,IF($FN230&lt;FU$169,INDEX($FO$170:$IH$241,FU$169,$FN230),SUMPRODUCT(INDEX($FO$325:$IH$396,FU$169,1+SwaptionShift):INDEX($FO$325:$IH$396,FU$169,SwaptionMonthsToGo+SwaptionShift),INDEX($FO$245:$IH$316,$FN230-FU$169,73-FU$169+SwaptionShift):INDEX($FO$245:$IH$316,$FN230-FU$169,72-FU$169+SwaptionMonthsToGo+SwaptionShift))/SQRT(SUM(INDEX($FO385:$IH385,1+SwaptionShift):INDEX($FO385:$IH385,SwaptionMonthsToGo+SwaptionShift))*SUM(INDEX($FO$325:$IH$396,FU$169,1+SwaptionShift):INDEX($FO$325:$IH$396,FU$169,SwaptionMonthsToGo+SwaptionShift))))))</f>
        <v/>
      </c>
      <c r="FV230" s="469" t="str">
        <f ca="1">IF(OR(FV$169&lt;SwaptionFirstMonthPosition+1,$FN230&lt;SwaptionFirstMonthPosition+1,FV$169&gt;SwaptionFirstMonthPosition+SwaptionNumOfMonths+1,$FN230&gt;SwaptionFirstMonthPosition+SwaptionNumOfMonths+1),"",IF($FN230=FV$169,1,IF($FN230&lt;FV$169,INDEX($FO$170:$IH$241,FV$169,$FN230),SUMPRODUCT(INDEX($FO$325:$IH$396,FV$169,1+SwaptionShift):INDEX($FO$325:$IH$396,FV$169,SwaptionMonthsToGo+SwaptionShift),INDEX($FO$245:$IH$316,$FN230-FV$169,73-FV$169+SwaptionShift):INDEX($FO$245:$IH$316,$FN230-FV$169,72-FV$169+SwaptionMonthsToGo+SwaptionShift))/SQRT(SUM(INDEX($FO385:$IH385,1+SwaptionShift):INDEX($FO385:$IH385,SwaptionMonthsToGo+SwaptionShift))*SUM(INDEX($FO$325:$IH$396,FV$169,1+SwaptionShift):INDEX($FO$325:$IH$396,FV$169,SwaptionMonthsToGo+SwaptionShift))))))</f>
        <v/>
      </c>
      <c r="FW230" s="469" t="str">
        <f ca="1">IF(OR(FW$169&lt;SwaptionFirstMonthPosition+1,$FN230&lt;SwaptionFirstMonthPosition+1,FW$169&gt;SwaptionFirstMonthPosition+SwaptionNumOfMonths+1,$FN230&gt;SwaptionFirstMonthPosition+SwaptionNumOfMonths+1),"",IF($FN230=FW$169,1,IF($FN230&lt;FW$169,INDEX($FO$170:$IH$241,FW$169,$FN230),SUMPRODUCT(INDEX($FO$325:$IH$396,FW$169,1+SwaptionShift):INDEX($FO$325:$IH$396,FW$169,SwaptionMonthsToGo+SwaptionShift),INDEX($FO$245:$IH$316,$FN230-FW$169,73-FW$169+SwaptionShift):INDEX($FO$245:$IH$316,$FN230-FW$169,72-FW$169+SwaptionMonthsToGo+SwaptionShift))/SQRT(SUM(INDEX($FO385:$IH385,1+SwaptionShift):INDEX($FO385:$IH385,SwaptionMonthsToGo+SwaptionShift))*SUM(INDEX($FO$325:$IH$396,FW$169,1+SwaptionShift):INDEX($FO$325:$IH$396,FW$169,SwaptionMonthsToGo+SwaptionShift))))))</f>
        <v/>
      </c>
      <c r="FX230" s="469" t="str">
        <f ca="1">IF(OR(FX$169&lt;SwaptionFirstMonthPosition+1,$FN230&lt;SwaptionFirstMonthPosition+1,FX$169&gt;SwaptionFirstMonthPosition+SwaptionNumOfMonths+1,$FN230&gt;SwaptionFirstMonthPosition+SwaptionNumOfMonths+1),"",IF($FN230=FX$169,1,IF($FN230&lt;FX$169,INDEX($FO$170:$IH$241,FX$169,$FN230),SUMPRODUCT(INDEX($FO$325:$IH$396,FX$169,1+SwaptionShift):INDEX($FO$325:$IH$396,FX$169,SwaptionMonthsToGo+SwaptionShift),INDEX($FO$245:$IH$316,$FN230-FX$169,73-FX$169+SwaptionShift):INDEX($FO$245:$IH$316,$FN230-FX$169,72-FX$169+SwaptionMonthsToGo+SwaptionShift))/SQRT(SUM(INDEX($FO385:$IH385,1+SwaptionShift):INDEX($FO385:$IH385,SwaptionMonthsToGo+SwaptionShift))*SUM(INDEX($FO$325:$IH$396,FX$169,1+SwaptionShift):INDEX($FO$325:$IH$396,FX$169,SwaptionMonthsToGo+SwaptionShift))))))</f>
        <v/>
      </c>
      <c r="FY230" s="469" t="str">
        <f ca="1">IF(OR(FY$169&lt;SwaptionFirstMonthPosition+1,$FN230&lt;SwaptionFirstMonthPosition+1,FY$169&gt;SwaptionFirstMonthPosition+SwaptionNumOfMonths+1,$FN230&gt;SwaptionFirstMonthPosition+SwaptionNumOfMonths+1),"",IF($FN230=FY$169,1,IF($FN230&lt;FY$169,INDEX($FO$170:$IH$241,FY$169,$FN230),SUMPRODUCT(INDEX($FO$325:$IH$396,FY$169,1+SwaptionShift):INDEX($FO$325:$IH$396,FY$169,SwaptionMonthsToGo+SwaptionShift),INDEX($FO$245:$IH$316,$FN230-FY$169,73-FY$169+SwaptionShift):INDEX($FO$245:$IH$316,$FN230-FY$169,72-FY$169+SwaptionMonthsToGo+SwaptionShift))/SQRT(SUM(INDEX($FO385:$IH385,1+SwaptionShift):INDEX($FO385:$IH385,SwaptionMonthsToGo+SwaptionShift))*SUM(INDEX($FO$325:$IH$396,FY$169,1+SwaptionShift):INDEX($FO$325:$IH$396,FY$169,SwaptionMonthsToGo+SwaptionShift))))))</f>
        <v/>
      </c>
      <c r="FZ230" s="469" t="str">
        <f ca="1">IF(OR(FZ$169&lt;SwaptionFirstMonthPosition+1,$FN230&lt;SwaptionFirstMonthPosition+1,FZ$169&gt;SwaptionFirstMonthPosition+SwaptionNumOfMonths+1,$FN230&gt;SwaptionFirstMonthPosition+SwaptionNumOfMonths+1),"",IF($FN230=FZ$169,1,IF($FN230&lt;FZ$169,INDEX($FO$170:$IH$241,FZ$169,$FN230),SUMPRODUCT(INDEX($FO$325:$IH$396,FZ$169,1+SwaptionShift):INDEX($FO$325:$IH$396,FZ$169,SwaptionMonthsToGo+SwaptionShift),INDEX($FO$245:$IH$316,$FN230-FZ$169,73-FZ$169+SwaptionShift):INDEX($FO$245:$IH$316,$FN230-FZ$169,72-FZ$169+SwaptionMonthsToGo+SwaptionShift))/SQRT(SUM(INDEX($FO385:$IH385,1+SwaptionShift):INDEX($FO385:$IH385,SwaptionMonthsToGo+SwaptionShift))*SUM(INDEX($FO$325:$IH$396,FZ$169,1+SwaptionShift):INDEX($FO$325:$IH$396,FZ$169,SwaptionMonthsToGo+SwaptionShift))))))</f>
        <v/>
      </c>
      <c r="GA230" s="469" t="str">
        <f ca="1">IF(OR(GA$169&lt;SwaptionFirstMonthPosition+1,$FN230&lt;SwaptionFirstMonthPosition+1,GA$169&gt;SwaptionFirstMonthPosition+SwaptionNumOfMonths+1,$FN230&gt;SwaptionFirstMonthPosition+SwaptionNumOfMonths+1),"",IF($FN230=GA$169,1,IF($FN230&lt;GA$169,INDEX($FO$170:$IH$241,GA$169,$FN230),SUMPRODUCT(INDEX($FO$325:$IH$396,GA$169,1+SwaptionShift):INDEX($FO$325:$IH$396,GA$169,SwaptionMonthsToGo+SwaptionShift),INDEX($FO$245:$IH$316,$FN230-GA$169,73-GA$169+SwaptionShift):INDEX($FO$245:$IH$316,$FN230-GA$169,72-GA$169+SwaptionMonthsToGo+SwaptionShift))/SQRT(SUM(INDEX($FO385:$IH385,1+SwaptionShift):INDEX($FO385:$IH385,SwaptionMonthsToGo+SwaptionShift))*SUM(INDEX($FO$325:$IH$396,GA$169,1+SwaptionShift):INDEX($FO$325:$IH$396,GA$169,SwaptionMonthsToGo+SwaptionShift))))))</f>
        <v/>
      </c>
      <c r="GB230" s="469" t="str">
        <f ca="1">IF(OR(GB$169&lt;SwaptionFirstMonthPosition+1,$FN230&lt;SwaptionFirstMonthPosition+1,GB$169&gt;SwaptionFirstMonthPosition+SwaptionNumOfMonths+1,$FN230&gt;SwaptionFirstMonthPosition+SwaptionNumOfMonths+1),"",IF($FN230=GB$169,1,IF($FN230&lt;GB$169,INDEX($FO$170:$IH$241,GB$169,$FN230),SUMPRODUCT(INDEX($FO$325:$IH$396,GB$169,1+SwaptionShift):INDEX($FO$325:$IH$396,GB$169,SwaptionMonthsToGo+SwaptionShift),INDEX($FO$245:$IH$316,$FN230-GB$169,73-GB$169+SwaptionShift):INDEX($FO$245:$IH$316,$FN230-GB$169,72-GB$169+SwaptionMonthsToGo+SwaptionShift))/SQRT(SUM(INDEX($FO385:$IH385,1+SwaptionShift):INDEX($FO385:$IH385,SwaptionMonthsToGo+SwaptionShift))*SUM(INDEX($FO$325:$IH$396,GB$169,1+SwaptionShift):INDEX($FO$325:$IH$396,GB$169,SwaptionMonthsToGo+SwaptionShift))))))</f>
        <v/>
      </c>
      <c r="GC230" s="469" t="str">
        <f ca="1">IF(OR(GC$169&lt;SwaptionFirstMonthPosition+1,$FN230&lt;SwaptionFirstMonthPosition+1,GC$169&gt;SwaptionFirstMonthPosition+SwaptionNumOfMonths+1,$FN230&gt;SwaptionFirstMonthPosition+SwaptionNumOfMonths+1),"",IF($FN230=GC$169,1,IF($FN230&lt;GC$169,INDEX($FO$170:$IH$241,GC$169,$FN230),SUMPRODUCT(INDEX($FO$325:$IH$396,GC$169,1+SwaptionShift):INDEX($FO$325:$IH$396,GC$169,SwaptionMonthsToGo+SwaptionShift),INDEX($FO$245:$IH$316,$FN230-GC$169,73-GC$169+SwaptionShift):INDEX($FO$245:$IH$316,$FN230-GC$169,72-GC$169+SwaptionMonthsToGo+SwaptionShift))/SQRT(SUM(INDEX($FO385:$IH385,1+SwaptionShift):INDEX($FO385:$IH385,SwaptionMonthsToGo+SwaptionShift))*SUM(INDEX($FO$325:$IH$396,GC$169,1+SwaptionShift):INDEX($FO$325:$IH$396,GC$169,SwaptionMonthsToGo+SwaptionShift))))))</f>
        <v/>
      </c>
      <c r="GD230" s="469" t="str">
        <f ca="1">IF(OR(GD$169&lt;SwaptionFirstMonthPosition+1,$FN230&lt;SwaptionFirstMonthPosition+1,GD$169&gt;SwaptionFirstMonthPosition+SwaptionNumOfMonths+1,$FN230&gt;SwaptionFirstMonthPosition+SwaptionNumOfMonths+1),"",IF($FN230=GD$169,1,IF($FN230&lt;GD$169,INDEX($FO$170:$IH$241,GD$169,$FN230),SUMPRODUCT(INDEX($FO$325:$IH$396,GD$169,1+SwaptionShift):INDEX($FO$325:$IH$396,GD$169,SwaptionMonthsToGo+SwaptionShift),INDEX($FO$245:$IH$316,$FN230-GD$169,73-GD$169+SwaptionShift):INDEX($FO$245:$IH$316,$FN230-GD$169,72-GD$169+SwaptionMonthsToGo+SwaptionShift))/SQRT(SUM(INDEX($FO385:$IH385,1+SwaptionShift):INDEX($FO385:$IH385,SwaptionMonthsToGo+SwaptionShift))*SUM(INDEX($FO$325:$IH$396,GD$169,1+SwaptionShift):INDEX($FO$325:$IH$396,GD$169,SwaptionMonthsToGo+SwaptionShift))))))</f>
        <v/>
      </c>
      <c r="GE230" s="469" t="str">
        <f ca="1">IF(OR(GE$169&lt;SwaptionFirstMonthPosition+1,$FN230&lt;SwaptionFirstMonthPosition+1,GE$169&gt;SwaptionFirstMonthPosition+SwaptionNumOfMonths+1,$FN230&gt;SwaptionFirstMonthPosition+SwaptionNumOfMonths+1),"",IF($FN230=GE$169,1,IF($FN230&lt;GE$169,INDEX($FO$170:$IH$241,GE$169,$FN230),SUMPRODUCT(INDEX($FO$325:$IH$396,GE$169,1+SwaptionShift):INDEX($FO$325:$IH$396,GE$169,SwaptionMonthsToGo+SwaptionShift),INDEX($FO$245:$IH$316,$FN230-GE$169,73-GE$169+SwaptionShift):INDEX($FO$245:$IH$316,$FN230-GE$169,72-GE$169+SwaptionMonthsToGo+SwaptionShift))/SQRT(SUM(INDEX($FO385:$IH385,1+SwaptionShift):INDEX($FO385:$IH385,SwaptionMonthsToGo+SwaptionShift))*SUM(INDEX($FO$325:$IH$396,GE$169,1+SwaptionShift):INDEX($FO$325:$IH$396,GE$169,SwaptionMonthsToGo+SwaptionShift))))))</f>
        <v/>
      </c>
      <c r="GF230" s="469" t="str">
        <f ca="1">IF(OR(GF$169&lt;SwaptionFirstMonthPosition+1,$FN230&lt;SwaptionFirstMonthPosition+1,GF$169&gt;SwaptionFirstMonthPosition+SwaptionNumOfMonths+1,$FN230&gt;SwaptionFirstMonthPosition+SwaptionNumOfMonths+1),"",IF($FN230=GF$169,1,IF($FN230&lt;GF$169,INDEX($FO$170:$IH$241,GF$169,$FN230),SUMPRODUCT(INDEX($FO$325:$IH$396,GF$169,1+SwaptionShift):INDEX($FO$325:$IH$396,GF$169,SwaptionMonthsToGo+SwaptionShift),INDEX($FO$245:$IH$316,$FN230-GF$169,73-GF$169+SwaptionShift):INDEX($FO$245:$IH$316,$FN230-GF$169,72-GF$169+SwaptionMonthsToGo+SwaptionShift))/SQRT(SUM(INDEX($FO385:$IH385,1+SwaptionShift):INDEX($FO385:$IH385,SwaptionMonthsToGo+SwaptionShift))*SUM(INDEX($FO$325:$IH$396,GF$169,1+SwaptionShift):INDEX($FO$325:$IH$396,GF$169,SwaptionMonthsToGo+SwaptionShift))))))</f>
        <v/>
      </c>
      <c r="GG230" s="469" t="str">
        <f ca="1">IF(OR(GG$169&lt;SwaptionFirstMonthPosition+1,$FN230&lt;SwaptionFirstMonthPosition+1,GG$169&gt;SwaptionFirstMonthPosition+SwaptionNumOfMonths+1,$FN230&gt;SwaptionFirstMonthPosition+SwaptionNumOfMonths+1),"",IF($FN230=GG$169,1,IF($FN230&lt;GG$169,INDEX($FO$170:$IH$241,GG$169,$FN230),SUMPRODUCT(INDEX($FO$325:$IH$396,GG$169,1+SwaptionShift):INDEX($FO$325:$IH$396,GG$169,SwaptionMonthsToGo+SwaptionShift),INDEX($FO$245:$IH$316,$FN230-GG$169,73-GG$169+SwaptionShift):INDEX($FO$245:$IH$316,$FN230-GG$169,72-GG$169+SwaptionMonthsToGo+SwaptionShift))/SQRT(SUM(INDEX($FO385:$IH385,1+SwaptionShift):INDEX($FO385:$IH385,SwaptionMonthsToGo+SwaptionShift))*SUM(INDEX($FO$325:$IH$396,GG$169,1+SwaptionShift):INDEX($FO$325:$IH$396,GG$169,SwaptionMonthsToGo+SwaptionShift))))))</f>
        <v/>
      </c>
      <c r="GH230" s="469" t="str">
        <f ca="1">IF(OR(GH$169&lt;SwaptionFirstMonthPosition+1,$FN230&lt;SwaptionFirstMonthPosition+1,GH$169&gt;SwaptionFirstMonthPosition+SwaptionNumOfMonths+1,$FN230&gt;SwaptionFirstMonthPosition+SwaptionNumOfMonths+1),"",IF($FN230=GH$169,1,IF($FN230&lt;GH$169,INDEX($FO$170:$IH$241,GH$169,$FN230),SUMPRODUCT(INDEX($FO$325:$IH$396,GH$169,1+SwaptionShift):INDEX($FO$325:$IH$396,GH$169,SwaptionMonthsToGo+SwaptionShift),INDEX($FO$245:$IH$316,$FN230-GH$169,73-GH$169+SwaptionShift):INDEX($FO$245:$IH$316,$FN230-GH$169,72-GH$169+SwaptionMonthsToGo+SwaptionShift))/SQRT(SUM(INDEX($FO385:$IH385,1+SwaptionShift):INDEX($FO385:$IH385,SwaptionMonthsToGo+SwaptionShift))*SUM(INDEX($FO$325:$IH$396,GH$169,1+SwaptionShift):INDEX($FO$325:$IH$396,GH$169,SwaptionMonthsToGo+SwaptionShift))))))</f>
        <v/>
      </c>
      <c r="GI230" s="469" t="str">
        <f ca="1">IF(OR(GI$169&lt;SwaptionFirstMonthPosition+1,$FN230&lt;SwaptionFirstMonthPosition+1,GI$169&gt;SwaptionFirstMonthPosition+SwaptionNumOfMonths+1,$FN230&gt;SwaptionFirstMonthPosition+SwaptionNumOfMonths+1),"",IF($FN230=GI$169,1,IF($FN230&lt;GI$169,INDEX($FO$170:$IH$241,GI$169,$FN230),SUMPRODUCT(INDEX($FO$325:$IH$396,GI$169,1+SwaptionShift):INDEX($FO$325:$IH$396,GI$169,SwaptionMonthsToGo+SwaptionShift),INDEX($FO$245:$IH$316,$FN230-GI$169,73-GI$169+SwaptionShift):INDEX($FO$245:$IH$316,$FN230-GI$169,72-GI$169+SwaptionMonthsToGo+SwaptionShift))/SQRT(SUM(INDEX($FO385:$IH385,1+SwaptionShift):INDEX($FO385:$IH385,SwaptionMonthsToGo+SwaptionShift))*SUM(INDEX($FO$325:$IH$396,GI$169,1+SwaptionShift):INDEX($FO$325:$IH$396,GI$169,SwaptionMonthsToGo+SwaptionShift))))))</f>
        <v/>
      </c>
      <c r="GJ230" s="469" t="str">
        <f ca="1">IF(OR(GJ$169&lt;SwaptionFirstMonthPosition+1,$FN230&lt;SwaptionFirstMonthPosition+1,GJ$169&gt;SwaptionFirstMonthPosition+SwaptionNumOfMonths+1,$FN230&gt;SwaptionFirstMonthPosition+SwaptionNumOfMonths+1),"",IF($FN230=GJ$169,1,IF($FN230&lt;GJ$169,INDEX($FO$170:$IH$241,GJ$169,$FN230),SUMPRODUCT(INDEX($FO$325:$IH$396,GJ$169,1+SwaptionShift):INDEX($FO$325:$IH$396,GJ$169,SwaptionMonthsToGo+SwaptionShift),INDEX($FO$245:$IH$316,$FN230-GJ$169,73-GJ$169+SwaptionShift):INDEX($FO$245:$IH$316,$FN230-GJ$169,72-GJ$169+SwaptionMonthsToGo+SwaptionShift))/SQRT(SUM(INDEX($FO385:$IH385,1+SwaptionShift):INDEX($FO385:$IH385,SwaptionMonthsToGo+SwaptionShift))*SUM(INDEX($FO$325:$IH$396,GJ$169,1+SwaptionShift):INDEX($FO$325:$IH$396,GJ$169,SwaptionMonthsToGo+SwaptionShift))))))</f>
        <v/>
      </c>
      <c r="GK230" s="469" t="str">
        <f ca="1">IF(OR(GK$169&lt;SwaptionFirstMonthPosition+1,$FN230&lt;SwaptionFirstMonthPosition+1,GK$169&gt;SwaptionFirstMonthPosition+SwaptionNumOfMonths+1,$FN230&gt;SwaptionFirstMonthPosition+SwaptionNumOfMonths+1),"",IF($FN230=GK$169,1,IF($FN230&lt;GK$169,INDEX($FO$170:$IH$241,GK$169,$FN230),SUMPRODUCT(INDEX($FO$325:$IH$396,GK$169,1+SwaptionShift):INDEX($FO$325:$IH$396,GK$169,SwaptionMonthsToGo+SwaptionShift),INDEX($FO$245:$IH$316,$FN230-GK$169,73-GK$169+SwaptionShift):INDEX($FO$245:$IH$316,$FN230-GK$169,72-GK$169+SwaptionMonthsToGo+SwaptionShift))/SQRT(SUM(INDEX($FO385:$IH385,1+SwaptionShift):INDEX($FO385:$IH385,SwaptionMonthsToGo+SwaptionShift))*SUM(INDEX($FO$325:$IH$396,GK$169,1+SwaptionShift):INDEX($FO$325:$IH$396,GK$169,SwaptionMonthsToGo+SwaptionShift))))))</f>
        <v/>
      </c>
      <c r="GL230" s="469" t="str">
        <f ca="1">IF(OR(GL$169&lt;SwaptionFirstMonthPosition+1,$FN230&lt;SwaptionFirstMonthPosition+1,GL$169&gt;SwaptionFirstMonthPosition+SwaptionNumOfMonths+1,$FN230&gt;SwaptionFirstMonthPosition+SwaptionNumOfMonths+1),"",IF($FN230=GL$169,1,IF($FN230&lt;GL$169,INDEX($FO$170:$IH$241,GL$169,$FN230),SUMPRODUCT(INDEX($FO$325:$IH$396,GL$169,1+SwaptionShift):INDEX($FO$325:$IH$396,GL$169,SwaptionMonthsToGo+SwaptionShift),INDEX($FO$245:$IH$316,$FN230-GL$169,73-GL$169+SwaptionShift):INDEX($FO$245:$IH$316,$FN230-GL$169,72-GL$169+SwaptionMonthsToGo+SwaptionShift))/SQRT(SUM(INDEX($FO385:$IH385,1+SwaptionShift):INDEX($FO385:$IH385,SwaptionMonthsToGo+SwaptionShift))*SUM(INDEX($FO$325:$IH$396,GL$169,1+SwaptionShift):INDEX($FO$325:$IH$396,GL$169,SwaptionMonthsToGo+SwaptionShift))))))</f>
        <v/>
      </c>
      <c r="GM230" s="469" t="str">
        <f ca="1">IF(OR(GM$169&lt;SwaptionFirstMonthPosition+1,$FN230&lt;SwaptionFirstMonthPosition+1,GM$169&gt;SwaptionFirstMonthPosition+SwaptionNumOfMonths+1,$FN230&gt;SwaptionFirstMonthPosition+SwaptionNumOfMonths+1),"",IF($FN230=GM$169,1,IF($FN230&lt;GM$169,INDEX($FO$170:$IH$241,GM$169,$FN230),SUMPRODUCT(INDEX($FO$325:$IH$396,GM$169,1+SwaptionShift):INDEX($FO$325:$IH$396,GM$169,SwaptionMonthsToGo+SwaptionShift),INDEX($FO$245:$IH$316,$FN230-GM$169,73-GM$169+SwaptionShift):INDEX($FO$245:$IH$316,$FN230-GM$169,72-GM$169+SwaptionMonthsToGo+SwaptionShift))/SQRT(SUM(INDEX($FO385:$IH385,1+SwaptionShift):INDEX($FO385:$IH385,SwaptionMonthsToGo+SwaptionShift))*SUM(INDEX($FO$325:$IH$396,GM$169,1+SwaptionShift):INDEX($FO$325:$IH$396,GM$169,SwaptionMonthsToGo+SwaptionShift))))))</f>
        <v/>
      </c>
      <c r="GN230" s="469" t="str">
        <f ca="1">IF(OR(GN$169&lt;SwaptionFirstMonthPosition+1,$FN230&lt;SwaptionFirstMonthPosition+1,GN$169&gt;SwaptionFirstMonthPosition+SwaptionNumOfMonths+1,$FN230&gt;SwaptionFirstMonthPosition+SwaptionNumOfMonths+1),"",IF($FN230=GN$169,1,IF($FN230&lt;GN$169,INDEX($FO$170:$IH$241,GN$169,$FN230),SUMPRODUCT(INDEX($FO$325:$IH$396,GN$169,1+SwaptionShift):INDEX($FO$325:$IH$396,GN$169,SwaptionMonthsToGo+SwaptionShift),INDEX($FO$245:$IH$316,$FN230-GN$169,73-GN$169+SwaptionShift):INDEX($FO$245:$IH$316,$FN230-GN$169,72-GN$169+SwaptionMonthsToGo+SwaptionShift))/SQRT(SUM(INDEX($FO385:$IH385,1+SwaptionShift):INDEX($FO385:$IH385,SwaptionMonthsToGo+SwaptionShift))*SUM(INDEX($FO$325:$IH$396,GN$169,1+SwaptionShift):INDEX($FO$325:$IH$396,GN$169,SwaptionMonthsToGo+SwaptionShift))))))</f>
        <v/>
      </c>
      <c r="GO230" s="469" t="str">
        <f ca="1">IF(OR(GO$169&lt;SwaptionFirstMonthPosition+1,$FN230&lt;SwaptionFirstMonthPosition+1,GO$169&gt;SwaptionFirstMonthPosition+SwaptionNumOfMonths+1,$FN230&gt;SwaptionFirstMonthPosition+SwaptionNumOfMonths+1),"",IF($FN230=GO$169,1,IF($FN230&lt;GO$169,INDEX($FO$170:$IH$241,GO$169,$FN230),SUMPRODUCT(INDEX($FO$325:$IH$396,GO$169,1+SwaptionShift):INDEX($FO$325:$IH$396,GO$169,SwaptionMonthsToGo+SwaptionShift),INDEX($FO$245:$IH$316,$FN230-GO$169,73-GO$169+SwaptionShift):INDEX($FO$245:$IH$316,$FN230-GO$169,72-GO$169+SwaptionMonthsToGo+SwaptionShift))/SQRT(SUM(INDEX($FO385:$IH385,1+SwaptionShift):INDEX($FO385:$IH385,SwaptionMonthsToGo+SwaptionShift))*SUM(INDEX($FO$325:$IH$396,GO$169,1+SwaptionShift):INDEX($FO$325:$IH$396,GO$169,SwaptionMonthsToGo+SwaptionShift))))))</f>
        <v/>
      </c>
      <c r="GP230" s="469" t="str">
        <f ca="1">IF(OR(GP$169&lt;SwaptionFirstMonthPosition+1,$FN230&lt;SwaptionFirstMonthPosition+1,GP$169&gt;SwaptionFirstMonthPosition+SwaptionNumOfMonths+1,$FN230&gt;SwaptionFirstMonthPosition+SwaptionNumOfMonths+1),"",IF($FN230=GP$169,1,IF($FN230&lt;GP$169,INDEX($FO$170:$IH$241,GP$169,$FN230),SUMPRODUCT(INDEX($FO$325:$IH$396,GP$169,1+SwaptionShift):INDEX($FO$325:$IH$396,GP$169,SwaptionMonthsToGo+SwaptionShift),INDEX($FO$245:$IH$316,$FN230-GP$169,73-GP$169+SwaptionShift):INDEX($FO$245:$IH$316,$FN230-GP$169,72-GP$169+SwaptionMonthsToGo+SwaptionShift))/SQRT(SUM(INDEX($FO385:$IH385,1+SwaptionShift):INDEX($FO385:$IH385,SwaptionMonthsToGo+SwaptionShift))*SUM(INDEX($FO$325:$IH$396,GP$169,1+SwaptionShift):INDEX($FO$325:$IH$396,GP$169,SwaptionMonthsToGo+SwaptionShift))))))</f>
        <v/>
      </c>
      <c r="GQ230" s="469" t="str">
        <f ca="1">IF(OR(GQ$169&lt;SwaptionFirstMonthPosition+1,$FN230&lt;SwaptionFirstMonthPosition+1,GQ$169&gt;SwaptionFirstMonthPosition+SwaptionNumOfMonths+1,$FN230&gt;SwaptionFirstMonthPosition+SwaptionNumOfMonths+1),"",IF($FN230=GQ$169,1,IF($FN230&lt;GQ$169,INDEX($FO$170:$IH$241,GQ$169,$FN230),SUMPRODUCT(INDEX($FO$325:$IH$396,GQ$169,1+SwaptionShift):INDEX($FO$325:$IH$396,GQ$169,SwaptionMonthsToGo+SwaptionShift),INDEX($FO$245:$IH$316,$FN230-GQ$169,73-GQ$169+SwaptionShift):INDEX($FO$245:$IH$316,$FN230-GQ$169,72-GQ$169+SwaptionMonthsToGo+SwaptionShift))/SQRT(SUM(INDEX($FO385:$IH385,1+SwaptionShift):INDEX($FO385:$IH385,SwaptionMonthsToGo+SwaptionShift))*SUM(INDEX($FO$325:$IH$396,GQ$169,1+SwaptionShift):INDEX($FO$325:$IH$396,GQ$169,SwaptionMonthsToGo+SwaptionShift))))))</f>
        <v/>
      </c>
      <c r="GR230" s="469" t="str">
        <f ca="1">IF(OR(GR$169&lt;SwaptionFirstMonthPosition+1,$FN230&lt;SwaptionFirstMonthPosition+1,GR$169&gt;SwaptionFirstMonthPosition+SwaptionNumOfMonths+1,$FN230&gt;SwaptionFirstMonthPosition+SwaptionNumOfMonths+1),"",IF($FN230=GR$169,1,IF($FN230&lt;GR$169,INDEX($FO$170:$IH$241,GR$169,$FN230),SUMPRODUCT(INDEX($FO$325:$IH$396,GR$169,1+SwaptionShift):INDEX($FO$325:$IH$396,GR$169,SwaptionMonthsToGo+SwaptionShift),INDEX($FO$245:$IH$316,$FN230-GR$169,73-GR$169+SwaptionShift):INDEX($FO$245:$IH$316,$FN230-GR$169,72-GR$169+SwaptionMonthsToGo+SwaptionShift))/SQRT(SUM(INDEX($FO385:$IH385,1+SwaptionShift):INDEX($FO385:$IH385,SwaptionMonthsToGo+SwaptionShift))*SUM(INDEX($FO$325:$IH$396,GR$169,1+SwaptionShift):INDEX($FO$325:$IH$396,GR$169,SwaptionMonthsToGo+SwaptionShift))))))</f>
        <v/>
      </c>
      <c r="GS230" s="469" t="str">
        <f ca="1">IF(OR(GS$169&lt;SwaptionFirstMonthPosition+1,$FN230&lt;SwaptionFirstMonthPosition+1,GS$169&gt;SwaptionFirstMonthPosition+SwaptionNumOfMonths+1,$FN230&gt;SwaptionFirstMonthPosition+SwaptionNumOfMonths+1),"",IF($FN230=GS$169,1,IF($FN230&lt;GS$169,INDEX($FO$170:$IH$241,GS$169,$FN230),SUMPRODUCT(INDEX($FO$325:$IH$396,GS$169,1+SwaptionShift):INDEX($FO$325:$IH$396,GS$169,SwaptionMonthsToGo+SwaptionShift),INDEX($FO$245:$IH$316,$FN230-GS$169,73-GS$169+SwaptionShift):INDEX($FO$245:$IH$316,$FN230-GS$169,72-GS$169+SwaptionMonthsToGo+SwaptionShift))/SQRT(SUM(INDEX($FO385:$IH385,1+SwaptionShift):INDEX($FO385:$IH385,SwaptionMonthsToGo+SwaptionShift))*SUM(INDEX($FO$325:$IH$396,GS$169,1+SwaptionShift):INDEX($FO$325:$IH$396,GS$169,SwaptionMonthsToGo+SwaptionShift))))))</f>
        <v/>
      </c>
      <c r="GT230" s="469" t="str">
        <f ca="1">IF(OR(GT$169&lt;SwaptionFirstMonthPosition+1,$FN230&lt;SwaptionFirstMonthPosition+1,GT$169&gt;SwaptionFirstMonthPosition+SwaptionNumOfMonths+1,$FN230&gt;SwaptionFirstMonthPosition+SwaptionNumOfMonths+1),"",IF($FN230=GT$169,1,IF($FN230&lt;GT$169,INDEX($FO$170:$IH$241,GT$169,$FN230),SUMPRODUCT(INDEX($FO$325:$IH$396,GT$169,1+SwaptionShift):INDEX($FO$325:$IH$396,GT$169,SwaptionMonthsToGo+SwaptionShift),INDEX($FO$245:$IH$316,$FN230-GT$169,73-GT$169+SwaptionShift):INDEX($FO$245:$IH$316,$FN230-GT$169,72-GT$169+SwaptionMonthsToGo+SwaptionShift))/SQRT(SUM(INDEX($FO385:$IH385,1+SwaptionShift):INDEX($FO385:$IH385,SwaptionMonthsToGo+SwaptionShift))*SUM(INDEX($FO$325:$IH$396,GT$169,1+SwaptionShift):INDEX($FO$325:$IH$396,GT$169,SwaptionMonthsToGo+SwaptionShift))))))</f>
        <v/>
      </c>
      <c r="GU230" s="469" t="str">
        <f ca="1">IF(OR(GU$169&lt;SwaptionFirstMonthPosition+1,$FN230&lt;SwaptionFirstMonthPosition+1,GU$169&gt;SwaptionFirstMonthPosition+SwaptionNumOfMonths+1,$FN230&gt;SwaptionFirstMonthPosition+SwaptionNumOfMonths+1),"",IF($FN230=GU$169,1,IF($FN230&lt;GU$169,INDEX($FO$170:$IH$241,GU$169,$FN230),SUMPRODUCT(INDEX($FO$325:$IH$396,GU$169,1+SwaptionShift):INDEX($FO$325:$IH$396,GU$169,SwaptionMonthsToGo+SwaptionShift),INDEX($FO$245:$IH$316,$FN230-GU$169,73-GU$169+SwaptionShift):INDEX($FO$245:$IH$316,$FN230-GU$169,72-GU$169+SwaptionMonthsToGo+SwaptionShift))/SQRT(SUM(INDEX($FO385:$IH385,1+SwaptionShift):INDEX($FO385:$IH385,SwaptionMonthsToGo+SwaptionShift))*SUM(INDEX($FO$325:$IH$396,GU$169,1+SwaptionShift):INDEX($FO$325:$IH$396,GU$169,SwaptionMonthsToGo+SwaptionShift))))))</f>
        <v/>
      </c>
      <c r="GV230" s="469" t="str">
        <f ca="1">IF(OR(GV$169&lt;SwaptionFirstMonthPosition+1,$FN230&lt;SwaptionFirstMonthPosition+1,GV$169&gt;SwaptionFirstMonthPosition+SwaptionNumOfMonths+1,$FN230&gt;SwaptionFirstMonthPosition+SwaptionNumOfMonths+1),"",IF($FN230=GV$169,1,IF($FN230&lt;GV$169,INDEX($FO$170:$IH$241,GV$169,$FN230),SUMPRODUCT(INDEX($FO$325:$IH$396,GV$169,1+SwaptionShift):INDEX($FO$325:$IH$396,GV$169,SwaptionMonthsToGo+SwaptionShift),INDEX($FO$245:$IH$316,$FN230-GV$169,73-GV$169+SwaptionShift):INDEX($FO$245:$IH$316,$FN230-GV$169,72-GV$169+SwaptionMonthsToGo+SwaptionShift))/SQRT(SUM(INDEX($FO385:$IH385,1+SwaptionShift):INDEX($FO385:$IH385,SwaptionMonthsToGo+SwaptionShift))*SUM(INDEX($FO$325:$IH$396,GV$169,1+SwaptionShift):INDEX($FO$325:$IH$396,GV$169,SwaptionMonthsToGo+SwaptionShift))))))</f>
        <v/>
      </c>
      <c r="GW230" s="469" t="str">
        <f ca="1">IF(OR(GW$169&lt;SwaptionFirstMonthPosition+1,$FN230&lt;SwaptionFirstMonthPosition+1,GW$169&gt;SwaptionFirstMonthPosition+SwaptionNumOfMonths+1,$FN230&gt;SwaptionFirstMonthPosition+SwaptionNumOfMonths+1),"",IF($FN230=GW$169,1,IF($FN230&lt;GW$169,INDEX($FO$170:$IH$241,GW$169,$FN230),SUMPRODUCT(INDEX($FO$325:$IH$396,GW$169,1+SwaptionShift):INDEX($FO$325:$IH$396,GW$169,SwaptionMonthsToGo+SwaptionShift),INDEX($FO$245:$IH$316,$FN230-GW$169,73-GW$169+SwaptionShift):INDEX($FO$245:$IH$316,$FN230-GW$169,72-GW$169+SwaptionMonthsToGo+SwaptionShift))/SQRT(SUM(INDEX($FO385:$IH385,1+SwaptionShift):INDEX($FO385:$IH385,SwaptionMonthsToGo+SwaptionShift))*SUM(INDEX($FO$325:$IH$396,GW$169,1+SwaptionShift):INDEX($FO$325:$IH$396,GW$169,SwaptionMonthsToGo+SwaptionShift))))))</f>
        <v/>
      </c>
      <c r="GX230" s="469" t="str">
        <f ca="1">IF(OR(GX$169&lt;SwaptionFirstMonthPosition+1,$FN230&lt;SwaptionFirstMonthPosition+1,GX$169&gt;SwaptionFirstMonthPosition+SwaptionNumOfMonths+1,$FN230&gt;SwaptionFirstMonthPosition+SwaptionNumOfMonths+1),"",IF($FN230=GX$169,1,IF($FN230&lt;GX$169,INDEX($FO$170:$IH$241,GX$169,$FN230),SUMPRODUCT(INDEX($FO$325:$IH$396,GX$169,1+SwaptionShift):INDEX($FO$325:$IH$396,GX$169,SwaptionMonthsToGo+SwaptionShift),INDEX($FO$245:$IH$316,$FN230-GX$169,73-GX$169+SwaptionShift):INDEX($FO$245:$IH$316,$FN230-GX$169,72-GX$169+SwaptionMonthsToGo+SwaptionShift))/SQRT(SUM(INDEX($FO385:$IH385,1+SwaptionShift):INDEX($FO385:$IH385,SwaptionMonthsToGo+SwaptionShift))*SUM(INDEX($FO$325:$IH$396,GX$169,1+SwaptionShift):INDEX($FO$325:$IH$396,GX$169,SwaptionMonthsToGo+SwaptionShift))))))</f>
        <v/>
      </c>
      <c r="GY230" s="469" t="str">
        <f ca="1">IF(OR(GY$169&lt;SwaptionFirstMonthPosition+1,$FN230&lt;SwaptionFirstMonthPosition+1,GY$169&gt;SwaptionFirstMonthPosition+SwaptionNumOfMonths+1,$FN230&gt;SwaptionFirstMonthPosition+SwaptionNumOfMonths+1),"",IF($FN230=GY$169,1,IF($FN230&lt;GY$169,INDEX($FO$170:$IH$241,GY$169,$FN230),SUMPRODUCT(INDEX($FO$325:$IH$396,GY$169,1+SwaptionShift):INDEX($FO$325:$IH$396,GY$169,SwaptionMonthsToGo+SwaptionShift),INDEX($FO$245:$IH$316,$FN230-GY$169,73-GY$169+SwaptionShift):INDEX($FO$245:$IH$316,$FN230-GY$169,72-GY$169+SwaptionMonthsToGo+SwaptionShift))/SQRT(SUM(INDEX($FO385:$IH385,1+SwaptionShift):INDEX($FO385:$IH385,SwaptionMonthsToGo+SwaptionShift))*SUM(INDEX($FO$325:$IH$396,GY$169,1+SwaptionShift):INDEX($FO$325:$IH$396,GY$169,SwaptionMonthsToGo+SwaptionShift))))))</f>
        <v/>
      </c>
      <c r="GZ230" s="469" t="str">
        <f ca="1">IF(OR(GZ$169&lt;SwaptionFirstMonthPosition+1,$FN230&lt;SwaptionFirstMonthPosition+1,GZ$169&gt;SwaptionFirstMonthPosition+SwaptionNumOfMonths+1,$FN230&gt;SwaptionFirstMonthPosition+SwaptionNumOfMonths+1),"",IF($FN230=GZ$169,1,IF($FN230&lt;GZ$169,INDEX($FO$170:$IH$241,GZ$169,$FN230),SUMPRODUCT(INDEX($FO$325:$IH$396,GZ$169,1+SwaptionShift):INDEX($FO$325:$IH$396,GZ$169,SwaptionMonthsToGo+SwaptionShift),INDEX($FO$245:$IH$316,$FN230-GZ$169,73-GZ$169+SwaptionShift):INDEX($FO$245:$IH$316,$FN230-GZ$169,72-GZ$169+SwaptionMonthsToGo+SwaptionShift))/SQRT(SUM(INDEX($FO385:$IH385,1+SwaptionShift):INDEX($FO385:$IH385,SwaptionMonthsToGo+SwaptionShift))*SUM(INDEX($FO$325:$IH$396,GZ$169,1+SwaptionShift):INDEX($FO$325:$IH$396,GZ$169,SwaptionMonthsToGo+SwaptionShift))))))</f>
        <v/>
      </c>
      <c r="HA230" s="469" t="str">
        <f ca="1">IF(OR(HA$169&lt;SwaptionFirstMonthPosition+1,$FN230&lt;SwaptionFirstMonthPosition+1,HA$169&gt;SwaptionFirstMonthPosition+SwaptionNumOfMonths+1,$FN230&gt;SwaptionFirstMonthPosition+SwaptionNumOfMonths+1),"",IF($FN230=HA$169,1,IF($FN230&lt;HA$169,INDEX($FO$170:$IH$241,HA$169,$FN230),SUMPRODUCT(INDEX($FO$325:$IH$396,HA$169,1+SwaptionShift):INDEX($FO$325:$IH$396,HA$169,SwaptionMonthsToGo+SwaptionShift),INDEX($FO$245:$IH$316,$FN230-HA$169,73-HA$169+SwaptionShift):INDEX($FO$245:$IH$316,$FN230-HA$169,72-HA$169+SwaptionMonthsToGo+SwaptionShift))/SQRT(SUM(INDEX($FO385:$IH385,1+SwaptionShift):INDEX($FO385:$IH385,SwaptionMonthsToGo+SwaptionShift))*SUM(INDEX($FO$325:$IH$396,HA$169,1+SwaptionShift):INDEX($FO$325:$IH$396,HA$169,SwaptionMonthsToGo+SwaptionShift))))))</f>
        <v/>
      </c>
      <c r="HB230" s="469" t="str">
        <f ca="1">IF(OR(HB$169&lt;SwaptionFirstMonthPosition+1,$FN230&lt;SwaptionFirstMonthPosition+1,HB$169&gt;SwaptionFirstMonthPosition+SwaptionNumOfMonths+1,$FN230&gt;SwaptionFirstMonthPosition+SwaptionNumOfMonths+1),"",IF($FN230=HB$169,1,IF($FN230&lt;HB$169,INDEX($FO$170:$IH$241,HB$169,$FN230),SUMPRODUCT(INDEX($FO$325:$IH$396,HB$169,1+SwaptionShift):INDEX($FO$325:$IH$396,HB$169,SwaptionMonthsToGo+SwaptionShift),INDEX($FO$245:$IH$316,$FN230-HB$169,73-HB$169+SwaptionShift):INDEX($FO$245:$IH$316,$FN230-HB$169,72-HB$169+SwaptionMonthsToGo+SwaptionShift))/SQRT(SUM(INDEX($FO385:$IH385,1+SwaptionShift):INDEX($FO385:$IH385,SwaptionMonthsToGo+SwaptionShift))*SUM(INDEX($FO$325:$IH$396,HB$169,1+SwaptionShift):INDEX($FO$325:$IH$396,HB$169,SwaptionMonthsToGo+SwaptionShift))))))</f>
        <v/>
      </c>
      <c r="HC230" s="469" t="str">
        <f ca="1">IF(OR(HC$169&lt;SwaptionFirstMonthPosition+1,$FN230&lt;SwaptionFirstMonthPosition+1,HC$169&gt;SwaptionFirstMonthPosition+SwaptionNumOfMonths+1,$FN230&gt;SwaptionFirstMonthPosition+SwaptionNumOfMonths+1),"",IF($FN230=HC$169,1,IF($FN230&lt;HC$169,INDEX($FO$170:$IH$241,HC$169,$FN230),SUMPRODUCT(INDEX($FO$325:$IH$396,HC$169,1+SwaptionShift):INDEX($FO$325:$IH$396,HC$169,SwaptionMonthsToGo+SwaptionShift),INDEX($FO$245:$IH$316,$FN230-HC$169,73-HC$169+SwaptionShift):INDEX($FO$245:$IH$316,$FN230-HC$169,72-HC$169+SwaptionMonthsToGo+SwaptionShift))/SQRT(SUM(INDEX($FO385:$IH385,1+SwaptionShift):INDEX($FO385:$IH385,SwaptionMonthsToGo+SwaptionShift))*SUM(INDEX($FO$325:$IH$396,HC$169,1+SwaptionShift):INDEX($FO$325:$IH$396,HC$169,SwaptionMonthsToGo+SwaptionShift))))))</f>
        <v/>
      </c>
      <c r="HD230" s="469" t="str">
        <f ca="1">IF(OR(HD$169&lt;SwaptionFirstMonthPosition+1,$FN230&lt;SwaptionFirstMonthPosition+1,HD$169&gt;SwaptionFirstMonthPosition+SwaptionNumOfMonths+1,$FN230&gt;SwaptionFirstMonthPosition+SwaptionNumOfMonths+1),"",IF($FN230=HD$169,1,IF($FN230&lt;HD$169,INDEX($FO$170:$IH$241,HD$169,$FN230),SUMPRODUCT(INDEX($FO$325:$IH$396,HD$169,1+SwaptionShift):INDEX($FO$325:$IH$396,HD$169,SwaptionMonthsToGo+SwaptionShift),INDEX($FO$245:$IH$316,$FN230-HD$169,73-HD$169+SwaptionShift):INDEX($FO$245:$IH$316,$FN230-HD$169,72-HD$169+SwaptionMonthsToGo+SwaptionShift))/SQRT(SUM(INDEX($FO385:$IH385,1+SwaptionShift):INDEX($FO385:$IH385,SwaptionMonthsToGo+SwaptionShift))*SUM(INDEX($FO$325:$IH$396,HD$169,1+SwaptionShift):INDEX($FO$325:$IH$396,HD$169,SwaptionMonthsToGo+SwaptionShift))))))</f>
        <v/>
      </c>
      <c r="HE230" s="469" t="str">
        <f ca="1">IF(OR(HE$169&lt;SwaptionFirstMonthPosition+1,$FN230&lt;SwaptionFirstMonthPosition+1,HE$169&gt;SwaptionFirstMonthPosition+SwaptionNumOfMonths+1,$FN230&gt;SwaptionFirstMonthPosition+SwaptionNumOfMonths+1),"",IF($FN230=HE$169,1,IF($FN230&lt;HE$169,INDEX($FO$170:$IH$241,HE$169,$FN230),SUMPRODUCT(INDEX($FO$325:$IH$396,HE$169,1+SwaptionShift):INDEX($FO$325:$IH$396,HE$169,SwaptionMonthsToGo+SwaptionShift),INDEX($FO$245:$IH$316,$FN230-HE$169,73-HE$169+SwaptionShift):INDEX($FO$245:$IH$316,$FN230-HE$169,72-HE$169+SwaptionMonthsToGo+SwaptionShift))/SQRT(SUM(INDEX($FO385:$IH385,1+SwaptionShift):INDEX($FO385:$IH385,SwaptionMonthsToGo+SwaptionShift))*SUM(INDEX($FO$325:$IH$396,HE$169,1+SwaptionShift):INDEX($FO$325:$IH$396,HE$169,SwaptionMonthsToGo+SwaptionShift))))))</f>
        <v/>
      </c>
      <c r="HF230" s="469" t="str">
        <f ca="1">IF(OR(HF$169&lt;SwaptionFirstMonthPosition+1,$FN230&lt;SwaptionFirstMonthPosition+1,HF$169&gt;SwaptionFirstMonthPosition+SwaptionNumOfMonths+1,$FN230&gt;SwaptionFirstMonthPosition+SwaptionNumOfMonths+1),"",IF($FN230=HF$169,1,IF($FN230&lt;HF$169,INDEX($FO$170:$IH$241,HF$169,$FN230),SUMPRODUCT(INDEX($FO$325:$IH$396,HF$169,1+SwaptionShift):INDEX($FO$325:$IH$396,HF$169,SwaptionMonthsToGo+SwaptionShift),INDEX($FO$245:$IH$316,$FN230-HF$169,73-HF$169+SwaptionShift):INDEX($FO$245:$IH$316,$FN230-HF$169,72-HF$169+SwaptionMonthsToGo+SwaptionShift))/SQRT(SUM(INDEX($FO385:$IH385,1+SwaptionShift):INDEX($FO385:$IH385,SwaptionMonthsToGo+SwaptionShift))*SUM(INDEX($FO$325:$IH$396,HF$169,1+SwaptionShift):INDEX($FO$325:$IH$396,HF$169,SwaptionMonthsToGo+SwaptionShift))))))</f>
        <v/>
      </c>
      <c r="HG230" s="469" t="str">
        <f ca="1">IF(OR(HG$169&lt;SwaptionFirstMonthPosition+1,$FN230&lt;SwaptionFirstMonthPosition+1,HG$169&gt;SwaptionFirstMonthPosition+SwaptionNumOfMonths+1,$FN230&gt;SwaptionFirstMonthPosition+SwaptionNumOfMonths+1),"",IF($FN230=HG$169,1,IF($FN230&lt;HG$169,INDEX($FO$170:$IH$241,HG$169,$FN230),SUMPRODUCT(INDEX($FO$325:$IH$396,HG$169,1+SwaptionShift):INDEX($FO$325:$IH$396,HG$169,SwaptionMonthsToGo+SwaptionShift),INDEX($FO$245:$IH$316,$FN230-HG$169,73-HG$169+SwaptionShift):INDEX($FO$245:$IH$316,$FN230-HG$169,72-HG$169+SwaptionMonthsToGo+SwaptionShift))/SQRT(SUM(INDEX($FO385:$IH385,1+SwaptionShift):INDEX($FO385:$IH385,SwaptionMonthsToGo+SwaptionShift))*SUM(INDEX($FO$325:$IH$396,HG$169,1+SwaptionShift):INDEX($FO$325:$IH$396,HG$169,SwaptionMonthsToGo+SwaptionShift))))))</f>
        <v/>
      </c>
      <c r="HH230" s="469" t="str">
        <f ca="1">IF(OR(HH$169&lt;SwaptionFirstMonthPosition+1,$FN230&lt;SwaptionFirstMonthPosition+1,HH$169&gt;SwaptionFirstMonthPosition+SwaptionNumOfMonths+1,$FN230&gt;SwaptionFirstMonthPosition+SwaptionNumOfMonths+1),"",IF($FN230=HH$169,1,IF($FN230&lt;HH$169,INDEX($FO$170:$IH$241,HH$169,$FN230),SUMPRODUCT(INDEX($FO$325:$IH$396,HH$169,1+SwaptionShift):INDEX($FO$325:$IH$396,HH$169,SwaptionMonthsToGo+SwaptionShift),INDEX($FO$245:$IH$316,$FN230-HH$169,73-HH$169+SwaptionShift):INDEX($FO$245:$IH$316,$FN230-HH$169,72-HH$169+SwaptionMonthsToGo+SwaptionShift))/SQRT(SUM(INDEX($FO385:$IH385,1+SwaptionShift):INDEX($FO385:$IH385,SwaptionMonthsToGo+SwaptionShift))*SUM(INDEX($FO$325:$IH$396,HH$169,1+SwaptionShift):INDEX($FO$325:$IH$396,HH$169,SwaptionMonthsToGo+SwaptionShift))))))</f>
        <v/>
      </c>
      <c r="HI230" s="469" t="str">
        <f ca="1">IF(OR(HI$169&lt;SwaptionFirstMonthPosition+1,$FN230&lt;SwaptionFirstMonthPosition+1,HI$169&gt;SwaptionFirstMonthPosition+SwaptionNumOfMonths+1,$FN230&gt;SwaptionFirstMonthPosition+SwaptionNumOfMonths+1),"",IF($FN230=HI$169,1,IF($FN230&lt;HI$169,INDEX($FO$170:$IH$241,HI$169,$FN230),SUMPRODUCT(INDEX($FO$325:$IH$396,HI$169,1+SwaptionShift):INDEX($FO$325:$IH$396,HI$169,SwaptionMonthsToGo+SwaptionShift),INDEX($FO$245:$IH$316,$FN230-HI$169,73-HI$169+SwaptionShift):INDEX($FO$245:$IH$316,$FN230-HI$169,72-HI$169+SwaptionMonthsToGo+SwaptionShift))/SQRT(SUM(INDEX($FO385:$IH385,1+SwaptionShift):INDEX($FO385:$IH385,SwaptionMonthsToGo+SwaptionShift))*SUM(INDEX($FO$325:$IH$396,HI$169,1+SwaptionShift):INDEX($FO$325:$IH$396,HI$169,SwaptionMonthsToGo+SwaptionShift))))))</f>
        <v/>
      </c>
      <c r="HJ230" s="469" t="str">
        <f ca="1">IF(OR(HJ$169&lt;SwaptionFirstMonthPosition+1,$FN230&lt;SwaptionFirstMonthPosition+1,HJ$169&gt;SwaptionFirstMonthPosition+SwaptionNumOfMonths+1,$FN230&gt;SwaptionFirstMonthPosition+SwaptionNumOfMonths+1),"",IF($FN230=HJ$169,1,IF($FN230&lt;HJ$169,INDEX($FO$170:$IH$241,HJ$169,$FN230),SUMPRODUCT(INDEX($FO$325:$IH$396,HJ$169,1+SwaptionShift):INDEX($FO$325:$IH$396,HJ$169,SwaptionMonthsToGo+SwaptionShift),INDEX($FO$245:$IH$316,$FN230-HJ$169,73-HJ$169+SwaptionShift):INDEX($FO$245:$IH$316,$FN230-HJ$169,72-HJ$169+SwaptionMonthsToGo+SwaptionShift))/SQRT(SUM(INDEX($FO385:$IH385,1+SwaptionShift):INDEX($FO385:$IH385,SwaptionMonthsToGo+SwaptionShift))*SUM(INDEX($FO$325:$IH$396,HJ$169,1+SwaptionShift):INDEX($FO$325:$IH$396,HJ$169,SwaptionMonthsToGo+SwaptionShift))))))</f>
        <v/>
      </c>
      <c r="HK230" s="469" t="str">
        <f ca="1">IF(OR(HK$169&lt;SwaptionFirstMonthPosition+1,$FN230&lt;SwaptionFirstMonthPosition+1,HK$169&gt;SwaptionFirstMonthPosition+SwaptionNumOfMonths+1,$FN230&gt;SwaptionFirstMonthPosition+SwaptionNumOfMonths+1),"",IF($FN230=HK$169,1,IF($FN230&lt;HK$169,INDEX($FO$170:$IH$241,HK$169,$FN230),SUMPRODUCT(INDEX($FO$325:$IH$396,HK$169,1+SwaptionShift):INDEX($FO$325:$IH$396,HK$169,SwaptionMonthsToGo+SwaptionShift),INDEX($FO$245:$IH$316,$FN230-HK$169,73-HK$169+SwaptionShift):INDEX($FO$245:$IH$316,$FN230-HK$169,72-HK$169+SwaptionMonthsToGo+SwaptionShift))/SQRT(SUM(INDEX($FO385:$IH385,1+SwaptionShift):INDEX($FO385:$IH385,SwaptionMonthsToGo+SwaptionShift))*SUM(INDEX($FO$325:$IH$396,HK$169,1+SwaptionShift):INDEX($FO$325:$IH$396,HK$169,SwaptionMonthsToGo+SwaptionShift))))))</f>
        <v/>
      </c>
      <c r="HL230" s="469" t="str">
        <f ca="1">IF(OR(HL$169&lt;SwaptionFirstMonthPosition+1,$FN230&lt;SwaptionFirstMonthPosition+1,HL$169&gt;SwaptionFirstMonthPosition+SwaptionNumOfMonths+1,$FN230&gt;SwaptionFirstMonthPosition+SwaptionNumOfMonths+1),"",IF($FN230=HL$169,1,IF($FN230&lt;HL$169,INDEX($FO$170:$IH$241,HL$169,$FN230),SUMPRODUCT(INDEX($FO$325:$IH$396,HL$169,1+SwaptionShift):INDEX($FO$325:$IH$396,HL$169,SwaptionMonthsToGo+SwaptionShift),INDEX($FO$245:$IH$316,$FN230-HL$169,73-HL$169+SwaptionShift):INDEX($FO$245:$IH$316,$FN230-HL$169,72-HL$169+SwaptionMonthsToGo+SwaptionShift))/SQRT(SUM(INDEX($FO385:$IH385,1+SwaptionShift):INDEX($FO385:$IH385,SwaptionMonthsToGo+SwaptionShift))*SUM(INDEX($FO$325:$IH$396,HL$169,1+SwaptionShift):INDEX($FO$325:$IH$396,HL$169,SwaptionMonthsToGo+SwaptionShift))))))</f>
        <v/>
      </c>
      <c r="HM230" s="469" t="str">
        <f ca="1">IF(OR(HM$169&lt;SwaptionFirstMonthPosition+1,$FN230&lt;SwaptionFirstMonthPosition+1,HM$169&gt;SwaptionFirstMonthPosition+SwaptionNumOfMonths+1,$FN230&gt;SwaptionFirstMonthPosition+SwaptionNumOfMonths+1),"",IF($FN230=HM$169,1,IF($FN230&lt;HM$169,INDEX($FO$170:$IH$241,HM$169,$FN230),SUMPRODUCT(INDEX($FO$325:$IH$396,HM$169,1+SwaptionShift):INDEX($FO$325:$IH$396,HM$169,SwaptionMonthsToGo+SwaptionShift),INDEX($FO$245:$IH$316,$FN230-HM$169,73-HM$169+SwaptionShift):INDEX($FO$245:$IH$316,$FN230-HM$169,72-HM$169+SwaptionMonthsToGo+SwaptionShift))/SQRT(SUM(INDEX($FO385:$IH385,1+SwaptionShift):INDEX($FO385:$IH385,SwaptionMonthsToGo+SwaptionShift))*SUM(INDEX($FO$325:$IH$396,HM$169,1+SwaptionShift):INDEX($FO$325:$IH$396,HM$169,SwaptionMonthsToGo+SwaptionShift))))))</f>
        <v/>
      </c>
      <c r="HN230" s="469" t="str">
        <f ca="1">IF(OR(HN$169&lt;SwaptionFirstMonthPosition+1,$FN230&lt;SwaptionFirstMonthPosition+1,HN$169&gt;SwaptionFirstMonthPosition+SwaptionNumOfMonths+1,$FN230&gt;SwaptionFirstMonthPosition+SwaptionNumOfMonths+1),"",IF($FN230=HN$169,1,IF($FN230&lt;HN$169,INDEX($FO$170:$IH$241,HN$169,$FN230),SUMPRODUCT(INDEX($FO$325:$IH$396,HN$169,1+SwaptionShift):INDEX($FO$325:$IH$396,HN$169,SwaptionMonthsToGo+SwaptionShift),INDEX($FO$245:$IH$316,$FN230-HN$169,73-HN$169+SwaptionShift):INDEX($FO$245:$IH$316,$FN230-HN$169,72-HN$169+SwaptionMonthsToGo+SwaptionShift))/SQRT(SUM(INDEX($FO385:$IH385,1+SwaptionShift):INDEX($FO385:$IH385,SwaptionMonthsToGo+SwaptionShift))*SUM(INDEX($FO$325:$IH$396,HN$169,1+SwaptionShift):INDEX($FO$325:$IH$396,HN$169,SwaptionMonthsToGo+SwaptionShift))))))</f>
        <v/>
      </c>
      <c r="HO230" s="469" t="str">
        <f ca="1">IF(OR(HO$169&lt;SwaptionFirstMonthPosition+1,$FN230&lt;SwaptionFirstMonthPosition+1,HO$169&gt;SwaptionFirstMonthPosition+SwaptionNumOfMonths+1,$FN230&gt;SwaptionFirstMonthPosition+SwaptionNumOfMonths+1),"",IF($FN230=HO$169,1,IF($FN230&lt;HO$169,INDEX($FO$170:$IH$241,HO$169,$FN230),SUMPRODUCT(INDEX($FO$325:$IH$396,HO$169,1+SwaptionShift):INDEX($FO$325:$IH$396,HO$169,SwaptionMonthsToGo+SwaptionShift),INDEX($FO$245:$IH$316,$FN230-HO$169,73-HO$169+SwaptionShift):INDEX($FO$245:$IH$316,$FN230-HO$169,72-HO$169+SwaptionMonthsToGo+SwaptionShift))/SQRT(SUM(INDEX($FO385:$IH385,1+SwaptionShift):INDEX($FO385:$IH385,SwaptionMonthsToGo+SwaptionShift))*SUM(INDEX($FO$325:$IH$396,HO$169,1+SwaptionShift):INDEX($FO$325:$IH$396,HO$169,SwaptionMonthsToGo+SwaptionShift))))))</f>
        <v/>
      </c>
      <c r="HP230" s="469" t="str">
        <f ca="1">IF(OR(HP$169&lt;SwaptionFirstMonthPosition+1,$FN230&lt;SwaptionFirstMonthPosition+1,HP$169&gt;SwaptionFirstMonthPosition+SwaptionNumOfMonths+1,$FN230&gt;SwaptionFirstMonthPosition+SwaptionNumOfMonths+1),"",IF($FN230=HP$169,1,IF($FN230&lt;HP$169,INDEX($FO$170:$IH$241,HP$169,$FN230),SUMPRODUCT(INDEX($FO$325:$IH$396,HP$169,1+SwaptionShift):INDEX($FO$325:$IH$396,HP$169,SwaptionMonthsToGo+SwaptionShift),INDEX($FO$245:$IH$316,$FN230-HP$169,73-HP$169+SwaptionShift):INDEX($FO$245:$IH$316,$FN230-HP$169,72-HP$169+SwaptionMonthsToGo+SwaptionShift))/SQRT(SUM(INDEX($FO385:$IH385,1+SwaptionShift):INDEX($FO385:$IH385,SwaptionMonthsToGo+SwaptionShift))*SUM(INDEX($FO$325:$IH$396,HP$169,1+SwaptionShift):INDEX($FO$325:$IH$396,HP$169,SwaptionMonthsToGo+SwaptionShift))))))</f>
        <v/>
      </c>
      <c r="HQ230" s="469" t="str">
        <f ca="1">IF(OR(HQ$169&lt;SwaptionFirstMonthPosition+1,$FN230&lt;SwaptionFirstMonthPosition+1,HQ$169&gt;SwaptionFirstMonthPosition+SwaptionNumOfMonths+1,$FN230&gt;SwaptionFirstMonthPosition+SwaptionNumOfMonths+1),"",IF($FN230=HQ$169,1,IF($FN230&lt;HQ$169,INDEX($FO$170:$IH$241,HQ$169,$FN230),SUMPRODUCT(INDEX($FO$325:$IH$396,HQ$169,1+SwaptionShift):INDEX($FO$325:$IH$396,HQ$169,SwaptionMonthsToGo+SwaptionShift),INDEX($FO$245:$IH$316,$FN230-HQ$169,73-HQ$169+SwaptionShift):INDEX($FO$245:$IH$316,$FN230-HQ$169,72-HQ$169+SwaptionMonthsToGo+SwaptionShift))/SQRT(SUM(INDEX($FO385:$IH385,1+SwaptionShift):INDEX($FO385:$IH385,SwaptionMonthsToGo+SwaptionShift))*SUM(INDEX($FO$325:$IH$396,HQ$169,1+SwaptionShift):INDEX($FO$325:$IH$396,HQ$169,SwaptionMonthsToGo+SwaptionShift))))))</f>
        <v/>
      </c>
      <c r="HR230" s="469" t="str">
        <f ca="1">IF(OR(HR$169&lt;SwaptionFirstMonthPosition+1,$FN230&lt;SwaptionFirstMonthPosition+1,HR$169&gt;SwaptionFirstMonthPosition+SwaptionNumOfMonths+1,$FN230&gt;SwaptionFirstMonthPosition+SwaptionNumOfMonths+1),"",IF($FN230=HR$169,1,IF($FN230&lt;HR$169,INDEX($FO$170:$IH$241,HR$169,$FN230),SUMPRODUCT(INDEX($FO$325:$IH$396,HR$169,1+SwaptionShift):INDEX($FO$325:$IH$396,HR$169,SwaptionMonthsToGo+SwaptionShift),INDEX($FO$245:$IH$316,$FN230-HR$169,73-HR$169+SwaptionShift):INDEX($FO$245:$IH$316,$FN230-HR$169,72-HR$169+SwaptionMonthsToGo+SwaptionShift))/SQRT(SUM(INDEX($FO385:$IH385,1+SwaptionShift):INDEX($FO385:$IH385,SwaptionMonthsToGo+SwaptionShift))*SUM(INDEX($FO$325:$IH$396,HR$169,1+SwaptionShift):INDEX($FO$325:$IH$396,HR$169,SwaptionMonthsToGo+SwaptionShift))))))</f>
        <v/>
      </c>
      <c r="HS230" s="469" t="str">
        <f ca="1">IF(OR(HS$169&lt;SwaptionFirstMonthPosition+1,$FN230&lt;SwaptionFirstMonthPosition+1,HS$169&gt;SwaptionFirstMonthPosition+SwaptionNumOfMonths+1,$FN230&gt;SwaptionFirstMonthPosition+SwaptionNumOfMonths+1),"",IF($FN230=HS$169,1,IF($FN230&lt;HS$169,INDEX($FO$170:$IH$241,HS$169,$FN230),SUMPRODUCT(INDEX($FO$325:$IH$396,HS$169,1+SwaptionShift):INDEX($FO$325:$IH$396,HS$169,SwaptionMonthsToGo+SwaptionShift),INDEX($FO$245:$IH$316,$FN230-HS$169,73-HS$169+SwaptionShift):INDEX($FO$245:$IH$316,$FN230-HS$169,72-HS$169+SwaptionMonthsToGo+SwaptionShift))/SQRT(SUM(INDEX($FO385:$IH385,1+SwaptionShift):INDEX($FO385:$IH385,SwaptionMonthsToGo+SwaptionShift))*SUM(INDEX($FO$325:$IH$396,HS$169,1+SwaptionShift):INDEX($FO$325:$IH$396,HS$169,SwaptionMonthsToGo+SwaptionShift))))))</f>
        <v/>
      </c>
      <c r="HT230" s="469" t="str">
        <f ca="1">IF(OR(HT$169&lt;SwaptionFirstMonthPosition+1,$FN230&lt;SwaptionFirstMonthPosition+1,HT$169&gt;SwaptionFirstMonthPosition+SwaptionNumOfMonths+1,$FN230&gt;SwaptionFirstMonthPosition+SwaptionNumOfMonths+1),"",IF($FN230=HT$169,1,IF($FN230&lt;HT$169,INDEX($FO$170:$IH$241,HT$169,$FN230),SUMPRODUCT(INDEX($FO$325:$IH$396,HT$169,1+SwaptionShift):INDEX($FO$325:$IH$396,HT$169,SwaptionMonthsToGo+SwaptionShift),INDEX($FO$245:$IH$316,$FN230-HT$169,73-HT$169+SwaptionShift):INDEX($FO$245:$IH$316,$FN230-HT$169,72-HT$169+SwaptionMonthsToGo+SwaptionShift))/SQRT(SUM(INDEX($FO385:$IH385,1+SwaptionShift):INDEX($FO385:$IH385,SwaptionMonthsToGo+SwaptionShift))*SUM(INDEX($FO$325:$IH$396,HT$169,1+SwaptionShift):INDEX($FO$325:$IH$396,HT$169,SwaptionMonthsToGo+SwaptionShift))))))</f>
        <v/>
      </c>
      <c r="HU230" s="469" t="str">
        <f ca="1">IF(OR(HU$169&lt;SwaptionFirstMonthPosition+1,$FN230&lt;SwaptionFirstMonthPosition+1,HU$169&gt;SwaptionFirstMonthPosition+SwaptionNumOfMonths+1,$FN230&gt;SwaptionFirstMonthPosition+SwaptionNumOfMonths+1),"",IF($FN230=HU$169,1,IF($FN230&lt;HU$169,INDEX($FO$170:$IH$241,HU$169,$FN230),SUMPRODUCT(INDEX($FO$325:$IH$396,HU$169,1+SwaptionShift):INDEX($FO$325:$IH$396,HU$169,SwaptionMonthsToGo+SwaptionShift),INDEX($FO$245:$IH$316,$FN230-HU$169,73-HU$169+SwaptionShift):INDEX($FO$245:$IH$316,$FN230-HU$169,72-HU$169+SwaptionMonthsToGo+SwaptionShift))/SQRT(SUM(INDEX($FO385:$IH385,1+SwaptionShift):INDEX($FO385:$IH385,SwaptionMonthsToGo+SwaptionShift))*SUM(INDEX($FO$325:$IH$396,HU$169,1+SwaptionShift):INDEX($FO$325:$IH$396,HU$169,SwaptionMonthsToGo+SwaptionShift))))))</f>
        <v/>
      </c>
      <c r="HV230" s="469" t="str">
        <f ca="1">IF(OR(HV$169&lt;SwaptionFirstMonthPosition+1,$FN230&lt;SwaptionFirstMonthPosition+1,HV$169&gt;SwaptionFirstMonthPosition+SwaptionNumOfMonths+1,$FN230&gt;SwaptionFirstMonthPosition+SwaptionNumOfMonths+1),"",IF($FN230=HV$169,1,IF($FN230&lt;HV$169,INDEX($FO$170:$IH$241,HV$169,$FN230),SUMPRODUCT(INDEX($FO$325:$IH$396,HV$169,1+SwaptionShift):INDEX($FO$325:$IH$396,HV$169,SwaptionMonthsToGo+SwaptionShift),INDEX($FO$245:$IH$316,$FN230-HV$169,73-HV$169+SwaptionShift):INDEX($FO$245:$IH$316,$FN230-HV$169,72-HV$169+SwaptionMonthsToGo+SwaptionShift))/SQRT(SUM(INDEX($FO385:$IH385,1+SwaptionShift):INDEX($FO385:$IH385,SwaptionMonthsToGo+SwaptionShift))*SUM(INDEX($FO$325:$IH$396,HV$169,1+SwaptionShift):INDEX($FO$325:$IH$396,HV$169,SwaptionMonthsToGo+SwaptionShift))))))</f>
        <v/>
      </c>
      <c r="HW230" s="469" t="str">
        <f ca="1">IF(OR(HW$169&lt;SwaptionFirstMonthPosition+1,$FN230&lt;SwaptionFirstMonthPosition+1,HW$169&gt;SwaptionFirstMonthPosition+SwaptionNumOfMonths+1,$FN230&gt;SwaptionFirstMonthPosition+SwaptionNumOfMonths+1),"",IF($FN230=HW$169,1,IF($FN230&lt;HW$169,INDEX($FO$170:$IH$241,HW$169,$FN230),SUMPRODUCT(INDEX($FO$325:$IH$396,HW$169,1+SwaptionShift):INDEX($FO$325:$IH$396,HW$169,SwaptionMonthsToGo+SwaptionShift),INDEX($FO$245:$IH$316,$FN230-HW$169,73-HW$169+SwaptionShift):INDEX($FO$245:$IH$316,$FN230-HW$169,72-HW$169+SwaptionMonthsToGo+SwaptionShift))/SQRT(SUM(INDEX($FO385:$IH385,1+SwaptionShift):INDEX($FO385:$IH385,SwaptionMonthsToGo+SwaptionShift))*SUM(INDEX($FO$325:$IH$396,HW$169,1+SwaptionShift):INDEX($FO$325:$IH$396,HW$169,SwaptionMonthsToGo+SwaptionShift))))))</f>
        <v/>
      </c>
      <c r="HX230" s="469" t="str">
        <f ca="1">IF(OR(HX$169&lt;SwaptionFirstMonthPosition+1,$FN230&lt;SwaptionFirstMonthPosition+1,HX$169&gt;SwaptionFirstMonthPosition+SwaptionNumOfMonths+1,$FN230&gt;SwaptionFirstMonthPosition+SwaptionNumOfMonths+1),"",IF($FN230=HX$169,1,IF($FN230&lt;HX$169,INDEX($FO$170:$IH$241,HX$169,$FN230),SUMPRODUCT(INDEX($FO$325:$IH$396,HX$169,1+SwaptionShift):INDEX($FO$325:$IH$396,HX$169,SwaptionMonthsToGo+SwaptionShift),INDEX($FO$245:$IH$316,$FN230-HX$169,73-HX$169+SwaptionShift):INDEX($FO$245:$IH$316,$FN230-HX$169,72-HX$169+SwaptionMonthsToGo+SwaptionShift))/SQRT(SUM(INDEX($FO385:$IH385,1+SwaptionShift):INDEX($FO385:$IH385,SwaptionMonthsToGo+SwaptionShift))*SUM(INDEX($FO$325:$IH$396,HX$169,1+SwaptionShift):INDEX($FO$325:$IH$396,HX$169,SwaptionMonthsToGo+SwaptionShift))))))</f>
        <v/>
      </c>
      <c r="HY230" s="469" t="str">
        <f ca="1">IF(OR(HY$169&lt;SwaptionFirstMonthPosition+1,$FN230&lt;SwaptionFirstMonthPosition+1,HY$169&gt;SwaptionFirstMonthPosition+SwaptionNumOfMonths+1,$FN230&gt;SwaptionFirstMonthPosition+SwaptionNumOfMonths+1),"",IF($FN230=HY$169,1,IF($FN230&lt;HY$169,INDEX($FO$170:$IH$241,HY$169,$FN230),SUMPRODUCT(INDEX($FO$325:$IH$396,HY$169,1+SwaptionShift):INDEX($FO$325:$IH$396,HY$169,SwaptionMonthsToGo+SwaptionShift),INDEX($FO$245:$IH$316,$FN230-HY$169,73-HY$169+SwaptionShift):INDEX($FO$245:$IH$316,$FN230-HY$169,72-HY$169+SwaptionMonthsToGo+SwaptionShift))/SQRT(SUM(INDEX($FO385:$IH385,1+SwaptionShift):INDEX($FO385:$IH385,SwaptionMonthsToGo+SwaptionShift))*SUM(INDEX($FO$325:$IH$396,HY$169,1+SwaptionShift):INDEX($FO$325:$IH$396,HY$169,SwaptionMonthsToGo+SwaptionShift))))))</f>
        <v/>
      </c>
      <c r="HZ230" s="469" t="str">
        <f ca="1">IF(OR(HZ$169&lt;SwaptionFirstMonthPosition+1,$FN230&lt;SwaptionFirstMonthPosition+1,HZ$169&gt;SwaptionFirstMonthPosition+SwaptionNumOfMonths+1,$FN230&gt;SwaptionFirstMonthPosition+SwaptionNumOfMonths+1),"",IF($FN230=HZ$169,1,IF($FN230&lt;HZ$169,INDEX($FO$170:$IH$241,HZ$169,$FN230),SUMPRODUCT(INDEX($FO$325:$IH$396,HZ$169,1+SwaptionShift):INDEX($FO$325:$IH$396,HZ$169,SwaptionMonthsToGo+SwaptionShift),INDEX($FO$245:$IH$316,$FN230-HZ$169,73-HZ$169+SwaptionShift):INDEX($FO$245:$IH$316,$FN230-HZ$169,72-HZ$169+SwaptionMonthsToGo+SwaptionShift))/SQRT(SUM(INDEX($FO385:$IH385,1+SwaptionShift):INDEX($FO385:$IH385,SwaptionMonthsToGo+SwaptionShift))*SUM(INDEX($FO$325:$IH$396,HZ$169,1+SwaptionShift):INDEX($FO$325:$IH$396,HZ$169,SwaptionMonthsToGo+SwaptionShift))))))</f>
        <v/>
      </c>
      <c r="IA230" s="469" t="str">
        <f ca="1">IF(OR(IA$169&lt;SwaptionFirstMonthPosition+1,$FN230&lt;SwaptionFirstMonthPosition+1,IA$169&gt;SwaptionFirstMonthPosition+SwaptionNumOfMonths+1,$FN230&gt;SwaptionFirstMonthPosition+SwaptionNumOfMonths+1),"",IF($FN230=IA$169,1,IF($FN230&lt;IA$169,INDEX($FO$170:$IH$241,IA$169,$FN230),SUMPRODUCT(INDEX($FO$325:$IH$396,IA$169,1+SwaptionShift):INDEX($FO$325:$IH$396,IA$169,SwaptionMonthsToGo+SwaptionShift),INDEX($FO$245:$IH$316,$FN230-IA$169,73-IA$169+SwaptionShift):INDEX($FO$245:$IH$316,$FN230-IA$169,72-IA$169+SwaptionMonthsToGo+SwaptionShift))/SQRT(SUM(INDEX($FO385:$IH385,1+SwaptionShift):INDEX($FO385:$IH385,SwaptionMonthsToGo+SwaptionShift))*SUM(INDEX($FO$325:$IH$396,IA$169,1+SwaptionShift):INDEX($FO$325:$IH$396,IA$169,SwaptionMonthsToGo+SwaptionShift))))))</f>
        <v/>
      </c>
      <c r="IB230" s="469" t="str">
        <f ca="1">IF(OR(IB$169&lt;SwaptionFirstMonthPosition+1,$FN230&lt;SwaptionFirstMonthPosition+1,IB$169&gt;SwaptionFirstMonthPosition+SwaptionNumOfMonths+1,$FN230&gt;SwaptionFirstMonthPosition+SwaptionNumOfMonths+1),"",IF($FN230=IB$169,1,IF($FN230&lt;IB$169,INDEX($FO$170:$IH$241,IB$169,$FN230),SUMPRODUCT(INDEX($FO$325:$IH$396,IB$169,1+SwaptionShift):INDEX($FO$325:$IH$396,IB$169,SwaptionMonthsToGo+SwaptionShift),INDEX($FO$245:$IH$316,$FN230-IB$169,73-IB$169+SwaptionShift):INDEX($FO$245:$IH$316,$FN230-IB$169,72-IB$169+SwaptionMonthsToGo+SwaptionShift))/SQRT(SUM(INDEX($FO385:$IH385,1+SwaptionShift):INDEX($FO385:$IH385,SwaptionMonthsToGo+SwaptionShift))*SUM(INDEX($FO$325:$IH$396,IB$169,1+SwaptionShift):INDEX($FO$325:$IH$396,IB$169,SwaptionMonthsToGo+SwaptionShift))))))</f>
        <v/>
      </c>
      <c r="IC230" s="469" t="str">
        <f ca="1">IF(OR(IC$169&lt;SwaptionFirstMonthPosition+1,$FN230&lt;SwaptionFirstMonthPosition+1,IC$169&gt;SwaptionFirstMonthPosition+SwaptionNumOfMonths+1,$FN230&gt;SwaptionFirstMonthPosition+SwaptionNumOfMonths+1),"",IF($FN230=IC$169,1,IF($FN230&lt;IC$169,INDEX($FO$170:$IH$241,IC$169,$FN230),SUMPRODUCT(INDEX($FO$325:$IH$396,IC$169,1+SwaptionShift):INDEX($FO$325:$IH$396,IC$169,SwaptionMonthsToGo+SwaptionShift),INDEX($FO$245:$IH$316,$FN230-IC$169,73-IC$169+SwaptionShift):INDEX($FO$245:$IH$316,$FN230-IC$169,72-IC$169+SwaptionMonthsToGo+SwaptionShift))/SQRT(SUM(INDEX($FO385:$IH385,1+SwaptionShift):INDEX($FO385:$IH385,SwaptionMonthsToGo+SwaptionShift))*SUM(INDEX($FO$325:$IH$396,IC$169,1+SwaptionShift):INDEX($FO$325:$IH$396,IC$169,SwaptionMonthsToGo+SwaptionShift))))))</f>
        <v/>
      </c>
      <c r="ID230" s="469" t="str">
        <f ca="1">IF(OR(ID$169&lt;SwaptionFirstMonthPosition+1,$FN230&lt;SwaptionFirstMonthPosition+1,ID$169&gt;SwaptionFirstMonthPosition+SwaptionNumOfMonths+1,$FN230&gt;SwaptionFirstMonthPosition+SwaptionNumOfMonths+1),"",IF($FN230=ID$169,1,IF($FN230&lt;ID$169,INDEX($FO$170:$IH$241,ID$169,$FN230),SUMPRODUCT(INDEX($FO$325:$IH$396,ID$169,1+SwaptionShift):INDEX($FO$325:$IH$396,ID$169,SwaptionMonthsToGo+SwaptionShift),INDEX($FO$245:$IH$316,$FN230-ID$169,73-ID$169+SwaptionShift):INDEX($FO$245:$IH$316,$FN230-ID$169,72-ID$169+SwaptionMonthsToGo+SwaptionShift))/SQRT(SUM(INDEX($FO385:$IH385,1+SwaptionShift):INDEX($FO385:$IH385,SwaptionMonthsToGo+SwaptionShift))*SUM(INDEX($FO$325:$IH$396,ID$169,1+SwaptionShift):INDEX($FO$325:$IH$396,ID$169,SwaptionMonthsToGo+SwaptionShift))))))</f>
        <v/>
      </c>
      <c r="IE230" s="469" t="str">
        <f ca="1">IF(OR(IE$169&lt;SwaptionFirstMonthPosition+1,$FN230&lt;SwaptionFirstMonthPosition+1,IE$169&gt;SwaptionFirstMonthPosition+SwaptionNumOfMonths+1,$FN230&gt;SwaptionFirstMonthPosition+SwaptionNumOfMonths+1),"",IF($FN230=IE$169,1,IF($FN230&lt;IE$169,INDEX($FO$170:$IH$241,IE$169,$FN230),SUMPRODUCT(INDEX($FO$325:$IH$396,IE$169,1+SwaptionShift):INDEX($FO$325:$IH$396,IE$169,SwaptionMonthsToGo+SwaptionShift),INDEX($FO$245:$IH$316,$FN230-IE$169,73-IE$169+SwaptionShift):INDEX($FO$245:$IH$316,$FN230-IE$169,72-IE$169+SwaptionMonthsToGo+SwaptionShift))/SQRT(SUM(INDEX($FO385:$IH385,1+SwaptionShift):INDEX($FO385:$IH385,SwaptionMonthsToGo+SwaptionShift))*SUM(INDEX($FO$325:$IH$396,IE$169,1+SwaptionShift):INDEX($FO$325:$IH$396,IE$169,SwaptionMonthsToGo+SwaptionShift))))))</f>
        <v/>
      </c>
      <c r="IF230" s="469" t="str">
        <f ca="1">IF(OR(IF$169&lt;SwaptionFirstMonthPosition+1,$FN230&lt;SwaptionFirstMonthPosition+1,IF$169&gt;SwaptionFirstMonthPosition+SwaptionNumOfMonths+1,$FN230&gt;SwaptionFirstMonthPosition+SwaptionNumOfMonths+1),"",IF($FN230=IF$169,1,IF($FN230&lt;IF$169,INDEX($FO$170:$IH$241,IF$169,$FN230),SUMPRODUCT(INDEX($FO$325:$IH$396,IF$169,1+SwaptionShift):INDEX($FO$325:$IH$396,IF$169,SwaptionMonthsToGo+SwaptionShift),INDEX($FO$245:$IH$316,$FN230-IF$169,73-IF$169+SwaptionShift):INDEX($FO$245:$IH$316,$FN230-IF$169,72-IF$169+SwaptionMonthsToGo+SwaptionShift))/SQRT(SUM(INDEX($FO385:$IH385,1+SwaptionShift):INDEX($FO385:$IH385,SwaptionMonthsToGo+SwaptionShift))*SUM(INDEX($FO$325:$IH$396,IF$169,1+SwaptionShift):INDEX($FO$325:$IH$396,IF$169,SwaptionMonthsToGo+SwaptionShift))))))</f>
        <v/>
      </c>
      <c r="IG230" s="469" t="str">
        <f ca="1">IF(OR(IG$169&lt;SwaptionFirstMonthPosition+1,$FN230&lt;SwaptionFirstMonthPosition+1,IG$169&gt;SwaptionFirstMonthPosition+SwaptionNumOfMonths+1,$FN230&gt;SwaptionFirstMonthPosition+SwaptionNumOfMonths+1),"",IF($FN230=IG$169,1,IF($FN230&lt;IG$169,INDEX($FO$170:$IH$241,IG$169,$FN230),SUMPRODUCT(INDEX($FO$325:$IH$396,IG$169,1+SwaptionShift):INDEX($FO$325:$IH$396,IG$169,SwaptionMonthsToGo+SwaptionShift),INDEX($FO$245:$IH$316,$FN230-IG$169,73-IG$169+SwaptionShift):INDEX($FO$245:$IH$316,$FN230-IG$169,72-IG$169+SwaptionMonthsToGo+SwaptionShift))/SQRT(SUM(INDEX($FO385:$IH385,1+SwaptionShift):INDEX($FO385:$IH385,SwaptionMonthsToGo+SwaptionShift))*SUM(INDEX($FO$325:$IH$396,IG$169,1+SwaptionShift):INDEX($FO$325:$IH$396,IG$169,SwaptionMonthsToGo+SwaptionShift))))))</f>
        <v/>
      </c>
      <c r="IH230" s="662" t="str">
        <f ca="1">IF(OR(IH$169&lt;SwaptionFirstMonthPosition+1,$FN230&lt;SwaptionFirstMonthPosition+1,IH$169&gt;SwaptionFirstMonthPosition+SwaptionNumOfMonths+1,$FN230&gt;SwaptionFirstMonthPosition+SwaptionNumOfMonths+1),"",IF($FN230=IH$169,1,IF($FN230&lt;IH$169,INDEX($FO$170:$IH$241,IH$169,$FN230),SUMPRODUCT(INDEX($FO$325:$IH$396,IH$169,1+SwaptionShift):INDEX($FO$325:$IH$396,IH$169,SwaptionMonthsToGo+SwaptionShift),INDEX($FO$245:$IH$316,$FN230-IH$169,73-IH$169+SwaptionShift):INDEX($FO$245:$IH$316,$FN230-IH$169,72-IH$169+SwaptionMonthsToGo+SwaptionShift))/SQRT(SUM(INDEX($FO385:$IH385,1+SwaptionShift):INDEX($FO385:$IH385,SwaptionMonthsToGo+SwaptionShift))*SUM(INDEX($FO$325:$IH$396,IH$169,1+SwaptionShift):INDEX($FO$325:$IH$396,IH$169,SwaptionMonthsToGo+SwaptionShift))))))</f>
        <v/>
      </c>
      <c r="II230" s="242"/>
    </row>
    <row r="231" spans="8:243">
      <c r="H231" s="49" t="e">
        <f t="shared" ca="1" si="645"/>
        <v>#N/A</v>
      </c>
      <c r="I231" s="369">
        <f t="shared" si="646"/>
        <v>43435</v>
      </c>
      <c r="J231" s="367">
        <v>24.659999999999798</v>
      </c>
      <c r="K231" s="101" t="s">
        <v>267</v>
      </c>
      <c r="L231" s="382">
        <f t="shared" si="647"/>
        <v>24.65999999999983</v>
      </c>
      <c r="M231" s="163">
        <v>0.12670000000000001</v>
      </c>
      <c r="N231" s="372">
        <v>0</v>
      </c>
      <c r="O231" s="163">
        <f t="shared" si="595"/>
        <v>0.12670000000000001</v>
      </c>
      <c r="P231" s="367">
        <v>23.414814152679501</v>
      </c>
      <c r="Q231" s="101" t="s">
        <v>267</v>
      </c>
      <c r="R231" s="367">
        <f t="shared" ca="1" si="596"/>
        <v>23.41481415267954</v>
      </c>
      <c r="S231" s="814">
        <f t="shared" si="594"/>
        <v>0.34605844081785259</v>
      </c>
      <c r="T231" s="813">
        <f t="shared" si="660"/>
        <v>0.99999999998271738</v>
      </c>
      <c r="U231" s="532">
        <f t="shared" si="661"/>
        <v>0.99999999999999978</v>
      </c>
      <c r="V231" s="379">
        <v>0</v>
      </c>
      <c r="W231" s="424">
        <f t="shared" si="597"/>
        <v>24.692499999999797</v>
      </c>
      <c r="X231" s="405">
        <f t="shared" si="598"/>
        <v>24.692499999999828</v>
      </c>
      <c r="Y231" s="313">
        <f t="shared" si="599"/>
        <v>23.450899999999798</v>
      </c>
      <c r="Z231" s="313">
        <f t="shared" ca="1" si="600"/>
        <v>23.450899999999827</v>
      </c>
      <c r="AA231" s="419">
        <f t="shared" si="623"/>
        <v>1.2416</v>
      </c>
      <c r="AB231" s="423">
        <f t="shared" ca="1" si="624"/>
        <v>1.2416</v>
      </c>
      <c r="AC231" s="221">
        <v>43424</v>
      </c>
      <c r="AD231" s="221">
        <v>43420</v>
      </c>
      <c r="AE231" s="221">
        <v>43419</v>
      </c>
      <c r="AF231" s="221">
        <v>43415</v>
      </c>
      <c r="AG231" s="241" t="s">
        <v>497</v>
      </c>
      <c r="AH231" s="239" t="s">
        <v>497</v>
      </c>
      <c r="AI231" s="141">
        <v>20</v>
      </c>
      <c r="AJ231" s="41">
        <v>14</v>
      </c>
      <c r="AK231" s="41">
        <v>6</v>
      </c>
      <c r="AL231" s="285">
        <v>20</v>
      </c>
      <c r="AM231" s="41">
        <v>10</v>
      </c>
      <c r="AN231" s="142">
        <v>10</v>
      </c>
      <c r="AO231" s="364">
        <v>6.3371599806305107E-2</v>
      </c>
      <c r="AP231" s="145">
        <f t="shared" ca="1" si="648"/>
        <v>0.33088172660603293</v>
      </c>
      <c r="AQ231" s="364">
        <v>5.9623132149109602E-2</v>
      </c>
      <c r="AR231" s="145">
        <f t="shared" ca="1" si="662"/>
        <v>0.35547977202006781</v>
      </c>
      <c r="AS231" s="264">
        <f t="shared" si="601"/>
        <v>0.12618000000000001</v>
      </c>
      <c r="AT231" s="149">
        <f t="shared" si="649"/>
        <v>0.12670000000000001</v>
      </c>
      <c r="AU231" s="149">
        <f t="shared" si="625"/>
        <v>0.12610000000000002</v>
      </c>
      <c r="AV231" s="263">
        <f t="shared" ca="1" si="669"/>
        <v>0.12470163354678179</v>
      </c>
      <c r="AW231" s="150" t="str">
        <f t="shared" ca="1" si="581"/>
        <v/>
      </c>
      <c r="AX231" s="149">
        <f t="shared" ca="1" si="663"/>
        <v>3.302867902933011E-3</v>
      </c>
      <c r="AY231" s="149">
        <f t="shared" ca="1" si="664"/>
        <v>1.0024544610748019E-3</v>
      </c>
      <c r="AZ231" s="149">
        <f t="shared" ca="1" si="665"/>
        <v>1.2527167605519774E-3</v>
      </c>
      <c r="BA231" s="149">
        <f t="shared" ca="1" si="666"/>
        <v>1.0000000000001139E-4</v>
      </c>
      <c r="BB231" s="149">
        <f t="shared" ca="1" si="667"/>
        <v>1.0000000000001139E-4</v>
      </c>
      <c r="BC231" s="149">
        <f t="shared" ca="1" si="668"/>
        <v>1.0000000000001139E-4</v>
      </c>
      <c r="BD231" s="143">
        <f t="shared" ca="1" si="602"/>
        <v>0</v>
      </c>
      <c r="BE231" s="144">
        <f t="shared" ca="1" si="603"/>
        <v>0</v>
      </c>
      <c r="BF231" s="40">
        <f t="shared" si="604"/>
        <v>2018</v>
      </c>
      <c r="BG231" s="139">
        <f t="shared" si="605"/>
        <v>12</v>
      </c>
      <c r="BH231" s="140">
        <f t="shared" ca="1" si="606"/>
        <v>6430</v>
      </c>
      <c r="BI231" s="304">
        <f t="shared" ca="1" si="607"/>
        <v>17.645448323066393</v>
      </c>
      <c r="BJ231" s="42">
        <f t="shared" ca="1" si="626"/>
        <v>17.702943189596169</v>
      </c>
      <c r="BK231" s="42">
        <f t="shared" ca="1" si="627"/>
        <v>17.7056810403833</v>
      </c>
      <c r="BL231" s="42">
        <f t="shared" ca="1" si="608"/>
        <v>17.727583846680357</v>
      </c>
      <c r="BM231" s="285">
        <f t="shared" si="609"/>
        <v>20</v>
      </c>
      <c r="BN231" s="41">
        <f t="shared" si="610"/>
        <v>14</v>
      </c>
      <c r="BO231" s="41">
        <f t="shared" si="611"/>
        <v>6</v>
      </c>
      <c r="BP231" s="297" t="str">
        <f t="shared" ca="1" si="628"/>
        <v/>
      </c>
      <c r="BQ231" s="297" t="str">
        <f t="shared" ca="1" si="629"/>
        <v/>
      </c>
      <c r="BR231" s="299" t="str">
        <f t="shared" ca="1" si="630"/>
        <v/>
      </c>
      <c r="BS231" s="153" t="str">
        <f t="shared" ca="1" si="631"/>
        <v/>
      </c>
      <c r="BT231" s="153" t="str">
        <f t="shared" ca="1" si="632"/>
        <v/>
      </c>
      <c r="BU231" s="300" t="str">
        <f t="shared" ca="1" si="633"/>
        <v/>
      </c>
      <c r="BV231" s="301" t="str">
        <f t="shared" ca="1" si="634"/>
        <v/>
      </c>
      <c r="BW231" s="300" t="str">
        <f t="shared" ca="1" si="635"/>
        <v/>
      </c>
      <c r="BX231" s="301" t="str">
        <f t="shared" ca="1" si="636"/>
        <v/>
      </c>
      <c r="BY231" s="146" t="str">
        <f t="shared" ca="1" si="637"/>
        <v/>
      </c>
      <c r="BZ231" s="146" t="str">
        <f t="shared" ca="1" si="638"/>
        <v/>
      </c>
      <c r="CA231" s="146" t="str">
        <f t="shared" ca="1" si="639"/>
        <v/>
      </c>
      <c r="CB231" s="146" t="str">
        <f t="shared" ca="1" si="640"/>
        <v/>
      </c>
      <c r="CC231" s="302">
        <v>1</v>
      </c>
      <c r="CD231" s="154">
        <f ca="1">IF(BD231,_xll.xCrudeAPO(BS231,BT231,BY231,BZ231,S232,S233,BI231,BL231,BN231,BO231,0,Strike1,AO231,CC231,0,BL231,IF(OptControl=4,0,1),0,1),0)</f>
        <v>0</v>
      </c>
      <c r="CE231" s="155">
        <f ca="1">IF(BD231,_xll.xCrudeAPO(BS231,BT231,BY231,BZ231,S232,S233,BI231,BL231,BN231,BO231,0,Strike1,AO231,CC231,0,BL231,IF(OptControl=4,0,1),1,1)+_xll.xCrudeAPO(BS231,BT231,BY231,BZ231,S232,S233,BI231,BL231,BN231,BO231,0,Strike1,AO231,CC231,0,BL231,IF(OptControl=4,0,1),1,2)+IF(OR(VolSkewFlag=2,ABS(BQ231)&lt;0.0001),0,IF(BQ231&gt;0,-1,1)*CF231*Strike1/BP231^2*BW231/10%),0)</f>
        <v>0</v>
      </c>
      <c r="CF231" s="155">
        <f ca="1">IF(BD231,(_xll.xCrudeAPO(BS231,BT231,BY231,BZ231,S232,S233,BI231,BL231,BN231,BO231,0,Strike1,AO231,CC231,0,BL231,IF(OptControl=4,0,1),3,1)+_xll.xCrudeAPO(BS231,BT231,BY231,BZ231,S232,S233,BI231,BL231,BN231,BO231,0,Strike1,AO231,CC231,0,BL231,IF(OptControl=4,0,1),3,2))/100,0)</f>
        <v>0</v>
      </c>
      <c r="CG231" s="155">
        <f ca="1">IF(BD231,_xll.xCrudeAPO(BS231,BT231,BY231,BZ231,S232,S233,BI231-DaysForThetaCalculation/365.25,BL231-DaysForThetaCalculation/365.25,BN231,BO231,0,Strike1,AO231,CC231,0,BL231,IF(OptControl=4,0,1),0,1)-_xll.xCrudeAPO(BS231,BT231,BY231,BZ231,S232,S233,BI231,BL231,BN231,BO231,0,Strike1,AO231,CC231,0,BL231,IF(OptControl=4,0,1),0,1),0)</f>
        <v>0</v>
      </c>
      <c r="CH231" s="303">
        <f ca="1">IF(BD231,_xll.xCrudeAPO(BS231,BT231,CA231,CB231,S232,S233,BI231,BL231,BN231,BO231,0,Strike2,AO231,CC231,0,BL231,IF(OptControl=3,1,0),0,1),0)</f>
        <v>0</v>
      </c>
      <c r="CI231" s="155">
        <f ca="1">IF(BD231,_xll.xCrudeAPO(BS231,BT231,CA231,CB231,S232,S233,BI231,BL231,BN231,BO231,0,Strike2,AO231,CC231,0,BL231,IF(OptControl=3,1,0),1,1)+_xll.xCrudeAPO(BS231,BT231,CA231,CB231,S232,S233,BI231,BL231,BN231,BO231,0,Strike2,AO231,CC231,0,BL231,IF(OptControl=3,1,0),1,2)+IF(OR(VolSkewFlag=2,ABS(BR231)&lt;0.0001),0,IF(BR231&gt;0,-1,1)*CJ231*Strike2/BP231^2*BX231/10%),0)</f>
        <v>0</v>
      </c>
      <c r="CJ231" s="155">
        <f ca="1">IF(BD231,(_xll.xCrudeAPO(BS231,BT231,CA231,CB231,S232,S233,BI231,BL231,BN231,BO231,0,Strike2,AO231,CC231,0,BL231,IF(OptControl=3,1,0),3,1)+_xll.xCrudeAPO(BS231,BT231,CA231,CB231,S232,S233,BI231,BL231,BN231,BO231,0,Strike2,AO231,CC231,0,BL231,IF(OptControl=3,1,0),3,2))/100,0)</f>
        <v>0</v>
      </c>
      <c r="CK231" s="156">
        <f ca="1">IF(BD231,_xll.xCrudeAPO(BS231,BT231,CA231,CB231,S232,S233,BI231-DaysForThetaCalculation/365.25,BL231-DaysForThetaCalculation/365.25,BN231,BO231,0,Strike2,AO231,CC231,0,BL231,IF(OptControl=3,1,0),0,1)-_xll.xCrudeAPO(BS231,BT231,CA231,CB231,S232,S233,BI231,BL231,BN231,BO231,0,Strike2,AO231,CC231,0,BL231,IF(OptControl=3,1,0),0,1),0)</f>
        <v>0</v>
      </c>
      <c r="CL231" s="51"/>
      <c r="CM231" s="779" t="str">
        <f t="shared" ca="1" si="650"/>
        <v/>
      </c>
      <c r="CN231" s="783" t="str">
        <f t="shared" ca="1" si="651"/>
        <v/>
      </c>
      <c r="CO231" s="780" t="str">
        <f t="shared" ca="1" si="652"/>
        <v/>
      </c>
      <c r="CP231" s="780" t="str">
        <f t="shared" ca="1" si="653"/>
        <v/>
      </c>
      <c r="CQ231" s="780" t="str">
        <f t="shared" ca="1" si="654"/>
        <v/>
      </c>
      <c r="CR231" s="780" t="str">
        <f t="shared" ca="1" si="655"/>
        <v/>
      </c>
      <c r="CS231" s="781" t="str">
        <f t="shared" ca="1" si="656"/>
        <v/>
      </c>
      <c r="CT231" s="782" t="str">
        <f t="shared" ca="1" si="657"/>
        <v/>
      </c>
      <c r="CU231" s="782" t="str">
        <f t="shared" ca="1" si="658"/>
        <v/>
      </c>
      <c r="CV231" s="155">
        <f ca="1">IF(BD231,_xll.EURO(CN231,Strike1,AO231,AO231,CT231,CM231,IF(OptControl=4,0,1),0),0)</f>
        <v>0</v>
      </c>
      <c r="CW231" s="155">
        <f ca="1">IF(BD231,_xll.EURO(CN231,Strike1,AO231,AO231,CT231,CM231,IF(OptControl=4,0,1),1)+IF(OR(VolSkewFlag=2,ABS(CO231)&lt;0.0001),0,IF(CO231&gt;0,-1,1)*CX231*100*Strike1/CN231^2*CQ231/10%),0)</f>
        <v>0</v>
      </c>
      <c r="CX231" s="155">
        <f ca="1">IF(BD231,_xll.EURO(CN231,Strike1,AO231,AO231,CT231,CM231,IF(OptControl=4,0,1),3)/100,0)</f>
        <v>0</v>
      </c>
      <c r="CY231" s="155">
        <f ca="1">IF(BD231,_xll.EURO(CN231,Strike1,AO231,AO231,CT231,CM231,IF(OptControl=4,0,1),0)-_xll.EURO(CN231,Strike1,AO231,AO231,CT231,CM231-1,IF(OptControl=4,0,1),0),0)</f>
        <v>0</v>
      </c>
      <c r="CZ231" s="155">
        <f ca="1">IF(BD231,_xll.EURO(CN231,Strike2,AO231,AO231,CU231,CM231,IF(OptControl=3,1,0),0),0)</f>
        <v>0</v>
      </c>
      <c r="DA231" s="155">
        <f ca="1">IF(BD231,_xll.EURO(CN231,Strike2,AO231,AO231,CU231,CM231,IF(OptControl=3,1,0),1)+IF(OR(VolSkewFlag=2,ABS(CP231)&lt;0.0001),0,IF(CP231&gt;0,-1,1)*DB231*100*Strike2/CN231^2*CR231/10%),0)</f>
        <v>0</v>
      </c>
      <c r="DB231" s="155">
        <f ca="1">IF(BD231,_xll.EURO(CN231,Strike2,AO231,AO231,CU231,CM231,IF(OptControl=3,1,0),3)/100,0)</f>
        <v>0</v>
      </c>
      <c r="DC231" s="156">
        <f ca="1">IF(BD231,_xll.EURO(CN231,Strike2,AO231,AO231,CU231,CM231,IF(OptControl=3,1,0),0)-_xll.EURO(CN231,Strike2,AO231,AO231,CU231,CM231-1,IF(OptControl=3,1,0),0),0)</f>
        <v>0</v>
      </c>
      <c r="DE231" s="651">
        <f t="shared" ca="1" si="659"/>
        <v>43344</v>
      </c>
      <c r="DF231" s="465">
        <v>1E-4</v>
      </c>
      <c r="DG231" s="649">
        <v>1E-4</v>
      </c>
      <c r="DH231" s="650">
        <f t="shared" ca="1" si="612"/>
        <v>43344</v>
      </c>
      <c r="DI231" s="465">
        <v>1E-4</v>
      </c>
      <c r="DJ231" s="649">
        <v>1E-4</v>
      </c>
      <c r="DK231" s="651">
        <f t="shared" ca="1" si="613"/>
        <v>43344</v>
      </c>
      <c r="DL231" s="652">
        <f t="shared" si="614"/>
        <v>5.0100000000000006E-2</v>
      </c>
      <c r="DM231" s="651">
        <f t="shared" ca="1" si="615"/>
        <v>43344</v>
      </c>
      <c r="DN231" s="563">
        <f t="shared" si="616"/>
        <v>-0.12990000000000002</v>
      </c>
      <c r="DO231" s="803">
        <v>-0.13</v>
      </c>
      <c r="DP231" s="650">
        <f t="shared" ca="1" si="617"/>
        <v>43344</v>
      </c>
      <c r="DQ231" s="653">
        <v>1E-4</v>
      </c>
      <c r="DR231" s="590">
        <v>1E-4</v>
      </c>
      <c r="DS231" s="650">
        <f t="shared" ca="1" si="618"/>
        <v>43344</v>
      </c>
      <c r="DT231" s="653">
        <v>1E-4</v>
      </c>
      <c r="DU231" s="590">
        <v>1E-4</v>
      </c>
      <c r="DV231" s="651">
        <f t="shared" ca="1" si="619"/>
        <v>43344</v>
      </c>
      <c r="DW231" s="590">
        <v>1E-4</v>
      </c>
      <c r="DX231" s="651">
        <f t="shared" ca="1" si="620"/>
        <v>43344</v>
      </c>
      <c r="DY231" s="590">
        <f t="shared" si="621"/>
        <v>1E-4</v>
      </c>
      <c r="DZ231" s="1"/>
      <c r="EA231" s="857"/>
      <c r="EB231" s="857"/>
      <c r="EC231" s="857"/>
      <c r="ED231" s="868" t="e">
        <f t="shared" ca="1" si="670"/>
        <v>#NAME?</v>
      </c>
      <c r="EE231" s="863" t="e">
        <f t="shared" ca="1" si="641"/>
        <v>#NAME?</v>
      </c>
      <c r="EF231" s="590" t="e">
        <f t="shared" ca="1" si="642"/>
        <v>#NAME?</v>
      </c>
      <c r="EG231" s="862" t="str">
        <f t="shared" ca="1" si="622"/>
        <v/>
      </c>
      <c r="EH231" s="114" t="str">
        <f t="shared" ca="1" si="643"/>
        <v/>
      </c>
      <c r="EI231" s="109" t="str">
        <f t="shared" ca="1" si="644"/>
        <v/>
      </c>
      <c r="EJ231" s="115">
        <f ca="1">IF(BD231,_xll.xASN(BP231,Strike1,AO231,EH231,0,BM231,0,BI231,BL231,IF(OptControl=4,0,1),0),0)</f>
        <v>0</v>
      </c>
      <c r="EK231" s="108">
        <f ca="1">IF(BD231,_xll.xASN(BP231,Strike2,AO231,EI231,0,BM231,0,BI231,BL231,IF(OptControl=3,1,0),0),0)</f>
        <v>0</v>
      </c>
      <c r="EP231" s="53"/>
      <c r="EQ231" s="1"/>
      <c r="ER231" s="103"/>
      <c r="ES231" s="103"/>
      <c r="ET231" s="1"/>
      <c r="EU231" s="667" t="s">
        <v>444</v>
      </c>
      <c r="EW231" s="53"/>
      <c r="EY231" s="104"/>
      <c r="FN231" s="657">
        <v>62</v>
      </c>
      <c r="FO231" s="469" t="str">
        <f ca="1">IF(OR(FO$169&lt;SwaptionFirstMonthPosition+1,$FN231&lt;SwaptionFirstMonthPosition+1,FO$169&gt;SwaptionFirstMonthPosition+SwaptionNumOfMonths+1,$FN231&gt;SwaptionFirstMonthPosition+SwaptionNumOfMonths+1),"",IF($FN231=FO$169,1,IF($FN231&lt;FO$169,INDEX($FO$170:$IH$241,FO$169,$FN231),SUMPRODUCT(INDEX($FO$325:$IH$396,FO$169,1+SwaptionShift):INDEX($FO$325:$IH$396,FO$169,SwaptionMonthsToGo+SwaptionShift),INDEX($FO$245:$IH$316,$FN231-FO$169,73-FO$169+SwaptionShift):INDEX($FO$245:$IH$316,$FN231-FO$169,72-FO$169+SwaptionMonthsToGo+SwaptionShift))/SQRT(SUM(INDEX($FO386:$IH386,1+SwaptionShift):INDEX($FO386:$IH386,SwaptionMonthsToGo+SwaptionShift))*SUM(INDEX($FO$325:$IH$396,FO$169,1+SwaptionShift):INDEX($FO$325:$IH$396,FO$169,SwaptionMonthsToGo+SwaptionShift))))))</f>
        <v/>
      </c>
      <c r="FP231" s="469" t="str">
        <f ca="1">IF(OR(FP$169&lt;SwaptionFirstMonthPosition+1,$FN231&lt;SwaptionFirstMonthPosition+1,FP$169&gt;SwaptionFirstMonthPosition+SwaptionNumOfMonths+1,$FN231&gt;SwaptionFirstMonthPosition+SwaptionNumOfMonths+1),"",IF($FN231=FP$169,1,IF($FN231&lt;FP$169,INDEX($FO$170:$IH$241,FP$169,$FN231),SUMPRODUCT(INDEX($FO$325:$IH$396,FP$169,1+SwaptionShift):INDEX($FO$325:$IH$396,FP$169,SwaptionMonthsToGo+SwaptionShift),INDEX($FO$245:$IH$316,$FN231-FP$169,73-FP$169+SwaptionShift):INDEX($FO$245:$IH$316,$FN231-FP$169,72-FP$169+SwaptionMonthsToGo+SwaptionShift))/SQRT(SUM(INDEX($FO386:$IH386,1+SwaptionShift):INDEX($FO386:$IH386,SwaptionMonthsToGo+SwaptionShift))*SUM(INDEX($FO$325:$IH$396,FP$169,1+SwaptionShift):INDEX($FO$325:$IH$396,FP$169,SwaptionMonthsToGo+SwaptionShift))))))</f>
        <v/>
      </c>
      <c r="FQ231" s="469" t="str">
        <f ca="1">IF(OR(FQ$169&lt;SwaptionFirstMonthPosition+1,$FN231&lt;SwaptionFirstMonthPosition+1,FQ$169&gt;SwaptionFirstMonthPosition+SwaptionNumOfMonths+1,$FN231&gt;SwaptionFirstMonthPosition+SwaptionNumOfMonths+1),"",IF($FN231=FQ$169,1,IF($FN231&lt;FQ$169,INDEX($FO$170:$IH$241,FQ$169,$FN231),SUMPRODUCT(INDEX($FO$325:$IH$396,FQ$169,1+SwaptionShift):INDEX($FO$325:$IH$396,FQ$169,SwaptionMonthsToGo+SwaptionShift),INDEX($FO$245:$IH$316,$FN231-FQ$169,73-FQ$169+SwaptionShift):INDEX($FO$245:$IH$316,$FN231-FQ$169,72-FQ$169+SwaptionMonthsToGo+SwaptionShift))/SQRT(SUM(INDEX($FO386:$IH386,1+SwaptionShift):INDEX($FO386:$IH386,SwaptionMonthsToGo+SwaptionShift))*SUM(INDEX($FO$325:$IH$396,FQ$169,1+SwaptionShift):INDEX($FO$325:$IH$396,FQ$169,SwaptionMonthsToGo+SwaptionShift))))))</f>
        <v/>
      </c>
      <c r="FR231" s="469" t="str">
        <f ca="1">IF(OR(FR$169&lt;SwaptionFirstMonthPosition+1,$FN231&lt;SwaptionFirstMonthPosition+1,FR$169&gt;SwaptionFirstMonthPosition+SwaptionNumOfMonths+1,$FN231&gt;SwaptionFirstMonthPosition+SwaptionNumOfMonths+1),"",IF($FN231=FR$169,1,IF($FN231&lt;FR$169,INDEX($FO$170:$IH$241,FR$169,$FN231),SUMPRODUCT(INDEX($FO$325:$IH$396,FR$169,1+SwaptionShift):INDEX($FO$325:$IH$396,FR$169,SwaptionMonthsToGo+SwaptionShift),INDEX($FO$245:$IH$316,$FN231-FR$169,73-FR$169+SwaptionShift):INDEX($FO$245:$IH$316,$FN231-FR$169,72-FR$169+SwaptionMonthsToGo+SwaptionShift))/SQRT(SUM(INDEX($FO386:$IH386,1+SwaptionShift):INDEX($FO386:$IH386,SwaptionMonthsToGo+SwaptionShift))*SUM(INDEX($FO$325:$IH$396,FR$169,1+SwaptionShift):INDEX($FO$325:$IH$396,FR$169,SwaptionMonthsToGo+SwaptionShift))))))</f>
        <v/>
      </c>
      <c r="FS231" s="469" t="str">
        <f ca="1">IF(OR(FS$169&lt;SwaptionFirstMonthPosition+1,$FN231&lt;SwaptionFirstMonthPosition+1,FS$169&gt;SwaptionFirstMonthPosition+SwaptionNumOfMonths+1,$FN231&gt;SwaptionFirstMonthPosition+SwaptionNumOfMonths+1),"",IF($FN231=FS$169,1,IF($FN231&lt;FS$169,INDEX($FO$170:$IH$241,FS$169,$FN231),SUMPRODUCT(INDEX($FO$325:$IH$396,FS$169,1+SwaptionShift):INDEX($FO$325:$IH$396,FS$169,SwaptionMonthsToGo+SwaptionShift),INDEX($FO$245:$IH$316,$FN231-FS$169,73-FS$169+SwaptionShift):INDEX($FO$245:$IH$316,$FN231-FS$169,72-FS$169+SwaptionMonthsToGo+SwaptionShift))/SQRT(SUM(INDEX($FO386:$IH386,1+SwaptionShift):INDEX($FO386:$IH386,SwaptionMonthsToGo+SwaptionShift))*SUM(INDEX($FO$325:$IH$396,FS$169,1+SwaptionShift):INDEX($FO$325:$IH$396,FS$169,SwaptionMonthsToGo+SwaptionShift))))))</f>
        <v/>
      </c>
      <c r="FT231" s="469" t="str">
        <f ca="1">IF(OR(FT$169&lt;SwaptionFirstMonthPosition+1,$FN231&lt;SwaptionFirstMonthPosition+1,FT$169&gt;SwaptionFirstMonthPosition+SwaptionNumOfMonths+1,$FN231&gt;SwaptionFirstMonthPosition+SwaptionNumOfMonths+1),"",IF($FN231=FT$169,1,IF($FN231&lt;FT$169,INDEX($FO$170:$IH$241,FT$169,$FN231),SUMPRODUCT(INDEX($FO$325:$IH$396,FT$169,1+SwaptionShift):INDEX($FO$325:$IH$396,FT$169,SwaptionMonthsToGo+SwaptionShift),INDEX($FO$245:$IH$316,$FN231-FT$169,73-FT$169+SwaptionShift):INDEX($FO$245:$IH$316,$FN231-FT$169,72-FT$169+SwaptionMonthsToGo+SwaptionShift))/SQRT(SUM(INDEX($FO386:$IH386,1+SwaptionShift):INDEX($FO386:$IH386,SwaptionMonthsToGo+SwaptionShift))*SUM(INDEX($FO$325:$IH$396,FT$169,1+SwaptionShift):INDEX($FO$325:$IH$396,FT$169,SwaptionMonthsToGo+SwaptionShift))))))</f>
        <v/>
      </c>
      <c r="FU231" s="469" t="str">
        <f ca="1">IF(OR(FU$169&lt;SwaptionFirstMonthPosition+1,$FN231&lt;SwaptionFirstMonthPosition+1,FU$169&gt;SwaptionFirstMonthPosition+SwaptionNumOfMonths+1,$FN231&gt;SwaptionFirstMonthPosition+SwaptionNumOfMonths+1),"",IF($FN231=FU$169,1,IF($FN231&lt;FU$169,INDEX($FO$170:$IH$241,FU$169,$FN231),SUMPRODUCT(INDEX($FO$325:$IH$396,FU$169,1+SwaptionShift):INDEX($FO$325:$IH$396,FU$169,SwaptionMonthsToGo+SwaptionShift),INDEX($FO$245:$IH$316,$FN231-FU$169,73-FU$169+SwaptionShift):INDEX($FO$245:$IH$316,$FN231-FU$169,72-FU$169+SwaptionMonthsToGo+SwaptionShift))/SQRT(SUM(INDEX($FO386:$IH386,1+SwaptionShift):INDEX($FO386:$IH386,SwaptionMonthsToGo+SwaptionShift))*SUM(INDEX($FO$325:$IH$396,FU$169,1+SwaptionShift):INDEX($FO$325:$IH$396,FU$169,SwaptionMonthsToGo+SwaptionShift))))))</f>
        <v/>
      </c>
      <c r="FV231" s="469" t="str">
        <f ca="1">IF(OR(FV$169&lt;SwaptionFirstMonthPosition+1,$FN231&lt;SwaptionFirstMonthPosition+1,FV$169&gt;SwaptionFirstMonthPosition+SwaptionNumOfMonths+1,$FN231&gt;SwaptionFirstMonthPosition+SwaptionNumOfMonths+1),"",IF($FN231=FV$169,1,IF($FN231&lt;FV$169,INDEX($FO$170:$IH$241,FV$169,$FN231),SUMPRODUCT(INDEX($FO$325:$IH$396,FV$169,1+SwaptionShift):INDEX($FO$325:$IH$396,FV$169,SwaptionMonthsToGo+SwaptionShift),INDEX($FO$245:$IH$316,$FN231-FV$169,73-FV$169+SwaptionShift):INDEX($FO$245:$IH$316,$FN231-FV$169,72-FV$169+SwaptionMonthsToGo+SwaptionShift))/SQRT(SUM(INDEX($FO386:$IH386,1+SwaptionShift):INDEX($FO386:$IH386,SwaptionMonthsToGo+SwaptionShift))*SUM(INDEX($FO$325:$IH$396,FV$169,1+SwaptionShift):INDEX($FO$325:$IH$396,FV$169,SwaptionMonthsToGo+SwaptionShift))))))</f>
        <v/>
      </c>
      <c r="FW231" s="469" t="str">
        <f ca="1">IF(OR(FW$169&lt;SwaptionFirstMonthPosition+1,$FN231&lt;SwaptionFirstMonthPosition+1,FW$169&gt;SwaptionFirstMonthPosition+SwaptionNumOfMonths+1,$FN231&gt;SwaptionFirstMonthPosition+SwaptionNumOfMonths+1),"",IF($FN231=FW$169,1,IF($FN231&lt;FW$169,INDEX($FO$170:$IH$241,FW$169,$FN231),SUMPRODUCT(INDEX($FO$325:$IH$396,FW$169,1+SwaptionShift):INDEX($FO$325:$IH$396,FW$169,SwaptionMonthsToGo+SwaptionShift),INDEX($FO$245:$IH$316,$FN231-FW$169,73-FW$169+SwaptionShift):INDEX($FO$245:$IH$316,$FN231-FW$169,72-FW$169+SwaptionMonthsToGo+SwaptionShift))/SQRT(SUM(INDEX($FO386:$IH386,1+SwaptionShift):INDEX($FO386:$IH386,SwaptionMonthsToGo+SwaptionShift))*SUM(INDEX($FO$325:$IH$396,FW$169,1+SwaptionShift):INDEX($FO$325:$IH$396,FW$169,SwaptionMonthsToGo+SwaptionShift))))))</f>
        <v/>
      </c>
      <c r="FX231" s="469" t="str">
        <f ca="1">IF(OR(FX$169&lt;SwaptionFirstMonthPosition+1,$FN231&lt;SwaptionFirstMonthPosition+1,FX$169&gt;SwaptionFirstMonthPosition+SwaptionNumOfMonths+1,$FN231&gt;SwaptionFirstMonthPosition+SwaptionNumOfMonths+1),"",IF($FN231=FX$169,1,IF($FN231&lt;FX$169,INDEX($FO$170:$IH$241,FX$169,$FN231),SUMPRODUCT(INDEX($FO$325:$IH$396,FX$169,1+SwaptionShift):INDEX($FO$325:$IH$396,FX$169,SwaptionMonthsToGo+SwaptionShift),INDEX($FO$245:$IH$316,$FN231-FX$169,73-FX$169+SwaptionShift):INDEX($FO$245:$IH$316,$FN231-FX$169,72-FX$169+SwaptionMonthsToGo+SwaptionShift))/SQRT(SUM(INDEX($FO386:$IH386,1+SwaptionShift):INDEX($FO386:$IH386,SwaptionMonthsToGo+SwaptionShift))*SUM(INDEX($FO$325:$IH$396,FX$169,1+SwaptionShift):INDEX($FO$325:$IH$396,FX$169,SwaptionMonthsToGo+SwaptionShift))))))</f>
        <v/>
      </c>
      <c r="FY231" s="469" t="str">
        <f ca="1">IF(OR(FY$169&lt;SwaptionFirstMonthPosition+1,$FN231&lt;SwaptionFirstMonthPosition+1,FY$169&gt;SwaptionFirstMonthPosition+SwaptionNumOfMonths+1,$FN231&gt;SwaptionFirstMonthPosition+SwaptionNumOfMonths+1),"",IF($FN231=FY$169,1,IF($FN231&lt;FY$169,INDEX($FO$170:$IH$241,FY$169,$FN231),SUMPRODUCT(INDEX($FO$325:$IH$396,FY$169,1+SwaptionShift):INDEX($FO$325:$IH$396,FY$169,SwaptionMonthsToGo+SwaptionShift),INDEX($FO$245:$IH$316,$FN231-FY$169,73-FY$169+SwaptionShift):INDEX($FO$245:$IH$316,$FN231-FY$169,72-FY$169+SwaptionMonthsToGo+SwaptionShift))/SQRT(SUM(INDEX($FO386:$IH386,1+SwaptionShift):INDEX($FO386:$IH386,SwaptionMonthsToGo+SwaptionShift))*SUM(INDEX($FO$325:$IH$396,FY$169,1+SwaptionShift):INDEX($FO$325:$IH$396,FY$169,SwaptionMonthsToGo+SwaptionShift))))))</f>
        <v/>
      </c>
      <c r="FZ231" s="469" t="str">
        <f ca="1">IF(OR(FZ$169&lt;SwaptionFirstMonthPosition+1,$FN231&lt;SwaptionFirstMonthPosition+1,FZ$169&gt;SwaptionFirstMonthPosition+SwaptionNumOfMonths+1,$FN231&gt;SwaptionFirstMonthPosition+SwaptionNumOfMonths+1),"",IF($FN231=FZ$169,1,IF($FN231&lt;FZ$169,INDEX($FO$170:$IH$241,FZ$169,$FN231),SUMPRODUCT(INDEX($FO$325:$IH$396,FZ$169,1+SwaptionShift):INDEX($FO$325:$IH$396,FZ$169,SwaptionMonthsToGo+SwaptionShift),INDEX($FO$245:$IH$316,$FN231-FZ$169,73-FZ$169+SwaptionShift):INDEX($FO$245:$IH$316,$FN231-FZ$169,72-FZ$169+SwaptionMonthsToGo+SwaptionShift))/SQRT(SUM(INDEX($FO386:$IH386,1+SwaptionShift):INDEX($FO386:$IH386,SwaptionMonthsToGo+SwaptionShift))*SUM(INDEX($FO$325:$IH$396,FZ$169,1+SwaptionShift):INDEX($FO$325:$IH$396,FZ$169,SwaptionMonthsToGo+SwaptionShift))))))</f>
        <v/>
      </c>
      <c r="GA231" s="469" t="str">
        <f ca="1">IF(OR(GA$169&lt;SwaptionFirstMonthPosition+1,$FN231&lt;SwaptionFirstMonthPosition+1,GA$169&gt;SwaptionFirstMonthPosition+SwaptionNumOfMonths+1,$FN231&gt;SwaptionFirstMonthPosition+SwaptionNumOfMonths+1),"",IF($FN231=GA$169,1,IF($FN231&lt;GA$169,INDEX($FO$170:$IH$241,GA$169,$FN231),SUMPRODUCT(INDEX($FO$325:$IH$396,GA$169,1+SwaptionShift):INDEX($FO$325:$IH$396,GA$169,SwaptionMonthsToGo+SwaptionShift),INDEX($FO$245:$IH$316,$FN231-GA$169,73-GA$169+SwaptionShift):INDEX($FO$245:$IH$316,$FN231-GA$169,72-GA$169+SwaptionMonthsToGo+SwaptionShift))/SQRT(SUM(INDEX($FO386:$IH386,1+SwaptionShift):INDEX($FO386:$IH386,SwaptionMonthsToGo+SwaptionShift))*SUM(INDEX($FO$325:$IH$396,GA$169,1+SwaptionShift):INDEX($FO$325:$IH$396,GA$169,SwaptionMonthsToGo+SwaptionShift))))))</f>
        <v/>
      </c>
      <c r="GB231" s="469" t="str">
        <f ca="1">IF(OR(GB$169&lt;SwaptionFirstMonthPosition+1,$FN231&lt;SwaptionFirstMonthPosition+1,GB$169&gt;SwaptionFirstMonthPosition+SwaptionNumOfMonths+1,$FN231&gt;SwaptionFirstMonthPosition+SwaptionNumOfMonths+1),"",IF($FN231=GB$169,1,IF($FN231&lt;GB$169,INDEX($FO$170:$IH$241,GB$169,$FN231),SUMPRODUCT(INDEX($FO$325:$IH$396,GB$169,1+SwaptionShift):INDEX($FO$325:$IH$396,GB$169,SwaptionMonthsToGo+SwaptionShift),INDEX($FO$245:$IH$316,$FN231-GB$169,73-GB$169+SwaptionShift):INDEX($FO$245:$IH$316,$FN231-GB$169,72-GB$169+SwaptionMonthsToGo+SwaptionShift))/SQRT(SUM(INDEX($FO386:$IH386,1+SwaptionShift):INDEX($FO386:$IH386,SwaptionMonthsToGo+SwaptionShift))*SUM(INDEX($FO$325:$IH$396,GB$169,1+SwaptionShift):INDEX($FO$325:$IH$396,GB$169,SwaptionMonthsToGo+SwaptionShift))))))</f>
        <v/>
      </c>
      <c r="GC231" s="469" t="str">
        <f ca="1">IF(OR(GC$169&lt;SwaptionFirstMonthPosition+1,$FN231&lt;SwaptionFirstMonthPosition+1,GC$169&gt;SwaptionFirstMonthPosition+SwaptionNumOfMonths+1,$FN231&gt;SwaptionFirstMonthPosition+SwaptionNumOfMonths+1),"",IF($FN231=GC$169,1,IF($FN231&lt;GC$169,INDEX($FO$170:$IH$241,GC$169,$FN231),SUMPRODUCT(INDEX($FO$325:$IH$396,GC$169,1+SwaptionShift):INDEX($FO$325:$IH$396,GC$169,SwaptionMonthsToGo+SwaptionShift),INDEX($FO$245:$IH$316,$FN231-GC$169,73-GC$169+SwaptionShift):INDEX($FO$245:$IH$316,$FN231-GC$169,72-GC$169+SwaptionMonthsToGo+SwaptionShift))/SQRT(SUM(INDEX($FO386:$IH386,1+SwaptionShift):INDEX($FO386:$IH386,SwaptionMonthsToGo+SwaptionShift))*SUM(INDEX($FO$325:$IH$396,GC$169,1+SwaptionShift):INDEX($FO$325:$IH$396,GC$169,SwaptionMonthsToGo+SwaptionShift))))))</f>
        <v/>
      </c>
      <c r="GD231" s="469" t="str">
        <f ca="1">IF(OR(GD$169&lt;SwaptionFirstMonthPosition+1,$FN231&lt;SwaptionFirstMonthPosition+1,GD$169&gt;SwaptionFirstMonthPosition+SwaptionNumOfMonths+1,$FN231&gt;SwaptionFirstMonthPosition+SwaptionNumOfMonths+1),"",IF($FN231=GD$169,1,IF($FN231&lt;GD$169,INDEX($FO$170:$IH$241,GD$169,$FN231),SUMPRODUCT(INDEX($FO$325:$IH$396,GD$169,1+SwaptionShift):INDEX($FO$325:$IH$396,GD$169,SwaptionMonthsToGo+SwaptionShift),INDEX($FO$245:$IH$316,$FN231-GD$169,73-GD$169+SwaptionShift):INDEX($FO$245:$IH$316,$FN231-GD$169,72-GD$169+SwaptionMonthsToGo+SwaptionShift))/SQRT(SUM(INDEX($FO386:$IH386,1+SwaptionShift):INDEX($FO386:$IH386,SwaptionMonthsToGo+SwaptionShift))*SUM(INDEX($FO$325:$IH$396,GD$169,1+SwaptionShift):INDEX($FO$325:$IH$396,GD$169,SwaptionMonthsToGo+SwaptionShift))))))</f>
        <v/>
      </c>
      <c r="GE231" s="469" t="str">
        <f ca="1">IF(OR(GE$169&lt;SwaptionFirstMonthPosition+1,$FN231&lt;SwaptionFirstMonthPosition+1,GE$169&gt;SwaptionFirstMonthPosition+SwaptionNumOfMonths+1,$FN231&gt;SwaptionFirstMonthPosition+SwaptionNumOfMonths+1),"",IF($FN231=GE$169,1,IF($FN231&lt;GE$169,INDEX($FO$170:$IH$241,GE$169,$FN231),SUMPRODUCT(INDEX($FO$325:$IH$396,GE$169,1+SwaptionShift):INDEX($FO$325:$IH$396,GE$169,SwaptionMonthsToGo+SwaptionShift),INDEX($FO$245:$IH$316,$FN231-GE$169,73-GE$169+SwaptionShift):INDEX($FO$245:$IH$316,$FN231-GE$169,72-GE$169+SwaptionMonthsToGo+SwaptionShift))/SQRT(SUM(INDEX($FO386:$IH386,1+SwaptionShift):INDEX($FO386:$IH386,SwaptionMonthsToGo+SwaptionShift))*SUM(INDEX($FO$325:$IH$396,GE$169,1+SwaptionShift):INDEX($FO$325:$IH$396,GE$169,SwaptionMonthsToGo+SwaptionShift))))))</f>
        <v/>
      </c>
      <c r="GF231" s="469" t="str">
        <f ca="1">IF(OR(GF$169&lt;SwaptionFirstMonthPosition+1,$FN231&lt;SwaptionFirstMonthPosition+1,GF$169&gt;SwaptionFirstMonthPosition+SwaptionNumOfMonths+1,$FN231&gt;SwaptionFirstMonthPosition+SwaptionNumOfMonths+1),"",IF($FN231=GF$169,1,IF($FN231&lt;GF$169,INDEX($FO$170:$IH$241,GF$169,$FN231),SUMPRODUCT(INDEX($FO$325:$IH$396,GF$169,1+SwaptionShift):INDEX($FO$325:$IH$396,GF$169,SwaptionMonthsToGo+SwaptionShift),INDEX($FO$245:$IH$316,$FN231-GF$169,73-GF$169+SwaptionShift):INDEX($FO$245:$IH$316,$FN231-GF$169,72-GF$169+SwaptionMonthsToGo+SwaptionShift))/SQRT(SUM(INDEX($FO386:$IH386,1+SwaptionShift):INDEX($FO386:$IH386,SwaptionMonthsToGo+SwaptionShift))*SUM(INDEX($FO$325:$IH$396,GF$169,1+SwaptionShift):INDEX($FO$325:$IH$396,GF$169,SwaptionMonthsToGo+SwaptionShift))))))</f>
        <v/>
      </c>
      <c r="GG231" s="469" t="str">
        <f ca="1">IF(OR(GG$169&lt;SwaptionFirstMonthPosition+1,$FN231&lt;SwaptionFirstMonthPosition+1,GG$169&gt;SwaptionFirstMonthPosition+SwaptionNumOfMonths+1,$FN231&gt;SwaptionFirstMonthPosition+SwaptionNumOfMonths+1),"",IF($FN231=GG$169,1,IF($FN231&lt;GG$169,INDEX($FO$170:$IH$241,GG$169,$FN231),SUMPRODUCT(INDEX($FO$325:$IH$396,GG$169,1+SwaptionShift):INDEX($FO$325:$IH$396,GG$169,SwaptionMonthsToGo+SwaptionShift),INDEX($FO$245:$IH$316,$FN231-GG$169,73-GG$169+SwaptionShift):INDEX($FO$245:$IH$316,$FN231-GG$169,72-GG$169+SwaptionMonthsToGo+SwaptionShift))/SQRT(SUM(INDEX($FO386:$IH386,1+SwaptionShift):INDEX($FO386:$IH386,SwaptionMonthsToGo+SwaptionShift))*SUM(INDEX($FO$325:$IH$396,GG$169,1+SwaptionShift):INDEX($FO$325:$IH$396,GG$169,SwaptionMonthsToGo+SwaptionShift))))))</f>
        <v/>
      </c>
      <c r="GH231" s="469" t="str">
        <f ca="1">IF(OR(GH$169&lt;SwaptionFirstMonthPosition+1,$FN231&lt;SwaptionFirstMonthPosition+1,GH$169&gt;SwaptionFirstMonthPosition+SwaptionNumOfMonths+1,$FN231&gt;SwaptionFirstMonthPosition+SwaptionNumOfMonths+1),"",IF($FN231=GH$169,1,IF($FN231&lt;GH$169,INDEX($FO$170:$IH$241,GH$169,$FN231),SUMPRODUCT(INDEX($FO$325:$IH$396,GH$169,1+SwaptionShift):INDEX($FO$325:$IH$396,GH$169,SwaptionMonthsToGo+SwaptionShift),INDEX($FO$245:$IH$316,$FN231-GH$169,73-GH$169+SwaptionShift):INDEX($FO$245:$IH$316,$FN231-GH$169,72-GH$169+SwaptionMonthsToGo+SwaptionShift))/SQRT(SUM(INDEX($FO386:$IH386,1+SwaptionShift):INDEX($FO386:$IH386,SwaptionMonthsToGo+SwaptionShift))*SUM(INDEX($FO$325:$IH$396,GH$169,1+SwaptionShift):INDEX($FO$325:$IH$396,GH$169,SwaptionMonthsToGo+SwaptionShift))))))</f>
        <v/>
      </c>
      <c r="GI231" s="469" t="str">
        <f ca="1">IF(OR(GI$169&lt;SwaptionFirstMonthPosition+1,$FN231&lt;SwaptionFirstMonthPosition+1,GI$169&gt;SwaptionFirstMonthPosition+SwaptionNumOfMonths+1,$FN231&gt;SwaptionFirstMonthPosition+SwaptionNumOfMonths+1),"",IF($FN231=GI$169,1,IF($FN231&lt;GI$169,INDEX($FO$170:$IH$241,GI$169,$FN231),SUMPRODUCT(INDEX($FO$325:$IH$396,GI$169,1+SwaptionShift):INDEX($FO$325:$IH$396,GI$169,SwaptionMonthsToGo+SwaptionShift),INDEX($FO$245:$IH$316,$FN231-GI$169,73-GI$169+SwaptionShift):INDEX($FO$245:$IH$316,$FN231-GI$169,72-GI$169+SwaptionMonthsToGo+SwaptionShift))/SQRT(SUM(INDEX($FO386:$IH386,1+SwaptionShift):INDEX($FO386:$IH386,SwaptionMonthsToGo+SwaptionShift))*SUM(INDEX($FO$325:$IH$396,GI$169,1+SwaptionShift):INDEX($FO$325:$IH$396,GI$169,SwaptionMonthsToGo+SwaptionShift))))))</f>
        <v/>
      </c>
      <c r="GJ231" s="469" t="str">
        <f ca="1">IF(OR(GJ$169&lt;SwaptionFirstMonthPosition+1,$FN231&lt;SwaptionFirstMonthPosition+1,GJ$169&gt;SwaptionFirstMonthPosition+SwaptionNumOfMonths+1,$FN231&gt;SwaptionFirstMonthPosition+SwaptionNumOfMonths+1),"",IF($FN231=GJ$169,1,IF($FN231&lt;GJ$169,INDEX($FO$170:$IH$241,GJ$169,$FN231),SUMPRODUCT(INDEX($FO$325:$IH$396,GJ$169,1+SwaptionShift):INDEX($FO$325:$IH$396,GJ$169,SwaptionMonthsToGo+SwaptionShift),INDEX($FO$245:$IH$316,$FN231-GJ$169,73-GJ$169+SwaptionShift):INDEX($FO$245:$IH$316,$FN231-GJ$169,72-GJ$169+SwaptionMonthsToGo+SwaptionShift))/SQRT(SUM(INDEX($FO386:$IH386,1+SwaptionShift):INDEX($FO386:$IH386,SwaptionMonthsToGo+SwaptionShift))*SUM(INDEX($FO$325:$IH$396,GJ$169,1+SwaptionShift):INDEX($FO$325:$IH$396,GJ$169,SwaptionMonthsToGo+SwaptionShift))))))</f>
        <v/>
      </c>
      <c r="GK231" s="469" t="str">
        <f ca="1">IF(OR(GK$169&lt;SwaptionFirstMonthPosition+1,$FN231&lt;SwaptionFirstMonthPosition+1,GK$169&gt;SwaptionFirstMonthPosition+SwaptionNumOfMonths+1,$FN231&gt;SwaptionFirstMonthPosition+SwaptionNumOfMonths+1),"",IF($FN231=GK$169,1,IF($FN231&lt;GK$169,INDEX($FO$170:$IH$241,GK$169,$FN231),SUMPRODUCT(INDEX($FO$325:$IH$396,GK$169,1+SwaptionShift):INDEX($FO$325:$IH$396,GK$169,SwaptionMonthsToGo+SwaptionShift),INDEX($FO$245:$IH$316,$FN231-GK$169,73-GK$169+SwaptionShift):INDEX($FO$245:$IH$316,$FN231-GK$169,72-GK$169+SwaptionMonthsToGo+SwaptionShift))/SQRT(SUM(INDEX($FO386:$IH386,1+SwaptionShift):INDEX($FO386:$IH386,SwaptionMonthsToGo+SwaptionShift))*SUM(INDEX($FO$325:$IH$396,GK$169,1+SwaptionShift):INDEX($FO$325:$IH$396,GK$169,SwaptionMonthsToGo+SwaptionShift))))))</f>
        <v/>
      </c>
      <c r="GL231" s="469" t="str">
        <f ca="1">IF(OR(GL$169&lt;SwaptionFirstMonthPosition+1,$FN231&lt;SwaptionFirstMonthPosition+1,GL$169&gt;SwaptionFirstMonthPosition+SwaptionNumOfMonths+1,$FN231&gt;SwaptionFirstMonthPosition+SwaptionNumOfMonths+1),"",IF($FN231=GL$169,1,IF($FN231&lt;GL$169,INDEX($FO$170:$IH$241,GL$169,$FN231),SUMPRODUCT(INDEX($FO$325:$IH$396,GL$169,1+SwaptionShift):INDEX($FO$325:$IH$396,GL$169,SwaptionMonthsToGo+SwaptionShift),INDEX($FO$245:$IH$316,$FN231-GL$169,73-GL$169+SwaptionShift):INDEX($FO$245:$IH$316,$FN231-GL$169,72-GL$169+SwaptionMonthsToGo+SwaptionShift))/SQRT(SUM(INDEX($FO386:$IH386,1+SwaptionShift):INDEX($FO386:$IH386,SwaptionMonthsToGo+SwaptionShift))*SUM(INDEX($FO$325:$IH$396,GL$169,1+SwaptionShift):INDEX($FO$325:$IH$396,GL$169,SwaptionMonthsToGo+SwaptionShift))))))</f>
        <v/>
      </c>
      <c r="GM231" s="469" t="str">
        <f ca="1">IF(OR(GM$169&lt;SwaptionFirstMonthPosition+1,$FN231&lt;SwaptionFirstMonthPosition+1,GM$169&gt;SwaptionFirstMonthPosition+SwaptionNumOfMonths+1,$FN231&gt;SwaptionFirstMonthPosition+SwaptionNumOfMonths+1),"",IF($FN231=GM$169,1,IF($FN231&lt;GM$169,INDEX($FO$170:$IH$241,GM$169,$FN231),SUMPRODUCT(INDEX($FO$325:$IH$396,GM$169,1+SwaptionShift):INDEX($FO$325:$IH$396,GM$169,SwaptionMonthsToGo+SwaptionShift),INDEX($FO$245:$IH$316,$FN231-GM$169,73-GM$169+SwaptionShift):INDEX($FO$245:$IH$316,$FN231-GM$169,72-GM$169+SwaptionMonthsToGo+SwaptionShift))/SQRT(SUM(INDEX($FO386:$IH386,1+SwaptionShift):INDEX($FO386:$IH386,SwaptionMonthsToGo+SwaptionShift))*SUM(INDEX($FO$325:$IH$396,GM$169,1+SwaptionShift):INDEX($FO$325:$IH$396,GM$169,SwaptionMonthsToGo+SwaptionShift))))))</f>
        <v/>
      </c>
      <c r="GN231" s="469" t="str">
        <f ca="1">IF(OR(GN$169&lt;SwaptionFirstMonthPosition+1,$FN231&lt;SwaptionFirstMonthPosition+1,GN$169&gt;SwaptionFirstMonthPosition+SwaptionNumOfMonths+1,$FN231&gt;SwaptionFirstMonthPosition+SwaptionNumOfMonths+1),"",IF($FN231=GN$169,1,IF($FN231&lt;GN$169,INDEX($FO$170:$IH$241,GN$169,$FN231),SUMPRODUCT(INDEX($FO$325:$IH$396,GN$169,1+SwaptionShift):INDEX($FO$325:$IH$396,GN$169,SwaptionMonthsToGo+SwaptionShift),INDEX($FO$245:$IH$316,$FN231-GN$169,73-GN$169+SwaptionShift):INDEX($FO$245:$IH$316,$FN231-GN$169,72-GN$169+SwaptionMonthsToGo+SwaptionShift))/SQRT(SUM(INDEX($FO386:$IH386,1+SwaptionShift):INDEX($FO386:$IH386,SwaptionMonthsToGo+SwaptionShift))*SUM(INDEX($FO$325:$IH$396,GN$169,1+SwaptionShift):INDEX($FO$325:$IH$396,GN$169,SwaptionMonthsToGo+SwaptionShift))))))</f>
        <v/>
      </c>
      <c r="GO231" s="469" t="str">
        <f ca="1">IF(OR(GO$169&lt;SwaptionFirstMonthPosition+1,$FN231&lt;SwaptionFirstMonthPosition+1,GO$169&gt;SwaptionFirstMonthPosition+SwaptionNumOfMonths+1,$FN231&gt;SwaptionFirstMonthPosition+SwaptionNumOfMonths+1),"",IF($FN231=GO$169,1,IF($FN231&lt;GO$169,INDEX($FO$170:$IH$241,GO$169,$FN231),SUMPRODUCT(INDEX($FO$325:$IH$396,GO$169,1+SwaptionShift):INDEX($FO$325:$IH$396,GO$169,SwaptionMonthsToGo+SwaptionShift),INDEX($FO$245:$IH$316,$FN231-GO$169,73-GO$169+SwaptionShift):INDEX($FO$245:$IH$316,$FN231-GO$169,72-GO$169+SwaptionMonthsToGo+SwaptionShift))/SQRT(SUM(INDEX($FO386:$IH386,1+SwaptionShift):INDEX($FO386:$IH386,SwaptionMonthsToGo+SwaptionShift))*SUM(INDEX($FO$325:$IH$396,GO$169,1+SwaptionShift):INDEX($FO$325:$IH$396,GO$169,SwaptionMonthsToGo+SwaptionShift))))))</f>
        <v/>
      </c>
      <c r="GP231" s="469" t="str">
        <f ca="1">IF(OR(GP$169&lt;SwaptionFirstMonthPosition+1,$FN231&lt;SwaptionFirstMonthPosition+1,GP$169&gt;SwaptionFirstMonthPosition+SwaptionNumOfMonths+1,$FN231&gt;SwaptionFirstMonthPosition+SwaptionNumOfMonths+1),"",IF($FN231=GP$169,1,IF($FN231&lt;GP$169,INDEX($FO$170:$IH$241,GP$169,$FN231),SUMPRODUCT(INDEX($FO$325:$IH$396,GP$169,1+SwaptionShift):INDEX($FO$325:$IH$396,GP$169,SwaptionMonthsToGo+SwaptionShift),INDEX($FO$245:$IH$316,$FN231-GP$169,73-GP$169+SwaptionShift):INDEX($FO$245:$IH$316,$FN231-GP$169,72-GP$169+SwaptionMonthsToGo+SwaptionShift))/SQRT(SUM(INDEX($FO386:$IH386,1+SwaptionShift):INDEX($FO386:$IH386,SwaptionMonthsToGo+SwaptionShift))*SUM(INDEX($FO$325:$IH$396,GP$169,1+SwaptionShift):INDEX($FO$325:$IH$396,GP$169,SwaptionMonthsToGo+SwaptionShift))))))</f>
        <v/>
      </c>
      <c r="GQ231" s="469" t="str">
        <f ca="1">IF(OR(GQ$169&lt;SwaptionFirstMonthPosition+1,$FN231&lt;SwaptionFirstMonthPosition+1,GQ$169&gt;SwaptionFirstMonthPosition+SwaptionNumOfMonths+1,$FN231&gt;SwaptionFirstMonthPosition+SwaptionNumOfMonths+1),"",IF($FN231=GQ$169,1,IF($FN231&lt;GQ$169,INDEX($FO$170:$IH$241,GQ$169,$FN231),SUMPRODUCT(INDEX($FO$325:$IH$396,GQ$169,1+SwaptionShift):INDEX($FO$325:$IH$396,GQ$169,SwaptionMonthsToGo+SwaptionShift),INDEX($FO$245:$IH$316,$FN231-GQ$169,73-GQ$169+SwaptionShift):INDEX($FO$245:$IH$316,$FN231-GQ$169,72-GQ$169+SwaptionMonthsToGo+SwaptionShift))/SQRT(SUM(INDEX($FO386:$IH386,1+SwaptionShift):INDEX($FO386:$IH386,SwaptionMonthsToGo+SwaptionShift))*SUM(INDEX($FO$325:$IH$396,GQ$169,1+SwaptionShift):INDEX($FO$325:$IH$396,GQ$169,SwaptionMonthsToGo+SwaptionShift))))))</f>
        <v/>
      </c>
      <c r="GR231" s="469" t="str">
        <f ca="1">IF(OR(GR$169&lt;SwaptionFirstMonthPosition+1,$FN231&lt;SwaptionFirstMonthPosition+1,GR$169&gt;SwaptionFirstMonthPosition+SwaptionNumOfMonths+1,$FN231&gt;SwaptionFirstMonthPosition+SwaptionNumOfMonths+1),"",IF($FN231=GR$169,1,IF($FN231&lt;GR$169,INDEX($FO$170:$IH$241,GR$169,$FN231),SUMPRODUCT(INDEX($FO$325:$IH$396,GR$169,1+SwaptionShift):INDEX($FO$325:$IH$396,GR$169,SwaptionMonthsToGo+SwaptionShift),INDEX($FO$245:$IH$316,$FN231-GR$169,73-GR$169+SwaptionShift):INDEX($FO$245:$IH$316,$FN231-GR$169,72-GR$169+SwaptionMonthsToGo+SwaptionShift))/SQRT(SUM(INDEX($FO386:$IH386,1+SwaptionShift):INDEX($FO386:$IH386,SwaptionMonthsToGo+SwaptionShift))*SUM(INDEX($FO$325:$IH$396,GR$169,1+SwaptionShift):INDEX($FO$325:$IH$396,GR$169,SwaptionMonthsToGo+SwaptionShift))))))</f>
        <v/>
      </c>
      <c r="GS231" s="469" t="str">
        <f ca="1">IF(OR(GS$169&lt;SwaptionFirstMonthPosition+1,$FN231&lt;SwaptionFirstMonthPosition+1,GS$169&gt;SwaptionFirstMonthPosition+SwaptionNumOfMonths+1,$FN231&gt;SwaptionFirstMonthPosition+SwaptionNumOfMonths+1),"",IF($FN231=GS$169,1,IF($FN231&lt;GS$169,INDEX($FO$170:$IH$241,GS$169,$FN231),SUMPRODUCT(INDEX($FO$325:$IH$396,GS$169,1+SwaptionShift):INDEX($FO$325:$IH$396,GS$169,SwaptionMonthsToGo+SwaptionShift),INDEX($FO$245:$IH$316,$FN231-GS$169,73-GS$169+SwaptionShift):INDEX($FO$245:$IH$316,$FN231-GS$169,72-GS$169+SwaptionMonthsToGo+SwaptionShift))/SQRT(SUM(INDEX($FO386:$IH386,1+SwaptionShift):INDEX($FO386:$IH386,SwaptionMonthsToGo+SwaptionShift))*SUM(INDEX($FO$325:$IH$396,GS$169,1+SwaptionShift):INDEX($FO$325:$IH$396,GS$169,SwaptionMonthsToGo+SwaptionShift))))))</f>
        <v/>
      </c>
      <c r="GT231" s="469" t="str">
        <f ca="1">IF(OR(GT$169&lt;SwaptionFirstMonthPosition+1,$FN231&lt;SwaptionFirstMonthPosition+1,GT$169&gt;SwaptionFirstMonthPosition+SwaptionNumOfMonths+1,$FN231&gt;SwaptionFirstMonthPosition+SwaptionNumOfMonths+1),"",IF($FN231=GT$169,1,IF($FN231&lt;GT$169,INDEX($FO$170:$IH$241,GT$169,$FN231),SUMPRODUCT(INDEX($FO$325:$IH$396,GT$169,1+SwaptionShift):INDEX($FO$325:$IH$396,GT$169,SwaptionMonthsToGo+SwaptionShift),INDEX($FO$245:$IH$316,$FN231-GT$169,73-GT$169+SwaptionShift):INDEX($FO$245:$IH$316,$FN231-GT$169,72-GT$169+SwaptionMonthsToGo+SwaptionShift))/SQRT(SUM(INDEX($FO386:$IH386,1+SwaptionShift):INDEX($FO386:$IH386,SwaptionMonthsToGo+SwaptionShift))*SUM(INDEX($FO$325:$IH$396,GT$169,1+SwaptionShift):INDEX($FO$325:$IH$396,GT$169,SwaptionMonthsToGo+SwaptionShift))))))</f>
        <v/>
      </c>
      <c r="GU231" s="469" t="str">
        <f ca="1">IF(OR(GU$169&lt;SwaptionFirstMonthPosition+1,$FN231&lt;SwaptionFirstMonthPosition+1,GU$169&gt;SwaptionFirstMonthPosition+SwaptionNumOfMonths+1,$FN231&gt;SwaptionFirstMonthPosition+SwaptionNumOfMonths+1),"",IF($FN231=GU$169,1,IF($FN231&lt;GU$169,INDEX($FO$170:$IH$241,GU$169,$FN231),SUMPRODUCT(INDEX($FO$325:$IH$396,GU$169,1+SwaptionShift):INDEX($FO$325:$IH$396,GU$169,SwaptionMonthsToGo+SwaptionShift),INDEX($FO$245:$IH$316,$FN231-GU$169,73-GU$169+SwaptionShift):INDEX($FO$245:$IH$316,$FN231-GU$169,72-GU$169+SwaptionMonthsToGo+SwaptionShift))/SQRT(SUM(INDEX($FO386:$IH386,1+SwaptionShift):INDEX($FO386:$IH386,SwaptionMonthsToGo+SwaptionShift))*SUM(INDEX($FO$325:$IH$396,GU$169,1+SwaptionShift):INDEX($FO$325:$IH$396,GU$169,SwaptionMonthsToGo+SwaptionShift))))))</f>
        <v/>
      </c>
      <c r="GV231" s="469" t="str">
        <f ca="1">IF(OR(GV$169&lt;SwaptionFirstMonthPosition+1,$FN231&lt;SwaptionFirstMonthPosition+1,GV$169&gt;SwaptionFirstMonthPosition+SwaptionNumOfMonths+1,$FN231&gt;SwaptionFirstMonthPosition+SwaptionNumOfMonths+1),"",IF($FN231=GV$169,1,IF($FN231&lt;GV$169,INDEX($FO$170:$IH$241,GV$169,$FN231),SUMPRODUCT(INDEX($FO$325:$IH$396,GV$169,1+SwaptionShift):INDEX($FO$325:$IH$396,GV$169,SwaptionMonthsToGo+SwaptionShift),INDEX($FO$245:$IH$316,$FN231-GV$169,73-GV$169+SwaptionShift):INDEX($FO$245:$IH$316,$FN231-GV$169,72-GV$169+SwaptionMonthsToGo+SwaptionShift))/SQRT(SUM(INDEX($FO386:$IH386,1+SwaptionShift):INDEX($FO386:$IH386,SwaptionMonthsToGo+SwaptionShift))*SUM(INDEX($FO$325:$IH$396,GV$169,1+SwaptionShift):INDEX($FO$325:$IH$396,GV$169,SwaptionMonthsToGo+SwaptionShift))))))</f>
        <v/>
      </c>
      <c r="GW231" s="469" t="str">
        <f ca="1">IF(OR(GW$169&lt;SwaptionFirstMonthPosition+1,$FN231&lt;SwaptionFirstMonthPosition+1,GW$169&gt;SwaptionFirstMonthPosition+SwaptionNumOfMonths+1,$FN231&gt;SwaptionFirstMonthPosition+SwaptionNumOfMonths+1),"",IF($FN231=GW$169,1,IF($FN231&lt;GW$169,INDEX($FO$170:$IH$241,GW$169,$FN231),SUMPRODUCT(INDEX($FO$325:$IH$396,GW$169,1+SwaptionShift):INDEX($FO$325:$IH$396,GW$169,SwaptionMonthsToGo+SwaptionShift),INDEX($FO$245:$IH$316,$FN231-GW$169,73-GW$169+SwaptionShift):INDEX($FO$245:$IH$316,$FN231-GW$169,72-GW$169+SwaptionMonthsToGo+SwaptionShift))/SQRT(SUM(INDEX($FO386:$IH386,1+SwaptionShift):INDEX($FO386:$IH386,SwaptionMonthsToGo+SwaptionShift))*SUM(INDEX($FO$325:$IH$396,GW$169,1+SwaptionShift):INDEX($FO$325:$IH$396,GW$169,SwaptionMonthsToGo+SwaptionShift))))))</f>
        <v/>
      </c>
      <c r="GX231" s="469" t="str">
        <f ca="1">IF(OR(GX$169&lt;SwaptionFirstMonthPosition+1,$FN231&lt;SwaptionFirstMonthPosition+1,GX$169&gt;SwaptionFirstMonthPosition+SwaptionNumOfMonths+1,$FN231&gt;SwaptionFirstMonthPosition+SwaptionNumOfMonths+1),"",IF($FN231=GX$169,1,IF($FN231&lt;GX$169,INDEX($FO$170:$IH$241,GX$169,$FN231),SUMPRODUCT(INDEX($FO$325:$IH$396,GX$169,1+SwaptionShift):INDEX($FO$325:$IH$396,GX$169,SwaptionMonthsToGo+SwaptionShift),INDEX($FO$245:$IH$316,$FN231-GX$169,73-GX$169+SwaptionShift):INDEX($FO$245:$IH$316,$FN231-GX$169,72-GX$169+SwaptionMonthsToGo+SwaptionShift))/SQRT(SUM(INDEX($FO386:$IH386,1+SwaptionShift):INDEX($FO386:$IH386,SwaptionMonthsToGo+SwaptionShift))*SUM(INDEX($FO$325:$IH$396,GX$169,1+SwaptionShift):INDEX($FO$325:$IH$396,GX$169,SwaptionMonthsToGo+SwaptionShift))))))</f>
        <v/>
      </c>
      <c r="GY231" s="469" t="str">
        <f ca="1">IF(OR(GY$169&lt;SwaptionFirstMonthPosition+1,$FN231&lt;SwaptionFirstMonthPosition+1,GY$169&gt;SwaptionFirstMonthPosition+SwaptionNumOfMonths+1,$FN231&gt;SwaptionFirstMonthPosition+SwaptionNumOfMonths+1),"",IF($FN231=GY$169,1,IF($FN231&lt;GY$169,INDEX($FO$170:$IH$241,GY$169,$FN231),SUMPRODUCT(INDEX($FO$325:$IH$396,GY$169,1+SwaptionShift):INDEX($FO$325:$IH$396,GY$169,SwaptionMonthsToGo+SwaptionShift),INDEX($FO$245:$IH$316,$FN231-GY$169,73-GY$169+SwaptionShift):INDEX($FO$245:$IH$316,$FN231-GY$169,72-GY$169+SwaptionMonthsToGo+SwaptionShift))/SQRT(SUM(INDEX($FO386:$IH386,1+SwaptionShift):INDEX($FO386:$IH386,SwaptionMonthsToGo+SwaptionShift))*SUM(INDEX($FO$325:$IH$396,GY$169,1+SwaptionShift):INDEX($FO$325:$IH$396,GY$169,SwaptionMonthsToGo+SwaptionShift))))))</f>
        <v/>
      </c>
      <c r="GZ231" s="469" t="str">
        <f ca="1">IF(OR(GZ$169&lt;SwaptionFirstMonthPosition+1,$FN231&lt;SwaptionFirstMonthPosition+1,GZ$169&gt;SwaptionFirstMonthPosition+SwaptionNumOfMonths+1,$FN231&gt;SwaptionFirstMonthPosition+SwaptionNumOfMonths+1),"",IF($FN231=GZ$169,1,IF($FN231&lt;GZ$169,INDEX($FO$170:$IH$241,GZ$169,$FN231),SUMPRODUCT(INDEX($FO$325:$IH$396,GZ$169,1+SwaptionShift):INDEX($FO$325:$IH$396,GZ$169,SwaptionMonthsToGo+SwaptionShift),INDEX($FO$245:$IH$316,$FN231-GZ$169,73-GZ$169+SwaptionShift):INDEX($FO$245:$IH$316,$FN231-GZ$169,72-GZ$169+SwaptionMonthsToGo+SwaptionShift))/SQRT(SUM(INDEX($FO386:$IH386,1+SwaptionShift):INDEX($FO386:$IH386,SwaptionMonthsToGo+SwaptionShift))*SUM(INDEX($FO$325:$IH$396,GZ$169,1+SwaptionShift):INDEX($FO$325:$IH$396,GZ$169,SwaptionMonthsToGo+SwaptionShift))))))</f>
        <v/>
      </c>
      <c r="HA231" s="469" t="str">
        <f ca="1">IF(OR(HA$169&lt;SwaptionFirstMonthPosition+1,$FN231&lt;SwaptionFirstMonthPosition+1,HA$169&gt;SwaptionFirstMonthPosition+SwaptionNumOfMonths+1,$FN231&gt;SwaptionFirstMonthPosition+SwaptionNumOfMonths+1),"",IF($FN231=HA$169,1,IF($FN231&lt;HA$169,INDEX($FO$170:$IH$241,HA$169,$FN231),SUMPRODUCT(INDEX($FO$325:$IH$396,HA$169,1+SwaptionShift):INDEX($FO$325:$IH$396,HA$169,SwaptionMonthsToGo+SwaptionShift),INDEX($FO$245:$IH$316,$FN231-HA$169,73-HA$169+SwaptionShift):INDEX($FO$245:$IH$316,$FN231-HA$169,72-HA$169+SwaptionMonthsToGo+SwaptionShift))/SQRT(SUM(INDEX($FO386:$IH386,1+SwaptionShift):INDEX($FO386:$IH386,SwaptionMonthsToGo+SwaptionShift))*SUM(INDEX($FO$325:$IH$396,HA$169,1+SwaptionShift):INDEX($FO$325:$IH$396,HA$169,SwaptionMonthsToGo+SwaptionShift))))))</f>
        <v/>
      </c>
      <c r="HB231" s="469" t="str">
        <f ca="1">IF(OR(HB$169&lt;SwaptionFirstMonthPosition+1,$FN231&lt;SwaptionFirstMonthPosition+1,HB$169&gt;SwaptionFirstMonthPosition+SwaptionNumOfMonths+1,$FN231&gt;SwaptionFirstMonthPosition+SwaptionNumOfMonths+1),"",IF($FN231=HB$169,1,IF($FN231&lt;HB$169,INDEX($FO$170:$IH$241,HB$169,$FN231),SUMPRODUCT(INDEX($FO$325:$IH$396,HB$169,1+SwaptionShift):INDEX($FO$325:$IH$396,HB$169,SwaptionMonthsToGo+SwaptionShift),INDEX($FO$245:$IH$316,$FN231-HB$169,73-HB$169+SwaptionShift):INDEX($FO$245:$IH$316,$FN231-HB$169,72-HB$169+SwaptionMonthsToGo+SwaptionShift))/SQRT(SUM(INDEX($FO386:$IH386,1+SwaptionShift):INDEX($FO386:$IH386,SwaptionMonthsToGo+SwaptionShift))*SUM(INDEX($FO$325:$IH$396,HB$169,1+SwaptionShift):INDEX($FO$325:$IH$396,HB$169,SwaptionMonthsToGo+SwaptionShift))))))</f>
        <v/>
      </c>
      <c r="HC231" s="469" t="str">
        <f ca="1">IF(OR(HC$169&lt;SwaptionFirstMonthPosition+1,$FN231&lt;SwaptionFirstMonthPosition+1,HC$169&gt;SwaptionFirstMonthPosition+SwaptionNumOfMonths+1,$FN231&gt;SwaptionFirstMonthPosition+SwaptionNumOfMonths+1),"",IF($FN231=HC$169,1,IF($FN231&lt;HC$169,INDEX($FO$170:$IH$241,HC$169,$FN231),SUMPRODUCT(INDEX($FO$325:$IH$396,HC$169,1+SwaptionShift):INDEX($FO$325:$IH$396,HC$169,SwaptionMonthsToGo+SwaptionShift),INDEX($FO$245:$IH$316,$FN231-HC$169,73-HC$169+SwaptionShift):INDEX($FO$245:$IH$316,$FN231-HC$169,72-HC$169+SwaptionMonthsToGo+SwaptionShift))/SQRT(SUM(INDEX($FO386:$IH386,1+SwaptionShift):INDEX($FO386:$IH386,SwaptionMonthsToGo+SwaptionShift))*SUM(INDEX($FO$325:$IH$396,HC$169,1+SwaptionShift):INDEX($FO$325:$IH$396,HC$169,SwaptionMonthsToGo+SwaptionShift))))))</f>
        <v/>
      </c>
      <c r="HD231" s="469" t="str">
        <f ca="1">IF(OR(HD$169&lt;SwaptionFirstMonthPosition+1,$FN231&lt;SwaptionFirstMonthPosition+1,HD$169&gt;SwaptionFirstMonthPosition+SwaptionNumOfMonths+1,$FN231&gt;SwaptionFirstMonthPosition+SwaptionNumOfMonths+1),"",IF($FN231=HD$169,1,IF($FN231&lt;HD$169,INDEX($FO$170:$IH$241,HD$169,$FN231),SUMPRODUCT(INDEX($FO$325:$IH$396,HD$169,1+SwaptionShift):INDEX($FO$325:$IH$396,HD$169,SwaptionMonthsToGo+SwaptionShift),INDEX($FO$245:$IH$316,$FN231-HD$169,73-HD$169+SwaptionShift):INDEX($FO$245:$IH$316,$FN231-HD$169,72-HD$169+SwaptionMonthsToGo+SwaptionShift))/SQRT(SUM(INDEX($FO386:$IH386,1+SwaptionShift):INDEX($FO386:$IH386,SwaptionMonthsToGo+SwaptionShift))*SUM(INDEX($FO$325:$IH$396,HD$169,1+SwaptionShift):INDEX($FO$325:$IH$396,HD$169,SwaptionMonthsToGo+SwaptionShift))))))</f>
        <v/>
      </c>
      <c r="HE231" s="469" t="str">
        <f ca="1">IF(OR(HE$169&lt;SwaptionFirstMonthPosition+1,$FN231&lt;SwaptionFirstMonthPosition+1,HE$169&gt;SwaptionFirstMonthPosition+SwaptionNumOfMonths+1,$FN231&gt;SwaptionFirstMonthPosition+SwaptionNumOfMonths+1),"",IF($FN231=HE$169,1,IF($FN231&lt;HE$169,INDEX($FO$170:$IH$241,HE$169,$FN231),SUMPRODUCT(INDEX($FO$325:$IH$396,HE$169,1+SwaptionShift):INDEX($FO$325:$IH$396,HE$169,SwaptionMonthsToGo+SwaptionShift),INDEX($FO$245:$IH$316,$FN231-HE$169,73-HE$169+SwaptionShift):INDEX($FO$245:$IH$316,$FN231-HE$169,72-HE$169+SwaptionMonthsToGo+SwaptionShift))/SQRT(SUM(INDEX($FO386:$IH386,1+SwaptionShift):INDEX($FO386:$IH386,SwaptionMonthsToGo+SwaptionShift))*SUM(INDEX($FO$325:$IH$396,HE$169,1+SwaptionShift):INDEX($FO$325:$IH$396,HE$169,SwaptionMonthsToGo+SwaptionShift))))))</f>
        <v/>
      </c>
      <c r="HF231" s="469" t="str">
        <f ca="1">IF(OR(HF$169&lt;SwaptionFirstMonthPosition+1,$FN231&lt;SwaptionFirstMonthPosition+1,HF$169&gt;SwaptionFirstMonthPosition+SwaptionNumOfMonths+1,$FN231&gt;SwaptionFirstMonthPosition+SwaptionNumOfMonths+1),"",IF($FN231=HF$169,1,IF($FN231&lt;HF$169,INDEX($FO$170:$IH$241,HF$169,$FN231),SUMPRODUCT(INDEX($FO$325:$IH$396,HF$169,1+SwaptionShift):INDEX($FO$325:$IH$396,HF$169,SwaptionMonthsToGo+SwaptionShift),INDEX($FO$245:$IH$316,$FN231-HF$169,73-HF$169+SwaptionShift):INDEX($FO$245:$IH$316,$FN231-HF$169,72-HF$169+SwaptionMonthsToGo+SwaptionShift))/SQRT(SUM(INDEX($FO386:$IH386,1+SwaptionShift):INDEX($FO386:$IH386,SwaptionMonthsToGo+SwaptionShift))*SUM(INDEX($FO$325:$IH$396,HF$169,1+SwaptionShift):INDEX($FO$325:$IH$396,HF$169,SwaptionMonthsToGo+SwaptionShift))))))</f>
        <v/>
      </c>
      <c r="HG231" s="469" t="str">
        <f ca="1">IF(OR(HG$169&lt;SwaptionFirstMonthPosition+1,$FN231&lt;SwaptionFirstMonthPosition+1,HG$169&gt;SwaptionFirstMonthPosition+SwaptionNumOfMonths+1,$FN231&gt;SwaptionFirstMonthPosition+SwaptionNumOfMonths+1),"",IF($FN231=HG$169,1,IF($FN231&lt;HG$169,INDEX($FO$170:$IH$241,HG$169,$FN231),SUMPRODUCT(INDEX($FO$325:$IH$396,HG$169,1+SwaptionShift):INDEX($FO$325:$IH$396,HG$169,SwaptionMonthsToGo+SwaptionShift),INDEX($FO$245:$IH$316,$FN231-HG$169,73-HG$169+SwaptionShift):INDEX($FO$245:$IH$316,$FN231-HG$169,72-HG$169+SwaptionMonthsToGo+SwaptionShift))/SQRT(SUM(INDEX($FO386:$IH386,1+SwaptionShift):INDEX($FO386:$IH386,SwaptionMonthsToGo+SwaptionShift))*SUM(INDEX($FO$325:$IH$396,HG$169,1+SwaptionShift):INDEX($FO$325:$IH$396,HG$169,SwaptionMonthsToGo+SwaptionShift))))))</f>
        <v/>
      </c>
      <c r="HH231" s="469" t="str">
        <f ca="1">IF(OR(HH$169&lt;SwaptionFirstMonthPosition+1,$FN231&lt;SwaptionFirstMonthPosition+1,HH$169&gt;SwaptionFirstMonthPosition+SwaptionNumOfMonths+1,$FN231&gt;SwaptionFirstMonthPosition+SwaptionNumOfMonths+1),"",IF($FN231=HH$169,1,IF($FN231&lt;HH$169,INDEX($FO$170:$IH$241,HH$169,$FN231),SUMPRODUCT(INDEX($FO$325:$IH$396,HH$169,1+SwaptionShift):INDEX($FO$325:$IH$396,HH$169,SwaptionMonthsToGo+SwaptionShift),INDEX($FO$245:$IH$316,$FN231-HH$169,73-HH$169+SwaptionShift):INDEX($FO$245:$IH$316,$FN231-HH$169,72-HH$169+SwaptionMonthsToGo+SwaptionShift))/SQRT(SUM(INDEX($FO386:$IH386,1+SwaptionShift):INDEX($FO386:$IH386,SwaptionMonthsToGo+SwaptionShift))*SUM(INDEX($FO$325:$IH$396,HH$169,1+SwaptionShift):INDEX($FO$325:$IH$396,HH$169,SwaptionMonthsToGo+SwaptionShift))))))</f>
        <v/>
      </c>
      <c r="HI231" s="469" t="str">
        <f ca="1">IF(OR(HI$169&lt;SwaptionFirstMonthPosition+1,$FN231&lt;SwaptionFirstMonthPosition+1,HI$169&gt;SwaptionFirstMonthPosition+SwaptionNumOfMonths+1,$FN231&gt;SwaptionFirstMonthPosition+SwaptionNumOfMonths+1),"",IF($FN231=HI$169,1,IF($FN231&lt;HI$169,INDEX($FO$170:$IH$241,HI$169,$FN231),SUMPRODUCT(INDEX($FO$325:$IH$396,HI$169,1+SwaptionShift):INDEX($FO$325:$IH$396,HI$169,SwaptionMonthsToGo+SwaptionShift),INDEX($FO$245:$IH$316,$FN231-HI$169,73-HI$169+SwaptionShift):INDEX($FO$245:$IH$316,$FN231-HI$169,72-HI$169+SwaptionMonthsToGo+SwaptionShift))/SQRT(SUM(INDEX($FO386:$IH386,1+SwaptionShift):INDEX($FO386:$IH386,SwaptionMonthsToGo+SwaptionShift))*SUM(INDEX($FO$325:$IH$396,HI$169,1+SwaptionShift):INDEX($FO$325:$IH$396,HI$169,SwaptionMonthsToGo+SwaptionShift))))))</f>
        <v/>
      </c>
      <c r="HJ231" s="469" t="str">
        <f ca="1">IF(OR(HJ$169&lt;SwaptionFirstMonthPosition+1,$FN231&lt;SwaptionFirstMonthPosition+1,HJ$169&gt;SwaptionFirstMonthPosition+SwaptionNumOfMonths+1,$FN231&gt;SwaptionFirstMonthPosition+SwaptionNumOfMonths+1),"",IF($FN231=HJ$169,1,IF($FN231&lt;HJ$169,INDEX($FO$170:$IH$241,HJ$169,$FN231),SUMPRODUCT(INDEX($FO$325:$IH$396,HJ$169,1+SwaptionShift):INDEX($FO$325:$IH$396,HJ$169,SwaptionMonthsToGo+SwaptionShift),INDEX($FO$245:$IH$316,$FN231-HJ$169,73-HJ$169+SwaptionShift):INDEX($FO$245:$IH$316,$FN231-HJ$169,72-HJ$169+SwaptionMonthsToGo+SwaptionShift))/SQRT(SUM(INDEX($FO386:$IH386,1+SwaptionShift):INDEX($FO386:$IH386,SwaptionMonthsToGo+SwaptionShift))*SUM(INDEX($FO$325:$IH$396,HJ$169,1+SwaptionShift):INDEX($FO$325:$IH$396,HJ$169,SwaptionMonthsToGo+SwaptionShift))))))</f>
        <v/>
      </c>
      <c r="HK231" s="469" t="str">
        <f ca="1">IF(OR(HK$169&lt;SwaptionFirstMonthPosition+1,$FN231&lt;SwaptionFirstMonthPosition+1,HK$169&gt;SwaptionFirstMonthPosition+SwaptionNumOfMonths+1,$FN231&gt;SwaptionFirstMonthPosition+SwaptionNumOfMonths+1),"",IF($FN231=HK$169,1,IF($FN231&lt;HK$169,INDEX($FO$170:$IH$241,HK$169,$FN231),SUMPRODUCT(INDEX($FO$325:$IH$396,HK$169,1+SwaptionShift):INDEX($FO$325:$IH$396,HK$169,SwaptionMonthsToGo+SwaptionShift),INDEX($FO$245:$IH$316,$FN231-HK$169,73-HK$169+SwaptionShift):INDEX($FO$245:$IH$316,$FN231-HK$169,72-HK$169+SwaptionMonthsToGo+SwaptionShift))/SQRT(SUM(INDEX($FO386:$IH386,1+SwaptionShift):INDEX($FO386:$IH386,SwaptionMonthsToGo+SwaptionShift))*SUM(INDEX($FO$325:$IH$396,HK$169,1+SwaptionShift):INDEX($FO$325:$IH$396,HK$169,SwaptionMonthsToGo+SwaptionShift))))))</f>
        <v/>
      </c>
      <c r="HL231" s="469" t="str">
        <f ca="1">IF(OR(HL$169&lt;SwaptionFirstMonthPosition+1,$FN231&lt;SwaptionFirstMonthPosition+1,HL$169&gt;SwaptionFirstMonthPosition+SwaptionNumOfMonths+1,$FN231&gt;SwaptionFirstMonthPosition+SwaptionNumOfMonths+1),"",IF($FN231=HL$169,1,IF($FN231&lt;HL$169,INDEX($FO$170:$IH$241,HL$169,$FN231),SUMPRODUCT(INDEX($FO$325:$IH$396,HL$169,1+SwaptionShift):INDEX($FO$325:$IH$396,HL$169,SwaptionMonthsToGo+SwaptionShift),INDEX($FO$245:$IH$316,$FN231-HL$169,73-HL$169+SwaptionShift):INDEX($FO$245:$IH$316,$FN231-HL$169,72-HL$169+SwaptionMonthsToGo+SwaptionShift))/SQRT(SUM(INDEX($FO386:$IH386,1+SwaptionShift):INDEX($FO386:$IH386,SwaptionMonthsToGo+SwaptionShift))*SUM(INDEX($FO$325:$IH$396,HL$169,1+SwaptionShift):INDEX($FO$325:$IH$396,HL$169,SwaptionMonthsToGo+SwaptionShift))))))</f>
        <v/>
      </c>
      <c r="HM231" s="469" t="str">
        <f ca="1">IF(OR(HM$169&lt;SwaptionFirstMonthPosition+1,$FN231&lt;SwaptionFirstMonthPosition+1,HM$169&gt;SwaptionFirstMonthPosition+SwaptionNumOfMonths+1,$FN231&gt;SwaptionFirstMonthPosition+SwaptionNumOfMonths+1),"",IF($FN231=HM$169,1,IF($FN231&lt;HM$169,INDEX($FO$170:$IH$241,HM$169,$FN231),SUMPRODUCT(INDEX($FO$325:$IH$396,HM$169,1+SwaptionShift):INDEX($FO$325:$IH$396,HM$169,SwaptionMonthsToGo+SwaptionShift),INDEX($FO$245:$IH$316,$FN231-HM$169,73-HM$169+SwaptionShift):INDEX($FO$245:$IH$316,$FN231-HM$169,72-HM$169+SwaptionMonthsToGo+SwaptionShift))/SQRT(SUM(INDEX($FO386:$IH386,1+SwaptionShift):INDEX($FO386:$IH386,SwaptionMonthsToGo+SwaptionShift))*SUM(INDEX($FO$325:$IH$396,HM$169,1+SwaptionShift):INDEX($FO$325:$IH$396,HM$169,SwaptionMonthsToGo+SwaptionShift))))))</f>
        <v/>
      </c>
      <c r="HN231" s="469" t="str">
        <f ca="1">IF(OR(HN$169&lt;SwaptionFirstMonthPosition+1,$FN231&lt;SwaptionFirstMonthPosition+1,HN$169&gt;SwaptionFirstMonthPosition+SwaptionNumOfMonths+1,$FN231&gt;SwaptionFirstMonthPosition+SwaptionNumOfMonths+1),"",IF($FN231=HN$169,1,IF($FN231&lt;HN$169,INDEX($FO$170:$IH$241,HN$169,$FN231),SUMPRODUCT(INDEX($FO$325:$IH$396,HN$169,1+SwaptionShift):INDEX($FO$325:$IH$396,HN$169,SwaptionMonthsToGo+SwaptionShift),INDEX($FO$245:$IH$316,$FN231-HN$169,73-HN$169+SwaptionShift):INDEX($FO$245:$IH$316,$FN231-HN$169,72-HN$169+SwaptionMonthsToGo+SwaptionShift))/SQRT(SUM(INDEX($FO386:$IH386,1+SwaptionShift):INDEX($FO386:$IH386,SwaptionMonthsToGo+SwaptionShift))*SUM(INDEX($FO$325:$IH$396,HN$169,1+SwaptionShift):INDEX($FO$325:$IH$396,HN$169,SwaptionMonthsToGo+SwaptionShift))))))</f>
        <v/>
      </c>
      <c r="HO231" s="469" t="str">
        <f ca="1">IF(OR(HO$169&lt;SwaptionFirstMonthPosition+1,$FN231&lt;SwaptionFirstMonthPosition+1,HO$169&gt;SwaptionFirstMonthPosition+SwaptionNumOfMonths+1,$FN231&gt;SwaptionFirstMonthPosition+SwaptionNumOfMonths+1),"",IF($FN231=HO$169,1,IF($FN231&lt;HO$169,INDEX($FO$170:$IH$241,HO$169,$FN231),SUMPRODUCT(INDEX($FO$325:$IH$396,HO$169,1+SwaptionShift):INDEX($FO$325:$IH$396,HO$169,SwaptionMonthsToGo+SwaptionShift),INDEX($FO$245:$IH$316,$FN231-HO$169,73-HO$169+SwaptionShift):INDEX($FO$245:$IH$316,$FN231-HO$169,72-HO$169+SwaptionMonthsToGo+SwaptionShift))/SQRT(SUM(INDEX($FO386:$IH386,1+SwaptionShift):INDEX($FO386:$IH386,SwaptionMonthsToGo+SwaptionShift))*SUM(INDEX($FO$325:$IH$396,HO$169,1+SwaptionShift):INDEX($FO$325:$IH$396,HO$169,SwaptionMonthsToGo+SwaptionShift))))))</f>
        <v/>
      </c>
      <c r="HP231" s="469" t="str">
        <f ca="1">IF(OR(HP$169&lt;SwaptionFirstMonthPosition+1,$FN231&lt;SwaptionFirstMonthPosition+1,HP$169&gt;SwaptionFirstMonthPosition+SwaptionNumOfMonths+1,$FN231&gt;SwaptionFirstMonthPosition+SwaptionNumOfMonths+1),"",IF($FN231=HP$169,1,IF($FN231&lt;HP$169,INDEX($FO$170:$IH$241,HP$169,$FN231),SUMPRODUCT(INDEX($FO$325:$IH$396,HP$169,1+SwaptionShift):INDEX($FO$325:$IH$396,HP$169,SwaptionMonthsToGo+SwaptionShift),INDEX($FO$245:$IH$316,$FN231-HP$169,73-HP$169+SwaptionShift):INDEX($FO$245:$IH$316,$FN231-HP$169,72-HP$169+SwaptionMonthsToGo+SwaptionShift))/SQRT(SUM(INDEX($FO386:$IH386,1+SwaptionShift):INDEX($FO386:$IH386,SwaptionMonthsToGo+SwaptionShift))*SUM(INDEX($FO$325:$IH$396,HP$169,1+SwaptionShift):INDEX($FO$325:$IH$396,HP$169,SwaptionMonthsToGo+SwaptionShift))))))</f>
        <v/>
      </c>
      <c r="HQ231" s="469" t="str">
        <f ca="1">IF(OR(HQ$169&lt;SwaptionFirstMonthPosition+1,$FN231&lt;SwaptionFirstMonthPosition+1,HQ$169&gt;SwaptionFirstMonthPosition+SwaptionNumOfMonths+1,$FN231&gt;SwaptionFirstMonthPosition+SwaptionNumOfMonths+1),"",IF($FN231=HQ$169,1,IF($FN231&lt;HQ$169,INDEX($FO$170:$IH$241,HQ$169,$FN231),SUMPRODUCT(INDEX($FO$325:$IH$396,HQ$169,1+SwaptionShift):INDEX($FO$325:$IH$396,HQ$169,SwaptionMonthsToGo+SwaptionShift),INDEX($FO$245:$IH$316,$FN231-HQ$169,73-HQ$169+SwaptionShift):INDEX($FO$245:$IH$316,$FN231-HQ$169,72-HQ$169+SwaptionMonthsToGo+SwaptionShift))/SQRT(SUM(INDEX($FO386:$IH386,1+SwaptionShift):INDEX($FO386:$IH386,SwaptionMonthsToGo+SwaptionShift))*SUM(INDEX($FO$325:$IH$396,HQ$169,1+SwaptionShift):INDEX($FO$325:$IH$396,HQ$169,SwaptionMonthsToGo+SwaptionShift))))))</f>
        <v/>
      </c>
      <c r="HR231" s="469" t="str">
        <f ca="1">IF(OR(HR$169&lt;SwaptionFirstMonthPosition+1,$FN231&lt;SwaptionFirstMonthPosition+1,HR$169&gt;SwaptionFirstMonthPosition+SwaptionNumOfMonths+1,$FN231&gt;SwaptionFirstMonthPosition+SwaptionNumOfMonths+1),"",IF($FN231=HR$169,1,IF($FN231&lt;HR$169,INDEX($FO$170:$IH$241,HR$169,$FN231),SUMPRODUCT(INDEX($FO$325:$IH$396,HR$169,1+SwaptionShift):INDEX($FO$325:$IH$396,HR$169,SwaptionMonthsToGo+SwaptionShift),INDEX($FO$245:$IH$316,$FN231-HR$169,73-HR$169+SwaptionShift):INDEX($FO$245:$IH$316,$FN231-HR$169,72-HR$169+SwaptionMonthsToGo+SwaptionShift))/SQRT(SUM(INDEX($FO386:$IH386,1+SwaptionShift):INDEX($FO386:$IH386,SwaptionMonthsToGo+SwaptionShift))*SUM(INDEX($FO$325:$IH$396,HR$169,1+SwaptionShift):INDEX($FO$325:$IH$396,HR$169,SwaptionMonthsToGo+SwaptionShift))))))</f>
        <v/>
      </c>
      <c r="HS231" s="469" t="str">
        <f ca="1">IF(OR(HS$169&lt;SwaptionFirstMonthPosition+1,$FN231&lt;SwaptionFirstMonthPosition+1,HS$169&gt;SwaptionFirstMonthPosition+SwaptionNumOfMonths+1,$FN231&gt;SwaptionFirstMonthPosition+SwaptionNumOfMonths+1),"",IF($FN231=HS$169,1,IF($FN231&lt;HS$169,INDEX($FO$170:$IH$241,HS$169,$FN231),SUMPRODUCT(INDEX($FO$325:$IH$396,HS$169,1+SwaptionShift):INDEX($FO$325:$IH$396,HS$169,SwaptionMonthsToGo+SwaptionShift),INDEX($FO$245:$IH$316,$FN231-HS$169,73-HS$169+SwaptionShift):INDEX($FO$245:$IH$316,$FN231-HS$169,72-HS$169+SwaptionMonthsToGo+SwaptionShift))/SQRT(SUM(INDEX($FO386:$IH386,1+SwaptionShift):INDEX($FO386:$IH386,SwaptionMonthsToGo+SwaptionShift))*SUM(INDEX($FO$325:$IH$396,HS$169,1+SwaptionShift):INDEX($FO$325:$IH$396,HS$169,SwaptionMonthsToGo+SwaptionShift))))))</f>
        <v/>
      </c>
      <c r="HT231" s="469" t="str">
        <f ca="1">IF(OR(HT$169&lt;SwaptionFirstMonthPosition+1,$FN231&lt;SwaptionFirstMonthPosition+1,HT$169&gt;SwaptionFirstMonthPosition+SwaptionNumOfMonths+1,$FN231&gt;SwaptionFirstMonthPosition+SwaptionNumOfMonths+1),"",IF($FN231=HT$169,1,IF($FN231&lt;HT$169,INDEX($FO$170:$IH$241,HT$169,$FN231),SUMPRODUCT(INDEX($FO$325:$IH$396,HT$169,1+SwaptionShift):INDEX($FO$325:$IH$396,HT$169,SwaptionMonthsToGo+SwaptionShift),INDEX($FO$245:$IH$316,$FN231-HT$169,73-HT$169+SwaptionShift):INDEX($FO$245:$IH$316,$FN231-HT$169,72-HT$169+SwaptionMonthsToGo+SwaptionShift))/SQRT(SUM(INDEX($FO386:$IH386,1+SwaptionShift):INDEX($FO386:$IH386,SwaptionMonthsToGo+SwaptionShift))*SUM(INDEX($FO$325:$IH$396,HT$169,1+SwaptionShift):INDEX($FO$325:$IH$396,HT$169,SwaptionMonthsToGo+SwaptionShift))))))</f>
        <v/>
      </c>
      <c r="HU231" s="469" t="str">
        <f ca="1">IF(OR(HU$169&lt;SwaptionFirstMonthPosition+1,$FN231&lt;SwaptionFirstMonthPosition+1,HU$169&gt;SwaptionFirstMonthPosition+SwaptionNumOfMonths+1,$FN231&gt;SwaptionFirstMonthPosition+SwaptionNumOfMonths+1),"",IF($FN231=HU$169,1,IF($FN231&lt;HU$169,INDEX($FO$170:$IH$241,HU$169,$FN231),SUMPRODUCT(INDEX($FO$325:$IH$396,HU$169,1+SwaptionShift):INDEX($FO$325:$IH$396,HU$169,SwaptionMonthsToGo+SwaptionShift),INDEX($FO$245:$IH$316,$FN231-HU$169,73-HU$169+SwaptionShift):INDEX($FO$245:$IH$316,$FN231-HU$169,72-HU$169+SwaptionMonthsToGo+SwaptionShift))/SQRT(SUM(INDEX($FO386:$IH386,1+SwaptionShift):INDEX($FO386:$IH386,SwaptionMonthsToGo+SwaptionShift))*SUM(INDEX($FO$325:$IH$396,HU$169,1+SwaptionShift):INDEX($FO$325:$IH$396,HU$169,SwaptionMonthsToGo+SwaptionShift))))))</f>
        <v/>
      </c>
      <c r="HV231" s="469" t="str">
        <f ca="1">IF(OR(HV$169&lt;SwaptionFirstMonthPosition+1,$FN231&lt;SwaptionFirstMonthPosition+1,HV$169&gt;SwaptionFirstMonthPosition+SwaptionNumOfMonths+1,$FN231&gt;SwaptionFirstMonthPosition+SwaptionNumOfMonths+1),"",IF($FN231=HV$169,1,IF($FN231&lt;HV$169,INDEX($FO$170:$IH$241,HV$169,$FN231),SUMPRODUCT(INDEX($FO$325:$IH$396,HV$169,1+SwaptionShift):INDEX($FO$325:$IH$396,HV$169,SwaptionMonthsToGo+SwaptionShift),INDEX($FO$245:$IH$316,$FN231-HV$169,73-HV$169+SwaptionShift):INDEX($FO$245:$IH$316,$FN231-HV$169,72-HV$169+SwaptionMonthsToGo+SwaptionShift))/SQRT(SUM(INDEX($FO386:$IH386,1+SwaptionShift):INDEX($FO386:$IH386,SwaptionMonthsToGo+SwaptionShift))*SUM(INDEX($FO$325:$IH$396,HV$169,1+SwaptionShift):INDEX($FO$325:$IH$396,HV$169,SwaptionMonthsToGo+SwaptionShift))))))</f>
        <v/>
      </c>
      <c r="HW231" s="469" t="str">
        <f ca="1">IF(OR(HW$169&lt;SwaptionFirstMonthPosition+1,$FN231&lt;SwaptionFirstMonthPosition+1,HW$169&gt;SwaptionFirstMonthPosition+SwaptionNumOfMonths+1,$FN231&gt;SwaptionFirstMonthPosition+SwaptionNumOfMonths+1),"",IF($FN231=HW$169,1,IF($FN231&lt;HW$169,INDEX($FO$170:$IH$241,HW$169,$FN231),SUMPRODUCT(INDEX($FO$325:$IH$396,HW$169,1+SwaptionShift):INDEX($FO$325:$IH$396,HW$169,SwaptionMonthsToGo+SwaptionShift),INDEX($FO$245:$IH$316,$FN231-HW$169,73-HW$169+SwaptionShift):INDEX($FO$245:$IH$316,$FN231-HW$169,72-HW$169+SwaptionMonthsToGo+SwaptionShift))/SQRT(SUM(INDEX($FO386:$IH386,1+SwaptionShift):INDEX($FO386:$IH386,SwaptionMonthsToGo+SwaptionShift))*SUM(INDEX($FO$325:$IH$396,HW$169,1+SwaptionShift):INDEX($FO$325:$IH$396,HW$169,SwaptionMonthsToGo+SwaptionShift))))))</f>
        <v/>
      </c>
      <c r="HX231" s="469" t="str">
        <f ca="1">IF(OR(HX$169&lt;SwaptionFirstMonthPosition+1,$FN231&lt;SwaptionFirstMonthPosition+1,HX$169&gt;SwaptionFirstMonthPosition+SwaptionNumOfMonths+1,$FN231&gt;SwaptionFirstMonthPosition+SwaptionNumOfMonths+1),"",IF($FN231=HX$169,1,IF($FN231&lt;HX$169,INDEX($FO$170:$IH$241,HX$169,$FN231),SUMPRODUCT(INDEX($FO$325:$IH$396,HX$169,1+SwaptionShift):INDEX($FO$325:$IH$396,HX$169,SwaptionMonthsToGo+SwaptionShift),INDEX($FO$245:$IH$316,$FN231-HX$169,73-HX$169+SwaptionShift):INDEX($FO$245:$IH$316,$FN231-HX$169,72-HX$169+SwaptionMonthsToGo+SwaptionShift))/SQRT(SUM(INDEX($FO386:$IH386,1+SwaptionShift):INDEX($FO386:$IH386,SwaptionMonthsToGo+SwaptionShift))*SUM(INDEX($FO$325:$IH$396,HX$169,1+SwaptionShift):INDEX($FO$325:$IH$396,HX$169,SwaptionMonthsToGo+SwaptionShift))))))</f>
        <v/>
      </c>
      <c r="HY231" s="469" t="str">
        <f ca="1">IF(OR(HY$169&lt;SwaptionFirstMonthPosition+1,$FN231&lt;SwaptionFirstMonthPosition+1,HY$169&gt;SwaptionFirstMonthPosition+SwaptionNumOfMonths+1,$FN231&gt;SwaptionFirstMonthPosition+SwaptionNumOfMonths+1),"",IF($FN231=HY$169,1,IF($FN231&lt;HY$169,INDEX($FO$170:$IH$241,HY$169,$FN231),SUMPRODUCT(INDEX($FO$325:$IH$396,HY$169,1+SwaptionShift):INDEX($FO$325:$IH$396,HY$169,SwaptionMonthsToGo+SwaptionShift),INDEX($FO$245:$IH$316,$FN231-HY$169,73-HY$169+SwaptionShift):INDEX($FO$245:$IH$316,$FN231-HY$169,72-HY$169+SwaptionMonthsToGo+SwaptionShift))/SQRT(SUM(INDEX($FO386:$IH386,1+SwaptionShift):INDEX($FO386:$IH386,SwaptionMonthsToGo+SwaptionShift))*SUM(INDEX($FO$325:$IH$396,HY$169,1+SwaptionShift):INDEX($FO$325:$IH$396,HY$169,SwaptionMonthsToGo+SwaptionShift))))))</f>
        <v/>
      </c>
      <c r="HZ231" s="469" t="str">
        <f ca="1">IF(OR(HZ$169&lt;SwaptionFirstMonthPosition+1,$FN231&lt;SwaptionFirstMonthPosition+1,HZ$169&gt;SwaptionFirstMonthPosition+SwaptionNumOfMonths+1,$FN231&gt;SwaptionFirstMonthPosition+SwaptionNumOfMonths+1),"",IF($FN231=HZ$169,1,IF($FN231&lt;HZ$169,INDEX($FO$170:$IH$241,HZ$169,$FN231),SUMPRODUCT(INDEX($FO$325:$IH$396,HZ$169,1+SwaptionShift):INDEX($FO$325:$IH$396,HZ$169,SwaptionMonthsToGo+SwaptionShift),INDEX($FO$245:$IH$316,$FN231-HZ$169,73-HZ$169+SwaptionShift):INDEX($FO$245:$IH$316,$FN231-HZ$169,72-HZ$169+SwaptionMonthsToGo+SwaptionShift))/SQRT(SUM(INDEX($FO386:$IH386,1+SwaptionShift):INDEX($FO386:$IH386,SwaptionMonthsToGo+SwaptionShift))*SUM(INDEX($FO$325:$IH$396,HZ$169,1+SwaptionShift):INDEX($FO$325:$IH$396,HZ$169,SwaptionMonthsToGo+SwaptionShift))))))</f>
        <v/>
      </c>
      <c r="IA231" s="469" t="str">
        <f ca="1">IF(OR(IA$169&lt;SwaptionFirstMonthPosition+1,$FN231&lt;SwaptionFirstMonthPosition+1,IA$169&gt;SwaptionFirstMonthPosition+SwaptionNumOfMonths+1,$FN231&gt;SwaptionFirstMonthPosition+SwaptionNumOfMonths+1),"",IF($FN231=IA$169,1,IF($FN231&lt;IA$169,INDEX($FO$170:$IH$241,IA$169,$FN231),SUMPRODUCT(INDEX($FO$325:$IH$396,IA$169,1+SwaptionShift):INDEX($FO$325:$IH$396,IA$169,SwaptionMonthsToGo+SwaptionShift),INDEX($FO$245:$IH$316,$FN231-IA$169,73-IA$169+SwaptionShift):INDEX($FO$245:$IH$316,$FN231-IA$169,72-IA$169+SwaptionMonthsToGo+SwaptionShift))/SQRT(SUM(INDEX($FO386:$IH386,1+SwaptionShift):INDEX($FO386:$IH386,SwaptionMonthsToGo+SwaptionShift))*SUM(INDEX($FO$325:$IH$396,IA$169,1+SwaptionShift):INDEX($FO$325:$IH$396,IA$169,SwaptionMonthsToGo+SwaptionShift))))))</f>
        <v/>
      </c>
      <c r="IB231" s="469" t="str">
        <f ca="1">IF(OR(IB$169&lt;SwaptionFirstMonthPosition+1,$FN231&lt;SwaptionFirstMonthPosition+1,IB$169&gt;SwaptionFirstMonthPosition+SwaptionNumOfMonths+1,$FN231&gt;SwaptionFirstMonthPosition+SwaptionNumOfMonths+1),"",IF($FN231=IB$169,1,IF($FN231&lt;IB$169,INDEX($FO$170:$IH$241,IB$169,$FN231),SUMPRODUCT(INDEX($FO$325:$IH$396,IB$169,1+SwaptionShift):INDEX($FO$325:$IH$396,IB$169,SwaptionMonthsToGo+SwaptionShift),INDEX($FO$245:$IH$316,$FN231-IB$169,73-IB$169+SwaptionShift):INDEX($FO$245:$IH$316,$FN231-IB$169,72-IB$169+SwaptionMonthsToGo+SwaptionShift))/SQRT(SUM(INDEX($FO386:$IH386,1+SwaptionShift):INDEX($FO386:$IH386,SwaptionMonthsToGo+SwaptionShift))*SUM(INDEX($FO$325:$IH$396,IB$169,1+SwaptionShift):INDEX($FO$325:$IH$396,IB$169,SwaptionMonthsToGo+SwaptionShift))))))</f>
        <v/>
      </c>
      <c r="IC231" s="469" t="str">
        <f ca="1">IF(OR(IC$169&lt;SwaptionFirstMonthPosition+1,$FN231&lt;SwaptionFirstMonthPosition+1,IC$169&gt;SwaptionFirstMonthPosition+SwaptionNumOfMonths+1,$FN231&gt;SwaptionFirstMonthPosition+SwaptionNumOfMonths+1),"",IF($FN231=IC$169,1,IF($FN231&lt;IC$169,INDEX($FO$170:$IH$241,IC$169,$FN231),SUMPRODUCT(INDEX($FO$325:$IH$396,IC$169,1+SwaptionShift):INDEX($FO$325:$IH$396,IC$169,SwaptionMonthsToGo+SwaptionShift),INDEX($FO$245:$IH$316,$FN231-IC$169,73-IC$169+SwaptionShift):INDEX($FO$245:$IH$316,$FN231-IC$169,72-IC$169+SwaptionMonthsToGo+SwaptionShift))/SQRT(SUM(INDEX($FO386:$IH386,1+SwaptionShift):INDEX($FO386:$IH386,SwaptionMonthsToGo+SwaptionShift))*SUM(INDEX($FO$325:$IH$396,IC$169,1+SwaptionShift):INDEX($FO$325:$IH$396,IC$169,SwaptionMonthsToGo+SwaptionShift))))))</f>
        <v/>
      </c>
      <c r="ID231" s="469" t="str">
        <f ca="1">IF(OR(ID$169&lt;SwaptionFirstMonthPosition+1,$FN231&lt;SwaptionFirstMonthPosition+1,ID$169&gt;SwaptionFirstMonthPosition+SwaptionNumOfMonths+1,$FN231&gt;SwaptionFirstMonthPosition+SwaptionNumOfMonths+1),"",IF($FN231=ID$169,1,IF($FN231&lt;ID$169,INDEX($FO$170:$IH$241,ID$169,$FN231),SUMPRODUCT(INDEX($FO$325:$IH$396,ID$169,1+SwaptionShift):INDEX($FO$325:$IH$396,ID$169,SwaptionMonthsToGo+SwaptionShift),INDEX($FO$245:$IH$316,$FN231-ID$169,73-ID$169+SwaptionShift):INDEX($FO$245:$IH$316,$FN231-ID$169,72-ID$169+SwaptionMonthsToGo+SwaptionShift))/SQRT(SUM(INDEX($FO386:$IH386,1+SwaptionShift):INDEX($FO386:$IH386,SwaptionMonthsToGo+SwaptionShift))*SUM(INDEX($FO$325:$IH$396,ID$169,1+SwaptionShift):INDEX($FO$325:$IH$396,ID$169,SwaptionMonthsToGo+SwaptionShift))))))</f>
        <v/>
      </c>
      <c r="IE231" s="469" t="str">
        <f ca="1">IF(OR(IE$169&lt;SwaptionFirstMonthPosition+1,$FN231&lt;SwaptionFirstMonthPosition+1,IE$169&gt;SwaptionFirstMonthPosition+SwaptionNumOfMonths+1,$FN231&gt;SwaptionFirstMonthPosition+SwaptionNumOfMonths+1),"",IF($FN231=IE$169,1,IF($FN231&lt;IE$169,INDEX($FO$170:$IH$241,IE$169,$FN231),SUMPRODUCT(INDEX($FO$325:$IH$396,IE$169,1+SwaptionShift):INDEX($FO$325:$IH$396,IE$169,SwaptionMonthsToGo+SwaptionShift),INDEX($FO$245:$IH$316,$FN231-IE$169,73-IE$169+SwaptionShift):INDEX($FO$245:$IH$316,$FN231-IE$169,72-IE$169+SwaptionMonthsToGo+SwaptionShift))/SQRT(SUM(INDEX($FO386:$IH386,1+SwaptionShift):INDEX($FO386:$IH386,SwaptionMonthsToGo+SwaptionShift))*SUM(INDEX($FO$325:$IH$396,IE$169,1+SwaptionShift):INDEX($FO$325:$IH$396,IE$169,SwaptionMonthsToGo+SwaptionShift))))))</f>
        <v/>
      </c>
      <c r="IF231" s="469" t="str">
        <f ca="1">IF(OR(IF$169&lt;SwaptionFirstMonthPosition+1,$FN231&lt;SwaptionFirstMonthPosition+1,IF$169&gt;SwaptionFirstMonthPosition+SwaptionNumOfMonths+1,$FN231&gt;SwaptionFirstMonthPosition+SwaptionNumOfMonths+1),"",IF($FN231=IF$169,1,IF($FN231&lt;IF$169,INDEX($FO$170:$IH$241,IF$169,$FN231),SUMPRODUCT(INDEX($FO$325:$IH$396,IF$169,1+SwaptionShift):INDEX($FO$325:$IH$396,IF$169,SwaptionMonthsToGo+SwaptionShift),INDEX($FO$245:$IH$316,$FN231-IF$169,73-IF$169+SwaptionShift):INDEX($FO$245:$IH$316,$FN231-IF$169,72-IF$169+SwaptionMonthsToGo+SwaptionShift))/SQRT(SUM(INDEX($FO386:$IH386,1+SwaptionShift):INDEX($FO386:$IH386,SwaptionMonthsToGo+SwaptionShift))*SUM(INDEX($FO$325:$IH$396,IF$169,1+SwaptionShift):INDEX($FO$325:$IH$396,IF$169,SwaptionMonthsToGo+SwaptionShift))))))</f>
        <v/>
      </c>
      <c r="IG231" s="469" t="str">
        <f ca="1">IF(OR(IG$169&lt;SwaptionFirstMonthPosition+1,$FN231&lt;SwaptionFirstMonthPosition+1,IG$169&gt;SwaptionFirstMonthPosition+SwaptionNumOfMonths+1,$FN231&gt;SwaptionFirstMonthPosition+SwaptionNumOfMonths+1),"",IF($FN231=IG$169,1,IF($FN231&lt;IG$169,INDEX($FO$170:$IH$241,IG$169,$FN231),SUMPRODUCT(INDEX($FO$325:$IH$396,IG$169,1+SwaptionShift):INDEX($FO$325:$IH$396,IG$169,SwaptionMonthsToGo+SwaptionShift),INDEX($FO$245:$IH$316,$FN231-IG$169,73-IG$169+SwaptionShift):INDEX($FO$245:$IH$316,$FN231-IG$169,72-IG$169+SwaptionMonthsToGo+SwaptionShift))/SQRT(SUM(INDEX($FO386:$IH386,1+SwaptionShift):INDEX($FO386:$IH386,SwaptionMonthsToGo+SwaptionShift))*SUM(INDEX($FO$325:$IH$396,IG$169,1+SwaptionShift):INDEX($FO$325:$IH$396,IG$169,SwaptionMonthsToGo+SwaptionShift))))))</f>
        <v/>
      </c>
      <c r="IH231" s="662" t="str">
        <f ca="1">IF(OR(IH$169&lt;SwaptionFirstMonthPosition+1,$FN231&lt;SwaptionFirstMonthPosition+1,IH$169&gt;SwaptionFirstMonthPosition+SwaptionNumOfMonths+1,$FN231&gt;SwaptionFirstMonthPosition+SwaptionNumOfMonths+1),"",IF($FN231=IH$169,1,IF($FN231&lt;IH$169,INDEX($FO$170:$IH$241,IH$169,$FN231),SUMPRODUCT(INDEX($FO$325:$IH$396,IH$169,1+SwaptionShift):INDEX($FO$325:$IH$396,IH$169,SwaptionMonthsToGo+SwaptionShift),INDEX($FO$245:$IH$316,$FN231-IH$169,73-IH$169+SwaptionShift):INDEX($FO$245:$IH$316,$FN231-IH$169,72-IH$169+SwaptionMonthsToGo+SwaptionShift))/SQRT(SUM(INDEX($FO386:$IH386,1+SwaptionShift):INDEX($FO386:$IH386,SwaptionMonthsToGo+SwaptionShift))*SUM(INDEX($FO$325:$IH$396,IH$169,1+SwaptionShift):INDEX($FO$325:$IH$396,IH$169,SwaptionMonthsToGo+SwaptionShift))))))</f>
        <v/>
      </c>
      <c r="II231" s="242"/>
    </row>
    <row r="232" spans="8:243">
      <c r="H232" s="49" t="e">
        <f t="shared" ca="1" si="645"/>
        <v>#N/A</v>
      </c>
      <c r="I232" s="369">
        <f t="shared" si="646"/>
        <v>43466</v>
      </c>
      <c r="J232" s="367">
        <v>24.684999999999796</v>
      </c>
      <c r="K232" s="101" t="s">
        <v>267</v>
      </c>
      <c r="L232" s="382">
        <f t="shared" si="647"/>
        <v>24.684999999999828</v>
      </c>
      <c r="M232" s="163">
        <v>0.1263</v>
      </c>
      <c r="N232" s="372">
        <v>0</v>
      </c>
      <c r="O232" s="163">
        <f t="shared" si="595"/>
        <v>0.1263</v>
      </c>
      <c r="P232" s="367">
        <v>23.438054872766799</v>
      </c>
      <c r="Q232" s="101" t="s">
        <v>267</v>
      </c>
      <c r="R232" s="367">
        <f t="shared" ca="1" si="596"/>
        <v>23.438054872766752</v>
      </c>
      <c r="S232" s="814">
        <f t="shared" si="594"/>
        <v>0.34599785640967406</v>
      </c>
      <c r="T232" s="813">
        <f t="shared" si="660"/>
        <v>0.99999999998444555</v>
      </c>
      <c r="U232" s="532">
        <f t="shared" si="661"/>
        <v>0.99999999999999978</v>
      </c>
      <c r="V232" s="379">
        <v>0</v>
      </c>
      <c r="W232" s="424">
        <f t="shared" si="597"/>
        <v>24.720227272727072</v>
      </c>
      <c r="X232" s="405">
        <f t="shared" si="598"/>
        <v>24.720227272727097</v>
      </c>
      <c r="Y232" s="313">
        <f t="shared" si="599"/>
        <v>23.504227272727071</v>
      </c>
      <c r="Z232" s="313">
        <f t="shared" ca="1" si="600"/>
        <v>23.504227272727096</v>
      </c>
      <c r="AA232" s="419">
        <f t="shared" si="623"/>
        <v>1.216</v>
      </c>
      <c r="AB232" s="423">
        <f t="shared" ca="1" si="624"/>
        <v>1.216</v>
      </c>
      <c r="AC232" s="221">
        <v>43454</v>
      </c>
      <c r="AD232" s="221">
        <v>43450</v>
      </c>
      <c r="AE232" s="221">
        <v>43449</v>
      </c>
      <c r="AF232" s="221">
        <v>43445</v>
      </c>
      <c r="AG232" s="241" t="s">
        <v>497</v>
      </c>
      <c r="AH232" s="239" t="s">
        <v>497</v>
      </c>
      <c r="AI232" s="141">
        <v>22</v>
      </c>
      <c r="AJ232" s="41">
        <v>13</v>
      </c>
      <c r="AK232" s="41">
        <v>9</v>
      </c>
      <c r="AL232" s="285">
        <v>22</v>
      </c>
      <c r="AM232" s="41">
        <v>9</v>
      </c>
      <c r="AN232" s="142">
        <v>13</v>
      </c>
      <c r="AO232" s="364">
        <v>6.3416922397121503E-2</v>
      </c>
      <c r="AP232" s="145">
        <f t="shared" ca="1" si="648"/>
        <v>0.32887685464520866</v>
      </c>
      <c r="AQ232" s="364">
        <v>5.9730165451765203E-2</v>
      </c>
      <c r="AR232" s="145">
        <f t="shared" ca="1" si="662"/>
        <v>0.35311880205809953</v>
      </c>
      <c r="AS232" s="264">
        <f t="shared" si="601"/>
        <v>0.12573636363636365</v>
      </c>
      <c r="AT232" s="149">
        <f t="shared" si="649"/>
        <v>0.1263</v>
      </c>
      <c r="AU232" s="149">
        <f t="shared" si="625"/>
        <v>0.12566363636363637</v>
      </c>
      <c r="AV232" s="263">
        <f t="shared" ca="1" si="669"/>
        <v>0.1243686900215113</v>
      </c>
      <c r="AW232" s="150" t="str">
        <f t="shared" ca="1" si="581"/>
        <v/>
      </c>
      <c r="AX232" s="149">
        <f t="shared" ca="1" si="663"/>
        <v>3.2564685087056065E-3</v>
      </c>
      <c r="AY232" s="149">
        <f t="shared" ca="1" si="664"/>
        <v>9.8520636145115132E-4</v>
      </c>
      <c r="AZ232" s="149">
        <f t="shared" ca="1" si="665"/>
        <v>1.2377869953420215E-3</v>
      </c>
      <c r="BA232" s="149">
        <f t="shared" ca="1" si="666"/>
        <v>1.0000000000001146E-4</v>
      </c>
      <c r="BB232" s="149">
        <f t="shared" ca="1" si="667"/>
        <v>1.0000000000001146E-4</v>
      </c>
      <c r="BC232" s="149">
        <f t="shared" ca="1" si="668"/>
        <v>1.0000000000001146E-4</v>
      </c>
      <c r="BD232" s="143">
        <f t="shared" ca="1" si="602"/>
        <v>0</v>
      </c>
      <c r="BE232" s="144">
        <f t="shared" ca="1" si="603"/>
        <v>0</v>
      </c>
      <c r="BF232" s="40">
        <f t="shared" si="604"/>
        <v>2019</v>
      </c>
      <c r="BG232" s="139">
        <f t="shared" si="605"/>
        <v>1</v>
      </c>
      <c r="BH232" s="140">
        <f t="shared" ca="1" si="606"/>
        <v>6460</v>
      </c>
      <c r="BI232" s="304">
        <f t="shared" ca="1" si="607"/>
        <v>17.730321697467488</v>
      </c>
      <c r="BJ232" s="42">
        <f t="shared" ca="1" si="626"/>
        <v>17.778856325057557</v>
      </c>
      <c r="BK232" s="42">
        <f t="shared" ca="1" si="627"/>
        <v>17.781594175844688</v>
      </c>
      <c r="BL232" s="42">
        <f t="shared" ca="1" si="608"/>
        <v>17.812457221081452</v>
      </c>
      <c r="BM232" s="285">
        <f t="shared" si="609"/>
        <v>22</v>
      </c>
      <c r="BN232" s="41">
        <f t="shared" si="610"/>
        <v>13</v>
      </c>
      <c r="BO232" s="41">
        <f t="shared" si="611"/>
        <v>9</v>
      </c>
      <c r="BP232" s="297" t="str">
        <f t="shared" ca="1" si="628"/>
        <v/>
      </c>
      <c r="BQ232" s="297" t="str">
        <f t="shared" ca="1" si="629"/>
        <v/>
      </c>
      <c r="BR232" s="299" t="str">
        <f t="shared" ca="1" si="630"/>
        <v/>
      </c>
      <c r="BS232" s="153" t="str">
        <f t="shared" ca="1" si="631"/>
        <v/>
      </c>
      <c r="BT232" s="153" t="str">
        <f t="shared" ca="1" si="632"/>
        <v/>
      </c>
      <c r="BU232" s="300" t="str">
        <f t="shared" ca="1" si="633"/>
        <v/>
      </c>
      <c r="BV232" s="301" t="str">
        <f t="shared" ca="1" si="634"/>
        <v/>
      </c>
      <c r="BW232" s="300" t="str">
        <f t="shared" ca="1" si="635"/>
        <v/>
      </c>
      <c r="BX232" s="301" t="str">
        <f t="shared" ca="1" si="636"/>
        <v/>
      </c>
      <c r="BY232" s="146" t="str">
        <f t="shared" ca="1" si="637"/>
        <v/>
      </c>
      <c r="BZ232" s="146" t="str">
        <f t="shared" ca="1" si="638"/>
        <v/>
      </c>
      <c r="CA232" s="146" t="str">
        <f t="shared" ca="1" si="639"/>
        <v/>
      </c>
      <c r="CB232" s="146" t="str">
        <f t="shared" ca="1" si="640"/>
        <v/>
      </c>
      <c r="CC232" s="302">
        <v>1</v>
      </c>
      <c r="CD232" s="154">
        <f ca="1">IF(BD232,_xll.xCrudeAPO(BS232,BT232,BY232,BZ232,S233,S234,BI232,BL232,BN232,BO232,0,Strike1,AO232,CC232,0,BL232,IF(OptControl=4,0,1),0,1),0)</f>
        <v>0</v>
      </c>
      <c r="CE232" s="155">
        <f ca="1">IF(BD232,_xll.xCrudeAPO(BS232,BT232,BY232,BZ232,S233,S234,BI232,BL232,BN232,BO232,0,Strike1,AO232,CC232,0,BL232,IF(OptControl=4,0,1),1,1)+_xll.xCrudeAPO(BS232,BT232,BY232,BZ232,S233,S234,BI232,BL232,BN232,BO232,0,Strike1,AO232,CC232,0,BL232,IF(OptControl=4,0,1),1,2)+IF(OR(VolSkewFlag=2,ABS(BQ232)&lt;0.0001),0,IF(BQ232&gt;0,-1,1)*CF232*Strike1/BP232^2*BW232/10%),0)</f>
        <v>0</v>
      </c>
      <c r="CF232" s="155">
        <f ca="1">IF(BD232,(_xll.xCrudeAPO(BS232,BT232,BY232,BZ232,S233,S234,BI232,BL232,BN232,BO232,0,Strike1,AO232,CC232,0,BL232,IF(OptControl=4,0,1),3,1)+_xll.xCrudeAPO(BS232,BT232,BY232,BZ232,S233,S234,BI232,BL232,BN232,BO232,0,Strike1,AO232,CC232,0,BL232,IF(OptControl=4,0,1),3,2))/100,0)</f>
        <v>0</v>
      </c>
      <c r="CG232" s="155">
        <f ca="1">IF(BD232,_xll.xCrudeAPO(BS232,BT232,BY232,BZ232,S233,S234,BI232-DaysForThetaCalculation/365.25,BL232-DaysForThetaCalculation/365.25,BN232,BO232,0,Strike1,AO232,CC232,0,BL232,IF(OptControl=4,0,1),0,1)-_xll.xCrudeAPO(BS232,BT232,BY232,BZ232,S233,S234,BI232,BL232,BN232,BO232,0,Strike1,AO232,CC232,0,BL232,IF(OptControl=4,0,1),0,1),0)</f>
        <v>0</v>
      </c>
      <c r="CH232" s="303">
        <f ca="1">IF(BD232,_xll.xCrudeAPO(BS232,BT232,CA232,CB232,S233,S234,BI232,BL232,BN232,BO232,0,Strike2,AO232,CC232,0,BL232,IF(OptControl=3,1,0),0,1),0)</f>
        <v>0</v>
      </c>
      <c r="CI232" s="155">
        <f ca="1">IF(BD232,_xll.xCrudeAPO(BS232,BT232,CA232,CB232,S233,S234,BI232,BL232,BN232,BO232,0,Strike2,AO232,CC232,0,BL232,IF(OptControl=3,1,0),1,1)+_xll.xCrudeAPO(BS232,BT232,CA232,CB232,S233,S234,BI232,BL232,BN232,BO232,0,Strike2,AO232,CC232,0,BL232,IF(OptControl=3,1,0),1,2)+IF(OR(VolSkewFlag=2,ABS(BR232)&lt;0.0001),0,IF(BR232&gt;0,-1,1)*CJ232*Strike2/BP232^2*BX232/10%),0)</f>
        <v>0</v>
      </c>
      <c r="CJ232" s="155">
        <f ca="1">IF(BD232,(_xll.xCrudeAPO(BS232,BT232,CA232,CB232,S233,S234,BI232,BL232,BN232,BO232,0,Strike2,AO232,CC232,0,BL232,IF(OptControl=3,1,0),3,1)+_xll.xCrudeAPO(BS232,BT232,CA232,CB232,S233,S234,BI232,BL232,BN232,BO232,0,Strike2,AO232,CC232,0,BL232,IF(OptControl=3,1,0),3,2))/100,0)</f>
        <v>0</v>
      </c>
      <c r="CK232" s="156">
        <f ca="1">IF(BD232,_xll.xCrudeAPO(BS232,BT232,CA232,CB232,S233,S234,BI232-DaysForThetaCalculation/365.25,BL232-DaysForThetaCalculation/365.25,BN232,BO232,0,Strike2,AO232,CC232,0,BL232,IF(OptControl=3,1,0),0,1)-_xll.xCrudeAPO(BS232,BT232,CA232,CB232,S233,S234,BI232,BL232,BN232,BO232,0,Strike2,AO232,CC232,0,BL232,IF(OptControl=3,1,0),0,1),0)</f>
        <v>0</v>
      </c>
      <c r="CL232" s="51"/>
      <c r="CM232" s="779" t="str">
        <f t="shared" ca="1" si="650"/>
        <v/>
      </c>
      <c r="CN232" s="783" t="str">
        <f t="shared" ca="1" si="651"/>
        <v/>
      </c>
      <c r="CO232" s="780" t="str">
        <f t="shared" ca="1" si="652"/>
        <v/>
      </c>
      <c r="CP232" s="780" t="str">
        <f t="shared" ca="1" si="653"/>
        <v/>
      </c>
      <c r="CQ232" s="780" t="str">
        <f t="shared" ca="1" si="654"/>
        <v/>
      </c>
      <c r="CR232" s="780" t="str">
        <f t="shared" ca="1" si="655"/>
        <v/>
      </c>
      <c r="CS232" s="781" t="str">
        <f t="shared" ca="1" si="656"/>
        <v/>
      </c>
      <c r="CT232" s="782" t="str">
        <f t="shared" ca="1" si="657"/>
        <v/>
      </c>
      <c r="CU232" s="782" t="str">
        <f t="shared" ca="1" si="658"/>
        <v/>
      </c>
      <c r="CV232" s="155">
        <f ca="1">IF(BD232,_xll.EURO(CN232,Strike1,AO232,AO232,CT232,CM232,IF(OptControl=4,0,1),0),0)</f>
        <v>0</v>
      </c>
      <c r="CW232" s="155">
        <f ca="1">IF(BD232,_xll.EURO(CN232,Strike1,AO232,AO232,CT232,CM232,IF(OptControl=4,0,1),1)+IF(OR(VolSkewFlag=2,ABS(CO232)&lt;0.0001),0,IF(CO232&gt;0,-1,1)*CX232*100*Strike1/CN232^2*CQ232/10%),0)</f>
        <v>0</v>
      </c>
      <c r="CX232" s="155">
        <f ca="1">IF(BD232,_xll.EURO(CN232,Strike1,AO232,AO232,CT232,CM232,IF(OptControl=4,0,1),3)/100,0)</f>
        <v>0</v>
      </c>
      <c r="CY232" s="155">
        <f ca="1">IF(BD232,_xll.EURO(CN232,Strike1,AO232,AO232,CT232,CM232,IF(OptControl=4,0,1),0)-_xll.EURO(CN232,Strike1,AO232,AO232,CT232,CM232-1,IF(OptControl=4,0,1),0),0)</f>
        <v>0</v>
      </c>
      <c r="CZ232" s="155">
        <f ca="1">IF(BD232,_xll.EURO(CN232,Strike2,AO232,AO232,CU232,CM232,IF(OptControl=3,1,0),0),0)</f>
        <v>0</v>
      </c>
      <c r="DA232" s="155">
        <f ca="1">IF(BD232,_xll.EURO(CN232,Strike2,AO232,AO232,CU232,CM232,IF(OptControl=3,1,0),1)+IF(OR(VolSkewFlag=2,ABS(CP232)&lt;0.0001),0,IF(CP232&gt;0,-1,1)*DB232*100*Strike2/CN232^2*CR232/10%),0)</f>
        <v>0</v>
      </c>
      <c r="DB232" s="155">
        <f ca="1">IF(BD232,_xll.EURO(CN232,Strike2,AO232,AO232,CU232,CM232,IF(OptControl=3,1,0),3)/100,0)</f>
        <v>0</v>
      </c>
      <c r="DC232" s="156">
        <f ca="1">IF(BD232,_xll.EURO(CN232,Strike2,AO232,AO232,CU232,CM232,IF(OptControl=3,1,0),0)-_xll.EURO(CN232,Strike2,AO232,AO232,CU232,CM232-1,IF(OptControl=3,1,0),0),0)</f>
        <v>0</v>
      </c>
      <c r="DE232" s="651">
        <f t="shared" ca="1" si="659"/>
        <v>43374</v>
      </c>
      <c r="DF232" s="465">
        <v>1E-4</v>
      </c>
      <c r="DG232" s="649">
        <v>1E-4</v>
      </c>
      <c r="DH232" s="650">
        <f t="shared" ca="1" si="612"/>
        <v>43374</v>
      </c>
      <c r="DI232" s="465">
        <v>1E-4</v>
      </c>
      <c r="DJ232" s="649">
        <v>1E-4</v>
      </c>
      <c r="DK232" s="651">
        <f t="shared" ca="1" si="613"/>
        <v>43374</v>
      </c>
      <c r="DL232" s="652">
        <f t="shared" si="614"/>
        <v>5.0100000000000006E-2</v>
      </c>
      <c r="DM232" s="651">
        <f t="shared" ca="1" si="615"/>
        <v>43374</v>
      </c>
      <c r="DN232" s="563">
        <f t="shared" si="616"/>
        <v>-0.12990000000000002</v>
      </c>
      <c r="DO232" s="803">
        <v>-0.13</v>
      </c>
      <c r="DP232" s="650">
        <f t="shared" ca="1" si="617"/>
        <v>43374</v>
      </c>
      <c r="DQ232" s="653">
        <v>1E-4</v>
      </c>
      <c r="DR232" s="590">
        <v>1E-4</v>
      </c>
      <c r="DS232" s="650">
        <f t="shared" ca="1" si="618"/>
        <v>43374</v>
      </c>
      <c r="DT232" s="653">
        <v>1E-4</v>
      </c>
      <c r="DU232" s="590">
        <v>1E-4</v>
      </c>
      <c r="DV232" s="651">
        <f t="shared" ca="1" si="619"/>
        <v>43374</v>
      </c>
      <c r="DW232" s="590">
        <v>1E-4</v>
      </c>
      <c r="DX232" s="651">
        <f t="shared" ca="1" si="620"/>
        <v>43374</v>
      </c>
      <c r="DY232" s="590">
        <f t="shared" si="621"/>
        <v>1E-4</v>
      </c>
      <c r="DZ232" s="1"/>
      <c r="EA232" s="857"/>
      <c r="EB232" s="857"/>
      <c r="EC232" s="857"/>
      <c r="ED232" s="868" t="e">
        <f t="shared" ca="1" si="670"/>
        <v>#NAME?</v>
      </c>
      <c r="EE232" s="863" t="e">
        <f t="shared" ca="1" si="641"/>
        <v>#NAME?</v>
      </c>
      <c r="EF232" s="590" t="e">
        <f t="shared" ca="1" si="642"/>
        <v>#NAME?</v>
      </c>
      <c r="EG232" s="862" t="str">
        <f t="shared" ca="1" si="622"/>
        <v/>
      </c>
      <c r="EH232" s="114" t="str">
        <f t="shared" ca="1" si="643"/>
        <v/>
      </c>
      <c r="EI232" s="109" t="str">
        <f t="shared" ca="1" si="644"/>
        <v/>
      </c>
      <c r="EJ232" s="115">
        <f ca="1">IF(BD232,_xll.xASN(BP232,Strike1,AO232,EH232,0,BM232,0,BI232,BL232,IF(OptControl=4,0,1),0),0)</f>
        <v>0</v>
      </c>
      <c r="EK232" s="108">
        <f ca="1">IF(BD232,_xll.xASN(BP232,Strike2,AO232,EI232,0,BM232,0,BI232,BL232,IF(OptControl=3,1,0),0),0)</f>
        <v>0</v>
      </c>
      <c r="EP232" s="53"/>
      <c r="EQ232" s="1"/>
      <c r="ER232" s="103"/>
      <c r="ES232" s="103"/>
      <c r="ET232" s="1"/>
      <c r="EU232" s="667" t="s">
        <v>445</v>
      </c>
      <c r="EW232" s="53"/>
      <c r="EY232" s="104"/>
      <c r="FN232" s="657">
        <v>63</v>
      </c>
      <c r="FO232" s="469" t="str">
        <f ca="1">IF(OR(FO$169&lt;SwaptionFirstMonthPosition+1,$FN232&lt;SwaptionFirstMonthPosition+1,FO$169&gt;SwaptionFirstMonthPosition+SwaptionNumOfMonths+1,$FN232&gt;SwaptionFirstMonthPosition+SwaptionNumOfMonths+1),"",IF($FN232=FO$169,1,IF($FN232&lt;FO$169,INDEX($FO$170:$IH$241,FO$169,$FN232),SUMPRODUCT(INDEX($FO$325:$IH$396,FO$169,1+SwaptionShift):INDEX($FO$325:$IH$396,FO$169,SwaptionMonthsToGo+SwaptionShift),INDEX($FO$245:$IH$316,$FN232-FO$169,73-FO$169+SwaptionShift):INDEX($FO$245:$IH$316,$FN232-FO$169,72-FO$169+SwaptionMonthsToGo+SwaptionShift))/SQRT(SUM(INDEX($FO387:$IH387,1+SwaptionShift):INDEX($FO387:$IH387,SwaptionMonthsToGo+SwaptionShift))*SUM(INDEX($FO$325:$IH$396,FO$169,1+SwaptionShift):INDEX($FO$325:$IH$396,FO$169,SwaptionMonthsToGo+SwaptionShift))))))</f>
        <v/>
      </c>
      <c r="FP232" s="469" t="str">
        <f ca="1">IF(OR(FP$169&lt;SwaptionFirstMonthPosition+1,$FN232&lt;SwaptionFirstMonthPosition+1,FP$169&gt;SwaptionFirstMonthPosition+SwaptionNumOfMonths+1,$FN232&gt;SwaptionFirstMonthPosition+SwaptionNumOfMonths+1),"",IF($FN232=FP$169,1,IF($FN232&lt;FP$169,INDEX($FO$170:$IH$241,FP$169,$FN232),SUMPRODUCT(INDEX($FO$325:$IH$396,FP$169,1+SwaptionShift):INDEX($FO$325:$IH$396,FP$169,SwaptionMonthsToGo+SwaptionShift),INDEX($FO$245:$IH$316,$FN232-FP$169,73-FP$169+SwaptionShift):INDEX($FO$245:$IH$316,$FN232-FP$169,72-FP$169+SwaptionMonthsToGo+SwaptionShift))/SQRT(SUM(INDEX($FO387:$IH387,1+SwaptionShift):INDEX($FO387:$IH387,SwaptionMonthsToGo+SwaptionShift))*SUM(INDEX($FO$325:$IH$396,FP$169,1+SwaptionShift):INDEX($FO$325:$IH$396,FP$169,SwaptionMonthsToGo+SwaptionShift))))))</f>
        <v/>
      </c>
      <c r="FQ232" s="469" t="str">
        <f ca="1">IF(OR(FQ$169&lt;SwaptionFirstMonthPosition+1,$FN232&lt;SwaptionFirstMonthPosition+1,FQ$169&gt;SwaptionFirstMonthPosition+SwaptionNumOfMonths+1,$FN232&gt;SwaptionFirstMonthPosition+SwaptionNumOfMonths+1),"",IF($FN232=FQ$169,1,IF($FN232&lt;FQ$169,INDEX($FO$170:$IH$241,FQ$169,$FN232),SUMPRODUCT(INDEX($FO$325:$IH$396,FQ$169,1+SwaptionShift):INDEX($FO$325:$IH$396,FQ$169,SwaptionMonthsToGo+SwaptionShift),INDEX($FO$245:$IH$316,$FN232-FQ$169,73-FQ$169+SwaptionShift):INDEX($FO$245:$IH$316,$FN232-FQ$169,72-FQ$169+SwaptionMonthsToGo+SwaptionShift))/SQRT(SUM(INDEX($FO387:$IH387,1+SwaptionShift):INDEX($FO387:$IH387,SwaptionMonthsToGo+SwaptionShift))*SUM(INDEX($FO$325:$IH$396,FQ$169,1+SwaptionShift):INDEX($FO$325:$IH$396,FQ$169,SwaptionMonthsToGo+SwaptionShift))))))</f>
        <v/>
      </c>
      <c r="FR232" s="469" t="str">
        <f ca="1">IF(OR(FR$169&lt;SwaptionFirstMonthPosition+1,$FN232&lt;SwaptionFirstMonthPosition+1,FR$169&gt;SwaptionFirstMonthPosition+SwaptionNumOfMonths+1,$FN232&gt;SwaptionFirstMonthPosition+SwaptionNumOfMonths+1),"",IF($FN232=FR$169,1,IF($FN232&lt;FR$169,INDEX($FO$170:$IH$241,FR$169,$FN232),SUMPRODUCT(INDEX($FO$325:$IH$396,FR$169,1+SwaptionShift):INDEX($FO$325:$IH$396,FR$169,SwaptionMonthsToGo+SwaptionShift),INDEX($FO$245:$IH$316,$FN232-FR$169,73-FR$169+SwaptionShift):INDEX($FO$245:$IH$316,$FN232-FR$169,72-FR$169+SwaptionMonthsToGo+SwaptionShift))/SQRT(SUM(INDEX($FO387:$IH387,1+SwaptionShift):INDEX($FO387:$IH387,SwaptionMonthsToGo+SwaptionShift))*SUM(INDEX($FO$325:$IH$396,FR$169,1+SwaptionShift):INDEX($FO$325:$IH$396,FR$169,SwaptionMonthsToGo+SwaptionShift))))))</f>
        <v/>
      </c>
      <c r="FS232" s="469" t="str">
        <f ca="1">IF(OR(FS$169&lt;SwaptionFirstMonthPosition+1,$FN232&lt;SwaptionFirstMonthPosition+1,FS$169&gt;SwaptionFirstMonthPosition+SwaptionNumOfMonths+1,$FN232&gt;SwaptionFirstMonthPosition+SwaptionNumOfMonths+1),"",IF($FN232=FS$169,1,IF($FN232&lt;FS$169,INDEX($FO$170:$IH$241,FS$169,$FN232),SUMPRODUCT(INDEX($FO$325:$IH$396,FS$169,1+SwaptionShift):INDEX($FO$325:$IH$396,FS$169,SwaptionMonthsToGo+SwaptionShift),INDEX($FO$245:$IH$316,$FN232-FS$169,73-FS$169+SwaptionShift):INDEX($FO$245:$IH$316,$FN232-FS$169,72-FS$169+SwaptionMonthsToGo+SwaptionShift))/SQRT(SUM(INDEX($FO387:$IH387,1+SwaptionShift):INDEX($FO387:$IH387,SwaptionMonthsToGo+SwaptionShift))*SUM(INDEX($FO$325:$IH$396,FS$169,1+SwaptionShift):INDEX($FO$325:$IH$396,FS$169,SwaptionMonthsToGo+SwaptionShift))))))</f>
        <v/>
      </c>
      <c r="FT232" s="469" t="str">
        <f ca="1">IF(OR(FT$169&lt;SwaptionFirstMonthPosition+1,$FN232&lt;SwaptionFirstMonthPosition+1,FT$169&gt;SwaptionFirstMonthPosition+SwaptionNumOfMonths+1,$FN232&gt;SwaptionFirstMonthPosition+SwaptionNumOfMonths+1),"",IF($FN232=FT$169,1,IF($FN232&lt;FT$169,INDEX($FO$170:$IH$241,FT$169,$FN232),SUMPRODUCT(INDEX($FO$325:$IH$396,FT$169,1+SwaptionShift):INDEX($FO$325:$IH$396,FT$169,SwaptionMonthsToGo+SwaptionShift),INDEX($FO$245:$IH$316,$FN232-FT$169,73-FT$169+SwaptionShift):INDEX($FO$245:$IH$316,$FN232-FT$169,72-FT$169+SwaptionMonthsToGo+SwaptionShift))/SQRT(SUM(INDEX($FO387:$IH387,1+SwaptionShift):INDEX($FO387:$IH387,SwaptionMonthsToGo+SwaptionShift))*SUM(INDEX($FO$325:$IH$396,FT$169,1+SwaptionShift):INDEX($FO$325:$IH$396,FT$169,SwaptionMonthsToGo+SwaptionShift))))))</f>
        <v/>
      </c>
      <c r="FU232" s="469" t="str">
        <f ca="1">IF(OR(FU$169&lt;SwaptionFirstMonthPosition+1,$FN232&lt;SwaptionFirstMonthPosition+1,FU$169&gt;SwaptionFirstMonthPosition+SwaptionNumOfMonths+1,$FN232&gt;SwaptionFirstMonthPosition+SwaptionNumOfMonths+1),"",IF($FN232=FU$169,1,IF($FN232&lt;FU$169,INDEX($FO$170:$IH$241,FU$169,$FN232),SUMPRODUCT(INDEX($FO$325:$IH$396,FU$169,1+SwaptionShift):INDEX($FO$325:$IH$396,FU$169,SwaptionMonthsToGo+SwaptionShift),INDEX($FO$245:$IH$316,$FN232-FU$169,73-FU$169+SwaptionShift):INDEX($FO$245:$IH$316,$FN232-FU$169,72-FU$169+SwaptionMonthsToGo+SwaptionShift))/SQRT(SUM(INDEX($FO387:$IH387,1+SwaptionShift):INDEX($FO387:$IH387,SwaptionMonthsToGo+SwaptionShift))*SUM(INDEX($FO$325:$IH$396,FU$169,1+SwaptionShift):INDEX($FO$325:$IH$396,FU$169,SwaptionMonthsToGo+SwaptionShift))))))</f>
        <v/>
      </c>
      <c r="FV232" s="469" t="str">
        <f ca="1">IF(OR(FV$169&lt;SwaptionFirstMonthPosition+1,$FN232&lt;SwaptionFirstMonthPosition+1,FV$169&gt;SwaptionFirstMonthPosition+SwaptionNumOfMonths+1,$FN232&gt;SwaptionFirstMonthPosition+SwaptionNumOfMonths+1),"",IF($FN232=FV$169,1,IF($FN232&lt;FV$169,INDEX($FO$170:$IH$241,FV$169,$FN232),SUMPRODUCT(INDEX($FO$325:$IH$396,FV$169,1+SwaptionShift):INDEX($FO$325:$IH$396,FV$169,SwaptionMonthsToGo+SwaptionShift),INDEX($FO$245:$IH$316,$FN232-FV$169,73-FV$169+SwaptionShift):INDEX($FO$245:$IH$316,$FN232-FV$169,72-FV$169+SwaptionMonthsToGo+SwaptionShift))/SQRT(SUM(INDEX($FO387:$IH387,1+SwaptionShift):INDEX($FO387:$IH387,SwaptionMonthsToGo+SwaptionShift))*SUM(INDEX($FO$325:$IH$396,FV$169,1+SwaptionShift):INDEX($FO$325:$IH$396,FV$169,SwaptionMonthsToGo+SwaptionShift))))))</f>
        <v/>
      </c>
      <c r="FW232" s="469" t="str">
        <f ca="1">IF(OR(FW$169&lt;SwaptionFirstMonthPosition+1,$FN232&lt;SwaptionFirstMonthPosition+1,FW$169&gt;SwaptionFirstMonthPosition+SwaptionNumOfMonths+1,$FN232&gt;SwaptionFirstMonthPosition+SwaptionNumOfMonths+1),"",IF($FN232=FW$169,1,IF($FN232&lt;FW$169,INDEX($FO$170:$IH$241,FW$169,$FN232),SUMPRODUCT(INDEX($FO$325:$IH$396,FW$169,1+SwaptionShift):INDEX($FO$325:$IH$396,FW$169,SwaptionMonthsToGo+SwaptionShift),INDEX($FO$245:$IH$316,$FN232-FW$169,73-FW$169+SwaptionShift):INDEX($FO$245:$IH$316,$FN232-FW$169,72-FW$169+SwaptionMonthsToGo+SwaptionShift))/SQRT(SUM(INDEX($FO387:$IH387,1+SwaptionShift):INDEX($FO387:$IH387,SwaptionMonthsToGo+SwaptionShift))*SUM(INDEX($FO$325:$IH$396,FW$169,1+SwaptionShift):INDEX($FO$325:$IH$396,FW$169,SwaptionMonthsToGo+SwaptionShift))))))</f>
        <v/>
      </c>
      <c r="FX232" s="469" t="str">
        <f ca="1">IF(OR(FX$169&lt;SwaptionFirstMonthPosition+1,$FN232&lt;SwaptionFirstMonthPosition+1,FX$169&gt;SwaptionFirstMonthPosition+SwaptionNumOfMonths+1,$FN232&gt;SwaptionFirstMonthPosition+SwaptionNumOfMonths+1),"",IF($FN232=FX$169,1,IF($FN232&lt;FX$169,INDEX($FO$170:$IH$241,FX$169,$FN232),SUMPRODUCT(INDEX($FO$325:$IH$396,FX$169,1+SwaptionShift):INDEX($FO$325:$IH$396,FX$169,SwaptionMonthsToGo+SwaptionShift),INDEX($FO$245:$IH$316,$FN232-FX$169,73-FX$169+SwaptionShift):INDEX($FO$245:$IH$316,$FN232-FX$169,72-FX$169+SwaptionMonthsToGo+SwaptionShift))/SQRT(SUM(INDEX($FO387:$IH387,1+SwaptionShift):INDEX($FO387:$IH387,SwaptionMonthsToGo+SwaptionShift))*SUM(INDEX($FO$325:$IH$396,FX$169,1+SwaptionShift):INDEX($FO$325:$IH$396,FX$169,SwaptionMonthsToGo+SwaptionShift))))))</f>
        <v/>
      </c>
      <c r="FY232" s="469" t="str">
        <f ca="1">IF(OR(FY$169&lt;SwaptionFirstMonthPosition+1,$FN232&lt;SwaptionFirstMonthPosition+1,FY$169&gt;SwaptionFirstMonthPosition+SwaptionNumOfMonths+1,$FN232&gt;SwaptionFirstMonthPosition+SwaptionNumOfMonths+1),"",IF($FN232=FY$169,1,IF($FN232&lt;FY$169,INDEX($FO$170:$IH$241,FY$169,$FN232),SUMPRODUCT(INDEX($FO$325:$IH$396,FY$169,1+SwaptionShift):INDEX($FO$325:$IH$396,FY$169,SwaptionMonthsToGo+SwaptionShift),INDEX($FO$245:$IH$316,$FN232-FY$169,73-FY$169+SwaptionShift):INDEX($FO$245:$IH$316,$FN232-FY$169,72-FY$169+SwaptionMonthsToGo+SwaptionShift))/SQRT(SUM(INDEX($FO387:$IH387,1+SwaptionShift):INDEX($FO387:$IH387,SwaptionMonthsToGo+SwaptionShift))*SUM(INDEX($FO$325:$IH$396,FY$169,1+SwaptionShift):INDEX($FO$325:$IH$396,FY$169,SwaptionMonthsToGo+SwaptionShift))))))</f>
        <v/>
      </c>
      <c r="FZ232" s="469" t="str">
        <f ca="1">IF(OR(FZ$169&lt;SwaptionFirstMonthPosition+1,$FN232&lt;SwaptionFirstMonthPosition+1,FZ$169&gt;SwaptionFirstMonthPosition+SwaptionNumOfMonths+1,$FN232&gt;SwaptionFirstMonthPosition+SwaptionNumOfMonths+1),"",IF($FN232=FZ$169,1,IF($FN232&lt;FZ$169,INDEX($FO$170:$IH$241,FZ$169,$FN232),SUMPRODUCT(INDEX($FO$325:$IH$396,FZ$169,1+SwaptionShift):INDEX($FO$325:$IH$396,FZ$169,SwaptionMonthsToGo+SwaptionShift),INDEX($FO$245:$IH$316,$FN232-FZ$169,73-FZ$169+SwaptionShift):INDEX($FO$245:$IH$316,$FN232-FZ$169,72-FZ$169+SwaptionMonthsToGo+SwaptionShift))/SQRT(SUM(INDEX($FO387:$IH387,1+SwaptionShift):INDEX($FO387:$IH387,SwaptionMonthsToGo+SwaptionShift))*SUM(INDEX($FO$325:$IH$396,FZ$169,1+SwaptionShift):INDEX($FO$325:$IH$396,FZ$169,SwaptionMonthsToGo+SwaptionShift))))))</f>
        <v/>
      </c>
      <c r="GA232" s="469" t="str">
        <f ca="1">IF(OR(GA$169&lt;SwaptionFirstMonthPosition+1,$FN232&lt;SwaptionFirstMonthPosition+1,GA$169&gt;SwaptionFirstMonthPosition+SwaptionNumOfMonths+1,$FN232&gt;SwaptionFirstMonthPosition+SwaptionNumOfMonths+1),"",IF($FN232=GA$169,1,IF($FN232&lt;GA$169,INDEX($FO$170:$IH$241,GA$169,$FN232),SUMPRODUCT(INDEX($FO$325:$IH$396,GA$169,1+SwaptionShift):INDEX($FO$325:$IH$396,GA$169,SwaptionMonthsToGo+SwaptionShift),INDEX($FO$245:$IH$316,$FN232-GA$169,73-GA$169+SwaptionShift):INDEX($FO$245:$IH$316,$FN232-GA$169,72-GA$169+SwaptionMonthsToGo+SwaptionShift))/SQRT(SUM(INDEX($FO387:$IH387,1+SwaptionShift):INDEX($FO387:$IH387,SwaptionMonthsToGo+SwaptionShift))*SUM(INDEX($FO$325:$IH$396,GA$169,1+SwaptionShift):INDEX($FO$325:$IH$396,GA$169,SwaptionMonthsToGo+SwaptionShift))))))</f>
        <v/>
      </c>
      <c r="GB232" s="469" t="str">
        <f ca="1">IF(OR(GB$169&lt;SwaptionFirstMonthPosition+1,$FN232&lt;SwaptionFirstMonthPosition+1,GB$169&gt;SwaptionFirstMonthPosition+SwaptionNumOfMonths+1,$FN232&gt;SwaptionFirstMonthPosition+SwaptionNumOfMonths+1),"",IF($FN232=GB$169,1,IF($FN232&lt;GB$169,INDEX($FO$170:$IH$241,GB$169,$FN232),SUMPRODUCT(INDEX($FO$325:$IH$396,GB$169,1+SwaptionShift):INDEX($FO$325:$IH$396,GB$169,SwaptionMonthsToGo+SwaptionShift),INDEX($FO$245:$IH$316,$FN232-GB$169,73-GB$169+SwaptionShift):INDEX($FO$245:$IH$316,$FN232-GB$169,72-GB$169+SwaptionMonthsToGo+SwaptionShift))/SQRT(SUM(INDEX($FO387:$IH387,1+SwaptionShift):INDEX($FO387:$IH387,SwaptionMonthsToGo+SwaptionShift))*SUM(INDEX($FO$325:$IH$396,GB$169,1+SwaptionShift):INDEX($FO$325:$IH$396,GB$169,SwaptionMonthsToGo+SwaptionShift))))))</f>
        <v/>
      </c>
      <c r="GC232" s="469" t="str">
        <f ca="1">IF(OR(GC$169&lt;SwaptionFirstMonthPosition+1,$FN232&lt;SwaptionFirstMonthPosition+1,GC$169&gt;SwaptionFirstMonthPosition+SwaptionNumOfMonths+1,$FN232&gt;SwaptionFirstMonthPosition+SwaptionNumOfMonths+1),"",IF($FN232=GC$169,1,IF($FN232&lt;GC$169,INDEX($FO$170:$IH$241,GC$169,$FN232),SUMPRODUCT(INDEX($FO$325:$IH$396,GC$169,1+SwaptionShift):INDEX($FO$325:$IH$396,GC$169,SwaptionMonthsToGo+SwaptionShift),INDEX($FO$245:$IH$316,$FN232-GC$169,73-GC$169+SwaptionShift):INDEX($FO$245:$IH$316,$FN232-GC$169,72-GC$169+SwaptionMonthsToGo+SwaptionShift))/SQRT(SUM(INDEX($FO387:$IH387,1+SwaptionShift):INDEX($FO387:$IH387,SwaptionMonthsToGo+SwaptionShift))*SUM(INDEX($FO$325:$IH$396,GC$169,1+SwaptionShift):INDEX($FO$325:$IH$396,GC$169,SwaptionMonthsToGo+SwaptionShift))))))</f>
        <v/>
      </c>
      <c r="GD232" s="469" t="str">
        <f ca="1">IF(OR(GD$169&lt;SwaptionFirstMonthPosition+1,$FN232&lt;SwaptionFirstMonthPosition+1,GD$169&gt;SwaptionFirstMonthPosition+SwaptionNumOfMonths+1,$FN232&gt;SwaptionFirstMonthPosition+SwaptionNumOfMonths+1),"",IF($FN232=GD$169,1,IF($FN232&lt;GD$169,INDEX($FO$170:$IH$241,GD$169,$FN232),SUMPRODUCT(INDEX($FO$325:$IH$396,GD$169,1+SwaptionShift):INDEX($FO$325:$IH$396,GD$169,SwaptionMonthsToGo+SwaptionShift),INDEX($FO$245:$IH$316,$FN232-GD$169,73-GD$169+SwaptionShift):INDEX($FO$245:$IH$316,$FN232-GD$169,72-GD$169+SwaptionMonthsToGo+SwaptionShift))/SQRT(SUM(INDEX($FO387:$IH387,1+SwaptionShift):INDEX($FO387:$IH387,SwaptionMonthsToGo+SwaptionShift))*SUM(INDEX($FO$325:$IH$396,GD$169,1+SwaptionShift):INDEX($FO$325:$IH$396,GD$169,SwaptionMonthsToGo+SwaptionShift))))))</f>
        <v/>
      </c>
      <c r="GE232" s="469" t="str">
        <f ca="1">IF(OR(GE$169&lt;SwaptionFirstMonthPosition+1,$FN232&lt;SwaptionFirstMonthPosition+1,GE$169&gt;SwaptionFirstMonthPosition+SwaptionNumOfMonths+1,$FN232&gt;SwaptionFirstMonthPosition+SwaptionNumOfMonths+1),"",IF($FN232=GE$169,1,IF($FN232&lt;GE$169,INDEX($FO$170:$IH$241,GE$169,$FN232),SUMPRODUCT(INDEX($FO$325:$IH$396,GE$169,1+SwaptionShift):INDEX($FO$325:$IH$396,GE$169,SwaptionMonthsToGo+SwaptionShift),INDEX($FO$245:$IH$316,$FN232-GE$169,73-GE$169+SwaptionShift):INDEX($FO$245:$IH$316,$FN232-GE$169,72-GE$169+SwaptionMonthsToGo+SwaptionShift))/SQRT(SUM(INDEX($FO387:$IH387,1+SwaptionShift):INDEX($FO387:$IH387,SwaptionMonthsToGo+SwaptionShift))*SUM(INDEX($FO$325:$IH$396,GE$169,1+SwaptionShift):INDEX($FO$325:$IH$396,GE$169,SwaptionMonthsToGo+SwaptionShift))))))</f>
        <v/>
      </c>
      <c r="GF232" s="469" t="str">
        <f ca="1">IF(OR(GF$169&lt;SwaptionFirstMonthPosition+1,$FN232&lt;SwaptionFirstMonthPosition+1,GF$169&gt;SwaptionFirstMonthPosition+SwaptionNumOfMonths+1,$FN232&gt;SwaptionFirstMonthPosition+SwaptionNumOfMonths+1),"",IF($FN232=GF$169,1,IF($FN232&lt;GF$169,INDEX($FO$170:$IH$241,GF$169,$FN232),SUMPRODUCT(INDEX($FO$325:$IH$396,GF$169,1+SwaptionShift):INDEX($FO$325:$IH$396,GF$169,SwaptionMonthsToGo+SwaptionShift),INDEX($FO$245:$IH$316,$FN232-GF$169,73-GF$169+SwaptionShift):INDEX($FO$245:$IH$316,$FN232-GF$169,72-GF$169+SwaptionMonthsToGo+SwaptionShift))/SQRT(SUM(INDEX($FO387:$IH387,1+SwaptionShift):INDEX($FO387:$IH387,SwaptionMonthsToGo+SwaptionShift))*SUM(INDEX($FO$325:$IH$396,GF$169,1+SwaptionShift):INDEX($FO$325:$IH$396,GF$169,SwaptionMonthsToGo+SwaptionShift))))))</f>
        <v/>
      </c>
      <c r="GG232" s="469" t="str">
        <f ca="1">IF(OR(GG$169&lt;SwaptionFirstMonthPosition+1,$FN232&lt;SwaptionFirstMonthPosition+1,GG$169&gt;SwaptionFirstMonthPosition+SwaptionNumOfMonths+1,$FN232&gt;SwaptionFirstMonthPosition+SwaptionNumOfMonths+1),"",IF($FN232=GG$169,1,IF($FN232&lt;GG$169,INDEX($FO$170:$IH$241,GG$169,$FN232),SUMPRODUCT(INDEX($FO$325:$IH$396,GG$169,1+SwaptionShift):INDEX($FO$325:$IH$396,GG$169,SwaptionMonthsToGo+SwaptionShift),INDEX($FO$245:$IH$316,$FN232-GG$169,73-GG$169+SwaptionShift):INDEX($FO$245:$IH$316,$FN232-GG$169,72-GG$169+SwaptionMonthsToGo+SwaptionShift))/SQRT(SUM(INDEX($FO387:$IH387,1+SwaptionShift):INDEX($FO387:$IH387,SwaptionMonthsToGo+SwaptionShift))*SUM(INDEX($FO$325:$IH$396,GG$169,1+SwaptionShift):INDEX($FO$325:$IH$396,GG$169,SwaptionMonthsToGo+SwaptionShift))))))</f>
        <v/>
      </c>
      <c r="GH232" s="469" t="str">
        <f ca="1">IF(OR(GH$169&lt;SwaptionFirstMonthPosition+1,$FN232&lt;SwaptionFirstMonthPosition+1,GH$169&gt;SwaptionFirstMonthPosition+SwaptionNumOfMonths+1,$FN232&gt;SwaptionFirstMonthPosition+SwaptionNumOfMonths+1),"",IF($FN232=GH$169,1,IF($FN232&lt;GH$169,INDEX($FO$170:$IH$241,GH$169,$FN232),SUMPRODUCT(INDEX($FO$325:$IH$396,GH$169,1+SwaptionShift):INDEX($FO$325:$IH$396,GH$169,SwaptionMonthsToGo+SwaptionShift),INDEX($FO$245:$IH$316,$FN232-GH$169,73-GH$169+SwaptionShift):INDEX($FO$245:$IH$316,$FN232-GH$169,72-GH$169+SwaptionMonthsToGo+SwaptionShift))/SQRT(SUM(INDEX($FO387:$IH387,1+SwaptionShift):INDEX($FO387:$IH387,SwaptionMonthsToGo+SwaptionShift))*SUM(INDEX($FO$325:$IH$396,GH$169,1+SwaptionShift):INDEX($FO$325:$IH$396,GH$169,SwaptionMonthsToGo+SwaptionShift))))))</f>
        <v/>
      </c>
      <c r="GI232" s="469" t="str">
        <f ca="1">IF(OR(GI$169&lt;SwaptionFirstMonthPosition+1,$FN232&lt;SwaptionFirstMonthPosition+1,GI$169&gt;SwaptionFirstMonthPosition+SwaptionNumOfMonths+1,$FN232&gt;SwaptionFirstMonthPosition+SwaptionNumOfMonths+1),"",IF($FN232=GI$169,1,IF($FN232&lt;GI$169,INDEX($FO$170:$IH$241,GI$169,$FN232),SUMPRODUCT(INDEX($FO$325:$IH$396,GI$169,1+SwaptionShift):INDEX($FO$325:$IH$396,GI$169,SwaptionMonthsToGo+SwaptionShift),INDEX($FO$245:$IH$316,$FN232-GI$169,73-GI$169+SwaptionShift):INDEX($FO$245:$IH$316,$FN232-GI$169,72-GI$169+SwaptionMonthsToGo+SwaptionShift))/SQRT(SUM(INDEX($FO387:$IH387,1+SwaptionShift):INDEX($FO387:$IH387,SwaptionMonthsToGo+SwaptionShift))*SUM(INDEX($FO$325:$IH$396,GI$169,1+SwaptionShift):INDEX($FO$325:$IH$396,GI$169,SwaptionMonthsToGo+SwaptionShift))))))</f>
        <v/>
      </c>
      <c r="GJ232" s="469" t="str">
        <f ca="1">IF(OR(GJ$169&lt;SwaptionFirstMonthPosition+1,$FN232&lt;SwaptionFirstMonthPosition+1,GJ$169&gt;SwaptionFirstMonthPosition+SwaptionNumOfMonths+1,$FN232&gt;SwaptionFirstMonthPosition+SwaptionNumOfMonths+1),"",IF($FN232=GJ$169,1,IF($FN232&lt;GJ$169,INDEX($FO$170:$IH$241,GJ$169,$FN232),SUMPRODUCT(INDEX($FO$325:$IH$396,GJ$169,1+SwaptionShift):INDEX($FO$325:$IH$396,GJ$169,SwaptionMonthsToGo+SwaptionShift),INDEX($FO$245:$IH$316,$FN232-GJ$169,73-GJ$169+SwaptionShift):INDEX($FO$245:$IH$316,$FN232-GJ$169,72-GJ$169+SwaptionMonthsToGo+SwaptionShift))/SQRT(SUM(INDEX($FO387:$IH387,1+SwaptionShift):INDEX($FO387:$IH387,SwaptionMonthsToGo+SwaptionShift))*SUM(INDEX($FO$325:$IH$396,GJ$169,1+SwaptionShift):INDEX($FO$325:$IH$396,GJ$169,SwaptionMonthsToGo+SwaptionShift))))))</f>
        <v/>
      </c>
      <c r="GK232" s="469" t="str">
        <f ca="1">IF(OR(GK$169&lt;SwaptionFirstMonthPosition+1,$FN232&lt;SwaptionFirstMonthPosition+1,GK$169&gt;SwaptionFirstMonthPosition+SwaptionNumOfMonths+1,$FN232&gt;SwaptionFirstMonthPosition+SwaptionNumOfMonths+1),"",IF($FN232=GK$169,1,IF($FN232&lt;GK$169,INDEX($FO$170:$IH$241,GK$169,$FN232),SUMPRODUCT(INDEX($FO$325:$IH$396,GK$169,1+SwaptionShift):INDEX($FO$325:$IH$396,GK$169,SwaptionMonthsToGo+SwaptionShift),INDEX($FO$245:$IH$316,$FN232-GK$169,73-GK$169+SwaptionShift):INDEX($FO$245:$IH$316,$FN232-GK$169,72-GK$169+SwaptionMonthsToGo+SwaptionShift))/SQRT(SUM(INDEX($FO387:$IH387,1+SwaptionShift):INDEX($FO387:$IH387,SwaptionMonthsToGo+SwaptionShift))*SUM(INDEX($FO$325:$IH$396,GK$169,1+SwaptionShift):INDEX($FO$325:$IH$396,GK$169,SwaptionMonthsToGo+SwaptionShift))))))</f>
        <v/>
      </c>
      <c r="GL232" s="469" t="str">
        <f ca="1">IF(OR(GL$169&lt;SwaptionFirstMonthPosition+1,$FN232&lt;SwaptionFirstMonthPosition+1,GL$169&gt;SwaptionFirstMonthPosition+SwaptionNumOfMonths+1,$FN232&gt;SwaptionFirstMonthPosition+SwaptionNumOfMonths+1),"",IF($FN232=GL$169,1,IF($FN232&lt;GL$169,INDEX($FO$170:$IH$241,GL$169,$FN232),SUMPRODUCT(INDEX($FO$325:$IH$396,GL$169,1+SwaptionShift):INDEX($FO$325:$IH$396,GL$169,SwaptionMonthsToGo+SwaptionShift),INDEX($FO$245:$IH$316,$FN232-GL$169,73-GL$169+SwaptionShift):INDEX($FO$245:$IH$316,$FN232-GL$169,72-GL$169+SwaptionMonthsToGo+SwaptionShift))/SQRT(SUM(INDEX($FO387:$IH387,1+SwaptionShift):INDEX($FO387:$IH387,SwaptionMonthsToGo+SwaptionShift))*SUM(INDEX($FO$325:$IH$396,GL$169,1+SwaptionShift):INDEX($FO$325:$IH$396,GL$169,SwaptionMonthsToGo+SwaptionShift))))))</f>
        <v/>
      </c>
      <c r="GM232" s="469" t="str">
        <f ca="1">IF(OR(GM$169&lt;SwaptionFirstMonthPosition+1,$FN232&lt;SwaptionFirstMonthPosition+1,GM$169&gt;SwaptionFirstMonthPosition+SwaptionNumOfMonths+1,$FN232&gt;SwaptionFirstMonthPosition+SwaptionNumOfMonths+1),"",IF($FN232=GM$169,1,IF($FN232&lt;GM$169,INDEX($FO$170:$IH$241,GM$169,$FN232),SUMPRODUCT(INDEX($FO$325:$IH$396,GM$169,1+SwaptionShift):INDEX($FO$325:$IH$396,GM$169,SwaptionMonthsToGo+SwaptionShift),INDEX($FO$245:$IH$316,$FN232-GM$169,73-GM$169+SwaptionShift):INDEX($FO$245:$IH$316,$FN232-GM$169,72-GM$169+SwaptionMonthsToGo+SwaptionShift))/SQRT(SUM(INDEX($FO387:$IH387,1+SwaptionShift):INDEX($FO387:$IH387,SwaptionMonthsToGo+SwaptionShift))*SUM(INDEX($FO$325:$IH$396,GM$169,1+SwaptionShift):INDEX($FO$325:$IH$396,GM$169,SwaptionMonthsToGo+SwaptionShift))))))</f>
        <v/>
      </c>
      <c r="GN232" s="469" t="str">
        <f ca="1">IF(OR(GN$169&lt;SwaptionFirstMonthPosition+1,$FN232&lt;SwaptionFirstMonthPosition+1,GN$169&gt;SwaptionFirstMonthPosition+SwaptionNumOfMonths+1,$FN232&gt;SwaptionFirstMonthPosition+SwaptionNumOfMonths+1),"",IF($FN232=GN$169,1,IF($FN232&lt;GN$169,INDEX($FO$170:$IH$241,GN$169,$FN232),SUMPRODUCT(INDEX($FO$325:$IH$396,GN$169,1+SwaptionShift):INDEX($FO$325:$IH$396,GN$169,SwaptionMonthsToGo+SwaptionShift),INDEX($FO$245:$IH$316,$FN232-GN$169,73-GN$169+SwaptionShift):INDEX($FO$245:$IH$316,$FN232-GN$169,72-GN$169+SwaptionMonthsToGo+SwaptionShift))/SQRT(SUM(INDEX($FO387:$IH387,1+SwaptionShift):INDEX($FO387:$IH387,SwaptionMonthsToGo+SwaptionShift))*SUM(INDEX($FO$325:$IH$396,GN$169,1+SwaptionShift):INDEX($FO$325:$IH$396,GN$169,SwaptionMonthsToGo+SwaptionShift))))))</f>
        <v/>
      </c>
      <c r="GO232" s="469" t="str">
        <f ca="1">IF(OR(GO$169&lt;SwaptionFirstMonthPosition+1,$FN232&lt;SwaptionFirstMonthPosition+1,GO$169&gt;SwaptionFirstMonthPosition+SwaptionNumOfMonths+1,$FN232&gt;SwaptionFirstMonthPosition+SwaptionNumOfMonths+1),"",IF($FN232=GO$169,1,IF($FN232&lt;GO$169,INDEX($FO$170:$IH$241,GO$169,$FN232),SUMPRODUCT(INDEX($FO$325:$IH$396,GO$169,1+SwaptionShift):INDEX($FO$325:$IH$396,GO$169,SwaptionMonthsToGo+SwaptionShift),INDEX($FO$245:$IH$316,$FN232-GO$169,73-GO$169+SwaptionShift):INDEX($FO$245:$IH$316,$FN232-GO$169,72-GO$169+SwaptionMonthsToGo+SwaptionShift))/SQRT(SUM(INDEX($FO387:$IH387,1+SwaptionShift):INDEX($FO387:$IH387,SwaptionMonthsToGo+SwaptionShift))*SUM(INDEX($FO$325:$IH$396,GO$169,1+SwaptionShift):INDEX($FO$325:$IH$396,GO$169,SwaptionMonthsToGo+SwaptionShift))))))</f>
        <v/>
      </c>
      <c r="GP232" s="469" t="str">
        <f ca="1">IF(OR(GP$169&lt;SwaptionFirstMonthPosition+1,$FN232&lt;SwaptionFirstMonthPosition+1,GP$169&gt;SwaptionFirstMonthPosition+SwaptionNumOfMonths+1,$FN232&gt;SwaptionFirstMonthPosition+SwaptionNumOfMonths+1),"",IF($FN232=GP$169,1,IF($FN232&lt;GP$169,INDEX($FO$170:$IH$241,GP$169,$FN232),SUMPRODUCT(INDEX($FO$325:$IH$396,GP$169,1+SwaptionShift):INDEX($FO$325:$IH$396,GP$169,SwaptionMonthsToGo+SwaptionShift),INDEX($FO$245:$IH$316,$FN232-GP$169,73-GP$169+SwaptionShift):INDEX($FO$245:$IH$316,$FN232-GP$169,72-GP$169+SwaptionMonthsToGo+SwaptionShift))/SQRT(SUM(INDEX($FO387:$IH387,1+SwaptionShift):INDEX($FO387:$IH387,SwaptionMonthsToGo+SwaptionShift))*SUM(INDEX($FO$325:$IH$396,GP$169,1+SwaptionShift):INDEX($FO$325:$IH$396,GP$169,SwaptionMonthsToGo+SwaptionShift))))))</f>
        <v/>
      </c>
      <c r="GQ232" s="469" t="str">
        <f ca="1">IF(OR(GQ$169&lt;SwaptionFirstMonthPosition+1,$FN232&lt;SwaptionFirstMonthPosition+1,GQ$169&gt;SwaptionFirstMonthPosition+SwaptionNumOfMonths+1,$FN232&gt;SwaptionFirstMonthPosition+SwaptionNumOfMonths+1),"",IF($FN232=GQ$169,1,IF($FN232&lt;GQ$169,INDEX($FO$170:$IH$241,GQ$169,$FN232),SUMPRODUCT(INDEX($FO$325:$IH$396,GQ$169,1+SwaptionShift):INDEX($FO$325:$IH$396,GQ$169,SwaptionMonthsToGo+SwaptionShift),INDEX($FO$245:$IH$316,$FN232-GQ$169,73-GQ$169+SwaptionShift):INDEX($FO$245:$IH$316,$FN232-GQ$169,72-GQ$169+SwaptionMonthsToGo+SwaptionShift))/SQRT(SUM(INDEX($FO387:$IH387,1+SwaptionShift):INDEX($FO387:$IH387,SwaptionMonthsToGo+SwaptionShift))*SUM(INDEX($FO$325:$IH$396,GQ$169,1+SwaptionShift):INDEX($FO$325:$IH$396,GQ$169,SwaptionMonthsToGo+SwaptionShift))))))</f>
        <v/>
      </c>
      <c r="GR232" s="469" t="str">
        <f ca="1">IF(OR(GR$169&lt;SwaptionFirstMonthPosition+1,$FN232&lt;SwaptionFirstMonthPosition+1,GR$169&gt;SwaptionFirstMonthPosition+SwaptionNumOfMonths+1,$FN232&gt;SwaptionFirstMonthPosition+SwaptionNumOfMonths+1),"",IF($FN232=GR$169,1,IF($FN232&lt;GR$169,INDEX($FO$170:$IH$241,GR$169,$FN232),SUMPRODUCT(INDEX($FO$325:$IH$396,GR$169,1+SwaptionShift):INDEX($FO$325:$IH$396,GR$169,SwaptionMonthsToGo+SwaptionShift),INDEX($FO$245:$IH$316,$FN232-GR$169,73-GR$169+SwaptionShift):INDEX($FO$245:$IH$316,$FN232-GR$169,72-GR$169+SwaptionMonthsToGo+SwaptionShift))/SQRT(SUM(INDEX($FO387:$IH387,1+SwaptionShift):INDEX($FO387:$IH387,SwaptionMonthsToGo+SwaptionShift))*SUM(INDEX($FO$325:$IH$396,GR$169,1+SwaptionShift):INDEX($FO$325:$IH$396,GR$169,SwaptionMonthsToGo+SwaptionShift))))))</f>
        <v/>
      </c>
      <c r="GS232" s="469" t="str">
        <f ca="1">IF(OR(GS$169&lt;SwaptionFirstMonthPosition+1,$FN232&lt;SwaptionFirstMonthPosition+1,GS$169&gt;SwaptionFirstMonthPosition+SwaptionNumOfMonths+1,$FN232&gt;SwaptionFirstMonthPosition+SwaptionNumOfMonths+1),"",IF($FN232=GS$169,1,IF($FN232&lt;GS$169,INDEX($FO$170:$IH$241,GS$169,$FN232),SUMPRODUCT(INDEX($FO$325:$IH$396,GS$169,1+SwaptionShift):INDEX($FO$325:$IH$396,GS$169,SwaptionMonthsToGo+SwaptionShift),INDEX($FO$245:$IH$316,$FN232-GS$169,73-GS$169+SwaptionShift):INDEX($FO$245:$IH$316,$FN232-GS$169,72-GS$169+SwaptionMonthsToGo+SwaptionShift))/SQRT(SUM(INDEX($FO387:$IH387,1+SwaptionShift):INDEX($FO387:$IH387,SwaptionMonthsToGo+SwaptionShift))*SUM(INDEX($FO$325:$IH$396,GS$169,1+SwaptionShift):INDEX($FO$325:$IH$396,GS$169,SwaptionMonthsToGo+SwaptionShift))))))</f>
        <v/>
      </c>
      <c r="GT232" s="469" t="str">
        <f ca="1">IF(OR(GT$169&lt;SwaptionFirstMonthPosition+1,$FN232&lt;SwaptionFirstMonthPosition+1,GT$169&gt;SwaptionFirstMonthPosition+SwaptionNumOfMonths+1,$FN232&gt;SwaptionFirstMonthPosition+SwaptionNumOfMonths+1),"",IF($FN232=GT$169,1,IF($FN232&lt;GT$169,INDEX($FO$170:$IH$241,GT$169,$FN232),SUMPRODUCT(INDEX($FO$325:$IH$396,GT$169,1+SwaptionShift):INDEX($FO$325:$IH$396,GT$169,SwaptionMonthsToGo+SwaptionShift),INDEX($FO$245:$IH$316,$FN232-GT$169,73-GT$169+SwaptionShift):INDEX($FO$245:$IH$316,$FN232-GT$169,72-GT$169+SwaptionMonthsToGo+SwaptionShift))/SQRT(SUM(INDEX($FO387:$IH387,1+SwaptionShift):INDEX($FO387:$IH387,SwaptionMonthsToGo+SwaptionShift))*SUM(INDEX($FO$325:$IH$396,GT$169,1+SwaptionShift):INDEX($FO$325:$IH$396,GT$169,SwaptionMonthsToGo+SwaptionShift))))))</f>
        <v/>
      </c>
      <c r="GU232" s="469" t="str">
        <f ca="1">IF(OR(GU$169&lt;SwaptionFirstMonthPosition+1,$FN232&lt;SwaptionFirstMonthPosition+1,GU$169&gt;SwaptionFirstMonthPosition+SwaptionNumOfMonths+1,$FN232&gt;SwaptionFirstMonthPosition+SwaptionNumOfMonths+1),"",IF($FN232=GU$169,1,IF($FN232&lt;GU$169,INDEX($FO$170:$IH$241,GU$169,$FN232),SUMPRODUCT(INDEX($FO$325:$IH$396,GU$169,1+SwaptionShift):INDEX($FO$325:$IH$396,GU$169,SwaptionMonthsToGo+SwaptionShift),INDEX($FO$245:$IH$316,$FN232-GU$169,73-GU$169+SwaptionShift):INDEX($FO$245:$IH$316,$FN232-GU$169,72-GU$169+SwaptionMonthsToGo+SwaptionShift))/SQRT(SUM(INDEX($FO387:$IH387,1+SwaptionShift):INDEX($FO387:$IH387,SwaptionMonthsToGo+SwaptionShift))*SUM(INDEX($FO$325:$IH$396,GU$169,1+SwaptionShift):INDEX($FO$325:$IH$396,GU$169,SwaptionMonthsToGo+SwaptionShift))))))</f>
        <v/>
      </c>
      <c r="GV232" s="469" t="str">
        <f ca="1">IF(OR(GV$169&lt;SwaptionFirstMonthPosition+1,$FN232&lt;SwaptionFirstMonthPosition+1,GV$169&gt;SwaptionFirstMonthPosition+SwaptionNumOfMonths+1,$FN232&gt;SwaptionFirstMonthPosition+SwaptionNumOfMonths+1),"",IF($FN232=GV$169,1,IF($FN232&lt;GV$169,INDEX($FO$170:$IH$241,GV$169,$FN232),SUMPRODUCT(INDEX($FO$325:$IH$396,GV$169,1+SwaptionShift):INDEX($FO$325:$IH$396,GV$169,SwaptionMonthsToGo+SwaptionShift),INDEX($FO$245:$IH$316,$FN232-GV$169,73-GV$169+SwaptionShift):INDEX($FO$245:$IH$316,$FN232-GV$169,72-GV$169+SwaptionMonthsToGo+SwaptionShift))/SQRT(SUM(INDEX($FO387:$IH387,1+SwaptionShift):INDEX($FO387:$IH387,SwaptionMonthsToGo+SwaptionShift))*SUM(INDEX($FO$325:$IH$396,GV$169,1+SwaptionShift):INDEX($FO$325:$IH$396,GV$169,SwaptionMonthsToGo+SwaptionShift))))))</f>
        <v/>
      </c>
      <c r="GW232" s="469" t="str">
        <f ca="1">IF(OR(GW$169&lt;SwaptionFirstMonthPosition+1,$FN232&lt;SwaptionFirstMonthPosition+1,GW$169&gt;SwaptionFirstMonthPosition+SwaptionNumOfMonths+1,$FN232&gt;SwaptionFirstMonthPosition+SwaptionNumOfMonths+1),"",IF($FN232=GW$169,1,IF($FN232&lt;GW$169,INDEX($FO$170:$IH$241,GW$169,$FN232),SUMPRODUCT(INDEX($FO$325:$IH$396,GW$169,1+SwaptionShift):INDEX($FO$325:$IH$396,GW$169,SwaptionMonthsToGo+SwaptionShift),INDEX($FO$245:$IH$316,$FN232-GW$169,73-GW$169+SwaptionShift):INDEX($FO$245:$IH$316,$FN232-GW$169,72-GW$169+SwaptionMonthsToGo+SwaptionShift))/SQRT(SUM(INDEX($FO387:$IH387,1+SwaptionShift):INDEX($FO387:$IH387,SwaptionMonthsToGo+SwaptionShift))*SUM(INDEX($FO$325:$IH$396,GW$169,1+SwaptionShift):INDEX($FO$325:$IH$396,GW$169,SwaptionMonthsToGo+SwaptionShift))))))</f>
        <v/>
      </c>
      <c r="GX232" s="469" t="str">
        <f ca="1">IF(OR(GX$169&lt;SwaptionFirstMonthPosition+1,$FN232&lt;SwaptionFirstMonthPosition+1,GX$169&gt;SwaptionFirstMonthPosition+SwaptionNumOfMonths+1,$FN232&gt;SwaptionFirstMonthPosition+SwaptionNumOfMonths+1),"",IF($FN232=GX$169,1,IF($FN232&lt;GX$169,INDEX($FO$170:$IH$241,GX$169,$FN232),SUMPRODUCT(INDEX($FO$325:$IH$396,GX$169,1+SwaptionShift):INDEX($FO$325:$IH$396,GX$169,SwaptionMonthsToGo+SwaptionShift),INDEX($FO$245:$IH$316,$FN232-GX$169,73-GX$169+SwaptionShift):INDEX($FO$245:$IH$316,$FN232-GX$169,72-GX$169+SwaptionMonthsToGo+SwaptionShift))/SQRT(SUM(INDEX($FO387:$IH387,1+SwaptionShift):INDEX($FO387:$IH387,SwaptionMonthsToGo+SwaptionShift))*SUM(INDEX($FO$325:$IH$396,GX$169,1+SwaptionShift):INDEX($FO$325:$IH$396,GX$169,SwaptionMonthsToGo+SwaptionShift))))))</f>
        <v/>
      </c>
      <c r="GY232" s="469" t="str">
        <f ca="1">IF(OR(GY$169&lt;SwaptionFirstMonthPosition+1,$FN232&lt;SwaptionFirstMonthPosition+1,GY$169&gt;SwaptionFirstMonthPosition+SwaptionNumOfMonths+1,$FN232&gt;SwaptionFirstMonthPosition+SwaptionNumOfMonths+1),"",IF($FN232=GY$169,1,IF($FN232&lt;GY$169,INDEX($FO$170:$IH$241,GY$169,$FN232),SUMPRODUCT(INDEX($FO$325:$IH$396,GY$169,1+SwaptionShift):INDEX($FO$325:$IH$396,GY$169,SwaptionMonthsToGo+SwaptionShift),INDEX($FO$245:$IH$316,$FN232-GY$169,73-GY$169+SwaptionShift):INDEX($FO$245:$IH$316,$FN232-GY$169,72-GY$169+SwaptionMonthsToGo+SwaptionShift))/SQRT(SUM(INDEX($FO387:$IH387,1+SwaptionShift):INDEX($FO387:$IH387,SwaptionMonthsToGo+SwaptionShift))*SUM(INDEX($FO$325:$IH$396,GY$169,1+SwaptionShift):INDEX($FO$325:$IH$396,GY$169,SwaptionMonthsToGo+SwaptionShift))))))</f>
        <v/>
      </c>
      <c r="GZ232" s="469" t="str">
        <f ca="1">IF(OR(GZ$169&lt;SwaptionFirstMonthPosition+1,$FN232&lt;SwaptionFirstMonthPosition+1,GZ$169&gt;SwaptionFirstMonthPosition+SwaptionNumOfMonths+1,$FN232&gt;SwaptionFirstMonthPosition+SwaptionNumOfMonths+1),"",IF($FN232=GZ$169,1,IF($FN232&lt;GZ$169,INDEX($FO$170:$IH$241,GZ$169,$FN232),SUMPRODUCT(INDEX($FO$325:$IH$396,GZ$169,1+SwaptionShift):INDEX($FO$325:$IH$396,GZ$169,SwaptionMonthsToGo+SwaptionShift),INDEX($FO$245:$IH$316,$FN232-GZ$169,73-GZ$169+SwaptionShift):INDEX($FO$245:$IH$316,$FN232-GZ$169,72-GZ$169+SwaptionMonthsToGo+SwaptionShift))/SQRT(SUM(INDEX($FO387:$IH387,1+SwaptionShift):INDEX($FO387:$IH387,SwaptionMonthsToGo+SwaptionShift))*SUM(INDEX($FO$325:$IH$396,GZ$169,1+SwaptionShift):INDEX($FO$325:$IH$396,GZ$169,SwaptionMonthsToGo+SwaptionShift))))))</f>
        <v/>
      </c>
      <c r="HA232" s="469" t="str">
        <f ca="1">IF(OR(HA$169&lt;SwaptionFirstMonthPosition+1,$FN232&lt;SwaptionFirstMonthPosition+1,HA$169&gt;SwaptionFirstMonthPosition+SwaptionNumOfMonths+1,$FN232&gt;SwaptionFirstMonthPosition+SwaptionNumOfMonths+1),"",IF($FN232=HA$169,1,IF($FN232&lt;HA$169,INDEX($FO$170:$IH$241,HA$169,$FN232),SUMPRODUCT(INDEX($FO$325:$IH$396,HA$169,1+SwaptionShift):INDEX($FO$325:$IH$396,HA$169,SwaptionMonthsToGo+SwaptionShift),INDEX($FO$245:$IH$316,$FN232-HA$169,73-HA$169+SwaptionShift):INDEX($FO$245:$IH$316,$FN232-HA$169,72-HA$169+SwaptionMonthsToGo+SwaptionShift))/SQRT(SUM(INDEX($FO387:$IH387,1+SwaptionShift):INDEX($FO387:$IH387,SwaptionMonthsToGo+SwaptionShift))*SUM(INDEX($FO$325:$IH$396,HA$169,1+SwaptionShift):INDEX($FO$325:$IH$396,HA$169,SwaptionMonthsToGo+SwaptionShift))))))</f>
        <v/>
      </c>
      <c r="HB232" s="469" t="str">
        <f ca="1">IF(OR(HB$169&lt;SwaptionFirstMonthPosition+1,$FN232&lt;SwaptionFirstMonthPosition+1,HB$169&gt;SwaptionFirstMonthPosition+SwaptionNumOfMonths+1,$FN232&gt;SwaptionFirstMonthPosition+SwaptionNumOfMonths+1),"",IF($FN232=HB$169,1,IF($FN232&lt;HB$169,INDEX($FO$170:$IH$241,HB$169,$FN232),SUMPRODUCT(INDEX($FO$325:$IH$396,HB$169,1+SwaptionShift):INDEX($FO$325:$IH$396,HB$169,SwaptionMonthsToGo+SwaptionShift),INDEX($FO$245:$IH$316,$FN232-HB$169,73-HB$169+SwaptionShift):INDEX($FO$245:$IH$316,$FN232-HB$169,72-HB$169+SwaptionMonthsToGo+SwaptionShift))/SQRT(SUM(INDEX($FO387:$IH387,1+SwaptionShift):INDEX($FO387:$IH387,SwaptionMonthsToGo+SwaptionShift))*SUM(INDEX($FO$325:$IH$396,HB$169,1+SwaptionShift):INDEX($FO$325:$IH$396,HB$169,SwaptionMonthsToGo+SwaptionShift))))))</f>
        <v/>
      </c>
      <c r="HC232" s="469" t="str">
        <f ca="1">IF(OR(HC$169&lt;SwaptionFirstMonthPosition+1,$FN232&lt;SwaptionFirstMonthPosition+1,HC$169&gt;SwaptionFirstMonthPosition+SwaptionNumOfMonths+1,$FN232&gt;SwaptionFirstMonthPosition+SwaptionNumOfMonths+1),"",IF($FN232=HC$169,1,IF($FN232&lt;HC$169,INDEX($FO$170:$IH$241,HC$169,$FN232),SUMPRODUCT(INDEX($FO$325:$IH$396,HC$169,1+SwaptionShift):INDEX($FO$325:$IH$396,HC$169,SwaptionMonthsToGo+SwaptionShift),INDEX($FO$245:$IH$316,$FN232-HC$169,73-HC$169+SwaptionShift):INDEX($FO$245:$IH$316,$FN232-HC$169,72-HC$169+SwaptionMonthsToGo+SwaptionShift))/SQRT(SUM(INDEX($FO387:$IH387,1+SwaptionShift):INDEX($FO387:$IH387,SwaptionMonthsToGo+SwaptionShift))*SUM(INDEX($FO$325:$IH$396,HC$169,1+SwaptionShift):INDEX($FO$325:$IH$396,HC$169,SwaptionMonthsToGo+SwaptionShift))))))</f>
        <v/>
      </c>
      <c r="HD232" s="469" t="str">
        <f ca="1">IF(OR(HD$169&lt;SwaptionFirstMonthPosition+1,$FN232&lt;SwaptionFirstMonthPosition+1,HD$169&gt;SwaptionFirstMonthPosition+SwaptionNumOfMonths+1,$FN232&gt;SwaptionFirstMonthPosition+SwaptionNumOfMonths+1),"",IF($FN232=HD$169,1,IF($FN232&lt;HD$169,INDEX($FO$170:$IH$241,HD$169,$FN232),SUMPRODUCT(INDEX($FO$325:$IH$396,HD$169,1+SwaptionShift):INDEX($FO$325:$IH$396,HD$169,SwaptionMonthsToGo+SwaptionShift),INDEX($FO$245:$IH$316,$FN232-HD$169,73-HD$169+SwaptionShift):INDEX($FO$245:$IH$316,$FN232-HD$169,72-HD$169+SwaptionMonthsToGo+SwaptionShift))/SQRT(SUM(INDEX($FO387:$IH387,1+SwaptionShift):INDEX($FO387:$IH387,SwaptionMonthsToGo+SwaptionShift))*SUM(INDEX($FO$325:$IH$396,HD$169,1+SwaptionShift):INDEX($FO$325:$IH$396,HD$169,SwaptionMonthsToGo+SwaptionShift))))))</f>
        <v/>
      </c>
      <c r="HE232" s="469" t="str">
        <f ca="1">IF(OR(HE$169&lt;SwaptionFirstMonthPosition+1,$FN232&lt;SwaptionFirstMonthPosition+1,HE$169&gt;SwaptionFirstMonthPosition+SwaptionNumOfMonths+1,$FN232&gt;SwaptionFirstMonthPosition+SwaptionNumOfMonths+1),"",IF($FN232=HE$169,1,IF($FN232&lt;HE$169,INDEX($FO$170:$IH$241,HE$169,$FN232),SUMPRODUCT(INDEX($FO$325:$IH$396,HE$169,1+SwaptionShift):INDEX($FO$325:$IH$396,HE$169,SwaptionMonthsToGo+SwaptionShift),INDEX($FO$245:$IH$316,$FN232-HE$169,73-HE$169+SwaptionShift):INDEX($FO$245:$IH$316,$FN232-HE$169,72-HE$169+SwaptionMonthsToGo+SwaptionShift))/SQRT(SUM(INDEX($FO387:$IH387,1+SwaptionShift):INDEX($FO387:$IH387,SwaptionMonthsToGo+SwaptionShift))*SUM(INDEX($FO$325:$IH$396,HE$169,1+SwaptionShift):INDEX($FO$325:$IH$396,HE$169,SwaptionMonthsToGo+SwaptionShift))))))</f>
        <v/>
      </c>
      <c r="HF232" s="469" t="str">
        <f ca="1">IF(OR(HF$169&lt;SwaptionFirstMonthPosition+1,$FN232&lt;SwaptionFirstMonthPosition+1,HF$169&gt;SwaptionFirstMonthPosition+SwaptionNumOfMonths+1,$FN232&gt;SwaptionFirstMonthPosition+SwaptionNumOfMonths+1),"",IF($FN232=HF$169,1,IF($FN232&lt;HF$169,INDEX($FO$170:$IH$241,HF$169,$FN232),SUMPRODUCT(INDEX($FO$325:$IH$396,HF$169,1+SwaptionShift):INDEX($FO$325:$IH$396,HF$169,SwaptionMonthsToGo+SwaptionShift),INDEX($FO$245:$IH$316,$FN232-HF$169,73-HF$169+SwaptionShift):INDEX($FO$245:$IH$316,$FN232-HF$169,72-HF$169+SwaptionMonthsToGo+SwaptionShift))/SQRT(SUM(INDEX($FO387:$IH387,1+SwaptionShift):INDEX($FO387:$IH387,SwaptionMonthsToGo+SwaptionShift))*SUM(INDEX($FO$325:$IH$396,HF$169,1+SwaptionShift):INDEX($FO$325:$IH$396,HF$169,SwaptionMonthsToGo+SwaptionShift))))))</f>
        <v/>
      </c>
      <c r="HG232" s="469" t="str">
        <f ca="1">IF(OR(HG$169&lt;SwaptionFirstMonthPosition+1,$FN232&lt;SwaptionFirstMonthPosition+1,HG$169&gt;SwaptionFirstMonthPosition+SwaptionNumOfMonths+1,$FN232&gt;SwaptionFirstMonthPosition+SwaptionNumOfMonths+1),"",IF($FN232=HG$169,1,IF($FN232&lt;HG$169,INDEX($FO$170:$IH$241,HG$169,$FN232),SUMPRODUCT(INDEX($FO$325:$IH$396,HG$169,1+SwaptionShift):INDEX($FO$325:$IH$396,HG$169,SwaptionMonthsToGo+SwaptionShift),INDEX($FO$245:$IH$316,$FN232-HG$169,73-HG$169+SwaptionShift):INDEX($FO$245:$IH$316,$FN232-HG$169,72-HG$169+SwaptionMonthsToGo+SwaptionShift))/SQRT(SUM(INDEX($FO387:$IH387,1+SwaptionShift):INDEX($FO387:$IH387,SwaptionMonthsToGo+SwaptionShift))*SUM(INDEX($FO$325:$IH$396,HG$169,1+SwaptionShift):INDEX($FO$325:$IH$396,HG$169,SwaptionMonthsToGo+SwaptionShift))))))</f>
        <v/>
      </c>
      <c r="HH232" s="469" t="str">
        <f ca="1">IF(OR(HH$169&lt;SwaptionFirstMonthPosition+1,$FN232&lt;SwaptionFirstMonthPosition+1,HH$169&gt;SwaptionFirstMonthPosition+SwaptionNumOfMonths+1,$FN232&gt;SwaptionFirstMonthPosition+SwaptionNumOfMonths+1),"",IF($FN232=HH$169,1,IF($FN232&lt;HH$169,INDEX($FO$170:$IH$241,HH$169,$FN232),SUMPRODUCT(INDEX($FO$325:$IH$396,HH$169,1+SwaptionShift):INDEX($FO$325:$IH$396,HH$169,SwaptionMonthsToGo+SwaptionShift),INDEX($FO$245:$IH$316,$FN232-HH$169,73-HH$169+SwaptionShift):INDEX($FO$245:$IH$316,$FN232-HH$169,72-HH$169+SwaptionMonthsToGo+SwaptionShift))/SQRT(SUM(INDEX($FO387:$IH387,1+SwaptionShift):INDEX($FO387:$IH387,SwaptionMonthsToGo+SwaptionShift))*SUM(INDEX($FO$325:$IH$396,HH$169,1+SwaptionShift):INDEX($FO$325:$IH$396,HH$169,SwaptionMonthsToGo+SwaptionShift))))))</f>
        <v/>
      </c>
      <c r="HI232" s="469" t="str">
        <f ca="1">IF(OR(HI$169&lt;SwaptionFirstMonthPosition+1,$FN232&lt;SwaptionFirstMonthPosition+1,HI$169&gt;SwaptionFirstMonthPosition+SwaptionNumOfMonths+1,$FN232&gt;SwaptionFirstMonthPosition+SwaptionNumOfMonths+1),"",IF($FN232=HI$169,1,IF($FN232&lt;HI$169,INDEX($FO$170:$IH$241,HI$169,$FN232),SUMPRODUCT(INDEX($FO$325:$IH$396,HI$169,1+SwaptionShift):INDEX($FO$325:$IH$396,HI$169,SwaptionMonthsToGo+SwaptionShift),INDEX($FO$245:$IH$316,$FN232-HI$169,73-HI$169+SwaptionShift):INDEX($FO$245:$IH$316,$FN232-HI$169,72-HI$169+SwaptionMonthsToGo+SwaptionShift))/SQRT(SUM(INDEX($FO387:$IH387,1+SwaptionShift):INDEX($FO387:$IH387,SwaptionMonthsToGo+SwaptionShift))*SUM(INDEX($FO$325:$IH$396,HI$169,1+SwaptionShift):INDEX($FO$325:$IH$396,HI$169,SwaptionMonthsToGo+SwaptionShift))))))</f>
        <v/>
      </c>
      <c r="HJ232" s="469" t="str">
        <f ca="1">IF(OR(HJ$169&lt;SwaptionFirstMonthPosition+1,$FN232&lt;SwaptionFirstMonthPosition+1,HJ$169&gt;SwaptionFirstMonthPosition+SwaptionNumOfMonths+1,$FN232&gt;SwaptionFirstMonthPosition+SwaptionNumOfMonths+1),"",IF($FN232=HJ$169,1,IF($FN232&lt;HJ$169,INDEX($FO$170:$IH$241,HJ$169,$FN232),SUMPRODUCT(INDEX($FO$325:$IH$396,HJ$169,1+SwaptionShift):INDEX($FO$325:$IH$396,HJ$169,SwaptionMonthsToGo+SwaptionShift),INDEX($FO$245:$IH$316,$FN232-HJ$169,73-HJ$169+SwaptionShift):INDEX($FO$245:$IH$316,$FN232-HJ$169,72-HJ$169+SwaptionMonthsToGo+SwaptionShift))/SQRT(SUM(INDEX($FO387:$IH387,1+SwaptionShift):INDEX($FO387:$IH387,SwaptionMonthsToGo+SwaptionShift))*SUM(INDEX($FO$325:$IH$396,HJ$169,1+SwaptionShift):INDEX($FO$325:$IH$396,HJ$169,SwaptionMonthsToGo+SwaptionShift))))))</f>
        <v/>
      </c>
      <c r="HK232" s="469" t="str">
        <f ca="1">IF(OR(HK$169&lt;SwaptionFirstMonthPosition+1,$FN232&lt;SwaptionFirstMonthPosition+1,HK$169&gt;SwaptionFirstMonthPosition+SwaptionNumOfMonths+1,$FN232&gt;SwaptionFirstMonthPosition+SwaptionNumOfMonths+1),"",IF($FN232=HK$169,1,IF($FN232&lt;HK$169,INDEX($FO$170:$IH$241,HK$169,$FN232),SUMPRODUCT(INDEX($FO$325:$IH$396,HK$169,1+SwaptionShift):INDEX($FO$325:$IH$396,HK$169,SwaptionMonthsToGo+SwaptionShift),INDEX($FO$245:$IH$316,$FN232-HK$169,73-HK$169+SwaptionShift):INDEX($FO$245:$IH$316,$FN232-HK$169,72-HK$169+SwaptionMonthsToGo+SwaptionShift))/SQRT(SUM(INDEX($FO387:$IH387,1+SwaptionShift):INDEX($FO387:$IH387,SwaptionMonthsToGo+SwaptionShift))*SUM(INDEX($FO$325:$IH$396,HK$169,1+SwaptionShift):INDEX($FO$325:$IH$396,HK$169,SwaptionMonthsToGo+SwaptionShift))))))</f>
        <v/>
      </c>
      <c r="HL232" s="469" t="str">
        <f ca="1">IF(OR(HL$169&lt;SwaptionFirstMonthPosition+1,$FN232&lt;SwaptionFirstMonthPosition+1,HL$169&gt;SwaptionFirstMonthPosition+SwaptionNumOfMonths+1,$FN232&gt;SwaptionFirstMonthPosition+SwaptionNumOfMonths+1),"",IF($FN232=HL$169,1,IF($FN232&lt;HL$169,INDEX($FO$170:$IH$241,HL$169,$FN232),SUMPRODUCT(INDEX($FO$325:$IH$396,HL$169,1+SwaptionShift):INDEX($FO$325:$IH$396,HL$169,SwaptionMonthsToGo+SwaptionShift),INDEX($FO$245:$IH$316,$FN232-HL$169,73-HL$169+SwaptionShift):INDEX($FO$245:$IH$316,$FN232-HL$169,72-HL$169+SwaptionMonthsToGo+SwaptionShift))/SQRT(SUM(INDEX($FO387:$IH387,1+SwaptionShift):INDEX($FO387:$IH387,SwaptionMonthsToGo+SwaptionShift))*SUM(INDEX($FO$325:$IH$396,HL$169,1+SwaptionShift):INDEX($FO$325:$IH$396,HL$169,SwaptionMonthsToGo+SwaptionShift))))))</f>
        <v/>
      </c>
      <c r="HM232" s="469" t="str">
        <f ca="1">IF(OR(HM$169&lt;SwaptionFirstMonthPosition+1,$FN232&lt;SwaptionFirstMonthPosition+1,HM$169&gt;SwaptionFirstMonthPosition+SwaptionNumOfMonths+1,$FN232&gt;SwaptionFirstMonthPosition+SwaptionNumOfMonths+1),"",IF($FN232=HM$169,1,IF($FN232&lt;HM$169,INDEX($FO$170:$IH$241,HM$169,$FN232),SUMPRODUCT(INDEX($FO$325:$IH$396,HM$169,1+SwaptionShift):INDEX($FO$325:$IH$396,HM$169,SwaptionMonthsToGo+SwaptionShift),INDEX($FO$245:$IH$316,$FN232-HM$169,73-HM$169+SwaptionShift):INDEX($FO$245:$IH$316,$FN232-HM$169,72-HM$169+SwaptionMonthsToGo+SwaptionShift))/SQRT(SUM(INDEX($FO387:$IH387,1+SwaptionShift):INDEX($FO387:$IH387,SwaptionMonthsToGo+SwaptionShift))*SUM(INDEX($FO$325:$IH$396,HM$169,1+SwaptionShift):INDEX($FO$325:$IH$396,HM$169,SwaptionMonthsToGo+SwaptionShift))))))</f>
        <v/>
      </c>
      <c r="HN232" s="469" t="str">
        <f ca="1">IF(OR(HN$169&lt;SwaptionFirstMonthPosition+1,$FN232&lt;SwaptionFirstMonthPosition+1,HN$169&gt;SwaptionFirstMonthPosition+SwaptionNumOfMonths+1,$FN232&gt;SwaptionFirstMonthPosition+SwaptionNumOfMonths+1),"",IF($FN232=HN$169,1,IF($FN232&lt;HN$169,INDEX($FO$170:$IH$241,HN$169,$FN232),SUMPRODUCT(INDEX($FO$325:$IH$396,HN$169,1+SwaptionShift):INDEX($FO$325:$IH$396,HN$169,SwaptionMonthsToGo+SwaptionShift),INDEX($FO$245:$IH$316,$FN232-HN$169,73-HN$169+SwaptionShift):INDEX($FO$245:$IH$316,$FN232-HN$169,72-HN$169+SwaptionMonthsToGo+SwaptionShift))/SQRT(SUM(INDEX($FO387:$IH387,1+SwaptionShift):INDEX($FO387:$IH387,SwaptionMonthsToGo+SwaptionShift))*SUM(INDEX($FO$325:$IH$396,HN$169,1+SwaptionShift):INDEX($FO$325:$IH$396,HN$169,SwaptionMonthsToGo+SwaptionShift))))))</f>
        <v/>
      </c>
      <c r="HO232" s="469" t="str">
        <f ca="1">IF(OR(HO$169&lt;SwaptionFirstMonthPosition+1,$FN232&lt;SwaptionFirstMonthPosition+1,HO$169&gt;SwaptionFirstMonthPosition+SwaptionNumOfMonths+1,$FN232&gt;SwaptionFirstMonthPosition+SwaptionNumOfMonths+1),"",IF($FN232=HO$169,1,IF($FN232&lt;HO$169,INDEX($FO$170:$IH$241,HO$169,$FN232),SUMPRODUCT(INDEX($FO$325:$IH$396,HO$169,1+SwaptionShift):INDEX($FO$325:$IH$396,HO$169,SwaptionMonthsToGo+SwaptionShift),INDEX($FO$245:$IH$316,$FN232-HO$169,73-HO$169+SwaptionShift):INDEX($FO$245:$IH$316,$FN232-HO$169,72-HO$169+SwaptionMonthsToGo+SwaptionShift))/SQRT(SUM(INDEX($FO387:$IH387,1+SwaptionShift):INDEX($FO387:$IH387,SwaptionMonthsToGo+SwaptionShift))*SUM(INDEX($FO$325:$IH$396,HO$169,1+SwaptionShift):INDEX($FO$325:$IH$396,HO$169,SwaptionMonthsToGo+SwaptionShift))))))</f>
        <v/>
      </c>
      <c r="HP232" s="469" t="str">
        <f ca="1">IF(OR(HP$169&lt;SwaptionFirstMonthPosition+1,$FN232&lt;SwaptionFirstMonthPosition+1,HP$169&gt;SwaptionFirstMonthPosition+SwaptionNumOfMonths+1,$FN232&gt;SwaptionFirstMonthPosition+SwaptionNumOfMonths+1),"",IF($FN232=HP$169,1,IF($FN232&lt;HP$169,INDEX($FO$170:$IH$241,HP$169,$FN232),SUMPRODUCT(INDEX($FO$325:$IH$396,HP$169,1+SwaptionShift):INDEX($FO$325:$IH$396,HP$169,SwaptionMonthsToGo+SwaptionShift),INDEX($FO$245:$IH$316,$FN232-HP$169,73-HP$169+SwaptionShift):INDEX($FO$245:$IH$316,$FN232-HP$169,72-HP$169+SwaptionMonthsToGo+SwaptionShift))/SQRT(SUM(INDEX($FO387:$IH387,1+SwaptionShift):INDEX($FO387:$IH387,SwaptionMonthsToGo+SwaptionShift))*SUM(INDEX($FO$325:$IH$396,HP$169,1+SwaptionShift):INDEX($FO$325:$IH$396,HP$169,SwaptionMonthsToGo+SwaptionShift))))))</f>
        <v/>
      </c>
      <c r="HQ232" s="469" t="str">
        <f ca="1">IF(OR(HQ$169&lt;SwaptionFirstMonthPosition+1,$FN232&lt;SwaptionFirstMonthPosition+1,HQ$169&gt;SwaptionFirstMonthPosition+SwaptionNumOfMonths+1,$FN232&gt;SwaptionFirstMonthPosition+SwaptionNumOfMonths+1),"",IF($FN232=HQ$169,1,IF($FN232&lt;HQ$169,INDEX($FO$170:$IH$241,HQ$169,$FN232),SUMPRODUCT(INDEX($FO$325:$IH$396,HQ$169,1+SwaptionShift):INDEX($FO$325:$IH$396,HQ$169,SwaptionMonthsToGo+SwaptionShift),INDEX($FO$245:$IH$316,$FN232-HQ$169,73-HQ$169+SwaptionShift):INDEX($FO$245:$IH$316,$FN232-HQ$169,72-HQ$169+SwaptionMonthsToGo+SwaptionShift))/SQRT(SUM(INDEX($FO387:$IH387,1+SwaptionShift):INDEX($FO387:$IH387,SwaptionMonthsToGo+SwaptionShift))*SUM(INDEX($FO$325:$IH$396,HQ$169,1+SwaptionShift):INDEX($FO$325:$IH$396,HQ$169,SwaptionMonthsToGo+SwaptionShift))))))</f>
        <v/>
      </c>
      <c r="HR232" s="469" t="str">
        <f ca="1">IF(OR(HR$169&lt;SwaptionFirstMonthPosition+1,$FN232&lt;SwaptionFirstMonthPosition+1,HR$169&gt;SwaptionFirstMonthPosition+SwaptionNumOfMonths+1,$FN232&gt;SwaptionFirstMonthPosition+SwaptionNumOfMonths+1),"",IF($FN232=HR$169,1,IF($FN232&lt;HR$169,INDEX($FO$170:$IH$241,HR$169,$FN232),SUMPRODUCT(INDEX($FO$325:$IH$396,HR$169,1+SwaptionShift):INDEX($FO$325:$IH$396,HR$169,SwaptionMonthsToGo+SwaptionShift),INDEX($FO$245:$IH$316,$FN232-HR$169,73-HR$169+SwaptionShift):INDEX($FO$245:$IH$316,$FN232-HR$169,72-HR$169+SwaptionMonthsToGo+SwaptionShift))/SQRT(SUM(INDEX($FO387:$IH387,1+SwaptionShift):INDEX($FO387:$IH387,SwaptionMonthsToGo+SwaptionShift))*SUM(INDEX($FO$325:$IH$396,HR$169,1+SwaptionShift):INDEX($FO$325:$IH$396,HR$169,SwaptionMonthsToGo+SwaptionShift))))))</f>
        <v/>
      </c>
      <c r="HS232" s="469" t="str">
        <f ca="1">IF(OR(HS$169&lt;SwaptionFirstMonthPosition+1,$FN232&lt;SwaptionFirstMonthPosition+1,HS$169&gt;SwaptionFirstMonthPosition+SwaptionNumOfMonths+1,$FN232&gt;SwaptionFirstMonthPosition+SwaptionNumOfMonths+1),"",IF($FN232=HS$169,1,IF($FN232&lt;HS$169,INDEX($FO$170:$IH$241,HS$169,$FN232),SUMPRODUCT(INDEX($FO$325:$IH$396,HS$169,1+SwaptionShift):INDEX($FO$325:$IH$396,HS$169,SwaptionMonthsToGo+SwaptionShift),INDEX($FO$245:$IH$316,$FN232-HS$169,73-HS$169+SwaptionShift):INDEX($FO$245:$IH$316,$FN232-HS$169,72-HS$169+SwaptionMonthsToGo+SwaptionShift))/SQRT(SUM(INDEX($FO387:$IH387,1+SwaptionShift):INDEX($FO387:$IH387,SwaptionMonthsToGo+SwaptionShift))*SUM(INDEX($FO$325:$IH$396,HS$169,1+SwaptionShift):INDEX($FO$325:$IH$396,HS$169,SwaptionMonthsToGo+SwaptionShift))))))</f>
        <v/>
      </c>
      <c r="HT232" s="469" t="str">
        <f ca="1">IF(OR(HT$169&lt;SwaptionFirstMonthPosition+1,$FN232&lt;SwaptionFirstMonthPosition+1,HT$169&gt;SwaptionFirstMonthPosition+SwaptionNumOfMonths+1,$FN232&gt;SwaptionFirstMonthPosition+SwaptionNumOfMonths+1),"",IF($FN232=HT$169,1,IF($FN232&lt;HT$169,INDEX($FO$170:$IH$241,HT$169,$FN232),SUMPRODUCT(INDEX($FO$325:$IH$396,HT$169,1+SwaptionShift):INDEX($FO$325:$IH$396,HT$169,SwaptionMonthsToGo+SwaptionShift),INDEX($FO$245:$IH$316,$FN232-HT$169,73-HT$169+SwaptionShift):INDEX($FO$245:$IH$316,$FN232-HT$169,72-HT$169+SwaptionMonthsToGo+SwaptionShift))/SQRT(SUM(INDEX($FO387:$IH387,1+SwaptionShift):INDEX($FO387:$IH387,SwaptionMonthsToGo+SwaptionShift))*SUM(INDEX($FO$325:$IH$396,HT$169,1+SwaptionShift):INDEX($FO$325:$IH$396,HT$169,SwaptionMonthsToGo+SwaptionShift))))))</f>
        <v/>
      </c>
      <c r="HU232" s="469" t="str">
        <f ca="1">IF(OR(HU$169&lt;SwaptionFirstMonthPosition+1,$FN232&lt;SwaptionFirstMonthPosition+1,HU$169&gt;SwaptionFirstMonthPosition+SwaptionNumOfMonths+1,$FN232&gt;SwaptionFirstMonthPosition+SwaptionNumOfMonths+1),"",IF($FN232=HU$169,1,IF($FN232&lt;HU$169,INDEX($FO$170:$IH$241,HU$169,$FN232),SUMPRODUCT(INDEX($FO$325:$IH$396,HU$169,1+SwaptionShift):INDEX($FO$325:$IH$396,HU$169,SwaptionMonthsToGo+SwaptionShift),INDEX($FO$245:$IH$316,$FN232-HU$169,73-HU$169+SwaptionShift):INDEX($FO$245:$IH$316,$FN232-HU$169,72-HU$169+SwaptionMonthsToGo+SwaptionShift))/SQRT(SUM(INDEX($FO387:$IH387,1+SwaptionShift):INDEX($FO387:$IH387,SwaptionMonthsToGo+SwaptionShift))*SUM(INDEX($FO$325:$IH$396,HU$169,1+SwaptionShift):INDEX($FO$325:$IH$396,HU$169,SwaptionMonthsToGo+SwaptionShift))))))</f>
        <v/>
      </c>
      <c r="HV232" s="469" t="str">
        <f ca="1">IF(OR(HV$169&lt;SwaptionFirstMonthPosition+1,$FN232&lt;SwaptionFirstMonthPosition+1,HV$169&gt;SwaptionFirstMonthPosition+SwaptionNumOfMonths+1,$FN232&gt;SwaptionFirstMonthPosition+SwaptionNumOfMonths+1),"",IF($FN232=HV$169,1,IF($FN232&lt;HV$169,INDEX($FO$170:$IH$241,HV$169,$FN232),SUMPRODUCT(INDEX($FO$325:$IH$396,HV$169,1+SwaptionShift):INDEX($FO$325:$IH$396,HV$169,SwaptionMonthsToGo+SwaptionShift),INDEX($FO$245:$IH$316,$FN232-HV$169,73-HV$169+SwaptionShift):INDEX($FO$245:$IH$316,$FN232-HV$169,72-HV$169+SwaptionMonthsToGo+SwaptionShift))/SQRT(SUM(INDEX($FO387:$IH387,1+SwaptionShift):INDEX($FO387:$IH387,SwaptionMonthsToGo+SwaptionShift))*SUM(INDEX($FO$325:$IH$396,HV$169,1+SwaptionShift):INDEX($FO$325:$IH$396,HV$169,SwaptionMonthsToGo+SwaptionShift))))))</f>
        <v/>
      </c>
      <c r="HW232" s="469" t="str">
        <f ca="1">IF(OR(HW$169&lt;SwaptionFirstMonthPosition+1,$FN232&lt;SwaptionFirstMonthPosition+1,HW$169&gt;SwaptionFirstMonthPosition+SwaptionNumOfMonths+1,$FN232&gt;SwaptionFirstMonthPosition+SwaptionNumOfMonths+1),"",IF($FN232=HW$169,1,IF($FN232&lt;HW$169,INDEX($FO$170:$IH$241,HW$169,$FN232),SUMPRODUCT(INDEX($FO$325:$IH$396,HW$169,1+SwaptionShift):INDEX($FO$325:$IH$396,HW$169,SwaptionMonthsToGo+SwaptionShift),INDEX($FO$245:$IH$316,$FN232-HW$169,73-HW$169+SwaptionShift):INDEX($FO$245:$IH$316,$FN232-HW$169,72-HW$169+SwaptionMonthsToGo+SwaptionShift))/SQRT(SUM(INDEX($FO387:$IH387,1+SwaptionShift):INDEX($FO387:$IH387,SwaptionMonthsToGo+SwaptionShift))*SUM(INDEX($FO$325:$IH$396,HW$169,1+SwaptionShift):INDEX($FO$325:$IH$396,HW$169,SwaptionMonthsToGo+SwaptionShift))))))</f>
        <v/>
      </c>
      <c r="HX232" s="469" t="str">
        <f ca="1">IF(OR(HX$169&lt;SwaptionFirstMonthPosition+1,$FN232&lt;SwaptionFirstMonthPosition+1,HX$169&gt;SwaptionFirstMonthPosition+SwaptionNumOfMonths+1,$FN232&gt;SwaptionFirstMonthPosition+SwaptionNumOfMonths+1),"",IF($FN232=HX$169,1,IF($FN232&lt;HX$169,INDEX($FO$170:$IH$241,HX$169,$FN232),SUMPRODUCT(INDEX($FO$325:$IH$396,HX$169,1+SwaptionShift):INDEX($FO$325:$IH$396,HX$169,SwaptionMonthsToGo+SwaptionShift),INDEX($FO$245:$IH$316,$FN232-HX$169,73-HX$169+SwaptionShift):INDEX($FO$245:$IH$316,$FN232-HX$169,72-HX$169+SwaptionMonthsToGo+SwaptionShift))/SQRT(SUM(INDEX($FO387:$IH387,1+SwaptionShift):INDEX($FO387:$IH387,SwaptionMonthsToGo+SwaptionShift))*SUM(INDEX($FO$325:$IH$396,HX$169,1+SwaptionShift):INDEX($FO$325:$IH$396,HX$169,SwaptionMonthsToGo+SwaptionShift))))))</f>
        <v/>
      </c>
      <c r="HY232" s="469" t="str">
        <f ca="1">IF(OR(HY$169&lt;SwaptionFirstMonthPosition+1,$FN232&lt;SwaptionFirstMonthPosition+1,HY$169&gt;SwaptionFirstMonthPosition+SwaptionNumOfMonths+1,$FN232&gt;SwaptionFirstMonthPosition+SwaptionNumOfMonths+1),"",IF($FN232=HY$169,1,IF($FN232&lt;HY$169,INDEX($FO$170:$IH$241,HY$169,$FN232),SUMPRODUCT(INDEX($FO$325:$IH$396,HY$169,1+SwaptionShift):INDEX($FO$325:$IH$396,HY$169,SwaptionMonthsToGo+SwaptionShift),INDEX($FO$245:$IH$316,$FN232-HY$169,73-HY$169+SwaptionShift):INDEX($FO$245:$IH$316,$FN232-HY$169,72-HY$169+SwaptionMonthsToGo+SwaptionShift))/SQRT(SUM(INDEX($FO387:$IH387,1+SwaptionShift):INDEX($FO387:$IH387,SwaptionMonthsToGo+SwaptionShift))*SUM(INDEX($FO$325:$IH$396,HY$169,1+SwaptionShift):INDEX($FO$325:$IH$396,HY$169,SwaptionMonthsToGo+SwaptionShift))))))</f>
        <v/>
      </c>
      <c r="HZ232" s="469" t="str">
        <f ca="1">IF(OR(HZ$169&lt;SwaptionFirstMonthPosition+1,$FN232&lt;SwaptionFirstMonthPosition+1,HZ$169&gt;SwaptionFirstMonthPosition+SwaptionNumOfMonths+1,$FN232&gt;SwaptionFirstMonthPosition+SwaptionNumOfMonths+1),"",IF($FN232=HZ$169,1,IF($FN232&lt;HZ$169,INDEX($FO$170:$IH$241,HZ$169,$FN232),SUMPRODUCT(INDEX($FO$325:$IH$396,HZ$169,1+SwaptionShift):INDEX($FO$325:$IH$396,HZ$169,SwaptionMonthsToGo+SwaptionShift),INDEX($FO$245:$IH$316,$FN232-HZ$169,73-HZ$169+SwaptionShift):INDEX($FO$245:$IH$316,$FN232-HZ$169,72-HZ$169+SwaptionMonthsToGo+SwaptionShift))/SQRT(SUM(INDEX($FO387:$IH387,1+SwaptionShift):INDEX($FO387:$IH387,SwaptionMonthsToGo+SwaptionShift))*SUM(INDEX($FO$325:$IH$396,HZ$169,1+SwaptionShift):INDEX($FO$325:$IH$396,HZ$169,SwaptionMonthsToGo+SwaptionShift))))))</f>
        <v/>
      </c>
      <c r="IA232" s="469" t="str">
        <f ca="1">IF(OR(IA$169&lt;SwaptionFirstMonthPosition+1,$FN232&lt;SwaptionFirstMonthPosition+1,IA$169&gt;SwaptionFirstMonthPosition+SwaptionNumOfMonths+1,$FN232&gt;SwaptionFirstMonthPosition+SwaptionNumOfMonths+1),"",IF($FN232=IA$169,1,IF($FN232&lt;IA$169,INDEX($FO$170:$IH$241,IA$169,$FN232),SUMPRODUCT(INDEX($FO$325:$IH$396,IA$169,1+SwaptionShift):INDEX($FO$325:$IH$396,IA$169,SwaptionMonthsToGo+SwaptionShift),INDEX($FO$245:$IH$316,$FN232-IA$169,73-IA$169+SwaptionShift):INDEX($FO$245:$IH$316,$FN232-IA$169,72-IA$169+SwaptionMonthsToGo+SwaptionShift))/SQRT(SUM(INDEX($FO387:$IH387,1+SwaptionShift):INDEX($FO387:$IH387,SwaptionMonthsToGo+SwaptionShift))*SUM(INDEX($FO$325:$IH$396,IA$169,1+SwaptionShift):INDEX($FO$325:$IH$396,IA$169,SwaptionMonthsToGo+SwaptionShift))))))</f>
        <v/>
      </c>
      <c r="IB232" s="469" t="str">
        <f ca="1">IF(OR(IB$169&lt;SwaptionFirstMonthPosition+1,$FN232&lt;SwaptionFirstMonthPosition+1,IB$169&gt;SwaptionFirstMonthPosition+SwaptionNumOfMonths+1,$FN232&gt;SwaptionFirstMonthPosition+SwaptionNumOfMonths+1),"",IF($FN232=IB$169,1,IF($FN232&lt;IB$169,INDEX($FO$170:$IH$241,IB$169,$FN232),SUMPRODUCT(INDEX($FO$325:$IH$396,IB$169,1+SwaptionShift):INDEX($FO$325:$IH$396,IB$169,SwaptionMonthsToGo+SwaptionShift),INDEX($FO$245:$IH$316,$FN232-IB$169,73-IB$169+SwaptionShift):INDEX($FO$245:$IH$316,$FN232-IB$169,72-IB$169+SwaptionMonthsToGo+SwaptionShift))/SQRT(SUM(INDEX($FO387:$IH387,1+SwaptionShift):INDEX($FO387:$IH387,SwaptionMonthsToGo+SwaptionShift))*SUM(INDEX($FO$325:$IH$396,IB$169,1+SwaptionShift):INDEX($FO$325:$IH$396,IB$169,SwaptionMonthsToGo+SwaptionShift))))))</f>
        <v/>
      </c>
      <c r="IC232" s="469" t="str">
        <f ca="1">IF(OR(IC$169&lt;SwaptionFirstMonthPosition+1,$FN232&lt;SwaptionFirstMonthPosition+1,IC$169&gt;SwaptionFirstMonthPosition+SwaptionNumOfMonths+1,$FN232&gt;SwaptionFirstMonthPosition+SwaptionNumOfMonths+1),"",IF($FN232=IC$169,1,IF($FN232&lt;IC$169,INDEX($FO$170:$IH$241,IC$169,$FN232),SUMPRODUCT(INDEX($FO$325:$IH$396,IC$169,1+SwaptionShift):INDEX($FO$325:$IH$396,IC$169,SwaptionMonthsToGo+SwaptionShift),INDEX($FO$245:$IH$316,$FN232-IC$169,73-IC$169+SwaptionShift):INDEX($FO$245:$IH$316,$FN232-IC$169,72-IC$169+SwaptionMonthsToGo+SwaptionShift))/SQRT(SUM(INDEX($FO387:$IH387,1+SwaptionShift):INDEX($FO387:$IH387,SwaptionMonthsToGo+SwaptionShift))*SUM(INDEX($FO$325:$IH$396,IC$169,1+SwaptionShift):INDEX($FO$325:$IH$396,IC$169,SwaptionMonthsToGo+SwaptionShift))))))</f>
        <v/>
      </c>
      <c r="ID232" s="469" t="str">
        <f ca="1">IF(OR(ID$169&lt;SwaptionFirstMonthPosition+1,$FN232&lt;SwaptionFirstMonthPosition+1,ID$169&gt;SwaptionFirstMonthPosition+SwaptionNumOfMonths+1,$FN232&gt;SwaptionFirstMonthPosition+SwaptionNumOfMonths+1),"",IF($FN232=ID$169,1,IF($FN232&lt;ID$169,INDEX($FO$170:$IH$241,ID$169,$FN232),SUMPRODUCT(INDEX($FO$325:$IH$396,ID$169,1+SwaptionShift):INDEX($FO$325:$IH$396,ID$169,SwaptionMonthsToGo+SwaptionShift),INDEX($FO$245:$IH$316,$FN232-ID$169,73-ID$169+SwaptionShift):INDEX($FO$245:$IH$316,$FN232-ID$169,72-ID$169+SwaptionMonthsToGo+SwaptionShift))/SQRT(SUM(INDEX($FO387:$IH387,1+SwaptionShift):INDEX($FO387:$IH387,SwaptionMonthsToGo+SwaptionShift))*SUM(INDEX($FO$325:$IH$396,ID$169,1+SwaptionShift):INDEX($FO$325:$IH$396,ID$169,SwaptionMonthsToGo+SwaptionShift))))))</f>
        <v/>
      </c>
      <c r="IE232" s="469" t="str">
        <f ca="1">IF(OR(IE$169&lt;SwaptionFirstMonthPosition+1,$FN232&lt;SwaptionFirstMonthPosition+1,IE$169&gt;SwaptionFirstMonthPosition+SwaptionNumOfMonths+1,$FN232&gt;SwaptionFirstMonthPosition+SwaptionNumOfMonths+1),"",IF($FN232=IE$169,1,IF($FN232&lt;IE$169,INDEX($FO$170:$IH$241,IE$169,$FN232),SUMPRODUCT(INDEX($FO$325:$IH$396,IE$169,1+SwaptionShift):INDEX($FO$325:$IH$396,IE$169,SwaptionMonthsToGo+SwaptionShift),INDEX($FO$245:$IH$316,$FN232-IE$169,73-IE$169+SwaptionShift):INDEX($FO$245:$IH$316,$FN232-IE$169,72-IE$169+SwaptionMonthsToGo+SwaptionShift))/SQRT(SUM(INDEX($FO387:$IH387,1+SwaptionShift):INDEX($FO387:$IH387,SwaptionMonthsToGo+SwaptionShift))*SUM(INDEX($FO$325:$IH$396,IE$169,1+SwaptionShift):INDEX($FO$325:$IH$396,IE$169,SwaptionMonthsToGo+SwaptionShift))))))</f>
        <v/>
      </c>
      <c r="IF232" s="469" t="str">
        <f ca="1">IF(OR(IF$169&lt;SwaptionFirstMonthPosition+1,$FN232&lt;SwaptionFirstMonthPosition+1,IF$169&gt;SwaptionFirstMonthPosition+SwaptionNumOfMonths+1,$FN232&gt;SwaptionFirstMonthPosition+SwaptionNumOfMonths+1),"",IF($FN232=IF$169,1,IF($FN232&lt;IF$169,INDEX($FO$170:$IH$241,IF$169,$FN232),SUMPRODUCT(INDEX($FO$325:$IH$396,IF$169,1+SwaptionShift):INDEX($FO$325:$IH$396,IF$169,SwaptionMonthsToGo+SwaptionShift),INDEX($FO$245:$IH$316,$FN232-IF$169,73-IF$169+SwaptionShift):INDEX($FO$245:$IH$316,$FN232-IF$169,72-IF$169+SwaptionMonthsToGo+SwaptionShift))/SQRT(SUM(INDEX($FO387:$IH387,1+SwaptionShift):INDEX($FO387:$IH387,SwaptionMonthsToGo+SwaptionShift))*SUM(INDEX($FO$325:$IH$396,IF$169,1+SwaptionShift):INDEX($FO$325:$IH$396,IF$169,SwaptionMonthsToGo+SwaptionShift))))))</f>
        <v/>
      </c>
      <c r="IG232" s="469" t="str">
        <f ca="1">IF(OR(IG$169&lt;SwaptionFirstMonthPosition+1,$FN232&lt;SwaptionFirstMonthPosition+1,IG$169&gt;SwaptionFirstMonthPosition+SwaptionNumOfMonths+1,$FN232&gt;SwaptionFirstMonthPosition+SwaptionNumOfMonths+1),"",IF($FN232=IG$169,1,IF($FN232&lt;IG$169,INDEX($FO$170:$IH$241,IG$169,$FN232),SUMPRODUCT(INDEX($FO$325:$IH$396,IG$169,1+SwaptionShift):INDEX($FO$325:$IH$396,IG$169,SwaptionMonthsToGo+SwaptionShift),INDEX($FO$245:$IH$316,$FN232-IG$169,73-IG$169+SwaptionShift):INDEX($FO$245:$IH$316,$FN232-IG$169,72-IG$169+SwaptionMonthsToGo+SwaptionShift))/SQRT(SUM(INDEX($FO387:$IH387,1+SwaptionShift):INDEX($FO387:$IH387,SwaptionMonthsToGo+SwaptionShift))*SUM(INDEX($FO$325:$IH$396,IG$169,1+SwaptionShift):INDEX($FO$325:$IH$396,IG$169,SwaptionMonthsToGo+SwaptionShift))))))</f>
        <v/>
      </c>
      <c r="IH232" s="662" t="str">
        <f ca="1">IF(OR(IH$169&lt;SwaptionFirstMonthPosition+1,$FN232&lt;SwaptionFirstMonthPosition+1,IH$169&gt;SwaptionFirstMonthPosition+SwaptionNumOfMonths+1,$FN232&gt;SwaptionFirstMonthPosition+SwaptionNumOfMonths+1),"",IF($FN232=IH$169,1,IF($FN232&lt;IH$169,INDEX($FO$170:$IH$241,IH$169,$FN232),SUMPRODUCT(INDEX($FO$325:$IH$396,IH$169,1+SwaptionShift):INDEX($FO$325:$IH$396,IH$169,SwaptionMonthsToGo+SwaptionShift),INDEX($FO$245:$IH$316,$FN232-IH$169,73-IH$169+SwaptionShift):INDEX($FO$245:$IH$316,$FN232-IH$169,72-IH$169+SwaptionMonthsToGo+SwaptionShift))/SQRT(SUM(INDEX($FO387:$IH387,1+SwaptionShift):INDEX($FO387:$IH387,SwaptionMonthsToGo+SwaptionShift))*SUM(INDEX($FO$325:$IH$396,IH$169,1+SwaptionShift):INDEX($FO$325:$IH$396,IH$169,SwaptionMonthsToGo+SwaptionShift))))))</f>
        <v/>
      </c>
      <c r="II232" s="242"/>
    </row>
    <row r="233" spans="8:243">
      <c r="H233" s="49" t="e">
        <f t="shared" ca="1" si="645"/>
        <v>#N/A</v>
      </c>
      <c r="I233" s="369">
        <f t="shared" si="646"/>
        <v>43497</v>
      </c>
      <c r="J233" s="367">
        <v>24.709999999999798</v>
      </c>
      <c r="K233" s="101" t="s">
        <v>267</v>
      </c>
      <c r="L233" s="382">
        <f t="shared" si="647"/>
        <v>24.709999999999827</v>
      </c>
      <c r="M233" s="163">
        <v>0.12590000000000001</v>
      </c>
      <c r="N233" s="372">
        <v>0</v>
      </c>
      <c r="O233" s="163">
        <f t="shared" si="595"/>
        <v>0.12590000000000001</v>
      </c>
      <c r="P233" s="367">
        <v>23.463745127232901</v>
      </c>
      <c r="Q233" s="101" t="s">
        <v>267</v>
      </c>
      <c r="R233" s="367">
        <f t="shared" ca="1" si="596"/>
        <v>23.463745127232897</v>
      </c>
      <c r="S233" s="814">
        <f t="shared" si="594"/>
        <v>0.34593787784557734</v>
      </c>
      <c r="T233" s="813">
        <f t="shared" si="660"/>
        <v>0.99999999998600098</v>
      </c>
      <c r="U233" s="532">
        <f t="shared" si="661"/>
        <v>0.99999999999999978</v>
      </c>
      <c r="V233" s="379">
        <v>0</v>
      </c>
      <c r="W233" s="424">
        <f t="shared" si="597"/>
        <v>24.742499999999801</v>
      </c>
      <c r="X233" s="405">
        <f t="shared" si="598"/>
        <v>24.742499999999826</v>
      </c>
      <c r="Y233" s="313">
        <f t="shared" si="599"/>
        <v>23.5264999999998</v>
      </c>
      <c r="Z233" s="313">
        <f t="shared" ca="1" si="600"/>
        <v>23.526499999999825</v>
      </c>
      <c r="AA233" s="419">
        <f t="shared" si="623"/>
        <v>1.216</v>
      </c>
      <c r="AB233" s="423">
        <f t="shared" ca="1" si="624"/>
        <v>1.216</v>
      </c>
      <c r="AC233" s="221">
        <v>43485</v>
      </c>
      <c r="AD233" s="221">
        <v>43481</v>
      </c>
      <c r="AE233" s="221">
        <v>43480</v>
      </c>
      <c r="AF233" s="221">
        <v>43476</v>
      </c>
      <c r="AG233" s="241" t="s">
        <v>497</v>
      </c>
      <c r="AH233" s="239" t="s">
        <v>497</v>
      </c>
      <c r="AI233" s="141">
        <v>20</v>
      </c>
      <c r="AJ233" s="41">
        <v>14</v>
      </c>
      <c r="AK233" s="41">
        <v>6</v>
      </c>
      <c r="AL233" s="285">
        <v>20</v>
      </c>
      <c r="AM233" s="41">
        <v>10</v>
      </c>
      <c r="AN233" s="142">
        <v>10</v>
      </c>
      <c r="AO233" s="364">
        <v>6.3462244988619992E-2</v>
      </c>
      <c r="AP233" s="145">
        <f t="shared" ca="1" si="648"/>
        <v>0.32704948149506752</v>
      </c>
      <c r="AQ233" s="364">
        <v>5.9837198834367097E-2</v>
      </c>
      <c r="AR233" s="145">
        <f t="shared" ca="1" si="662"/>
        <v>0.35071094009611609</v>
      </c>
      <c r="AS233" s="264">
        <f t="shared" si="601"/>
        <v>0.12537999999999999</v>
      </c>
      <c r="AT233" s="149">
        <f t="shared" si="649"/>
        <v>0.12590000000000001</v>
      </c>
      <c r="AU233" s="149">
        <f t="shared" si="625"/>
        <v>0.12530000000000002</v>
      </c>
      <c r="AV233" s="263">
        <f t="shared" ca="1" si="669"/>
        <v>0.12390557689956759</v>
      </c>
      <c r="AW233" s="150" t="str">
        <f t="shared" ca="1" si="581"/>
        <v/>
      </c>
      <c r="AX233" s="149">
        <f t="shared" ca="1" si="663"/>
        <v>3.2107209430853219E-3</v>
      </c>
      <c r="AY233" s="149">
        <f t="shared" ca="1" si="664"/>
        <v>9.6825503036131373E-4</v>
      </c>
      <c r="AZ233" s="149">
        <f t="shared" ca="1" si="665"/>
        <v>1.2230351617254181E-3</v>
      </c>
      <c r="BA233" s="149">
        <f t="shared" ca="1" si="666"/>
        <v>1.0000000000001152E-4</v>
      </c>
      <c r="BB233" s="149">
        <f t="shared" ca="1" si="667"/>
        <v>1.0000000000001152E-4</v>
      </c>
      <c r="BC233" s="149">
        <f t="shared" ca="1" si="668"/>
        <v>1.0000000000001152E-4</v>
      </c>
      <c r="BD233" s="143">
        <f t="shared" ca="1" si="602"/>
        <v>0</v>
      </c>
      <c r="BE233" s="144">
        <f t="shared" ca="1" si="603"/>
        <v>0</v>
      </c>
      <c r="BF233" s="40">
        <f t="shared" si="604"/>
        <v>2019</v>
      </c>
      <c r="BG233" s="139">
        <f t="shared" si="605"/>
        <v>2</v>
      </c>
      <c r="BH233" s="140">
        <f t="shared" ca="1" si="606"/>
        <v>6491</v>
      </c>
      <c r="BI233" s="304">
        <f t="shared" ca="1" si="607"/>
        <v>17.815195071868583</v>
      </c>
      <c r="BJ233" s="42">
        <f t="shared" ca="1" si="626"/>
        <v>17.866940451745378</v>
      </c>
      <c r="BK233" s="42">
        <f t="shared" ca="1" si="627"/>
        <v>17.86967830253251</v>
      </c>
      <c r="BL233" s="42">
        <f t="shared" ca="1" si="608"/>
        <v>17.88911704312115</v>
      </c>
      <c r="BM233" s="285">
        <f t="shared" si="609"/>
        <v>20</v>
      </c>
      <c r="BN233" s="41">
        <f t="shared" si="610"/>
        <v>14</v>
      </c>
      <c r="BO233" s="41">
        <f t="shared" si="611"/>
        <v>6</v>
      </c>
      <c r="BP233" s="297" t="str">
        <f t="shared" ca="1" si="628"/>
        <v/>
      </c>
      <c r="BQ233" s="297" t="str">
        <f t="shared" ca="1" si="629"/>
        <v/>
      </c>
      <c r="BR233" s="299" t="str">
        <f t="shared" ca="1" si="630"/>
        <v/>
      </c>
      <c r="BS233" s="153" t="str">
        <f t="shared" ca="1" si="631"/>
        <v/>
      </c>
      <c r="BT233" s="153" t="str">
        <f t="shared" ca="1" si="632"/>
        <v/>
      </c>
      <c r="BU233" s="300" t="str">
        <f t="shared" ca="1" si="633"/>
        <v/>
      </c>
      <c r="BV233" s="301" t="str">
        <f t="shared" ca="1" si="634"/>
        <v/>
      </c>
      <c r="BW233" s="300" t="str">
        <f t="shared" ca="1" si="635"/>
        <v/>
      </c>
      <c r="BX233" s="301" t="str">
        <f t="shared" ca="1" si="636"/>
        <v/>
      </c>
      <c r="BY233" s="146" t="str">
        <f t="shared" ca="1" si="637"/>
        <v/>
      </c>
      <c r="BZ233" s="146" t="str">
        <f t="shared" ca="1" si="638"/>
        <v/>
      </c>
      <c r="CA233" s="146" t="str">
        <f t="shared" ca="1" si="639"/>
        <v/>
      </c>
      <c r="CB233" s="146" t="str">
        <f t="shared" ca="1" si="640"/>
        <v/>
      </c>
      <c r="CC233" s="302">
        <v>1</v>
      </c>
      <c r="CD233" s="154">
        <f ca="1">IF(BD233,_xll.xCrudeAPO(BS233,BT233,BY233,BZ233,S234,S235,BI233,BL233,BN233,BO233,0,Strike1,AO233,CC233,0,BL233,IF(OptControl=4,0,1),0,1),0)</f>
        <v>0</v>
      </c>
      <c r="CE233" s="155">
        <f ca="1">IF(BD233,_xll.xCrudeAPO(BS233,BT233,BY233,BZ233,S234,S235,BI233,BL233,BN233,BO233,0,Strike1,AO233,CC233,0,BL233,IF(OptControl=4,0,1),1,1)+_xll.xCrudeAPO(BS233,BT233,BY233,BZ233,S234,S235,BI233,BL233,BN233,BO233,0,Strike1,AO233,CC233,0,BL233,IF(OptControl=4,0,1),1,2)+IF(OR(VolSkewFlag=2,ABS(BQ233)&lt;0.0001),0,IF(BQ233&gt;0,-1,1)*CF233*Strike1/BP233^2*BW233/10%),0)</f>
        <v>0</v>
      </c>
      <c r="CF233" s="155">
        <f ca="1">IF(BD233,(_xll.xCrudeAPO(BS233,BT233,BY233,BZ233,S234,S235,BI233,BL233,BN233,BO233,0,Strike1,AO233,CC233,0,BL233,IF(OptControl=4,0,1),3,1)+_xll.xCrudeAPO(BS233,BT233,BY233,BZ233,S234,S235,BI233,BL233,BN233,BO233,0,Strike1,AO233,CC233,0,BL233,IF(OptControl=4,0,1),3,2))/100,0)</f>
        <v>0</v>
      </c>
      <c r="CG233" s="155">
        <f ca="1">IF(BD233,_xll.xCrudeAPO(BS233,BT233,BY233,BZ233,S234,S235,BI233-DaysForThetaCalculation/365.25,BL233-DaysForThetaCalculation/365.25,BN233,BO233,0,Strike1,AO233,CC233,0,BL233,IF(OptControl=4,0,1),0,1)-_xll.xCrudeAPO(BS233,BT233,BY233,BZ233,S234,S235,BI233,BL233,BN233,BO233,0,Strike1,AO233,CC233,0,BL233,IF(OptControl=4,0,1),0,1),0)</f>
        <v>0</v>
      </c>
      <c r="CH233" s="303">
        <f ca="1">IF(BD233,_xll.xCrudeAPO(BS233,BT233,CA233,CB233,S234,S235,BI233,BL233,BN233,BO233,0,Strike2,AO233,CC233,0,BL233,IF(OptControl=3,1,0),0,1),0)</f>
        <v>0</v>
      </c>
      <c r="CI233" s="155">
        <f ca="1">IF(BD233,_xll.xCrudeAPO(BS233,BT233,CA233,CB233,S234,S235,BI233,BL233,BN233,BO233,0,Strike2,AO233,CC233,0,BL233,IF(OptControl=3,1,0),1,1)+_xll.xCrudeAPO(BS233,BT233,CA233,CB233,S234,S235,BI233,BL233,BN233,BO233,0,Strike2,AO233,CC233,0,BL233,IF(OptControl=3,1,0),1,2)+IF(OR(VolSkewFlag=2,ABS(BR233)&lt;0.0001),0,IF(BR233&gt;0,-1,1)*CJ233*Strike2/BP233^2*BX233/10%),0)</f>
        <v>0</v>
      </c>
      <c r="CJ233" s="155">
        <f ca="1">IF(BD233,(_xll.xCrudeAPO(BS233,BT233,CA233,CB233,S234,S235,BI233,BL233,BN233,BO233,0,Strike2,AO233,CC233,0,BL233,IF(OptControl=3,1,0),3,1)+_xll.xCrudeAPO(BS233,BT233,CA233,CB233,S234,S235,BI233,BL233,BN233,BO233,0,Strike2,AO233,CC233,0,BL233,IF(OptControl=3,1,0),3,2))/100,0)</f>
        <v>0</v>
      </c>
      <c r="CK233" s="156">
        <f ca="1">IF(BD233,_xll.xCrudeAPO(BS233,BT233,CA233,CB233,S234,S235,BI233-DaysForThetaCalculation/365.25,BL233-DaysForThetaCalculation/365.25,BN233,BO233,0,Strike2,AO233,CC233,0,BL233,IF(OptControl=3,1,0),0,1)-_xll.xCrudeAPO(BS233,BT233,CA233,CB233,S234,S235,BI233,BL233,BN233,BO233,0,Strike2,AO233,CC233,0,BL233,IF(OptControl=3,1,0),0,1),0)</f>
        <v>0</v>
      </c>
      <c r="CL233" s="51"/>
      <c r="CM233" s="779" t="str">
        <f t="shared" ca="1" si="650"/>
        <v/>
      </c>
      <c r="CN233" s="783" t="str">
        <f t="shared" ca="1" si="651"/>
        <v/>
      </c>
      <c r="CO233" s="780" t="str">
        <f t="shared" ca="1" si="652"/>
        <v/>
      </c>
      <c r="CP233" s="780" t="str">
        <f t="shared" ca="1" si="653"/>
        <v/>
      </c>
      <c r="CQ233" s="780" t="str">
        <f t="shared" ca="1" si="654"/>
        <v/>
      </c>
      <c r="CR233" s="780" t="str">
        <f t="shared" ca="1" si="655"/>
        <v/>
      </c>
      <c r="CS233" s="781" t="str">
        <f t="shared" ca="1" si="656"/>
        <v/>
      </c>
      <c r="CT233" s="782" t="str">
        <f t="shared" ca="1" si="657"/>
        <v/>
      </c>
      <c r="CU233" s="782" t="str">
        <f t="shared" ca="1" si="658"/>
        <v/>
      </c>
      <c r="CV233" s="155">
        <f ca="1">IF(BD233,_xll.EURO(CN233,Strike1,AO233,AO233,CT233,CM233,IF(OptControl=4,0,1),0),0)</f>
        <v>0</v>
      </c>
      <c r="CW233" s="155">
        <f ca="1">IF(BD233,_xll.EURO(CN233,Strike1,AO233,AO233,CT233,CM233,IF(OptControl=4,0,1),1)+IF(OR(VolSkewFlag=2,ABS(CO233)&lt;0.0001),0,IF(CO233&gt;0,-1,1)*CX233*100*Strike1/CN233^2*CQ233/10%),0)</f>
        <v>0</v>
      </c>
      <c r="CX233" s="155">
        <f ca="1">IF(BD233,_xll.EURO(CN233,Strike1,AO233,AO233,CT233,CM233,IF(OptControl=4,0,1),3)/100,0)</f>
        <v>0</v>
      </c>
      <c r="CY233" s="155">
        <f ca="1">IF(BD233,_xll.EURO(CN233,Strike1,AO233,AO233,CT233,CM233,IF(OptControl=4,0,1),0)-_xll.EURO(CN233,Strike1,AO233,AO233,CT233,CM233-1,IF(OptControl=4,0,1),0),0)</f>
        <v>0</v>
      </c>
      <c r="CZ233" s="155">
        <f ca="1">IF(BD233,_xll.EURO(CN233,Strike2,AO233,AO233,CU233,CM233,IF(OptControl=3,1,0),0),0)</f>
        <v>0</v>
      </c>
      <c r="DA233" s="155">
        <f ca="1">IF(BD233,_xll.EURO(CN233,Strike2,AO233,AO233,CU233,CM233,IF(OptControl=3,1,0),1)+IF(OR(VolSkewFlag=2,ABS(CP233)&lt;0.0001),0,IF(CP233&gt;0,-1,1)*DB233*100*Strike2/CN233^2*CR233/10%),0)</f>
        <v>0</v>
      </c>
      <c r="DB233" s="155">
        <f ca="1">IF(BD233,_xll.EURO(CN233,Strike2,AO233,AO233,CU233,CM233,IF(OptControl=3,1,0),3)/100,0)</f>
        <v>0</v>
      </c>
      <c r="DC233" s="156">
        <f ca="1">IF(BD233,_xll.EURO(CN233,Strike2,AO233,AO233,CU233,CM233,IF(OptControl=3,1,0),0)-_xll.EURO(CN233,Strike2,AO233,AO233,CU233,CM233-1,IF(OptControl=3,1,0),0),0)</f>
        <v>0</v>
      </c>
      <c r="DE233" s="651">
        <f t="shared" ca="1" si="659"/>
        <v>43405</v>
      </c>
      <c r="DF233" s="465">
        <v>1E-4</v>
      </c>
      <c r="DG233" s="649">
        <v>1E-4</v>
      </c>
      <c r="DH233" s="650">
        <f t="shared" ca="1" si="612"/>
        <v>43405</v>
      </c>
      <c r="DI233" s="465">
        <v>1E-4</v>
      </c>
      <c r="DJ233" s="649">
        <v>1E-4</v>
      </c>
      <c r="DK233" s="651">
        <f t="shared" ca="1" si="613"/>
        <v>43405</v>
      </c>
      <c r="DL233" s="652">
        <f t="shared" si="614"/>
        <v>5.0100000000000006E-2</v>
      </c>
      <c r="DM233" s="651">
        <f t="shared" ca="1" si="615"/>
        <v>43405</v>
      </c>
      <c r="DN233" s="563">
        <f t="shared" si="616"/>
        <v>-0.12990000000000002</v>
      </c>
      <c r="DO233" s="803">
        <v>-0.13</v>
      </c>
      <c r="DP233" s="650">
        <f t="shared" ca="1" si="617"/>
        <v>43405</v>
      </c>
      <c r="DQ233" s="653">
        <v>1E-4</v>
      </c>
      <c r="DR233" s="590">
        <v>1E-4</v>
      </c>
      <c r="DS233" s="650">
        <f t="shared" ca="1" si="618"/>
        <v>43405</v>
      </c>
      <c r="DT233" s="653">
        <v>1E-4</v>
      </c>
      <c r="DU233" s="590">
        <v>1E-4</v>
      </c>
      <c r="DV233" s="651">
        <f t="shared" ca="1" si="619"/>
        <v>43405</v>
      </c>
      <c r="DW233" s="590">
        <v>1E-4</v>
      </c>
      <c r="DX233" s="651">
        <f t="shared" ca="1" si="620"/>
        <v>43405</v>
      </c>
      <c r="DY233" s="590">
        <f t="shared" si="621"/>
        <v>1E-4</v>
      </c>
      <c r="DZ233" s="1"/>
      <c r="EA233" s="857"/>
      <c r="EB233" s="857"/>
      <c r="EC233" s="857"/>
      <c r="ED233" s="868" t="e">
        <f t="shared" ca="1" si="670"/>
        <v>#NAME?</v>
      </c>
      <c r="EE233" s="863" t="e">
        <f t="shared" ca="1" si="641"/>
        <v>#NAME?</v>
      </c>
      <c r="EF233" s="590" t="e">
        <f t="shared" ca="1" si="642"/>
        <v>#NAME?</v>
      </c>
      <c r="EG233" s="862" t="str">
        <f t="shared" ca="1" si="622"/>
        <v/>
      </c>
      <c r="EH233" s="114" t="str">
        <f t="shared" ca="1" si="643"/>
        <v/>
      </c>
      <c r="EI233" s="109" t="str">
        <f t="shared" ca="1" si="644"/>
        <v/>
      </c>
      <c r="EJ233" s="115">
        <f ca="1">IF(BD233,_xll.xASN(BP233,Strike1,AO233,EH233,0,BM233,0,BI233,BL233,IF(OptControl=4,0,1),0),0)</f>
        <v>0</v>
      </c>
      <c r="EK233" s="108">
        <f ca="1">IF(BD233,_xll.xASN(BP233,Strike2,AO233,EI233,0,BM233,0,BI233,BL233,IF(OptControl=3,1,0),0),0)</f>
        <v>0</v>
      </c>
      <c r="EP233" s="53"/>
      <c r="EQ233" s="1"/>
      <c r="ER233" s="103"/>
      <c r="ES233" s="103"/>
      <c r="ET233" s="1"/>
      <c r="EU233" s="667" t="s">
        <v>446</v>
      </c>
      <c r="EW233" s="53"/>
      <c r="EY233" s="104"/>
      <c r="FN233" s="657">
        <v>64</v>
      </c>
      <c r="FO233" s="469" t="str">
        <f ca="1">IF(OR(FO$169&lt;SwaptionFirstMonthPosition+1,$FN233&lt;SwaptionFirstMonthPosition+1,FO$169&gt;SwaptionFirstMonthPosition+SwaptionNumOfMonths+1,$FN233&gt;SwaptionFirstMonthPosition+SwaptionNumOfMonths+1),"",IF($FN233=FO$169,1,IF($FN233&lt;FO$169,INDEX($FO$170:$IH$241,FO$169,$FN233),SUMPRODUCT(INDEX($FO$325:$IH$396,FO$169,1+SwaptionShift):INDEX($FO$325:$IH$396,FO$169,SwaptionMonthsToGo+SwaptionShift),INDEX($FO$245:$IH$316,$FN233-FO$169,73-FO$169+SwaptionShift):INDEX($FO$245:$IH$316,$FN233-FO$169,72-FO$169+SwaptionMonthsToGo+SwaptionShift))/SQRT(SUM(INDEX($FO388:$IH388,1+SwaptionShift):INDEX($FO388:$IH388,SwaptionMonthsToGo+SwaptionShift))*SUM(INDEX($FO$325:$IH$396,FO$169,1+SwaptionShift):INDEX($FO$325:$IH$396,FO$169,SwaptionMonthsToGo+SwaptionShift))))))</f>
        <v/>
      </c>
      <c r="FP233" s="469" t="str">
        <f ca="1">IF(OR(FP$169&lt;SwaptionFirstMonthPosition+1,$FN233&lt;SwaptionFirstMonthPosition+1,FP$169&gt;SwaptionFirstMonthPosition+SwaptionNumOfMonths+1,$FN233&gt;SwaptionFirstMonthPosition+SwaptionNumOfMonths+1),"",IF($FN233=FP$169,1,IF($FN233&lt;FP$169,INDEX($FO$170:$IH$241,FP$169,$FN233),SUMPRODUCT(INDEX($FO$325:$IH$396,FP$169,1+SwaptionShift):INDEX($FO$325:$IH$396,FP$169,SwaptionMonthsToGo+SwaptionShift),INDEX($FO$245:$IH$316,$FN233-FP$169,73-FP$169+SwaptionShift):INDEX($FO$245:$IH$316,$FN233-FP$169,72-FP$169+SwaptionMonthsToGo+SwaptionShift))/SQRT(SUM(INDEX($FO388:$IH388,1+SwaptionShift):INDEX($FO388:$IH388,SwaptionMonthsToGo+SwaptionShift))*SUM(INDEX($FO$325:$IH$396,FP$169,1+SwaptionShift):INDEX($FO$325:$IH$396,FP$169,SwaptionMonthsToGo+SwaptionShift))))))</f>
        <v/>
      </c>
      <c r="FQ233" s="469" t="str">
        <f ca="1">IF(OR(FQ$169&lt;SwaptionFirstMonthPosition+1,$FN233&lt;SwaptionFirstMonthPosition+1,FQ$169&gt;SwaptionFirstMonthPosition+SwaptionNumOfMonths+1,$FN233&gt;SwaptionFirstMonthPosition+SwaptionNumOfMonths+1),"",IF($FN233=FQ$169,1,IF($FN233&lt;FQ$169,INDEX($FO$170:$IH$241,FQ$169,$FN233),SUMPRODUCT(INDEX($FO$325:$IH$396,FQ$169,1+SwaptionShift):INDEX($FO$325:$IH$396,FQ$169,SwaptionMonthsToGo+SwaptionShift),INDEX($FO$245:$IH$316,$FN233-FQ$169,73-FQ$169+SwaptionShift):INDEX($FO$245:$IH$316,$FN233-FQ$169,72-FQ$169+SwaptionMonthsToGo+SwaptionShift))/SQRT(SUM(INDEX($FO388:$IH388,1+SwaptionShift):INDEX($FO388:$IH388,SwaptionMonthsToGo+SwaptionShift))*SUM(INDEX($FO$325:$IH$396,FQ$169,1+SwaptionShift):INDEX($FO$325:$IH$396,FQ$169,SwaptionMonthsToGo+SwaptionShift))))))</f>
        <v/>
      </c>
      <c r="FR233" s="469" t="str">
        <f ca="1">IF(OR(FR$169&lt;SwaptionFirstMonthPosition+1,$FN233&lt;SwaptionFirstMonthPosition+1,FR$169&gt;SwaptionFirstMonthPosition+SwaptionNumOfMonths+1,$FN233&gt;SwaptionFirstMonthPosition+SwaptionNumOfMonths+1),"",IF($FN233=FR$169,1,IF($FN233&lt;FR$169,INDEX($FO$170:$IH$241,FR$169,$FN233),SUMPRODUCT(INDEX($FO$325:$IH$396,FR$169,1+SwaptionShift):INDEX($FO$325:$IH$396,FR$169,SwaptionMonthsToGo+SwaptionShift),INDEX($FO$245:$IH$316,$FN233-FR$169,73-FR$169+SwaptionShift):INDEX($FO$245:$IH$316,$FN233-FR$169,72-FR$169+SwaptionMonthsToGo+SwaptionShift))/SQRT(SUM(INDEX($FO388:$IH388,1+SwaptionShift):INDEX($FO388:$IH388,SwaptionMonthsToGo+SwaptionShift))*SUM(INDEX($FO$325:$IH$396,FR$169,1+SwaptionShift):INDEX($FO$325:$IH$396,FR$169,SwaptionMonthsToGo+SwaptionShift))))))</f>
        <v/>
      </c>
      <c r="FS233" s="469" t="str">
        <f ca="1">IF(OR(FS$169&lt;SwaptionFirstMonthPosition+1,$FN233&lt;SwaptionFirstMonthPosition+1,FS$169&gt;SwaptionFirstMonthPosition+SwaptionNumOfMonths+1,$FN233&gt;SwaptionFirstMonthPosition+SwaptionNumOfMonths+1),"",IF($FN233=FS$169,1,IF($FN233&lt;FS$169,INDEX($FO$170:$IH$241,FS$169,$FN233),SUMPRODUCT(INDEX($FO$325:$IH$396,FS$169,1+SwaptionShift):INDEX($FO$325:$IH$396,FS$169,SwaptionMonthsToGo+SwaptionShift),INDEX($FO$245:$IH$316,$FN233-FS$169,73-FS$169+SwaptionShift):INDEX($FO$245:$IH$316,$FN233-FS$169,72-FS$169+SwaptionMonthsToGo+SwaptionShift))/SQRT(SUM(INDEX($FO388:$IH388,1+SwaptionShift):INDEX($FO388:$IH388,SwaptionMonthsToGo+SwaptionShift))*SUM(INDEX($FO$325:$IH$396,FS$169,1+SwaptionShift):INDEX($FO$325:$IH$396,FS$169,SwaptionMonthsToGo+SwaptionShift))))))</f>
        <v/>
      </c>
      <c r="FT233" s="469" t="str">
        <f ca="1">IF(OR(FT$169&lt;SwaptionFirstMonthPosition+1,$FN233&lt;SwaptionFirstMonthPosition+1,FT$169&gt;SwaptionFirstMonthPosition+SwaptionNumOfMonths+1,$FN233&gt;SwaptionFirstMonthPosition+SwaptionNumOfMonths+1),"",IF($FN233=FT$169,1,IF($FN233&lt;FT$169,INDEX($FO$170:$IH$241,FT$169,$FN233),SUMPRODUCT(INDEX($FO$325:$IH$396,FT$169,1+SwaptionShift):INDEX($FO$325:$IH$396,FT$169,SwaptionMonthsToGo+SwaptionShift),INDEX($FO$245:$IH$316,$FN233-FT$169,73-FT$169+SwaptionShift):INDEX($FO$245:$IH$316,$FN233-FT$169,72-FT$169+SwaptionMonthsToGo+SwaptionShift))/SQRT(SUM(INDEX($FO388:$IH388,1+SwaptionShift):INDEX($FO388:$IH388,SwaptionMonthsToGo+SwaptionShift))*SUM(INDEX($FO$325:$IH$396,FT$169,1+SwaptionShift):INDEX($FO$325:$IH$396,FT$169,SwaptionMonthsToGo+SwaptionShift))))))</f>
        <v/>
      </c>
      <c r="FU233" s="469" t="str">
        <f ca="1">IF(OR(FU$169&lt;SwaptionFirstMonthPosition+1,$FN233&lt;SwaptionFirstMonthPosition+1,FU$169&gt;SwaptionFirstMonthPosition+SwaptionNumOfMonths+1,$FN233&gt;SwaptionFirstMonthPosition+SwaptionNumOfMonths+1),"",IF($FN233=FU$169,1,IF($FN233&lt;FU$169,INDEX($FO$170:$IH$241,FU$169,$FN233),SUMPRODUCT(INDEX($FO$325:$IH$396,FU$169,1+SwaptionShift):INDEX($FO$325:$IH$396,FU$169,SwaptionMonthsToGo+SwaptionShift),INDEX($FO$245:$IH$316,$FN233-FU$169,73-FU$169+SwaptionShift):INDEX($FO$245:$IH$316,$FN233-FU$169,72-FU$169+SwaptionMonthsToGo+SwaptionShift))/SQRT(SUM(INDEX($FO388:$IH388,1+SwaptionShift):INDEX($FO388:$IH388,SwaptionMonthsToGo+SwaptionShift))*SUM(INDEX($FO$325:$IH$396,FU$169,1+SwaptionShift):INDEX($FO$325:$IH$396,FU$169,SwaptionMonthsToGo+SwaptionShift))))))</f>
        <v/>
      </c>
      <c r="FV233" s="469" t="str">
        <f ca="1">IF(OR(FV$169&lt;SwaptionFirstMonthPosition+1,$FN233&lt;SwaptionFirstMonthPosition+1,FV$169&gt;SwaptionFirstMonthPosition+SwaptionNumOfMonths+1,$FN233&gt;SwaptionFirstMonthPosition+SwaptionNumOfMonths+1),"",IF($FN233=FV$169,1,IF($FN233&lt;FV$169,INDEX($FO$170:$IH$241,FV$169,$FN233),SUMPRODUCT(INDEX($FO$325:$IH$396,FV$169,1+SwaptionShift):INDEX($FO$325:$IH$396,FV$169,SwaptionMonthsToGo+SwaptionShift),INDEX($FO$245:$IH$316,$FN233-FV$169,73-FV$169+SwaptionShift):INDEX($FO$245:$IH$316,$FN233-FV$169,72-FV$169+SwaptionMonthsToGo+SwaptionShift))/SQRT(SUM(INDEX($FO388:$IH388,1+SwaptionShift):INDEX($FO388:$IH388,SwaptionMonthsToGo+SwaptionShift))*SUM(INDEX($FO$325:$IH$396,FV$169,1+SwaptionShift):INDEX($FO$325:$IH$396,FV$169,SwaptionMonthsToGo+SwaptionShift))))))</f>
        <v/>
      </c>
      <c r="FW233" s="469" t="str">
        <f ca="1">IF(OR(FW$169&lt;SwaptionFirstMonthPosition+1,$FN233&lt;SwaptionFirstMonthPosition+1,FW$169&gt;SwaptionFirstMonthPosition+SwaptionNumOfMonths+1,$FN233&gt;SwaptionFirstMonthPosition+SwaptionNumOfMonths+1),"",IF($FN233=FW$169,1,IF($FN233&lt;FW$169,INDEX($FO$170:$IH$241,FW$169,$FN233),SUMPRODUCT(INDEX($FO$325:$IH$396,FW$169,1+SwaptionShift):INDEX($FO$325:$IH$396,FW$169,SwaptionMonthsToGo+SwaptionShift),INDEX($FO$245:$IH$316,$FN233-FW$169,73-FW$169+SwaptionShift):INDEX($FO$245:$IH$316,$FN233-FW$169,72-FW$169+SwaptionMonthsToGo+SwaptionShift))/SQRT(SUM(INDEX($FO388:$IH388,1+SwaptionShift):INDEX($FO388:$IH388,SwaptionMonthsToGo+SwaptionShift))*SUM(INDEX($FO$325:$IH$396,FW$169,1+SwaptionShift):INDEX($FO$325:$IH$396,FW$169,SwaptionMonthsToGo+SwaptionShift))))))</f>
        <v/>
      </c>
      <c r="FX233" s="469" t="str">
        <f ca="1">IF(OR(FX$169&lt;SwaptionFirstMonthPosition+1,$FN233&lt;SwaptionFirstMonthPosition+1,FX$169&gt;SwaptionFirstMonthPosition+SwaptionNumOfMonths+1,$FN233&gt;SwaptionFirstMonthPosition+SwaptionNumOfMonths+1),"",IF($FN233=FX$169,1,IF($FN233&lt;FX$169,INDEX($FO$170:$IH$241,FX$169,$FN233),SUMPRODUCT(INDEX($FO$325:$IH$396,FX$169,1+SwaptionShift):INDEX($FO$325:$IH$396,FX$169,SwaptionMonthsToGo+SwaptionShift),INDEX($FO$245:$IH$316,$FN233-FX$169,73-FX$169+SwaptionShift):INDEX($FO$245:$IH$316,$FN233-FX$169,72-FX$169+SwaptionMonthsToGo+SwaptionShift))/SQRT(SUM(INDEX($FO388:$IH388,1+SwaptionShift):INDEX($FO388:$IH388,SwaptionMonthsToGo+SwaptionShift))*SUM(INDEX($FO$325:$IH$396,FX$169,1+SwaptionShift):INDEX($FO$325:$IH$396,FX$169,SwaptionMonthsToGo+SwaptionShift))))))</f>
        <v/>
      </c>
      <c r="FY233" s="469" t="str">
        <f ca="1">IF(OR(FY$169&lt;SwaptionFirstMonthPosition+1,$FN233&lt;SwaptionFirstMonthPosition+1,FY$169&gt;SwaptionFirstMonthPosition+SwaptionNumOfMonths+1,$FN233&gt;SwaptionFirstMonthPosition+SwaptionNumOfMonths+1),"",IF($FN233=FY$169,1,IF($FN233&lt;FY$169,INDEX($FO$170:$IH$241,FY$169,$FN233),SUMPRODUCT(INDEX($FO$325:$IH$396,FY$169,1+SwaptionShift):INDEX($FO$325:$IH$396,FY$169,SwaptionMonthsToGo+SwaptionShift),INDEX($FO$245:$IH$316,$FN233-FY$169,73-FY$169+SwaptionShift):INDEX($FO$245:$IH$316,$FN233-FY$169,72-FY$169+SwaptionMonthsToGo+SwaptionShift))/SQRT(SUM(INDEX($FO388:$IH388,1+SwaptionShift):INDEX($FO388:$IH388,SwaptionMonthsToGo+SwaptionShift))*SUM(INDEX($FO$325:$IH$396,FY$169,1+SwaptionShift):INDEX($FO$325:$IH$396,FY$169,SwaptionMonthsToGo+SwaptionShift))))))</f>
        <v/>
      </c>
      <c r="FZ233" s="469" t="str">
        <f ca="1">IF(OR(FZ$169&lt;SwaptionFirstMonthPosition+1,$FN233&lt;SwaptionFirstMonthPosition+1,FZ$169&gt;SwaptionFirstMonthPosition+SwaptionNumOfMonths+1,$FN233&gt;SwaptionFirstMonthPosition+SwaptionNumOfMonths+1),"",IF($FN233=FZ$169,1,IF($FN233&lt;FZ$169,INDEX($FO$170:$IH$241,FZ$169,$FN233),SUMPRODUCT(INDEX($FO$325:$IH$396,FZ$169,1+SwaptionShift):INDEX($FO$325:$IH$396,FZ$169,SwaptionMonthsToGo+SwaptionShift),INDEX($FO$245:$IH$316,$FN233-FZ$169,73-FZ$169+SwaptionShift):INDEX($FO$245:$IH$316,$FN233-FZ$169,72-FZ$169+SwaptionMonthsToGo+SwaptionShift))/SQRT(SUM(INDEX($FO388:$IH388,1+SwaptionShift):INDEX($FO388:$IH388,SwaptionMonthsToGo+SwaptionShift))*SUM(INDEX($FO$325:$IH$396,FZ$169,1+SwaptionShift):INDEX($FO$325:$IH$396,FZ$169,SwaptionMonthsToGo+SwaptionShift))))))</f>
        <v/>
      </c>
      <c r="GA233" s="469" t="str">
        <f ca="1">IF(OR(GA$169&lt;SwaptionFirstMonthPosition+1,$FN233&lt;SwaptionFirstMonthPosition+1,GA$169&gt;SwaptionFirstMonthPosition+SwaptionNumOfMonths+1,$FN233&gt;SwaptionFirstMonthPosition+SwaptionNumOfMonths+1),"",IF($FN233=GA$169,1,IF($FN233&lt;GA$169,INDEX($FO$170:$IH$241,GA$169,$FN233),SUMPRODUCT(INDEX($FO$325:$IH$396,GA$169,1+SwaptionShift):INDEX($FO$325:$IH$396,GA$169,SwaptionMonthsToGo+SwaptionShift),INDEX($FO$245:$IH$316,$FN233-GA$169,73-GA$169+SwaptionShift):INDEX($FO$245:$IH$316,$FN233-GA$169,72-GA$169+SwaptionMonthsToGo+SwaptionShift))/SQRT(SUM(INDEX($FO388:$IH388,1+SwaptionShift):INDEX($FO388:$IH388,SwaptionMonthsToGo+SwaptionShift))*SUM(INDEX($FO$325:$IH$396,GA$169,1+SwaptionShift):INDEX($FO$325:$IH$396,GA$169,SwaptionMonthsToGo+SwaptionShift))))))</f>
        <v/>
      </c>
      <c r="GB233" s="469" t="str">
        <f ca="1">IF(OR(GB$169&lt;SwaptionFirstMonthPosition+1,$FN233&lt;SwaptionFirstMonthPosition+1,GB$169&gt;SwaptionFirstMonthPosition+SwaptionNumOfMonths+1,$FN233&gt;SwaptionFirstMonthPosition+SwaptionNumOfMonths+1),"",IF($FN233=GB$169,1,IF($FN233&lt;GB$169,INDEX($FO$170:$IH$241,GB$169,$FN233),SUMPRODUCT(INDEX($FO$325:$IH$396,GB$169,1+SwaptionShift):INDEX($FO$325:$IH$396,GB$169,SwaptionMonthsToGo+SwaptionShift),INDEX($FO$245:$IH$316,$FN233-GB$169,73-GB$169+SwaptionShift):INDEX($FO$245:$IH$316,$FN233-GB$169,72-GB$169+SwaptionMonthsToGo+SwaptionShift))/SQRT(SUM(INDEX($FO388:$IH388,1+SwaptionShift):INDEX($FO388:$IH388,SwaptionMonthsToGo+SwaptionShift))*SUM(INDEX($FO$325:$IH$396,GB$169,1+SwaptionShift):INDEX($FO$325:$IH$396,GB$169,SwaptionMonthsToGo+SwaptionShift))))))</f>
        <v/>
      </c>
      <c r="GC233" s="469" t="str">
        <f ca="1">IF(OR(GC$169&lt;SwaptionFirstMonthPosition+1,$FN233&lt;SwaptionFirstMonthPosition+1,GC$169&gt;SwaptionFirstMonthPosition+SwaptionNumOfMonths+1,$FN233&gt;SwaptionFirstMonthPosition+SwaptionNumOfMonths+1),"",IF($FN233=GC$169,1,IF($FN233&lt;GC$169,INDEX($FO$170:$IH$241,GC$169,$FN233),SUMPRODUCT(INDEX($FO$325:$IH$396,GC$169,1+SwaptionShift):INDEX($FO$325:$IH$396,GC$169,SwaptionMonthsToGo+SwaptionShift),INDEX($FO$245:$IH$316,$FN233-GC$169,73-GC$169+SwaptionShift):INDEX($FO$245:$IH$316,$FN233-GC$169,72-GC$169+SwaptionMonthsToGo+SwaptionShift))/SQRT(SUM(INDEX($FO388:$IH388,1+SwaptionShift):INDEX($FO388:$IH388,SwaptionMonthsToGo+SwaptionShift))*SUM(INDEX($FO$325:$IH$396,GC$169,1+SwaptionShift):INDEX($FO$325:$IH$396,GC$169,SwaptionMonthsToGo+SwaptionShift))))))</f>
        <v/>
      </c>
      <c r="GD233" s="469" t="str">
        <f ca="1">IF(OR(GD$169&lt;SwaptionFirstMonthPosition+1,$FN233&lt;SwaptionFirstMonthPosition+1,GD$169&gt;SwaptionFirstMonthPosition+SwaptionNumOfMonths+1,$FN233&gt;SwaptionFirstMonthPosition+SwaptionNumOfMonths+1),"",IF($FN233=GD$169,1,IF($FN233&lt;GD$169,INDEX($FO$170:$IH$241,GD$169,$FN233),SUMPRODUCT(INDEX($FO$325:$IH$396,GD$169,1+SwaptionShift):INDEX($FO$325:$IH$396,GD$169,SwaptionMonthsToGo+SwaptionShift),INDEX($FO$245:$IH$316,$FN233-GD$169,73-GD$169+SwaptionShift):INDEX($FO$245:$IH$316,$FN233-GD$169,72-GD$169+SwaptionMonthsToGo+SwaptionShift))/SQRT(SUM(INDEX($FO388:$IH388,1+SwaptionShift):INDEX($FO388:$IH388,SwaptionMonthsToGo+SwaptionShift))*SUM(INDEX($FO$325:$IH$396,GD$169,1+SwaptionShift):INDEX($FO$325:$IH$396,GD$169,SwaptionMonthsToGo+SwaptionShift))))))</f>
        <v/>
      </c>
      <c r="GE233" s="469" t="str">
        <f ca="1">IF(OR(GE$169&lt;SwaptionFirstMonthPosition+1,$FN233&lt;SwaptionFirstMonthPosition+1,GE$169&gt;SwaptionFirstMonthPosition+SwaptionNumOfMonths+1,$FN233&gt;SwaptionFirstMonthPosition+SwaptionNumOfMonths+1),"",IF($FN233=GE$169,1,IF($FN233&lt;GE$169,INDEX($FO$170:$IH$241,GE$169,$FN233),SUMPRODUCT(INDEX($FO$325:$IH$396,GE$169,1+SwaptionShift):INDEX($FO$325:$IH$396,GE$169,SwaptionMonthsToGo+SwaptionShift),INDEX($FO$245:$IH$316,$FN233-GE$169,73-GE$169+SwaptionShift):INDEX($FO$245:$IH$316,$FN233-GE$169,72-GE$169+SwaptionMonthsToGo+SwaptionShift))/SQRT(SUM(INDEX($FO388:$IH388,1+SwaptionShift):INDEX($FO388:$IH388,SwaptionMonthsToGo+SwaptionShift))*SUM(INDEX($FO$325:$IH$396,GE$169,1+SwaptionShift):INDEX($FO$325:$IH$396,GE$169,SwaptionMonthsToGo+SwaptionShift))))))</f>
        <v/>
      </c>
      <c r="GF233" s="469" t="str">
        <f ca="1">IF(OR(GF$169&lt;SwaptionFirstMonthPosition+1,$FN233&lt;SwaptionFirstMonthPosition+1,GF$169&gt;SwaptionFirstMonthPosition+SwaptionNumOfMonths+1,$FN233&gt;SwaptionFirstMonthPosition+SwaptionNumOfMonths+1),"",IF($FN233=GF$169,1,IF($FN233&lt;GF$169,INDEX($FO$170:$IH$241,GF$169,$FN233),SUMPRODUCT(INDEX($FO$325:$IH$396,GF$169,1+SwaptionShift):INDEX($FO$325:$IH$396,GF$169,SwaptionMonthsToGo+SwaptionShift),INDEX($FO$245:$IH$316,$FN233-GF$169,73-GF$169+SwaptionShift):INDEX($FO$245:$IH$316,$FN233-GF$169,72-GF$169+SwaptionMonthsToGo+SwaptionShift))/SQRT(SUM(INDEX($FO388:$IH388,1+SwaptionShift):INDEX($FO388:$IH388,SwaptionMonthsToGo+SwaptionShift))*SUM(INDEX($FO$325:$IH$396,GF$169,1+SwaptionShift):INDEX($FO$325:$IH$396,GF$169,SwaptionMonthsToGo+SwaptionShift))))))</f>
        <v/>
      </c>
      <c r="GG233" s="469" t="str">
        <f ca="1">IF(OR(GG$169&lt;SwaptionFirstMonthPosition+1,$FN233&lt;SwaptionFirstMonthPosition+1,GG$169&gt;SwaptionFirstMonthPosition+SwaptionNumOfMonths+1,$FN233&gt;SwaptionFirstMonthPosition+SwaptionNumOfMonths+1),"",IF($FN233=GG$169,1,IF($FN233&lt;GG$169,INDEX($FO$170:$IH$241,GG$169,$FN233),SUMPRODUCT(INDEX($FO$325:$IH$396,GG$169,1+SwaptionShift):INDEX($FO$325:$IH$396,GG$169,SwaptionMonthsToGo+SwaptionShift),INDEX($FO$245:$IH$316,$FN233-GG$169,73-GG$169+SwaptionShift):INDEX($FO$245:$IH$316,$FN233-GG$169,72-GG$169+SwaptionMonthsToGo+SwaptionShift))/SQRT(SUM(INDEX($FO388:$IH388,1+SwaptionShift):INDEX($FO388:$IH388,SwaptionMonthsToGo+SwaptionShift))*SUM(INDEX($FO$325:$IH$396,GG$169,1+SwaptionShift):INDEX($FO$325:$IH$396,GG$169,SwaptionMonthsToGo+SwaptionShift))))))</f>
        <v/>
      </c>
      <c r="GH233" s="469" t="str">
        <f ca="1">IF(OR(GH$169&lt;SwaptionFirstMonthPosition+1,$FN233&lt;SwaptionFirstMonthPosition+1,GH$169&gt;SwaptionFirstMonthPosition+SwaptionNumOfMonths+1,$FN233&gt;SwaptionFirstMonthPosition+SwaptionNumOfMonths+1),"",IF($FN233=GH$169,1,IF($FN233&lt;GH$169,INDEX($FO$170:$IH$241,GH$169,$FN233),SUMPRODUCT(INDEX($FO$325:$IH$396,GH$169,1+SwaptionShift):INDEX($FO$325:$IH$396,GH$169,SwaptionMonthsToGo+SwaptionShift),INDEX($FO$245:$IH$316,$FN233-GH$169,73-GH$169+SwaptionShift):INDEX($FO$245:$IH$316,$FN233-GH$169,72-GH$169+SwaptionMonthsToGo+SwaptionShift))/SQRT(SUM(INDEX($FO388:$IH388,1+SwaptionShift):INDEX($FO388:$IH388,SwaptionMonthsToGo+SwaptionShift))*SUM(INDEX($FO$325:$IH$396,GH$169,1+SwaptionShift):INDEX($FO$325:$IH$396,GH$169,SwaptionMonthsToGo+SwaptionShift))))))</f>
        <v/>
      </c>
      <c r="GI233" s="469" t="str">
        <f ca="1">IF(OR(GI$169&lt;SwaptionFirstMonthPosition+1,$FN233&lt;SwaptionFirstMonthPosition+1,GI$169&gt;SwaptionFirstMonthPosition+SwaptionNumOfMonths+1,$FN233&gt;SwaptionFirstMonthPosition+SwaptionNumOfMonths+1),"",IF($FN233=GI$169,1,IF($FN233&lt;GI$169,INDEX($FO$170:$IH$241,GI$169,$FN233),SUMPRODUCT(INDEX($FO$325:$IH$396,GI$169,1+SwaptionShift):INDEX($FO$325:$IH$396,GI$169,SwaptionMonthsToGo+SwaptionShift),INDEX($FO$245:$IH$316,$FN233-GI$169,73-GI$169+SwaptionShift):INDEX($FO$245:$IH$316,$FN233-GI$169,72-GI$169+SwaptionMonthsToGo+SwaptionShift))/SQRT(SUM(INDEX($FO388:$IH388,1+SwaptionShift):INDEX($FO388:$IH388,SwaptionMonthsToGo+SwaptionShift))*SUM(INDEX($FO$325:$IH$396,GI$169,1+SwaptionShift):INDEX($FO$325:$IH$396,GI$169,SwaptionMonthsToGo+SwaptionShift))))))</f>
        <v/>
      </c>
      <c r="GJ233" s="469" t="str">
        <f ca="1">IF(OR(GJ$169&lt;SwaptionFirstMonthPosition+1,$FN233&lt;SwaptionFirstMonthPosition+1,GJ$169&gt;SwaptionFirstMonthPosition+SwaptionNumOfMonths+1,$FN233&gt;SwaptionFirstMonthPosition+SwaptionNumOfMonths+1),"",IF($FN233=GJ$169,1,IF($FN233&lt;GJ$169,INDEX($FO$170:$IH$241,GJ$169,$FN233),SUMPRODUCT(INDEX($FO$325:$IH$396,GJ$169,1+SwaptionShift):INDEX($FO$325:$IH$396,GJ$169,SwaptionMonthsToGo+SwaptionShift),INDEX($FO$245:$IH$316,$FN233-GJ$169,73-GJ$169+SwaptionShift):INDEX($FO$245:$IH$316,$FN233-GJ$169,72-GJ$169+SwaptionMonthsToGo+SwaptionShift))/SQRT(SUM(INDEX($FO388:$IH388,1+SwaptionShift):INDEX($FO388:$IH388,SwaptionMonthsToGo+SwaptionShift))*SUM(INDEX($FO$325:$IH$396,GJ$169,1+SwaptionShift):INDEX($FO$325:$IH$396,GJ$169,SwaptionMonthsToGo+SwaptionShift))))))</f>
        <v/>
      </c>
      <c r="GK233" s="469" t="str">
        <f ca="1">IF(OR(GK$169&lt;SwaptionFirstMonthPosition+1,$FN233&lt;SwaptionFirstMonthPosition+1,GK$169&gt;SwaptionFirstMonthPosition+SwaptionNumOfMonths+1,$FN233&gt;SwaptionFirstMonthPosition+SwaptionNumOfMonths+1),"",IF($FN233=GK$169,1,IF($FN233&lt;GK$169,INDEX($FO$170:$IH$241,GK$169,$FN233),SUMPRODUCT(INDEX($FO$325:$IH$396,GK$169,1+SwaptionShift):INDEX($FO$325:$IH$396,GK$169,SwaptionMonthsToGo+SwaptionShift),INDEX($FO$245:$IH$316,$FN233-GK$169,73-GK$169+SwaptionShift):INDEX($FO$245:$IH$316,$FN233-GK$169,72-GK$169+SwaptionMonthsToGo+SwaptionShift))/SQRT(SUM(INDEX($FO388:$IH388,1+SwaptionShift):INDEX($FO388:$IH388,SwaptionMonthsToGo+SwaptionShift))*SUM(INDEX($FO$325:$IH$396,GK$169,1+SwaptionShift):INDEX($FO$325:$IH$396,GK$169,SwaptionMonthsToGo+SwaptionShift))))))</f>
        <v/>
      </c>
      <c r="GL233" s="469" t="str">
        <f ca="1">IF(OR(GL$169&lt;SwaptionFirstMonthPosition+1,$FN233&lt;SwaptionFirstMonthPosition+1,GL$169&gt;SwaptionFirstMonthPosition+SwaptionNumOfMonths+1,$FN233&gt;SwaptionFirstMonthPosition+SwaptionNumOfMonths+1),"",IF($FN233=GL$169,1,IF($FN233&lt;GL$169,INDEX($FO$170:$IH$241,GL$169,$FN233),SUMPRODUCT(INDEX($FO$325:$IH$396,GL$169,1+SwaptionShift):INDEX($FO$325:$IH$396,GL$169,SwaptionMonthsToGo+SwaptionShift),INDEX($FO$245:$IH$316,$FN233-GL$169,73-GL$169+SwaptionShift):INDEX($FO$245:$IH$316,$FN233-GL$169,72-GL$169+SwaptionMonthsToGo+SwaptionShift))/SQRT(SUM(INDEX($FO388:$IH388,1+SwaptionShift):INDEX($FO388:$IH388,SwaptionMonthsToGo+SwaptionShift))*SUM(INDEX($FO$325:$IH$396,GL$169,1+SwaptionShift):INDEX($FO$325:$IH$396,GL$169,SwaptionMonthsToGo+SwaptionShift))))))</f>
        <v/>
      </c>
      <c r="GM233" s="469" t="str">
        <f ca="1">IF(OR(GM$169&lt;SwaptionFirstMonthPosition+1,$FN233&lt;SwaptionFirstMonthPosition+1,GM$169&gt;SwaptionFirstMonthPosition+SwaptionNumOfMonths+1,$FN233&gt;SwaptionFirstMonthPosition+SwaptionNumOfMonths+1),"",IF($FN233=GM$169,1,IF($FN233&lt;GM$169,INDEX($FO$170:$IH$241,GM$169,$FN233),SUMPRODUCT(INDEX($FO$325:$IH$396,GM$169,1+SwaptionShift):INDEX($FO$325:$IH$396,GM$169,SwaptionMonthsToGo+SwaptionShift),INDEX($FO$245:$IH$316,$FN233-GM$169,73-GM$169+SwaptionShift):INDEX($FO$245:$IH$316,$FN233-GM$169,72-GM$169+SwaptionMonthsToGo+SwaptionShift))/SQRT(SUM(INDEX($FO388:$IH388,1+SwaptionShift):INDEX($FO388:$IH388,SwaptionMonthsToGo+SwaptionShift))*SUM(INDEX($FO$325:$IH$396,GM$169,1+SwaptionShift):INDEX($FO$325:$IH$396,GM$169,SwaptionMonthsToGo+SwaptionShift))))))</f>
        <v/>
      </c>
      <c r="GN233" s="469" t="str">
        <f ca="1">IF(OR(GN$169&lt;SwaptionFirstMonthPosition+1,$FN233&lt;SwaptionFirstMonthPosition+1,GN$169&gt;SwaptionFirstMonthPosition+SwaptionNumOfMonths+1,$FN233&gt;SwaptionFirstMonthPosition+SwaptionNumOfMonths+1),"",IF($FN233=GN$169,1,IF($FN233&lt;GN$169,INDEX($FO$170:$IH$241,GN$169,$FN233),SUMPRODUCT(INDEX($FO$325:$IH$396,GN$169,1+SwaptionShift):INDEX($FO$325:$IH$396,GN$169,SwaptionMonthsToGo+SwaptionShift),INDEX($FO$245:$IH$316,$FN233-GN$169,73-GN$169+SwaptionShift):INDEX($FO$245:$IH$316,$FN233-GN$169,72-GN$169+SwaptionMonthsToGo+SwaptionShift))/SQRT(SUM(INDEX($FO388:$IH388,1+SwaptionShift):INDEX($FO388:$IH388,SwaptionMonthsToGo+SwaptionShift))*SUM(INDEX($FO$325:$IH$396,GN$169,1+SwaptionShift):INDEX($FO$325:$IH$396,GN$169,SwaptionMonthsToGo+SwaptionShift))))))</f>
        <v/>
      </c>
      <c r="GO233" s="469" t="str">
        <f ca="1">IF(OR(GO$169&lt;SwaptionFirstMonthPosition+1,$FN233&lt;SwaptionFirstMonthPosition+1,GO$169&gt;SwaptionFirstMonthPosition+SwaptionNumOfMonths+1,$FN233&gt;SwaptionFirstMonthPosition+SwaptionNumOfMonths+1),"",IF($FN233=GO$169,1,IF($FN233&lt;GO$169,INDEX($FO$170:$IH$241,GO$169,$FN233),SUMPRODUCT(INDEX($FO$325:$IH$396,GO$169,1+SwaptionShift):INDEX($FO$325:$IH$396,GO$169,SwaptionMonthsToGo+SwaptionShift),INDEX($FO$245:$IH$316,$FN233-GO$169,73-GO$169+SwaptionShift):INDEX($FO$245:$IH$316,$FN233-GO$169,72-GO$169+SwaptionMonthsToGo+SwaptionShift))/SQRT(SUM(INDEX($FO388:$IH388,1+SwaptionShift):INDEX($FO388:$IH388,SwaptionMonthsToGo+SwaptionShift))*SUM(INDEX($FO$325:$IH$396,GO$169,1+SwaptionShift):INDEX($FO$325:$IH$396,GO$169,SwaptionMonthsToGo+SwaptionShift))))))</f>
        <v/>
      </c>
      <c r="GP233" s="469" t="str">
        <f ca="1">IF(OR(GP$169&lt;SwaptionFirstMonthPosition+1,$FN233&lt;SwaptionFirstMonthPosition+1,GP$169&gt;SwaptionFirstMonthPosition+SwaptionNumOfMonths+1,$FN233&gt;SwaptionFirstMonthPosition+SwaptionNumOfMonths+1),"",IF($FN233=GP$169,1,IF($FN233&lt;GP$169,INDEX($FO$170:$IH$241,GP$169,$FN233),SUMPRODUCT(INDEX($FO$325:$IH$396,GP$169,1+SwaptionShift):INDEX($FO$325:$IH$396,GP$169,SwaptionMonthsToGo+SwaptionShift),INDEX($FO$245:$IH$316,$FN233-GP$169,73-GP$169+SwaptionShift):INDEX($FO$245:$IH$316,$FN233-GP$169,72-GP$169+SwaptionMonthsToGo+SwaptionShift))/SQRT(SUM(INDEX($FO388:$IH388,1+SwaptionShift):INDEX($FO388:$IH388,SwaptionMonthsToGo+SwaptionShift))*SUM(INDEX($FO$325:$IH$396,GP$169,1+SwaptionShift):INDEX($FO$325:$IH$396,GP$169,SwaptionMonthsToGo+SwaptionShift))))))</f>
        <v/>
      </c>
      <c r="GQ233" s="469" t="str">
        <f ca="1">IF(OR(GQ$169&lt;SwaptionFirstMonthPosition+1,$FN233&lt;SwaptionFirstMonthPosition+1,GQ$169&gt;SwaptionFirstMonthPosition+SwaptionNumOfMonths+1,$FN233&gt;SwaptionFirstMonthPosition+SwaptionNumOfMonths+1),"",IF($FN233=GQ$169,1,IF($FN233&lt;GQ$169,INDEX($FO$170:$IH$241,GQ$169,$FN233),SUMPRODUCT(INDEX($FO$325:$IH$396,GQ$169,1+SwaptionShift):INDEX($FO$325:$IH$396,GQ$169,SwaptionMonthsToGo+SwaptionShift),INDEX($FO$245:$IH$316,$FN233-GQ$169,73-GQ$169+SwaptionShift):INDEX($FO$245:$IH$316,$FN233-GQ$169,72-GQ$169+SwaptionMonthsToGo+SwaptionShift))/SQRT(SUM(INDEX($FO388:$IH388,1+SwaptionShift):INDEX($FO388:$IH388,SwaptionMonthsToGo+SwaptionShift))*SUM(INDEX($FO$325:$IH$396,GQ$169,1+SwaptionShift):INDEX($FO$325:$IH$396,GQ$169,SwaptionMonthsToGo+SwaptionShift))))))</f>
        <v/>
      </c>
      <c r="GR233" s="469" t="str">
        <f ca="1">IF(OR(GR$169&lt;SwaptionFirstMonthPosition+1,$FN233&lt;SwaptionFirstMonthPosition+1,GR$169&gt;SwaptionFirstMonthPosition+SwaptionNumOfMonths+1,$FN233&gt;SwaptionFirstMonthPosition+SwaptionNumOfMonths+1),"",IF($FN233=GR$169,1,IF($FN233&lt;GR$169,INDEX($FO$170:$IH$241,GR$169,$FN233),SUMPRODUCT(INDEX($FO$325:$IH$396,GR$169,1+SwaptionShift):INDEX($FO$325:$IH$396,GR$169,SwaptionMonthsToGo+SwaptionShift),INDEX($FO$245:$IH$316,$FN233-GR$169,73-GR$169+SwaptionShift):INDEX($FO$245:$IH$316,$FN233-GR$169,72-GR$169+SwaptionMonthsToGo+SwaptionShift))/SQRT(SUM(INDEX($FO388:$IH388,1+SwaptionShift):INDEX($FO388:$IH388,SwaptionMonthsToGo+SwaptionShift))*SUM(INDEX($FO$325:$IH$396,GR$169,1+SwaptionShift):INDEX($FO$325:$IH$396,GR$169,SwaptionMonthsToGo+SwaptionShift))))))</f>
        <v/>
      </c>
      <c r="GS233" s="469" t="str">
        <f ca="1">IF(OR(GS$169&lt;SwaptionFirstMonthPosition+1,$FN233&lt;SwaptionFirstMonthPosition+1,GS$169&gt;SwaptionFirstMonthPosition+SwaptionNumOfMonths+1,$FN233&gt;SwaptionFirstMonthPosition+SwaptionNumOfMonths+1),"",IF($FN233=GS$169,1,IF($FN233&lt;GS$169,INDEX($FO$170:$IH$241,GS$169,$FN233),SUMPRODUCT(INDEX($FO$325:$IH$396,GS$169,1+SwaptionShift):INDEX($FO$325:$IH$396,GS$169,SwaptionMonthsToGo+SwaptionShift),INDEX($FO$245:$IH$316,$FN233-GS$169,73-GS$169+SwaptionShift):INDEX($FO$245:$IH$316,$FN233-GS$169,72-GS$169+SwaptionMonthsToGo+SwaptionShift))/SQRT(SUM(INDEX($FO388:$IH388,1+SwaptionShift):INDEX($FO388:$IH388,SwaptionMonthsToGo+SwaptionShift))*SUM(INDEX($FO$325:$IH$396,GS$169,1+SwaptionShift):INDEX($FO$325:$IH$396,GS$169,SwaptionMonthsToGo+SwaptionShift))))))</f>
        <v/>
      </c>
      <c r="GT233" s="469" t="str">
        <f ca="1">IF(OR(GT$169&lt;SwaptionFirstMonthPosition+1,$FN233&lt;SwaptionFirstMonthPosition+1,GT$169&gt;SwaptionFirstMonthPosition+SwaptionNumOfMonths+1,$FN233&gt;SwaptionFirstMonthPosition+SwaptionNumOfMonths+1),"",IF($FN233=GT$169,1,IF($FN233&lt;GT$169,INDEX($FO$170:$IH$241,GT$169,$FN233),SUMPRODUCT(INDEX($FO$325:$IH$396,GT$169,1+SwaptionShift):INDEX($FO$325:$IH$396,GT$169,SwaptionMonthsToGo+SwaptionShift),INDEX($FO$245:$IH$316,$FN233-GT$169,73-GT$169+SwaptionShift):INDEX($FO$245:$IH$316,$FN233-GT$169,72-GT$169+SwaptionMonthsToGo+SwaptionShift))/SQRT(SUM(INDEX($FO388:$IH388,1+SwaptionShift):INDEX($FO388:$IH388,SwaptionMonthsToGo+SwaptionShift))*SUM(INDEX($FO$325:$IH$396,GT$169,1+SwaptionShift):INDEX($FO$325:$IH$396,GT$169,SwaptionMonthsToGo+SwaptionShift))))))</f>
        <v/>
      </c>
      <c r="GU233" s="469" t="str">
        <f ca="1">IF(OR(GU$169&lt;SwaptionFirstMonthPosition+1,$FN233&lt;SwaptionFirstMonthPosition+1,GU$169&gt;SwaptionFirstMonthPosition+SwaptionNumOfMonths+1,$FN233&gt;SwaptionFirstMonthPosition+SwaptionNumOfMonths+1),"",IF($FN233=GU$169,1,IF($FN233&lt;GU$169,INDEX($FO$170:$IH$241,GU$169,$FN233),SUMPRODUCT(INDEX($FO$325:$IH$396,GU$169,1+SwaptionShift):INDEX($FO$325:$IH$396,GU$169,SwaptionMonthsToGo+SwaptionShift),INDEX($FO$245:$IH$316,$FN233-GU$169,73-GU$169+SwaptionShift):INDEX($FO$245:$IH$316,$FN233-GU$169,72-GU$169+SwaptionMonthsToGo+SwaptionShift))/SQRT(SUM(INDEX($FO388:$IH388,1+SwaptionShift):INDEX($FO388:$IH388,SwaptionMonthsToGo+SwaptionShift))*SUM(INDEX($FO$325:$IH$396,GU$169,1+SwaptionShift):INDEX($FO$325:$IH$396,GU$169,SwaptionMonthsToGo+SwaptionShift))))))</f>
        <v/>
      </c>
      <c r="GV233" s="469" t="str">
        <f ca="1">IF(OR(GV$169&lt;SwaptionFirstMonthPosition+1,$FN233&lt;SwaptionFirstMonthPosition+1,GV$169&gt;SwaptionFirstMonthPosition+SwaptionNumOfMonths+1,$FN233&gt;SwaptionFirstMonthPosition+SwaptionNumOfMonths+1),"",IF($FN233=GV$169,1,IF($FN233&lt;GV$169,INDEX($FO$170:$IH$241,GV$169,$FN233),SUMPRODUCT(INDEX($FO$325:$IH$396,GV$169,1+SwaptionShift):INDEX($FO$325:$IH$396,GV$169,SwaptionMonthsToGo+SwaptionShift),INDEX($FO$245:$IH$316,$FN233-GV$169,73-GV$169+SwaptionShift):INDEX($FO$245:$IH$316,$FN233-GV$169,72-GV$169+SwaptionMonthsToGo+SwaptionShift))/SQRT(SUM(INDEX($FO388:$IH388,1+SwaptionShift):INDEX($FO388:$IH388,SwaptionMonthsToGo+SwaptionShift))*SUM(INDEX($FO$325:$IH$396,GV$169,1+SwaptionShift):INDEX($FO$325:$IH$396,GV$169,SwaptionMonthsToGo+SwaptionShift))))))</f>
        <v/>
      </c>
      <c r="GW233" s="469" t="str">
        <f ca="1">IF(OR(GW$169&lt;SwaptionFirstMonthPosition+1,$FN233&lt;SwaptionFirstMonthPosition+1,GW$169&gt;SwaptionFirstMonthPosition+SwaptionNumOfMonths+1,$FN233&gt;SwaptionFirstMonthPosition+SwaptionNumOfMonths+1),"",IF($FN233=GW$169,1,IF($FN233&lt;GW$169,INDEX($FO$170:$IH$241,GW$169,$FN233),SUMPRODUCT(INDEX($FO$325:$IH$396,GW$169,1+SwaptionShift):INDEX($FO$325:$IH$396,GW$169,SwaptionMonthsToGo+SwaptionShift),INDEX($FO$245:$IH$316,$FN233-GW$169,73-GW$169+SwaptionShift):INDEX($FO$245:$IH$316,$FN233-GW$169,72-GW$169+SwaptionMonthsToGo+SwaptionShift))/SQRT(SUM(INDEX($FO388:$IH388,1+SwaptionShift):INDEX($FO388:$IH388,SwaptionMonthsToGo+SwaptionShift))*SUM(INDEX($FO$325:$IH$396,GW$169,1+SwaptionShift):INDEX($FO$325:$IH$396,GW$169,SwaptionMonthsToGo+SwaptionShift))))))</f>
        <v/>
      </c>
      <c r="GX233" s="469" t="str">
        <f ca="1">IF(OR(GX$169&lt;SwaptionFirstMonthPosition+1,$FN233&lt;SwaptionFirstMonthPosition+1,GX$169&gt;SwaptionFirstMonthPosition+SwaptionNumOfMonths+1,$FN233&gt;SwaptionFirstMonthPosition+SwaptionNumOfMonths+1),"",IF($FN233=GX$169,1,IF($FN233&lt;GX$169,INDEX($FO$170:$IH$241,GX$169,$FN233),SUMPRODUCT(INDEX($FO$325:$IH$396,GX$169,1+SwaptionShift):INDEX($FO$325:$IH$396,GX$169,SwaptionMonthsToGo+SwaptionShift),INDEX($FO$245:$IH$316,$FN233-GX$169,73-GX$169+SwaptionShift):INDEX($FO$245:$IH$316,$FN233-GX$169,72-GX$169+SwaptionMonthsToGo+SwaptionShift))/SQRT(SUM(INDEX($FO388:$IH388,1+SwaptionShift):INDEX($FO388:$IH388,SwaptionMonthsToGo+SwaptionShift))*SUM(INDEX($FO$325:$IH$396,GX$169,1+SwaptionShift):INDEX($FO$325:$IH$396,GX$169,SwaptionMonthsToGo+SwaptionShift))))))</f>
        <v/>
      </c>
      <c r="GY233" s="469" t="str">
        <f ca="1">IF(OR(GY$169&lt;SwaptionFirstMonthPosition+1,$FN233&lt;SwaptionFirstMonthPosition+1,GY$169&gt;SwaptionFirstMonthPosition+SwaptionNumOfMonths+1,$FN233&gt;SwaptionFirstMonthPosition+SwaptionNumOfMonths+1),"",IF($FN233=GY$169,1,IF($FN233&lt;GY$169,INDEX($FO$170:$IH$241,GY$169,$FN233),SUMPRODUCT(INDEX($FO$325:$IH$396,GY$169,1+SwaptionShift):INDEX($FO$325:$IH$396,GY$169,SwaptionMonthsToGo+SwaptionShift),INDEX($FO$245:$IH$316,$FN233-GY$169,73-GY$169+SwaptionShift):INDEX($FO$245:$IH$316,$FN233-GY$169,72-GY$169+SwaptionMonthsToGo+SwaptionShift))/SQRT(SUM(INDEX($FO388:$IH388,1+SwaptionShift):INDEX($FO388:$IH388,SwaptionMonthsToGo+SwaptionShift))*SUM(INDEX($FO$325:$IH$396,GY$169,1+SwaptionShift):INDEX($FO$325:$IH$396,GY$169,SwaptionMonthsToGo+SwaptionShift))))))</f>
        <v/>
      </c>
      <c r="GZ233" s="469" t="str">
        <f ca="1">IF(OR(GZ$169&lt;SwaptionFirstMonthPosition+1,$FN233&lt;SwaptionFirstMonthPosition+1,GZ$169&gt;SwaptionFirstMonthPosition+SwaptionNumOfMonths+1,$FN233&gt;SwaptionFirstMonthPosition+SwaptionNumOfMonths+1),"",IF($FN233=GZ$169,1,IF($FN233&lt;GZ$169,INDEX($FO$170:$IH$241,GZ$169,$FN233),SUMPRODUCT(INDEX($FO$325:$IH$396,GZ$169,1+SwaptionShift):INDEX($FO$325:$IH$396,GZ$169,SwaptionMonthsToGo+SwaptionShift),INDEX($FO$245:$IH$316,$FN233-GZ$169,73-GZ$169+SwaptionShift):INDEX($FO$245:$IH$316,$FN233-GZ$169,72-GZ$169+SwaptionMonthsToGo+SwaptionShift))/SQRT(SUM(INDEX($FO388:$IH388,1+SwaptionShift):INDEX($FO388:$IH388,SwaptionMonthsToGo+SwaptionShift))*SUM(INDEX($FO$325:$IH$396,GZ$169,1+SwaptionShift):INDEX($FO$325:$IH$396,GZ$169,SwaptionMonthsToGo+SwaptionShift))))))</f>
        <v/>
      </c>
      <c r="HA233" s="469" t="str">
        <f ca="1">IF(OR(HA$169&lt;SwaptionFirstMonthPosition+1,$FN233&lt;SwaptionFirstMonthPosition+1,HA$169&gt;SwaptionFirstMonthPosition+SwaptionNumOfMonths+1,$FN233&gt;SwaptionFirstMonthPosition+SwaptionNumOfMonths+1),"",IF($FN233=HA$169,1,IF($FN233&lt;HA$169,INDEX($FO$170:$IH$241,HA$169,$FN233),SUMPRODUCT(INDEX($FO$325:$IH$396,HA$169,1+SwaptionShift):INDEX($FO$325:$IH$396,HA$169,SwaptionMonthsToGo+SwaptionShift),INDEX($FO$245:$IH$316,$FN233-HA$169,73-HA$169+SwaptionShift):INDEX($FO$245:$IH$316,$FN233-HA$169,72-HA$169+SwaptionMonthsToGo+SwaptionShift))/SQRT(SUM(INDEX($FO388:$IH388,1+SwaptionShift):INDEX($FO388:$IH388,SwaptionMonthsToGo+SwaptionShift))*SUM(INDEX($FO$325:$IH$396,HA$169,1+SwaptionShift):INDEX($FO$325:$IH$396,HA$169,SwaptionMonthsToGo+SwaptionShift))))))</f>
        <v/>
      </c>
      <c r="HB233" s="469" t="str">
        <f ca="1">IF(OR(HB$169&lt;SwaptionFirstMonthPosition+1,$FN233&lt;SwaptionFirstMonthPosition+1,HB$169&gt;SwaptionFirstMonthPosition+SwaptionNumOfMonths+1,$FN233&gt;SwaptionFirstMonthPosition+SwaptionNumOfMonths+1),"",IF($FN233=HB$169,1,IF($FN233&lt;HB$169,INDEX($FO$170:$IH$241,HB$169,$FN233),SUMPRODUCT(INDEX($FO$325:$IH$396,HB$169,1+SwaptionShift):INDEX($FO$325:$IH$396,HB$169,SwaptionMonthsToGo+SwaptionShift),INDEX($FO$245:$IH$316,$FN233-HB$169,73-HB$169+SwaptionShift):INDEX($FO$245:$IH$316,$FN233-HB$169,72-HB$169+SwaptionMonthsToGo+SwaptionShift))/SQRT(SUM(INDEX($FO388:$IH388,1+SwaptionShift):INDEX($FO388:$IH388,SwaptionMonthsToGo+SwaptionShift))*SUM(INDEX($FO$325:$IH$396,HB$169,1+SwaptionShift):INDEX($FO$325:$IH$396,HB$169,SwaptionMonthsToGo+SwaptionShift))))))</f>
        <v/>
      </c>
      <c r="HC233" s="469" t="str">
        <f ca="1">IF(OR(HC$169&lt;SwaptionFirstMonthPosition+1,$FN233&lt;SwaptionFirstMonthPosition+1,HC$169&gt;SwaptionFirstMonthPosition+SwaptionNumOfMonths+1,$FN233&gt;SwaptionFirstMonthPosition+SwaptionNumOfMonths+1),"",IF($FN233=HC$169,1,IF($FN233&lt;HC$169,INDEX($FO$170:$IH$241,HC$169,$FN233),SUMPRODUCT(INDEX($FO$325:$IH$396,HC$169,1+SwaptionShift):INDEX($FO$325:$IH$396,HC$169,SwaptionMonthsToGo+SwaptionShift),INDEX($FO$245:$IH$316,$FN233-HC$169,73-HC$169+SwaptionShift):INDEX($FO$245:$IH$316,$FN233-HC$169,72-HC$169+SwaptionMonthsToGo+SwaptionShift))/SQRT(SUM(INDEX($FO388:$IH388,1+SwaptionShift):INDEX($FO388:$IH388,SwaptionMonthsToGo+SwaptionShift))*SUM(INDEX($FO$325:$IH$396,HC$169,1+SwaptionShift):INDEX($FO$325:$IH$396,HC$169,SwaptionMonthsToGo+SwaptionShift))))))</f>
        <v/>
      </c>
      <c r="HD233" s="469" t="str">
        <f ca="1">IF(OR(HD$169&lt;SwaptionFirstMonthPosition+1,$FN233&lt;SwaptionFirstMonthPosition+1,HD$169&gt;SwaptionFirstMonthPosition+SwaptionNumOfMonths+1,$FN233&gt;SwaptionFirstMonthPosition+SwaptionNumOfMonths+1),"",IF($FN233=HD$169,1,IF($FN233&lt;HD$169,INDEX($FO$170:$IH$241,HD$169,$FN233),SUMPRODUCT(INDEX($FO$325:$IH$396,HD$169,1+SwaptionShift):INDEX($FO$325:$IH$396,HD$169,SwaptionMonthsToGo+SwaptionShift),INDEX($FO$245:$IH$316,$FN233-HD$169,73-HD$169+SwaptionShift):INDEX($FO$245:$IH$316,$FN233-HD$169,72-HD$169+SwaptionMonthsToGo+SwaptionShift))/SQRT(SUM(INDEX($FO388:$IH388,1+SwaptionShift):INDEX($FO388:$IH388,SwaptionMonthsToGo+SwaptionShift))*SUM(INDEX($FO$325:$IH$396,HD$169,1+SwaptionShift):INDEX($FO$325:$IH$396,HD$169,SwaptionMonthsToGo+SwaptionShift))))))</f>
        <v/>
      </c>
      <c r="HE233" s="469" t="str">
        <f ca="1">IF(OR(HE$169&lt;SwaptionFirstMonthPosition+1,$FN233&lt;SwaptionFirstMonthPosition+1,HE$169&gt;SwaptionFirstMonthPosition+SwaptionNumOfMonths+1,$FN233&gt;SwaptionFirstMonthPosition+SwaptionNumOfMonths+1),"",IF($FN233=HE$169,1,IF($FN233&lt;HE$169,INDEX($FO$170:$IH$241,HE$169,$FN233),SUMPRODUCT(INDEX($FO$325:$IH$396,HE$169,1+SwaptionShift):INDEX($FO$325:$IH$396,HE$169,SwaptionMonthsToGo+SwaptionShift),INDEX($FO$245:$IH$316,$FN233-HE$169,73-HE$169+SwaptionShift):INDEX($FO$245:$IH$316,$FN233-HE$169,72-HE$169+SwaptionMonthsToGo+SwaptionShift))/SQRT(SUM(INDEX($FO388:$IH388,1+SwaptionShift):INDEX($FO388:$IH388,SwaptionMonthsToGo+SwaptionShift))*SUM(INDEX($FO$325:$IH$396,HE$169,1+SwaptionShift):INDEX($FO$325:$IH$396,HE$169,SwaptionMonthsToGo+SwaptionShift))))))</f>
        <v/>
      </c>
      <c r="HF233" s="469" t="str">
        <f ca="1">IF(OR(HF$169&lt;SwaptionFirstMonthPosition+1,$FN233&lt;SwaptionFirstMonthPosition+1,HF$169&gt;SwaptionFirstMonthPosition+SwaptionNumOfMonths+1,$FN233&gt;SwaptionFirstMonthPosition+SwaptionNumOfMonths+1),"",IF($FN233=HF$169,1,IF($FN233&lt;HF$169,INDEX($FO$170:$IH$241,HF$169,$FN233),SUMPRODUCT(INDEX($FO$325:$IH$396,HF$169,1+SwaptionShift):INDEX($FO$325:$IH$396,HF$169,SwaptionMonthsToGo+SwaptionShift),INDEX($FO$245:$IH$316,$FN233-HF$169,73-HF$169+SwaptionShift):INDEX($FO$245:$IH$316,$FN233-HF$169,72-HF$169+SwaptionMonthsToGo+SwaptionShift))/SQRT(SUM(INDEX($FO388:$IH388,1+SwaptionShift):INDEX($FO388:$IH388,SwaptionMonthsToGo+SwaptionShift))*SUM(INDEX($FO$325:$IH$396,HF$169,1+SwaptionShift):INDEX($FO$325:$IH$396,HF$169,SwaptionMonthsToGo+SwaptionShift))))))</f>
        <v/>
      </c>
      <c r="HG233" s="469" t="str">
        <f ca="1">IF(OR(HG$169&lt;SwaptionFirstMonthPosition+1,$FN233&lt;SwaptionFirstMonthPosition+1,HG$169&gt;SwaptionFirstMonthPosition+SwaptionNumOfMonths+1,$FN233&gt;SwaptionFirstMonthPosition+SwaptionNumOfMonths+1),"",IF($FN233=HG$169,1,IF($FN233&lt;HG$169,INDEX($FO$170:$IH$241,HG$169,$FN233),SUMPRODUCT(INDEX($FO$325:$IH$396,HG$169,1+SwaptionShift):INDEX($FO$325:$IH$396,HG$169,SwaptionMonthsToGo+SwaptionShift),INDEX($FO$245:$IH$316,$FN233-HG$169,73-HG$169+SwaptionShift):INDEX($FO$245:$IH$316,$FN233-HG$169,72-HG$169+SwaptionMonthsToGo+SwaptionShift))/SQRT(SUM(INDEX($FO388:$IH388,1+SwaptionShift):INDEX($FO388:$IH388,SwaptionMonthsToGo+SwaptionShift))*SUM(INDEX($FO$325:$IH$396,HG$169,1+SwaptionShift):INDEX($FO$325:$IH$396,HG$169,SwaptionMonthsToGo+SwaptionShift))))))</f>
        <v/>
      </c>
      <c r="HH233" s="469" t="str">
        <f ca="1">IF(OR(HH$169&lt;SwaptionFirstMonthPosition+1,$FN233&lt;SwaptionFirstMonthPosition+1,HH$169&gt;SwaptionFirstMonthPosition+SwaptionNumOfMonths+1,$FN233&gt;SwaptionFirstMonthPosition+SwaptionNumOfMonths+1),"",IF($FN233=HH$169,1,IF($FN233&lt;HH$169,INDEX($FO$170:$IH$241,HH$169,$FN233),SUMPRODUCT(INDEX($FO$325:$IH$396,HH$169,1+SwaptionShift):INDEX($FO$325:$IH$396,HH$169,SwaptionMonthsToGo+SwaptionShift),INDEX($FO$245:$IH$316,$FN233-HH$169,73-HH$169+SwaptionShift):INDEX($FO$245:$IH$316,$FN233-HH$169,72-HH$169+SwaptionMonthsToGo+SwaptionShift))/SQRT(SUM(INDEX($FO388:$IH388,1+SwaptionShift):INDEX($FO388:$IH388,SwaptionMonthsToGo+SwaptionShift))*SUM(INDEX($FO$325:$IH$396,HH$169,1+SwaptionShift):INDEX($FO$325:$IH$396,HH$169,SwaptionMonthsToGo+SwaptionShift))))))</f>
        <v/>
      </c>
      <c r="HI233" s="469" t="str">
        <f ca="1">IF(OR(HI$169&lt;SwaptionFirstMonthPosition+1,$FN233&lt;SwaptionFirstMonthPosition+1,HI$169&gt;SwaptionFirstMonthPosition+SwaptionNumOfMonths+1,$FN233&gt;SwaptionFirstMonthPosition+SwaptionNumOfMonths+1),"",IF($FN233=HI$169,1,IF($FN233&lt;HI$169,INDEX($FO$170:$IH$241,HI$169,$FN233),SUMPRODUCT(INDEX($FO$325:$IH$396,HI$169,1+SwaptionShift):INDEX($FO$325:$IH$396,HI$169,SwaptionMonthsToGo+SwaptionShift),INDEX($FO$245:$IH$316,$FN233-HI$169,73-HI$169+SwaptionShift):INDEX($FO$245:$IH$316,$FN233-HI$169,72-HI$169+SwaptionMonthsToGo+SwaptionShift))/SQRT(SUM(INDEX($FO388:$IH388,1+SwaptionShift):INDEX($FO388:$IH388,SwaptionMonthsToGo+SwaptionShift))*SUM(INDEX($FO$325:$IH$396,HI$169,1+SwaptionShift):INDEX($FO$325:$IH$396,HI$169,SwaptionMonthsToGo+SwaptionShift))))))</f>
        <v/>
      </c>
      <c r="HJ233" s="469" t="str">
        <f ca="1">IF(OR(HJ$169&lt;SwaptionFirstMonthPosition+1,$FN233&lt;SwaptionFirstMonthPosition+1,HJ$169&gt;SwaptionFirstMonthPosition+SwaptionNumOfMonths+1,$FN233&gt;SwaptionFirstMonthPosition+SwaptionNumOfMonths+1),"",IF($FN233=HJ$169,1,IF($FN233&lt;HJ$169,INDEX($FO$170:$IH$241,HJ$169,$FN233),SUMPRODUCT(INDEX($FO$325:$IH$396,HJ$169,1+SwaptionShift):INDEX($FO$325:$IH$396,HJ$169,SwaptionMonthsToGo+SwaptionShift),INDEX($FO$245:$IH$316,$FN233-HJ$169,73-HJ$169+SwaptionShift):INDEX($FO$245:$IH$316,$FN233-HJ$169,72-HJ$169+SwaptionMonthsToGo+SwaptionShift))/SQRT(SUM(INDEX($FO388:$IH388,1+SwaptionShift):INDEX($FO388:$IH388,SwaptionMonthsToGo+SwaptionShift))*SUM(INDEX($FO$325:$IH$396,HJ$169,1+SwaptionShift):INDEX($FO$325:$IH$396,HJ$169,SwaptionMonthsToGo+SwaptionShift))))))</f>
        <v/>
      </c>
      <c r="HK233" s="469" t="str">
        <f ca="1">IF(OR(HK$169&lt;SwaptionFirstMonthPosition+1,$FN233&lt;SwaptionFirstMonthPosition+1,HK$169&gt;SwaptionFirstMonthPosition+SwaptionNumOfMonths+1,$FN233&gt;SwaptionFirstMonthPosition+SwaptionNumOfMonths+1),"",IF($FN233=HK$169,1,IF($FN233&lt;HK$169,INDEX($FO$170:$IH$241,HK$169,$FN233),SUMPRODUCT(INDEX($FO$325:$IH$396,HK$169,1+SwaptionShift):INDEX($FO$325:$IH$396,HK$169,SwaptionMonthsToGo+SwaptionShift),INDEX($FO$245:$IH$316,$FN233-HK$169,73-HK$169+SwaptionShift):INDEX($FO$245:$IH$316,$FN233-HK$169,72-HK$169+SwaptionMonthsToGo+SwaptionShift))/SQRT(SUM(INDEX($FO388:$IH388,1+SwaptionShift):INDEX($FO388:$IH388,SwaptionMonthsToGo+SwaptionShift))*SUM(INDEX($FO$325:$IH$396,HK$169,1+SwaptionShift):INDEX($FO$325:$IH$396,HK$169,SwaptionMonthsToGo+SwaptionShift))))))</f>
        <v/>
      </c>
      <c r="HL233" s="469" t="str">
        <f ca="1">IF(OR(HL$169&lt;SwaptionFirstMonthPosition+1,$FN233&lt;SwaptionFirstMonthPosition+1,HL$169&gt;SwaptionFirstMonthPosition+SwaptionNumOfMonths+1,$FN233&gt;SwaptionFirstMonthPosition+SwaptionNumOfMonths+1),"",IF($FN233=HL$169,1,IF($FN233&lt;HL$169,INDEX($FO$170:$IH$241,HL$169,$FN233),SUMPRODUCT(INDEX($FO$325:$IH$396,HL$169,1+SwaptionShift):INDEX($FO$325:$IH$396,HL$169,SwaptionMonthsToGo+SwaptionShift),INDEX($FO$245:$IH$316,$FN233-HL$169,73-HL$169+SwaptionShift):INDEX($FO$245:$IH$316,$FN233-HL$169,72-HL$169+SwaptionMonthsToGo+SwaptionShift))/SQRT(SUM(INDEX($FO388:$IH388,1+SwaptionShift):INDEX($FO388:$IH388,SwaptionMonthsToGo+SwaptionShift))*SUM(INDEX($FO$325:$IH$396,HL$169,1+SwaptionShift):INDEX($FO$325:$IH$396,HL$169,SwaptionMonthsToGo+SwaptionShift))))))</f>
        <v/>
      </c>
      <c r="HM233" s="469" t="str">
        <f ca="1">IF(OR(HM$169&lt;SwaptionFirstMonthPosition+1,$FN233&lt;SwaptionFirstMonthPosition+1,HM$169&gt;SwaptionFirstMonthPosition+SwaptionNumOfMonths+1,$FN233&gt;SwaptionFirstMonthPosition+SwaptionNumOfMonths+1),"",IF($FN233=HM$169,1,IF($FN233&lt;HM$169,INDEX($FO$170:$IH$241,HM$169,$FN233),SUMPRODUCT(INDEX($FO$325:$IH$396,HM$169,1+SwaptionShift):INDEX($FO$325:$IH$396,HM$169,SwaptionMonthsToGo+SwaptionShift),INDEX($FO$245:$IH$316,$FN233-HM$169,73-HM$169+SwaptionShift):INDEX($FO$245:$IH$316,$FN233-HM$169,72-HM$169+SwaptionMonthsToGo+SwaptionShift))/SQRT(SUM(INDEX($FO388:$IH388,1+SwaptionShift):INDEX($FO388:$IH388,SwaptionMonthsToGo+SwaptionShift))*SUM(INDEX($FO$325:$IH$396,HM$169,1+SwaptionShift):INDEX($FO$325:$IH$396,HM$169,SwaptionMonthsToGo+SwaptionShift))))))</f>
        <v/>
      </c>
      <c r="HN233" s="469" t="str">
        <f ca="1">IF(OR(HN$169&lt;SwaptionFirstMonthPosition+1,$FN233&lt;SwaptionFirstMonthPosition+1,HN$169&gt;SwaptionFirstMonthPosition+SwaptionNumOfMonths+1,$FN233&gt;SwaptionFirstMonthPosition+SwaptionNumOfMonths+1),"",IF($FN233=HN$169,1,IF($FN233&lt;HN$169,INDEX($FO$170:$IH$241,HN$169,$FN233),SUMPRODUCT(INDEX($FO$325:$IH$396,HN$169,1+SwaptionShift):INDEX($FO$325:$IH$396,HN$169,SwaptionMonthsToGo+SwaptionShift),INDEX($FO$245:$IH$316,$FN233-HN$169,73-HN$169+SwaptionShift):INDEX($FO$245:$IH$316,$FN233-HN$169,72-HN$169+SwaptionMonthsToGo+SwaptionShift))/SQRT(SUM(INDEX($FO388:$IH388,1+SwaptionShift):INDEX($FO388:$IH388,SwaptionMonthsToGo+SwaptionShift))*SUM(INDEX($FO$325:$IH$396,HN$169,1+SwaptionShift):INDEX($FO$325:$IH$396,HN$169,SwaptionMonthsToGo+SwaptionShift))))))</f>
        <v/>
      </c>
      <c r="HO233" s="469" t="str">
        <f ca="1">IF(OR(HO$169&lt;SwaptionFirstMonthPosition+1,$FN233&lt;SwaptionFirstMonthPosition+1,HO$169&gt;SwaptionFirstMonthPosition+SwaptionNumOfMonths+1,$FN233&gt;SwaptionFirstMonthPosition+SwaptionNumOfMonths+1),"",IF($FN233=HO$169,1,IF($FN233&lt;HO$169,INDEX($FO$170:$IH$241,HO$169,$FN233),SUMPRODUCT(INDEX($FO$325:$IH$396,HO$169,1+SwaptionShift):INDEX($FO$325:$IH$396,HO$169,SwaptionMonthsToGo+SwaptionShift),INDEX($FO$245:$IH$316,$FN233-HO$169,73-HO$169+SwaptionShift):INDEX($FO$245:$IH$316,$FN233-HO$169,72-HO$169+SwaptionMonthsToGo+SwaptionShift))/SQRT(SUM(INDEX($FO388:$IH388,1+SwaptionShift):INDEX($FO388:$IH388,SwaptionMonthsToGo+SwaptionShift))*SUM(INDEX($FO$325:$IH$396,HO$169,1+SwaptionShift):INDEX($FO$325:$IH$396,HO$169,SwaptionMonthsToGo+SwaptionShift))))))</f>
        <v/>
      </c>
      <c r="HP233" s="469" t="str">
        <f ca="1">IF(OR(HP$169&lt;SwaptionFirstMonthPosition+1,$FN233&lt;SwaptionFirstMonthPosition+1,HP$169&gt;SwaptionFirstMonthPosition+SwaptionNumOfMonths+1,$FN233&gt;SwaptionFirstMonthPosition+SwaptionNumOfMonths+1),"",IF($FN233=HP$169,1,IF($FN233&lt;HP$169,INDEX($FO$170:$IH$241,HP$169,$FN233),SUMPRODUCT(INDEX($FO$325:$IH$396,HP$169,1+SwaptionShift):INDEX($FO$325:$IH$396,HP$169,SwaptionMonthsToGo+SwaptionShift),INDEX($FO$245:$IH$316,$FN233-HP$169,73-HP$169+SwaptionShift):INDEX($FO$245:$IH$316,$FN233-HP$169,72-HP$169+SwaptionMonthsToGo+SwaptionShift))/SQRT(SUM(INDEX($FO388:$IH388,1+SwaptionShift):INDEX($FO388:$IH388,SwaptionMonthsToGo+SwaptionShift))*SUM(INDEX($FO$325:$IH$396,HP$169,1+SwaptionShift):INDEX($FO$325:$IH$396,HP$169,SwaptionMonthsToGo+SwaptionShift))))))</f>
        <v/>
      </c>
      <c r="HQ233" s="469" t="str">
        <f ca="1">IF(OR(HQ$169&lt;SwaptionFirstMonthPosition+1,$FN233&lt;SwaptionFirstMonthPosition+1,HQ$169&gt;SwaptionFirstMonthPosition+SwaptionNumOfMonths+1,$FN233&gt;SwaptionFirstMonthPosition+SwaptionNumOfMonths+1),"",IF($FN233=HQ$169,1,IF($FN233&lt;HQ$169,INDEX($FO$170:$IH$241,HQ$169,$FN233),SUMPRODUCT(INDEX($FO$325:$IH$396,HQ$169,1+SwaptionShift):INDEX($FO$325:$IH$396,HQ$169,SwaptionMonthsToGo+SwaptionShift),INDEX($FO$245:$IH$316,$FN233-HQ$169,73-HQ$169+SwaptionShift):INDEX($FO$245:$IH$316,$FN233-HQ$169,72-HQ$169+SwaptionMonthsToGo+SwaptionShift))/SQRT(SUM(INDEX($FO388:$IH388,1+SwaptionShift):INDEX($FO388:$IH388,SwaptionMonthsToGo+SwaptionShift))*SUM(INDEX($FO$325:$IH$396,HQ$169,1+SwaptionShift):INDEX($FO$325:$IH$396,HQ$169,SwaptionMonthsToGo+SwaptionShift))))))</f>
        <v/>
      </c>
      <c r="HR233" s="469" t="str">
        <f ca="1">IF(OR(HR$169&lt;SwaptionFirstMonthPosition+1,$FN233&lt;SwaptionFirstMonthPosition+1,HR$169&gt;SwaptionFirstMonthPosition+SwaptionNumOfMonths+1,$FN233&gt;SwaptionFirstMonthPosition+SwaptionNumOfMonths+1),"",IF($FN233=HR$169,1,IF($FN233&lt;HR$169,INDEX($FO$170:$IH$241,HR$169,$FN233),SUMPRODUCT(INDEX($FO$325:$IH$396,HR$169,1+SwaptionShift):INDEX($FO$325:$IH$396,HR$169,SwaptionMonthsToGo+SwaptionShift),INDEX($FO$245:$IH$316,$FN233-HR$169,73-HR$169+SwaptionShift):INDEX($FO$245:$IH$316,$FN233-HR$169,72-HR$169+SwaptionMonthsToGo+SwaptionShift))/SQRT(SUM(INDEX($FO388:$IH388,1+SwaptionShift):INDEX($FO388:$IH388,SwaptionMonthsToGo+SwaptionShift))*SUM(INDEX($FO$325:$IH$396,HR$169,1+SwaptionShift):INDEX($FO$325:$IH$396,HR$169,SwaptionMonthsToGo+SwaptionShift))))))</f>
        <v/>
      </c>
      <c r="HS233" s="469" t="str">
        <f ca="1">IF(OR(HS$169&lt;SwaptionFirstMonthPosition+1,$FN233&lt;SwaptionFirstMonthPosition+1,HS$169&gt;SwaptionFirstMonthPosition+SwaptionNumOfMonths+1,$FN233&gt;SwaptionFirstMonthPosition+SwaptionNumOfMonths+1),"",IF($FN233=HS$169,1,IF($FN233&lt;HS$169,INDEX($FO$170:$IH$241,HS$169,$FN233),SUMPRODUCT(INDEX($FO$325:$IH$396,HS$169,1+SwaptionShift):INDEX($FO$325:$IH$396,HS$169,SwaptionMonthsToGo+SwaptionShift),INDEX($FO$245:$IH$316,$FN233-HS$169,73-HS$169+SwaptionShift):INDEX($FO$245:$IH$316,$FN233-HS$169,72-HS$169+SwaptionMonthsToGo+SwaptionShift))/SQRT(SUM(INDEX($FO388:$IH388,1+SwaptionShift):INDEX($FO388:$IH388,SwaptionMonthsToGo+SwaptionShift))*SUM(INDEX($FO$325:$IH$396,HS$169,1+SwaptionShift):INDEX($FO$325:$IH$396,HS$169,SwaptionMonthsToGo+SwaptionShift))))))</f>
        <v/>
      </c>
      <c r="HT233" s="469" t="str">
        <f ca="1">IF(OR(HT$169&lt;SwaptionFirstMonthPosition+1,$FN233&lt;SwaptionFirstMonthPosition+1,HT$169&gt;SwaptionFirstMonthPosition+SwaptionNumOfMonths+1,$FN233&gt;SwaptionFirstMonthPosition+SwaptionNumOfMonths+1),"",IF($FN233=HT$169,1,IF($FN233&lt;HT$169,INDEX($FO$170:$IH$241,HT$169,$FN233),SUMPRODUCT(INDEX($FO$325:$IH$396,HT$169,1+SwaptionShift):INDEX($FO$325:$IH$396,HT$169,SwaptionMonthsToGo+SwaptionShift),INDEX($FO$245:$IH$316,$FN233-HT$169,73-HT$169+SwaptionShift):INDEX($FO$245:$IH$316,$FN233-HT$169,72-HT$169+SwaptionMonthsToGo+SwaptionShift))/SQRT(SUM(INDEX($FO388:$IH388,1+SwaptionShift):INDEX($FO388:$IH388,SwaptionMonthsToGo+SwaptionShift))*SUM(INDEX($FO$325:$IH$396,HT$169,1+SwaptionShift):INDEX($FO$325:$IH$396,HT$169,SwaptionMonthsToGo+SwaptionShift))))))</f>
        <v/>
      </c>
      <c r="HU233" s="469" t="str">
        <f ca="1">IF(OR(HU$169&lt;SwaptionFirstMonthPosition+1,$FN233&lt;SwaptionFirstMonthPosition+1,HU$169&gt;SwaptionFirstMonthPosition+SwaptionNumOfMonths+1,$FN233&gt;SwaptionFirstMonthPosition+SwaptionNumOfMonths+1),"",IF($FN233=HU$169,1,IF($FN233&lt;HU$169,INDEX($FO$170:$IH$241,HU$169,$FN233),SUMPRODUCT(INDEX($FO$325:$IH$396,HU$169,1+SwaptionShift):INDEX($FO$325:$IH$396,HU$169,SwaptionMonthsToGo+SwaptionShift),INDEX($FO$245:$IH$316,$FN233-HU$169,73-HU$169+SwaptionShift):INDEX($FO$245:$IH$316,$FN233-HU$169,72-HU$169+SwaptionMonthsToGo+SwaptionShift))/SQRT(SUM(INDEX($FO388:$IH388,1+SwaptionShift):INDEX($FO388:$IH388,SwaptionMonthsToGo+SwaptionShift))*SUM(INDEX($FO$325:$IH$396,HU$169,1+SwaptionShift):INDEX($FO$325:$IH$396,HU$169,SwaptionMonthsToGo+SwaptionShift))))))</f>
        <v/>
      </c>
      <c r="HV233" s="469" t="str">
        <f ca="1">IF(OR(HV$169&lt;SwaptionFirstMonthPosition+1,$FN233&lt;SwaptionFirstMonthPosition+1,HV$169&gt;SwaptionFirstMonthPosition+SwaptionNumOfMonths+1,$FN233&gt;SwaptionFirstMonthPosition+SwaptionNumOfMonths+1),"",IF($FN233=HV$169,1,IF($FN233&lt;HV$169,INDEX($FO$170:$IH$241,HV$169,$FN233),SUMPRODUCT(INDEX($FO$325:$IH$396,HV$169,1+SwaptionShift):INDEX($FO$325:$IH$396,HV$169,SwaptionMonthsToGo+SwaptionShift),INDEX($FO$245:$IH$316,$FN233-HV$169,73-HV$169+SwaptionShift):INDEX($FO$245:$IH$316,$FN233-HV$169,72-HV$169+SwaptionMonthsToGo+SwaptionShift))/SQRT(SUM(INDEX($FO388:$IH388,1+SwaptionShift):INDEX($FO388:$IH388,SwaptionMonthsToGo+SwaptionShift))*SUM(INDEX($FO$325:$IH$396,HV$169,1+SwaptionShift):INDEX($FO$325:$IH$396,HV$169,SwaptionMonthsToGo+SwaptionShift))))))</f>
        <v/>
      </c>
      <c r="HW233" s="469" t="str">
        <f ca="1">IF(OR(HW$169&lt;SwaptionFirstMonthPosition+1,$FN233&lt;SwaptionFirstMonthPosition+1,HW$169&gt;SwaptionFirstMonthPosition+SwaptionNumOfMonths+1,$FN233&gt;SwaptionFirstMonthPosition+SwaptionNumOfMonths+1),"",IF($FN233=HW$169,1,IF($FN233&lt;HW$169,INDEX($FO$170:$IH$241,HW$169,$FN233),SUMPRODUCT(INDEX($FO$325:$IH$396,HW$169,1+SwaptionShift):INDEX($FO$325:$IH$396,HW$169,SwaptionMonthsToGo+SwaptionShift),INDEX($FO$245:$IH$316,$FN233-HW$169,73-HW$169+SwaptionShift):INDEX($FO$245:$IH$316,$FN233-HW$169,72-HW$169+SwaptionMonthsToGo+SwaptionShift))/SQRT(SUM(INDEX($FO388:$IH388,1+SwaptionShift):INDEX($FO388:$IH388,SwaptionMonthsToGo+SwaptionShift))*SUM(INDEX($FO$325:$IH$396,HW$169,1+SwaptionShift):INDEX($FO$325:$IH$396,HW$169,SwaptionMonthsToGo+SwaptionShift))))))</f>
        <v/>
      </c>
      <c r="HX233" s="469" t="str">
        <f ca="1">IF(OR(HX$169&lt;SwaptionFirstMonthPosition+1,$FN233&lt;SwaptionFirstMonthPosition+1,HX$169&gt;SwaptionFirstMonthPosition+SwaptionNumOfMonths+1,$FN233&gt;SwaptionFirstMonthPosition+SwaptionNumOfMonths+1),"",IF($FN233=HX$169,1,IF($FN233&lt;HX$169,INDEX($FO$170:$IH$241,HX$169,$FN233),SUMPRODUCT(INDEX($FO$325:$IH$396,HX$169,1+SwaptionShift):INDEX($FO$325:$IH$396,HX$169,SwaptionMonthsToGo+SwaptionShift),INDEX($FO$245:$IH$316,$FN233-HX$169,73-HX$169+SwaptionShift):INDEX($FO$245:$IH$316,$FN233-HX$169,72-HX$169+SwaptionMonthsToGo+SwaptionShift))/SQRT(SUM(INDEX($FO388:$IH388,1+SwaptionShift):INDEX($FO388:$IH388,SwaptionMonthsToGo+SwaptionShift))*SUM(INDEX($FO$325:$IH$396,HX$169,1+SwaptionShift):INDEX($FO$325:$IH$396,HX$169,SwaptionMonthsToGo+SwaptionShift))))))</f>
        <v/>
      </c>
      <c r="HY233" s="469" t="str">
        <f ca="1">IF(OR(HY$169&lt;SwaptionFirstMonthPosition+1,$FN233&lt;SwaptionFirstMonthPosition+1,HY$169&gt;SwaptionFirstMonthPosition+SwaptionNumOfMonths+1,$FN233&gt;SwaptionFirstMonthPosition+SwaptionNumOfMonths+1),"",IF($FN233=HY$169,1,IF($FN233&lt;HY$169,INDEX($FO$170:$IH$241,HY$169,$FN233),SUMPRODUCT(INDEX($FO$325:$IH$396,HY$169,1+SwaptionShift):INDEX($FO$325:$IH$396,HY$169,SwaptionMonthsToGo+SwaptionShift),INDEX($FO$245:$IH$316,$FN233-HY$169,73-HY$169+SwaptionShift):INDEX($FO$245:$IH$316,$FN233-HY$169,72-HY$169+SwaptionMonthsToGo+SwaptionShift))/SQRT(SUM(INDEX($FO388:$IH388,1+SwaptionShift):INDEX($FO388:$IH388,SwaptionMonthsToGo+SwaptionShift))*SUM(INDEX($FO$325:$IH$396,HY$169,1+SwaptionShift):INDEX($FO$325:$IH$396,HY$169,SwaptionMonthsToGo+SwaptionShift))))))</f>
        <v/>
      </c>
      <c r="HZ233" s="469" t="str">
        <f ca="1">IF(OR(HZ$169&lt;SwaptionFirstMonthPosition+1,$FN233&lt;SwaptionFirstMonthPosition+1,HZ$169&gt;SwaptionFirstMonthPosition+SwaptionNumOfMonths+1,$FN233&gt;SwaptionFirstMonthPosition+SwaptionNumOfMonths+1),"",IF($FN233=HZ$169,1,IF($FN233&lt;HZ$169,INDEX($FO$170:$IH$241,HZ$169,$FN233),SUMPRODUCT(INDEX($FO$325:$IH$396,HZ$169,1+SwaptionShift):INDEX($FO$325:$IH$396,HZ$169,SwaptionMonthsToGo+SwaptionShift),INDEX($FO$245:$IH$316,$FN233-HZ$169,73-HZ$169+SwaptionShift):INDEX($FO$245:$IH$316,$FN233-HZ$169,72-HZ$169+SwaptionMonthsToGo+SwaptionShift))/SQRT(SUM(INDEX($FO388:$IH388,1+SwaptionShift):INDEX($FO388:$IH388,SwaptionMonthsToGo+SwaptionShift))*SUM(INDEX($FO$325:$IH$396,HZ$169,1+SwaptionShift):INDEX($FO$325:$IH$396,HZ$169,SwaptionMonthsToGo+SwaptionShift))))))</f>
        <v/>
      </c>
      <c r="IA233" s="469" t="str">
        <f ca="1">IF(OR(IA$169&lt;SwaptionFirstMonthPosition+1,$FN233&lt;SwaptionFirstMonthPosition+1,IA$169&gt;SwaptionFirstMonthPosition+SwaptionNumOfMonths+1,$FN233&gt;SwaptionFirstMonthPosition+SwaptionNumOfMonths+1),"",IF($FN233=IA$169,1,IF($FN233&lt;IA$169,INDEX($FO$170:$IH$241,IA$169,$FN233),SUMPRODUCT(INDEX($FO$325:$IH$396,IA$169,1+SwaptionShift):INDEX($FO$325:$IH$396,IA$169,SwaptionMonthsToGo+SwaptionShift),INDEX($FO$245:$IH$316,$FN233-IA$169,73-IA$169+SwaptionShift):INDEX($FO$245:$IH$316,$FN233-IA$169,72-IA$169+SwaptionMonthsToGo+SwaptionShift))/SQRT(SUM(INDEX($FO388:$IH388,1+SwaptionShift):INDEX($FO388:$IH388,SwaptionMonthsToGo+SwaptionShift))*SUM(INDEX($FO$325:$IH$396,IA$169,1+SwaptionShift):INDEX($FO$325:$IH$396,IA$169,SwaptionMonthsToGo+SwaptionShift))))))</f>
        <v/>
      </c>
      <c r="IB233" s="469" t="str">
        <f ca="1">IF(OR(IB$169&lt;SwaptionFirstMonthPosition+1,$FN233&lt;SwaptionFirstMonthPosition+1,IB$169&gt;SwaptionFirstMonthPosition+SwaptionNumOfMonths+1,$FN233&gt;SwaptionFirstMonthPosition+SwaptionNumOfMonths+1),"",IF($FN233=IB$169,1,IF($FN233&lt;IB$169,INDEX($FO$170:$IH$241,IB$169,$FN233),SUMPRODUCT(INDEX($FO$325:$IH$396,IB$169,1+SwaptionShift):INDEX($FO$325:$IH$396,IB$169,SwaptionMonthsToGo+SwaptionShift),INDEX($FO$245:$IH$316,$FN233-IB$169,73-IB$169+SwaptionShift):INDEX($FO$245:$IH$316,$FN233-IB$169,72-IB$169+SwaptionMonthsToGo+SwaptionShift))/SQRT(SUM(INDEX($FO388:$IH388,1+SwaptionShift):INDEX($FO388:$IH388,SwaptionMonthsToGo+SwaptionShift))*SUM(INDEX($FO$325:$IH$396,IB$169,1+SwaptionShift):INDEX($FO$325:$IH$396,IB$169,SwaptionMonthsToGo+SwaptionShift))))))</f>
        <v/>
      </c>
      <c r="IC233" s="469" t="str">
        <f ca="1">IF(OR(IC$169&lt;SwaptionFirstMonthPosition+1,$FN233&lt;SwaptionFirstMonthPosition+1,IC$169&gt;SwaptionFirstMonthPosition+SwaptionNumOfMonths+1,$FN233&gt;SwaptionFirstMonthPosition+SwaptionNumOfMonths+1),"",IF($FN233=IC$169,1,IF($FN233&lt;IC$169,INDEX($FO$170:$IH$241,IC$169,$FN233),SUMPRODUCT(INDEX($FO$325:$IH$396,IC$169,1+SwaptionShift):INDEX($FO$325:$IH$396,IC$169,SwaptionMonthsToGo+SwaptionShift),INDEX($FO$245:$IH$316,$FN233-IC$169,73-IC$169+SwaptionShift):INDEX($FO$245:$IH$316,$FN233-IC$169,72-IC$169+SwaptionMonthsToGo+SwaptionShift))/SQRT(SUM(INDEX($FO388:$IH388,1+SwaptionShift):INDEX($FO388:$IH388,SwaptionMonthsToGo+SwaptionShift))*SUM(INDEX($FO$325:$IH$396,IC$169,1+SwaptionShift):INDEX($FO$325:$IH$396,IC$169,SwaptionMonthsToGo+SwaptionShift))))))</f>
        <v/>
      </c>
      <c r="ID233" s="469" t="str">
        <f ca="1">IF(OR(ID$169&lt;SwaptionFirstMonthPosition+1,$FN233&lt;SwaptionFirstMonthPosition+1,ID$169&gt;SwaptionFirstMonthPosition+SwaptionNumOfMonths+1,$FN233&gt;SwaptionFirstMonthPosition+SwaptionNumOfMonths+1),"",IF($FN233=ID$169,1,IF($FN233&lt;ID$169,INDEX($FO$170:$IH$241,ID$169,$FN233),SUMPRODUCT(INDEX($FO$325:$IH$396,ID$169,1+SwaptionShift):INDEX($FO$325:$IH$396,ID$169,SwaptionMonthsToGo+SwaptionShift),INDEX($FO$245:$IH$316,$FN233-ID$169,73-ID$169+SwaptionShift):INDEX($FO$245:$IH$316,$FN233-ID$169,72-ID$169+SwaptionMonthsToGo+SwaptionShift))/SQRT(SUM(INDEX($FO388:$IH388,1+SwaptionShift):INDEX($FO388:$IH388,SwaptionMonthsToGo+SwaptionShift))*SUM(INDEX($FO$325:$IH$396,ID$169,1+SwaptionShift):INDEX($FO$325:$IH$396,ID$169,SwaptionMonthsToGo+SwaptionShift))))))</f>
        <v/>
      </c>
      <c r="IE233" s="469" t="str">
        <f ca="1">IF(OR(IE$169&lt;SwaptionFirstMonthPosition+1,$FN233&lt;SwaptionFirstMonthPosition+1,IE$169&gt;SwaptionFirstMonthPosition+SwaptionNumOfMonths+1,$FN233&gt;SwaptionFirstMonthPosition+SwaptionNumOfMonths+1),"",IF($FN233=IE$169,1,IF($FN233&lt;IE$169,INDEX($FO$170:$IH$241,IE$169,$FN233),SUMPRODUCT(INDEX($FO$325:$IH$396,IE$169,1+SwaptionShift):INDEX($FO$325:$IH$396,IE$169,SwaptionMonthsToGo+SwaptionShift),INDEX($FO$245:$IH$316,$FN233-IE$169,73-IE$169+SwaptionShift):INDEX($FO$245:$IH$316,$FN233-IE$169,72-IE$169+SwaptionMonthsToGo+SwaptionShift))/SQRT(SUM(INDEX($FO388:$IH388,1+SwaptionShift):INDEX($FO388:$IH388,SwaptionMonthsToGo+SwaptionShift))*SUM(INDEX($FO$325:$IH$396,IE$169,1+SwaptionShift):INDEX($FO$325:$IH$396,IE$169,SwaptionMonthsToGo+SwaptionShift))))))</f>
        <v/>
      </c>
      <c r="IF233" s="469" t="str">
        <f ca="1">IF(OR(IF$169&lt;SwaptionFirstMonthPosition+1,$FN233&lt;SwaptionFirstMonthPosition+1,IF$169&gt;SwaptionFirstMonthPosition+SwaptionNumOfMonths+1,$FN233&gt;SwaptionFirstMonthPosition+SwaptionNumOfMonths+1),"",IF($FN233=IF$169,1,IF($FN233&lt;IF$169,INDEX($FO$170:$IH$241,IF$169,$FN233),SUMPRODUCT(INDEX($FO$325:$IH$396,IF$169,1+SwaptionShift):INDEX($FO$325:$IH$396,IF$169,SwaptionMonthsToGo+SwaptionShift),INDEX($FO$245:$IH$316,$FN233-IF$169,73-IF$169+SwaptionShift):INDEX($FO$245:$IH$316,$FN233-IF$169,72-IF$169+SwaptionMonthsToGo+SwaptionShift))/SQRT(SUM(INDEX($FO388:$IH388,1+SwaptionShift):INDEX($FO388:$IH388,SwaptionMonthsToGo+SwaptionShift))*SUM(INDEX($FO$325:$IH$396,IF$169,1+SwaptionShift):INDEX($FO$325:$IH$396,IF$169,SwaptionMonthsToGo+SwaptionShift))))))</f>
        <v/>
      </c>
      <c r="IG233" s="469" t="str">
        <f ca="1">IF(OR(IG$169&lt;SwaptionFirstMonthPosition+1,$FN233&lt;SwaptionFirstMonthPosition+1,IG$169&gt;SwaptionFirstMonthPosition+SwaptionNumOfMonths+1,$FN233&gt;SwaptionFirstMonthPosition+SwaptionNumOfMonths+1),"",IF($FN233=IG$169,1,IF($FN233&lt;IG$169,INDEX($FO$170:$IH$241,IG$169,$FN233),SUMPRODUCT(INDEX($FO$325:$IH$396,IG$169,1+SwaptionShift):INDEX($FO$325:$IH$396,IG$169,SwaptionMonthsToGo+SwaptionShift),INDEX($FO$245:$IH$316,$FN233-IG$169,73-IG$169+SwaptionShift):INDEX($FO$245:$IH$316,$FN233-IG$169,72-IG$169+SwaptionMonthsToGo+SwaptionShift))/SQRT(SUM(INDEX($FO388:$IH388,1+SwaptionShift):INDEX($FO388:$IH388,SwaptionMonthsToGo+SwaptionShift))*SUM(INDEX($FO$325:$IH$396,IG$169,1+SwaptionShift):INDEX($FO$325:$IH$396,IG$169,SwaptionMonthsToGo+SwaptionShift))))))</f>
        <v/>
      </c>
      <c r="IH233" s="662" t="str">
        <f ca="1">IF(OR(IH$169&lt;SwaptionFirstMonthPosition+1,$FN233&lt;SwaptionFirstMonthPosition+1,IH$169&gt;SwaptionFirstMonthPosition+SwaptionNumOfMonths+1,$FN233&gt;SwaptionFirstMonthPosition+SwaptionNumOfMonths+1),"",IF($FN233=IH$169,1,IF($FN233&lt;IH$169,INDEX($FO$170:$IH$241,IH$169,$FN233),SUMPRODUCT(INDEX($FO$325:$IH$396,IH$169,1+SwaptionShift):INDEX($FO$325:$IH$396,IH$169,SwaptionMonthsToGo+SwaptionShift),INDEX($FO$245:$IH$316,$FN233-IH$169,73-IH$169+SwaptionShift):INDEX($FO$245:$IH$316,$FN233-IH$169,72-IH$169+SwaptionMonthsToGo+SwaptionShift))/SQRT(SUM(INDEX($FO388:$IH388,1+SwaptionShift):INDEX($FO388:$IH388,SwaptionMonthsToGo+SwaptionShift))*SUM(INDEX($FO$325:$IH$396,IH$169,1+SwaptionShift):INDEX($FO$325:$IH$396,IH$169,SwaptionMonthsToGo+SwaptionShift))))))</f>
        <v/>
      </c>
      <c r="II233" s="242"/>
    </row>
    <row r="234" spans="8:243">
      <c r="H234" s="49" t="e">
        <f t="shared" ca="1" si="645"/>
        <v>#N/A</v>
      </c>
      <c r="I234" s="369">
        <f t="shared" si="646"/>
        <v>43525</v>
      </c>
      <c r="J234" s="367">
        <v>24.734999999999797</v>
      </c>
      <c r="K234" s="101" t="s">
        <v>267</v>
      </c>
      <c r="L234" s="382">
        <f t="shared" si="647"/>
        <v>24.734999999999825</v>
      </c>
      <c r="M234" s="163">
        <v>0.1255</v>
      </c>
      <c r="N234" s="372">
        <v>0</v>
      </c>
      <c r="O234" s="163">
        <f t="shared" si="595"/>
        <v>0.1255</v>
      </c>
      <c r="P234" s="367">
        <v>23.532253373453798</v>
      </c>
      <c r="Q234" s="101" t="s">
        <v>267</v>
      </c>
      <c r="R234" s="367">
        <f t="shared" ca="1" si="596"/>
        <v>23.532253373453848</v>
      </c>
      <c r="S234" s="814">
        <f t="shared" si="594"/>
        <v>0.34587849906712154</v>
      </c>
      <c r="T234" s="813">
        <f t="shared" si="660"/>
        <v>0.99999999998740086</v>
      </c>
      <c r="U234" s="532">
        <f t="shared" si="661"/>
        <v>0.99999999999999978</v>
      </c>
      <c r="V234" s="379">
        <v>0</v>
      </c>
      <c r="W234" s="424">
        <f t="shared" si="597"/>
        <v>24.768333333333132</v>
      </c>
      <c r="X234" s="405">
        <f t="shared" si="598"/>
        <v>24.76833333333316</v>
      </c>
      <c r="Y234" s="313">
        <f t="shared" si="599"/>
        <v>23.552333333333131</v>
      </c>
      <c r="Z234" s="313">
        <f t="shared" ca="1" si="600"/>
        <v>23.552333333333159</v>
      </c>
      <c r="AA234" s="419">
        <f t="shared" si="623"/>
        <v>1.216</v>
      </c>
      <c r="AB234" s="423">
        <f t="shared" ca="1" si="624"/>
        <v>1.216</v>
      </c>
      <c r="AC234" s="221">
        <v>43516</v>
      </c>
      <c r="AD234" s="221">
        <v>43512</v>
      </c>
      <c r="AE234" s="221">
        <v>43511</v>
      </c>
      <c r="AF234" s="221">
        <v>43507</v>
      </c>
      <c r="AG234" s="241" t="s">
        <v>497</v>
      </c>
      <c r="AH234" s="239" t="s">
        <v>497</v>
      </c>
      <c r="AI234" s="141">
        <v>21</v>
      </c>
      <c r="AJ234" s="41">
        <v>14</v>
      </c>
      <c r="AK234" s="41">
        <v>7</v>
      </c>
      <c r="AL234" s="285">
        <v>21</v>
      </c>
      <c r="AM234" s="41">
        <v>10</v>
      </c>
      <c r="AN234" s="142">
        <v>11</v>
      </c>
      <c r="AO234" s="364">
        <v>6.3503181523461905E-2</v>
      </c>
      <c r="AP234" s="145">
        <f t="shared" ca="1" si="648"/>
        <v>0.32508794897882665</v>
      </c>
      <c r="AQ234" s="364">
        <v>5.99338742163971E-2</v>
      </c>
      <c r="AR234" s="145">
        <f t="shared" ca="1" si="662"/>
        <v>0.348375939274154</v>
      </c>
      <c r="AS234" s="264">
        <f t="shared" si="601"/>
        <v>0.12496666666666668</v>
      </c>
      <c r="AT234" s="149">
        <f t="shared" si="649"/>
        <v>0.1255</v>
      </c>
      <c r="AU234" s="149">
        <f t="shared" si="625"/>
        <v>0.12489047619047619</v>
      </c>
      <c r="AV234" s="263">
        <f t="shared" ca="1" si="669"/>
        <v>0.12350760028081702</v>
      </c>
      <c r="AW234" s="150" t="str">
        <f t="shared" ca="1" si="581"/>
        <v/>
      </c>
      <c r="AX234" s="149">
        <f t="shared" ca="1" si="663"/>
        <v>3.1656160490445679E-3</v>
      </c>
      <c r="AY234" s="149">
        <f t="shared" ca="1" si="664"/>
        <v>9.5159536164492458E-4</v>
      </c>
      <c r="AZ234" s="149">
        <f t="shared" ca="1" si="665"/>
        <v>1.2084591391295081E-3</v>
      </c>
      <c r="BA234" s="149">
        <f t="shared" ca="1" si="666"/>
        <v>1.0000000000001159E-4</v>
      </c>
      <c r="BB234" s="149">
        <f t="shared" ca="1" si="667"/>
        <v>1.0000000000001159E-4</v>
      </c>
      <c r="BC234" s="149">
        <f t="shared" ca="1" si="668"/>
        <v>1.0000000000001159E-4</v>
      </c>
      <c r="BD234" s="143">
        <f t="shared" ca="1" si="602"/>
        <v>0</v>
      </c>
      <c r="BE234" s="144">
        <f t="shared" ca="1" si="603"/>
        <v>0</v>
      </c>
      <c r="BF234" s="40">
        <f t="shared" si="604"/>
        <v>2019</v>
      </c>
      <c r="BG234" s="139">
        <f t="shared" si="605"/>
        <v>3</v>
      </c>
      <c r="BH234" s="140">
        <f t="shared" ca="1" si="606"/>
        <v>6522</v>
      </c>
      <c r="BI234" s="304">
        <f t="shared" ca="1" si="607"/>
        <v>17.891854893908281</v>
      </c>
      <c r="BJ234" s="42">
        <f t="shared" ca="1" si="626"/>
        <v>17.946611909650922</v>
      </c>
      <c r="BK234" s="42">
        <f t="shared" ca="1" si="627"/>
        <v>17.949349760438054</v>
      </c>
      <c r="BL234" s="42">
        <f t="shared" ca="1" si="608"/>
        <v>17.973990417522245</v>
      </c>
      <c r="BM234" s="285">
        <f t="shared" si="609"/>
        <v>21</v>
      </c>
      <c r="BN234" s="41">
        <f t="shared" si="610"/>
        <v>14</v>
      </c>
      <c r="BO234" s="41">
        <f t="shared" si="611"/>
        <v>7</v>
      </c>
      <c r="BP234" s="297" t="str">
        <f t="shared" ca="1" si="628"/>
        <v/>
      </c>
      <c r="BQ234" s="297" t="str">
        <f t="shared" ca="1" si="629"/>
        <v/>
      </c>
      <c r="BR234" s="299" t="str">
        <f t="shared" ca="1" si="630"/>
        <v/>
      </c>
      <c r="BS234" s="153" t="str">
        <f t="shared" ca="1" si="631"/>
        <v/>
      </c>
      <c r="BT234" s="153" t="str">
        <f t="shared" ca="1" si="632"/>
        <v/>
      </c>
      <c r="BU234" s="300" t="str">
        <f t="shared" ca="1" si="633"/>
        <v/>
      </c>
      <c r="BV234" s="301" t="str">
        <f t="shared" ca="1" si="634"/>
        <v/>
      </c>
      <c r="BW234" s="300" t="str">
        <f t="shared" ca="1" si="635"/>
        <v/>
      </c>
      <c r="BX234" s="301" t="str">
        <f t="shared" ca="1" si="636"/>
        <v/>
      </c>
      <c r="BY234" s="146" t="str">
        <f t="shared" ca="1" si="637"/>
        <v/>
      </c>
      <c r="BZ234" s="146" t="str">
        <f t="shared" ca="1" si="638"/>
        <v/>
      </c>
      <c r="CA234" s="146" t="str">
        <f t="shared" ca="1" si="639"/>
        <v/>
      </c>
      <c r="CB234" s="146" t="str">
        <f t="shared" ca="1" si="640"/>
        <v/>
      </c>
      <c r="CC234" s="302">
        <v>1</v>
      </c>
      <c r="CD234" s="154">
        <f ca="1">IF(BD234,_xll.xCrudeAPO(BS234,BT234,BY234,BZ234,S235,S236,BI234,BL234,BN234,BO234,0,Strike1,AO234,CC234,0,BL234,IF(OptControl=4,0,1),0,1),0)</f>
        <v>0</v>
      </c>
      <c r="CE234" s="155">
        <f ca="1">IF(BD234,_xll.xCrudeAPO(BS234,BT234,BY234,BZ234,S235,S236,BI234,BL234,BN234,BO234,0,Strike1,AO234,CC234,0,BL234,IF(OptControl=4,0,1),1,1)+_xll.xCrudeAPO(BS234,BT234,BY234,BZ234,S235,S236,BI234,BL234,BN234,BO234,0,Strike1,AO234,CC234,0,BL234,IF(OptControl=4,0,1),1,2)+IF(OR(VolSkewFlag=2,ABS(BQ234)&lt;0.0001),0,IF(BQ234&gt;0,-1,1)*CF234*Strike1/BP234^2*BW234/10%),0)</f>
        <v>0</v>
      </c>
      <c r="CF234" s="155">
        <f ca="1">IF(BD234,(_xll.xCrudeAPO(BS234,BT234,BY234,BZ234,S235,S236,BI234,BL234,BN234,BO234,0,Strike1,AO234,CC234,0,BL234,IF(OptControl=4,0,1),3,1)+_xll.xCrudeAPO(BS234,BT234,BY234,BZ234,S235,S236,BI234,BL234,BN234,BO234,0,Strike1,AO234,CC234,0,BL234,IF(OptControl=4,0,1),3,2))/100,0)</f>
        <v>0</v>
      </c>
      <c r="CG234" s="155">
        <f ca="1">IF(BD234,_xll.xCrudeAPO(BS234,BT234,BY234,BZ234,S235,S236,BI234-DaysForThetaCalculation/365.25,BL234-DaysForThetaCalculation/365.25,BN234,BO234,0,Strike1,AO234,CC234,0,BL234,IF(OptControl=4,0,1),0,1)-_xll.xCrudeAPO(BS234,BT234,BY234,BZ234,S235,S236,BI234,BL234,BN234,BO234,0,Strike1,AO234,CC234,0,BL234,IF(OptControl=4,0,1),0,1),0)</f>
        <v>0</v>
      </c>
      <c r="CH234" s="303">
        <f ca="1">IF(BD234,_xll.xCrudeAPO(BS234,BT234,CA234,CB234,S235,S236,BI234,BL234,BN234,BO234,0,Strike2,AO234,CC234,0,BL234,IF(OptControl=3,1,0),0,1),0)</f>
        <v>0</v>
      </c>
      <c r="CI234" s="155">
        <f ca="1">IF(BD234,_xll.xCrudeAPO(BS234,BT234,CA234,CB234,S235,S236,BI234,BL234,BN234,BO234,0,Strike2,AO234,CC234,0,BL234,IF(OptControl=3,1,0),1,1)+_xll.xCrudeAPO(BS234,BT234,CA234,CB234,S235,S236,BI234,BL234,BN234,BO234,0,Strike2,AO234,CC234,0,BL234,IF(OptControl=3,1,0),1,2)+IF(OR(VolSkewFlag=2,ABS(BR234)&lt;0.0001),0,IF(BR234&gt;0,-1,1)*CJ234*Strike2/BP234^2*BX234/10%),0)</f>
        <v>0</v>
      </c>
      <c r="CJ234" s="155">
        <f ca="1">IF(BD234,(_xll.xCrudeAPO(BS234,BT234,CA234,CB234,S235,S236,BI234,BL234,BN234,BO234,0,Strike2,AO234,CC234,0,BL234,IF(OptControl=3,1,0),3,1)+_xll.xCrudeAPO(BS234,BT234,CA234,CB234,S235,S236,BI234,BL234,BN234,BO234,0,Strike2,AO234,CC234,0,BL234,IF(OptControl=3,1,0),3,2))/100,0)</f>
        <v>0</v>
      </c>
      <c r="CK234" s="156">
        <f ca="1">IF(BD234,_xll.xCrudeAPO(BS234,BT234,CA234,CB234,S235,S236,BI234-DaysForThetaCalculation/365.25,BL234-DaysForThetaCalculation/365.25,BN234,BO234,0,Strike2,AO234,CC234,0,BL234,IF(OptControl=3,1,0),0,1)-_xll.xCrudeAPO(BS234,BT234,CA234,CB234,S235,S236,BI234,BL234,BN234,BO234,0,Strike2,AO234,CC234,0,BL234,IF(OptControl=3,1,0),0,1),0)</f>
        <v>0</v>
      </c>
      <c r="CL234" s="51"/>
      <c r="CM234" s="779" t="str">
        <f t="shared" ca="1" si="650"/>
        <v/>
      </c>
      <c r="CN234" s="783" t="str">
        <f t="shared" ca="1" si="651"/>
        <v/>
      </c>
      <c r="CO234" s="780" t="str">
        <f t="shared" ca="1" si="652"/>
        <v/>
      </c>
      <c r="CP234" s="780" t="str">
        <f t="shared" ca="1" si="653"/>
        <v/>
      </c>
      <c r="CQ234" s="780" t="str">
        <f t="shared" ca="1" si="654"/>
        <v/>
      </c>
      <c r="CR234" s="780" t="str">
        <f t="shared" ca="1" si="655"/>
        <v/>
      </c>
      <c r="CS234" s="781" t="str">
        <f t="shared" ca="1" si="656"/>
        <v/>
      </c>
      <c r="CT234" s="782" t="str">
        <f t="shared" ca="1" si="657"/>
        <v/>
      </c>
      <c r="CU234" s="782" t="str">
        <f t="shared" ca="1" si="658"/>
        <v/>
      </c>
      <c r="CV234" s="155">
        <f ca="1">IF(BD234,_xll.EURO(CN234,Strike1,AO234,AO234,CT234,CM234,IF(OptControl=4,0,1),0),0)</f>
        <v>0</v>
      </c>
      <c r="CW234" s="155">
        <f ca="1">IF(BD234,_xll.EURO(CN234,Strike1,AO234,AO234,CT234,CM234,IF(OptControl=4,0,1),1)+IF(OR(VolSkewFlag=2,ABS(CO234)&lt;0.0001),0,IF(CO234&gt;0,-1,1)*CX234*100*Strike1/CN234^2*CQ234/10%),0)</f>
        <v>0</v>
      </c>
      <c r="CX234" s="155">
        <f ca="1">IF(BD234,_xll.EURO(CN234,Strike1,AO234,AO234,CT234,CM234,IF(OptControl=4,0,1),3)/100,0)</f>
        <v>0</v>
      </c>
      <c r="CY234" s="155">
        <f ca="1">IF(BD234,_xll.EURO(CN234,Strike1,AO234,AO234,CT234,CM234,IF(OptControl=4,0,1),0)-_xll.EURO(CN234,Strike1,AO234,AO234,CT234,CM234-1,IF(OptControl=4,0,1),0),0)</f>
        <v>0</v>
      </c>
      <c r="CZ234" s="155">
        <f ca="1">IF(BD234,_xll.EURO(CN234,Strike2,AO234,AO234,CU234,CM234,IF(OptControl=3,1,0),0),0)</f>
        <v>0</v>
      </c>
      <c r="DA234" s="155">
        <f ca="1">IF(BD234,_xll.EURO(CN234,Strike2,AO234,AO234,CU234,CM234,IF(OptControl=3,1,0),1)+IF(OR(VolSkewFlag=2,ABS(CP234)&lt;0.0001),0,IF(CP234&gt;0,-1,1)*DB234*100*Strike2/CN234^2*CR234/10%),0)</f>
        <v>0</v>
      </c>
      <c r="DB234" s="155">
        <f ca="1">IF(BD234,_xll.EURO(CN234,Strike2,AO234,AO234,CU234,CM234,IF(OptControl=3,1,0),3)/100,0)</f>
        <v>0</v>
      </c>
      <c r="DC234" s="156">
        <f ca="1">IF(BD234,_xll.EURO(CN234,Strike2,AO234,AO234,CU234,CM234,IF(OptControl=3,1,0),0)-_xll.EURO(CN234,Strike2,AO234,AO234,CU234,CM234-1,IF(OptControl=3,1,0),0),0)</f>
        <v>0</v>
      </c>
      <c r="DE234" s="651">
        <f t="shared" ca="1" si="659"/>
        <v>43435</v>
      </c>
      <c r="DF234" s="465">
        <v>1E-4</v>
      </c>
      <c r="DG234" s="649">
        <v>1E-4</v>
      </c>
      <c r="DH234" s="650">
        <f t="shared" ca="1" si="612"/>
        <v>43435</v>
      </c>
      <c r="DI234" s="465">
        <v>1E-4</v>
      </c>
      <c r="DJ234" s="649">
        <v>1E-4</v>
      </c>
      <c r="DK234" s="651">
        <f t="shared" ca="1" si="613"/>
        <v>43435</v>
      </c>
      <c r="DL234" s="652">
        <f t="shared" si="614"/>
        <v>5.0100000000000006E-2</v>
      </c>
      <c r="DM234" s="651">
        <f t="shared" ca="1" si="615"/>
        <v>43435</v>
      </c>
      <c r="DN234" s="563">
        <f t="shared" si="616"/>
        <v>-0.12990000000000002</v>
      </c>
      <c r="DO234" s="803">
        <v>-0.13</v>
      </c>
      <c r="DP234" s="650">
        <f t="shared" ca="1" si="617"/>
        <v>43435</v>
      </c>
      <c r="DQ234" s="653">
        <v>1E-4</v>
      </c>
      <c r="DR234" s="590">
        <v>1E-4</v>
      </c>
      <c r="DS234" s="650">
        <f t="shared" ca="1" si="618"/>
        <v>43435</v>
      </c>
      <c r="DT234" s="653">
        <v>1E-4</v>
      </c>
      <c r="DU234" s="590">
        <v>1E-4</v>
      </c>
      <c r="DV234" s="651">
        <f t="shared" ca="1" si="619"/>
        <v>43435</v>
      </c>
      <c r="DW234" s="590">
        <v>1E-4</v>
      </c>
      <c r="DX234" s="651">
        <f t="shared" ca="1" si="620"/>
        <v>43435</v>
      </c>
      <c r="DY234" s="590">
        <f t="shared" si="621"/>
        <v>1E-4</v>
      </c>
      <c r="DZ234" s="1"/>
      <c r="EA234" s="857"/>
      <c r="EB234" s="857"/>
      <c r="EC234" s="857"/>
      <c r="ED234" s="868" t="e">
        <f t="shared" ca="1" si="670"/>
        <v>#NAME?</v>
      </c>
      <c r="EE234" s="863" t="e">
        <f t="shared" ca="1" si="641"/>
        <v>#NAME?</v>
      </c>
      <c r="EF234" s="590" t="e">
        <f t="shared" ca="1" si="642"/>
        <v>#NAME?</v>
      </c>
      <c r="EG234" s="862" t="str">
        <f t="shared" ca="1" si="622"/>
        <v/>
      </c>
      <c r="EH234" s="114" t="str">
        <f t="shared" ca="1" si="643"/>
        <v/>
      </c>
      <c r="EI234" s="109" t="str">
        <f t="shared" ca="1" si="644"/>
        <v/>
      </c>
      <c r="EJ234" s="115">
        <f ca="1">IF(BD234,_xll.xASN(BP234,Strike1,AO234,EH234,0,BM234,0,BI234,BL234,IF(OptControl=4,0,1),0),0)</f>
        <v>0</v>
      </c>
      <c r="EK234" s="108">
        <f ca="1">IF(BD234,_xll.xASN(BP234,Strike2,AO234,EI234,0,BM234,0,BI234,BL234,IF(OptControl=3,1,0),0),0)</f>
        <v>0</v>
      </c>
      <c r="EP234" s="53"/>
      <c r="EQ234" s="1"/>
      <c r="ER234" s="103"/>
      <c r="ES234" s="103"/>
      <c r="ET234" s="1"/>
      <c r="EU234" s="667" t="s">
        <v>447</v>
      </c>
      <c r="EW234" s="53"/>
      <c r="EY234" s="104"/>
      <c r="FN234" s="657">
        <v>65</v>
      </c>
      <c r="FO234" s="469" t="str">
        <f ca="1">IF(OR(FO$169&lt;SwaptionFirstMonthPosition+1,$FN234&lt;SwaptionFirstMonthPosition+1,FO$169&gt;SwaptionFirstMonthPosition+SwaptionNumOfMonths+1,$FN234&gt;SwaptionFirstMonthPosition+SwaptionNumOfMonths+1),"",IF($FN234=FO$169,1,IF($FN234&lt;FO$169,INDEX($FO$170:$IH$241,FO$169,$FN234),SUMPRODUCT(INDEX($FO$325:$IH$396,FO$169,1+SwaptionShift):INDEX($FO$325:$IH$396,FO$169,SwaptionMonthsToGo+SwaptionShift),INDEX($FO$245:$IH$316,$FN234-FO$169,73-FO$169+SwaptionShift):INDEX($FO$245:$IH$316,$FN234-FO$169,72-FO$169+SwaptionMonthsToGo+SwaptionShift))/SQRT(SUM(INDEX($FO389:$IH389,1+SwaptionShift):INDEX($FO389:$IH389,SwaptionMonthsToGo+SwaptionShift))*SUM(INDEX($FO$325:$IH$396,FO$169,1+SwaptionShift):INDEX($FO$325:$IH$396,FO$169,SwaptionMonthsToGo+SwaptionShift))))))</f>
        <v/>
      </c>
      <c r="FP234" s="469" t="str">
        <f ca="1">IF(OR(FP$169&lt;SwaptionFirstMonthPosition+1,$FN234&lt;SwaptionFirstMonthPosition+1,FP$169&gt;SwaptionFirstMonthPosition+SwaptionNumOfMonths+1,$FN234&gt;SwaptionFirstMonthPosition+SwaptionNumOfMonths+1),"",IF($FN234=FP$169,1,IF($FN234&lt;FP$169,INDEX($FO$170:$IH$241,FP$169,$FN234),SUMPRODUCT(INDEX($FO$325:$IH$396,FP$169,1+SwaptionShift):INDEX($FO$325:$IH$396,FP$169,SwaptionMonthsToGo+SwaptionShift),INDEX($FO$245:$IH$316,$FN234-FP$169,73-FP$169+SwaptionShift):INDEX($FO$245:$IH$316,$FN234-FP$169,72-FP$169+SwaptionMonthsToGo+SwaptionShift))/SQRT(SUM(INDEX($FO389:$IH389,1+SwaptionShift):INDEX($FO389:$IH389,SwaptionMonthsToGo+SwaptionShift))*SUM(INDEX($FO$325:$IH$396,FP$169,1+SwaptionShift):INDEX($FO$325:$IH$396,FP$169,SwaptionMonthsToGo+SwaptionShift))))))</f>
        <v/>
      </c>
      <c r="FQ234" s="469" t="str">
        <f ca="1">IF(OR(FQ$169&lt;SwaptionFirstMonthPosition+1,$FN234&lt;SwaptionFirstMonthPosition+1,FQ$169&gt;SwaptionFirstMonthPosition+SwaptionNumOfMonths+1,$FN234&gt;SwaptionFirstMonthPosition+SwaptionNumOfMonths+1),"",IF($FN234=FQ$169,1,IF($FN234&lt;FQ$169,INDEX($FO$170:$IH$241,FQ$169,$FN234),SUMPRODUCT(INDEX($FO$325:$IH$396,FQ$169,1+SwaptionShift):INDEX($FO$325:$IH$396,FQ$169,SwaptionMonthsToGo+SwaptionShift),INDEX($FO$245:$IH$316,$FN234-FQ$169,73-FQ$169+SwaptionShift):INDEX($FO$245:$IH$316,$FN234-FQ$169,72-FQ$169+SwaptionMonthsToGo+SwaptionShift))/SQRT(SUM(INDEX($FO389:$IH389,1+SwaptionShift):INDEX($FO389:$IH389,SwaptionMonthsToGo+SwaptionShift))*SUM(INDEX($FO$325:$IH$396,FQ$169,1+SwaptionShift):INDEX($FO$325:$IH$396,FQ$169,SwaptionMonthsToGo+SwaptionShift))))))</f>
        <v/>
      </c>
      <c r="FR234" s="469" t="str">
        <f ca="1">IF(OR(FR$169&lt;SwaptionFirstMonthPosition+1,$FN234&lt;SwaptionFirstMonthPosition+1,FR$169&gt;SwaptionFirstMonthPosition+SwaptionNumOfMonths+1,$FN234&gt;SwaptionFirstMonthPosition+SwaptionNumOfMonths+1),"",IF($FN234=FR$169,1,IF($FN234&lt;FR$169,INDEX($FO$170:$IH$241,FR$169,$FN234),SUMPRODUCT(INDEX($FO$325:$IH$396,FR$169,1+SwaptionShift):INDEX($FO$325:$IH$396,FR$169,SwaptionMonthsToGo+SwaptionShift),INDEX($FO$245:$IH$316,$FN234-FR$169,73-FR$169+SwaptionShift):INDEX($FO$245:$IH$316,$FN234-FR$169,72-FR$169+SwaptionMonthsToGo+SwaptionShift))/SQRT(SUM(INDEX($FO389:$IH389,1+SwaptionShift):INDEX($FO389:$IH389,SwaptionMonthsToGo+SwaptionShift))*SUM(INDEX($FO$325:$IH$396,FR$169,1+SwaptionShift):INDEX($FO$325:$IH$396,FR$169,SwaptionMonthsToGo+SwaptionShift))))))</f>
        <v/>
      </c>
      <c r="FS234" s="469" t="str">
        <f ca="1">IF(OR(FS$169&lt;SwaptionFirstMonthPosition+1,$FN234&lt;SwaptionFirstMonthPosition+1,FS$169&gt;SwaptionFirstMonthPosition+SwaptionNumOfMonths+1,$FN234&gt;SwaptionFirstMonthPosition+SwaptionNumOfMonths+1),"",IF($FN234=FS$169,1,IF($FN234&lt;FS$169,INDEX($FO$170:$IH$241,FS$169,$FN234),SUMPRODUCT(INDEX($FO$325:$IH$396,FS$169,1+SwaptionShift):INDEX($FO$325:$IH$396,FS$169,SwaptionMonthsToGo+SwaptionShift),INDEX($FO$245:$IH$316,$FN234-FS$169,73-FS$169+SwaptionShift):INDEX($FO$245:$IH$316,$FN234-FS$169,72-FS$169+SwaptionMonthsToGo+SwaptionShift))/SQRT(SUM(INDEX($FO389:$IH389,1+SwaptionShift):INDEX($FO389:$IH389,SwaptionMonthsToGo+SwaptionShift))*SUM(INDEX($FO$325:$IH$396,FS$169,1+SwaptionShift):INDEX($FO$325:$IH$396,FS$169,SwaptionMonthsToGo+SwaptionShift))))))</f>
        <v/>
      </c>
      <c r="FT234" s="469" t="str">
        <f ca="1">IF(OR(FT$169&lt;SwaptionFirstMonthPosition+1,$FN234&lt;SwaptionFirstMonthPosition+1,FT$169&gt;SwaptionFirstMonthPosition+SwaptionNumOfMonths+1,$FN234&gt;SwaptionFirstMonthPosition+SwaptionNumOfMonths+1),"",IF($FN234=FT$169,1,IF($FN234&lt;FT$169,INDEX($FO$170:$IH$241,FT$169,$FN234),SUMPRODUCT(INDEX($FO$325:$IH$396,FT$169,1+SwaptionShift):INDEX($FO$325:$IH$396,FT$169,SwaptionMonthsToGo+SwaptionShift),INDEX($FO$245:$IH$316,$FN234-FT$169,73-FT$169+SwaptionShift):INDEX($FO$245:$IH$316,$FN234-FT$169,72-FT$169+SwaptionMonthsToGo+SwaptionShift))/SQRT(SUM(INDEX($FO389:$IH389,1+SwaptionShift):INDEX($FO389:$IH389,SwaptionMonthsToGo+SwaptionShift))*SUM(INDEX($FO$325:$IH$396,FT$169,1+SwaptionShift):INDEX($FO$325:$IH$396,FT$169,SwaptionMonthsToGo+SwaptionShift))))))</f>
        <v/>
      </c>
      <c r="FU234" s="469" t="str">
        <f ca="1">IF(OR(FU$169&lt;SwaptionFirstMonthPosition+1,$FN234&lt;SwaptionFirstMonthPosition+1,FU$169&gt;SwaptionFirstMonthPosition+SwaptionNumOfMonths+1,$FN234&gt;SwaptionFirstMonthPosition+SwaptionNumOfMonths+1),"",IF($FN234=FU$169,1,IF($FN234&lt;FU$169,INDEX($FO$170:$IH$241,FU$169,$FN234),SUMPRODUCT(INDEX($FO$325:$IH$396,FU$169,1+SwaptionShift):INDEX($FO$325:$IH$396,FU$169,SwaptionMonthsToGo+SwaptionShift),INDEX($FO$245:$IH$316,$FN234-FU$169,73-FU$169+SwaptionShift):INDEX($FO$245:$IH$316,$FN234-FU$169,72-FU$169+SwaptionMonthsToGo+SwaptionShift))/SQRT(SUM(INDEX($FO389:$IH389,1+SwaptionShift):INDEX($FO389:$IH389,SwaptionMonthsToGo+SwaptionShift))*SUM(INDEX($FO$325:$IH$396,FU$169,1+SwaptionShift):INDEX($FO$325:$IH$396,FU$169,SwaptionMonthsToGo+SwaptionShift))))))</f>
        <v/>
      </c>
      <c r="FV234" s="469" t="str">
        <f ca="1">IF(OR(FV$169&lt;SwaptionFirstMonthPosition+1,$FN234&lt;SwaptionFirstMonthPosition+1,FV$169&gt;SwaptionFirstMonthPosition+SwaptionNumOfMonths+1,$FN234&gt;SwaptionFirstMonthPosition+SwaptionNumOfMonths+1),"",IF($FN234=FV$169,1,IF($FN234&lt;FV$169,INDEX($FO$170:$IH$241,FV$169,$FN234),SUMPRODUCT(INDEX($FO$325:$IH$396,FV$169,1+SwaptionShift):INDEX($FO$325:$IH$396,FV$169,SwaptionMonthsToGo+SwaptionShift),INDEX($FO$245:$IH$316,$FN234-FV$169,73-FV$169+SwaptionShift):INDEX($FO$245:$IH$316,$FN234-FV$169,72-FV$169+SwaptionMonthsToGo+SwaptionShift))/SQRT(SUM(INDEX($FO389:$IH389,1+SwaptionShift):INDEX($FO389:$IH389,SwaptionMonthsToGo+SwaptionShift))*SUM(INDEX($FO$325:$IH$396,FV$169,1+SwaptionShift):INDEX($FO$325:$IH$396,FV$169,SwaptionMonthsToGo+SwaptionShift))))))</f>
        <v/>
      </c>
      <c r="FW234" s="469" t="str">
        <f ca="1">IF(OR(FW$169&lt;SwaptionFirstMonthPosition+1,$FN234&lt;SwaptionFirstMonthPosition+1,FW$169&gt;SwaptionFirstMonthPosition+SwaptionNumOfMonths+1,$FN234&gt;SwaptionFirstMonthPosition+SwaptionNumOfMonths+1),"",IF($FN234=FW$169,1,IF($FN234&lt;FW$169,INDEX($FO$170:$IH$241,FW$169,$FN234),SUMPRODUCT(INDEX($FO$325:$IH$396,FW$169,1+SwaptionShift):INDEX($FO$325:$IH$396,FW$169,SwaptionMonthsToGo+SwaptionShift),INDEX($FO$245:$IH$316,$FN234-FW$169,73-FW$169+SwaptionShift):INDEX($FO$245:$IH$316,$FN234-FW$169,72-FW$169+SwaptionMonthsToGo+SwaptionShift))/SQRT(SUM(INDEX($FO389:$IH389,1+SwaptionShift):INDEX($FO389:$IH389,SwaptionMonthsToGo+SwaptionShift))*SUM(INDEX($FO$325:$IH$396,FW$169,1+SwaptionShift):INDEX($FO$325:$IH$396,FW$169,SwaptionMonthsToGo+SwaptionShift))))))</f>
        <v/>
      </c>
      <c r="FX234" s="469" t="str">
        <f ca="1">IF(OR(FX$169&lt;SwaptionFirstMonthPosition+1,$FN234&lt;SwaptionFirstMonthPosition+1,FX$169&gt;SwaptionFirstMonthPosition+SwaptionNumOfMonths+1,$FN234&gt;SwaptionFirstMonthPosition+SwaptionNumOfMonths+1),"",IF($FN234=FX$169,1,IF($FN234&lt;FX$169,INDEX($FO$170:$IH$241,FX$169,$FN234),SUMPRODUCT(INDEX($FO$325:$IH$396,FX$169,1+SwaptionShift):INDEX($FO$325:$IH$396,FX$169,SwaptionMonthsToGo+SwaptionShift),INDEX($FO$245:$IH$316,$FN234-FX$169,73-FX$169+SwaptionShift):INDEX($FO$245:$IH$316,$FN234-FX$169,72-FX$169+SwaptionMonthsToGo+SwaptionShift))/SQRT(SUM(INDEX($FO389:$IH389,1+SwaptionShift):INDEX($FO389:$IH389,SwaptionMonthsToGo+SwaptionShift))*SUM(INDEX($FO$325:$IH$396,FX$169,1+SwaptionShift):INDEX($FO$325:$IH$396,FX$169,SwaptionMonthsToGo+SwaptionShift))))))</f>
        <v/>
      </c>
      <c r="FY234" s="469" t="str">
        <f ca="1">IF(OR(FY$169&lt;SwaptionFirstMonthPosition+1,$FN234&lt;SwaptionFirstMonthPosition+1,FY$169&gt;SwaptionFirstMonthPosition+SwaptionNumOfMonths+1,$FN234&gt;SwaptionFirstMonthPosition+SwaptionNumOfMonths+1),"",IF($FN234=FY$169,1,IF($FN234&lt;FY$169,INDEX($FO$170:$IH$241,FY$169,$FN234),SUMPRODUCT(INDEX($FO$325:$IH$396,FY$169,1+SwaptionShift):INDEX($FO$325:$IH$396,FY$169,SwaptionMonthsToGo+SwaptionShift),INDEX($FO$245:$IH$316,$FN234-FY$169,73-FY$169+SwaptionShift):INDEX($FO$245:$IH$316,$FN234-FY$169,72-FY$169+SwaptionMonthsToGo+SwaptionShift))/SQRT(SUM(INDEX($FO389:$IH389,1+SwaptionShift):INDEX($FO389:$IH389,SwaptionMonthsToGo+SwaptionShift))*SUM(INDEX($FO$325:$IH$396,FY$169,1+SwaptionShift):INDEX($FO$325:$IH$396,FY$169,SwaptionMonthsToGo+SwaptionShift))))))</f>
        <v/>
      </c>
      <c r="FZ234" s="469" t="str">
        <f ca="1">IF(OR(FZ$169&lt;SwaptionFirstMonthPosition+1,$FN234&lt;SwaptionFirstMonthPosition+1,FZ$169&gt;SwaptionFirstMonthPosition+SwaptionNumOfMonths+1,$FN234&gt;SwaptionFirstMonthPosition+SwaptionNumOfMonths+1),"",IF($FN234=FZ$169,1,IF($FN234&lt;FZ$169,INDEX($FO$170:$IH$241,FZ$169,$FN234),SUMPRODUCT(INDEX($FO$325:$IH$396,FZ$169,1+SwaptionShift):INDEX($FO$325:$IH$396,FZ$169,SwaptionMonthsToGo+SwaptionShift),INDEX($FO$245:$IH$316,$FN234-FZ$169,73-FZ$169+SwaptionShift):INDEX($FO$245:$IH$316,$FN234-FZ$169,72-FZ$169+SwaptionMonthsToGo+SwaptionShift))/SQRT(SUM(INDEX($FO389:$IH389,1+SwaptionShift):INDEX($FO389:$IH389,SwaptionMonthsToGo+SwaptionShift))*SUM(INDEX($FO$325:$IH$396,FZ$169,1+SwaptionShift):INDEX($FO$325:$IH$396,FZ$169,SwaptionMonthsToGo+SwaptionShift))))))</f>
        <v/>
      </c>
      <c r="GA234" s="469" t="str">
        <f ca="1">IF(OR(GA$169&lt;SwaptionFirstMonthPosition+1,$FN234&lt;SwaptionFirstMonthPosition+1,GA$169&gt;SwaptionFirstMonthPosition+SwaptionNumOfMonths+1,$FN234&gt;SwaptionFirstMonthPosition+SwaptionNumOfMonths+1),"",IF($FN234=GA$169,1,IF($FN234&lt;GA$169,INDEX($FO$170:$IH$241,GA$169,$FN234),SUMPRODUCT(INDEX($FO$325:$IH$396,GA$169,1+SwaptionShift):INDEX($FO$325:$IH$396,GA$169,SwaptionMonthsToGo+SwaptionShift),INDEX($FO$245:$IH$316,$FN234-GA$169,73-GA$169+SwaptionShift):INDEX($FO$245:$IH$316,$FN234-GA$169,72-GA$169+SwaptionMonthsToGo+SwaptionShift))/SQRT(SUM(INDEX($FO389:$IH389,1+SwaptionShift):INDEX($FO389:$IH389,SwaptionMonthsToGo+SwaptionShift))*SUM(INDEX($FO$325:$IH$396,GA$169,1+SwaptionShift):INDEX($FO$325:$IH$396,GA$169,SwaptionMonthsToGo+SwaptionShift))))))</f>
        <v/>
      </c>
      <c r="GB234" s="469" t="str">
        <f ca="1">IF(OR(GB$169&lt;SwaptionFirstMonthPosition+1,$FN234&lt;SwaptionFirstMonthPosition+1,GB$169&gt;SwaptionFirstMonthPosition+SwaptionNumOfMonths+1,$FN234&gt;SwaptionFirstMonthPosition+SwaptionNumOfMonths+1),"",IF($FN234=GB$169,1,IF($FN234&lt;GB$169,INDEX($FO$170:$IH$241,GB$169,$FN234),SUMPRODUCT(INDEX($FO$325:$IH$396,GB$169,1+SwaptionShift):INDEX($FO$325:$IH$396,GB$169,SwaptionMonthsToGo+SwaptionShift),INDEX($FO$245:$IH$316,$FN234-GB$169,73-GB$169+SwaptionShift):INDEX($FO$245:$IH$316,$FN234-GB$169,72-GB$169+SwaptionMonthsToGo+SwaptionShift))/SQRT(SUM(INDEX($FO389:$IH389,1+SwaptionShift):INDEX($FO389:$IH389,SwaptionMonthsToGo+SwaptionShift))*SUM(INDEX($FO$325:$IH$396,GB$169,1+SwaptionShift):INDEX($FO$325:$IH$396,GB$169,SwaptionMonthsToGo+SwaptionShift))))))</f>
        <v/>
      </c>
      <c r="GC234" s="469" t="str">
        <f ca="1">IF(OR(GC$169&lt;SwaptionFirstMonthPosition+1,$FN234&lt;SwaptionFirstMonthPosition+1,GC$169&gt;SwaptionFirstMonthPosition+SwaptionNumOfMonths+1,$FN234&gt;SwaptionFirstMonthPosition+SwaptionNumOfMonths+1),"",IF($FN234=GC$169,1,IF($FN234&lt;GC$169,INDEX($FO$170:$IH$241,GC$169,$FN234),SUMPRODUCT(INDEX($FO$325:$IH$396,GC$169,1+SwaptionShift):INDEX($FO$325:$IH$396,GC$169,SwaptionMonthsToGo+SwaptionShift),INDEX($FO$245:$IH$316,$FN234-GC$169,73-GC$169+SwaptionShift):INDEX($FO$245:$IH$316,$FN234-GC$169,72-GC$169+SwaptionMonthsToGo+SwaptionShift))/SQRT(SUM(INDEX($FO389:$IH389,1+SwaptionShift):INDEX($FO389:$IH389,SwaptionMonthsToGo+SwaptionShift))*SUM(INDEX($FO$325:$IH$396,GC$169,1+SwaptionShift):INDEX($FO$325:$IH$396,GC$169,SwaptionMonthsToGo+SwaptionShift))))))</f>
        <v/>
      </c>
      <c r="GD234" s="469" t="str">
        <f ca="1">IF(OR(GD$169&lt;SwaptionFirstMonthPosition+1,$FN234&lt;SwaptionFirstMonthPosition+1,GD$169&gt;SwaptionFirstMonthPosition+SwaptionNumOfMonths+1,$FN234&gt;SwaptionFirstMonthPosition+SwaptionNumOfMonths+1),"",IF($FN234=GD$169,1,IF($FN234&lt;GD$169,INDEX($FO$170:$IH$241,GD$169,$FN234),SUMPRODUCT(INDEX($FO$325:$IH$396,GD$169,1+SwaptionShift):INDEX($FO$325:$IH$396,GD$169,SwaptionMonthsToGo+SwaptionShift),INDEX($FO$245:$IH$316,$FN234-GD$169,73-GD$169+SwaptionShift):INDEX($FO$245:$IH$316,$FN234-GD$169,72-GD$169+SwaptionMonthsToGo+SwaptionShift))/SQRT(SUM(INDEX($FO389:$IH389,1+SwaptionShift):INDEX($FO389:$IH389,SwaptionMonthsToGo+SwaptionShift))*SUM(INDEX($FO$325:$IH$396,GD$169,1+SwaptionShift):INDEX($FO$325:$IH$396,GD$169,SwaptionMonthsToGo+SwaptionShift))))))</f>
        <v/>
      </c>
      <c r="GE234" s="469" t="str">
        <f ca="1">IF(OR(GE$169&lt;SwaptionFirstMonthPosition+1,$FN234&lt;SwaptionFirstMonthPosition+1,GE$169&gt;SwaptionFirstMonthPosition+SwaptionNumOfMonths+1,$FN234&gt;SwaptionFirstMonthPosition+SwaptionNumOfMonths+1),"",IF($FN234=GE$169,1,IF($FN234&lt;GE$169,INDEX($FO$170:$IH$241,GE$169,$FN234),SUMPRODUCT(INDEX($FO$325:$IH$396,GE$169,1+SwaptionShift):INDEX($FO$325:$IH$396,GE$169,SwaptionMonthsToGo+SwaptionShift),INDEX($FO$245:$IH$316,$FN234-GE$169,73-GE$169+SwaptionShift):INDEX($FO$245:$IH$316,$FN234-GE$169,72-GE$169+SwaptionMonthsToGo+SwaptionShift))/SQRT(SUM(INDEX($FO389:$IH389,1+SwaptionShift):INDEX($FO389:$IH389,SwaptionMonthsToGo+SwaptionShift))*SUM(INDEX($FO$325:$IH$396,GE$169,1+SwaptionShift):INDEX($FO$325:$IH$396,GE$169,SwaptionMonthsToGo+SwaptionShift))))))</f>
        <v/>
      </c>
      <c r="GF234" s="469" t="str">
        <f ca="1">IF(OR(GF$169&lt;SwaptionFirstMonthPosition+1,$FN234&lt;SwaptionFirstMonthPosition+1,GF$169&gt;SwaptionFirstMonthPosition+SwaptionNumOfMonths+1,$FN234&gt;SwaptionFirstMonthPosition+SwaptionNumOfMonths+1),"",IF($FN234=GF$169,1,IF($FN234&lt;GF$169,INDEX($FO$170:$IH$241,GF$169,$FN234),SUMPRODUCT(INDEX($FO$325:$IH$396,GF$169,1+SwaptionShift):INDEX($FO$325:$IH$396,GF$169,SwaptionMonthsToGo+SwaptionShift),INDEX($FO$245:$IH$316,$FN234-GF$169,73-GF$169+SwaptionShift):INDEX($FO$245:$IH$316,$FN234-GF$169,72-GF$169+SwaptionMonthsToGo+SwaptionShift))/SQRT(SUM(INDEX($FO389:$IH389,1+SwaptionShift):INDEX($FO389:$IH389,SwaptionMonthsToGo+SwaptionShift))*SUM(INDEX($FO$325:$IH$396,GF$169,1+SwaptionShift):INDEX($FO$325:$IH$396,GF$169,SwaptionMonthsToGo+SwaptionShift))))))</f>
        <v/>
      </c>
      <c r="GG234" s="469" t="str">
        <f ca="1">IF(OR(GG$169&lt;SwaptionFirstMonthPosition+1,$FN234&lt;SwaptionFirstMonthPosition+1,GG$169&gt;SwaptionFirstMonthPosition+SwaptionNumOfMonths+1,$FN234&gt;SwaptionFirstMonthPosition+SwaptionNumOfMonths+1),"",IF($FN234=GG$169,1,IF($FN234&lt;GG$169,INDEX($FO$170:$IH$241,GG$169,$FN234),SUMPRODUCT(INDEX($FO$325:$IH$396,GG$169,1+SwaptionShift):INDEX($FO$325:$IH$396,GG$169,SwaptionMonthsToGo+SwaptionShift),INDEX($FO$245:$IH$316,$FN234-GG$169,73-GG$169+SwaptionShift):INDEX($FO$245:$IH$316,$FN234-GG$169,72-GG$169+SwaptionMonthsToGo+SwaptionShift))/SQRT(SUM(INDEX($FO389:$IH389,1+SwaptionShift):INDEX($FO389:$IH389,SwaptionMonthsToGo+SwaptionShift))*SUM(INDEX($FO$325:$IH$396,GG$169,1+SwaptionShift):INDEX($FO$325:$IH$396,GG$169,SwaptionMonthsToGo+SwaptionShift))))))</f>
        <v/>
      </c>
      <c r="GH234" s="469" t="str">
        <f ca="1">IF(OR(GH$169&lt;SwaptionFirstMonthPosition+1,$FN234&lt;SwaptionFirstMonthPosition+1,GH$169&gt;SwaptionFirstMonthPosition+SwaptionNumOfMonths+1,$FN234&gt;SwaptionFirstMonthPosition+SwaptionNumOfMonths+1),"",IF($FN234=GH$169,1,IF($FN234&lt;GH$169,INDEX($FO$170:$IH$241,GH$169,$FN234),SUMPRODUCT(INDEX($FO$325:$IH$396,GH$169,1+SwaptionShift):INDEX($FO$325:$IH$396,GH$169,SwaptionMonthsToGo+SwaptionShift),INDEX($FO$245:$IH$316,$FN234-GH$169,73-GH$169+SwaptionShift):INDEX($FO$245:$IH$316,$FN234-GH$169,72-GH$169+SwaptionMonthsToGo+SwaptionShift))/SQRT(SUM(INDEX($FO389:$IH389,1+SwaptionShift):INDEX($FO389:$IH389,SwaptionMonthsToGo+SwaptionShift))*SUM(INDEX($FO$325:$IH$396,GH$169,1+SwaptionShift):INDEX($FO$325:$IH$396,GH$169,SwaptionMonthsToGo+SwaptionShift))))))</f>
        <v/>
      </c>
      <c r="GI234" s="469" t="str">
        <f ca="1">IF(OR(GI$169&lt;SwaptionFirstMonthPosition+1,$FN234&lt;SwaptionFirstMonthPosition+1,GI$169&gt;SwaptionFirstMonthPosition+SwaptionNumOfMonths+1,$FN234&gt;SwaptionFirstMonthPosition+SwaptionNumOfMonths+1),"",IF($FN234=GI$169,1,IF($FN234&lt;GI$169,INDEX($FO$170:$IH$241,GI$169,$FN234),SUMPRODUCT(INDEX($FO$325:$IH$396,GI$169,1+SwaptionShift):INDEX($FO$325:$IH$396,GI$169,SwaptionMonthsToGo+SwaptionShift),INDEX($FO$245:$IH$316,$FN234-GI$169,73-GI$169+SwaptionShift):INDEX($FO$245:$IH$316,$FN234-GI$169,72-GI$169+SwaptionMonthsToGo+SwaptionShift))/SQRT(SUM(INDEX($FO389:$IH389,1+SwaptionShift):INDEX($FO389:$IH389,SwaptionMonthsToGo+SwaptionShift))*SUM(INDEX($FO$325:$IH$396,GI$169,1+SwaptionShift):INDEX($FO$325:$IH$396,GI$169,SwaptionMonthsToGo+SwaptionShift))))))</f>
        <v/>
      </c>
      <c r="GJ234" s="469" t="str">
        <f ca="1">IF(OR(GJ$169&lt;SwaptionFirstMonthPosition+1,$FN234&lt;SwaptionFirstMonthPosition+1,GJ$169&gt;SwaptionFirstMonthPosition+SwaptionNumOfMonths+1,$FN234&gt;SwaptionFirstMonthPosition+SwaptionNumOfMonths+1),"",IF($FN234=GJ$169,1,IF($FN234&lt;GJ$169,INDEX($FO$170:$IH$241,GJ$169,$FN234),SUMPRODUCT(INDEX($FO$325:$IH$396,GJ$169,1+SwaptionShift):INDEX($FO$325:$IH$396,GJ$169,SwaptionMonthsToGo+SwaptionShift),INDEX($FO$245:$IH$316,$FN234-GJ$169,73-GJ$169+SwaptionShift):INDEX($FO$245:$IH$316,$FN234-GJ$169,72-GJ$169+SwaptionMonthsToGo+SwaptionShift))/SQRT(SUM(INDEX($FO389:$IH389,1+SwaptionShift):INDEX($FO389:$IH389,SwaptionMonthsToGo+SwaptionShift))*SUM(INDEX($FO$325:$IH$396,GJ$169,1+SwaptionShift):INDEX($FO$325:$IH$396,GJ$169,SwaptionMonthsToGo+SwaptionShift))))))</f>
        <v/>
      </c>
      <c r="GK234" s="469" t="str">
        <f ca="1">IF(OR(GK$169&lt;SwaptionFirstMonthPosition+1,$FN234&lt;SwaptionFirstMonthPosition+1,GK$169&gt;SwaptionFirstMonthPosition+SwaptionNumOfMonths+1,$FN234&gt;SwaptionFirstMonthPosition+SwaptionNumOfMonths+1),"",IF($FN234=GK$169,1,IF($FN234&lt;GK$169,INDEX($FO$170:$IH$241,GK$169,$FN234),SUMPRODUCT(INDEX($FO$325:$IH$396,GK$169,1+SwaptionShift):INDEX($FO$325:$IH$396,GK$169,SwaptionMonthsToGo+SwaptionShift),INDEX($FO$245:$IH$316,$FN234-GK$169,73-GK$169+SwaptionShift):INDEX($FO$245:$IH$316,$FN234-GK$169,72-GK$169+SwaptionMonthsToGo+SwaptionShift))/SQRT(SUM(INDEX($FO389:$IH389,1+SwaptionShift):INDEX($FO389:$IH389,SwaptionMonthsToGo+SwaptionShift))*SUM(INDEX($FO$325:$IH$396,GK$169,1+SwaptionShift):INDEX($FO$325:$IH$396,GK$169,SwaptionMonthsToGo+SwaptionShift))))))</f>
        <v/>
      </c>
      <c r="GL234" s="469" t="str">
        <f ca="1">IF(OR(GL$169&lt;SwaptionFirstMonthPosition+1,$FN234&lt;SwaptionFirstMonthPosition+1,GL$169&gt;SwaptionFirstMonthPosition+SwaptionNumOfMonths+1,$FN234&gt;SwaptionFirstMonthPosition+SwaptionNumOfMonths+1),"",IF($FN234=GL$169,1,IF($FN234&lt;GL$169,INDEX($FO$170:$IH$241,GL$169,$FN234),SUMPRODUCT(INDEX($FO$325:$IH$396,GL$169,1+SwaptionShift):INDEX($FO$325:$IH$396,GL$169,SwaptionMonthsToGo+SwaptionShift),INDEX($FO$245:$IH$316,$FN234-GL$169,73-GL$169+SwaptionShift):INDEX($FO$245:$IH$316,$FN234-GL$169,72-GL$169+SwaptionMonthsToGo+SwaptionShift))/SQRT(SUM(INDEX($FO389:$IH389,1+SwaptionShift):INDEX($FO389:$IH389,SwaptionMonthsToGo+SwaptionShift))*SUM(INDEX($FO$325:$IH$396,GL$169,1+SwaptionShift):INDEX($FO$325:$IH$396,GL$169,SwaptionMonthsToGo+SwaptionShift))))))</f>
        <v/>
      </c>
      <c r="GM234" s="469" t="str">
        <f ca="1">IF(OR(GM$169&lt;SwaptionFirstMonthPosition+1,$FN234&lt;SwaptionFirstMonthPosition+1,GM$169&gt;SwaptionFirstMonthPosition+SwaptionNumOfMonths+1,$FN234&gt;SwaptionFirstMonthPosition+SwaptionNumOfMonths+1),"",IF($FN234=GM$169,1,IF($FN234&lt;GM$169,INDEX($FO$170:$IH$241,GM$169,$FN234),SUMPRODUCT(INDEX($FO$325:$IH$396,GM$169,1+SwaptionShift):INDEX($FO$325:$IH$396,GM$169,SwaptionMonthsToGo+SwaptionShift),INDEX($FO$245:$IH$316,$FN234-GM$169,73-GM$169+SwaptionShift):INDEX($FO$245:$IH$316,$FN234-GM$169,72-GM$169+SwaptionMonthsToGo+SwaptionShift))/SQRT(SUM(INDEX($FO389:$IH389,1+SwaptionShift):INDEX($FO389:$IH389,SwaptionMonthsToGo+SwaptionShift))*SUM(INDEX($FO$325:$IH$396,GM$169,1+SwaptionShift):INDEX($FO$325:$IH$396,GM$169,SwaptionMonthsToGo+SwaptionShift))))))</f>
        <v/>
      </c>
      <c r="GN234" s="469" t="str">
        <f ca="1">IF(OR(GN$169&lt;SwaptionFirstMonthPosition+1,$FN234&lt;SwaptionFirstMonthPosition+1,GN$169&gt;SwaptionFirstMonthPosition+SwaptionNumOfMonths+1,$FN234&gt;SwaptionFirstMonthPosition+SwaptionNumOfMonths+1),"",IF($FN234=GN$169,1,IF($FN234&lt;GN$169,INDEX($FO$170:$IH$241,GN$169,$FN234),SUMPRODUCT(INDEX($FO$325:$IH$396,GN$169,1+SwaptionShift):INDEX($FO$325:$IH$396,GN$169,SwaptionMonthsToGo+SwaptionShift),INDEX($FO$245:$IH$316,$FN234-GN$169,73-GN$169+SwaptionShift):INDEX($FO$245:$IH$316,$FN234-GN$169,72-GN$169+SwaptionMonthsToGo+SwaptionShift))/SQRT(SUM(INDEX($FO389:$IH389,1+SwaptionShift):INDEX($FO389:$IH389,SwaptionMonthsToGo+SwaptionShift))*SUM(INDEX($FO$325:$IH$396,GN$169,1+SwaptionShift):INDEX($FO$325:$IH$396,GN$169,SwaptionMonthsToGo+SwaptionShift))))))</f>
        <v/>
      </c>
      <c r="GO234" s="469" t="str">
        <f ca="1">IF(OR(GO$169&lt;SwaptionFirstMonthPosition+1,$FN234&lt;SwaptionFirstMonthPosition+1,GO$169&gt;SwaptionFirstMonthPosition+SwaptionNumOfMonths+1,$FN234&gt;SwaptionFirstMonthPosition+SwaptionNumOfMonths+1),"",IF($FN234=GO$169,1,IF($FN234&lt;GO$169,INDEX($FO$170:$IH$241,GO$169,$FN234),SUMPRODUCT(INDEX($FO$325:$IH$396,GO$169,1+SwaptionShift):INDEX($FO$325:$IH$396,GO$169,SwaptionMonthsToGo+SwaptionShift),INDEX($FO$245:$IH$316,$FN234-GO$169,73-GO$169+SwaptionShift):INDEX($FO$245:$IH$316,$FN234-GO$169,72-GO$169+SwaptionMonthsToGo+SwaptionShift))/SQRT(SUM(INDEX($FO389:$IH389,1+SwaptionShift):INDEX($FO389:$IH389,SwaptionMonthsToGo+SwaptionShift))*SUM(INDEX($FO$325:$IH$396,GO$169,1+SwaptionShift):INDEX($FO$325:$IH$396,GO$169,SwaptionMonthsToGo+SwaptionShift))))))</f>
        <v/>
      </c>
      <c r="GP234" s="469" t="str">
        <f ca="1">IF(OR(GP$169&lt;SwaptionFirstMonthPosition+1,$FN234&lt;SwaptionFirstMonthPosition+1,GP$169&gt;SwaptionFirstMonthPosition+SwaptionNumOfMonths+1,$FN234&gt;SwaptionFirstMonthPosition+SwaptionNumOfMonths+1),"",IF($FN234=GP$169,1,IF($FN234&lt;GP$169,INDEX($FO$170:$IH$241,GP$169,$FN234),SUMPRODUCT(INDEX($FO$325:$IH$396,GP$169,1+SwaptionShift):INDEX($FO$325:$IH$396,GP$169,SwaptionMonthsToGo+SwaptionShift),INDEX($FO$245:$IH$316,$FN234-GP$169,73-GP$169+SwaptionShift):INDEX($FO$245:$IH$316,$FN234-GP$169,72-GP$169+SwaptionMonthsToGo+SwaptionShift))/SQRT(SUM(INDEX($FO389:$IH389,1+SwaptionShift):INDEX($FO389:$IH389,SwaptionMonthsToGo+SwaptionShift))*SUM(INDEX($FO$325:$IH$396,GP$169,1+SwaptionShift):INDEX($FO$325:$IH$396,GP$169,SwaptionMonthsToGo+SwaptionShift))))))</f>
        <v/>
      </c>
      <c r="GQ234" s="469" t="str">
        <f ca="1">IF(OR(GQ$169&lt;SwaptionFirstMonthPosition+1,$FN234&lt;SwaptionFirstMonthPosition+1,GQ$169&gt;SwaptionFirstMonthPosition+SwaptionNumOfMonths+1,$FN234&gt;SwaptionFirstMonthPosition+SwaptionNumOfMonths+1),"",IF($FN234=GQ$169,1,IF($FN234&lt;GQ$169,INDEX($FO$170:$IH$241,GQ$169,$FN234),SUMPRODUCT(INDEX($FO$325:$IH$396,GQ$169,1+SwaptionShift):INDEX($FO$325:$IH$396,GQ$169,SwaptionMonthsToGo+SwaptionShift),INDEX($FO$245:$IH$316,$FN234-GQ$169,73-GQ$169+SwaptionShift):INDEX($FO$245:$IH$316,$FN234-GQ$169,72-GQ$169+SwaptionMonthsToGo+SwaptionShift))/SQRT(SUM(INDEX($FO389:$IH389,1+SwaptionShift):INDEX($FO389:$IH389,SwaptionMonthsToGo+SwaptionShift))*SUM(INDEX($FO$325:$IH$396,GQ$169,1+SwaptionShift):INDEX($FO$325:$IH$396,GQ$169,SwaptionMonthsToGo+SwaptionShift))))))</f>
        <v/>
      </c>
      <c r="GR234" s="469" t="str">
        <f ca="1">IF(OR(GR$169&lt;SwaptionFirstMonthPosition+1,$FN234&lt;SwaptionFirstMonthPosition+1,GR$169&gt;SwaptionFirstMonthPosition+SwaptionNumOfMonths+1,$FN234&gt;SwaptionFirstMonthPosition+SwaptionNumOfMonths+1),"",IF($FN234=GR$169,1,IF($FN234&lt;GR$169,INDEX($FO$170:$IH$241,GR$169,$FN234),SUMPRODUCT(INDEX($FO$325:$IH$396,GR$169,1+SwaptionShift):INDEX($FO$325:$IH$396,GR$169,SwaptionMonthsToGo+SwaptionShift),INDEX($FO$245:$IH$316,$FN234-GR$169,73-GR$169+SwaptionShift):INDEX($FO$245:$IH$316,$FN234-GR$169,72-GR$169+SwaptionMonthsToGo+SwaptionShift))/SQRT(SUM(INDEX($FO389:$IH389,1+SwaptionShift):INDEX($FO389:$IH389,SwaptionMonthsToGo+SwaptionShift))*SUM(INDEX($FO$325:$IH$396,GR$169,1+SwaptionShift):INDEX($FO$325:$IH$396,GR$169,SwaptionMonthsToGo+SwaptionShift))))))</f>
        <v/>
      </c>
      <c r="GS234" s="469" t="str">
        <f ca="1">IF(OR(GS$169&lt;SwaptionFirstMonthPosition+1,$FN234&lt;SwaptionFirstMonthPosition+1,GS$169&gt;SwaptionFirstMonthPosition+SwaptionNumOfMonths+1,$FN234&gt;SwaptionFirstMonthPosition+SwaptionNumOfMonths+1),"",IF($FN234=GS$169,1,IF($FN234&lt;GS$169,INDEX($FO$170:$IH$241,GS$169,$FN234),SUMPRODUCT(INDEX($FO$325:$IH$396,GS$169,1+SwaptionShift):INDEX($FO$325:$IH$396,GS$169,SwaptionMonthsToGo+SwaptionShift),INDEX($FO$245:$IH$316,$FN234-GS$169,73-GS$169+SwaptionShift):INDEX($FO$245:$IH$316,$FN234-GS$169,72-GS$169+SwaptionMonthsToGo+SwaptionShift))/SQRT(SUM(INDEX($FO389:$IH389,1+SwaptionShift):INDEX($FO389:$IH389,SwaptionMonthsToGo+SwaptionShift))*SUM(INDEX($FO$325:$IH$396,GS$169,1+SwaptionShift):INDEX($FO$325:$IH$396,GS$169,SwaptionMonthsToGo+SwaptionShift))))))</f>
        <v/>
      </c>
      <c r="GT234" s="469" t="str">
        <f ca="1">IF(OR(GT$169&lt;SwaptionFirstMonthPosition+1,$FN234&lt;SwaptionFirstMonthPosition+1,GT$169&gt;SwaptionFirstMonthPosition+SwaptionNumOfMonths+1,$FN234&gt;SwaptionFirstMonthPosition+SwaptionNumOfMonths+1),"",IF($FN234=GT$169,1,IF($FN234&lt;GT$169,INDEX($FO$170:$IH$241,GT$169,$FN234),SUMPRODUCT(INDEX($FO$325:$IH$396,GT$169,1+SwaptionShift):INDEX($FO$325:$IH$396,GT$169,SwaptionMonthsToGo+SwaptionShift),INDEX($FO$245:$IH$316,$FN234-GT$169,73-GT$169+SwaptionShift):INDEX($FO$245:$IH$316,$FN234-GT$169,72-GT$169+SwaptionMonthsToGo+SwaptionShift))/SQRT(SUM(INDEX($FO389:$IH389,1+SwaptionShift):INDEX($FO389:$IH389,SwaptionMonthsToGo+SwaptionShift))*SUM(INDEX($FO$325:$IH$396,GT$169,1+SwaptionShift):INDEX($FO$325:$IH$396,GT$169,SwaptionMonthsToGo+SwaptionShift))))))</f>
        <v/>
      </c>
      <c r="GU234" s="469" t="str">
        <f ca="1">IF(OR(GU$169&lt;SwaptionFirstMonthPosition+1,$FN234&lt;SwaptionFirstMonthPosition+1,GU$169&gt;SwaptionFirstMonthPosition+SwaptionNumOfMonths+1,$FN234&gt;SwaptionFirstMonthPosition+SwaptionNumOfMonths+1),"",IF($FN234=GU$169,1,IF($FN234&lt;GU$169,INDEX($FO$170:$IH$241,GU$169,$FN234),SUMPRODUCT(INDEX($FO$325:$IH$396,GU$169,1+SwaptionShift):INDEX($FO$325:$IH$396,GU$169,SwaptionMonthsToGo+SwaptionShift),INDEX($FO$245:$IH$316,$FN234-GU$169,73-GU$169+SwaptionShift):INDEX($FO$245:$IH$316,$FN234-GU$169,72-GU$169+SwaptionMonthsToGo+SwaptionShift))/SQRT(SUM(INDEX($FO389:$IH389,1+SwaptionShift):INDEX($FO389:$IH389,SwaptionMonthsToGo+SwaptionShift))*SUM(INDEX($FO$325:$IH$396,GU$169,1+SwaptionShift):INDEX($FO$325:$IH$396,GU$169,SwaptionMonthsToGo+SwaptionShift))))))</f>
        <v/>
      </c>
      <c r="GV234" s="469" t="str">
        <f ca="1">IF(OR(GV$169&lt;SwaptionFirstMonthPosition+1,$FN234&lt;SwaptionFirstMonthPosition+1,GV$169&gt;SwaptionFirstMonthPosition+SwaptionNumOfMonths+1,$FN234&gt;SwaptionFirstMonthPosition+SwaptionNumOfMonths+1),"",IF($FN234=GV$169,1,IF($FN234&lt;GV$169,INDEX($FO$170:$IH$241,GV$169,$FN234),SUMPRODUCT(INDEX($FO$325:$IH$396,GV$169,1+SwaptionShift):INDEX($FO$325:$IH$396,GV$169,SwaptionMonthsToGo+SwaptionShift),INDEX($FO$245:$IH$316,$FN234-GV$169,73-GV$169+SwaptionShift):INDEX($FO$245:$IH$316,$FN234-GV$169,72-GV$169+SwaptionMonthsToGo+SwaptionShift))/SQRT(SUM(INDEX($FO389:$IH389,1+SwaptionShift):INDEX($FO389:$IH389,SwaptionMonthsToGo+SwaptionShift))*SUM(INDEX($FO$325:$IH$396,GV$169,1+SwaptionShift):INDEX($FO$325:$IH$396,GV$169,SwaptionMonthsToGo+SwaptionShift))))))</f>
        <v/>
      </c>
      <c r="GW234" s="469" t="str">
        <f ca="1">IF(OR(GW$169&lt;SwaptionFirstMonthPosition+1,$FN234&lt;SwaptionFirstMonthPosition+1,GW$169&gt;SwaptionFirstMonthPosition+SwaptionNumOfMonths+1,$FN234&gt;SwaptionFirstMonthPosition+SwaptionNumOfMonths+1),"",IF($FN234=GW$169,1,IF($FN234&lt;GW$169,INDEX($FO$170:$IH$241,GW$169,$FN234),SUMPRODUCT(INDEX($FO$325:$IH$396,GW$169,1+SwaptionShift):INDEX($FO$325:$IH$396,GW$169,SwaptionMonthsToGo+SwaptionShift),INDEX($FO$245:$IH$316,$FN234-GW$169,73-GW$169+SwaptionShift):INDEX($FO$245:$IH$316,$FN234-GW$169,72-GW$169+SwaptionMonthsToGo+SwaptionShift))/SQRT(SUM(INDEX($FO389:$IH389,1+SwaptionShift):INDEX($FO389:$IH389,SwaptionMonthsToGo+SwaptionShift))*SUM(INDEX($FO$325:$IH$396,GW$169,1+SwaptionShift):INDEX($FO$325:$IH$396,GW$169,SwaptionMonthsToGo+SwaptionShift))))))</f>
        <v/>
      </c>
      <c r="GX234" s="469" t="str">
        <f ca="1">IF(OR(GX$169&lt;SwaptionFirstMonthPosition+1,$FN234&lt;SwaptionFirstMonthPosition+1,GX$169&gt;SwaptionFirstMonthPosition+SwaptionNumOfMonths+1,$FN234&gt;SwaptionFirstMonthPosition+SwaptionNumOfMonths+1),"",IF($FN234=GX$169,1,IF($FN234&lt;GX$169,INDEX($FO$170:$IH$241,GX$169,$FN234),SUMPRODUCT(INDEX($FO$325:$IH$396,GX$169,1+SwaptionShift):INDEX($FO$325:$IH$396,GX$169,SwaptionMonthsToGo+SwaptionShift),INDEX($FO$245:$IH$316,$FN234-GX$169,73-GX$169+SwaptionShift):INDEX($FO$245:$IH$316,$FN234-GX$169,72-GX$169+SwaptionMonthsToGo+SwaptionShift))/SQRT(SUM(INDEX($FO389:$IH389,1+SwaptionShift):INDEX($FO389:$IH389,SwaptionMonthsToGo+SwaptionShift))*SUM(INDEX($FO$325:$IH$396,GX$169,1+SwaptionShift):INDEX($FO$325:$IH$396,GX$169,SwaptionMonthsToGo+SwaptionShift))))))</f>
        <v/>
      </c>
      <c r="GY234" s="469" t="str">
        <f ca="1">IF(OR(GY$169&lt;SwaptionFirstMonthPosition+1,$FN234&lt;SwaptionFirstMonthPosition+1,GY$169&gt;SwaptionFirstMonthPosition+SwaptionNumOfMonths+1,$FN234&gt;SwaptionFirstMonthPosition+SwaptionNumOfMonths+1),"",IF($FN234=GY$169,1,IF($FN234&lt;GY$169,INDEX($FO$170:$IH$241,GY$169,$FN234),SUMPRODUCT(INDEX($FO$325:$IH$396,GY$169,1+SwaptionShift):INDEX($FO$325:$IH$396,GY$169,SwaptionMonthsToGo+SwaptionShift),INDEX($FO$245:$IH$316,$FN234-GY$169,73-GY$169+SwaptionShift):INDEX($FO$245:$IH$316,$FN234-GY$169,72-GY$169+SwaptionMonthsToGo+SwaptionShift))/SQRT(SUM(INDEX($FO389:$IH389,1+SwaptionShift):INDEX($FO389:$IH389,SwaptionMonthsToGo+SwaptionShift))*SUM(INDEX($FO$325:$IH$396,GY$169,1+SwaptionShift):INDEX($FO$325:$IH$396,GY$169,SwaptionMonthsToGo+SwaptionShift))))))</f>
        <v/>
      </c>
      <c r="GZ234" s="469" t="str">
        <f ca="1">IF(OR(GZ$169&lt;SwaptionFirstMonthPosition+1,$FN234&lt;SwaptionFirstMonthPosition+1,GZ$169&gt;SwaptionFirstMonthPosition+SwaptionNumOfMonths+1,$FN234&gt;SwaptionFirstMonthPosition+SwaptionNumOfMonths+1),"",IF($FN234=GZ$169,1,IF($FN234&lt;GZ$169,INDEX($FO$170:$IH$241,GZ$169,$FN234),SUMPRODUCT(INDEX($FO$325:$IH$396,GZ$169,1+SwaptionShift):INDEX($FO$325:$IH$396,GZ$169,SwaptionMonthsToGo+SwaptionShift),INDEX($FO$245:$IH$316,$FN234-GZ$169,73-GZ$169+SwaptionShift):INDEX($FO$245:$IH$316,$FN234-GZ$169,72-GZ$169+SwaptionMonthsToGo+SwaptionShift))/SQRT(SUM(INDEX($FO389:$IH389,1+SwaptionShift):INDEX($FO389:$IH389,SwaptionMonthsToGo+SwaptionShift))*SUM(INDEX($FO$325:$IH$396,GZ$169,1+SwaptionShift):INDEX($FO$325:$IH$396,GZ$169,SwaptionMonthsToGo+SwaptionShift))))))</f>
        <v/>
      </c>
      <c r="HA234" s="469" t="str">
        <f ca="1">IF(OR(HA$169&lt;SwaptionFirstMonthPosition+1,$FN234&lt;SwaptionFirstMonthPosition+1,HA$169&gt;SwaptionFirstMonthPosition+SwaptionNumOfMonths+1,$FN234&gt;SwaptionFirstMonthPosition+SwaptionNumOfMonths+1),"",IF($FN234=HA$169,1,IF($FN234&lt;HA$169,INDEX($FO$170:$IH$241,HA$169,$FN234),SUMPRODUCT(INDEX($FO$325:$IH$396,HA$169,1+SwaptionShift):INDEX($FO$325:$IH$396,HA$169,SwaptionMonthsToGo+SwaptionShift),INDEX($FO$245:$IH$316,$FN234-HA$169,73-HA$169+SwaptionShift):INDEX($FO$245:$IH$316,$FN234-HA$169,72-HA$169+SwaptionMonthsToGo+SwaptionShift))/SQRT(SUM(INDEX($FO389:$IH389,1+SwaptionShift):INDEX($FO389:$IH389,SwaptionMonthsToGo+SwaptionShift))*SUM(INDEX($FO$325:$IH$396,HA$169,1+SwaptionShift):INDEX($FO$325:$IH$396,HA$169,SwaptionMonthsToGo+SwaptionShift))))))</f>
        <v/>
      </c>
      <c r="HB234" s="469" t="str">
        <f ca="1">IF(OR(HB$169&lt;SwaptionFirstMonthPosition+1,$FN234&lt;SwaptionFirstMonthPosition+1,HB$169&gt;SwaptionFirstMonthPosition+SwaptionNumOfMonths+1,$FN234&gt;SwaptionFirstMonthPosition+SwaptionNumOfMonths+1),"",IF($FN234=HB$169,1,IF($FN234&lt;HB$169,INDEX($FO$170:$IH$241,HB$169,$FN234),SUMPRODUCT(INDEX($FO$325:$IH$396,HB$169,1+SwaptionShift):INDEX($FO$325:$IH$396,HB$169,SwaptionMonthsToGo+SwaptionShift),INDEX($FO$245:$IH$316,$FN234-HB$169,73-HB$169+SwaptionShift):INDEX($FO$245:$IH$316,$FN234-HB$169,72-HB$169+SwaptionMonthsToGo+SwaptionShift))/SQRT(SUM(INDEX($FO389:$IH389,1+SwaptionShift):INDEX($FO389:$IH389,SwaptionMonthsToGo+SwaptionShift))*SUM(INDEX($FO$325:$IH$396,HB$169,1+SwaptionShift):INDEX($FO$325:$IH$396,HB$169,SwaptionMonthsToGo+SwaptionShift))))))</f>
        <v/>
      </c>
      <c r="HC234" s="469" t="str">
        <f ca="1">IF(OR(HC$169&lt;SwaptionFirstMonthPosition+1,$FN234&lt;SwaptionFirstMonthPosition+1,HC$169&gt;SwaptionFirstMonthPosition+SwaptionNumOfMonths+1,$FN234&gt;SwaptionFirstMonthPosition+SwaptionNumOfMonths+1),"",IF($FN234=HC$169,1,IF($FN234&lt;HC$169,INDEX($FO$170:$IH$241,HC$169,$FN234),SUMPRODUCT(INDEX($FO$325:$IH$396,HC$169,1+SwaptionShift):INDEX($FO$325:$IH$396,HC$169,SwaptionMonthsToGo+SwaptionShift),INDEX($FO$245:$IH$316,$FN234-HC$169,73-HC$169+SwaptionShift):INDEX($FO$245:$IH$316,$FN234-HC$169,72-HC$169+SwaptionMonthsToGo+SwaptionShift))/SQRT(SUM(INDEX($FO389:$IH389,1+SwaptionShift):INDEX($FO389:$IH389,SwaptionMonthsToGo+SwaptionShift))*SUM(INDEX($FO$325:$IH$396,HC$169,1+SwaptionShift):INDEX($FO$325:$IH$396,HC$169,SwaptionMonthsToGo+SwaptionShift))))))</f>
        <v/>
      </c>
      <c r="HD234" s="469" t="str">
        <f ca="1">IF(OR(HD$169&lt;SwaptionFirstMonthPosition+1,$FN234&lt;SwaptionFirstMonthPosition+1,HD$169&gt;SwaptionFirstMonthPosition+SwaptionNumOfMonths+1,$FN234&gt;SwaptionFirstMonthPosition+SwaptionNumOfMonths+1),"",IF($FN234=HD$169,1,IF($FN234&lt;HD$169,INDEX($FO$170:$IH$241,HD$169,$FN234),SUMPRODUCT(INDEX($FO$325:$IH$396,HD$169,1+SwaptionShift):INDEX($FO$325:$IH$396,HD$169,SwaptionMonthsToGo+SwaptionShift),INDEX($FO$245:$IH$316,$FN234-HD$169,73-HD$169+SwaptionShift):INDEX($FO$245:$IH$316,$FN234-HD$169,72-HD$169+SwaptionMonthsToGo+SwaptionShift))/SQRT(SUM(INDEX($FO389:$IH389,1+SwaptionShift):INDEX($FO389:$IH389,SwaptionMonthsToGo+SwaptionShift))*SUM(INDEX($FO$325:$IH$396,HD$169,1+SwaptionShift):INDEX($FO$325:$IH$396,HD$169,SwaptionMonthsToGo+SwaptionShift))))))</f>
        <v/>
      </c>
      <c r="HE234" s="469" t="str">
        <f ca="1">IF(OR(HE$169&lt;SwaptionFirstMonthPosition+1,$FN234&lt;SwaptionFirstMonthPosition+1,HE$169&gt;SwaptionFirstMonthPosition+SwaptionNumOfMonths+1,$FN234&gt;SwaptionFirstMonthPosition+SwaptionNumOfMonths+1),"",IF($FN234=HE$169,1,IF($FN234&lt;HE$169,INDEX($FO$170:$IH$241,HE$169,$FN234),SUMPRODUCT(INDEX($FO$325:$IH$396,HE$169,1+SwaptionShift):INDEX($FO$325:$IH$396,HE$169,SwaptionMonthsToGo+SwaptionShift),INDEX($FO$245:$IH$316,$FN234-HE$169,73-HE$169+SwaptionShift):INDEX($FO$245:$IH$316,$FN234-HE$169,72-HE$169+SwaptionMonthsToGo+SwaptionShift))/SQRT(SUM(INDEX($FO389:$IH389,1+SwaptionShift):INDEX($FO389:$IH389,SwaptionMonthsToGo+SwaptionShift))*SUM(INDEX($FO$325:$IH$396,HE$169,1+SwaptionShift):INDEX($FO$325:$IH$396,HE$169,SwaptionMonthsToGo+SwaptionShift))))))</f>
        <v/>
      </c>
      <c r="HF234" s="469" t="str">
        <f ca="1">IF(OR(HF$169&lt;SwaptionFirstMonthPosition+1,$FN234&lt;SwaptionFirstMonthPosition+1,HF$169&gt;SwaptionFirstMonthPosition+SwaptionNumOfMonths+1,$FN234&gt;SwaptionFirstMonthPosition+SwaptionNumOfMonths+1),"",IF($FN234=HF$169,1,IF($FN234&lt;HF$169,INDEX($FO$170:$IH$241,HF$169,$FN234),SUMPRODUCT(INDEX($FO$325:$IH$396,HF$169,1+SwaptionShift):INDEX($FO$325:$IH$396,HF$169,SwaptionMonthsToGo+SwaptionShift),INDEX($FO$245:$IH$316,$FN234-HF$169,73-HF$169+SwaptionShift):INDEX($FO$245:$IH$316,$FN234-HF$169,72-HF$169+SwaptionMonthsToGo+SwaptionShift))/SQRT(SUM(INDEX($FO389:$IH389,1+SwaptionShift):INDEX($FO389:$IH389,SwaptionMonthsToGo+SwaptionShift))*SUM(INDEX($FO$325:$IH$396,HF$169,1+SwaptionShift):INDEX($FO$325:$IH$396,HF$169,SwaptionMonthsToGo+SwaptionShift))))))</f>
        <v/>
      </c>
      <c r="HG234" s="469" t="str">
        <f ca="1">IF(OR(HG$169&lt;SwaptionFirstMonthPosition+1,$FN234&lt;SwaptionFirstMonthPosition+1,HG$169&gt;SwaptionFirstMonthPosition+SwaptionNumOfMonths+1,$FN234&gt;SwaptionFirstMonthPosition+SwaptionNumOfMonths+1),"",IF($FN234=HG$169,1,IF($FN234&lt;HG$169,INDEX($FO$170:$IH$241,HG$169,$FN234),SUMPRODUCT(INDEX($FO$325:$IH$396,HG$169,1+SwaptionShift):INDEX($FO$325:$IH$396,HG$169,SwaptionMonthsToGo+SwaptionShift),INDEX($FO$245:$IH$316,$FN234-HG$169,73-HG$169+SwaptionShift):INDEX($FO$245:$IH$316,$FN234-HG$169,72-HG$169+SwaptionMonthsToGo+SwaptionShift))/SQRT(SUM(INDEX($FO389:$IH389,1+SwaptionShift):INDEX($FO389:$IH389,SwaptionMonthsToGo+SwaptionShift))*SUM(INDEX($FO$325:$IH$396,HG$169,1+SwaptionShift):INDEX($FO$325:$IH$396,HG$169,SwaptionMonthsToGo+SwaptionShift))))))</f>
        <v/>
      </c>
      <c r="HH234" s="469" t="str">
        <f ca="1">IF(OR(HH$169&lt;SwaptionFirstMonthPosition+1,$FN234&lt;SwaptionFirstMonthPosition+1,HH$169&gt;SwaptionFirstMonthPosition+SwaptionNumOfMonths+1,$FN234&gt;SwaptionFirstMonthPosition+SwaptionNumOfMonths+1),"",IF($FN234=HH$169,1,IF($FN234&lt;HH$169,INDEX($FO$170:$IH$241,HH$169,$FN234),SUMPRODUCT(INDEX($FO$325:$IH$396,HH$169,1+SwaptionShift):INDEX($FO$325:$IH$396,HH$169,SwaptionMonthsToGo+SwaptionShift),INDEX($FO$245:$IH$316,$FN234-HH$169,73-HH$169+SwaptionShift):INDEX($FO$245:$IH$316,$FN234-HH$169,72-HH$169+SwaptionMonthsToGo+SwaptionShift))/SQRT(SUM(INDEX($FO389:$IH389,1+SwaptionShift):INDEX($FO389:$IH389,SwaptionMonthsToGo+SwaptionShift))*SUM(INDEX($FO$325:$IH$396,HH$169,1+SwaptionShift):INDEX($FO$325:$IH$396,HH$169,SwaptionMonthsToGo+SwaptionShift))))))</f>
        <v/>
      </c>
      <c r="HI234" s="469" t="str">
        <f ca="1">IF(OR(HI$169&lt;SwaptionFirstMonthPosition+1,$FN234&lt;SwaptionFirstMonthPosition+1,HI$169&gt;SwaptionFirstMonthPosition+SwaptionNumOfMonths+1,$FN234&gt;SwaptionFirstMonthPosition+SwaptionNumOfMonths+1),"",IF($FN234=HI$169,1,IF($FN234&lt;HI$169,INDEX($FO$170:$IH$241,HI$169,$FN234),SUMPRODUCT(INDEX($FO$325:$IH$396,HI$169,1+SwaptionShift):INDEX($FO$325:$IH$396,HI$169,SwaptionMonthsToGo+SwaptionShift),INDEX($FO$245:$IH$316,$FN234-HI$169,73-HI$169+SwaptionShift):INDEX($FO$245:$IH$316,$FN234-HI$169,72-HI$169+SwaptionMonthsToGo+SwaptionShift))/SQRT(SUM(INDEX($FO389:$IH389,1+SwaptionShift):INDEX($FO389:$IH389,SwaptionMonthsToGo+SwaptionShift))*SUM(INDEX($FO$325:$IH$396,HI$169,1+SwaptionShift):INDEX($FO$325:$IH$396,HI$169,SwaptionMonthsToGo+SwaptionShift))))))</f>
        <v/>
      </c>
      <c r="HJ234" s="469" t="str">
        <f ca="1">IF(OR(HJ$169&lt;SwaptionFirstMonthPosition+1,$FN234&lt;SwaptionFirstMonthPosition+1,HJ$169&gt;SwaptionFirstMonthPosition+SwaptionNumOfMonths+1,$FN234&gt;SwaptionFirstMonthPosition+SwaptionNumOfMonths+1),"",IF($FN234=HJ$169,1,IF($FN234&lt;HJ$169,INDEX($FO$170:$IH$241,HJ$169,$FN234),SUMPRODUCT(INDEX($FO$325:$IH$396,HJ$169,1+SwaptionShift):INDEX($FO$325:$IH$396,HJ$169,SwaptionMonthsToGo+SwaptionShift),INDEX($FO$245:$IH$316,$FN234-HJ$169,73-HJ$169+SwaptionShift):INDEX($FO$245:$IH$316,$FN234-HJ$169,72-HJ$169+SwaptionMonthsToGo+SwaptionShift))/SQRT(SUM(INDEX($FO389:$IH389,1+SwaptionShift):INDEX($FO389:$IH389,SwaptionMonthsToGo+SwaptionShift))*SUM(INDEX($FO$325:$IH$396,HJ$169,1+SwaptionShift):INDEX($FO$325:$IH$396,HJ$169,SwaptionMonthsToGo+SwaptionShift))))))</f>
        <v/>
      </c>
      <c r="HK234" s="469" t="str">
        <f ca="1">IF(OR(HK$169&lt;SwaptionFirstMonthPosition+1,$FN234&lt;SwaptionFirstMonthPosition+1,HK$169&gt;SwaptionFirstMonthPosition+SwaptionNumOfMonths+1,$FN234&gt;SwaptionFirstMonthPosition+SwaptionNumOfMonths+1),"",IF($FN234=HK$169,1,IF($FN234&lt;HK$169,INDEX($FO$170:$IH$241,HK$169,$FN234),SUMPRODUCT(INDEX($FO$325:$IH$396,HK$169,1+SwaptionShift):INDEX($FO$325:$IH$396,HK$169,SwaptionMonthsToGo+SwaptionShift),INDEX($FO$245:$IH$316,$FN234-HK$169,73-HK$169+SwaptionShift):INDEX($FO$245:$IH$316,$FN234-HK$169,72-HK$169+SwaptionMonthsToGo+SwaptionShift))/SQRT(SUM(INDEX($FO389:$IH389,1+SwaptionShift):INDEX($FO389:$IH389,SwaptionMonthsToGo+SwaptionShift))*SUM(INDEX($FO$325:$IH$396,HK$169,1+SwaptionShift):INDEX($FO$325:$IH$396,HK$169,SwaptionMonthsToGo+SwaptionShift))))))</f>
        <v/>
      </c>
      <c r="HL234" s="469" t="str">
        <f ca="1">IF(OR(HL$169&lt;SwaptionFirstMonthPosition+1,$FN234&lt;SwaptionFirstMonthPosition+1,HL$169&gt;SwaptionFirstMonthPosition+SwaptionNumOfMonths+1,$FN234&gt;SwaptionFirstMonthPosition+SwaptionNumOfMonths+1),"",IF($FN234=HL$169,1,IF($FN234&lt;HL$169,INDEX($FO$170:$IH$241,HL$169,$FN234),SUMPRODUCT(INDEX($FO$325:$IH$396,HL$169,1+SwaptionShift):INDEX($FO$325:$IH$396,HL$169,SwaptionMonthsToGo+SwaptionShift),INDEX($FO$245:$IH$316,$FN234-HL$169,73-HL$169+SwaptionShift):INDEX($FO$245:$IH$316,$FN234-HL$169,72-HL$169+SwaptionMonthsToGo+SwaptionShift))/SQRT(SUM(INDEX($FO389:$IH389,1+SwaptionShift):INDEX($FO389:$IH389,SwaptionMonthsToGo+SwaptionShift))*SUM(INDEX($FO$325:$IH$396,HL$169,1+SwaptionShift):INDEX($FO$325:$IH$396,HL$169,SwaptionMonthsToGo+SwaptionShift))))))</f>
        <v/>
      </c>
      <c r="HM234" s="469" t="str">
        <f ca="1">IF(OR(HM$169&lt;SwaptionFirstMonthPosition+1,$FN234&lt;SwaptionFirstMonthPosition+1,HM$169&gt;SwaptionFirstMonthPosition+SwaptionNumOfMonths+1,$FN234&gt;SwaptionFirstMonthPosition+SwaptionNumOfMonths+1),"",IF($FN234=HM$169,1,IF($FN234&lt;HM$169,INDEX($FO$170:$IH$241,HM$169,$FN234),SUMPRODUCT(INDEX($FO$325:$IH$396,HM$169,1+SwaptionShift):INDEX($FO$325:$IH$396,HM$169,SwaptionMonthsToGo+SwaptionShift),INDEX($FO$245:$IH$316,$FN234-HM$169,73-HM$169+SwaptionShift):INDEX($FO$245:$IH$316,$FN234-HM$169,72-HM$169+SwaptionMonthsToGo+SwaptionShift))/SQRT(SUM(INDEX($FO389:$IH389,1+SwaptionShift):INDEX($FO389:$IH389,SwaptionMonthsToGo+SwaptionShift))*SUM(INDEX($FO$325:$IH$396,HM$169,1+SwaptionShift):INDEX($FO$325:$IH$396,HM$169,SwaptionMonthsToGo+SwaptionShift))))))</f>
        <v/>
      </c>
      <c r="HN234" s="469" t="str">
        <f ca="1">IF(OR(HN$169&lt;SwaptionFirstMonthPosition+1,$FN234&lt;SwaptionFirstMonthPosition+1,HN$169&gt;SwaptionFirstMonthPosition+SwaptionNumOfMonths+1,$FN234&gt;SwaptionFirstMonthPosition+SwaptionNumOfMonths+1),"",IF($FN234=HN$169,1,IF($FN234&lt;HN$169,INDEX($FO$170:$IH$241,HN$169,$FN234),SUMPRODUCT(INDEX($FO$325:$IH$396,HN$169,1+SwaptionShift):INDEX($FO$325:$IH$396,HN$169,SwaptionMonthsToGo+SwaptionShift),INDEX($FO$245:$IH$316,$FN234-HN$169,73-HN$169+SwaptionShift):INDEX($FO$245:$IH$316,$FN234-HN$169,72-HN$169+SwaptionMonthsToGo+SwaptionShift))/SQRT(SUM(INDEX($FO389:$IH389,1+SwaptionShift):INDEX($FO389:$IH389,SwaptionMonthsToGo+SwaptionShift))*SUM(INDEX($FO$325:$IH$396,HN$169,1+SwaptionShift):INDEX($FO$325:$IH$396,HN$169,SwaptionMonthsToGo+SwaptionShift))))))</f>
        <v/>
      </c>
      <c r="HO234" s="469" t="str">
        <f ca="1">IF(OR(HO$169&lt;SwaptionFirstMonthPosition+1,$FN234&lt;SwaptionFirstMonthPosition+1,HO$169&gt;SwaptionFirstMonthPosition+SwaptionNumOfMonths+1,$FN234&gt;SwaptionFirstMonthPosition+SwaptionNumOfMonths+1),"",IF($FN234=HO$169,1,IF($FN234&lt;HO$169,INDEX($FO$170:$IH$241,HO$169,$FN234),SUMPRODUCT(INDEX($FO$325:$IH$396,HO$169,1+SwaptionShift):INDEX($FO$325:$IH$396,HO$169,SwaptionMonthsToGo+SwaptionShift),INDEX($FO$245:$IH$316,$FN234-HO$169,73-HO$169+SwaptionShift):INDEX($FO$245:$IH$316,$FN234-HO$169,72-HO$169+SwaptionMonthsToGo+SwaptionShift))/SQRT(SUM(INDEX($FO389:$IH389,1+SwaptionShift):INDEX($FO389:$IH389,SwaptionMonthsToGo+SwaptionShift))*SUM(INDEX($FO$325:$IH$396,HO$169,1+SwaptionShift):INDEX($FO$325:$IH$396,HO$169,SwaptionMonthsToGo+SwaptionShift))))))</f>
        <v/>
      </c>
      <c r="HP234" s="469" t="str">
        <f ca="1">IF(OR(HP$169&lt;SwaptionFirstMonthPosition+1,$FN234&lt;SwaptionFirstMonthPosition+1,HP$169&gt;SwaptionFirstMonthPosition+SwaptionNumOfMonths+1,$FN234&gt;SwaptionFirstMonthPosition+SwaptionNumOfMonths+1),"",IF($FN234=HP$169,1,IF($FN234&lt;HP$169,INDEX($FO$170:$IH$241,HP$169,$FN234),SUMPRODUCT(INDEX($FO$325:$IH$396,HP$169,1+SwaptionShift):INDEX($FO$325:$IH$396,HP$169,SwaptionMonthsToGo+SwaptionShift),INDEX($FO$245:$IH$316,$FN234-HP$169,73-HP$169+SwaptionShift):INDEX($FO$245:$IH$316,$FN234-HP$169,72-HP$169+SwaptionMonthsToGo+SwaptionShift))/SQRT(SUM(INDEX($FO389:$IH389,1+SwaptionShift):INDEX($FO389:$IH389,SwaptionMonthsToGo+SwaptionShift))*SUM(INDEX($FO$325:$IH$396,HP$169,1+SwaptionShift):INDEX($FO$325:$IH$396,HP$169,SwaptionMonthsToGo+SwaptionShift))))))</f>
        <v/>
      </c>
      <c r="HQ234" s="469" t="str">
        <f ca="1">IF(OR(HQ$169&lt;SwaptionFirstMonthPosition+1,$FN234&lt;SwaptionFirstMonthPosition+1,HQ$169&gt;SwaptionFirstMonthPosition+SwaptionNumOfMonths+1,$FN234&gt;SwaptionFirstMonthPosition+SwaptionNumOfMonths+1),"",IF($FN234=HQ$169,1,IF($FN234&lt;HQ$169,INDEX($FO$170:$IH$241,HQ$169,$FN234),SUMPRODUCT(INDEX($FO$325:$IH$396,HQ$169,1+SwaptionShift):INDEX($FO$325:$IH$396,HQ$169,SwaptionMonthsToGo+SwaptionShift),INDEX($FO$245:$IH$316,$FN234-HQ$169,73-HQ$169+SwaptionShift):INDEX($FO$245:$IH$316,$FN234-HQ$169,72-HQ$169+SwaptionMonthsToGo+SwaptionShift))/SQRT(SUM(INDEX($FO389:$IH389,1+SwaptionShift):INDEX($FO389:$IH389,SwaptionMonthsToGo+SwaptionShift))*SUM(INDEX($FO$325:$IH$396,HQ$169,1+SwaptionShift):INDEX($FO$325:$IH$396,HQ$169,SwaptionMonthsToGo+SwaptionShift))))))</f>
        <v/>
      </c>
      <c r="HR234" s="469" t="str">
        <f ca="1">IF(OR(HR$169&lt;SwaptionFirstMonthPosition+1,$FN234&lt;SwaptionFirstMonthPosition+1,HR$169&gt;SwaptionFirstMonthPosition+SwaptionNumOfMonths+1,$FN234&gt;SwaptionFirstMonthPosition+SwaptionNumOfMonths+1),"",IF($FN234=HR$169,1,IF($FN234&lt;HR$169,INDEX($FO$170:$IH$241,HR$169,$FN234),SUMPRODUCT(INDEX($FO$325:$IH$396,HR$169,1+SwaptionShift):INDEX($FO$325:$IH$396,HR$169,SwaptionMonthsToGo+SwaptionShift),INDEX($FO$245:$IH$316,$FN234-HR$169,73-HR$169+SwaptionShift):INDEX($FO$245:$IH$316,$FN234-HR$169,72-HR$169+SwaptionMonthsToGo+SwaptionShift))/SQRT(SUM(INDEX($FO389:$IH389,1+SwaptionShift):INDEX($FO389:$IH389,SwaptionMonthsToGo+SwaptionShift))*SUM(INDEX($FO$325:$IH$396,HR$169,1+SwaptionShift):INDEX($FO$325:$IH$396,HR$169,SwaptionMonthsToGo+SwaptionShift))))))</f>
        <v/>
      </c>
      <c r="HS234" s="469" t="str">
        <f ca="1">IF(OR(HS$169&lt;SwaptionFirstMonthPosition+1,$FN234&lt;SwaptionFirstMonthPosition+1,HS$169&gt;SwaptionFirstMonthPosition+SwaptionNumOfMonths+1,$FN234&gt;SwaptionFirstMonthPosition+SwaptionNumOfMonths+1),"",IF($FN234=HS$169,1,IF($FN234&lt;HS$169,INDEX($FO$170:$IH$241,HS$169,$FN234),SUMPRODUCT(INDEX($FO$325:$IH$396,HS$169,1+SwaptionShift):INDEX($FO$325:$IH$396,HS$169,SwaptionMonthsToGo+SwaptionShift),INDEX($FO$245:$IH$316,$FN234-HS$169,73-HS$169+SwaptionShift):INDEX($FO$245:$IH$316,$FN234-HS$169,72-HS$169+SwaptionMonthsToGo+SwaptionShift))/SQRT(SUM(INDEX($FO389:$IH389,1+SwaptionShift):INDEX($FO389:$IH389,SwaptionMonthsToGo+SwaptionShift))*SUM(INDEX($FO$325:$IH$396,HS$169,1+SwaptionShift):INDEX($FO$325:$IH$396,HS$169,SwaptionMonthsToGo+SwaptionShift))))))</f>
        <v/>
      </c>
      <c r="HT234" s="469" t="str">
        <f ca="1">IF(OR(HT$169&lt;SwaptionFirstMonthPosition+1,$FN234&lt;SwaptionFirstMonthPosition+1,HT$169&gt;SwaptionFirstMonthPosition+SwaptionNumOfMonths+1,$FN234&gt;SwaptionFirstMonthPosition+SwaptionNumOfMonths+1),"",IF($FN234=HT$169,1,IF($FN234&lt;HT$169,INDEX($FO$170:$IH$241,HT$169,$FN234),SUMPRODUCT(INDEX($FO$325:$IH$396,HT$169,1+SwaptionShift):INDEX($FO$325:$IH$396,HT$169,SwaptionMonthsToGo+SwaptionShift),INDEX($FO$245:$IH$316,$FN234-HT$169,73-HT$169+SwaptionShift):INDEX($FO$245:$IH$316,$FN234-HT$169,72-HT$169+SwaptionMonthsToGo+SwaptionShift))/SQRT(SUM(INDEX($FO389:$IH389,1+SwaptionShift):INDEX($FO389:$IH389,SwaptionMonthsToGo+SwaptionShift))*SUM(INDEX($FO$325:$IH$396,HT$169,1+SwaptionShift):INDEX($FO$325:$IH$396,HT$169,SwaptionMonthsToGo+SwaptionShift))))))</f>
        <v/>
      </c>
      <c r="HU234" s="469" t="str">
        <f ca="1">IF(OR(HU$169&lt;SwaptionFirstMonthPosition+1,$FN234&lt;SwaptionFirstMonthPosition+1,HU$169&gt;SwaptionFirstMonthPosition+SwaptionNumOfMonths+1,$FN234&gt;SwaptionFirstMonthPosition+SwaptionNumOfMonths+1),"",IF($FN234=HU$169,1,IF($FN234&lt;HU$169,INDEX($FO$170:$IH$241,HU$169,$FN234),SUMPRODUCT(INDEX($FO$325:$IH$396,HU$169,1+SwaptionShift):INDEX($FO$325:$IH$396,HU$169,SwaptionMonthsToGo+SwaptionShift),INDEX($FO$245:$IH$316,$FN234-HU$169,73-HU$169+SwaptionShift):INDEX($FO$245:$IH$316,$FN234-HU$169,72-HU$169+SwaptionMonthsToGo+SwaptionShift))/SQRT(SUM(INDEX($FO389:$IH389,1+SwaptionShift):INDEX($FO389:$IH389,SwaptionMonthsToGo+SwaptionShift))*SUM(INDEX($FO$325:$IH$396,HU$169,1+SwaptionShift):INDEX($FO$325:$IH$396,HU$169,SwaptionMonthsToGo+SwaptionShift))))))</f>
        <v/>
      </c>
      <c r="HV234" s="469" t="str">
        <f ca="1">IF(OR(HV$169&lt;SwaptionFirstMonthPosition+1,$FN234&lt;SwaptionFirstMonthPosition+1,HV$169&gt;SwaptionFirstMonthPosition+SwaptionNumOfMonths+1,$FN234&gt;SwaptionFirstMonthPosition+SwaptionNumOfMonths+1),"",IF($FN234=HV$169,1,IF($FN234&lt;HV$169,INDEX($FO$170:$IH$241,HV$169,$FN234),SUMPRODUCT(INDEX($FO$325:$IH$396,HV$169,1+SwaptionShift):INDEX($FO$325:$IH$396,HV$169,SwaptionMonthsToGo+SwaptionShift),INDEX($FO$245:$IH$316,$FN234-HV$169,73-HV$169+SwaptionShift):INDEX($FO$245:$IH$316,$FN234-HV$169,72-HV$169+SwaptionMonthsToGo+SwaptionShift))/SQRT(SUM(INDEX($FO389:$IH389,1+SwaptionShift):INDEX($FO389:$IH389,SwaptionMonthsToGo+SwaptionShift))*SUM(INDEX($FO$325:$IH$396,HV$169,1+SwaptionShift):INDEX($FO$325:$IH$396,HV$169,SwaptionMonthsToGo+SwaptionShift))))))</f>
        <v/>
      </c>
      <c r="HW234" s="469" t="str">
        <f ca="1">IF(OR(HW$169&lt;SwaptionFirstMonthPosition+1,$FN234&lt;SwaptionFirstMonthPosition+1,HW$169&gt;SwaptionFirstMonthPosition+SwaptionNumOfMonths+1,$FN234&gt;SwaptionFirstMonthPosition+SwaptionNumOfMonths+1),"",IF($FN234=HW$169,1,IF($FN234&lt;HW$169,INDEX($FO$170:$IH$241,HW$169,$FN234),SUMPRODUCT(INDEX($FO$325:$IH$396,HW$169,1+SwaptionShift):INDEX($FO$325:$IH$396,HW$169,SwaptionMonthsToGo+SwaptionShift),INDEX($FO$245:$IH$316,$FN234-HW$169,73-HW$169+SwaptionShift):INDEX($FO$245:$IH$316,$FN234-HW$169,72-HW$169+SwaptionMonthsToGo+SwaptionShift))/SQRT(SUM(INDEX($FO389:$IH389,1+SwaptionShift):INDEX($FO389:$IH389,SwaptionMonthsToGo+SwaptionShift))*SUM(INDEX($FO$325:$IH$396,HW$169,1+SwaptionShift):INDEX($FO$325:$IH$396,HW$169,SwaptionMonthsToGo+SwaptionShift))))))</f>
        <v/>
      </c>
      <c r="HX234" s="469" t="str">
        <f ca="1">IF(OR(HX$169&lt;SwaptionFirstMonthPosition+1,$FN234&lt;SwaptionFirstMonthPosition+1,HX$169&gt;SwaptionFirstMonthPosition+SwaptionNumOfMonths+1,$FN234&gt;SwaptionFirstMonthPosition+SwaptionNumOfMonths+1),"",IF($FN234=HX$169,1,IF($FN234&lt;HX$169,INDEX($FO$170:$IH$241,HX$169,$FN234),SUMPRODUCT(INDEX($FO$325:$IH$396,HX$169,1+SwaptionShift):INDEX($FO$325:$IH$396,HX$169,SwaptionMonthsToGo+SwaptionShift),INDEX($FO$245:$IH$316,$FN234-HX$169,73-HX$169+SwaptionShift):INDEX($FO$245:$IH$316,$FN234-HX$169,72-HX$169+SwaptionMonthsToGo+SwaptionShift))/SQRT(SUM(INDEX($FO389:$IH389,1+SwaptionShift):INDEX($FO389:$IH389,SwaptionMonthsToGo+SwaptionShift))*SUM(INDEX($FO$325:$IH$396,HX$169,1+SwaptionShift):INDEX($FO$325:$IH$396,HX$169,SwaptionMonthsToGo+SwaptionShift))))))</f>
        <v/>
      </c>
      <c r="HY234" s="469" t="str">
        <f ca="1">IF(OR(HY$169&lt;SwaptionFirstMonthPosition+1,$FN234&lt;SwaptionFirstMonthPosition+1,HY$169&gt;SwaptionFirstMonthPosition+SwaptionNumOfMonths+1,$FN234&gt;SwaptionFirstMonthPosition+SwaptionNumOfMonths+1),"",IF($FN234=HY$169,1,IF($FN234&lt;HY$169,INDEX($FO$170:$IH$241,HY$169,$FN234),SUMPRODUCT(INDEX($FO$325:$IH$396,HY$169,1+SwaptionShift):INDEX($FO$325:$IH$396,HY$169,SwaptionMonthsToGo+SwaptionShift),INDEX($FO$245:$IH$316,$FN234-HY$169,73-HY$169+SwaptionShift):INDEX($FO$245:$IH$316,$FN234-HY$169,72-HY$169+SwaptionMonthsToGo+SwaptionShift))/SQRT(SUM(INDEX($FO389:$IH389,1+SwaptionShift):INDEX($FO389:$IH389,SwaptionMonthsToGo+SwaptionShift))*SUM(INDEX($FO$325:$IH$396,HY$169,1+SwaptionShift):INDEX($FO$325:$IH$396,HY$169,SwaptionMonthsToGo+SwaptionShift))))))</f>
        <v/>
      </c>
      <c r="HZ234" s="469" t="str">
        <f ca="1">IF(OR(HZ$169&lt;SwaptionFirstMonthPosition+1,$FN234&lt;SwaptionFirstMonthPosition+1,HZ$169&gt;SwaptionFirstMonthPosition+SwaptionNumOfMonths+1,$FN234&gt;SwaptionFirstMonthPosition+SwaptionNumOfMonths+1),"",IF($FN234=HZ$169,1,IF($FN234&lt;HZ$169,INDEX($FO$170:$IH$241,HZ$169,$FN234),SUMPRODUCT(INDEX($FO$325:$IH$396,HZ$169,1+SwaptionShift):INDEX($FO$325:$IH$396,HZ$169,SwaptionMonthsToGo+SwaptionShift),INDEX($FO$245:$IH$316,$FN234-HZ$169,73-HZ$169+SwaptionShift):INDEX($FO$245:$IH$316,$FN234-HZ$169,72-HZ$169+SwaptionMonthsToGo+SwaptionShift))/SQRT(SUM(INDEX($FO389:$IH389,1+SwaptionShift):INDEX($FO389:$IH389,SwaptionMonthsToGo+SwaptionShift))*SUM(INDEX($FO$325:$IH$396,HZ$169,1+SwaptionShift):INDEX($FO$325:$IH$396,HZ$169,SwaptionMonthsToGo+SwaptionShift))))))</f>
        <v/>
      </c>
      <c r="IA234" s="469" t="str">
        <f ca="1">IF(OR(IA$169&lt;SwaptionFirstMonthPosition+1,$FN234&lt;SwaptionFirstMonthPosition+1,IA$169&gt;SwaptionFirstMonthPosition+SwaptionNumOfMonths+1,$FN234&gt;SwaptionFirstMonthPosition+SwaptionNumOfMonths+1),"",IF($FN234=IA$169,1,IF($FN234&lt;IA$169,INDEX($FO$170:$IH$241,IA$169,$FN234),SUMPRODUCT(INDEX($FO$325:$IH$396,IA$169,1+SwaptionShift):INDEX($FO$325:$IH$396,IA$169,SwaptionMonthsToGo+SwaptionShift),INDEX($FO$245:$IH$316,$FN234-IA$169,73-IA$169+SwaptionShift):INDEX($FO$245:$IH$316,$FN234-IA$169,72-IA$169+SwaptionMonthsToGo+SwaptionShift))/SQRT(SUM(INDEX($FO389:$IH389,1+SwaptionShift):INDEX($FO389:$IH389,SwaptionMonthsToGo+SwaptionShift))*SUM(INDEX($FO$325:$IH$396,IA$169,1+SwaptionShift):INDEX($FO$325:$IH$396,IA$169,SwaptionMonthsToGo+SwaptionShift))))))</f>
        <v/>
      </c>
      <c r="IB234" s="469" t="str">
        <f ca="1">IF(OR(IB$169&lt;SwaptionFirstMonthPosition+1,$FN234&lt;SwaptionFirstMonthPosition+1,IB$169&gt;SwaptionFirstMonthPosition+SwaptionNumOfMonths+1,$FN234&gt;SwaptionFirstMonthPosition+SwaptionNumOfMonths+1),"",IF($FN234=IB$169,1,IF($FN234&lt;IB$169,INDEX($FO$170:$IH$241,IB$169,$FN234),SUMPRODUCT(INDEX($FO$325:$IH$396,IB$169,1+SwaptionShift):INDEX($FO$325:$IH$396,IB$169,SwaptionMonthsToGo+SwaptionShift),INDEX($FO$245:$IH$316,$FN234-IB$169,73-IB$169+SwaptionShift):INDEX($FO$245:$IH$316,$FN234-IB$169,72-IB$169+SwaptionMonthsToGo+SwaptionShift))/SQRT(SUM(INDEX($FO389:$IH389,1+SwaptionShift):INDEX($FO389:$IH389,SwaptionMonthsToGo+SwaptionShift))*SUM(INDEX($FO$325:$IH$396,IB$169,1+SwaptionShift):INDEX($FO$325:$IH$396,IB$169,SwaptionMonthsToGo+SwaptionShift))))))</f>
        <v/>
      </c>
      <c r="IC234" s="469" t="str">
        <f ca="1">IF(OR(IC$169&lt;SwaptionFirstMonthPosition+1,$FN234&lt;SwaptionFirstMonthPosition+1,IC$169&gt;SwaptionFirstMonthPosition+SwaptionNumOfMonths+1,$FN234&gt;SwaptionFirstMonthPosition+SwaptionNumOfMonths+1),"",IF($FN234=IC$169,1,IF($FN234&lt;IC$169,INDEX($FO$170:$IH$241,IC$169,$FN234),SUMPRODUCT(INDEX($FO$325:$IH$396,IC$169,1+SwaptionShift):INDEX($FO$325:$IH$396,IC$169,SwaptionMonthsToGo+SwaptionShift),INDEX($FO$245:$IH$316,$FN234-IC$169,73-IC$169+SwaptionShift):INDEX($FO$245:$IH$316,$FN234-IC$169,72-IC$169+SwaptionMonthsToGo+SwaptionShift))/SQRT(SUM(INDEX($FO389:$IH389,1+SwaptionShift):INDEX($FO389:$IH389,SwaptionMonthsToGo+SwaptionShift))*SUM(INDEX($FO$325:$IH$396,IC$169,1+SwaptionShift):INDEX($FO$325:$IH$396,IC$169,SwaptionMonthsToGo+SwaptionShift))))))</f>
        <v/>
      </c>
      <c r="ID234" s="469" t="str">
        <f ca="1">IF(OR(ID$169&lt;SwaptionFirstMonthPosition+1,$FN234&lt;SwaptionFirstMonthPosition+1,ID$169&gt;SwaptionFirstMonthPosition+SwaptionNumOfMonths+1,$FN234&gt;SwaptionFirstMonthPosition+SwaptionNumOfMonths+1),"",IF($FN234=ID$169,1,IF($FN234&lt;ID$169,INDEX($FO$170:$IH$241,ID$169,$FN234),SUMPRODUCT(INDEX($FO$325:$IH$396,ID$169,1+SwaptionShift):INDEX($FO$325:$IH$396,ID$169,SwaptionMonthsToGo+SwaptionShift),INDEX($FO$245:$IH$316,$FN234-ID$169,73-ID$169+SwaptionShift):INDEX($FO$245:$IH$316,$FN234-ID$169,72-ID$169+SwaptionMonthsToGo+SwaptionShift))/SQRT(SUM(INDEX($FO389:$IH389,1+SwaptionShift):INDEX($FO389:$IH389,SwaptionMonthsToGo+SwaptionShift))*SUM(INDEX($FO$325:$IH$396,ID$169,1+SwaptionShift):INDEX($FO$325:$IH$396,ID$169,SwaptionMonthsToGo+SwaptionShift))))))</f>
        <v/>
      </c>
      <c r="IE234" s="469" t="str">
        <f ca="1">IF(OR(IE$169&lt;SwaptionFirstMonthPosition+1,$FN234&lt;SwaptionFirstMonthPosition+1,IE$169&gt;SwaptionFirstMonthPosition+SwaptionNumOfMonths+1,$FN234&gt;SwaptionFirstMonthPosition+SwaptionNumOfMonths+1),"",IF($FN234=IE$169,1,IF($FN234&lt;IE$169,INDEX($FO$170:$IH$241,IE$169,$FN234),SUMPRODUCT(INDEX($FO$325:$IH$396,IE$169,1+SwaptionShift):INDEX($FO$325:$IH$396,IE$169,SwaptionMonthsToGo+SwaptionShift),INDEX($FO$245:$IH$316,$FN234-IE$169,73-IE$169+SwaptionShift):INDEX($FO$245:$IH$316,$FN234-IE$169,72-IE$169+SwaptionMonthsToGo+SwaptionShift))/SQRT(SUM(INDEX($FO389:$IH389,1+SwaptionShift):INDEX($FO389:$IH389,SwaptionMonthsToGo+SwaptionShift))*SUM(INDEX($FO$325:$IH$396,IE$169,1+SwaptionShift):INDEX($FO$325:$IH$396,IE$169,SwaptionMonthsToGo+SwaptionShift))))))</f>
        <v/>
      </c>
      <c r="IF234" s="469" t="str">
        <f ca="1">IF(OR(IF$169&lt;SwaptionFirstMonthPosition+1,$FN234&lt;SwaptionFirstMonthPosition+1,IF$169&gt;SwaptionFirstMonthPosition+SwaptionNumOfMonths+1,$FN234&gt;SwaptionFirstMonthPosition+SwaptionNumOfMonths+1),"",IF($FN234=IF$169,1,IF($FN234&lt;IF$169,INDEX($FO$170:$IH$241,IF$169,$FN234),SUMPRODUCT(INDEX($FO$325:$IH$396,IF$169,1+SwaptionShift):INDEX($FO$325:$IH$396,IF$169,SwaptionMonthsToGo+SwaptionShift),INDEX($FO$245:$IH$316,$FN234-IF$169,73-IF$169+SwaptionShift):INDEX($FO$245:$IH$316,$FN234-IF$169,72-IF$169+SwaptionMonthsToGo+SwaptionShift))/SQRT(SUM(INDEX($FO389:$IH389,1+SwaptionShift):INDEX($FO389:$IH389,SwaptionMonthsToGo+SwaptionShift))*SUM(INDEX($FO$325:$IH$396,IF$169,1+SwaptionShift):INDEX($FO$325:$IH$396,IF$169,SwaptionMonthsToGo+SwaptionShift))))))</f>
        <v/>
      </c>
      <c r="IG234" s="469" t="str">
        <f ca="1">IF(OR(IG$169&lt;SwaptionFirstMonthPosition+1,$FN234&lt;SwaptionFirstMonthPosition+1,IG$169&gt;SwaptionFirstMonthPosition+SwaptionNumOfMonths+1,$FN234&gt;SwaptionFirstMonthPosition+SwaptionNumOfMonths+1),"",IF($FN234=IG$169,1,IF($FN234&lt;IG$169,INDEX($FO$170:$IH$241,IG$169,$FN234),SUMPRODUCT(INDEX($FO$325:$IH$396,IG$169,1+SwaptionShift):INDEX($FO$325:$IH$396,IG$169,SwaptionMonthsToGo+SwaptionShift),INDEX($FO$245:$IH$316,$FN234-IG$169,73-IG$169+SwaptionShift):INDEX($FO$245:$IH$316,$FN234-IG$169,72-IG$169+SwaptionMonthsToGo+SwaptionShift))/SQRT(SUM(INDEX($FO389:$IH389,1+SwaptionShift):INDEX($FO389:$IH389,SwaptionMonthsToGo+SwaptionShift))*SUM(INDEX($FO$325:$IH$396,IG$169,1+SwaptionShift):INDEX($FO$325:$IH$396,IG$169,SwaptionMonthsToGo+SwaptionShift))))))</f>
        <v/>
      </c>
      <c r="IH234" s="662" t="str">
        <f ca="1">IF(OR(IH$169&lt;SwaptionFirstMonthPosition+1,$FN234&lt;SwaptionFirstMonthPosition+1,IH$169&gt;SwaptionFirstMonthPosition+SwaptionNumOfMonths+1,$FN234&gt;SwaptionFirstMonthPosition+SwaptionNumOfMonths+1),"",IF($FN234=IH$169,1,IF($FN234&lt;IH$169,INDEX($FO$170:$IH$241,IH$169,$FN234),SUMPRODUCT(INDEX($FO$325:$IH$396,IH$169,1+SwaptionShift):INDEX($FO$325:$IH$396,IH$169,SwaptionMonthsToGo+SwaptionShift),INDEX($FO$245:$IH$316,$FN234-IH$169,73-IH$169+SwaptionShift):INDEX($FO$245:$IH$316,$FN234-IH$169,72-IH$169+SwaptionMonthsToGo+SwaptionShift))/SQRT(SUM(INDEX($FO389:$IH389,1+SwaptionShift):INDEX($FO389:$IH389,SwaptionMonthsToGo+SwaptionShift))*SUM(INDEX($FO$325:$IH$396,IH$169,1+SwaptionShift):INDEX($FO$325:$IH$396,IH$169,SwaptionMonthsToGo+SwaptionShift))))))</f>
        <v/>
      </c>
      <c r="II234" s="242"/>
    </row>
    <row r="235" spans="8:243">
      <c r="H235" s="49" t="e">
        <f t="shared" ca="1" si="645"/>
        <v>#N/A</v>
      </c>
      <c r="I235" s="369">
        <f t="shared" si="646"/>
        <v>43556</v>
      </c>
      <c r="J235" s="367">
        <v>24.759999999999799</v>
      </c>
      <c r="K235" s="101" t="s">
        <v>267</v>
      </c>
      <c r="L235" s="382">
        <f t="shared" si="647"/>
        <v>24.759999999999824</v>
      </c>
      <c r="M235" s="163">
        <v>0.12510000000000002</v>
      </c>
      <c r="N235" s="372">
        <v>0</v>
      </c>
      <c r="O235" s="163">
        <f t="shared" si="595"/>
        <v>0.12510000000000002</v>
      </c>
      <c r="P235" s="367">
        <v>23.520746626545797</v>
      </c>
      <c r="Q235" s="101" t="s">
        <v>267</v>
      </c>
      <c r="R235" s="367">
        <f t="shared" ca="1" si="596"/>
        <v>23.520746626545805</v>
      </c>
      <c r="S235" s="814">
        <f t="shared" si="594"/>
        <v>0.34581971407645035</v>
      </c>
      <c r="T235" s="813">
        <f t="shared" si="660"/>
        <v>0.99999999998866074</v>
      </c>
      <c r="U235" s="532">
        <f t="shared" si="661"/>
        <v>0.99999999999999978</v>
      </c>
      <c r="V235" s="379">
        <v>0</v>
      </c>
      <c r="W235" s="424">
        <f t="shared" si="597"/>
        <v>24.792954545454339</v>
      </c>
      <c r="X235" s="405">
        <f t="shared" si="598"/>
        <v>24.792954545454368</v>
      </c>
      <c r="Y235" s="313">
        <f t="shared" si="599"/>
        <v>23.448954545454338</v>
      </c>
      <c r="Z235" s="313">
        <f t="shared" ca="1" si="600"/>
        <v>23.448954545454367</v>
      </c>
      <c r="AA235" s="419">
        <f t="shared" si="623"/>
        <v>1.3440000000000001</v>
      </c>
      <c r="AB235" s="423">
        <f t="shared" ca="1" si="624"/>
        <v>1.3440000000000001</v>
      </c>
      <c r="AC235" s="221">
        <v>43544</v>
      </c>
      <c r="AD235" s="221">
        <v>43540</v>
      </c>
      <c r="AE235" s="221">
        <v>43539</v>
      </c>
      <c r="AF235" s="221">
        <v>43535</v>
      </c>
      <c r="AG235" s="241" t="s">
        <v>497</v>
      </c>
      <c r="AH235" s="239" t="s">
        <v>497</v>
      </c>
      <c r="AI235" s="141">
        <v>22</v>
      </c>
      <c r="AJ235" s="41">
        <v>15</v>
      </c>
      <c r="AK235" s="41">
        <v>7</v>
      </c>
      <c r="AL235" s="285">
        <v>22</v>
      </c>
      <c r="AM235" s="41">
        <v>10</v>
      </c>
      <c r="AN235" s="142">
        <v>12</v>
      </c>
      <c r="AO235" s="364">
        <v>6.3548504116256704E-2</v>
      </c>
      <c r="AP235" s="145">
        <f t="shared" ca="1" si="648"/>
        <v>0.32316655076878253</v>
      </c>
      <c r="AQ235" s="364">
        <v>6.0040907751142604E-2</v>
      </c>
      <c r="AR235" s="145">
        <f t="shared" ca="1" si="662"/>
        <v>0.34615672280588672</v>
      </c>
      <c r="AS235" s="264">
        <f t="shared" si="601"/>
        <v>0.12457272727272728</v>
      </c>
      <c r="AT235" s="149">
        <f t="shared" si="649"/>
        <v>0.12510000000000002</v>
      </c>
      <c r="AU235" s="149">
        <f t="shared" si="625"/>
        <v>0.12448181818181818</v>
      </c>
      <c r="AV235" s="263">
        <f t="shared" ca="1" si="669"/>
        <v>0.12330358207798069</v>
      </c>
      <c r="AW235" s="150" t="str">
        <f t="shared" ca="1" si="581"/>
        <v/>
      </c>
      <c r="AX235" s="149">
        <f t="shared" ca="1" si="663"/>
        <v>3.1211447981956361E-3</v>
      </c>
      <c r="AY235" s="149">
        <f t="shared" ca="1" si="664"/>
        <v>9.3522233699754303E-4</v>
      </c>
      <c r="AZ235" s="149">
        <f t="shared" ca="1" si="665"/>
        <v>1.1940568322544255E-3</v>
      </c>
      <c r="BA235" s="149">
        <f t="shared" ca="1" si="666"/>
        <v>1.0000000000001166E-4</v>
      </c>
      <c r="BB235" s="149">
        <f t="shared" ca="1" si="667"/>
        <v>1.0000000000001166E-4</v>
      </c>
      <c r="BC235" s="149">
        <f t="shared" ca="1" si="668"/>
        <v>1.0000000000001166E-4</v>
      </c>
      <c r="BD235" s="143">
        <f t="shared" ca="1" si="602"/>
        <v>0</v>
      </c>
      <c r="BE235" s="144">
        <f t="shared" ca="1" si="603"/>
        <v>0</v>
      </c>
      <c r="BF235" s="40">
        <f t="shared" si="604"/>
        <v>2019</v>
      </c>
      <c r="BG235" s="139">
        <f t="shared" si="605"/>
        <v>4</v>
      </c>
      <c r="BH235" s="140">
        <f t="shared" ca="1" si="606"/>
        <v>6550</v>
      </c>
      <c r="BI235" s="304">
        <f t="shared" ca="1" si="607"/>
        <v>17.976728268309376</v>
      </c>
      <c r="BJ235" s="42">
        <f t="shared" ca="1" si="626"/>
        <v>18.03086304523676</v>
      </c>
      <c r="BK235" s="42">
        <f t="shared" ca="1" si="627"/>
        <v>18.033600896023891</v>
      </c>
      <c r="BL235" s="42">
        <f t="shared" ca="1" si="608"/>
        <v>18.056125941136209</v>
      </c>
      <c r="BM235" s="285">
        <f t="shared" si="609"/>
        <v>22</v>
      </c>
      <c r="BN235" s="41">
        <f t="shared" si="610"/>
        <v>15</v>
      </c>
      <c r="BO235" s="41">
        <f t="shared" si="611"/>
        <v>7</v>
      </c>
      <c r="BP235" s="297" t="str">
        <f t="shared" ca="1" si="628"/>
        <v/>
      </c>
      <c r="BQ235" s="297" t="str">
        <f t="shared" ca="1" si="629"/>
        <v/>
      </c>
      <c r="BR235" s="299" t="str">
        <f t="shared" ca="1" si="630"/>
        <v/>
      </c>
      <c r="BS235" s="153" t="str">
        <f t="shared" ca="1" si="631"/>
        <v/>
      </c>
      <c r="BT235" s="153" t="str">
        <f t="shared" ca="1" si="632"/>
        <v/>
      </c>
      <c r="BU235" s="300" t="str">
        <f t="shared" ca="1" si="633"/>
        <v/>
      </c>
      <c r="BV235" s="301" t="str">
        <f t="shared" ca="1" si="634"/>
        <v/>
      </c>
      <c r="BW235" s="300" t="str">
        <f t="shared" ca="1" si="635"/>
        <v/>
      </c>
      <c r="BX235" s="301" t="str">
        <f t="shared" ca="1" si="636"/>
        <v/>
      </c>
      <c r="BY235" s="146" t="str">
        <f t="shared" ca="1" si="637"/>
        <v/>
      </c>
      <c r="BZ235" s="146" t="str">
        <f t="shared" ca="1" si="638"/>
        <v/>
      </c>
      <c r="CA235" s="146" t="str">
        <f t="shared" ca="1" si="639"/>
        <v/>
      </c>
      <c r="CB235" s="146" t="str">
        <f t="shared" ca="1" si="640"/>
        <v/>
      </c>
      <c r="CC235" s="302">
        <v>1</v>
      </c>
      <c r="CD235" s="154">
        <f ca="1">IF(BD235,_xll.xCrudeAPO(BS235,BT235,BY235,BZ235,S236,S237,BI235,BL235,BN235,BO235,0,Strike1,AO235,CC235,0,BL235,IF(OptControl=4,0,1),0,1),0)</f>
        <v>0</v>
      </c>
      <c r="CE235" s="155">
        <f ca="1">IF(BD235,_xll.xCrudeAPO(BS235,BT235,BY235,BZ235,S236,S237,BI235,BL235,BN235,BO235,0,Strike1,AO235,CC235,0,BL235,IF(OptControl=4,0,1),1,1)+_xll.xCrudeAPO(BS235,BT235,BY235,BZ235,S236,S237,BI235,BL235,BN235,BO235,0,Strike1,AO235,CC235,0,BL235,IF(OptControl=4,0,1),1,2)+IF(OR(VolSkewFlag=2,ABS(BQ235)&lt;0.0001),0,IF(BQ235&gt;0,-1,1)*CF235*Strike1/BP235^2*BW235/10%),0)</f>
        <v>0</v>
      </c>
      <c r="CF235" s="155">
        <f ca="1">IF(BD235,(_xll.xCrudeAPO(BS235,BT235,BY235,BZ235,S236,S237,BI235,BL235,BN235,BO235,0,Strike1,AO235,CC235,0,BL235,IF(OptControl=4,0,1),3,1)+_xll.xCrudeAPO(BS235,BT235,BY235,BZ235,S236,S237,BI235,BL235,BN235,BO235,0,Strike1,AO235,CC235,0,BL235,IF(OptControl=4,0,1),3,2))/100,0)</f>
        <v>0</v>
      </c>
      <c r="CG235" s="155">
        <f ca="1">IF(BD235,_xll.xCrudeAPO(BS235,BT235,BY235,BZ235,S236,S237,BI235-DaysForThetaCalculation/365.25,BL235-DaysForThetaCalculation/365.25,BN235,BO235,0,Strike1,AO235,CC235,0,BL235,IF(OptControl=4,0,1),0,1)-_xll.xCrudeAPO(BS235,BT235,BY235,BZ235,S236,S237,BI235,BL235,BN235,BO235,0,Strike1,AO235,CC235,0,BL235,IF(OptControl=4,0,1),0,1),0)</f>
        <v>0</v>
      </c>
      <c r="CH235" s="303">
        <f ca="1">IF(BD235,_xll.xCrudeAPO(BS235,BT235,CA235,CB235,S236,S237,BI235,BL235,BN235,BO235,0,Strike2,AO235,CC235,0,BL235,IF(OptControl=3,1,0),0,1),0)</f>
        <v>0</v>
      </c>
      <c r="CI235" s="155">
        <f ca="1">IF(BD235,_xll.xCrudeAPO(BS235,BT235,CA235,CB235,S236,S237,BI235,BL235,BN235,BO235,0,Strike2,AO235,CC235,0,BL235,IF(OptControl=3,1,0),1,1)+_xll.xCrudeAPO(BS235,BT235,CA235,CB235,S236,S237,BI235,BL235,BN235,BO235,0,Strike2,AO235,CC235,0,BL235,IF(OptControl=3,1,0),1,2)+IF(OR(VolSkewFlag=2,ABS(BR235)&lt;0.0001),0,IF(BR235&gt;0,-1,1)*CJ235*Strike2/BP235^2*BX235/10%),0)</f>
        <v>0</v>
      </c>
      <c r="CJ235" s="155">
        <f ca="1">IF(BD235,(_xll.xCrudeAPO(BS235,BT235,CA235,CB235,S236,S237,BI235,BL235,BN235,BO235,0,Strike2,AO235,CC235,0,BL235,IF(OptControl=3,1,0),3,1)+_xll.xCrudeAPO(BS235,BT235,CA235,CB235,S236,S237,BI235,BL235,BN235,BO235,0,Strike2,AO235,CC235,0,BL235,IF(OptControl=3,1,0),3,2))/100,0)</f>
        <v>0</v>
      </c>
      <c r="CK235" s="156">
        <f ca="1">IF(BD235,_xll.xCrudeAPO(BS235,BT235,CA235,CB235,S236,S237,BI235-DaysForThetaCalculation/365.25,BL235-DaysForThetaCalculation/365.25,BN235,BO235,0,Strike2,AO235,CC235,0,BL235,IF(OptControl=3,1,0),0,1)-_xll.xCrudeAPO(BS235,BT235,CA235,CB235,S236,S237,BI235,BL235,BN235,BO235,0,Strike2,AO235,CC235,0,BL235,IF(OptControl=3,1,0),0,1),0)</f>
        <v>0</v>
      </c>
      <c r="CL235" s="51"/>
      <c r="CM235" s="779" t="str">
        <f t="shared" ca="1" si="650"/>
        <v/>
      </c>
      <c r="CN235" s="783" t="str">
        <f t="shared" ca="1" si="651"/>
        <v/>
      </c>
      <c r="CO235" s="780" t="str">
        <f t="shared" ca="1" si="652"/>
        <v/>
      </c>
      <c r="CP235" s="780" t="str">
        <f t="shared" ca="1" si="653"/>
        <v/>
      </c>
      <c r="CQ235" s="780" t="str">
        <f t="shared" ca="1" si="654"/>
        <v/>
      </c>
      <c r="CR235" s="780" t="str">
        <f t="shared" ca="1" si="655"/>
        <v/>
      </c>
      <c r="CS235" s="781" t="str">
        <f t="shared" ca="1" si="656"/>
        <v/>
      </c>
      <c r="CT235" s="782" t="str">
        <f t="shared" ca="1" si="657"/>
        <v/>
      </c>
      <c r="CU235" s="782" t="str">
        <f t="shared" ca="1" si="658"/>
        <v/>
      </c>
      <c r="CV235" s="155">
        <f ca="1">IF(BD235,_xll.EURO(CN235,Strike1,AO235,AO235,CT235,CM235,IF(OptControl=4,0,1),0),0)</f>
        <v>0</v>
      </c>
      <c r="CW235" s="155">
        <f ca="1">IF(BD235,_xll.EURO(CN235,Strike1,AO235,AO235,CT235,CM235,IF(OptControl=4,0,1),1)+IF(OR(VolSkewFlag=2,ABS(CO235)&lt;0.0001),0,IF(CO235&gt;0,-1,1)*CX235*100*Strike1/CN235^2*CQ235/10%),0)</f>
        <v>0</v>
      </c>
      <c r="CX235" s="155">
        <f ca="1">IF(BD235,_xll.EURO(CN235,Strike1,AO235,AO235,CT235,CM235,IF(OptControl=4,0,1),3)/100,0)</f>
        <v>0</v>
      </c>
      <c r="CY235" s="155">
        <f ca="1">IF(BD235,_xll.EURO(CN235,Strike1,AO235,AO235,CT235,CM235,IF(OptControl=4,0,1),0)-_xll.EURO(CN235,Strike1,AO235,AO235,CT235,CM235-1,IF(OptControl=4,0,1),0),0)</f>
        <v>0</v>
      </c>
      <c r="CZ235" s="155">
        <f ca="1">IF(BD235,_xll.EURO(CN235,Strike2,AO235,AO235,CU235,CM235,IF(OptControl=3,1,0),0),0)</f>
        <v>0</v>
      </c>
      <c r="DA235" s="155">
        <f ca="1">IF(BD235,_xll.EURO(CN235,Strike2,AO235,AO235,CU235,CM235,IF(OptControl=3,1,0),1)+IF(OR(VolSkewFlag=2,ABS(CP235)&lt;0.0001),0,IF(CP235&gt;0,-1,1)*DB235*100*Strike2/CN235^2*CR235/10%),0)</f>
        <v>0</v>
      </c>
      <c r="DB235" s="155">
        <f ca="1">IF(BD235,_xll.EURO(CN235,Strike2,AO235,AO235,CU235,CM235,IF(OptControl=3,1,0),3)/100,0)</f>
        <v>0</v>
      </c>
      <c r="DC235" s="156">
        <f ca="1">IF(BD235,_xll.EURO(CN235,Strike2,AO235,AO235,CU235,CM235,IF(OptControl=3,1,0),0)-_xll.EURO(CN235,Strike2,AO235,AO235,CU235,CM235-1,IF(OptControl=3,1,0),0),0)</f>
        <v>0</v>
      </c>
      <c r="DE235" s="651">
        <f t="shared" ca="1" si="659"/>
        <v>43466</v>
      </c>
      <c r="DF235" s="465">
        <v>1E-4</v>
      </c>
      <c r="DG235" s="649">
        <v>1E-4</v>
      </c>
      <c r="DH235" s="650">
        <f t="shared" ca="1" si="612"/>
        <v>43466</v>
      </c>
      <c r="DI235" s="465">
        <v>1E-4</v>
      </c>
      <c r="DJ235" s="649">
        <v>1E-4</v>
      </c>
      <c r="DK235" s="651">
        <f t="shared" ca="1" si="613"/>
        <v>43466</v>
      </c>
      <c r="DL235" s="652">
        <f t="shared" si="614"/>
        <v>5.0100000000000006E-2</v>
      </c>
      <c r="DM235" s="651">
        <f t="shared" ca="1" si="615"/>
        <v>43466</v>
      </c>
      <c r="DN235" s="563">
        <f t="shared" si="616"/>
        <v>-0.12990000000000002</v>
      </c>
      <c r="DO235" s="803">
        <v>-0.13</v>
      </c>
      <c r="DP235" s="650">
        <f t="shared" ca="1" si="617"/>
        <v>43466</v>
      </c>
      <c r="DQ235" s="653">
        <v>1E-4</v>
      </c>
      <c r="DR235" s="590">
        <v>1E-4</v>
      </c>
      <c r="DS235" s="650">
        <f t="shared" ca="1" si="618"/>
        <v>43466</v>
      </c>
      <c r="DT235" s="653">
        <v>1E-4</v>
      </c>
      <c r="DU235" s="590">
        <v>1E-4</v>
      </c>
      <c r="DV235" s="651">
        <f t="shared" ca="1" si="619"/>
        <v>43466</v>
      </c>
      <c r="DW235" s="590">
        <v>1E-4</v>
      </c>
      <c r="DX235" s="651">
        <f t="shared" ca="1" si="620"/>
        <v>43466</v>
      </c>
      <c r="DY235" s="590">
        <f t="shared" si="621"/>
        <v>1E-4</v>
      </c>
      <c r="DZ235" s="1"/>
      <c r="EA235" s="857"/>
      <c r="EB235" s="857"/>
      <c r="EC235" s="857"/>
      <c r="ED235" s="868" t="e">
        <f t="shared" ca="1" si="670"/>
        <v>#NAME?</v>
      </c>
      <c r="EE235" s="863" t="e">
        <f t="shared" ca="1" si="641"/>
        <v>#NAME?</v>
      </c>
      <c r="EF235" s="590" t="e">
        <f t="shared" ca="1" si="642"/>
        <v>#NAME?</v>
      </c>
      <c r="EG235" s="862" t="str">
        <f t="shared" ca="1" si="622"/>
        <v/>
      </c>
      <c r="EH235" s="114" t="str">
        <f t="shared" ca="1" si="643"/>
        <v/>
      </c>
      <c r="EI235" s="109" t="str">
        <f t="shared" ca="1" si="644"/>
        <v/>
      </c>
      <c r="EJ235" s="115">
        <f ca="1">IF(BD235,_xll.xASN(BP235,Strike1,AO235,EH235,0,BM235,0,BI235,BL235,IF(OptControl=4,0,1),0),0)</f>
        <v>0</v>
      </c>
      <c r="EK235" s="108">
        <f ca="1">IF(BD235,_xll.xASN(BP235,Strike2,AO235,EI235,0,BM235,0,BI235,BL235,IF(OptControl=3,1,0),0),0)</f>
        <v>0</v>
      </c>
      <c r="EP235" s="53"/>
      <c r="EQ235" s="1"/>
      <c r="ER235" s="103"/>
      <c r="ES235" s="103"/>
      <c r="ET235" s="1"/>
      <c r="EU235" s="667" t="s">
        <v>448</v>
      </c>
      <c r="EW235" s="53"/>
      <c r="EY235" s="104"/>
      <c r="FN235" s="657">
        <v>66</v>
      </c>
      <c r="FO235" s="469" t="str">
        <f ca="1">IF(OR(FO$169&lt;SwaptionFirstMonthPosition+1,$FN235&lt;SwaptionFirstMonthPosition+1,FO$169&gt;SwaptionFirstMonthPosition+SwaptionNumOfMonths+1,$FN235&gt;SwaptionFirstMonthPosition+SwaptionNumOfMonths+1),"",IF($FN235=FO$169,1,IF($FN235&lt;FO$169,INDEX($FO$170:$IH$241,FO$169,$FN235),SUMPRODUCT(INDEX($FO$325:$IH$396,FO$169,1+SwaptionShift):INDEX($FO$325:$IH$396,FO$169,SwaptionMonthsToGo+SwaptionShift),INDEX($FO$245:$IH$316,$FN235-FO$169,73-FO$169+SwaptionShift):INDEX($FO$245:$IH$316,$FN235-FO$169,72-FO$169+SwaptionMonthsToGo+SwaptionShift))/SQRT(SUM(INDEX($FO390:$IH390,1+SwaptionShift):INDEX($FO390:$IH390,SwaptionMonthsToGo+SwaptionShift))*SUM(INDEX($FO$325:$IH$396,FO$169,1+SwaptionShift):INDEX($FO$325:$IH$396,FO$169,SwaptionMonthsToGo+SwaptionShift))))))</f>
        <v/>
      </c>
      <c r="FP235" s="469" t="str">
        <f ca="1">IF(OR(FP$169&lt;SwaptionFirstMonthPosition+1,$FN235&lt;SwaptionFirstMonthPosition+1,FP$169&gt;SwaptionFirstMonthPosition+SwaptionNumOfMonths+1,$FN235&gt;SwaptionFirstMonthPosition+SwaptionNumOfMonths+1),"",IF($FN235=FP$169,1,IF($FN235&lt;FP$169,INDEX($FO$170:$IH$241,FP$169,$FN235),SUMPRODUCT(INDEX($FO$325:$IH$396,FP$169,1+SwaptionShift):INDEX($FO$325:$IH$396,FP$169,SwaptionMonthsToGo+SwaptionShift),INDEX($FO$245:$IH$316,$FN235-FP$169,73-FP$169+SwaptionShift):INDEX($FO$245:$IH$316,$FN235-FP$169,72-FP$169+SwaptionMonthsToGo+SwaptionShift))/SQRT(SUM(INDEX($FO390:$IH390,1+SwaptionShift):INDEX($FO390:$IH390,SwaptionMonthsToGo+SwaptionShift))*SUM(INDEX($FO$325:$IH$396,FP$169,1+SwaptionShift):INDEX($FO$325:$IH$396,FP$169,SwaptionMonthsToGo+SwaptionShift))))))</f>
        <v/>
      </c>
      <c r="FQ235" s="469" t="str">
        <f ca="1">IF(OR(FQ$169&lt;SwaptionFirstMonthPosition+1,$FN235&lt;SwaptionFirstMonthPosition+1,FQ$169&gt;SwaptionFirstMonthPosition+SwaptionNumOfMonths+1,$FN235&gt;SwaptionFirstMonthPosition+SwaptionNumOfMonths+1),"",IF($FN235=FQ$169,1,IF($FN235&lt;FQ$169,INDEX($FO$170:$IH$241,FQ$169,$FN235),SUMPRODUCT(INDEX($FO$325:$IH$396,FQ$169,1+SwaptionShift):INDEX($FO$325:$IH$396,FQ$169,SwaptionMonthsToGo+SwaptionShift),INDEX($FO$245:$IH$316,$FN235-FQ$169,73-FQ$169+SwaptionShift):INDEX($FO$245:$IH$316,$FN235-FQ$169,72-FQ$169+SwaptionMonthsToGo+SwaptionShift))/SQRT(SUM(INDEX($FO390:$IH390,1+SwaptionShift):INDEX($FO390:$IH390,SwaptionMonthsToGo+SwaptionShift))*SUM(INDEX($FO$325:$IH$396,FQ$169,1+SwaptionShift):INDEX($FO$325:$IH$396,FQ$169,SwaptionMonthsToGo+SwaptionShift))))))</f>
        <v/>
      </c>
      <c r="FR235" s="469" t="str">
        <f ca="1">IF(OR(FR$169&lt;SwaptionFirstMonthPosition+1,$FN235&lt;SwaptionFirstMonthPosition+1,FR$169&gt;SwaptionFirstMonthPosition+SwaptionNumOfMonths+1,$FN235&gt;SwaptionFirstMonthPosition+SwaptionNumOfMonths+1),"",IF($FN235=FR$169,1,IF($FN235&lt;FR$169,INDEX($FO$170:$IH$241,FR$169,$FN235),SUMPRODUCT(INDEX($FO$325:$IH$396,FR$169,1+SwaptionShift):INDEX($FO$325:$IH$396,FR$169,SwaptionMonthsToGo+SwaptionShift),INDEX($FO$245:$IH$316,$FN235-FR$169,73-FR$169+SwaptionShift):INDEX($FO$245:$IH$316,$FN235-FR$169,72-FR$169+SwaptionMonthsToGo+SwaptionShift))/SQRT(SUM(INDEX($FO390:$IH390,1+SwaptionShift):INDEX($FO390:$IH390,SwaptionMonthsToGo+SwaptionShift))*SUM(INDEX($FO$325:$IH$396,FR$169,1+SwaptionShift):INDEX($FO$325:$IH$396,FR$169,SwaptionMonthsToGo+SwaptionShift))))))</f>
        <v/>
      </c>
      <c r="FS235" s="469" t="str">
        <f ca="1">IF(OR(FS$169&lt;SwaptionFirstMonthPosition+1,$FN235&lt;SwaptionFirstMonthPosition+1,FS$169&gt;SwaptionFirstMonthPosition+SwaptionNumOfMonths+1,$FN235&gt;SwaptionFirstMonthPosition+SwaptionNumOfMonths+1),"",IF($FN235=FS$169,1,IF($FN235&lt;FS$169,INDEX($FO$170:$IH$241,FS$169,$FN235),SUMPRODUCT(INDEX($FO$325:$IH$396,FS$169,1+SwaptionShift):INDEX($FO$325:$IH$396,FS$169,SwaptionMonthsToGo+SwaptionShift),INDEX($FO$245:$IH$316,$FN235-FS$169,73-FS$169+SwaptionShift):INDEX($FO$245:$IH$316,$FN235-FS$169,72-FS$169+SwaptionMonthsToGo+SwaptionShift))/SQRT(SUM(INDEX($FO390:$IH390,1+SwaptionShift):INDEX($FO390:$IH390,SwaptionMonthsToGo+SwaptionShift))*SUM(INDEX($FO$325:$IH$396,FS$169,1+SwaptionShift):INDEX($FO$325:$IH$396,FS$169,SwaptionMonthsToGo+SwaptionShift))))))</f>
        <v/>
      </c>
      <c r="FT235" s="469" t="str">
        <f ca="1">IF(OR(FT$169&lt;SwaptionFirstMonthPosition+1,$FN235&lt;SwaptionFirstMonthPosition+1,FT$169&gt;SwaptionFirstMonthPosition+SwaptionNumOfMonths+1,$FN235&gt;SwaptionFirstMonthPosition+SwaptionNumOfMonths+1),"",IF($FN235=FT$169,1,IF($FN235&lt;FT$169,INDEX($FO$170:$IH$241,FT$169,$FN235),SUMPRODUCT(INDEX($FO$325:$IH$396,FT$169,1+SwaptionShift):INDEX($FO$325:$IH$396,FT$169,SwaptionMonthsToGo+SwaptionShift),INDEX($FO$245:$IH$316,$FN235-FT$169,73-FT$169+SwaptionShift):INDEX($FO$245:$IH$316,$FN235-FT$169,72-FT$169+SwaptionMonthsToGo+SwaptionShift))/SQRT(SUM(INDEX($FO390:$IH390,1+SwaptionShift):INDEX($FO390:$IH390,SwaptionMonthsToGo+SwaptionShift))*SUM(INDEX($FO$325:$IH$396,FT$169,1+SwaptionShift):INDEX($FO$325:$IH$396,FT$169,SwaptionMonthsToGo+SwaptionShift))))))</f>
        <v/>
      </c>
      <c r="FU235" s="469" t="str">
        <f ca="1">IF(OR(FU$169&lt;SwaptionFirstMonthPosition+1,$FN235&lt;SwaptionFirstMonthPosition+1,FU$169&gt;SwaptionFirstMonthPosition+SwaptionNumOfMonths+1,$FN235&gt;SwaptionFirstMonthPosition+SwaptionNumOfMonths+1),"",IF($FN235=FU$169,1,IF($FN235&lt;FU$169,INDEX($FO$170:$IH$241,FU$169,$FN235),SUMPRODUCT(INDEX($FO$325:$IH$396,FU$169,1+SwaptionShift):INDEX($FO$325:$IH$396,FU$169,SwaptionMonthsToGo+SwaptionShift),INDEX($FO$245:$IH$316,$FN235-FU$169,73-FU$169+SwaptionShift):INDEX($FO$245:$IH$316,$FN235-FU$169,72-FU$169+SwaptionMonthsToGo+SwaptionShift))/SQRT(SUM(INDEX($FO390:$IH390,1+SwaptionShift):INDEX($FO390:$IH390,SwaptionMonthsToGo+SwaptionShift))*SUM(INDEX($FO$325:$IH$396,FU$169,1+SwaptionShift):INDEX($FO$325:$IH$396,FU$169,SwaptionMonthsToGo+SwaptionShift))))))</f>
        <v/>
      </c>
      <c r="FV235" s="469" t="str">
        <f ca="1">IF(OR(FV$169&lt;SwaptionFirstMonthPosition+1,$FN235&lt;SwaptionFirstMonthPosition+1,FV$169&gt;SwaptionFirstMonthPosition+SwaptionNumOfMonths+1,$FN235&gt;SwaptionFirstMonthPosition+SwaptionNumOfMonths+1),"",IF($FN235=FV$169,1,IF($FN235&lt;FV$169,INDEX($FO$170:$IH$241,FV$169,$FN235),SUMPRODUCT(INDEX($FO$325:$IH$396,FV$169,1+SwaptionShift):INDEX($FO$325:$IH$396,FV$169,SwaptionMonthsToGo+SwaptionShift),INDEX($FO$245:$IH$316,$FN235-FV$169,73-FV$169+SwaptionShift):INDEX($FO$245:$IH$316,$FN235-FV$169,72-FV$169+SwaptionMonthsToGo+SwaptionShift))/SQRT(SUM(INDEX($FO390:$IH390,1+SwaptionShift):INDEX($FO390:$IH390,SwaptionMonthsToGo+SwaptionShift))*SUM(INDEX($FO$325:$IH$396,FV$169,1+SwaptionShift):INDEX($FO$325:$IH$396,FV$169,SwaptionMonthsToGo+SwaptionShift))))))</f>
        <v/>
      </c>
      <c r="FW235" s="469" t="str">
        <f ca="1">IF(OR(FW$169&lt;SwaptionFirstMonthPosition+1,$FN235&lt;SwaptionFirstMonthPosition+1,FW$169&gt;SwaptionFirstMonthPosition+SwaptionNumOfMonths+1,$FN235&gt;SwaptionFirstMonthPosition+SwaptionNumOfMonths+1),"",IF($FN235=FW$169,1,IF($FN235&lt;FW$169,INDEX($FO$170:$IH$241,FW$169,$FN235),SUMPRODUCT(INDEX($FO$325:$IH$396,FW$169,1+SwaptionShift):INDEX($FO$325:$IH$396,FW$169,SwaptionMonthsToGo+SwaptionShift),INDEX($FO$245:$IH$316,$FN235-FW$169,73-FW$169+SwaptionShift):INDEX($FO$245:$IH$316,$FN235-FW$169,72-FW$169+SwaptionMonthsToGo+SwaptionShift))/SQRT(SUM(INDEX($FO390:$IH390,1+SwaptionShift):INDEX($FO390:$IH390,SwaptionMonthsToGo+SwaptionShift))*SUM(INDEX($FO$325:$IH$396,FW$169,1+SwaptionShift):INDEX($FO$325:$IH$396,FW$169,SwaptionMonthsToGo+SwaptionShift))))))</f>
        <v/>
      </c>
      <c r="FX235" s="469" t="str">
        <f ca="1">IF(OR(FX$169&lt;SwaptionFirstMonthPosition+1,$FN235&lt;SwaptionFirstMonthPosition+1,FX$169&gt;SwaptionFirstMonthPosition+SwaptionNumOfMonths+1,$FN235&gt;SwaptionFirstMonthPosition+SwaptionNumOfMonths+1),"",IF($FN235=FX$169,1,IF($FN235&lt;FX$169,INDEX($FO$170:$IH$241,FX$169,$FN235),SUMPRODUCT(INDEX($FO$325:$IH$396,FX$169,1+SwaptionShift):INDEX($FO$325:$IH$396,FX$169,SwaptionMonthsToGo+SwaptionShift),INDEX($FO$245:$IH$316,$FN235-FX$169,73-FX$169+SwaptionShift):INDEX($FO$245:$IH$316,$FN235-FX$169,72-FX$169+SwaptionMonthsToGo+SwaptionShift))/SQRT(SUM(INDEX($FO390:$IH390,1+SwaptionShift):INDEX($FO390:$IH390,SwaptionMonthsToGo+SwaptionShift))*SUM(INDEX($FO$325:$IH$396,FX$169,1+SwaptionShift):INDEX($FO$325:$IH$396,FX$169,SwaptionMonthsToGo+SwaptionShift))))))</f>
        <v/>
      </c>
      <c r="FY235" s="469" t="str">
        <f ca="1">IF(OR(FY$169&lt;SwaptionFirstMonthPosition+1,$FN235&lt;SwaptionFirstMonthPosition+1,FY$169&gt;SwaptionFirstMonthPosition+SwaptionNumOfMonths+1,$FN235&gt;SwaptionFirstMonthPosition+SwaptionNumOfMonths+1),"",IF($FN235=FY$169,1,IF($FN235&lt;FY$169,INDEX($FO$170:$IH$241,FY$169,$FN235),SUMPRODUCT(INDEX($FO$325:$IH$396,FY$169,1+SwaptionShift):INDEX($FO$325:$IH$396,FY$169,SwaptionMonthsToGo+SwaptionShift),INDEX($FO$245:$IH$316,$FN235-FY$169,73-FY$169+SwaptionShift):INDEX($FO$245:$IH$316,$FN235-FY$169,72-FY$169+SwaptionMonthsToGo+SwaptionShift))/SQRT(SUM(INDEX($FO390:$IH390,1+SwaptionShift):INDEX($FO390:$IH390,SwaptionMonthsToGo+SwaptionShift))*SUM(INDEX($FO$325:$IH$396,FY$169,1+SwaptionShift):INDEX($FO$325:$IH$396,FY$169,SwaptionMonthsToGo+SwaptionShift))))))</f>
        <v/>
      </c>
      <c r="FZ235" s="469" t="str">
        <f ca="1">IF(OR(FZ$169&lt;SwaptionFirstMonthPosition+1,$FN235&lt;SwaptionFirstMonthPosition+1,FZ$169&gt;SwaptionFirstMonthPosition+SwaptionNumOfMonths+1,$FN235&gt;SwaptionFirstMonthPosition+SwaptionNumOfMonths+1),"",IF($FN235=FZ$169,1,IF($FN235&lt;FZ$169,INDEX($FO$170:$IH$241,FZ$169,$FN235),SUMPRODUCT(INDEX($FO$325:$IH$396,FZ$169,1+SwaptionShift):INDEX($FO$325:$IH$396,FZ$169,SwaptionMonthsToGo+SwaptionShift),INDEX($FO$245:$IH$316,$FN235-FZ$169,73-FZ$169+SwaptionShift):INDEX($FO$245:$IH$316,$FN235-FZ$169,72-FZ$169+SwaptionMonthsToGo+SwaptionShift))/SQRT(SUM(INDEX($FO390:$IH390,1+SwaptionShift):INDEX($FO390:$IH390,SwaptionMonthsToGo+SwaptionShift))*SUM(INDEX($FO$325:$IH$396,FZ$169,1+SwaptionShift):INDEX($FO$325:$IH$396,FZ$169,SwaptionMonthsToGo+SwaptionShift))))))</f>
        <v/>
      </c>
      <c r="GA235" s="469" t="str">
        <f ca="1">IF(OR(GA$169&lt;SwaptionFirstMonthPosition+1,$FN235&lt;SwaptionFirstMonthPosition+1,GA$169&gt;SwaptionFirstMonthPosition+SwaptionNumOfMonths+1,$FN235&gt;SwaptionFirstMonthPosition+SwaptionNumOfMonths+1),"",IF($FN235=GA$169,1,IF($FN235&lt;GA$169,INDEX($FO$170:$IH$241,GA$169,$FN235),SUMPRODUCT(INDEX($FO$325:$IH$396,GA$169,1+SwaptionShift):INDEX($FO$325:$IH$396,GA$169,SwaptionMonthsToGo+SwaptionShift),INDEX($FO$245:$IH$316,$FN235-GA$169,73-GA$169+SwaptionShift):INDEX($FO$245:$IH$316,$FN235-GA$169,72-GA$169+SwaptionMonthsToGo+SwaptionShift))/SQRT(SUM(INDEX($FO390:$IH390,1+SwaptionShift):INDEX($FO390:$IH390,SwaptionMonthsToGo+SwaptionShift))*SUM(INDEX($FO$325:$IH$396,GA$169,1+SwaptionShift):INDEX($FO$325:$IH$396,GA$169,SwaptionMonthsToGo+SwaptionShift))))))</f>
        <v/>
      </c>
      <c r="GB235" s="469" t="str">
        <f ca="1">IF(OR(GB$169&lt;SwaptionFirstMonthPosition+1,$FN235&lt;SwaptionFirstMonthPosition+1,GB$169&gt;SwaptionFirstMonthPosition+SwaptionNumOfMonths+1,$FN235&gt;SwaptionFirstMonthPosition+SwaptionNumOfMonths+1),"",IF($FN235=GB$169,1,IF($FN235&lt;GB$169,INDEX($FO$170:$IH$241,GB$169,$FN235),SUMPRODUCT(INDEX($FO$325:$IH$396,GB$169,1+SwaptionShift):INDEX($FO$325:$IH$396,GB$169,SwaptionMonthsToGo+SwaptionShift),INDEX($FO$245:$IH$316,$FN235-GB$169,73-GB$169+SwaptionShift):INDEX($FO$245:$IH$316,$FN235-GB$169,72-GB$169+SwaptionMonthsToGo+SwaptionShift))/SQRT(SUM(INDEX($FO390:$IH390,1+SwaptionShift):INDEX($FO390:$IH390,SwaptionMonthsToGo+SwaptionShift))*SUM(INDEX($FO$325:$IH$396,GB$169,1+SwaptionShift):INDEX($FO$325:$IH$396,GB$169,SwaptionMonthsToGo+SwaptionShift))))))</f>
        <v/>
      </c>
      <c r="GC235" s="469" t="str">
        <f ca="1">IF(OR(GC$169&lt;SwaptionFirstMonthPosition+1,$FN235&lt;SwaptionFirstMonthPosition+1,GC$169&gt;SwaptionFirstMonthPosition+SwaptionNumOfMonths+1,$FN235&gt;SwaptionFirstMonthPosition+SwaptionNumOfMonths+1),"",IF($FN235=GC$169,1,IF($FN235&lt;GC$169,INDEX($FO$170:$IH$241,GC$169,$FN235),SUMPRODUCT(INDEX($FO$325:$IH$396,GC$169,1+SwaptionShift):INDEX($FO$325:$IH$396,GC$169,SwaptionMonthsToGo+SwaptionShift),INDEX($FO$245:$IH$316,$FN235-GC$169,73-GC$169+SwaptionShift):INDEX($FO$245:$IH$316,$FN235-GC$169,72-GC$169+SwaptionMonthsToGo+SwaptionShift))/SQRT(SUM(INDEX($FO390:$IH390,1+SwaptionShift):INDEX($FO390:$IH390,SwaptionMonthsToGo+SwaptionShift))*SUM(INDEX($FO$325:$IH$396,GC$169,1+SwaptionShift):INDEX($FO$325:$IH$396,GC$169,SwaptionMonthsToGo+SwaptionShift))))))</f>
        <v/>
      </c>
      <c r="GD235" s="469" t="str">
        <f ca="1">IF(OR(GD$169&lt;SwaptionFirstMonthPosition+1,$FN235&lt;SwaptionFirstMonthPosition+1,GD$169&gt;SwaptionFirstMonthPosition+SwaptionNumOfMonths+1,$FN235&gt;SwaptionFirstMonthPosition+SwaptionNumOfMonths+1),"",IF($FN235=GD$169,1,IF($FN235&lt;GD$169,INDEX($FO$170:$IH$241,GD$169,$FN235),SUMPRODUCT(INDEX($FO$325:$IH$396,GD$169,1+SwaptionShift):INDEX($FO$325:$IH$396,GD$169,SwaptionMonthsToGo+SwaptionShift),INDEX($FO$245:$IH$316,$FN235-GD$169,73-GD$169+SwaptionShift):INDEX($FO$245:$IH$316,$FN235-GD$169,72-GD$169+SwaptionMonthsToGo+SwaptionShift))/SQRT(SUM(INDEX($FO390:$IH390,1+SwaptionShift):INDEX($FO390:$IH390,SwaptionMonthsToGo+SwaptionShift))*SUM(INDEX($FO$325:$IH$396,GD$169,1+SwaptionShift):INDEX($FO$325:$IH$396,GD$169,SwaptionMonthsToGo+SwaptionShift))))))</f>
        <v/>
      </c>
      <c r="GE235" s="469" t="str">
        <f ca="1">IF(OR(GE$169&lt;SwaptionFirstMonthPosition+1,$FN235&lt;SwaptionFirstMonthPosition+1,GE$169&gt;SwaptionFirstMonthPosition+SwaptionNumOfMonths+1,$FN235&gt;SwaptionFirstMonthPosition+SwaptionNumOfMonths+1),"",IF($FN235=GE$169,1,IF($FN235&lt;GE$169,INDEX($FO$170:$IH$241,GE$169,$FN235),SUMPRODUCT(INDEX($FO$325:$IH$396,GE$169,1+SwaptionShift):INDEX($FO$325:$IH$396,GE$169,SwaptionMonthsToGo+SwaptionShift),INDEX($FO$245:$IH$316,$FN235-GE$169,73-GE$169+SwaptionShift):INDEX($FO$245:$IH$316,$FN235-GE$169,72-GE$169+SwaptionMonthsToGo+SwaptionShift))/SQRT(SUM(INDEX($FO390:$IH390,1+SwaptionShift):INDEX($FO390:$IH390,SwaptionMonthsToGo+SwaptionShift))*SUM(INDEX($FO$325:$IH$396,GE$169,1+SwaptionShift):INDEX($FO$325:$IH$396,GE$169,SwaptionMonthsToGo+SwaptionShift))))))</f>
        <v/>
      </c>
      <c r="GF235" s="469" t="str">
        <f ca="1">IF(OR(GF$169&lt;SwaptionFirstMonthPosition+1,$FN235&lt;SwaptionFirstMonthPosition+1,GF$169&gt;SwaptionFirstMonthPosition+SwaptionNumOfMonths+1,$FN235&gt;SwaptionFirstMonthPosition+SwaptionNumOfMonths+1),"",IF($FN235=GF$169,1,IF($FN235&lt;GF$169,INDEX($FO$170:$IH$241,GF$169,$FN235),SUMPRODUCT(INDEX($FO$325:$IH$396,GF$169,1+SwaptionShift):INDEX($FO$325:$IH$396,GF$169,SwaptionMonthsToGo+SwaptionShift),INDEX($FO$245:$IH$316,$FN235-GF$169,73-GF$169+SwaptionShift):INDEX($FO$245:$IH$316,$FN235-GF$169,72-GF$169+SwaptionMonthsToGo+SwaptionShift))/SQRT(SUM(INDEX($FO390:$IH390,1+SwaptionShift):INDEX($FO390:$IH390,SwaptionMonthsToGo+SwaptionShift))*SUM(INDEX($FO$325:$IH$396,GF$169,1+SwaptionShift):INDEX($FO$325:$IH$396,GF$169,SwaptionMonthsToGo+SwaptionShift))))))</f>
        <v/>
      </c>
      <c r="GG235" s="469" t="str">
        <f ca="1">IF(OR(GG$169&lt;SwaptionFirstMonthPosition+1,$FN235&lt;SwaptionFirstMonthPosition+1,GG$169&gt;SwaptionFirstMonthPosition+SwaptionNumOfMonths+1,$FN235&gt;SwaptionFirstMonthPosition+SwaptionNumOfMonths+1),"",IF($FN235=GG$169,1,IF($FN235&lt;GG$169,INDEX($FO$170:$IH$241,GG$169,$FN235),SUMPRODUCT(INDEX($FO$325:$IH$396,GG$169,1+SwaptionShift):INDEX($FO$325:$IH$396,GG$169,SwaptionMonthsToGo+SwaptionShift),INDEX($FO$245:$IH$316,$FN235-GG$169,73-GG$169+SwaptionShift):INDEX($FO$245:$IH$316,$FN235-GG$169,72-GG$169+SwaptionMonthsToGo+SwaptionShift))/SQRT(SUM(INDEX($FO390:$IH390,1+SwaptionShift):INDEX($FO390:$IH390,SwaptionMonthsToGo+SwaptionShift))*SUM(INDEX($FO$325:$IH$396,GG$169,1+SwaptionShift):INDEX($FO$325:$IH$396,GG$169,SwaptionMonthsToGo+SwaptionShift))))))</f>
        <v/>
      </c>
      <c r="GH235" s="469" t="str">
        <f ca="1">IF(OR(GH$169&lt;SwaptionFirstMonthPosition+1,$FN235&lt;SwaptionFirstMonthPosition+1,GH$169&gt;SwaptionFirstMonthPosition+SwaptionNumOfMonths+1,$FN235&gt;SwaptionFirstMonthPosition+SwaptionNumOfMonths+1),"",IF($FN235=GH$169,1,IF($FN235&lt;GH$169,INDEX($FO$170:$IH$241,GH$169,$FN235),SUMPRODUCT(INDEX($FO$325:$IH$396,GH$169,1+SwaptionShift):INDEX($FO$325:$IH$396,GH$169,SwaptionMonthsToGo+SwaptionShift),INDEX($FO$245:$IH$316,$FN235-GH$169,73-GH$169+SwaptionShift):INDEX($FO$245:$IH$316,$FN235-GH$169,72-GH$169+SwaptionMonthsToGo+SwaptionShift))/SQRT(SUM(INDEX($FO390:$IH390,1+SwaptionShift):INDEX($FO390:$IH390,SwaptionMonthsToGo+SwaptionShift))*SUM(INDEX($FO$325:$IH$396,GH$169,1+SwaptionShift):INDEX($FO$325:$IH$396,GH$169,SwaptionMonthsToGo+SwaptionShift))))))</f>
        <v/>
      </c>
      <c r="GI235" s="469" t="str">
        <f ca="1">IF(OR(GI$169&lt;SwaptionFirstMonthPosition+1,$FN235&lt;SwaptionFirstMonthPosition+1,GI$169&gt;SwaptionFirstMonthPosition+SwaptionNumOfMonths+1,$FN235&gt;SwaptionFirstMonthPosition+SwaptionNumOfMonths+1),"",IF($FN235=GI$169,1,IF($FN235&lt;GI$169,INDEX($FO$170:$IH$241,GI$169,$FN235),SUMPRODUCT(INDEX($FO$325:$IH$396,GI$169,1+SwaptionShift):INDEX($FO$325:$IH$396,GI$169,SwaptionMonthsToGo+SwaptionShift),INDEX($FO$245:$IH$316,$FN235-GI$169,73-GI$169+SwaptionShift):INDEX($FO$245:$IH$316,$FN235-GI$169,72-GI$169+SwaptionMonthsToGo+SwaptionShift))/SQRT(SUM(INDEX($FO390:$IH390,1+SwaptionShift):INDEX($FO390:$IH390,SwaptionMonthsToGo+SwaptionShift))*SUM(INDEX($FO$325:$IH$396,GI$169,1+SwaptionShift):INDEX($FO$325:$IH$396,GI$169,SwaptionMonthsToGo+SwaptionShift))))))</f>
        <v/>
      </c>
      <c r="GJ235" s="469" t="str">
        <f ca="1">IF(OR(GJ$169&lt;SwaptionFirstMonthPosition+1,$FN235&lt;SwaptionFirstMonthPosition+1,GJ$169&gt;SwaptionFirstMonthPosition+SwaptionNumOfMonths+1,$FN235&gt;SwaptionFirstMonthPosition+SwaptionNumOfMonths+1),"",IF($FN235=GJ$169,1,IF($FN235&lt;GJ$169,INDEX($FO$170:$IH$241,GJ$169,$FN235),SUMPRODUCT(INDEX($FO$325:$IH$396,GJ$169,1+SwaptionShift):INDEX($FO$325:$IH$396,GJ$169,SwaptionMonthsToGo+SwaptionShift),INDEX($FO$245:$IH$316,$FN235-GJ$169,73-GJ$169+SwaptionShift):INDEX($FO$245:$IH$316,$FN235-GJ$169,72-GJ$169+SwaptionMonthsToGo+SwaptionShift))/SQRT(SUM(INDEX($FO390:$IH390,1+SwaptionShift):INDEX($FO390:$IH390,SwaptionMonthsToGo+SwaptionShift))*SUM(INDEX($FO$325:$IH$396,GJ$169,1+SwaptionShift):INDEX($FO$325:$IH$396,GJ$169,SwaptionMonthsToGo+SwaptionShift))))))</f>
        <v/>
      </c>
      <c r="GK235" s="469" t="str">
        <f ca="1">IF(OR(GK$169&lt;SwaptionFirstMonthPosition+1,$FN235&lt;SwaptionFirstMonthPosition+1,GK$169&gt;SwaptionFirstMonthPosition+SwaptionNumOfMonths+1,$FN235&gt;SwaptionFirstMonthPosition+SwaptionNumOfMonths+1),"",IF($FN235=GK$169,1,IF($FN235&lt;GK$169,INDEX($FO$170:$IH$241,GK$169,$FN235),SUMPRODUCT(INDEX($FO$325:$IH$396,GK$169,1+SwaptionShift):INDEX($FO$325:$IH$396,GK$169,SwaptionMonthsToGo+SwaptionShift),INDEX($FO$245:$IH$316,$FN235-GK$169,73-GK$169+SwaptionShift):INDEX($FO$245:$IH$316,$FN235-GK$169,72-GK$169+SwaptionMonthsToGo+SwaptionShift))/SQRT(SUM(INDEX($FO390:$IH390,1+SwaptionShift):INDEX($FO390:$IH390,SwaptionMonthsToGo+SwaptionShift))*SUM(INDEX($FO$325:$IH$396,GK$169,1+SwaptionShift):INDEX($FO$325:$IH$396,GK$169,SwaptionMonthsToGo+SwaptionShift))))))</f>
        <v/>
      </c>
      <c r="GL235" s="469" t="str">
        <f ca="1">IF(OR(GL$169&lt;SwaptionFirstMonthPosition+1,$FN235&lt;SwaptionFirstMonthPosition+1,GL$169&gt;SwaptionFirstMonthPosition+SwaptionNumOfMonths+1,$FN235&gt;SwaptionFirstMonthPosition+SwaptionNumOfMonths+1),"",IF($FN235=GL$169,1,IF($FN235&lt;GL$169,INDEX($FO$170:$IH$241,GL$169,$FN235),SUMPRODUCT(INDEX($FO$325:$IH$396,GL$169,1+SwaptionShift):INDEX($FO$325:$IH$396,GL$169,SwaptionMonthsToGo+SwaptionShift),INDEX($FO$245:$IH$316,$FN235-GL$169,73-GL$169+SwaptionShift):INDEX($FO$245:$IH$316,$FN235-GL$169,72-GL$169+SwaptionMonthsToGo+SwaptionShift))/SQRT(SUM(INDEX($FO390:$IH390,1+SwaptionShift):INDEX($FO390:$IH390,SwaptionMonthsToGo+SwaptionShift))*SUM(INDEX($FO$325:$IH$396,GL$169,1+SwaptionShift):INDEX($FO$325:$IH$396,GL$169,SwaptionMonthsToGo+SwaptionShift))))))</f>
        <v/>
      </c>
      <c r="GM235" s="469" t="str">
        <f ca="1">IF(OR(GM$169&lt;SwaptionFirstMonthPosition+1,$FN235&lt;SwaptionFirstMonthPosition+1,GM$169&gt;SwaptionFirstMonthPosition+SwaptionNumOfMonths+1,$FN235&gt;SwaptionFirstMonthPosition+SwaptionNumOfMonths+1),"",IF($FN235=GM$169,1,IF($FN235&lt;GM$169,INDEX($FO$170:$IH$241,GM$169,$FN235),SUMPRODUCT(INDEX($FO$325:$IH$396,GM$169,1+SwaptionShift):INDEX($FO$325:$IH$396,GM$169,SwaptionMonthsToGo+SwaptionShift),INDEX($FO$245:$IH$316,$FN235-GM$169,73-GM$169+SwaptionShift):INDEX($FO$245:$IH$316,$FN235-GM$169,72-GM$169+SwaptionMonthsToGo+SwaptionShift))/SQRT(SUM(INDEX($FO390:$IH390,1+SwaptionShift):INDEX($FO390:$IH390,SwaptionMonthsToGo+SwaptionShift))*SUM(INDEX($FO$325:$IH$396,GM$169,1+SwaptionShift):INDEX($FO$325:$IH$396,GM$169,SwaptionMonthsToGo+SwaptionShift))))))</f>
        <v/>
      </c>
      <c r="GN235" s="469" t="str">
        <f ca="1">IF(OR(GN$169&lt;SwaptionFirstMonthPosition+1,$FN235&lt;SwaptionFirstMonthPosition+1,GN$169&gt;SwaptionFirstMonthPosition+SwaptionNumOfMonths+1,$FN235&gt;SwaptionFirstMonthPosition+SwaptionNumOfMonths+1),"",IF($FN235=GN$169,1,IF($FN235&lt;GN$169,INDEX($FO$170:$IH$241,GN$169,$FN235),SUMPRODUCT(INDEX($FO$325:$IH$396,GN$169,1+SwaptionShift):INDEX($FO$325:$IH$396,GN$169,SwaptionMonthsToGo+SwaptionShift),INDEX($FO$245:$IH$316,$FN235-GN$169,73-GN$169+SwaptionShift):INDEX($FO$245:$IH$316,$FN235-GN$169,72-GN$169+SwaptionMonthsToGo+SwaptionShift))/SQRT(SUM(INDEX($FO390:$IH390,1+SwaptionShift):INDEX($FO390:$IH390,SwaptionMonthsToGo+SwaptionShift))*SUM(INDEX($FO$325:$IH$396,GN$169,1+SwaptionShift):INDEX($FO$325:$IH$396,GN$169,SwaptionMonthsToGo+SwaptionShift))))))</f>
        <v/>
      </c>
      <c r="GO235" s="469" t="str">
        <f ca="1">IF(OR(GO$169&lt;SwaptionFirstMonthPosition+1,$FN235&lt;SwaptionFirstMonthPosition+1,GO$169&gt;SwaptionFirstMonthPosition+SwaptionNumOfMonths+1,$FN235&gt;SwaptionFirstMonthPosition+SwaptionNumOfMonths+1),"",IF($FN235=GO$169,1,IF($FN235&lt;GO$169,INDEX($FO$170:$IH$241,GO$169,$FN235),SUMPRODUCT(INDEX($FO$325:$IH$396,GO$169,1+SwaptionShift):INDEX($FO$325:$IH$396,GO$169,SwaptionMonthsToGo+SwaptionShift),INDEX($FO$245:$IH$316,$FN235-GO$169,73-GO$169+SwaptionShift):INDEX($FO$245:$IH$316,$FN235-GO$169,72-GO$169+SwaptionMonthsToGo+SwaptionShift))/SQRT(SUM(INDEX($FO390:$IH390,1+SwaptionShift):INDEX($FO390:$IH390,SwaptionMonthsToGo+SwaptionShift))*SUM(INDEX($FO$325:$IH$396,GO$169,1+SwaptionShift):INDEX($FO$325:$IH$396,GO$169,SwaptionMonthsToGo+SwaptionShift))))))</f>
        <v/>
      </c>
      <c r="GP235" s="469" t="str">
        <f ca="1">IF(OR(GP$169&lt;SwaptionFirstMonthPosition+1,$FN235&lt;SwaptionFirstMonthPosition+1,GP$169&gt;SwaptionFirstMonthPosition+SwaptionNumOfMonths+1,$FN235&gt;SwaptionFirstMonthPosition+SwaptionNumOfMonths+1),"",IF($FN235=GP$169,1,IF($FN235&lt;GP$169,INDEX($FO$170:$IH$241,GP$169,$FN235),SUMPRODUCT(INDEX($FO$325:$IH$396,GP$169,1+SwaptionShift):INDEX($FO$325:$IH$396,GP$169,SwaptionMonthsToGo+SwaptionShift),INDEX($FO$245:$IH$316,$FN235-GP$169,73-GP$169+SwaptionShift):INDEX($FO$245:$IH$316,$FN235-GP$169,72-GP$169+SwaptionMonthsToGo+SwaptionShift))/SQRT(SUM(INDEX($FO390:$IH390,1+SwaptionShift):INDEX($FO390:$IH390,SwaptionMonthsToGo+SwaptionShift))*SUM(INDEX($FO$325:$IH$396,GP$169,1+SwaptionShift):INDEX($FO$325:$IH$396,GP$169,SwaptionMonthsToGo+SwaptionShift))))))</f>
        <v/>
      </c>
      <c r="GQ235" s="469" t="str">
        <f ca="1">IF(OR(GQ$169&lt;SwaptionFirstMonthPosition+1,$FN235&lt;SwaptionFirstMonthPosition+1,GQ$169&gt;SwaptionFirstMonthPosition+SwaptionNumOfMonths+1,$FN235&gt;SwaptionFirstMonthPosition+SwaptionNumOfMonths+1),"",IF($FN235=GQ$169,1,IF($FN235&lt;GQ$169,INDEX($FO$170:$IH$241,GQ$169,$FN235),SUMPRODUCT(INDEX($FO$325:$IH$396,GQ$169,1+SwaptionShift):INDEX($FO$325:$IH$396,GQ$169,SwaptionMonthsToGo+SwaptionShift),INDEX($FO$245:$IH$316,$FN235-GQ$169,73-GQ$169+SwaptionShift):INDEX($FO$245:$IH$316,$FN235-GQ$169,72-GQ$169+SwaptionMonthsToGo+SwaptionShift))/SQRT(SUM(INDEX($FO390:$IH390,1+SwaptionShift):INDEX($FO390:$IH390,SwaptionMonthsToGo+SwaptionShift))*SUM(INDEX($FO$325:$IH$396,GQ$169,1+SwaptionShift):INDEX($FO$325:$IH$396,GQ$169,SwaptionMonthsToGo+SwaptionShift))))))</f>
        <v/>
      </c>
      <c r="GR235" s="469" t="str">
        <f ca="1">IF(OR(GR$169&lt;SwaptionFirstMonthPosition+1,$FN235&lt;SwaptionFirstMonthPosition+1,GR$169&gt;SwaptionFirstMonthPosition+SwaptionNumOfMonths+1,$FN235&gt;SwaptionFirstMonthPosition+SwaptionNumOfMonths+1),"",IF($FN235=GR$169,1,IF($FN235&lt;GR$169,INDEX($FO$170:$IH$241,GR$169,$FN235),SUMPRODUCT(INDEX($FO$325:$IH$396,GR$169,1+SwaptionShift):INDEX($FO$325:$IH$396,GR$169,SwaptionMonthsToGo+SwaptionShift),INDEX($FO$245:$IH$316,$FN235-GR$169,73-GR$169+SwaptionShift):INDEX($FO$245:$IH$316,$FN235-GR$169,72-GR$169+SwaptionMonthsToGo+SwaptionShift))/SQRT(SUM(INDEX($FO390:$IH390,1+SwaptionShift):INDEX($FO390:$IH390,SwaptionMonthsToGo+SwaptionShift))*SUM(INDEX($FO$325:$IH$396,GR$169,1+SwaptionShift):INDEX($FO$325:$IH$396,GR$169,SwaptionMonthsToGo+SwaptionShift))))))</f>
        <v/>
      </c>
      <c r="GS235" s="469" t="str">
        <f ca="1">IF(OR(GS$169&lt;SwaptionFirstMonthPosition+1,$FN235&lt;SwaptionFirstMonthPosition+1,GS$169&gt;SwaptionFirstMonthPosition+SwaptionNumOfMonths+1,$FN235&gt;SwaptionFirstMonthPosition+SwaptionNumOfMonths+1),"",IF($FN235=GS$169,1,IF($FN235&lt;GS$169,INDEX($FO$170:$IH$241,GS$169,$FN235),SUMPRODUCT(INDEX($FO$325:$IH$396,GS$169,1+SwaptionShift):INDEX($FO$325:$IH$396,GS$169,SwaptionMonthsToGo+SwaptionShift),INDEX($FO$245:$IH$316,$FN235-GS$169,73-GS$169+SwaptionShift):INDEX($FO$245:$IH$316,$FN235-GS$169,72-GS$169+SwaptionMonthsToGo+SwaptionShift))/SQRT(SUM(INDEX($FO390:$IH390,1+SwaptionShift):INDEX($FO390:$IH390,SwaptionMonthsToGo+SwaptionShift))*SUM(INDEX($FO$325:$IH$396,GS$169,1+SwaptionShift):INDEX($FO$325:$IH$396,GS$169,SwaptionMonthsToGo+SwaptionShift))))))</f>
        <v/>
      </c>
      <c r="GT235" s="469" t="str">
        <f ca="1">IF(OR(GT$169&lt;SwaptionFirstMonthPosition+1,$FN235&lt;SwaptionFirstMonthPosition+1,GT$169&gt;SwaptionFirstMonthPosition+SwaptionNumOfMonths+1,$FN235&gt;SwaptionFirstMonthPosition+SwaptionNumOfMonths+1),"",IF($FN235=GT$169,1,IF($FN235&lt;GT$169,INDEX($FO$170:$IH$241,GT$169,$FN235),SUMPRODUCT(INDEX($FO$325:$IH$396,GT$169,1+SwaptionShift):INDEX($FO$325:$IH$396,GT$169,SwaptionMonthsToGo+SwaptionShift),INDEX($FO$245:$IH$316,$FN235-GT$169,73-GT$169+SwaptionShift):INDEX($FO$245:$IH$316,$FN235-GT$169,72-GT$169+SwaptionMonthsToGo+SwaptionShift))/SQRT(SUM(INDEX($FO390:$IH390,1+SwaptionShift):INDEX($FO390:$IH390,SwaptionMonthsToGo+SwaptionShift))*SUM(INDEX($FO$325:$IH$396,GT$169,1+SwaptionShift):INDEX($FO$325:$IH$396,GT$169,SwaptionMonthsToGo+SwaptionShift))))))</f>
        <v/>
      </c>
      <c r="GU235" s="469" t="str">
        <f ca="1">IF(OR(GU$169&lt;SwaptionFirstMonthPosition+1,$FN235&lt;SwaptionFirstMonthPosition+1,GU$169&gt;SwaptionFirstMonthPosition+SwaptionNumOfMonths+1,$FN235&gt;SwaptionFirstMonthPosition+SwaptionNumOfMonths+1),"",IF($FN235=GU$169,1,IF($FN235&lt;GU$169,INDEX($FO$170:$IH$241,GU$169,$FN235),SUMPRODUCT(INDEX($FO$325:$IH$396,GU$169,1+SwaptionShift):INDEX($FO$325:$IH$396,GU$169,SwaptionMonthsToGo+SwaptionShift),INDEX($FO$245:$IH$316,$FN235-GU$169,73-GU$169+SwaptionShift):INDEX($FO$245:$IH$316,$FN235-GU$169,72-GU$169+SwaptionMonthsToGo+SwaptionShift))/SQRT(SUM(INDEX($FO390:$IH390,1+SwaptionShift):INDEX($FO390:$IH390,SwaptionMonthsToGo+SwaptionShift))*SUM(INDEX($FO$325:$IH$396,GU$169,1+SwaptionShift):INDEX($FO$325:$IH$396,GU$169,SwaptionMonthsToGo+SwaptionShift))))))</f>
        <v/>
      </c>
      <c r="GV235" s="469" t="str">
        <f ca="1">IF(OR(GV$169&lt;SwaptionFirstMonthPosition+1,$FN235&lt;SwaptionFirstMonthPosition+1,GV$169&gt;SwaptionFirstMonthPosition+SwaptionNumOfMonths+1,$FN235&gt;SwaptionFirstMonthPosition+SwaptionNumOfMonths+1),"",IF($FN235=GV$169,1,IF($FN235&lt;GV$169,INDEX($FO$170:$IH$241,GV$169,$FN235),SUMPRODUCT(INDEX($FO$325:$IH$396,GV$169,1+SwaptionShift):INDEX($FO$325:$IH$396,GV$169,SwaptionMonthsToGo+SwaptionShift),INDEX($FO$245:$IH$316,$FN235-GV$169,73-GV$169+SwaptionShift):INDEX($FO$245:$IH$316,$FN235-GV$169,72-GV$169+SwaptionMonthsToGo+SwaptionShift))/SQRT(SUM(INDEX($FO390:$IH390,1+SwaptionShift):INDEX($FO390:$IH390,SwaptionMonthsToGo+SwaptionShift))*SUM(INDEX($FO$325:$IH$396,GV$169,1+SwaptionShift):INDEX($FO$325:$IH$396,GV$169,SwaptionMonthsToGo+SwaptionShift))))))</f>
        <v/>
      </c>
      <c r="GW235" s="469" t="str">
        <f ca="1">IF(OR(GW$169&lt;SwaptionFirstMonthPosition+1,$FN235&lt;SwaptionFirstMonthPosition+1,GW$169&gt;SwaptionFirstMonthPosition+SwaptionNumOfMonths+1,$FN235&gt;SwaptionFirstMonthPosition+SwaptionNumOfMonths+1),"",IF($FN235=GW$169,1,IF($FN235&lt;GW$169,INDEX($FO$170:$IH$241,GW$169,$FN235),SUMPRODUCT(INDEX($FO$325:$IH$396,GW$169,1+SwaptionShift):INDEX($FO$325:$IH$396,GW$169,SwaptionMonthsToGo+SwaptionShift),INDEX($FO$245:$IH$316,$FN235-GW$169,73-GW$169+SwaptionShift):INDEX($FO$245:$IH$316,$FN235-GW$169,72-GW$169+SwaptionMonthsToGo+SwaptionShift))/SQRT(SUM(INDEX($FO390:$IH390,1+SwaptionShift):INDEX($FO390:$IH390,SwaptionMonthsToGo+SwaptionShift))*SUM(INDEX($FO$325:$IH$396,GW$169,1+SwaptionShift):INDEX($FO$325:$IH$396,GW$169,SwaptionMonthsToGo+SwaptionShift))))))</f>
        <v/>
      </c>
      <c r="GX235" s="469" t="str">
        <f ca="1">IF(OR(GX$169&lt;SwaptionFirstMonthPosition+1,$FN235&lt;SwaptionFirstMonthPosition+1,GX$169&gt;SwaptionFirstMonthPosition+SwaptionNumOfMonths+1,$FN235&gt;SwaptionFirstMonthPosition+SwaptionNumOfMonths+1),"",IF($FN235=GX$169,1,IF($FN235&lt;GX$169,INDEX($FO$170:$IH$241,GX$169,$FN235),SUMPRODUCT(INDEX($FO$325:$IH$396,GX$169,1+SwaptionShift):INDEX($FO$325:$IH$396,GX$169,SwaptionMonthsToGo+SwaptionShift),INDEX($FO$245:$IH$316,$FN235-GX$169,73-GX$169+SwaptionShift):INDEX($FO$245:$IH$316,$FN235-GX$169,72-GX$169+SwaptionMonthsToGo+SwaptionShift))/SQRT(SUM(INDEX($FO390:$IH390,1+SwaptionShift):INDEX($FO390:$IH390,SwaptionMonthsToGo+SwaptionShift))*SUM(INDEX($FO$325:$IH$396,GX$169,1+SwaptionShift):INDEX($FO$325:$IH$396,GX$169,SwaptionMonthsToGo+SwaptionShift))))))</f>
        <v/>
      </c>
      <c r="GY235" s="469" t="str">
        <f ca="1">IF(OR(GY$169&lt;SwaptionFirstMonthPosition+1,$FN235&lt;SwaptionFirstMonthPosition+1,GY$169&gt;SwaptionFirstMonthPosition+SwaptionNumOfMonths+1,$FN235&gt;SwaptionFirstMonthPosition+SwaptionNumOfMonths+1),"",IF($FN235=GY$169,1,IF($FN235&lt;GY$169,INDEX($FO$170:$IH$241,GY$169,$FN235),SUMPRODUCT(INDEX($FO$325:$IH$396,GY$169,1+SwaptionShift):INDEX($FO$325:$IH$396,GY$169,SwaptionMonthsToGo+SwaptionShift),INDEX($FO$245:$IH$316,$FN235-GY$169,73-GY$169+SwaptionShift):INDEX($FO$245:$IH$316,$FN235-GY$169,72-GY$169+SwaptionMonthsToGo+SwaptionShift))/SQRT(SUM(INDEX($FO390:$IH390,1+SwaptionShift):INDEX($FO390:$IH390,SwaptionMonthsToGo+SwaptionShift))*SUM(INDEX($FO$325:$IH$396,GY$169,1+SwaptionShift):INDEX($FO$325:$IH$396,GY$169,SwaptionMonthsToGo+SwaptionShift))))))</f>
        <v/>
      </c>
      <c r="GZ235" s="469" t="str">
        <f ca="1">IF(OR(GZ$169&lt;SwaptionFirstMonthPosition+1,$FN235&lt;SwaptionFirstMonthPosition+1,GZ$169&gt;SwaptionFirstMonthPosition+SwaptionNumOfMonths+1,$FN235&gt;SwaptionFirstMonthPosition+SwaptionNumOfMonths+1),"",IF($FN235=GZ$169,1,IF($FN235&lt;GZ$169,INDEX($FO$170:$IH$241,GZ$169,$FN235),SUMPRODUCT(INDEX($FO$325:$IH$396,GZ$169,1+SwaptionShift):INDEX($FO$325:$IH$396,GZ$169,SwaptionMonthsToGo+SwaptionShift),INDEX($FO$245:$IH$316,$FN235-GZ$169,73-GZ$169+SwaptionShift):INDEX($FO$245:$IH$316,$FN235-GZ$169,72-GZ$169+SwaptionMonthsToGo+SwaptionShift))/SQRT(SUM(INDEX($FO390:$IH390,1+SwaptionShift):INDEX($FO390:$IH390,SwaptionMonthsToGo+SwaptionShift))*SUM(INDEX($FO$325:$IH$396,GZ$169,1+SwaptionShift):INDEX($FO$325:$IH$396,GZ$169,SwaptionMonthsToGo+SwaptionShift))))))</f>
        <v/>
      </c>
      <c r="HA235" s="469" t="str">
        <f ca="1">IF(OR(HA$169&lt;SwaptionFirstMonthPosition+1,$FN235&lt;SwaptionFirstMonthPosition+1,HA$169&gt;SwaptionFirstMonthPosition+SwaptionNumOfMonths+1,$FN235&gt;SwaptionFirstMonthPosition+SwaptionNumOfMonths+1),"",IF($FN235=HA$169,1,IF($FN235&lt;HA$169,INDEX($FO$170:$IH$241,HA$169,$FN235),SUMPRODUCT(INDEX($FO$325:$IH$396,HA$169,1+SwaptionShift):INDEX($FO$325:$IH$396,HA$169,SwaptionMonthsToGo+SwaptionShift),INDEX($FO$245:$IH$316,$FN235-HA$169,73-HA$169+SwaptionShift):INDEX($FO$245:$IH$316,$FN235-HA$169,72-HA$169+SwaptionMonthsToGo+SwaptionShift))/SQRT(SUM(INDEX($FO390:$IH390,1+SwaptionShift):INDEX($FO390:$IH390,SwaptionMonthsToGo+SwaptionShift))*SUM(INDEX($FO$325:$IH$396,HA$169,1+SwaptionShift):INDEX($FO$325:$IH$396,HA$169,SwaptionMonthsToGo+SwaptionShift))))))</f>
        <v/>
      </c>
      <c r="HB235" s="469" t="str">
        <f ca="1">IF(OR(HB$169&lt;SwaptionFirstMonthPosition+1,$FN235&lt;SwaptionFirstMonthPosition+1,HB$169&gt;SwaptionFirstMonthPosition+SwaptionNumOfMonths+1,$FN235&gt;SwaptionFirstMonthPosition+SwaptionNumOfMonths+1),"",IF($FN235=HB$169,1,IF($FN235&lt;HB$169,INDEX($FO$170:$IH$241,HB$169,$FN235),SUMPRODUCT(INDEX($FO$325:$IH$396,HB$169,1+SwaptionShift):INDEX($FO$325:$IH$396,HB$169,SwaptionMonthsToGo+SwaptionShift),INDEX($FO$245:$IH$316,$FN235-HB$169,73-HB$169+SwaptionShift):INDEX($FO$245:$IH$316,$FN235-HB$169,72-HB$169+SwaptionMonthsToGo+SwaptionShift))/SQRT(SUM(INDEX($FO390:$IH390,1+SwaptionShift):INDEX($FO390:$IH390,SwaptionMonthsToGo+SwaptionShift))*SUM(INDEX($FO$325:$IH$396,HB$169,1+SwaptionShift):INDEX($FO$325:$IH$396,HB$169,SwaptionMonthsToGo+SwaptionShift))))))</f>
        <v/>
      </c>
      <c r="HC235" s="469" t="str">
        <f ca="1">IF(OR(HC$169&lt;SwaptionFirstMonthPosition+1,$FN235&lt;SwaptionFirstMonthPosition+1,HC$169&gt;SwaptionFirstMonthPosition+SwaptionNumOfMonths+1,$FN235&gt;SwaptionFirstMonthPosition+SwaptionNumOfMonths+1),"",IF($FN235=HC$169,1,IF($FN235&lt;HC$169,INDEX($FO$170:$IH$241,HC$169,$FN235),SUMPRODUCT(INDEX($FO$325:$IH$396,HC$169,1+SwaptionShift):INDEX($FO$325:$IH$396,HC$169,SwaptionMonthsToGo+SwaptionShift),INDEX($FO$245:$IH$316,$FN235-HC$169,73-HC$169+SwaptionShift):INDEX($FO$245:$IH$316,$FN235-HC$169,72-HC$169+SwaptionMonthsToGo+SwaptionShift))/SQRT(SUM(INDEX($FO390:$IH390,1+SwaptionShift):INDEX($FO390:$IH390,SwaptionMonthsToGo+SwaptionShift))*SUM(INDEX($FO$325:$IH$396,HC$169,1+SwaptionShift):INDEX($FO$325:$IH$396,HC$169,SwaptionMonthsToGo+SwaptionShift))))))</f>
        <v/>
      </c>
      <c r="HD235" s="469" t="str">
        <f ca="1">IF(OR(HD$169&lt;SwaptionFirstMonthPosition+1,$FN235&lt;SwaptionFirstMonthPosition+1,HD$169&gt;SwaptionFirstMonthPosition+SwaptionNumOfMonths+1,$FN235&gt;SwaptionFirstMonthPosition+SwaptionNumOfMonths+1),"",IF($FN235=HD$169,1,IF($FN235&lt;HD$169,INDEX($FO$170:$IH$241,HD$169,$FN235),SUMPRODUCT(INDEX($FO$325:$IH$396,HD$169,1+SwaptionShift):INDEX($FO$325:$IH$396,HD$169,SwaptionMonthsToGo+SwaptionShift),INDEX($FO$245:$IH$316,$FN235-HD$169,73-HD$169+SwaptionShift):INDEX($FO$245:$IH$316,$FN235-HD$169,72-HD$169+SwaptionMonthsToGo+SwaptionShift))/SQRT(SUM(INDEX($FO390:$IH390,1+SwaptionShift):INDEX($FO390:$IH390,SwaptionMonthsToGo+SwaptionShift))*SUM(INDEX($FO$325:$IH$396,HD$169,1+SwaptionShift):INDEX($FO$325:$IH$396,HD$169,SwaptionMonthsToGo+SwaptionShift))))))</f>
        <v/>
      </c>
      <c r="HE235" s="469" t="str">
        <f ca="1">IF(OR(HE$169&lt;SwaptionFirstMonthPosition+1,$FN235&lt;SwaptionFirstMonthPosition+1,HE$169&gt;SwaptionFirstMonthPosition+SwaptionNumOfMonths+1,$FN235&gt;SwaptionFirstMonthPosition+SwaptionNumOfMonths+1),"",IF($FN235=HE$169,1,IF($FN235&lt;HE$169,INDEX($FO$170:$IH$241,HE$169,$FN235),SUMPRODUCT(INDEX($FO$325:$IH$396,HE$169,1+SwaptionShift):INDEX($FO$325:$IH$396,HE$169,SwaptionMonthsToGo+SwaptionShift),INDEX($FO$245:$IH$316,$FN235-HE$169,73-HE$169+SwaptionShift):INDEX($FO$245:$IH$316,$FN235-HE$169,72-HE$169+SwaptionMonthsToGo+SwaptionShift))/SQRT(SUM(INDEX($FO390:$IH390,1+SwaptionShift):INDEX($FO390:$IH390,SwaptionMonthsToGo+SwaptionShift))*SUM(INDEX($FO$325:$IH$396,HE$169,1+SwaptionShift):INDEX($FO$325:$IH$396,HE$169,SwaptionMonthsToGo+SwaptionShift))))))</f>
        <v/>
      </c>
      <c r="HF235" s="469" t="str">
        <f ca="1">IF(OR(HF$169&lt;SwaptionFirstMonthPosition+1,$FN235&lt;SwaptionFirstMonthPosition+1,HF$169&gt;SwaptionFirstMonthPosition+SwaptionNumOfMonths+1,$FN235&gt;SwaptionFirstMonthPosition+SwaptionNumOfMonths+1),"",IF($FN235=HF$169,1,IF($FN235&lt;HF$169,INDEX($FO$170:$IH$241,HF$169,$FN235),SUMPRODUCT(INDEX($FO$325:$IH$396,HF$169,1+SwaptionShift):INDEX($FO$325:$IH$396,HF$169,SwaptionMonthsToGo+SwaptionShift),INDEX($FO$245:$IH$316,$FN235-HF$169,73-HF$169+SwaptionShift):INDEX($FO$245:$IH$316,$FN235-HF$169,72-HF$169+SwaptionMonthsToGo+SwaptionShift))/SQRT(SUM(INDEX($FO390:$IH390,1+SwaptionShift):INDEX($FO390:$IH390,SwaptionMonthsToGo+SwaptionShift))*SUM(INDEX($FO$325:$IH$396,HF$169,1+SwaptionShift):INDEX($FO$325:$IH$396,HF$169,SwaptionMonthsToGo+SwaptionShift))))))</f>
        <v/>
      </c>
      <c r="HG235" s="469" t="str">
        <f ca="1">IF(OR(HG$169&lt;SwaptionFirstMonthPosition+1,$FN235&lt;SwaptionFirstMonthPosition+1,HG$169&gt;SwaptionFirstMonthPosition+SwaptionNumOfMonths+1,$FN235&gt;SwaptionFirstMonthPosition+SwaptionNumOfMonths+1),"",IF($FN235=HG$169,1,IF($FN235&lt;HG$169,INDEX($FO$170:$IH$241,HG$169,$FN235),SUMPRODUCT(INDEX($FO$325:$IH$396,HG$169,1+SwaptionShift):INDEX($FO$325:$IH$396,HG$169,SwaptionMonthsToGo+SwaptionShift),INDEX($FO$245:$IH$316,$FN235-HG$169,73-HG$169+SwaptionShift):INDEX($FO$245:$IH$316,$FN235-HG$169,72-HG$169+SwaptionMonthsToGo+SwaptionShift))/SQRT(SUM(INDEX($FO390:$IH390,1+SwaptionShift):INDEX($FO390:$IH390,SwaptionMonthsToGo+SwaptionShift))*SUM(INDEX($FO$325:$IH$396,HG$169,1+SwaptionShift):INDEX($FO$325:$IH$396,HG$169,SwaptionMonthsToGo+SwaptionShift))))))</f>
        <v/>
      </c>
      <c r="HH235" s="469" t="str">
        <f ca="1">IF(OR(HH$169&lt;SwaptionFirstMonthPosition+1,$FN235&lt;SwaptionFirstMonthPosition+1,HH$169&gt;SwaptionFirstMonthPosition+SwaptionNumOfMonths+1,$FN235&gt;SwaptionFirstMonthPosition+SwaptionNumOfMonths+1),"",IF($FN235=HH$169,1,IF($FN235&lt;HH$169,INDEX($FO$170:$IH$241,HH$169,$FN235),SUMPRODUCT(INDEX($FO$325:$IH$396,HH$169,1+SwaptionShift):INDEX($FO$325:$IH$396,HH$169,SwaptionMonthsToGo+SwaptionShift),INDEX($FO$245:$IH$316,$FN235-HH$169,73-HH$169+SwaptionShift):INDEX($FO$245:$IH$316,$FN235-HH$169,72-HH$169+SwaptionMonthsToGo+SwaptionShift))/SQRT(SUM(INDEX($FO390:$IH390,1+SwaptionShift):INDEX($FO390:$IH390,SwaptionMonthsToGo+SwaptionShift))*SUM(INDEX($FO$325:$IH$396,HH$169,1+SwaptionShift):INDEX($FO$325:$IH$396,HH$169,SwaptionMonthsToGo+SwaptionShift))))))</f>
        <v/>
      </c>
      <c r="HI235" s="469" t="str">
        <f ca="1">IF(OR(HI$169&lt;SwaptionFirstMonthPosition+1,$FN235&lt;SwaptionFirstMonthPosition+1,HI$169&gt;SwaptionFirstMonthPosition+SwaptionNumOfMonths+1,$FN235&gt;SwaptionFirstMonthPosition+SwaptionNumOfMonths+1),"",IF($FN235=HI$169,1,IF($FN235&lt;HI$169,INDEX($FO$170:$IH$241,HI$169,$FN235),SUMPRODUCT(INDEX($FO$325:$IH$396,HI$169,1+SwaptionShift):INDEX($FO$325:$IH$396,HI$169,SwaptionMonthsToGo+SwaptionShift),INDEX($FO$245:$IH$316,$FN235-HI$169,73-HI$169+SwaptionShift):INDEX($FO$245:$IH$316,$FN235-HI$169,72-HI$169+SwaptionMonthsToGo+SwaptionShift))/SQRT(SUM(INDEX($FO390:$IH390,1+SwaptionShift):INDEX($FO390:$IH390,SwaptionMonthsToGo+SwaptionShift))*SUM(INDEX($FO$325:$IH$396,HI$169,1+SwaptionShift):INDEX($FO$325:$IH$396,HI$169,SwaptionMonthsToGo+SwaptionShift))))))</f>
        <v/>
      </c>
      <c r="HJ235" s="469" t="str">
        <f ca="1">IF(OR(HJ$169&lt;SwaptionFirstMonthPosition+1,$FN235&lt;SwaptionFirstMonthPosition+1,HJ$169&gt;SwaptionFirstMonthPosition+SwaptionNumOfMonths+1,$FN235&gt;SwaptionFirstMonthPosition+SwaptionNumOfMonths+1),"",IF($FN235=HJ$169,1,IF($FN235&lt;HJ$169,INDEX($FO$170:$IH$241,HJ$169,$FN235),SUMPRODUCT(INDEX($FO$325:$IH$396,HJ$169,1+SwaptionShift):INDEX($FO$325:$IH$396,HJ$169,SwaptionMonthsToGo+SwaptionShift),INDEX($FO$245:$IH$316,$FN235-HJ$169,73-HJ$169+SwaptionShift):INDEX($FO$245:$IH$316,$FN235-HJ$169,72-HJ$169+SwaptionMonthsToGo+SwaptionShift))/SQRT(SUM(INDEX($FO390:$IH390,1+SwaptionShift):INDEX($FO390:$IH390,SwaptionMonthsToGo+SwaptionShift))*SUM(INDEX($FO$325:$IH$396,HJ$169,1+SwaptionShift):INDEX($FO$325:$IH$396,HJ$169,SwaptionMonthsToGo+SwaptionShift))))))</f>
        <v/>
      </c>
      <c r="HK235" s="469" t="str">
        <f ca="1">IF(OR(HK$169&lt;SwaptionFirstMonthPosition+1,$FN235&lt;SwaptionFirstMonthPosition+1,HK$169&gt;SwaptionFirstMonthPosition+SwaptionNumOfMonths+1,$FN235&gt;SwaptionFirstMonthPosition+SwaptionNumOfMonths+1),"",IF($FN235=HK$169,1,IF($FN235&lt;HK$169,INDEX($FO$170:$IH$241,HK$169,$FN235),SUMPRODUCT(INDEX($FO$325:$IH$396,HK$169,1+SwaptionShift):INDEX($FO$325:$IH$396,HK$169,SwaptionMonthsToGo+SwaptionShift),INDEX($FO$245:$IH$316,$FN235-HK$169,73-HK$169+SwaptionShift):INDEX($FO$245:$IH$316,$FN235-HK$169,72-HK$169+SwaptionMonthsToGo+SwaptionShift))/SQRT(SUM(INDEX($FO390:$IH390,1+SwaptionShift):INDEX($FO390:$IH390,SwaptionMonthsToGo+SwaptionShift))*SUM(INDEX($FO$325:$IH$396,HK$169,1+SwaptionShift):INDEX($FO$325:$IH$396,HK$169,SwaptionMonthsToGo+SwaptionShift))))))</f>
        <v/>
      </c>
      <c r="HL235" s="469" t="str">
        <f ca="1">IF(OR(HL$169&lt;SwaptionFirstMonthPosition+1,$FN235&lt;SwaptionFirstMonthPosition+1,HL$169&gt;SwaptionFirstMonthPosition+SwaptionNumOfMonths+1,$FN235&gt;SwaptionFirstMonthPosition+SwaptionNumOfMonths+1),"",IF($FN235=HL$169,1,IF($FN235&lt;HL$169,INDEX($FO$170:$IH$241,HL$169,$FN235),SUMPRODUCT(INDEX($FO$325:$IH$396,HL$169,1+SwaptionShift):INDEX($FO$325:$IH$396,HL$169,SwaptionMonthsToGo+SwaptionShift),INDEX($FO$245:$IH$316,$FN235-HL$169,73-HL$169+SwaptionShift):INDEX($FO$245:$IH$316,$FN235-HL$169,72-HL$169+SwaptionMonthsToGo+SwaptionShift))/SQRT(SUM(INDEX($FO390:$IH390,1+SwaptionShift):INDEX($FO390:$IH390,SwaptionMonthsToGo+SwaptionShift))*SUM(INDEX($FO$325:$IH$396,HL$169,1+SwaptionShift):INDEX($FO$325:$IH$396,HL$169,SwaptionMonthsToGo+SwaptionShift))))))</f>
        <v/>
      </c>
      <c r="HM235" s="469" t="str">
        <f ca="1">IF(OR(HM$169&lt;SwaptionFirstMonthPosition+1,$FN235&lt;SwaptionFirstMonthPosition+1,HM$169&gt;SwaptionFirstMonthPosition+SwaptionNumOfMonths+1,$FN235&gt;SwaptionFirstMonthPosition+SwaptionNumOfMonths+1),"",IF($FN235=HM$169,1,IF($FN235&lt;HM$169,INDEX($FO$170:$IH$241,HM$169,$FN235),SUMPRODUCT(INDEX($FO$325:$IH$396,HM$169,1+SwaptionShift):INDEX($FO$325:$IH$396,HM$169,SwaptionMonthsToGo+SwaptionShift),INDEX($FO$245:$IH$316,$FN235-HM$169,73-HM$169+SwaptionShift):INDEX($FO$245:$IH$316,$FN235-HM$169,72-HM$169+SwaptionMonthsToGo+SwaptionShift))/SQRT(SUM(INDEX($FO390:$IH390,1+SwaptionShift):INDEX($FO390:$IH390,SwaptionMonthsToGo+SwaptionShift))*SUM(INDEX($FO$325:$IH$396,HM$169,1+SwaptionShift):INDEX($FO$325:$IH$396,HM$169,SwaptionMonthsToGo+SwaptionShift))))))</f>
        <v/>
      </c>
      <c r="HN235" s="469" t="str">
        <f ca="1">IF(OR(HN$169&lt;SwaptionFirstMonthPosition+1,$FN235&lt;SwaptionFirstMonthPosition+1,HN$169&gt;SwaptionFirstMonthPosition+SwaptionNumOfMonths+1,$FN235&gt;SwaptionFirstMonthPosition+SwaptionNumOfMonths+1),"",IF($FN235=HN$169,1,IF($FN235&lt;HN$169,INDEX($FO$170:$IH$241,HN$169,$FN235),SUMPRODUCT(INDEX($FO$325:$IH$396,HN$169,1+SwaptionShift):INDEX($FO$325:$IH$396,HN$169,SwaptionMonthsToGo+SwaptionShift),INDEX($FO$245:$IH$316,$FN235-HN$169,73-HN$169+SwaptionShift):INDEX($FO$245:$IH$316,$FN235-HN$169,72-HN$169+SwaptionMonthsToGo+SwaptionShift))/SQRT(SUM(INDEX($FO390:$IH390,1+SwaptionShift):INDEX($FO390:$IH390,SwaptionMonthsToGo+SwaptionShift))*SUM(INDEX($FO$325:$IH$396,HN$169,1+SwaptionShift):INDEX($FO$325:$IH$396,HN$169,SwaptionMonthsToGo+SwaptionShift))))))</f>
        <v/>
      </c>
      <c r="HO235" s="469" t="str">
        <f ca="1">IF(OR(HO$169&lt;SwaptionFirstMonthPosition+1,$FN235&lt;SwaptionFirstMonthPosition+1,HO$169&gt;SwaptionFirstMonthPosition+SwaptionNumOfMonths+1,$FN235&gt;SwaptionFirstMonthPosition+SwaptionNumOfMonths+1),"",IF($FN235=HO$169,1,IF($FN235&lt;HO$169,INDEX($FO$170:$IH$241,HO$169,$FN235),SUMPRODUCT(INDEX($FO$325:$IH$396,HO$169,1+SwaptionShift):INDEX($FO$325:$IH$396,HO$169,SwaptionMonthsToGo+SwaptionShift),INDEX($FO$245:$IH$316,$FN235-HO$169,73-HO$169+SwaptionShift):INDEX($FO$245:$IH$316,$FN235-HO$169,72-HO$169+SwaptionMonthsToGo+SwaptionShift))/SQRT(SUM(INDEX($FO390:$IH390,1+SwaptionShift):INDEX($FO390:$IH390,SwaptionMonthsToGo+SwaptionShift))*SUM(INDEX($FO$325:$IH$396,HO$169,1+SwaptionShift):INDEX($FO$325:$IH$396,HO$169,SwaptionMonthsToGo+SwaptionShift))))))</f>
        <v/>
      </c>
      <c r="HP235" s="469" t="str">
        <f ca="1">IF(OR(HP$169&lt;SwaptionFirstMonthPosition+1,$FN235&lt;SwaptionFirstMonthPosition+1,HP$169&gt;SwaptionFirstMonthPosition+SwaptionNumOfMonths+1,$FN235&gt;SwaptionFirstMonthPosition+SwaptionNumOfMonths+1),"",IF($FN235=HP$169,1,IF($FN235&lt;HP$169,INDEX($FO$170:$IH$241,HP$169,$FN235),SUMPRODUCT(INDEX($FO$325:$IH$396,HP$169,1+SwaptionShift):INDEX($FO$325:$IH$396,HP$169,SwaptionMonthsToGo+SwaptionShift),INDEX($FO$245:$IH$316,$FN235-HP$169,73-HP$169+SwaptionShift):INDEX($FO$245:$IH$316,$FN235-HP$169,72-HP$169+SwaptionMonthsToGo+SwaptionShift))/SQRT(SUM(INDEX($FO390:$IH390,1+SwaptionShift):INDEX($FO390:$IH390,SwaptionMonthsToGo+SwaptionShift))*SUM(INDEX($FO$325:$IH$396,HP$169,1+SwaptionShift):INDEX($FO$325:$IH$396,HP$169,SwaptionMonthsToGo+SwaptionShift))))))</f>
        <v/>
      </c>
      <c r="HQ235" s="469" t="str">
        <f ca="1">IF(OR(HQ$169&lt;SwaptionFirstMonthPosition+1,$FN235&lt;SwaptionFirstMonthPosition+1,HQ$169&gt;SwaptionFirstMonthPosition+SwaptionNumOfMonths+1,$FN235&gt;SwaptionFirstMonthPosition+SwaptionNumOfMonths+1),"",IF($FN235=HQ$169,1,IF($FN235&lt;HQ$169,INDEX($FO$170:$IH$241,HQ$169,$FN235),SUMPRODUCT(INDEX($FO$325:$IH$396,HQ$169,1+SwaptionShift):INDEX($FO$325:$IH$396,HQ$169,SwaptionMonthsToGo+SwaptionShift),INDEX($FO$245:$IH$316,$FN235-HQ$169,73-HQ$169+SwaptionShift):INDEX($FO$245:$IH$316,$FN235-HQ$169,72-HQ$169+SwaptionMonthsToGo+SwaptionShift))/SQRT(SUM(INDEX($FO390:$IH390,1+SwaptionShift):INDEX($FO390:$IH390,SwaptionMonthsToGo+SwaptionShift))*SUM(INDEX($FO$325:$IH$396,HQ$169,1+SwaptionShift):INDEX($FO$325:$IH$396,HQ$169,SwaptionMonthsToGo+SwaptionShift))))))</f>
        <v/>
      </c>
      <c r="HR235" s="469" t="str">
        <f ca="1">IF(OR(HR$169&lt;SwaptionFirstMonthPosition+1,$FN235&lt;SwaptionFirstMonthPosition+1,HR$169&gt;SwaptionFirstMonthPosition+SwaptionNumOfMonths+1,$FN235&gt;SwaptionFirstMonthPosition+SwaptionNumOfMonths+1),"",IF($FN235=HR$169,1,IF($FN235&lt;HR$169,INDEX($FO$170:$IH$241,HR$169,$FN235),SUMPRODUCT(INDEX($FO$325:$IH$396,HR$169,1+SwaptionShift):INDEX($FO$325:$IH$396,HR$169,SwaptionMonthsToGo+SwaptionShift),INDEX($FO$245:$IH$316,$FN235-HR$169,73-HR$169+SwaptionShift):INDEX($FO$245:$IH$316,$FN235-HR$169,72-HR$169+SwaptionMonthsToGo+SwaptionShift))/SQRT(SUM(INDEX($FO390:$IH390,1+SwaptionShift):INDEX($FO390:$IH390,SwaptionMonthsToGo+SwaptionShift))*SUM(INDEX($FO$325:$IH$396,HR$169,1+SwaptionShift):INDEX($FO$325:$IH$396,HR$169,SwaptionMonthsToGo+SwaptionShift))))))</f>
        <v/>
      </c>
      <c r="HS235" s="469" t="str">
        <f ca="1">IF(OR(HS$169&lt;SwaptionFirstMonthPosition+1,$FN235&lt;SwaptionFirstMonthPosition+1,HS$169&gt;SwaptionFirstMonthPosition+SwaptionNumOfMonths+1,$FN235&gt;SwaptionFirstMonthPosition+SwaptionNumOfMonths+1),"",IF($FN235=HS$169,1,IF($FN235&lt;HS$169,INDEX($FO$170:$IH$241,HS$169,$FN235),SUMPRODUCT(INDEX($FO$325:$IH$396,HS$169,1+SwaptionShift):INDEX($FO$325:$IH$396,HS$169,SwaptionMonthsToGo+SwaptionShift),INDEX($FO$245:$IH$316,$FN235-HS$169,73-HS$169+SwaptionShift):INDEX($FO$245:$IH$316,$FN235-HS$169,72-HS$169+SwaptionMonthsToGo+SwaptionShift))/SQRT(SUM(INDEX($FO390:$IH390,1+SwaptionShift):INDEX($FO390:$IH390,SwaptionMonthsToGo+SwaptionShift))*SUM(INDEX($FO$325:$IH$396,HS$169,1+SwaptionShift):INDEX($FO$325:$IH$396,HS$169,SwaptionMonthsToGo+SwaptionShift))))))</f>
        <v/>
      </c>
      <c r="HT235" s="469" t="str">
        <f ca="1">IF(OR(HT$169&lt;SwaptionFirstMonthPosition+1,$FN235&lt;SwaptionFirstMonthPosition+1,HT$169&gt;SwaptionFirstMonthPosition+SwaptionNumOfMonths+1,$FN235&gt;SwaptionFirstMonthPosition+SwaptionNumOfMonths+1),"",IF($FN235=HT$169,1,IF($FN235&lt;HT$169,INDEX($FO$170:$IH$241,HT$169,$FN235),SUMPRODUCT(INDEX($FO$325:$IH$396,HT$169,1+SwaptionShift):INDEX($FO$325:$IH$396,HT$169,SwaptionMonthsToGo+SwaptionShift),INDEX($FO$245:$IH$316,$FN235-HT$169,73-HT$169+SwaptionShift):INDEX($FO$245:$IH$316,$FN235-HT$169,72-HT$169+SwaptionMonthsToGo+SwaptionShift))/SQRT(SUM(INDEX($FO390:$IH390,1+SwaptionShift):INDEX($FO390:$IH390,SwaptionMonthsToGo+SwaptionShift))*SUM(INDEX($FO$325:$IH$396,HT$169,1+SwaptionShift):INDEX($FO$325:$IH$396,HT$169,SwaptionMonthsToGo+SwaptionShift))))))</f>
        <v/>
      </c>
      <c r="HU235" s="469" t="str">
        <f ca="1">IF(OR(HU$169&lt;SwaptionFirstMonthPosition+1,$FN235&lt;SwaptionFirstMonthPosition+1,HU$169&gt;SwaptionFirstMonthPosition+SwaptionNumOfMonths+1,$FN235&gt;SwaptionFirstMonthPosition+SwaptionNumOfMonths+1),"",IF($FN235=HU$169,1,IF($FN235&lt;HU$169,INDEX($FO$170:$IH$241,HU$169,$FN235),SUMPRODUCT(INDEX($FO$325:$IH$396,HU$169,1+SwaptionShift):INDEX($FO$325:$IH$396,HU$169,SwaptionMonthsToGo+SwaptionShift),INDEX($FO$245:$IH$316,$FN235-HU$169,73-HU$169+SwaptionShift):INDEX($FO$245:$IH$316,$FN235-HU$169,72-HU$169+SwaptionMonthsToGo+SwaptionShift))/SQRT(SUM(INDEX($FO390:$IH390,1+SwaptionShift):INDEX($FO390:$IH390,SwaptionMonthsToGo+SwaptionShift))*SUM(INDEX($FO$325:$IH$396,HU$169,1+SwaptionShift):INDEX($FO$325:$IH$396,HU$169,SwaptionMonthsToGo+SwaptionShift))))))</f>
        <v/>
      </c>
      <c r="HV235" s="469" t="str">
        <f ca="1">IF(OR(HV$169&lt;SwaptionFirstMonthPosition+1,$FN235&lt;SwaptionFirstMonthPosition+1,HV$169&gt;SwaptionFirstMonthPosition+SwaptionNumOfMonths+1,$FN235&gt;SwaptionFirstMonthPosition+SwaptionNumOfMonths+1),"",IF($FN235=HV$169,1,IF($FN235&lt;HV$169,INDEX($FO$170:$IH$241,HV$169,$FN235),SUMPRODUCT(INDEX($FO$325:$IH$396,HV$169,1+SwaptionShift):INDEX($FO$325:$IH$396,HV$169,SwaptionMonthsToGo+SwaptionShift),INDEX($FO$245:$IH$316,$FN235-HV$169,73-HV$169+SwaptionShift):INDEX($FO$245:$IH$316,$FN235-HV$169,72-HV$169+SwaptionMonthsToGo+SwaptionShift))/SQRT(SUM(INDEX($FO390:$IH390,1+SwaptionShift):INDEX($FO390:$IH390,SwaptionMonthsToGo+SwaptionShift))*SUM(INDEX($FO$325:$IH$396,HV$169,1+SwaptionShift):INDEX($FO$325:$IH$396,HV$169,SwaptionMonthsToGo+SwaptionShift))))))</f>
        <v/>
      </c>
      <c r="HW235" s="469" t="str">
        <f ca="1">IF(OR(HW$169&lt;SwaptionFirstMonthPosition+1,$FN235&lt;SwaptionFirstMonthPosition+1,HW$169&gt;SwaptionFirstMonthPosition+SwaptionNumOfMonths+1,$FN235&gt;SwaptionFirstMonthPosition+SwaptionNumOfMonths+1),"",IF($FN235=HW$169,1,IF($FN235&lt;HW$169,INDEX($FO$170:$IH$241,HW$169,$FN235),SUMPRODUCT(INDEX($FO$325:$IH$396,HW$169,1+SwaptionShift):INDEX($FO$325:$IH$396,HW$169,SwaptionMonthsToGo+SwaptionShift),INDEX($FO$245:$IH$316,$FN235-HW$169,73-HW$169+SwaptionShift):INDEX($FO$245:$IH$316,$FN235-HW$169,72-HW$169+SwaptionMonthsToGo+SwaptionShift))/SQRT(SUM(INDEX($FO390:$IH390,1+SwaptionShift):INDEX($FO390:$IH390,SwaptionMonthsToGo+SwaptionShift))*SUM(INDEX($FO$325:$IH$396,HW$169,1+SwaptionShift):INDEX($FO$325:$IH$396,HW$169,SwaptionMonthsToGo+SwaptionShift))))))</f>
        <v/>
      </c>
      <c r="HX235" s="469" t="str">
        <f ca="1">IF(OR(HX$169&lt;SwaptionFirstMonthPosition+1,$FN235&lt;SwaptionFirstMonthPosition+1,HX$169&gt;SwaptionFirstMonthPosition+SwaptionNumOfMonths+1,$FN235&gt;SwaptionFirstMonthPosition+SwaptionNumOfMonths+1),"",IF($FN235=HX$169,1,IF($FN235&lt;HX$169,INDEX($FO$170:$IH$241,HX$169,$FN235),SUMPRODUCT(INDEX($FO$325:$IH$396,HX$169,1+SwaptionShift):INDEX($FO$325:$IH$396,HX$169,SwaptionMonthsToGo+SwaptionShift),INDEX($FO$245:$IH$316,$FN235-HX$169,73-HX$169+SwaptionShift):INDEX($FO$245:$IH$316,$FN235-HX$169,72-HX$169+SwaptionMonthsToGo+SwaptionShift))/SQRT(SUM(INDEX($FO390:$IH390,1+SwaptionShift):INDEX($FO390:$IH390,SwaptionMonthsToGo+SwaptionShift))*SUM(INDEX($FO$325:$IH$396,HX$169,1+SwaptionShift):INDEX($FO$325:$IH$396,HX$169,SwaptionMonthsToGo+SwaptionShift))))))</f>
        <v/>
      </c>
      <c r="HY235" s="469" t="str">
        <f ca="1">IF(OR(HY$169&lt;SwaptionFirstMonthPosition+1,$FN235&lt;SwaptionFirstMonthPosition+1,HY$169&gt;SwaptionFirstMonthPosition+SwaptionNumOfMonths+1,$FN235&gt;SwaptionFirstMonthPosition+SwaptionNumOfMonths+1),"",IF($FN235=HY$169,1,IF($FN235&lt;HY$169,INDEX($FO$170:$IH$241,HY$169,$FN235),SUMPRODUCT(INDEX($FO$325:$IH$396,HY$169,1+SwaptionShift):INDEX($FO$325:$IH$396,HY$169,SwaptionMonthsToGo+SwaptionShift),INDEX($FO$245:$IH$316,$FN235-HY$169,73-HY$169+SwaptionShift):INDEX($FO$245:$IH$316,$FN235-HY$169,72-HY$169+SwaptionMonthsToGo+SwaptionShift))/SQRT(SUM(INDEX($FO390:$IH390,1+SwaptionShift):INDEX($FO390:$IH390,SwaptionMonthsToGo+SwaptionShift))*SUM(INDEX($FO$325:$IH$396,HY$169,1+SwaptionShift):INDEX($FO$325:$IH$396,HY$169,SwaptionMonthsToGo+SwaptionShift))))))</f>
        <v/>
      </c>
      <c r="HZ235" s="469" t="str">
        <f ca="1">IF(OR(HZ$169&lt;SwaptionFirstMonthPosition+1,$FN235&lt;SwaptionFirstMonthPosition+1,HZ$169&gt;SwaptionFirstMonthPosition+SwaptionNumOfMonths+1,$FN235&gt;SwaptionFirstMonthPosition+SwaptionNumOfMonths+1),"",IF($FN235=HZ$169,1,IF($FN235&lt;HZ$169,INDEX($FO$170:$IH$241,HZ$169,$FN235),SUMPRODUCT(INDEX($FO$325:$IH$396,HZ$169,1+SwaptionShift):INDEX($FO$325:$IH$396,HZ$169,SwaptionMonthsToGo+SwaptionShift),INDEX($FO$245:$IH$316,$FN235-HZ$169,73-HZ$169+SwaptionShift):INDEX($FO$245:$IH$316,$FN235-HZ$169,72-HZ$169+SwaptionMonthsToGo+SwaptionShift))/SQRT(SUM(INDEX($FO390:$IH390,1+SwaptionShift):INDEX($FO390:$IH390,SwaptionMonthsToGo+SwaptionShift))*SUM(INDEX($FO$325:$IH$396,HZ$169,1+SwaptionShift):INDEX($FO$325:$IH$396,HZ$169,SwaptionMonthsToGo+SwaptionShift))))))</f>
        <v/>
      </c>
      <c r="IA235" s="469" t="str">
        <f ca="1">IF(OR(IA$169&lt;SwaptionFirstMonthPosition+1,$FN235&lt;SwaptionFirstMonthPosition+1,IA$169&gt;SwaptionFirstMonthPosition+SwaptionNumOfMonths+1,$FN235&gt;SwaptionFirstMonthPosition+SwaptionNumOfMonths+1),"",IF($FN235=IA$169,1,IF($FN235&lt;IA$169,INDEX($FO$170:$IH$241,IA$169,$FN235),SUMPRODUCT(INDEX($FO$325:$IH$396,IA$169,1+SwaptionShift):INDEX($FO$325:$IH$396,IA$169,SwaptionMonthsToGo+SwaptionShift),INDEX($FO$245:$IH$316,$FN235-IA$169,73-IA$169+SwaptionShift):INDEX($FO$245:$IH$316,$FN235-IA$169,72-IA$169+SwaptionMonthsToGo+SwaptionShift))/SQRT(SUM(INDEX($FO390:$IH390,1+SwaptionShift):INDEX($FO390:$IH390,SwaptionMonthsToGo+SwaptionShift))*SUM(INDEX($FO$325:$IH$396,IA$169,1+SwaptionShift):INDEX($FO$325:$IH$396,IA$169,SwaptionMonthsToGo+SwaptionShift))))))</f>
        <v/>
      </c>
      <c r="IB235" s="469" t="str">
        <f ca="1">IF(OR(IB$169&lt;SwaptionFirstMonthPosition+1,$FN235&lt;SwaptionFirstMonthPosition+1,IB$169&gt;SwaptionFirstMonthPosition+SwaptionNumOfMonths+1,$FN235&gt;SwaptionFirstMonthPosition+SwaptionNumOfMonths+1),"",IF($FN235=IB$169,1,IF($FN235&lt;IB$169,INDEX($FO$170:$IH$241,IB$169,$FN235),SUMPRODUCT(INDEX($FO$325:$IH$396,IB$169,1+SwaptionShift):INDEX($FO$325:$IH$396,IB$169,SwaptionMonthsToGo+SwaptionShift),INDEX($FO$245:$IH$316,$FN235-IB$169,73-IB$169+SwaptionShift):INDEX($FO$245:$IH$316,$FN235-IB$169,72-IB$169+SwaptionMonthsToGo+SwaptionShift))/SQRT(SUM(INDEX($FO390:$IH390,1+SwaptionShift):INDEX($FO390:$IH390,SwaptionMonthsToGo+SwaptionShift))*SUM(INDEX($FO$325:$IH$396,IB$169,1+SwaptionShift):INDEX($FO$325:$IH$396,IB$169,SwaptionMonthsToGo+SwaptionShift))))))</f>
        <v/>
      </c>
      <c r="IC235" s="469" t="str">
        <f ca="1">IF(OR(IC$169&lt;SwaptionFirstMonthPosition+1,$FN235&lt;SwaptionFirstMonthPosition+1,IC$169&gt;SwaptionFirstMonthPosition+SwaptionNumOfMonths+1,$FN235&gt;SwaptionFirstMonthPosition+SwaptionNumOfMonths+1),"",IF($FN235=IC$169,1,IF($FN235&lt;IC$169,INDEX($FO$170:$IH$241,IC$169,$FN235),SUMPRODUCT(INDEX($FO$325:$IH$396,IC$169,1+SwaptionShift):INDEX($FO$325:$IH$396,IC$169,SwaptionMonthsToGo+SwaptionShift),INDEX($FO$245:$IH$316,$FN235-IC$169,73-IC$169+SwaptionShift):INDEX($FO$245:$IH$316,$FN235-IC$169,72-IC$169+SwaptionMonthsToGo+SwaptionShift))/SQRT(SUM(INDEX($FO390:$IH390,1+SwaptionShift):INDEX($FO390:$IH390,SwaptionMonthsToGo+SwaptionShift))*SUM(INDEX($FO$325:$IH$396,IC$169,1+SwaptionShift):INDEX($FO$325:$IH$396,IC$169,SwaptionMonthsToGo+SwaptionShift))))))</f>
        <v/>
      </c>
      <c r="ID235" s="469" t="str">
        <f ca="1">IF(OR(ID$169&lt;SwaptionFirstMonthPosition+1,$FN235&lt;SwaptionFirstMonthPosition+1,ID$169&gt;SwaptionFirstMonthPosition+SwaptionNumOfMonths+1,$FN235&gt;SwaptionFirstMonthPosition+SwaptionNumOfMonths+1),"",IF($FN235=ID$169,1,IF($FN235&lt;ID$169,INDEX($FO$170:$IH$241,ID$169,$FN235),SUMPRODUCT(INDEX($FO$325:$IH$396,ID$169,1+SwaptionShift):INDEX($FO$325:$IH$396,ID$169,SwaptionMonthsToGo+SwaptionShift),INDEX($FO$245:$IH$316,$FN235-ID$169,73-ID$169+SwaptionShift):INDEX($FO$245:$IH$316,$FN235-ID$169,72-ID$169+SwaptionMonthsToGo+SwaptionShift))/SQRT(SUM(INDEX($FO390:$IH390,1+SwaptionShift):INDEX($FO390:$IH390,SwaptionMonthsToGo+SwaptionShift))*SUM(INDEX($FO$325:$IH$396,ID$169,1+SwaptionShift):INDEX($FO$325:$IH$396,ID$169,SwaptionMonthsToGo+SwaptionShift))))))</f>
        <v/>
      </c>
      <c r="IE235" s="469" t="str">
        <f ca="1">IF(OR(IE$169&lt;SwaptionFirstMonthPosition+1,$FN235&lt;SwaptionFirstMonthPosition+1,IE$169&gt;SwaptionFirstMonthPosition+SwaptionNumOfMonths+1,$FN235&gt;SwaptionFirstMonthPosition+SwaptionNumOfMonths+1),"",IF($FN235=IE$169,1,IF($FN235&lt;IE$169,INDEX($FO$170:$IH$241,IE$169,$FN235),SUMPRODUCT(INDEX($FO$325:$IH$396,IE$169,1+SwaptionShift):INDEX($FO$325:$IH$396,IE$169,SwaptionMonthsToGo+SwaptionShift),INDEX($FO$245:$IH$316,$FN235-IE$169,73-IE$169+SwaptionShift):INDEX($FO$245:$IH$316,$FN235-IE$169,72-IE$169+SwaptionMonthsToGo+SwaptionShift))/SQRT(SUM(INDEX($FO390:$IH390,1+SwaptionShift):INDEX($FO390:$IH390,SwaptionMonthsToGo+SwaptionShift))*SUM(INDEX($FO$325:$IH$396,IE$169,1+SwaptionShift):INDEX($FO$325:$IH$396,IE$169,SwaptionMonthsToGo+SwaptionShift))))))</f>
        <v/>
      </c>
      <c r="IF235" s="469" t="str">
        <f ca="1">IF(OR(IF$169&lt;SwaptionFirstMonthPosition+1,$FN235&lt;SwaptionFirstMonthPosition+1,IF$169&gt;SwaptionFirstMonthPosition+SwaptionNumOfMonths+1,$FN235&gt;SwaptionFirstMonthPosition+SwaptionNumOfMonths+1),"",IF($FN235=IF$169,1,IF($FN235&lt;IF$169,INDEX($FO$170:$IH$241,IF$169,$FN235),SUMPRODUCT(INDEX($FO$325:$IH$396,IF$169,1+SwaptionShift):INDEX($FO$325:$IH$396,IF$169,SwaptionMonthsToGo+SwaptionShift),INDEX($FO$245:$IH$316,$FN235-IF$169,73-IF$169+SwaptionShift):INDEX($FO$245:$IH$316,$FN235-IF$169,72-IF$169+SwaptionMonthsToGo+SwaptionShift))/SQRT(SUM(INDEX($FO390:$IH390,1+SwaptionShift):INDEX($FO390:$IH390,SwaptionMonthsToGo+SwaptionShift))*SUM(INDEX($FO$325:$IH$396,IF$169,1+SwaptionShift):INDEX($FO$325:$IH$396,IF$169,SwaptionMonthsToGo+SwaptionShift))))))</f>
        <v/>
      </c>
      <c r="IG235" s="469" t="str">
        <f ca="1">IF(OR(IG$169&lt;SwaptionFirstMonthPosition+1,$FN235&lt;SwaptionFirstMonthPosition+1,IG$169&gt;SwaptionFirstMonthPosition+SwaptionNumOfMonths+1,$FN235&gt;SwaptionFirstMonthPosition+SwaptionNumOfMonths+1),"",IF($FN235=IG$169,1,IF($FN235&lt;IG$169,INDEX($FO$170:$IH$241,IG$169,$FN235),SUMPRODUCT(INDEX($FO$325:$IH$396,IG$169,1+SwaptionShift):INDEX($FO$325:$IH$396,IG$169,SwaptionMonthsToGo+SwaptionShift),INDEX($FO$245:$IH$316,$FN235-IG$169,73-IG$169+SwaptionShift):INDEX($FO$245:$IH$316,$FN235-IG$169,72-IG$169+SwaptionMonthsToGo+SwaptionShift))/SQRT(SUM(INDEX($FO390:$IH390,1+SwaptionShift):INDEX($FO390:$IH390,SwaptionMonthsToGo+SwaptionShift))*SUM(INDEX($FO$325:$IH$396,IG$169,1+SwaptionShift):INDEX($FO$325:$IH$396,IG$169,SwaptionMonthsToGo+SwaptionShift))))))</f>
        <v/>
      </c>
      <c r="IH235" s="662" t="str">
        <f ca="1">IF(OR(IH$169&lt;SwaptionFirstMonthPosition+1,$FN235&lt;SwaptionFirstMonthPosition+1,IH$169&gt;SwaptionFirstMonthPosition+SwaptionNumOfMonths+1,$FN235&gt;SwaptionFirstMonthPosition+SwaptionNumOfMonths+1),"",IF($FN235=IH$169,1,IF($FN235&lt;IH$169,INDEX($FO$170:$IH$241,IH$169,$FN235),SUMPRODUCT(INDEX($FO$325:$IH$396,IH$169,1+SwaptionShift):INDEX($FO$325:$IH$396,IH$169,SwaptionMonthsToGo+SwaptionShift),INDEX($FO$245:$IH$316,$FN235-IH$169,73-IH$169+SwaptionShift):INDEX($FO$245:$IH$316,$FN235-IH$169,72-IH$169+SwaptionMonthsToGo+SwaptionShift))/SQRT(SUM(INDEX($FO390:$IH390,1+SwaptionShift):INDEX($FO390:$IH390,SwaptionMonthsToGo+SwaptionShift))*SUM(INDEX($FO$325:$IH$396,IH$169,1+SwaptionShift):INDEX($FO$325:$IH$396,IH$169,SwaptionMonthsToGo+SwaptionShift))))))</f>
        <v/>
      </c>
      <c r="II235" s="242"/>
    </row>
    <row r="236" spans="8:243">
      <c r="H236" s="49" t="e">
        <f t="shared" ca="1" si="645"/>
        <v>#N/A</v>
      </c>
      <c r="I236" s="369">
        <f t="shared" si="646"/>
        <v>43586</v>
      </c>
      <c r="J236" s="367">
        <v>24.784999999999798</v>
      </c>
      <c r="K236" s="101" t="s">
        <v>267</v>
      </c>
      <c r="L236" s="382">
        <f t="shared" si="647"/>
        <v>24.784999999999823</v>
      </c>
      <c r="M236" s="163">
        <v>0.12470000000000001</v>
      </c>
      <c r="N236" s="372">
        <v>0</v>
      </c>
      <c r="O236" s="163">
        <f t="shared" si="595"/>
        <v>0.12470000000000001</v>
      </c>
      <c r="P236" s="367">
        <v>23.581048521321698</v>
      </c>
      <c r="Q236" s="101" t="s">
        <v>267</v>
      </c>
      <c r="R236" s="367">
        <f t="shared" ca="1" si="596"/>
        <v>23.581048521321666</v>
      </c>
      <c r="S236" s="814">
        <f t="shared" si="594"/>
        <v>0.34576151693568585</v>
      </c>
      <c r="T236" s="813">
        <f t="shared" si="660"/>
        <v>0.99999999998979461</v>
      </c>
      <c r="U236" s="532">
        <f t="shared" si="661"/>
        <v>0.99999999999999978</v>
      </c>
      <c r="V236" s="379">
        <v>0</v>
      </c>
      <c r="W236" s="424">
        <f t="shared" si="597"/>
        <v>24.819782608695451</v>
      </c>
      <c r="X236" s="405">
        <f t="shared" si="598"/>
        <v>24.819782608695469</v>
      </c>
      <c r="Y236" s="313">
        <f t="shared" si="599"/>
        <v>23.47578260869545</v>
      </c>
      <c r="Z236" s="313">
        <f t="shared" ca="1" si="600"/>
        <v>23.475782608695468</v>
      </c>
      <c r="AA236" s="419">
        <f t="shared" si="623"/>
        <v>1.3440000000000001</v>
      </c>
      <c r="AB236" s="423">
        <f t="shared" ca="1" si="624"/>
        <v>1.3440000000000001</v>
      </c>
      <c r="AC236" s="221">
        <v>43575</v>
      </c>
      <c r="AD236" s="221">
        <v>43571</v>
      </c>
      <c r="AE236" s="221">
        <v>43570</v>
      </c>
      <c r="AF236" s="221">
        <v>43566</v>
      </c>
      <c r="AG236" s="241" t="s">
        <v>497</v>
      </c>
      <c r="AH236" s="239" t="s">
        <v>497</v>
      </c>
      <c r="AI236" s="141">
        <v>23</v>
      </c>
      <c r="AJ236" s="41">
        <v>14</v>
      </c>
      <c r="AK236" s="41">
        <v>9</v>
      </c>
      <c r="AL236" s="285">
        <v>23</v>
      </c>
      <c r="AM236" s="41">
        <v>10</v>
      </c>
      <c r="AN236" s="142">
        <v>13</v>
      </c>
      <c r="AO236" s="364">
        <v>6.3592364690577607E-2</v>
      </c>
      <c r="AP236" s="145">
        <f t="shared" ca="1" si="648"/>
        <v>0.32120739467005716</v>
      </c>
      <c r="AQ236" s="364">
        <v>6.0144488667328098E-2</v>
      </c>
      <c r="AR236" s="145">
        <f t="shared" ca="1" si="662"/>
        <v>0.34379958544669476</v>
      </c>
      <c r="AS236" s="264">
        <f t="shared" si="601"/>
        <v>0.12414347826086958</v>
      </c>
      <c r="AT236" s="149">
        <f t="shared" si="649"/>
        <v>0.12470000000000001</v>
      </c>
      <c r="AU236" s="149">
        <f t="shared" si="625"/>
        <v>0.12407391304347826</v>
      </c>
      <c r="AV236" s="263">
        <f t="shared" ca="1" si="669"/>
        <v>0.12271052044062319</v>
      </c>
      <c r="AW236" s="150" t="str">
        <f t="shared" ca="1" si="581"/>
        <v/>
      </c>
      <c r="AX236" s="149">
        <f t="shared" ca="1" si="663"/>
        <v>3.0772982889835385E-3</v>
      </c>
      <c r="AY236" s="149">
        <f t="shared" ca="1" si="664"/>
        <v>9.1913102445901457E-4</v>
      </c>
      <c r="AZ236" s="149">
        <f t="shared" ca="1" si="665"/>
        <v>1.1798261707718991E-3</v>
      </c>
      <c r="BA236" s="149">
        <f t="shared" ca="1" si="666"/>
        <v>1.0000000000001171E-4</v>
      </c>
      <c r="BB236" s="149">
        <f t="shared" ca="1" si="667"/>
        <v>1.0000000000001171E-4</v>
      </c>
      <c r="BC236" s="149">
        <f t="shared" ca="1" si="668"/>
        <v>1.0000000000001171E-4</v>
      </c>
      <c r="BD236" s="143">
        <f t="shared" ca="1" si="602"/>
        <v>0</v>
      </c>
      <c r="BE236" s="144">
        <f t="shared" ca="1" si="603"/>
        <v>0</v>
      </c>
      <c r="BF236" s="40">
        <f t="shared" si="604"/>
        <v>2019</v>
      </c>
      <c r="BG236" s="139">
        <f t="shared" si="605"/>
        <v>5</v>
      </c>
      <c r="BH236" s="140">
        <f t="shared" ca="1" si="606"/>
        <v>6581</v>
      </c>
      <c r="BI236" s="304">
        <f t="shared" ca="1" si="607"/>
        <v>18.05886379192334</v>
      </c>
      <c r="BJ236" s="42">
        <f t="shared" ca="1" si="626"/>
        <v>18.108859328036189</v>
      </c>
      <c r="BK236" s="42">
        <f t="shared" ca="1" si="627"/>
        <v>18.11159717882332</v>
      </c>
      <c r="BL236" s="42">
        <f t="shared" ca="1" si="608"/>
        <v>18.140999315537304</v>
      </c>
      <c r="BM236" s="285">
        <f t="shared" si="609"/>
        <v>23</v>
      </c>
      <c r="BN236" s="41">
        <f t="shared" si="610"/>
        <v>14</v>
      </c>
      <c r="BO236" s="41">
        <f t="shared" si="611"/>
        <v>9</v>
      </c>
      <c r="BP236" s="297" t="str">
        <f t="shared" ca="1" si="628"/>
        <v/>
      </c>
      <c r="BQ236" s="297" t="str">
        <f t="shared" ca="1" si="629"/>
        <v/>
      </c>
      <c r="BR236" s="299" t="str">
        <f t="shared" ca="1" si="630"/>
        <v/>
      </c>
      <c r="BS236" s="153" t="str">
        <f t="shared" ca="1" si="631"/>
        <v/>
      </c>
      <c r="BT236" s="153" t="str">
        <f t="shared" ca="1" si="632"/>
        <v/>
      </c>
      <c r="BU236" s="300" t="str">
        <f t="shared" ca="1" si="633"/>
        <v/>
      </c>
      <c r="BV236" s="301" t="str">
        <f t="shared" ca="1" si="634"/>
        <v/>
      </c>
      <c r="BW236" s="300" t="str">
        <f t="shared" ca="1" si="635"/>
        <v/>
      </c>
      <c r="BX236" s="301" t="str">
        <f t="shared" ca="1" si="636"/>
        <v/>
      </c>
      <c r="BY236" s="146" t="str">
        <f t="shared" ca="1" si="637"/>
        <v/>
      </c>
      <c r="BZ236" s="146" t="str">
        <f t="shared" ca="1" si="638"/>
        <v/>
      </c>
      <c r="CA236" s="146" t="str">
        <f t="shared" ca="1" si="639"/>
        <v/>
      </c>
      <c r="CB236" s="146" t="str">
        <f t="shared" ca="1" si="640"/>
        <v/>
      </c>
      <c r="CC236" s="302">
        <v>1</v>
      </c>
      <c r="CD236" s="154">
        <f ca="1">IF(BD236,_xll.xCrudeAPO(BS236,BT236,BY236,BZ236,S237,S238,BI236,BL236,BN236,BO236,0,Strike1,AO236,CC236,0,BL236,IF(OptControl=4,0,1),0,1),0)</f>
        <v>0</v>
      </c>
      <c r="CE236" s="155">
        <f ca="1">IF(BD236,_xll.xCrudeAPO(BS236,BT236,BY236,BZ236,S237,S238,BI236,BL236,BN236,BO236,0,Strike1,AO236,CC236,0,BL236,IF(OptControl=4,0,1),1,1)+_xll.xCrudeAPO(BS236,BT236,BY236,BZ236,S237,S238,BI236,BL236,BN236,BO236,0,Strike1,AO236,CC236,0,BL236,IF(OptControl=4,0,1),1,2)+IF(OR(VolSkewFlag=2,ABS(BQ236)&lt;0.0001),0,IF(BQ236&gt;0,-1,1)*CF236*Strike1/BP236^2*BW236/10%),0)</f>
        <v>0</v>
      </c>
      <c r="CF236" s="155">
        <f ca="1">IF(BD236,(_xll.xCrudeAPO(BS236,BT236,BY236,BZ236,S237,S238,BI236,BL236,BN236,BO236,0,Strike1,AO236,CC236,0,BL236,IF(OptControl=4,0,1),3,1)+_xll.xCrudeAPO(BS236,BT236,BY236,BZ236,S237,S238,BI236,BL236,BN236,BO236,0,Strike1,AO236,CC236,0,BL236,IF(OptControl=4,0,1),3,2))/100,0)</f>
        <v>0</v>
      </c>
      <c r="CG236" s="155">
        <f ca="1">IF(BD236,_xll.xCrudeAPO(BS236,BT236,BY236,BZ236,S237,S238,BI236-DaysForThetaCalculation/365.25,BL236-DaysForThetaCalculation/365.25,BN236,BO236,0,Strike1,AO236,CC236,0,BL236,IF(OptControl=4,0,1),0,1)-_xll.xCrudeAPO(BS236,BT236,BY236,BZ236,S237,S238,BI236,BL236,BN236,BO236,0,Strike1,AO236,CC236,0,BL236,IF(OptControl=4,0,1),0,1),0)</f>
        <v>0</v>
      </c>
      <c r="CH236" s="303">
        <f ca="1">IF(BD236,_xll.xCrudeAPO(BS236,BT236,CA236,CB236,S237,S238,BI236,BL236,BN236,BO236,0,Strike2,AO236,CC236,0,BL236,IF(OptControl=3,1,0),0,1),0)</f>
        <v>0</v>
      </c>
      <c r="CI236" s="155">
        <f ca="1">IF(BD236,_xll.xCrudeAPO(BS236,BT236,CA236,CB236,S237,S238,BI236,BL236,BN236,BO236,0,Strike2,AO236,CC236,0,BL236,IF(OptControl=3,1,0),1,1)+_xll.xCrudeAPO(BS236,BT236,CA236,CB236,S237,S238,BI236,BL236,BN236,BO236,0,Strike2,AO236,CC236,0,BL236,IF(OptControl=3,1,0),1,2)+IF(OR(VolSkewFlag=2,ABS(BR236)&lt;0.0001),0,IF(BR236&gt;0,-1,1)*CJ236*Strike2/BP236^2*BX236/10%),0)</f>
        <v>0</v>
      </c>
      <c r="CJ236" s="155">
        <f ca="1">IF(BD236,(_xll.xCrudeAPO(BS236,BT236,CA236,CB236,S237,S238,BI236,BL236,BN236,BO236,0,Strike2,AO236,CC236,0,BL236,IF(OptControl=3,1,0),3,1)+_xll.xCrudeAPO(BS236,BT236,CA236,CB236,S237,S238,BI236,BL236,BN236,BO236,0,Strike2,AO236,CC236,0,BL236,IF(OptControl=3,1,0),3,2))/100,0)</f>
        <v>0</v>
      </c>
      <c r="CK236" s="156">
        <f ca="1">IF(BD236,_xll.xCrudeAPO(BS236,BT236,CA236,CB236,S237,S238,BI236-DaysForThetaCalculation/365.25,BL236-DaysForThetaCalculation/365.25,BN236,BO236,0,Strike2,AO236,CC236,0,BL236,IF(OptControl=3,1,0),0,1)-_xll.xCrudeAPO(BS236,BT236,CA236,CB236,S237,S238,BI236,BL236,BN236,BO236,0,Strike2,AO236,CC236,0,BL236,IF(OptControl=3,1,0),0,1),0)</f>
        <v>0</v>
      </c>
      <c r="CL236" s="51"/>
      <c r="CM236" s="779" t="str">
        <f t="shared" ca="1" si="650"/>
        <v/>
      </c>
      <c r="CN236" s="783" t="str">
        <f t="shared" ca="1" si="651"/>
        <v/>
      </c>
      <c r="CO236" s="780" t="str">
        <f t="shared" ca="1" si="652"/>
        <v/>
      </c>
      <c r="CP236" s="780" t="str">
        <f t="shared" ca="1" si="653"/>
        <v/>
      </c>
      <c r="CQ236" s="780" t="str">
        <f t="shared" ca="1" si="654"/>
        <v/>
      </c>
      <c r="CR236" s="780" t="str">
        <f t="shared" ca="1" si="655"/>
        <v/>
      </c>
      <c r="CS236" s="781" t="str">
        <f t="shared" ca="1" si="656"/>
        <v/>
      </c>
      <c r="CT236" s="782" t="str">
        <f t="shared" ca="1" si="657"/>
        <v/>
      </c>
      <c r="CU236" s="782" t="str">
        <f t="shared" ca="1" si="658"/>
        <v/>
      </c>
      <c r="CV236" s="155">
        <f ca="1">IF(BD236,_xll.EURO(CN236,Strike1,AO236,AO236,CT236,CM236,IF(OptControl=4,0,1),0),0)</f>
        <v>0</v>
      </c>
      <c r="CW236" s="155">
        <f ca="1">IF(BD236,_xll.EURO(CN236,Strike1,AO236,AO236,CT236,CM236,IF(OptControl=4,0,1),1)+IF(OR(VolSkewFlag=2,ABS(CO236)&lt;0.0001),0,IF(CO236&gt;0,-1,1)*CX236*100*Strike1/CN236^2*CQ236/10%),0)</f>
        <v>0</v>
      </c>
      <c r="CX236" s="155">
        <f ca="1">IF(BD236,_xll.EURO(CN236,Strike1,AO236,AO236,CT236,CM236,IF(OptControl=4,0,1),3)/100,0)</f>
        <v>0</v>
      </c>
      <c r="CY236" s="155">
        <f ca="1">IF(BD236,_xll.EURO(CN236,Strike1,AO236,AO236,CT236,CM236,IF(OptControl=4,0,1),0)-_xll.EURO(CN236,Strike1,AO236,AO236,CT236,CM236-1,IF(OptControl=4,0,1),0),0)</f>
        <v>0</v>
      </c>
      <c r="CZ236" s="155">
        <f ca="1">IF(BD236,_xll.EURO(CN236,Strike2,AO236,AO236,CU236,CM236,IF(OptControl=3,1,0),0),0)</f>
        <v>0</v>
      </c>
      <c r="DA236" s="155">
        <f ca="1">IF(BD236,_xll.EURO(CN236,Strike2,AO236,AO236,CU236,CM236,IF(OptControl=3,1,0),1)+IF(OR(VolSkewFlag=2,ABS(CP236)&lt;0.0001),0,IF(CP236&gt;0,-1,1)*DB236*100*Strike2/CN236^2*CR236/10%),0)</f>
        <v>0</v>
      </c>
      <c r="DB236" s="155">
        <f ca="1">IF(BD236,_xll.EURO(CN236,Strike2,AO236,AO236,CU236,CM236,IF(OptControl=3,1,0),3)/100,0)</f>
        <v>0</v>
      </c>
      <c r="DC236" s="156">
        <f ca="1">IF(BD236,_xll.EURO(CN236,Strike2,AO236,AO236,CU236,CM236,IF(OptControl=3,1,0),0)-_xll.EURO(CN236,Strike2,AO236,AO236,CU236,CM236-1,IF(OptControl=3,1,0),0),0)</f>
        <v>0</v>
      </c>
      <c r="DE236" s="651">
        <f t="shared" ca="1" si="659"/>
        <v>43497</v>
      </c>
      <c r="DF236" s="465">
        <v>1E-4</v>
      </c>
      <c r="DG236" s="649">
        <v>1E-4</v>
      </c>
      <c r="DH236" s="650">
        <f t="shared" ca="1" si="612"/>
        <v>43497</v>
      </c>
      <c r="DI236" s="465">
        <v>1E-4</v>
      </c>
      <c r="DJ236" s="649">
        <v>1E-4</v>
      </c>
      <c r="DK236" s="651">
        <f t="shared" ca="1" si="613"/>
        <v>43497</v>
      </c>
      <c r="DL236" s="652">
        <f t="shared" si="614"/>
        <v>5.0100000000000006E-2</v>
      </c>
      <c r="DM236" s="651">
        <f t="shared" ca="1" si="615"/>
        <v>43497</v>
      </c>
      <c r="DN236" s="563">
        <f t="shared" si="616"/>
        <v>-0.12990000000000002</v>
      </c>
      <c r="DO236" s="803">
        <v>-0.13</v>
      </c>
      <c r="DP236" s="650">
        <f t="shared" ca="1" si="617"/>
        <v>43497</v>
      </c>
      <c r="DQ236" s="653">
        <v>1E-4</v>
      </c>
      <c r="DR236" s="590">
        <v>1E-4</v>
      </c>
      <c r="DS236" s="650">
        <f t="shared" ca="1" si="618"/>
        <v>43497</v>
      </c>
      <c r="DT236" s="653">
        <v>1E-4</v>
      </c>
      <c r="DU236" s="590">
        <v>1E-4</v>
      </c>
      <c r="DV236" s="651">
        <f t="shared" ca="1" si="619"/>
        <v>43497</v>
      </c>
      <c r="DW236" s="590">
        <v>1E-4</v>
      </c>
      <c r="DX236" s="651">
        <f t="shared" ca="1" si="620"/>
        <v>43497</v>
      </c>
      <c r="DY236" s="590">
        <f t="shared" si="621"/>
        <v>1E-4</v>
      </c>
      <c r="DZ236" s="1"/>
      <c r="EA236" s="857"/>
      <c r="EB236" s="857"/>
      <c r="EC236" s="857"/>
      <c r="ED236" s="868" t="e">
        <f t="shared" ca="1" si="670"/>
        <v>#NAME?</v>
      </c>
      <c r="EE236" s="863" t="e">
        <f t="shared" ca="1" si="641"/>
        <v>#NAME?</v>
      </c>
      <c r="EF236" s="590" t="e">
        <f t="shared" ca="1" si="642"/>
        <v>#NAME?</v>
      </c>
      <c r="EG236" s="862" t="str">
        <f t="shared" ca="1" si="622"/>
        <v/>
      </c>
      <c r="EH236" s="114" t="str">
        <f t="shared" ca="1" si="643"/>
        <v/>
      </c>
      <c r="EI236" s="109" t="str">
        <f t="shared" ca="1" si="644"/>
        <v/>
      </c>
      <c r="EJ236" s="115">
        <f ca="1">IF(BD236,_xll.xASN(BP236,Strike1,AO236,EH236,0,BM236,0,BI236,BL236,IF(OptControl=4,0,1),0),0)</f>
        <v>0</v>
      </c>
      <c r="EK236" s="108">
        <f ca="1">IF(BD236,_xll.xASN(BP236,Strike2,AO236,EI236,0,BM236,0,BI236,BL236,IF(OptControl=3,1,0),0),0)</f>
        <v>0</v>
      </c>
      <c r="EP236" s="53"/>
      <c r="EQ236" s="1"/>
      <c r="ER236" s="103"/>
      <c r="ES236" s="103"/>
      <c r="ET236" s="1"/>
      <c r="EU236" s="667" t="s">
        <v>449</v>
      </c>
      <c r="EW236" s="53"/>
      <c r="EY236" s="104"/>
      <c r="FN236" s="657">
        <v>67</v>
      </c>
      <c r="FO236" s="469" t="str">
        <f ca="1">IF(OR(FO$169&lt;SwaptionFirstMonthPosition+1,$FN236&lt;SwaptionFirstMonthPosition+1,FO$169&gt;SwaptionFirstMonthPosition+SwaptionNumOfMonths+1,$FN236&gt;SwaptionFirstMonthPosition+SwaptionNumOfMonths+1),"",IF($FN236=FO$169,1,IF($FN236&lt;FO$169,INDEX($FO$170:$IH$241,FO$169,$FN236),SUMPRODUCT(INDEX($FO$325:$IH$396,FO$169,1+SwaptionShift):INDEX($FO$325:$IH$396,FO$169,SwaptionMonthsToGo+SwaptionShift),INDEX($FO$245:$IH$316,$FN236-FO$169,73-FO$169+SwaptionShift):INDEX($FO$245:$IH$316,$FN236-FO$169,72-FO$169+SwaptionMonthsToGo+SwaptionShift))/SQRT(SUM(INDEX($FO391:$IH391,1+SwaptionShift):INDEX($FO391:$IH391,SwaptionMonthsToGo+SwaptionShift))*SUM(INDEX($FO$325:$IH$396,FO$169,1+SwaptionShift):INDEX($FO$325:$IH$396,FO$169,SwaptionMonthsToGo+SwaptionShift))))))</f>
        <v/>
      </c>
      <c r="FP236" s="469" t="str">
        <f ca="1">IF(OR(FP$169&lt;SwaptionFirstMonthPosition+1,$FN236&lt;SwaptionFirstMonthPosition+1,FP$169&gt;SwaptionFirstMonthPosition+SwaptionNumOfMonths+1,$FN236&gt;SwaptionFirstMonthPosition+SwaptionNumOfMonths+1),"",IF($FN236=FP$169,1,IF($FN236&lt;FP$169,INDEX($FO$170:$IH$241,FP$169,$FN236),SUMPRODUCT(INDEX($FO$325:$IH$396,FP$169,1+SwaptionShift):INDEX($FO$325:$IH$396,FP$169,SwaptionMonthsToGo+SwaptionShift),INDEX($FO$245:$IH$316,$FN236-FP$169,73-FP$169+SwaptionShift):INDEX($FO$245:$IH$316,$FN236-FP$169,72-FP$169+SwaptionMonthsToGo+SwaptionShift))/SQRT(SUM(INDEX($FO391:$IH391,1+SwaptionShift):INDEX($FO391:$IH391,SwaptionMonthsToGo+SwaptionShift))*SUM(INDEX($FO$325:$IH$396,FP$169,1+SwaptionShift):INDEX($FO$325:$IH$396,FP$169,SwaptionMonthsToGo+SwaptionShift))))))</f>
        <v/>
      </c>
      <c r="FQ236" s="469" t="str">
        <f ca="1">IF(OR(FQ$169&lt;SwaptionFirstMonthPosition+1,$FN236&lt;SwaptionFirstMonthPosition+1,FQ$169&gt;SwaptionFirstMonthPosition+SwaptionNumOfMonths+1,$FN236&gt;SwaptionFirstMonthPosition+SwaptionNumOfMonths+1),"",IF($FN236=FQ$169,1,IF($FN236&lt;FQ$169,INDEX($FO$170:$IH$241,FQ$169,$FN236),SUMPRODUCT(INDEX($FO$325:$IH$396,FQ$169,1+SwaptionShift):INDEX($FO$325:$IH$396,FQ$169,SwaptionMonthsToGo+SwaptionShift),INDEX($FO$245:$IH$316,$FN236-FQ$169,73-FQ$169+SwaptionShift):INDEX($FO$245:$IH$316,$FN236-FQ$169,72-FQ$169+SwaptionMonthsToGo+SwaptionShift))/SQRT(SUM(INDEX($FO391:$IH391,1+SwaptionShift):INDEX($FO391:$IH391,SwaptionMonthsToGo+SwaptionShift))*SUM(INDEX($FO$325:$IH$396,FQ$169,1+SwaptionShift):INDEX($FO$325:$IH$396,FQ$169,SwaptionMonthsToGo+SwaptionShift))))))</f>
        <v/>
      </c>
      <c r="FR236" s="469" t="str">
        <f ca="1">IF(OR(FR$169&lt;SwaptionFirstMonthPosition+1,$FN236&lt;SwaptionFirstMonthPosition+1,FR$169&gt;SwaptionFirstMonthPosition+SwaptionNumOfMonths+1,$FN236&gt;SwaptionFirstMonthPosition+SwaptionNumOfMonths+1),"",IF($FN236=FR$169,1,IF($FN236&lt;FR$169,INDEX($FO$170:$IH$241,FR$169,$FN236),SUMPRODUCT(INDEX($FO$325:$IH$396,FR$169,1+SwaptionShift):INDEX($FO$325:$IH$396,FR$169,SwaptionMonthsToGo+SwaptionShift),INDEX($FO$245:$IH$316,$FN236-FR$169,73-FR$169+SwaptionShift):INDEX($FO$245:$IH$316,$FN236-FR$169,72-FR$169+SwaptionMonthsToGo+SwaptionShift))/SQRT(SUM(INDEX($FO391:$IH391,1+SwaptionShift):INDEX($FO391:$IH391,SwaptionMonthsToGo+SwaptionShift))*SUM(INDEX($FO$325:$IH$396,FR$169,1+SwaptionShift):INDEX($FO$325:$IH$396,FR$169,SwaptionMonthsToGo+SwaptionShift))))))</f>
        <v/>
      </c>
      <c r="FS236" s="469" t="str">
        <f ca="1">IF(OR(FS$169&lt;SwaptionFirstMonthPosition+1,$FN236&lt;SwaptionFirstMonthPosition+1,FS$169&gt;SwaptionFirstMonthPosition+SwaptionNumOfMonths+1,$FN236&gt;SwaptionFirstMonthPosition+SwaptionNumOfMonths+1),"",IF($FN236=FS$169,1,IF($FN236&lt;FS$169,INDEX($FO$170:$IH$241,FS$169,$FN236),SUMPRODUCT(INDEX($FO$325:$IH$396,FS$169,1+SwaptionShift):INDEX($FO$325:$IH$396,FS$169,SwaptionMonthsToGo+SwaptionShift),INDEX($FO$245:$IH$316,$FN236-FS$169,73-FS$169+SwaptionShift):INDEX($FO$245:$IH$316,$FN236-FS$169,72-FS$169+SwaptionMonthsToGo+SwaptionShift))/SQRT(SUM(INDEX($FO391:$IH391,1+SwaptionShift):INDEX($FO391:$IH391,SwaptionMonthsToGo+SwaptionShift))*SUM(INDEX($FO$325:$IH$396,FS$169,1+SwaptionShift):INDEX($FO$325:$IH$396,FS$169,SwaptionMonthsToGo+SwaptionShift))))))</f>
        <v/>
      </c>
      <c r="FT236" s="469" t="str">
        <f ca="1">IF(OR(FT$169&lt;SwaptionFirstMonthPosition+1,$FN236&lt;SwaptionFirstMonthPosition+1,FT$169&gt;SwaptionFirstMonthPosition+SwaptionNumOfMonths+1,$FN236&gt;SwaptionFirstMonthPosition+SwaptionNumOfMonths+1),"",IF($FN236=FT$169,1,IF($FN236&lt;FT$169,INDEX($FO$170:$IH$241,FT$169,$FN236),SUMPRODUCT(INDEX($FO$325:$IH$396,FT$169,1+SwaptionShift):INDEX($FO$325:$IH$396,FT$169,SwaptionMonthsToGo+SwaptionShift),INDEX($FO$245:$IH$316,$FN236-FT$169,73-FT$169+SwaptionShift):INDEX($FO$245:$IH$316,$FN236-FT$169,72-FT$169+SwaptionMonthsToGo+SwaptionShift))/SQRT(SUM(INDEX($FO391:$IH391,1+SwaptionShift):INDEX($FO391:$IH391,SwaptionMonthsToGo+SwaptionShift))*SUM(INDEX($FO$325:$IH$396,FT$169,1+SwaptionShift):INDEX($FO$325:$IH$396,FT$169,SwaptionMonthsToGo+SwaptionShift))))))</f>
        <v/>
      </c>
      <c r="FU236" s="469" t="str">
        <f ca="1">IF(OR(FU$169&lt;SwaptionFirstMonthPosition+1,$FN236&lt;SwaptionFirstMonthPosition+1,FU$169&gt;SwaptionFirstMonthPosition+SwaptionNumOfMonths+1,$FN236&gt;SwaptionFirstMonthPosition+SwaptionNumOfMonths+1),"",IF($FN236=FU$169,1,IF($FN236&lt;FU$169,INDEX($FO$170:$IH$241,FU$169,$FN236),SUMPRODUCT(INDEX($FO$325:$IH$396,FU$169,1+SwaptionShift):INDEX($FO$325:$IH$396,FU$169,SwaptionMonthsToGo+SwaptionShift),INDEX($FO$245:$IH$316,$FN236-FU$169,73-FU$169+SwaptionShift):INDEX($FO$245:$IH$316,$FN236-FU$169,72-FU$169+SwaptionMonthsToGo+SwaptionShift))/SQRT(SUM(INDEX($FO391:$IH391,1+SwaptionShift):INDEX($FO391:$IH391,SwaptionMonthsToGo+SwaptionShift))*SUM(INDEX($FO$325:$IH$396,FU$169,1+SwaptionShift):INDEX($FO$325:$IH$396,FU$169,SwaptionMonthsToGo+SwaptionShift))))))</f>
        <v/>
      </c>
      <c r="FV236" s="469" t="str">
        <f ca="1">IF(OR(FV$169&lt;SwaptionFirstMonthPosition+1,$FN236&lt;SwaptionFirstMonthPosition+1,FV$169&gt;SwaptionFirstMonthPosition+SwaptionNumOfMonths+1,$FN236&gt;SwaptionFirstMonthPosition+SwaptionNumOfMonths+1),"",IF($FN236=FV$169,1,IF($FN236&lt;FV$169,INDEX($FO$170:$IH$241,FV$169,$FN236),SUMPRODUCT(INDEX($FO$325:$IH$396,FV$169,1+SwaptionShift):INDEX($FO$325:$IH$396,FV$169,SwaptionMonthsToGo+SwaptionShift),INDEX($FO$245:$IH$316,$FN236-FV$169,73-FV$169+SwaptionShift):INDEX($FO$245:$IH$316,$FN236-FV$169,72-FV$169+SwaptionMonthsToGo+SwaptionShift))/SQRT(SUM(INDEX($FO391:$IH391,1+SwaptionShift):INDEX($FO391:$IH391,SwaptionMonthsToGo+SwaptionShift))*SUM(INDEX($FO$325:$IH$396,FV$169,1+SwaptionShift):INDEX($FO$325:$IH$396,FV$169,SwaptionMonthsToGo+SwaptionShift))))))</f>
        <v/>
      </c>
      <c r="FW236" s="469" t="str">
        <f ca="1">IF(OR(FW$169&lt;SwaptionFirstMonthPosition+1,$FN236&lt;SwaptionFirstMonthPosition+1,FW$169&gt;SwaptionFirstMonthPosition+SwaptionNumOfMonths+1,$FN236&gt;SwaptionFirstMonthPosition+SwaptionNumOfMonths+1),"",IF($FN236=FW$169,1,IF($FN236&lt;FW$169,INDEX($FO$170:$IH$241,FW$169,$FN236),SUMPRODUCT(INDEX($FO$325:$IH$396,FW$169,1+SwaptionShift):INDEX($FO$325:$IH$396,FW$169,SwaptionMonthsToGo+SwaptionShift),INDEX($FO$245:$IH$316,$FN236-FW$169,73-FW$169+SwaptionShift):INDEX($FO$245:$IH$316,$FN236-FW$169,72-FW$169+SwaptionMonthsToGo+SwaptionShift))/SQRT(SUM(INDEX($FO391:$IH391,1+SwaptionShift):INDEX($FO391:$IH391,SwaptionMonthsToGo+SwaptionShift))*SUM(INDEX($FO$325:$IH$396,FW$169,1+SwaptionShift):INDEX($FO$325:$IH$396,FW$169,SwaptionMonthsToGo+SwaptionShift))))))</f>
        <v/>
      </c>
      <c r="FX236" s="469" t="str">
        <f ca="1">IF(OR(FX$169&lt;SwaptionFirstMonthPosition+1,$FN236&lt;SwaptionFirstMonthPosition+1,FX$169&gt;SwaptionFirstMonthPosition+SwaptionNumOfMonths+1,$FN236&gt;SwaptionFirstMonthPosition+SwaptionNumOfMonths+1),"",IF($FN236=FX$169,1,IF($FN236&lt;FX$169,INDEX($FO$170:$IH$241,FX$169,$FN236),SUMPRODUCT(INDEX($FO$325:$IH$396,FX$169,1+SwaptionShift):INDEX($FO$325:$IH$396,FX$169,SwaptionMonthsToGo+SwaptionShift),INDEX($FO$245:$IH$316,$FN236-FX$169,73-FX$169+SwaptionShift):INDEX($FO$245:$IH$316,$FN236-FX$169,72-FX$169+SwaptionMonthsToGo+SwaptionShift))/SQRT(SUM(INDEX($FO391:$IH391,1+SwaptionShift):INDEX($FO391:$IH391,SwaptionMonthsToGo+SwaptionShift))*SUM(INDEX($FO$325:$IH$396,FX$169,1+SwaptionShift):INDEX($FO$325:$IH$396,FX$169,SwaptionMonthsToGo+SwaptionShift))))))</f>
        <v/>
      </c>
      <c r="FY236" s="469" t="str">
        <f ca="1">IF(OR(FY$169&lt;SwaptionFirstMonthPosition+1,$FN236&lt;SwaptionFirstMonthPosition+1,FY$169&gt;SwaptionFirstMonthPosition+SwaptionNumOfMonths+1,$FN236&gt;SwaptionFirstMonthPosition+SwaptionNumOfMonths+1),"",IF($FN236=FY$169,1,IF($FN236&lt;FY$169,INDEX($FO$170:$IH$241,FY$169,$FN236),SUMPRODUCT(INDEX($FO$325:$IH$396,FY$169,1+SwaptionShift):INDEX($FO$325:$IH$396,FY$169,SwaptionMonthsToGo+SwaptionShift),INDEX($FO$245:$IH$316,$FN236-FY$169,73-FY$169+SwaptionShift):INDEX($FO$245:$IH$316,$FN236-FY$169,72-FY$169+SwaptionMonthsToGo+SwaptionShift))/SQRT(SUM(INDEX($FO391:$IH391,1+SwaptionShift):INDEX($FO391:$IH391,SwaptionMonthsToGo+SwaptionShift))*SUM(INDEX($FO$325:$IH$396,FY$169,1+SwaptionShift):INDEX($FO$325:$IH$396,FY$169,SwaptionMonthsToGo+SwaptionShift))))))</f>
        <v/>
      </c>
      <c r="FZ236" s="469" t="str">
        <f ca="1">IF(OR(FZ$169&lt;SwaptionFirstMonthPosition+1,$FN236&lt;SwaptionFirstMonthPosition+1,FZ$169&gt;SwaptionFirstMonthPosition+SwaptionNumOfMonths+1,$FN236&gt;SwaptionFirstMonthPosition+SwaptionNumOfMonths+1),"",IF($FN236=FZ$169,1,IF($FN236&lt;FZ$169,INDEX($FO$170:$IH$241,FZ$169,$FN236),SUMPRODUCT(INDEX($FO$325:$IH$396,FZ$169,1+SwaptionShift):INDEX($FO$325:$IH$396,FZ$169,SwaptionMonthsToGo+SwaptionShift),INDEX($FO$245:$IH$316,$FN236-FZ$169,73-FZ$169+SwaptionShift):INDEX($FO$245:$IH$316,$FN236-FZ$169,72-FZ$169+SwaptionMonthsToGo+SwaptionShift))/SQRT(SUM(INDEX($FO391:$IH391,1+SwaptionShift):INDEX($FO391:$IH391,SwaptionMonthsToGo+SwaptionShift))*SUM(INDEX($FO$325:$IH$396,FZ$169,1+SwaptionShift):INDEX($FO$325:$IH$396,FZ$169,SwaptionMonthsToGo+SwaptionShift))))))</f>
        <v/>
      </c>
      <c r="GA236" s="469" t="str">
        <f ca="1">IF(OR(GA$169&lt;SwaptionFirstMonthPosition+1,$FN236&lt;SwaptionFirstMonthPosition+1,GA$169&gt;SwaptionFirstMonthPosition+SwaptionNumOfMonths+1,$FN236&gt;SwaptionFirstMonthPosition+SwaptionNumOfMonths+1),"",IF($FN236=GA$169,1,IF($FN236&lt;GA$169,INDEX($FO$170:$IH$241,GA$169,$FN236),SUMPRODUCT(INDEX($FO$325:$IH$396,GA$169,1+SwaptionShift):INDEX($FO$325:$IH$396,GA$169,SwaptionMonthsToGo+SwaptionShift),INDEX($FO$245:$IH$316,$FN236-GA$169,73-GA$169+SwaptionShift):INDEX($FO$245:$IH$316,$FN236-GA$169,72-GA$169+SwaptionMonthsToGo+SwaptionShift))/SQRT(SUM(INDEX($FO391:$IH391,1+SwaptionShift):INDEX($FO391:$IH391,SwaptionMonthsToGo+SwaptionShift))*SUM(INDEX($FO$325:$IH$396,GA$169,1+SwaptionShift):INDEX($FO$325:$IH$396,GA$169,SwaptionMonthsToGo+SwaptionShift))))))</f>
        <v/>
      </c>
      <c r="GB236" s="469" t="str">
        <f ca="1">IF(OR(GB$169&lt;SwaptionFirstMonthPosition+1,$FN236&lt;SwaptionFirstMonthPosition+1,GB$169&gt;SwaptionFirstMonthPosition+SwaptionNumOfMonths+1,$FN236&gt;SwaptionFirstMonthPosition+SwaptionNumOfMonths+1),"",IF($FN236=GB$169,1,IF($FN236&lt;GB$169,INDEX($FO$170:$IH$241,GB$169,$FN236),SUMPRODUCT(INDEX($FO$325:$IH$396,GB$169,1+SwaptionShift):INDEX($FO$325:$IH$396,GB$169,SwaptionMonthsToGo+SwaptionShift),INDEX($FO$245:$IH$316,$FN236-GB$169,73-GB$169+SwaptionShift):INDEX($FO$245:$IH$316,$FN236-GB$169,72-GB$169+SwaptionMonthsToGo+SwaptionShift))/SQRT(SUM(INDEX($FO391:$IH391,1+SwaptionShift):INDEX($FO391:$IH391,SwaptionMonthsToGo+SwaptionShift))*SUM(INDEX($FO$325:$IH$396,GB$169,1+SwaptionShift):INDEX($FO$325:$IH$396,GB$169,SwaptionMonthsToGo+SwaptionShift))))))</f>
        <v/>
      </c>
      <c r="GC236" s="469" t="str">
        <f ca="1">IF(OR(GC$169&lt;SwaptionFirstMonthPosition+1,$FN236&lt;SwaptionFirstMonthPosition+1,GC$169&gt;SwaptionFirstMonthPosition+SwaptionNumOfMonths+1,$FN236&gt;SwaptionFirstMonthPosition+SwaptionNumOfMonths+1),"",IF($FN236=GC$169,1,IF($FN236&lt;GC$169,INDEX($FO$170:$IH$241,GC$169,$FN236),SUMPRODUCT(INDEX($FO$325:$IH$396,GC$169,1+SwaptionShift):INDEX($FO$325:$IH$396,GC$169,SwaptionMonthsToGo+SwaptionShift),INDEX($FO$245:$IH$316,$FN236-GC$169,73-GC$169+SwaptionShift):INDEX($FO$245:$IH$316,$FN236-GC$169,72-GC$169+SwaptionMonthsToGo+SwaptionShift))/SQRT(SUM(INDEX($FO391:$IH391,1+SwaptionShift):INDEX($FO391:$IH391,SwaptionMonthsToGo+SwaptionShift))*SUM(INDEX($FO$325:$IH$396,GC$169,1+SwaptionShift):INDEX($FO$325:$IH$396,GC$169,SwaptionMonthsToGo+SwaptionShift))))))</f>
        <v/>
      </c>
      <c r="GD236" s="469" t="str">
        <f ca="1">IF(OR(GD$169&lt;SwaptionFirstMonthPosition+1,$FN236&lt;SwaptionFirstMonthPosition+1,GD$169&gt;SwaptionFirstMonthPosition+SwaptionNumOfMonths+1,$FN236&gt;SwaptionFirstMonthPosition+SwaptionNumOfMonths+1),"",IF($FN236=GD$169,1,IF($FN236&lt;GD$169,INDEX($FO$170:$IH$241,GD$169,$FN236),SUMPRODUCT(INDEX($FO$325:$IH$396,GD$169,1+SwaptionShift):INDEX($FO$325:$IH$396,GD$169,SwaptionMonthsToGo+SwaptionShift),INDEX($FO$245:$IH$316,$FN236-GD$169,73-GD$169+SwaptionShift):INDEX($FO$245:$IH$316,$FN236-GD$169,72-GD$169+SwaptionMonthsToGo+SwaptionShift))/SQRT(SUM(INDEX($FO391:$IH391,1+SwaptionShift):INDEX($FO391:$IH391,SwaptionMonthsToGo+SwaptionShift))*SUM(INDEX($FO$325:$IH$396,GD$169,1+SwaptionShift):INDEX($FO$325:$IH$396,GD$169,SwaptionMonthsToGo+SwaptionShift))))))</f>
        <v/>
      </c>
      <c r="GE236" s="469" t="str">
        <f ca="1">IF(OR(GE$169&lt;SwaptionFirstMonthPosition+1,$FN236&lt;SwaptionFirstMonthPosition+1,GE$169&gt;SwaptionFirstMonthPosition+SwaptionNumOfMonths+1,$FN236&gt;SwaptionFirstMonthPosition+SwaptionNumOfMonths+1),"",IF($FN236=GE$169,1,IF($FN236&lt;GE$169,INDEX($FO$170:$IH$241,GE$169,$FN236),SUMPRODUCT(INDEX($FO$325:$IH$396,GE$169,1+SwaptionShift):INDEX($FO$325:$IH$396,GE$169,SwaptionMonthsToGo+SwaptionShift),INDEX($FO$245:$IH$316,$FN236-GE$169,73-GE$169+SwaptionShift):INDEX($FO$245:$IH$316,$FN236-GE$169,72-GE$169+SwaptionMonthsToGo+SwaptionShift))/SQRT(SUM(INDEX($FO391:$IH391,1+SwaptionShift):INDEX($FO391:$IH391,SwaptionMonthsToGo+SwaptionShift))*SUM(INDEX($FO$325:$IH$396,GE$169,1+SwaptionShift):INDEX($FO$325:$IH$396,GE$169,SwaptionMonthsToGo+SwaptionShift))))))</f>
        <v/>
      </c>
      <c r="GF236" s="469" t="str">
        <f ca="1">IF(OR(GF$169&lt;SwaptionFirstMonthPosition+1,$FN236&lt;SwaptionFirstMonthPosition+1,GF$169&gt;SwaptionFirstMonthPosition+SwaptionNumOfMonths+1,$FN236&gt;SwaptionFirstMonthPosition+SwaptionNumOfMonths+1),"",IF($FN236=GF$169,1,IF($FN236&lt;GF$169,INDEX($FO$170:$IH$241,GF$169,$FN236),SUMPRODUCT(INDEX($FO$325:$IH$396,GF$169,1+SwaptionShift):INDEX($FO$325:$IH$396,GF$169,SwaptionMonthsToGo+SwaptionShift),INDEX($FO$245:$IH$316,$FN236-GF$169,73-GF$169+SwaptionShift):INDEX($FO$245:$IH$316,$FN236-GF$169,72-GF$169+SwaptionMonthsToGo+SwaptionShift))/SQRT(SUM(INDEX($FO391:$IH391,1+SwaptionShift):INDEX($FO391:$IH391,SwaptionMonthsToGo+SwaptionShift))*SUM(INDEX($FO$325:$IH$396,GF$169,1+SwaptionShift):INDEX($FO$325:$IH$396,GF$169,SwaptionMonthsToGo+SwaptionShift))))))</f>
        <v/>
      </c>
      <c r="GG236" s="469" t="str">
        <f ca="1">IF(OR(GG$169&lt;SwaptionFirstMonthPosition+1,$FN236&lt;SwaptionFirstMonthPosition+1,GG$169&gt;SwaptionFirstMonthPosition+SwaptionNumOfMonths+1,$FN236&gt;SwaptionFirstMonthPosition+SwaptionNumOfMonths+1),"",IF($FN236=GG$169,1,IF($FN236&lt;GG$169,INDEX($FO$170:$IH$241,GG$169,$FN236),SUMPRODUCT(INDEX($FO$325:$IH$396,GG$169,1+SwaptionShift):INDEX($FO$325:$IH$396,GG$169,SwaptionMonthsToGo+SwaptionShift),INDEX($FO$245:$IH$316,$FN236-GG$169,73-GG$169+SwaptionShift):INDEX($FO$245:$IH$316,$FN236-GG$169,72-GG$169+SwaptionMonthsToGo+SwaptionShift))/SQRT(SUM(INDEX($FO391:$IH391,1+SwaptionShift):INDEX($FO391:$IH391,SwaptionMonthsToGo+SwaptionShift))*SUM(INDEX($FO$325:$IH$396,GG$169,1+SwaptionShift):INDEX($FO$325:$IH$396,GG$169,SwaptionMonthsToGo+SwaptionShift))))))</f>
        <v/>
      </c>
      <c r="GH236" s="469" t="str">
        <f ca="1">IF(OR(GH$169&lt;SwaptionFirstMonthPosition+1,$FN236&lt;SwaptionFirstMonthPosition+1,GH$169&gt;SwaptionFirstMonthPosition+SwaptionNumOfMonths+1,$FN236&gt;SwaptionFirstMonthPosition+SwaptionNumOfMonths+1),"",IF($FN236=GH$169,1,IF($FN236&lt;GH$169,INDEX($FO$170:$IH$241,GH$169,$FN236),SUMPRODUCT(INDEX($FO$325:$IH$396,GH$169,1+SwaptionShift):INDEX($FO$325:$IH$396,GH$169,SwaptionMonthsToGo+SwaptionShift),INDEX($FO$245:$IH$316,$FN236-GH$169,73-GH$169+SwaptionShift):INDEX($FO$245:$IH$316,$FN236-GH$169,72-GH$169+SwaptionMonthsToGo+SwaptionShift))/SQRT(SUM(INDEX($FO391:$IH391,1+SwaptionShift):INDEX($FO391:$IH391,SwaptionMonthsToGo+SwaptionShift))*SUM(INDEX($FO$325:$IH$396,GH$169,1+SwaptionShift):INDEX($FO$325:$IH$396,GH$169,SwaptionMonthsToGo+SwaptionShift))))))</f>
        <v/>
      </c>
      <c r="GI236" s="469" t="str">
        <f ca="1">IF(OR(GI$169&lt;SwaptionFirstMonthPosition+1,$FN236&lt;SwaptionFirstMonthPosition+1,GI$169&gt;SwaptionFirstMonthPosition+SwaptionNumOfMonths+1,$FN236&gt;SwaptionFirstMonthPosition+SwaptionNumOfMonths+1),"",IF($FN236=GI$169,1,IF($FN236&lt;GI$169,INDEX($FO$170:$IH$241,GI$169,$FN236),SUMPRODUCT(INDEX($FO$325:$IH$396,GI$169,1+SwaptionShift):INDEX($FO$325:$IH$396,GI$169,SwaptionMonthsToGo+SwaptionShift),INDEX($FO$245:$IH$316,$FN236-GI$169,73-GI$169+SwaptionShift):INDEX($FO$245:$IH$316,$FN236-GI$169,72-GI$169+SwaptionMonthsToGo+SwaptionShift))/SQRT(SUM(INDEX($FO391:$IH391,1+SwaptionShift):INDEX($FO391:$IH391,SwaptionMonthsToGo+SwaptionShift))*SUM(INDEX($FO$325:$IH$396,GI$169,1+SwaptionShift):INDEX($FO$325:$IH$396,GI$169,SwaptionMonthsToGo+SwaptionShift))))))</f>
        <v/>
      </c>
      <c r="GJ236" s="469" t="str">
        <f ca="1">IF(OR(GJ$169&lt;SwaptionFirstMonthPosition+1,$FN236&lt;SwaptionFirstMonthPosition+1,GJ$169&gt;SwaptionFirstMonthPosition+SwaptionNumOfMonths+1,$FN236&gt;SwaptionFirstMonthPosition+SwaptionNumOfMonths+1),"",IF($FN236=GJ$169,1,IF($FN236&lt;GJ$169,INDEX($FO$170:$IH$241,GJ$169,$FN236),SUMPRODUCT(INDEX($FO$325:$IH$396,GJ$169,1+SwaptionShift):INDEX($FO$325:$IH$396,GJ$169,SwaptionMonthsToGo+SwaptionShift),INDEX($FO$245:$IH$316,$FN236-GJ$169,73-GJ$169+SwaptionShift):INDEX($FO$245:$IH$316,$FN236-GJ$169,72-GJ$169+SwaptionMonthsToGo+SwaptionShift))/SQRT(SUM(INDEX($FO391:$IH391,1+SwaptionShift):INDEX($FO391:$IH391,SwaptionMonthsToGo+SwaptionShift))*SUM(INDEX($FO$325:$IH$396,GJ$169,1+SwaptionShift):INDEX($FO$325:$IH$396,GJ$169,SwaptionMonthsToGo+SwaptionShift))))))</f>
        <v/>
      </c>
      <c r="GK236" s="469" t="str">
        <f ca="1">IF(OR(GK$169&lt;SwaptionFirstMonthPosition+1,$FN236&lt;SwaptionFirstMonthPosition+1,GK$169&gt;SwaptionFirstMonthPosition+SwaptionNumOfMonths+1,$FN236&gt;SwaptionFirstMonthPosition+SwaptionNumOfMonths+1),"",IF($FN236=GK$169,1,IF($FN236&lt;GK$169,INDEX($FO$170:$IH$241,GK$169,$FN236),SUMPRODUCT(INDEX($FO$325:$IH$396,GK$169,1+SwaptionShift):INDEX($FO$325:$IH$396,GK$169,SwaptionMonthsToGo+SwaptionShift),INDEX($FO$245:$IH$316,$FN236-GK$169,73-GK$169+SwaptionShift):INDEX($FO$245:$IH$316,$FN236-GK$169,72-GK$169+SwaptionMonthsToGo+SwaptionShift))/SQRT(SUM(INDEX($FO391:$IH391,1+SwaptionShift):INDEX($FO391:$IH391,SwaptionMonthsToGo+SwaptionShift))*SUM(INDEX($FO$325:$IH$396,GK$169,1+SwaptionShift):INDEX($FO$325:$IH$396,GK$169,SwaptionMonthsToGo+SwaptionShift))))))</f>
        <v/>
      </c>
      <c r="GL236" s="469" t="str">
        <f ca="1">IF(OR(GL$169&lt;SwaptionFirstMonthPosition+1,$FN236&lt;SwaptionFirstMonthPosition+1,GL$169&gt;SwaptionFirstMonthPosition+SwaptionNumOfMonths+1,$FN236&gt;SwaptionFirstMonthPosition+SwaptionNumOfMonths+1),"",IF($FN236=GL$169,1,IF($FN236&lt;GL$169,INDEX($FO$170:$IH$241,GL$169,$FN236),SUMPRODUCT(INDEX($FO$325:$IH$396,GL$169,1+SwaptionShift):INDEX($FO$325:$IH$396,GL$169,SwaptionMonthsToGo+SwaptionShift),INDEX($FO$245:$IH$316,$FN236-GL$169,73-GL$169+SwaptionShift):INDEX($FO$245:$IH$316,$FN236-GL$169,72-GL$169+SwaptionMonthsToGo+SwaptionShift))/SQRT(SUM(INDEX($FO391:$IH391,1+SwaptionShift):INDEX($FO391:$IH391,SwaptionMonthsToGo+SwaptionShift))*SUM(INDEX($FO$325:$IH$396,GL$169,1+SwaptionShift):INDEX($FO$325:$IH$396,GL$169,SwaptionMonthsToGo+SwaptionShift))))))</f>
        <v/>
      </c>
      <c r="GM236" s="469" t="str">
        <f ca="1">IF(OR(GM$169&lt;SwaptionFirstMonthPosition+1,$FN236&lt;SwaptionFirstMonthPosition+1,GM$169&gt;SwaptionFirstMonthPosition+SwaptionNumOfMonths+1,$FN236&gt;SwaptionFirstMonthPosition+SwaptionNumOfMonths+1),"",IF($FN236=GM$169,1,IF($FN236&lt;GM$169,INDEX($FO$170:$IH$241,GM$169,$FN236),SUMPRODUCT(INDEX($FO$325:$IH$396,GM$169,1+SwaptionShift):INDEX($FO$325:$IH$396,GM$169,SwaptionMonthsToGo+SwaptionShift),INDEX($FO$245:$IH$316,$FN236-GM$169,73-GM$169+SwaptionShift):INDEX($FO$245:$IH$316,$FN236-GM$169,72-GM$169+SwaptionMonthsToGo+SwaptionShift))/SQRT(SUM(INDEX($FO391:$IH391,1+SwaptionShift):INDEX($FO391:$IH391,SwaptionMonthsToGo+SwaptionShift))*SUM(INDEX($FO$325:$IH$396,GM$169,1+SwaptionShift):INDEX($FO$325:$IH$396,GM$169,SwaptionMonthsToGo+SwaptionShift))))))</f>
        <v/>
      </c>
      <c r="GN236" s="469" t="str">
        <f ca="1">IF(OR(GN$169&lt;SwaptionFirstMonthPosition+1,$FN236&lt;SwaptionFirstMonthPosition+1,GN$169&gt;SwaptionFirstMonthPosition+SwaptionNumOfMonths+1,$FN236&gt;SwaptionFirstMonthPosition+SwaptionNumOfMonths+1),"",IF($FN236=GN$169,1,IF($FN236&lt;GN$169,INDEX($FO$170:$IH$241,GN$169,$FN236),SUMPRODUCT(INDEX($FO$325:$IH$396,GN$169,1+SwaptionShift):INDEX($FO$325:$IH$396,GN$169,SwaptionMonthsToGo+SwaptionShift),INDEX($FO$245:$IH$316,$FN236-GN$169,73-GN$169+SwaptionShift):INDEX($FO$245:$IH$316,$FN236-GN$169,72-GN$169+SwaptionMonthsToGo+SwaptionShift))/SQRT(SUM(INDEX($FO391:$IH391,1+SwaptionShift):INDEX($FO391:$IH391,SwaptionMonthsToGo+SwaptionShift))*SUM(INDEX($FO$325:$IH$396,GN$169,1+SwaptionShift):INDEX($FO$325:$IH$396,GN$169,SwaptionMonthsToGo+SwaptionShift))))))</f>
        <v/>
      </c>
      <c r="GO236" s="469" t="str">
        <f ca="1">IF(OR(GO$169&lt;SwaptionFirstMonthPosition+1,$FN236&lt;SwaptionFirstMonthPosition+1,GO$169&gt;SwaptionFirstMonthPosition+SwaptionNumOfMonths+1,$FN236&gt;SwaptionFirstMonthPosition+SwaptionNumOfMonths+1),"",IF($FN236=GO$169,1,IF($FN236&lt;GO$169,INDEX($FO$170:$IH$241,GO$169,$FN236),SUMPRODUCT(INDEX($FO$325:$IH$396,GO$169,1+SwaptionShift):INDEX($FO$325:$IH$396,GO$169,SwaptionMonthsToGo+SwaptionShift),INDEX($FO$245:$IH$316,$FN236-GO$169,73-GO$169+SwaptionShift):INDEX($FO$245:$IH$316,$FN236-GO$169,72-GO$169+SwaptionMonthsToGo+SwaptionShift))/SQRT(SUM(INDEX($FO391:$IH391,1+SwaptionShift):INDEX($FO391:$IH391,SwaptionMonthsToGo+SwaptionShift))*SUM(INDEX($FO$325:$IH$396,GO$169,1+SwaptionShift):INDEX($FO$325:$IH$396,GO$169,SwaptionMonthsToGo+SwaptionShift))))))</f>
        <v/>
      </c>
      <c r="GP236" s="469" t="str">
        <f ca="1">IF(OR(GP$169&lt;SwaptionFirstMonthPosition+1,$FN236&lt;SwaptionFirstMonthPosition+1,GP$169&gt;SwaptionFirstMonthPosition+SwaptionNumOfMonths+1,$FN236&gt;SwaptionFirstMonthPosition+SwaptionNumOfMonths+1),"",IF($FN236=GP$169,1,IF($FN236&lt;GP$169,INDEX($FO$170:$IH$241,GP$169,$FN236),SUMPRODUCT(INDEX($FO$325:$IH$396,GP$169,1+SwaptionShift):INDEX($FO$325:$IH$396,GP$169,SwaptionMonthsToGo+SwaptionShift),INDEX($FO$245:$IH$316,$FN236-GP$169,73-GP$169+SwaptionShift):INDEX($FO$245:$IH$316,$FN236-GP$169,72-GP$169+SwaptionMonthsToGo+SwaptionShift))/SQRT(SUM(INDEX($FO391:$IH391,1+SwaptionShift):INDEX($FO391:$IH391,SwaptionMonthsToGo+SwaptionShift))*SUM(INDEX($FO$325:$IH$396,GP$169,1+SwaptionShift):INDEX($FO$325:$IH$396,GP$169,SwaptionMonthsToGo+SwaptionShift))))))</f>
        <v/>
      </c>
      <c r="GQ236" s="469" t="str">
        <f ca="1">IF(OR(GQ$169&lt;SwaptionFirstMonthPosition+1,$FN236&lt;SwaptionFirstMonthPosition+1,GQ$169&gt;SwaptionFirstMonthPosition+SwaptionNumOfMonths+1,$FN236&gt;SwaptionFirstMonthPosition+SwaptionNumOfMonths+1),"",IF($FN236=GQ$169,1,IF($FN236&lt;GQ$169,INDEX($FO$170:$IH$241,GQ$169,$FN236),SUMPRODUCT(INDEX($FO$325:$IH$396,GQ$169,1+SwaptionShift):INDEX($FO$325:$IH$396,GQ$169,SwaptionMonthsToGo+SwaptionShift),INDEX($FO$245:$IH$316,$FN236-GQ$169,73-GQ$169+SwaptionShift):INDEX($FO$245:$IH$316,$FN236-GQ$169,72-GQ$169+SwaptionMonthsToGo+SwaptionShift))/SQRT(SUM(INDEX($FO391:$IH391,1+SwaptionShift):INDEX($FO391:$IH391,SwaptionMonthsToGo+SwaptionShift))*SUM(INDEX($FO$325:$IH$396,GQ$169,1+SwaptionShift):INDEX($FO$325:$IH$396,GQ$169,SwaptionMonthsToGo+SwaptionShift))))))</f>
        <v/>
      </c>
      <c r="GR236" s="469" t="str">
        <f ca="1">IF(OR(GR$169&lt;SwaptionFirstMonthPosition+1,$FN236&lt;SwaptionFirstMonthPosition+1,GR$169&gt;SwaptionFirstMonthPosition+SwaptionNumOfMonths+1,$FN236&gt;SwaptionFirstMonthPosition+SwaptionNumOfMonths+1),"",IF($FN236=GR$169,1,IF($FN236&lt;GR$169,INDEX($FO$170:$IH$241,GR$169,$FN236),SUMPRODUCT(INDEX($FO$325:$IH$396,GR$169,1+SwaptionShift):INDEX($FO$325:$IH$396,GR$169,SwaptionMonthsToGo+SwaptionShift),INDEX($FO$245:$IH$316,$FN236-GR$169,73-GR$169+SwaptionShift):INDEX($FO$245:$IH$316,$FN236-GR$169,72-GR$169+SwaptionMonthsToGo+SwaptionShift))/SQRT(SUM(INDEX($FO391:$IH391,1+SwaptionShift):INDEX($FO391:$IH391,SwaptionMonthsToGo+SwaptionShift))*SUM(INDEX($FO$325:$IH$396,GR$169,1+SwaptionShift):INDEX($FO$325:$IH$396,GR$169,SwaptionMonthsToGo+SwaptionShift))))))</f>
        <v/>
      </c>
      <c r="GS236" s="469" t="str">
        <f ca="1">IF(OR(GS$169&lt;SwaptionFirstMonthPosition+1,$FN236&lt;SwaptionFirstMonthPosition+1,GS$169&gt;SwaptionFirstMonthPosition+SwaptionNumOfMonths+1,$FN236&gt;SwaptionFirstMonthPosition+SwaptionNumOfMonths+1),"",IF($FN236=GS$169,1,IF($FN236&lt;GS$169,INDEX($FO$170:$IH$241,GS$169,$FN236),SUMPRODUCT(INDEX($FO$325:$IH$396,GS$169,1+SwaptionShift):INDEX($FO$325:$IH$396,GS$169,SwaptionMonthsToGo+SwaptionShift),INDEX($FO$245:$IH$316,$FN236-GS$169,73-GS$169+SwaptionShift):INDEX($FO$245:$IH$316,$FN236-GS$169,72-GS$169+SwaptionMonthsToGo+SwaptionShift))/SQRT(SUM(INDEX($FO391:$IH391,1+SwaptionShift):INDEX($FO391:$IH391,SwaptionMonthsToGo+SwaptionShift))*SUM(INDEX($FO$325:$IH$396,GS$169,1+SwaptionShift):INDEX($FO$325:$IH$396,GS$169,SwaptionMonthsToGo+SwaptionShift))))))</f>
        <v/>
      </c>
      <c r="GT236" s="469" t="str">
        <f ca="1">IF(OR(GT$169&lt;SwaptionFirstMonthPosition+1,$FN236&lt;SwaptionFirstMonthPosition+1,GT$169&gt;SwaptionFirstMonthPosition+SwaptionNumOfMonths+1,$FN236&gt;SwaptionFirstMonthPosition+SwaptionNumOfMonths+1),"",IF($FN236=GT$169,1,IF($FN236&lt;GT$169,INDEX($FO$170:$IH$241,GT$169,$FN236),SUMPRODUCT(INDEX($FO$325:$IH$396,GT$169,1+SwaptionShift):INDEX($FO$325:$IH$396,GT$169,SwaptionMonthsToGo+SwaptionShift),INDEX($FO$245:$IH$316,$FN236-GT$169,73-GT$169+SwaptionShift):INDEX($FO$245:$IH$316,$FN236-GT$169,72-GT$169+SwaptionMonthsToGo+SwaptionShift))/SQRT(SUM(INDEX($FO391:$IH391,1+SwaptionShift):INDEX($FO391:$IH391,SwaptionMonthsToGo+SwaptionShift))*SUM(INDEX($FO$325:$IH$396,GT$169,1+SwaptionShift):INDEX($FO$325:$IH$396,GT$169,SwaptionMonthsToGo+SwaptionShift))))))</f>
        <v/>
      </c>
      <c r="GU236" s="469" t="str">
        <f ca="1">IF(OR(GU$169&lt;SwaptionFirstMonthPosition+1,$FN236&lt;SwaptionFirstMonthPosition+1,GU$169&gt;SwaptionFirstMonthPosition+SwaptionNumOfMonths+1,$FN236&gt;SwaptionFirstMonthPosition+SwaptionNumOfMonths+1),"",IF($FN236=GU$169,1,IF($FN236&lt;GU$169,INDEX($FO$170:$IH$241,GU$169,$FN236),SUMPRODUCT(INDEX($FO$325:$IH$396,GU$169,1+SwaptionShift):INDEX($FO$325:$IH$396,GU$169,SwaptionMonthsToGo+SwaptionShift),INDEX($FO$245:$IH$316,$FN236-GU$169,73-GU$169+SwaptionShift):INDEX($FO$245:$IH$316,$FN236-GU$169,72-GU$169+SwaptionMonthsToGo+SwaptionShift))/SQRT(SUM(INDEX($FO391:$IH391,1+SwaptionShift):INDEX($FO391:$IH391,SwaptionMonthsToGo+SwaptionShift))*SUM(INDEX($FO$325:$IH$396,GU$169,1+SwaptionShift):INDEX($FO$325:$IH$396,GU$169,SwaptionMonthsToGo+SwaptionShift))))))</f>
        <v/>
      </c>
      <c r="GV236" s="469" t="str">
        <f ca="1">IF(OR(GV$169&lt;SwaptionFirstMonthPosition+1,$FN236&lt;SwaptionFirstMonthPosition+1,GV$169&gt;SwaptionFirstMonthPosition+SwaptionNumOfMonths+1,$FN236&gt;SwaptionFirstMonthPosition+SwaptionNumOfMonths+1),"",IF($FN236=GV$169,1,IF($FN236&lt;GV$169,INDEX($FO$170:$IH$241,GV$169,$FN236),SUMPRODUCT(INDEX($FO$325:$IH$396,GV$169,1+SwaptionShift):INDEX($FO$325:$IH$396,GV$169,SwaptionMonthsToGo+SwaptionShift),INDEX($FO$245:$IH$316,$FN236-GV$169,73-GV$169+SwaptionShift):INDEX($FO$245:$IH$316,$FN236-GV$169,72-GV$169+SwaptionMonthsToGo+SwaptionShift))/SQRT(SUM(INDEX($FO391:$IH391,1+SwaptionShift):INDEX($FO391:$IH391,SwaptionMonthsToGo+SwaptionShift))*SUM(INDEX($FO$325:$IH$396,GV$169,1+SwaptionShift):INDEX($FO$325:$IH$396,GV$169,SwaptionMonthsToGo+SwaptionShift))))))</f>
        <v/>
      </c>
      <c r="GW236" s="469" t="str">
        <f ca="1">IF(OR(GW$169&lt;SwaptionFirstMonthPosition+1,$FN236&lt;SwaptionFirstMonthPosition+1,GW$169&gt;SwaptionFirstMonthPosition+SwaptionNumOfMonths+1,$FN236&gt;SwaptionFirstMonthPosition+SwaptionNumOfMonths+1),"",IF($FN236=GW$169,1,IF($FN236&lt;GW$169,INDEX($FO$170:$IH$241,GW$169,$FN236),SUMPRODUCT(INDEX($FO$325:$IH$396,GW$169,1+SwaptionShift):INDEX($FO$325:$IH$396,GW$169,SwaptionMonthsToGo+SwaptionShift),INDEX($FO$245:$IH$316,$FN236-GW$169,73-GW$169+SwaptionShift):INDEX($FO$245:$IH$316,$FN236-GW$169,72-GW$169+SwaptionMonthsToGo+SwaptionShift))/SQRT(SUM(INDEX($FO391:$IH391,1+SwaptionShift):INDEX($FO391:$IH391,SwaptionMonthsToGo+SwaptionShift))*SUM(INDEX($FO$325:$IH$396,GW$169,1+SwaptionShift):INDEX($FO$325:$IH$396,GW$169,SwaptionMonthsToGo+SwaptionShift))))))</f>
        <v/>
      </c>
      <c r="GX236" s="469" t="str">
        <f ca="1">IF(OR(GX$169&lt;SwaptionFirstMonthPosition+1,$FN236&lt;SwaptionFirstMonthPosition+1,GX$169&gt;SwaptionFirstMonthPosition+SwaptionNumOfMonths+1,$FN236&gt;SwaptionFirstMonthPosition+SwaptionNumOfMonths+1),"",IF($FN236=GX$169,1,IF($FN236&lt;GX$169,INDEX($FO$170:$IH$241,GX$169,$FN236),SUMPRODUCT(INDEX($FO$325:$IH$396,GX$169,1+SwaptionShift):INDEX($FO$325:$IH$396,GX$169,SwaptionMonthsToGo+SwaptionShift),INDEX($FO$245:$IH$316,$FN236-GX$169,73-GX$169+SwaptionShift):INDEX($FO$245:$IH$316,$FN236-GX$169,72-GX$169+SwaptionMonthsToGo+SwaptionShift))/SQRT(SUM(INDEX($FO391:$IH391,1+SwaptionShift):INDEX($FO391:$IH391,SwaptionMonthsToGo+SwaptionShift))*SUM(INDEX($FO$325:$IH$396,GX$169,1+SwaptionShift):INDEX($FO$325:$IH$396,GX$169,SwaptionMonthsToGo+SwaptionShift))))))</f>
        <v/>
      </c>
      <c r="GY236" s="469" t="str">
        <f ca="1">IF(OR(GY$169&lt;SwaptionFirstMonthPosition+1,$FN236&lt;SwaptionFirstMonthPosition+1,GY$169&gt;SwaptionFirstMonthPosition+SwaptionNumOfMonths+1,$FN236&gt;SwaptionFirstMonthPosition+SwaptionNumOfMonths+1),"",IF($FN236=GY$169,1,IF($FN236&lt;GY$169,INDEX($FO$170:$IH$241,GY$169,$FN236),SUMPRODUCT(INDEX($FO$325:$IH$396,GY$169,1+SwaptionShift):INDEX($FO$325:$IH$396,GY$169,SwaptionMonthsToGo+SwaptionShift),INDEX($FO$245:$IH$316,$FN236-GY$169,73-GY$169+SwaptionShift):INDEX($FO$245:$IH$316,$FN236-GY$169,72-GY$169+SwaptionMonthsToGo+SwaptionShift))/SQRT(SUM(INDEX($FO391:$IH391,1+SwaptionShift):INDEX($FO391:$IH391,SwaptionMonthsToGo+SwaptionShift))*SUM(INDEX($FO$325:$IH$396,GY$169,1+SwaptionShift):INDEX($FO$325:$IH$396,GY$169,SwaptionMonthsToGo+SwaptionShift))))))</f>
        <v/>
      </c>
      <c r="GZ236" s="469" t="str">
        <f ca="1">IF(OR(GZ$169&lt;SwaptionFirstMonthPosition+1,$FN236&lt;SwaptionFirstMonthPosition+1,GZ$169&gt;SwaptionFirstMonthPosition+SwaptionNumOfMonths+1,$FN236&gt;SwaptionFirstMonthPosition+SwaptionNumOfMonths+1),"",IF($FN236=GZ$169,1,IF($FN236&lt;GZ$169,INDEX($FO$170:$IH$241,GZ$169,$FN236),SUMPRODUCT(INDEX($FO$325:$IH$396,GZ$169,1+SwaptionShift):INDEX($FO$325:$IH$396,GZ$169,SwaptionMonthsToGo+SwaptionShift),INDEX($FO$245:$IH$316,$FN236-GZ$169,73-GZ$169+SwaptionShift):INDEX($FO$245:$IH$316,$FN236-GZ$169,72-GZ$169+SwaptionMonthsToGo+SwaptionShift))/SQRT(SUM(INDEX($FO391:$IH391,1+SwaptionShift):INDEX($FO391:$IH391,SwaptionMonthsToGo+SwaptionShift))*SUM(INDEX($FO$325:$IH$396,GZ$169,1+SwaptionShift):INDEX($FO$325:$IH$396,GZ$169,SwaptionMonthsToGo+SwaptionShift))))))</f>
        <v/>
      </c>
      <c r="HA236" s="469" t="str">
        <f ca="1">IF(OR(HA$169&lt;SwaptionFirstMonthPosition+1,$FN236&lt;SwaptionFirstMonthPosition+1,HA$169&gt;SwaptionFirstMonthPosition+SwaptionNumOfMonths+1,$FN236&gt;SwaptionFirstMonthPosition+SwaptionNumOfMonths+1),"",IF($FN236=HA$169,1,IF($FN236&lt;HA$169,INDEX($FO$170:$IH$241,HA$169,$FN236),SUMPRODUCT(INDEX($FO$325:$IH$396,HA$169,1+SwaptionShift):INDEX($FO$325:$IH$396,HA$169,SwaptionMonthsToGo+SwaptionShift),INDEX($FO$245:$IH$316,$FN236-HA$169,73-HA$169+SwaptionShift):INDEX($FO$245:$IH$316,$FN236-HA$169,72-HA$169+SwaptionMonthsToGo+SwaptionShift))/SQRT(SUM(INDEX($FO391:$IH391,1+SwaptionShift):INDEX($FO391:$IH391,SwaptionMonthsToGo+SwaptionShift))*SUM(INDEX($FO$325:$IH$396,HA$169,1+SwaptionShift):INDEX($FO$325:$IH$396,HA$169,SwaptionMonthsToGo+SwaptionShift))))))</f>
        <v/>
      </c>
      <c r="HB236" s="469" t="str">
        <f ca="1">IF(OR(HB$169&lt;SwaptionFirstMonthPosition+1,$FN236&lt;SwaptionFirstMonthPosition+1,HB$169&gt;SwaptionFirstMonthPosition+SwaptionNumOfMonths+1,$FN236&gt;SwaptionFirstMonthPosition+SwaptionNumOfMonths+1),"",IF($FN236=HB$169,1,IF($FN236&lt;HB$169,INDEX($FO$170:$IH$241,HB$169,$FN236),SUMPRODUCT(INDEX($FO$325:$IH$396,HB$169,1+SwaptionShift):INDEX($FO$325:$IH$396,HB$169,SwaptionMonthsToGo+SwaptionShift),INDEX($FO$245:$IH$316,$FN236-HB$169,73-HB$169+SwaptionShift):INDEX($FO$245:$IH$316,$FN236-HB$169,72-HB$169+SwaptionMonthsToGo+SwaptionShift))/SQRT(SUM(INDEX($FO391:$IH391,1+SwaptionShift):INDEX($FO391:$IH391,SwaptionMonthsToGo+SwaptionShift))*SUM(INDEX($FO$325:$IH$396,HB$169,1+SwaptionShift):INDEX($FO$325:$IH$396,HB$169,SwaptionMonthsToGo+SwaptionShift))))))</f>
        <v/>
      </c>
      <c r="HC236" s="469" t="str">
        <f ca="1">IF(OR(HC$169&lt;SwaptionFirstMonthPosition+1,$FN236&lt;SwaptionFirstMonthPosition+1,HC$169&gt;SwaptionFirstMonthPosition+SwaptionNumOfMonths+1,$FN236&gt;SwaptionFirstMonthPosition+SwaptionNumOfMonths+1),"",IF($FN236=HC$169,1,IF($FN236&lt;HC$169,INDEX($FO$170:$IH$241,HC$169,$FN236),SUMPRODUCT(INDEX($FO$325:$IH$396,HC$169,1+SwaptionShift):INDEX($FO$325:$IH$396,HC$169,SwaptionMonthsToGo+SwaptionShift),INDEX($FO$245:$IH$316,$FN236-HC$169,73-HC$169+SwaptionShift):INDEX($FO$245:$IH$316,$FN236-HC$169,72-HC$169+SwaptionMonthsToGo+SwaptionShift))/SQRT(SUM(INDEX($FO391:$IH391,1+SwaptionShift):INDEX($FO391:$IH391,SwaptionMonthsToGo+SwaptionShift))*SUM(INDEX($FO$325:$IH$396,HC$169,1+SwaptionShift):INDEX($FO$325:$IH$396,HC$169,SwaptionMonthsToGo+SwaptionShift))))))</f>
        <v/>
      </c>
      <c r="HD236" s="469" t="str">
        <f ca="1">IF(OR(HD$169&lt;SwaptionFirstMonthPosition+1,$FN236&lt;SwaptionFirstMonthPosition+1,HD$169&gt;SwaptionFirstMonthPosition+SwaptionNumOfMonths+1,$FN236&gt;SwaptionFirstMonthPosition+SwaptionNumOfMonths+1),"",IF($FN236=HD$169,1,IF($FN236&lt;HD$169,INDEX($FO$170:$IH$241,HD$169,$FN236),SUMPRODUCT(INDEX($FO$325:$IH$396,HD$169,1+SwaptionShift):INDEX($FO$325:$IH$396,HD$169,SwaptionMonthsToGo+SwaptionShift),INDEX($FO$245:$IH$316,$FN236-HD$169,73-HD$169+SwaptionShift):INDEX($FO$245:$IH$316,$FN236-HD$169,72-HD$169+SwaptionMonthsToGo+SwaptionShift))/SQRT(SUM(INDEX($FO391:$IH391,1+SwaptionShift):INDEX($FO391:$IH391,SwaptionMonthsToGo+SwaptionShift))*SUM(INDEX($FO$325:$IH$396,HD$169,1+SwaptionShift):INDEX($FO$325:$IH$396,HD$169,SwaptionMonthsToGo+SwaptionShift))))))</f>
        <v/>
      </c>
      <c r="HE236" s="469" t="str">
        <f ca="1">IF(OR(HE$169&lt;SwaptionFirstMonthPosition+1,$FN236&lt;SwaptionFirstMonthPosition+1,HE$169&gt;SwaptionFirstMonthPosition+SwaptionNumOfMonths+1,$FN236&gt;SwaptionFirstMonthPosition+SwaptionNumOfMonths+1),"",IF($FN236=HE$169,1,IF($FN236&lt;HE$169,INDEX($FO$170:$IH$241,HE$169,$FN236),SUMPRODUCT(INDEX($FO$325:$IH$396,HE$169,1+SwaptionShift):INDEX($FO$325:$IH$396,HE$169,SwaptionMonthsToGo+SwaptionShift),INDEX($FO$245:$IH$316,$FN236-HE$169,73-HE$169+SwaptionShift):INDEX($FO$245:$IH$316,$FN236-HE$169,72-HE$169+SwaptionMonthsToGo+SwaptionShift))/SQRT(SUM(INDEX($FO391:$IH391,1+SwaptionShift):INDEX($FO391:$IH391,SwaptionMonthsToGo+SwaptionShift))*SUM(INDEX($FO$325:$IH$396,HE$169,1+SwaptionShift):INDEX($FO$325:$IH$396,HE$169,SwaptionMonthsToGo+SwaptionShift))))))</f>
        <v/>
      </c>
      <c r="HF236" s="469" t="str">
        <f ca="1">IF(OR(HF$169&lt;SwaptionFirstMonthPosition+1,$FN236&lt;SwaptionFirstMonthPosition+1,HF$169&gt;SwaptionFirstMonthPosition+SwaptionNumOfMonths+1,$FN236&gt;SwaptionFirstMonthPosition+SwaptionNumOfMonths+1),"",IF($FN236=HF$169,1,IF($FN236&lt;HF$169,INDEX($FO$170:$IH$241,HF$169,$FN236),SUMPRODUCT(INDEX($FO$325:$IH$396,HF$169,1+SwaptionShift):INDEX($FO$325:$IH$396,HF$169,SwaptionMonthsToGo+SwaptionShift),INDEX($FO$245:$IH$316,$FN236-HF$169,73-HF$169+SwaptionShift):INDEX($FO$245:$IH$316,$FN236-HF$169,72-HF$169+SwaptionMonthsToGo+SwaptionShift))/SQRT(SUM(INDEX($FO391:$IH391,1+SwaptionShift):INDEX($FO391:$IH391,SwaptionMonthsToGo+SwaptionShift))*SUM(INDEX($FO$325:$IH$396,HF$169,1+SwaptionShift):INDEX($FO$325:$IH$396,HF$169,SwaptionMonthsToGo+SwaptionShift))))))</f>
        <v/>
      </c>
      <c r="HG236" s="469" t="str">
        <f ca="1">IF(OR(HG$169&lt;SwaptionFirstMonthPosition+1,$FN236&lt;SwaptionFirstMonthPosition+1,HG$169&gt;SwaptionFirstMonthPosition+SwaptionNumOfMonths+1,$FN236&gt;SwaptionFirstMonthPosition+SwaptionNumOfMonths+1),"",IF($FN236=HG$169,1,IF($FN236&lt;HG$169,INDEX($FO$170:$IH$241,HG$169,$FN236),SUMPRODUCT(INDEX($FO$325:$IH$396,HG$169,1+SwaptionShift):INDEX($FO$325:$IH$396,HG$169,SwaptionMonthsToGo+SwaptionShift),INDEX($FO$245:$IH$316,$FN236-HG$169,73-HG$169+SwaptionShift):INDEX($FO$245:$IH$316,$FN236-HG$169,72-HG$169+SwaptionMonthsToGo+SwaptionShift))/SQRT(SUM(INDEX($FO391:$IH391,1+SwaptionShift):INDEX($FO391:$IH391,SwaptionMonthsToGo+SwaptionShift))*SUM(INDEX($FO$325:$IH$396,HG$169,1+SwaptionShift):INDEX($FO$325:$IH$396,HG$169,SwaptionMonthsToGo+SwaptionShift))))))</f>
        <v/>
      </c>
      <c r="HH236" s="469" t="str">
        <f ca="1">IF(OR(HH$169&lt;SwaptionFirstMonthPosition+1,$FN236&lt;SwaptionFirstMonthPosition+1,HH$169&gt;SwaptionFirstMonthPosition+SwaptionNumOfMonths+1,$FN236&gt;SwaptionFirstMonthPosition+SwaptionNumOfMonths+1),"",IF($FN236=HH$169,1,IF($FN236&lt;HH$169,INDEX($FO$170:$IH$241,HH$169,$FN236),SUMPRODUCT(INDEX($FO$325:$IH$396,HH$169,1+SwaptionShift):INDEX($FO$325:$IH$396,HH$169,SwaptionMonthsToGo+SwaptionShift),INDEX($FO$245:$IH$316,$FN236-HH$169,73-HH$169+SwaptionShift):INDEX($FO$245:$IH$316,$FN236-HH$169,72-HH$169+SwaptionMonthsToGo+SwaptionShift))/SQRT(SUM(INDEX($FO391:$IH391,1+SwaptionShift):INDEX($FO391:$IH391,SwaptionMonthsToGo+SwaptionShift))*SUM(INDEX($FO$325:$IH$396,HH$169,1+SwaptionShift):INDEX($FO$325:$IH$396,HH$169,SwaptionMonthsToGo+SwaptionShift))))))</f>
        <v/>
      </c>
      <c r="HI236" s="469" t="str">
        <f ca="1">IF(OR(HI$169&lt;SwaptionFirstMonthPosition+1,$FN236&lt;SwaptionFirstMonthPosition+1,HI$169&gt;SwaptionFirstMonthPosition+SwaptionNumOfMonths+1,$FN236&gt;SwaptionFirstMonthPosition+SwaptionNumOfMonths+1),"",IF($FN236=HI$169,1,IF($FN236&lt;HI$169,INDEX($FO$170:$IH$241,HI$169,$FN236),SUMPRODUCT(INDEX($FO$325:$IH$396,HI$169,1+SwaptionShift):INDEX($FO$325:$IH$396,HI$169,SwaptionMonthsToGo+SwaptionShift),INDEX($FO$245:$IH$316,$FN236-HI$169,73-HI$169+SwaptionShift):INDEX($FO$245:$IH$316,$FN236-HI$169,72-HI$169+SwaptionMonthsToGo+SwaptionShift))/SQRT(SUM(INDEX($FO391:$IH391,1+SwaptionShift):INDEX($FO391:$IH391,SwaptionMonthsToGo+SwaptionShift))*SUM(INDEX($FO$325:$IH$396,HI$169,1+SwaptionShift):INDEX($FO$325:$IH$396,HI$169,SwaptionMonthsToGo+SwaptionShift))))))</f>
        <v/>
      </c>
      <c r="HJ236" s="469" t="str">
        <f ca="1">IF(OR(HJ$169&lt;SwaptionFirstMonthPosition+1,$FN236&lt;SwaptionFirstMonthPosition+1,HJ$169&gt;SwaptionFirstMonthPosition+SwaptionNumOfMonths+1,$FN236&gt;SwaptionFirstMonthPosition+SwaptionNumOfMonths+1),"",IF($FN236=HJ$169,1,IF($FN236&lt;HJ$169,INDEX($FO$170:$IH$241,HJ$169,$FN236),SUMPRODUCT(INDEX($FO$325:$IH$396,HJ$169,1+SwaptionShift):INDEX($FO$325:$IH$396,HJ$169,SwaptionMonthsToGo+SwaptionShift),INDEX($FO$245:$IH$316,$FN236-HJ$169,73-HJ$169+SwaptionShift):INDEX($FO$245:$IH$316,$FN236-HJ$169,72-HJ$169+SwaptionMonthsToGo+SwaptionShift))/SQRT(SUM(INDEX($FO391:$IH391,1+SwaptionShift):INDEX($FO391:$IH391,SwaptionMonthsToGo+SwaptionShift))*SUM(INDEX($FO$325:$IH$396,HJ$169,1+SwaptionShift):INDEX($FO$325:$IH$396,HJ$169,SwaptionMonthsToGo+SwaptionShift))))))</f>
        <v/>
      </c>
      <c r="HK236" s="469" t="str">
        <f ca="1">IF(OR(HK$169&lt;SwaptionFirstMonthPosition+1,$FN236&lt;SwaptionFirstMonthPosition+1,HK$169&gt;SwaptionFirstMonthPosition+SwaptionNumOfMonths+1,$FN236&gt;SwaptionFirstMonthPosition+SwaptionNumOfMonths+1),"",IF($FN236=HK$169,1,IF($FN236&lt;HK$169,INDEX($FO$170:$IH$241,HK$169,$FN236),SUMPRODUCT(INDEX($FO$325:$IH$396,HK$169,1+SwaptionShift):INDEX($FO$325:$IH$396,HK$169,SwaptionMonthsToGo+SwaptionShift),INDEX($FO$245:$IH$316,$FN236-HK$169,73-HK$169+SwaptionShift):INDEX($FO$245:$IH$316,$FN236-HK$169,72-HK$169+SwaptionMonthsToGo+SwaptionShift))/SQRT(SUM(INDEX($FO391:$IH391,1+SwaptionShift):INDEX($FO391:$IH391,SwaptionMonthsToGo+SwaptionShift))*SUM(INDEX($FO$325:$IH$396,HK$169,1+SwaptionShift):INDEX($FO$325:$IH$396,HK$169,SwaptionMonthsToGo+SwaptionShift))))))</f>
        <v/>
      </c>
      <c r="HL236" s="469" t="str">
        <f ca="1">IF(OR(HL$169&lt;SwaptionFirstMonthPosition+1,$FN236&lt;SwaptionFirstMonthPosition+1,HL$169&gt;SwaptionFirstMonthPosition+SwaptionNumOfMonths+1,$FN236&gt;SwaptionFirstMonthPosition+SwaptionNumOfMonths+1),"",IF($FN236=HL$169,1,IF($FN236&lt;HL$169,INDEX($FO$170:$IH$241,HL$169,$FN236),SUMPRODUCT(INDEX($FO$325:$IH$396,HL$169,1+SwaptionShift):INDEX($FO$325:$IH$396,HL$169,SwaptionMonthsToGo+SwaptionShift),INDEX($FO$245:$IH$316,$FN236-HL$169,73-HL$169+SwaptionShift):INDEX($FO$245:$IH$316,$FN236-HL$169,72-HL$169+SwaptionMonthsToGo+SwaptionShift))/SQRT(SUM(INDEX($FO391:$IH391,1+SwaptionShift):INDEX($FO391:$IH391,SwaptionMonthsToGo+SwaptionShift))*SUM(INDEX($FO$325:$IH$396,HL$169,1+SwaptionShift):INDEX($FO$325:$IH$396,HL$169,SwaptionMonthsToGo+SwaptionShift))))))</f>
        <v/>
      </c>
      <c r="HM236" s="469" t="str">
        <f ca="1">IF(OR(HM$169&lt;SwaptionFirstMonthPosition+1,$FN236&lt;SwaptionFirstMonthPosition+1,HM$169&gt;SwaptionFirstMonthPosition+SwaptionNumOfMonths+1,$FN236&gt;SwaptionFirstMonthPosition+SwaptionNumOfMonths+1),"",IF($FN236=HM$169,1,IF($FN236&lt;HM$169,INDEX($FO$170:$IH$241,HM$169,$FN236),SUMPRODUCT(INDEX($FO$325:$IH$396,HM$169,1+SwaptionShift):INDEX($FO$325:$IH$396,HM$169,SwaptionMonthsToGo+SwaptionShift),INDEX($FO$245:$IH$316,$FN236-HM$169,73-HM$169+SwaptionShift):INDEX($FO$245:$IH$316,$FN236-HM$169,72-HM$169+SwaptionMonthsToGo+SwaptionShift))/SQRT(SUM(INDEX($FO391:$IH391,1+SwaptionShift):INDEX($FO391:$IH391,SwaptionMonthsToGo+SwaptionShift))*SUM(INDEX($FO$325:$IH$396,HM$169,1+SwaptionShift):INDEX($FO$325:$IH$396,HM$169,SwaptionMonthsToGo+SwaptionShift))))))</f>
        <v/>
      </c>
      <c r="HN236" s="469" t="str">
        <f ca="1">IF(OR(HN$169&lt;SwaptionFirstMonthPosition+1,$FN236&lt;SwaptionFirstMonthPosition+1,HN$169&gt;SwaptionFirstMonthPosition+SwaptionNumOfMonths+1,$FN236&gt;SwaptionFirstMonthPosition+SwaptionNumOfMonths+1),"",IF($FN236=HN$169,1,IF($FN236&lt;HN$169,INDEX($FO$170:$IH$241,HN$169,$FN236),SUMPRODUCT(INDEX($FO$325:$IH$396,HN$169,1+SwaptionShift):INDEX($FO$325:$IH$396,HN$169,SwaptionMonthsToGo+SwaptionShift),INDEX($FO$245:$IH$316,$FN236-HN$169,73-HN$169+SwaptionShift):INDEX($FO$245:$IH$316,$FN236-HN$169,72-HN$169+SwaptionMonthsToGo+SwaptionShift))/SQRT(SUM(INDEX($FO391:$IH391,1+SwaptionShift):INDEX($FO391:$IH391,SwaptionMonthsToGo+SwaptionShift))*SUM(INDEX($FO$325:$IH$396,HN$169,1+SwaptionShift):INDEX($FO$325:$IH$396,HN$169,SwaptionMonthsToGo+SwaptionShift))))))</f>
        <v/>
      </c>
      <c r="HO236" s="469" t="str">
        <f ca="1">IF(OR(HO$169&lt;SwaptionFirstMonthPosition+1,$FN236&lt;SwaptionFirstMonthPosition+1,HO$169&gt;SwaptionFirstMonthPosition+SwaptionNumOfMonths+1,$FN236&gt;SwaptionFirstMonthPosition+SwaptionNumOfMonths+1),"",IF($FN236=HO$169,1,IF($FN236&lt;HO$169,INDEX($FO$170:$IH$241,HO$169,$FN236),SUMPRODUCT(INDEX($FO$325:$IH$396,HO$169,1+SwaptionShift):INDEX($FO$325:$IH$396,HO$169,SwaptionMonthsToGo+SwaptionShift),INDEX($FO$245:$IH$316,$FN236-HO$169,73-HO$169+SwaptionShift):INDEX($FO$245:$IH$316,$FN236-HO$169,72-HO$169+SwaptionMonthsToGo+SwaptionShift))/SQRT(SUM(INDEX($FO391:$IH391,1+SwaptionShift):INDEX($FO391:$IH391,SwaptionMonthsToGo+SwaptionShift))*SUM(INDEX($FO$325:$IH$396,HO$169,1+SwaptionShift):INDEX($FO$325:$IH$396,HO$169,SwaptionMonthsToGo+SwaptionShift))))))</f>
        <v/>
      </c>
      <c r="HP236" s="469" t="str">
        <f ca="1">IF(OR(HP$169&lt;SwaptionFirstMonthPosition+1,$FN236&lt;SwaptionFirstMonthPosition+1,HP$169&gt;SwaptionFirstMonthPosition+SwaptionNumOfMonths+1,$FN236&gt;SwaptionFirstMonthPosition+SwaptionNumOfMonths+1),"",IF($FN236=HP$169,1,IF($FN236&lt;HP$169,INDEX($FO$170:$IH$241,HP$169,$FN236),SUMPRODUCT(INDEX($FO$325:$IH$396,HP$169,1+SwaptionShift):INDEX($FO$325:$IH$396,HP$169,SwaptionMonthsToGo+SwaptionShift),INDEX($FO$245:$IH$316,$FN236-HP$169,73-HP$169+SwaptionShift):INDEX($FO$245:$IH$316,$FN236-HP$169,72-HP$169+SwaptionMonthsToGo+SwaptionShift))/SQRT(SUM(INDEX($FO391:$IH391,1+SwaptionShift):INDEX($FO391:$IH391,SwaptionMonthsToGo+SwaptionShift))*SUM(INDEX($FO$325:$IH$396,HP$169,1+SwaptionShift):INDEX($FO$325:$IH$396,HP$169,SwaptionMonthsToGo+SwaptionShift))))))</f>
        <v/>
      </c>
      <c r="HQ236" s="469" t="str">
        <f ca="1">IF(OR(HQ$169&lt;SwaptionFirstMonthPosition+1,$FN236&lt;SwaptionFirstMonthPosition+1,HQ$169&gt;SwaptionFirstMonthPosition+SwaptionNumOfMonths+1,$FN236&gt;SwaptionFirstMonthPosition+SwaptionNumOfMonths+1),"",IF($FN236=HQ$169,1,IF($FN236&lt;HQ$169,INDEX($FO$170:$IH$241,HQ$169,$FN236),SUMPRODUCT(INDEX($FO$325:$IH$396,HQ$169,1+SwaptionShift):INDEX($FO$325:$IH$396,HQ$169,SwaptionMonthsToGo+SwaptionShift),INDEX($FO$245:$IH$316,$FN236-HQ$169,73-HQ$169+SwaptionShift):INDEX($FO$245:$IH$316,$FN236-HQ$169,72-HQ$169+SwaptionMonthsToGo+SwaptionShift))/SQRT(SUM(INDEX($FO391:$IH391,1+SwaptionShift):INDEX($FO391:$IH391,SwaptionMonthsToGo+SwaptionShift))*SUM(INDEX($FO$325:$IH$396,HQ$169,1+SwaptionShift):INDEX($FO$325:$IH$396,HQ$169,SwaptionMonthsToGo+SwaptionShift))))))</f>
        <v/>
      </c>
      <c r="HR236" s="469" t="str">
        <f ca="1">IF(OR(HR$169&lt;SwaptionFirstMonthPosition+1,$FN236&lt;SwaptionFirstMonthPosition+1,HR$169&gt;SwaptionFirstMonthPosition+SwaptionNumOfMonths+1,$FN236&gt;SwaptionFirstMonthPosition+SwaptionNumOfMonths+1),"",IF($FN236=HR$169,1,IF($FN236&lt;HR$169,INDEX($FO$170:$IH$241,HR$169,$FN236),SUMPRODUCT(INDEX($FO$325:$IH$396,HR$169,1+SwaptionShift):INDEX($FO$325:$IH$396,HR$169,SwaptionMonthsToGo+SwaptionShift),INDEX($FO$245:$IH$316,$FN236-HR$169,73-HR$169+SwaptionShift):INDEX($FO$245:$IH$316,$FN236-HR$169,72-HR$169+SwaptionMonthsToGo+SwaptionShift))/SQRT(SUM(INDEX($FO391:$IH391,1+SwaptionShift):INDEX($FO391:$IH391,SwaptionMonthsToGo+SwaptionShift))*SUM(INDEX($FO$325:$IH$396,HR$169,1+SwaptionShift):INDEX($FO$325:$IH$396,HR$169,SwaptionMonthsToGo+SwaptionShift))))))</f>
        <v/>
      </c>
      <c r="HS236" s="469" t="str">
        <f ca="1">IF(OR(HS$169&lt;SwaptionFirstMonthPosition+1,$FN236&lt;SwaptionFirstMonthPosition+1,HS$169&gt;SwaptionFirstMonthPosition+SwaptionNumOfMonths+1,$FN236&gt;SwaptionFirstMonthPosition+SwaptionNumOfMonths+1),"",IF($FN236=HS$169,1,IF($FN236&lt;HS$169,INDEX($FO$170:$IH$241,HS$169,$FN236),SUMPRODUCT(INDEX($FO$325:$IH$396,HS$169,1+SwaptionShift):INDEX($FO$325:$IH$396,HS$169,SwaptionMonthsToGo+SwaptionShift),INDEX($FO$245:$IH$316,$FN236-HS$169,73-HS$169+SwaptionShift):INDEX($FO$245:$IH$316,$FN236-HS$169,72-HS$169+SwaptionMonthsToGo+SwaptionShift))/SQRT(SUM(INDEX($FO391:$IH391,1+SwaptionShift):INDEX($FO391:$IH391,SwaptionMonthsToGo+SwaptionShift))*SUM(INDEX($FO$325:$IH$396,HS$169,1+SwaptionShift):INDEX($FO$325:$IH$396,HS$169,SwaptionMonthsToGo+SwaptionShift))))))</f>
        <v/>
      </c>
      <c r="HT236" s="469" t="str">
        <f ca="1">IF(OR(HT$169&lt;SwaptionFirstMonthPosition+1,$FN236&lt;SwaptionFirstMonthPosition+1,HT$169&gt;SwaptionFirstMonthPosition+SwaptionNumOfMonths+1,$FN236&gt;SwaptionFirstMonthPosition+SwaptionNumOfMonths+1),"",IF($FN236=HT$169,1,IF($FN236&lt;HT$169,INDEX($FO$170:$IH$241,HT$169,$FN236),SUMPRODUCT(INDEX($FO$325:$IH$396,HT$169,1+SwaptionShift):INDEX($FO$325:$IH$396,HT$169,SwaptionMonthsToGo+SwaptionShift),INDEX($FO$245:$IH$316,$FN236-HT$169,73-HT$169+SwaptionShift):INDEX($FO$245:$IH$316,$FN236-HT$169,72-HT$169+SwaptionMonthsToGo+SwaptionShift))/SQRT(SUM(INDEX($FO391:$IH391,1+SwaptionShift):INDEX($FO391:$IH391,SwaptionMonthsToGo+SwaptionShift))*SUM(INDEX($FO$325:$IH$396,HT$169,1+SwaptionShift):INDEX($FO$325:$IH$396,HT$169,SwaptionMonthsToGo+SwaptionShift))))))</f>
        <v/>
      </c>
      <c r="HU236" s="469" t="str">
        <f ca="1">IF(OR(HU$169&lt;SwaptionFirstMonthPosition+1,$FN236&lt;SwaptionFirstMonthPosition+1,HU$169&gt;SwaptionFirstMonthPosition+SwaptionNumOfMonths+1,$FN236&gt;SwaptionFirstMonthPosition+SwaptionNumOfMonths+1),"",IF($FN236=HU$169,1,IF($FN236&lt;HU$169,INDEX($FO$170:$IH$241,HU$169,$FN236),SUMPRODUCT(INDEX($FO$325:$IH$396,HU$169,1+SwaptionShift):INDEX($FO$325:$IH$396,HU$169,SwaptionMonthsToGo+SwaptionShift),INDEX($FO$245:$IH$316,$FN236-HU$169,73-HU$169+SwaptionShift):INDEX($FO$245:$IH$316,$FN236-HU$169,72-HU$169+SwaptionMonthsToGo+SwaptionShift))/SQRT(SUM(INDEX($FO391:$IH391,1+SwaptionShift):INDEX($FO391:$IH391,SwaptionMonthsToGo+SwaptionShift))*SUM(INDEX($FO$325:$IH$396,HU$169,1+SwaptionShift):INDEX($FO$325:$IH$396,HU$169,SwaptionMonthsToGo+SwaptionShift))))))</f>
        <v/>
      </c>
      <c r="HV236" s="469" t="str">
        <f ca="1">IF(OR(HV$169&lt;SwaptionFirstMonthPosition+1,$FN236&lt;SwaptionFirstMonthPosition+1,HV$169&gt;SwaptionFirstMonthPosition+SwaptionNumOfMonths+1,$FN236&gt;SwaptionFirstMonthPosition+SwaptionNumOfMonths+1),"",IF($FN236=HV$169,1,IF($FN236&lt;HV$169,INDEX($FO$170:$IH$241,HV$169,$FN236),SUMPRODUCT(INDEX($FO$325:$IH$396,HV$169,1+SwaptionShift):INDEX($FO$325:$IH$396,HV$169,SwaptionMonthsToGo+SwaptionShift),INDEX($FO$245:$IH$316,$FN236-HV$169,73-HV$169+SwaptionShift):INDEX($FO$245:$IH$316,$FN236-HV$169,72-HV$169+SwaptionMonthsToGo+SwaptionShift))/SQRT(SUM(INDEX($FO391:$IH391,1+SwaptionShift):INDEX($FO391:$IH391,SwaptionMonthsToGo+SwaptionShift))*SUM(INDEX($FO$325:$IH$396,HV$169,1+SwaptionShift):INDEX($FO$325:$IH$396,HV$169,SwaptionMonthsToGo+SwaptionShift))))))</f>
        <v/>
      </c>
      <c r="HW236" s="469" t="str">
        <f ca="1">IF(OR(HW$169&lt;SwaptionFirstMonthPosition+1,$FN236&lt;SwaptionFirstMonthPosition+1,HW$169&gt;SwaptionFirstMonthPosition+SwaptionNumOfMonths+1,$FN236&gt;SwaptionFirstMonthPosition+SwaptionNumOfMonths+1),"",IF($FN236=HW$169,1,IF($FN236&lt;HW$169,INDEX($FO$170:$IH$241,HW$169,$FN236),SUMPRODUCT(INDEX($FO$325:$IH$396,HW$169,1+SwaptionShift):INDEX($FO$325:$IH$396,HW$169,SwaptionMonthsToGo+SwaptionShift),INDEX($FO$245:$IH$316,$FN236-HW$169,73-HW$169+SwaptionShift):INDEX($FO$245:$IH$316,$FN236-HW$169,72-HW$169+SwaptionMonthsToGo+SwaptionShift))/SQRT(SUM(INDEX($FO391:$IH391,1+SwaptionShift):INDEX($FO391:$IH391,SwaptionMonthsToGo+SwaptionShift))*SUM(INDEX($FO$325:$IH$396,HW$169,1+SwaptionShift):INDEX($FO$325:$IH$396,HW$169,SwaptionMonthsToGo+SwaptionShift))))))</f>
        <v/>
      </c>
      <c r="HX236" s="469" t="str">
        <f ca="1">IF(OR(HX$169&lt;SwaptionFirstMonthPosition+1,$FN236&lt;SwaptionFirstMonthPosition+1,HX$169&gt;SwaptionFirstMonthPosition+SwaptionNumOfMonths+1,$FN236&gt;SwaptionFirstMonthPosition+SwaptionNumOfMonths+1),"",IF($FN236=HX$169,1,IF($FN236&lt;HX$169,INDEX($FO$170:$IH$241,HX$169,$FN236),SUMPRODUCT(INDEX($FO$325:$IH$396,HX$169,1+SwaptionShift):INDEX($FO$325:$IH$396,HX$169,SwaptionMonthsToGo+SwaptionShift),INDEX($FO$245:$IH$316,$FN236-HX$169,73-HX$169+SwaptionShift):INDEX($FO$245:$IH$316,$FN236-HX$169,72-HX$169+SwaptionMonthsToGo+SwaptionShift))/SQRT(SUM(INDEX($FO391:$IH391,1+SwaptionShift):INDEX($FO391:$IH391,SwaptionMonthsToGo+SwaptionShift))*SUM(INDEX($FO$325:$IH$396,HX$169,1+SwaptionShift):INDEX($FO$325:$IH$396,HX$169,SwaptionMonthsToGo+SwaptionShift))))))</f>
        <v/>
      </c>
      <c r="HY236" s="469" t="str">
        <f ca="1">IF(OR(HY$169&lt;SwaptionFirstMonthPosition+1,$FN236&lt;SwaptionFirstMonthPosition+1,HY$169&gt;SwaptionFirstMonthPosition+SwaptionNumOfMonths+1,$FN236&gt;SwaptionFirstMonthPosition+SwaptionNumOfMonths+1),"",IF($FN236=HY$169,1,IF($FN236&lt;HY$169,INDEX($FO$170:$IH$241,HY$169,$FN236),SUMPRODUCT(INDEX($FO$325:$IH$396,HY$169,1+SwaptionShift):INDEX($FO$325:$IH$396,HY$169,SwaptionMonthsToGo+SwaptionShift),INDEX($FO$245:$IH$316,$FN236-HY$169,73-HY$169+SwaptionShift):INDEX($FO$245:$IH$316,$FN236-HY$169,72-HY$169+SwaptionMonthsToGo+SwaptionShift))/SQRT(SUM(INDEX($FO391:$IH391,1+SwaptionShift):INDEX($FO391:$IH391,SwaptionMonthsToGo+SwaptionShift))*SUM(INDEX($FO$325:$IH$396,HY$169,1+SwaptionShift):INDEX($FO$325:$IH$396,HY$169,SwaptionMonthsToGo+SwaptionShift))))))</f>
        <v/>
      </c>
      <c r="HZ236" s="469" t="str">
        <f ca="1">IF(OR(HZ$169&lt;SwaptionFirstMonthPosition+1,$FN236&lt;SwaptionFirstMonthPosition+1,HZ$169&gt;SwaptionFirstMonthPosition+SwaptionNumOfMonths+1,$FN236&gt;SwaptionFirstMonthPosition+SwaptionNumOfMonths+1),"",IF($FN236=HZ$169,1,IF($FN236&lt;HZ$169,INDEX($FO$170:$IH$241,HZ$169,$FN236),SUMPRODUCT(INDEX($FO$325:$IH$396,HZ$169,1+SwaptionShift):INDEX($FO$325:$IH$396,HZ$169,SwaptionMonthsToGo+SwaptionShift),INDEX($FO$245:$IH$316,$FN236-HZ$169,73-HZ$169+SwaptionShift):INDEX($FO$245:$IH$316,$FN236-HZ$169,72-HZ$169+SwaptionMonthsToGo+SwaptionShift))/SQRT(SUM(INDEX($FO391:$IH391,1+SwaptionShift):INDEX($FO391:$IH391,SwaptionMonthsToGo+SwaptionShift))*SUM(INDEX($FO$325:$IH$396,HZ$169,1+SwaptionShift):INDEX($FO$325:$IH$396,HZ$169,SwaptionMonthsToGo+SwaptionShift))))))</f>
        <v/>
      </c>
      <c r="IA236" s="469" t="str">
        <f ca="1">IF(OR(IA$169&lt;SwaptionFirstMonthPosition+1,$FN236&lt;SwaptionFirstMonthPosition+1,IA$169&gt;SwaptionFirstMonthPosition+SwaptionNumOfMonths+1,$FN236&gt;SwaptionFirstMonthPosition+SwaptionNumOfMonths+1),"",IF($FN236=IA$169,1,IF($FN236&lt;IA$169,INDEX($FO$170:$IH$241,IA$169,$FN236),SUMPRODUCT(INDEX($FO$325:$IH$396,IA$169,1+SwaptionShift):INDEX($FO$325:$IH$396,IA$169,SwaptionMonthsToGo+SwaptionShift),INDEX($FO$245:$IH$316,$FN236-IA$169,73-IA$169+SwaptionShift):INDEX($FO$245:$IH$316,$FN236-IA$169,72-IA$169+SwaptionMonthsToGo+SwaptionShift))/SQRT(SUM(INDEX($FO391:$IH391,1+SwaptionShift):INDEX($FO391:$IH391,SwaptionMonthsToGo+SwaptionShift))*SUM(INDEX($FO$325:$IH$396,IA$169,1+SwaptionShift):INDEX($FO$325:$IH$396,IA$169,SwaptionMonthsToGo+SwaptionShift))))))</f>
        <v/>
      </c>
      <c r="IB236" s="469" t="str">
        <f ca="1">IF(OR(IB$169&lt;SwaptionFirstMonthPosition+1,$FN236&lt;SwaptionFirstMonthPosition+1,IB$169&gt;SwaptionFirstMonthPosition+SwaptionNumOfMonths+1,$FN236&gt;SwaptionFirstMonthPosition+SwaptionNumOfMonths+1),"",IF($FN236=IB$169,1,IF($FN236&lt;IB$169,INDEX($FO$170:$IH$241,IB$169,$FN236),SUMPRODUCT(INDEX($FO$325:$IH$396,IB$169,1+SwaptionShift):INDEX($FO$325:$IH$396,IB$169,SwaptionMonthsToGo+SwaptionShift),INDEX($FO$245:$IH$316,$FN236-IB$169,73-IB$169+SwaptionShift):INDEX($FO$245:$IH$316,$FN236-IB$169,72-IB$169+SwaptionMonthsToGo+SwaptionShift))/SQRT(SUM(INDEX($FO391:$IH391,1+SwaptionShift):INDEX($FO391:$IH391,SwaptionMonthsToGo+SwaptionShift))*SUM(INDEX($FO$325:$IH$396,IB$169,1+SwaptionShift):INDEX($FO$325:$IH$396,IB$169,SwaptionMonthsToGo+SwaptionShift))))))</f>
        <v/>
      </c>
      <c r="IC236" s="469" t="str">
        <f ca="1">IF(OR(IC$169&lt;SwaptionFirstMonthPosition+1,$FN236&lt;SwaptionFirstMonthPosition+1,IC$169&gt;SwaptionFirstMonthPosition+SwaptionNumOfMonths+1,$FN236&gt;SwaptionFirstMonthPosition+SwaptionNumOfMonths+1),"",IF($FN236=IC$169,1,IF($FN236&lt;IC$169,INDEX($FO$170:$IH$241,IC$169,$FN236),SUMPRODUCT(INDEX($FO$325:$IH$396,IC$169,1+SwaptionShift):INDEX($FO$325:$IH$396,IC$169,SwaptionMonthsToGo+SwaptionShift),INDEX($FO$245:$IH$316,$FN236-IC$169,73-IC$169+SwaptionShift):INDEX($FO$245:$IH$316,$FN236-IC$169,72-IC$169+SwaptionMonthsToGo+SwaptionShift))/SQRT(SUM(INDEX($FO391:$IH391,1+SwaptionShift):INDEX($FO391:$IH391,SwaptionMonthsToGo+SwaptionShift))*SUM(INDEX($FO$325:$IH$396,IC$169,1+SwaptionShift):INDEX($FO$325:$IH$396,IC$169,SwaptionMonthsToGo+SwaptionShift))))))</f>
        <v/>
      </c>
      <c r="ID236" s="469" t="str">
        <f ca="1">IF(OR(ID$169&lt;SwaptionFirstMonthPosition+1,$FN236&lt;SwaptionFirstMonthPosition+1,ID$169&gt;SwaptionFirstMonthPosition+SwaptionNumOfMonths+1,$FN236&gt;SwaptionFirstMonthPosition+SwaptionNumOfMonths+1),"",IF($FN236=ID$169,1,IF($FN236&lt;ID$169,INDEX($FO$170:$IH$241,ID$169,$FN236),SUMPRODUCT(INDEX($FO$325:$IH$396,ID$169,1+SwaptionShift):INDEX($FO$325:$IH$396,ID$169,SwaptionMonthsToGo+SwaptionShift),INDEX($FO$245:$IH$316,$FN236-ID$169,73-ID$169+SwaptionShift):INDEX($FO$245:$IH$316,$FN236-ID$169,72-ID$169+SwaptionMonthsToGo+SwaptionShift))/SQRT(SUM(INDEX($FO391:$IH391,1+SwaptionShift):INDEX($FO391:$IH391,SwaptionMonthsToGo+SwaptionShift))*SUM(INDEX($FO$325:$IH$396,ID$169,1+SwaptionShift):INDEX($FO$325:$IH$396,ID$169,SwaptionMonthsToGo+SwaptionShift))))))</f>
        <v/>
      </c>
      <c r="IE236" s="469" t="str">
        <f ca="1">IF(OR(IE$169&lt;SwaptionFirstMonthPosition+1,$FN236&lt;SwaptionFirstMonthPosition+1,IE$169&gt;SwaptionFirstMonthPosition+SwaptionNumOfMonths+1,$FN236&gt;SwaptionFirstMonthPosition+SwaptionNumOfMonths+1),"",IF($FN236=IE$169,1,IF($FN236&lt;IE$169,INDEX($FO$170:$IH$241,IE$169,$FN236),SUMPRODUCT(INDEX($FO$325:$IH$396,IE$169,1+SwaptionShift):INDEX($FO$325:$IH$396,IE$169,SwaptionMonthsToGo+SwaptionShift),INDEX($FO$245:$IH$316,$FN236-IE$169,73-IE$169+SwaptionShift):INDEX($FO$245:$IH$316,$FN236-IE$169,72-IE$169+SwaptionMonthsToGo+SwaptionShift))/SQRT(SUM(INDEX($FO391:$IH391,1+SwaptionShift):INDEX($FO391:$IH391,SwaptionMonthsToGo+SwaptionShift))*SUM(INDEX($FO$325:$IH$396,IE$169,1+SwaptionShift):INDEX($FO$325:$IH$396,IE$169,SwaptionMonthsToGo+SwaptionShift))))))</f>
        <v/>
      </c>
      <c r="IF236" s="469" t="str">
        <f ca="1">IF(OR(IF$169&lt;SwaptionFirstMonthPosition+1,$FN236&lt;SwaptionFirstMonthPosition+1,IF$169&gt;SwaptionFirstMonthPosition+SwaptionNumOfMonths+1,$FN236&gt;SwaptionFirstMonthPosition+SwaptionNumOfMonths+1),"",IF($FN236=IF$169,1,IF($FN236&lt;IF$169,INDEX($FO$170:$IH$241,IF$169,$FN236),SUMPRODUCT(INDEX($FO$325:$IH$396,IF$169,1+SwaptionShift):INDEX($FO$325:$IH$396,IF$169,SwaptionMonthsToGo+SwaptionShift),INDEX($FO$245:$IH$316,$FN236-IF$169,73-IF$169+SwaptionShift):INDEX($FO$245:$IH$316,$FN236-IF$169,72-IF$169+SwaptionMonthsToGo+SwaptionShift))/SQRT(SUM(INDEX($FO391:$IH391,1+SwaptionShift):INDEX($FO391:$IH391,SwaptionMonthsToGo+SwaptionShift))*SUM(INDEX($FO$325:$IH$396,IF$169,1+SwaptionShift):INDEX($FO$325:$IH$396,IF$169,SwaptionMonthsToGo+SwaptionShift))))))</f>
        <v/>
      </c>
      <c r="IG236" s="469" t="str">
        <f ca="1">IF(OR(IG$169&lt;SwaptionFirstMonthPosition+1,$FN236&lt;SwaptionFirstMonthPosition+1,IG$169&gt;SwaptionFirstMonthPosition+SwaptionNumOfMonths+1,$FN236&gt;SwaptionFirstMonthPosition+SwaptionNumOfMonths+1),"",IF($FN236=IG$169,1,IF($FN236&lt;IG$169,INDEX($FO$170:$IH$241,IG$169,$FN236),SUMPRODUCT(INDEX($FO$325:$IH$396,IG$169,1+SwaptionShift):INDEX($FO$325:$IH$396,IG$169,SwaptionMonthsToGo+SwaptionShift),INDEX($FO$245:$IH$316,$FN236-IG$169,73-IG$169+SwaptionShift):INDEX($FO$245:$IH$316,$FN236-IG$169,72-IG$169+SwaptionMonthsToGo+SwaptionShift))/SQRT(SUM(INDEX($FO391:$IH391,1+SwaptionShift):INDEX($FO391:$IH391,SwaptionMonthsToGo+SwaptionShift))*SUM(INDEX($FO$325:$IH$396,IG$169,1+SwaptionShift):INDEX($FO$325:$IH$396,IG$169,SwaptionMonthsToGo+SwaptionShift))))))</f>
        <v/>
      </c>
      <c r="IH236" s="662" t="str">
        <f ca="1">IF(OR(IH$169&lt;SwaptionFirstMonthPosition+1,$FN236&lt;SwaptionFirstMonthPosition+1,IH$169&gt;SwaptionFirstMonthPosition+SwaptionNumOfMonths+1,$FN236&gt;SwaptionFirstMonthPosition+SwaptionNumOfMonths+1),"",IF($FN236=IH$169,1,IF($FN236&lt;IH$169,INDEX($FO$170:$IH$241,IH$169,$FN236),SUMPRODUCT(INDEX($FO$325:$IH$396,IH$169,1+SwaptionShift):INDEX($FO$325:$IH$396,IH$169,SwaptionMonthsToGo+SwaptionShift),INDEX($FO$245:$IH$316,$FN236-IH$169,73-IH$169+SwaptionShift):INDEX($FO$245:$IH$316,$FN236-IH$169,72-IH$169+SwaptionMonthsToGo+SwaptionShift))/SQRT(SUM(INDEX($FO391:$IH391,1+SwaptionShift):INDEX($FO391:$IH391,SwaptionMonthsToGo+SwaptionShift))*SUM(INDEX($FO$325:$IH$396,IH$169,1+SwaptionShift):INDEX($FO$325:$IH$396,IH$169,SwaptionMonthsToGo+SwaptionShift))))))</f>
        <v/>
      </c>
      <c r="II236" s="242"/>
    </row>
    <row r="237" spans="8:243">
      <c r="H237" s="49" t="e">
        <f t="shared" ca="1" si="645"/>
        <v>#N/A</v>
      </c>
      <c r="I237" s="369">
        <f t="shared" si="646"/>
        <v>43617</v>
      </c>
      <c r="J237" s="367">
        <v>24.809999999999796</v>
      </c>
      <c r="K237" s="101" t="s">
        <v>267</v>
      </c>
      <c r="L237" s="382">
        <f t="shared" si="647"/>
        <v>24.809999999999821</v>
      </c>
      <c r="M237" s="163">
        <v>0.12430000000000001</v>
      </c>
      <c r="N237" s="372">
        <v>0</v>
      </c>
      <c r="O237" s="163">
        <f t="shared" si="595"/>
        <v>0.12430000000000001</v>
      </c>
      <c r="P237" s="367">
        <v>23.338876232231598</v>
      </c>
      <c r="Q237" s="101" t="s">
        <v>267</v>
      </c>
      <c r="R237" s="367">
        <f t="shared" ca="1" si="596"/>
        <v>23.338876232231616</v>
      </c>
      <c r="S237" s="814">
        <f t="shared" si="594"/>
        <v>0.34570390176632898</v>
      </c>
      <c r="T237" s="813">
        <f t="shared" si="660"/>
        <v>0.99999999999081512</v>
      </c>
      <c r="U237" s="532">
        <f t="shared" si="661"/>
        <v>0.99999999999999978</v>
      </c>
      <c r="V237" s="379">
        <v>0</v>
      </c>
      <c r="W237" s="424">
        <f t="shared" si="597"/>
        <v>24.842499999999795</v>
      </c>
      <c r="X237" s="405">
        <f t="shared" si="598"/>
        <v>24.84249999999982</v>
      </c>
      <c r="Y237" s="313">
        <f t="shared" si="599"/>
        <v>23.498499999999794</v>
      </c>
      <c r="Z237" s="313">
        <f t="shared" ca="1" si="600"/>
        <v>23.498499999999819</v>
      </c>
      <c r="AA237" s="419">
        <f t="shared" si="623"/>
        <v>1.3440000000000001</v>
      </c>
      <c r="AB237" s="423">
        <f t="shared" ca="1" si="624"/>
        <v>1.3440000000000001</v>
      </c>
      <c r="AC237" s="221">
        <v>43605</v>
      </c>
      <c r="AD237" s="221">
        <v>43601</v>
      </c>
      <c r="AE237" s="221">
        <v>43600</v>
      </c>
      <c r="AF237" s="221">
        <v>43596</v>
      </c>
      <c r="AG237" s="241" t="s">
        <v>497</v>
      </c>
      <c r="AH237" s="239" t="s">
        <v>497</v>
      </c>
      <c r="AI237" s="141">
        <v>20</v>
      </c>
      <c r="AJ237" s="41">
        <v>14</v>
      </c>
      <c r="AK237" s="41">
        <v>6</v>
      </c>
      <c r="AL237" s="285">
        <v>20</v>
      </c>
      <c r="AM237" s="41">
        <v>10</v>
      </c>
      <c r="AN237" s="142">
        <v>10</v>
      </c>
      <c r="AO237" s="364">
        <v>6.3637687284713099E-2</v>
      </c>
      <c r="AP237" s="145">
        <f t="shared" ca="1" si="648"/>
        <v>0.3193043336669511</v>
      </c>
      <c r="AQ237" s="364">
        <v>6.0251522359359801E-2</v>
      </c>
      <c r="AR237" s="145">
        <f t="shared" ca="1" si="662"/>
        <v>0.34148747937413659</v>
      </c>
      <c r="AS237" s="264">
        <f t="shared" si="601"/>
        <v>0.12378</v>
      </c>
      <c r="AT237" s="149">
        <f t="shared" si="649"/>
        <v>0.12430000000000001</v>
      </c>
      <c r="AU237" s="149">
        <f t="shared" si="625"/>
        <v>0.1237</v>
      </c>
      <c r="AV237" s="263">
        <f t="shared" ca="1" si="669"/>
        <v>0.1223769636065669</v>
      </c>
      <c r="AW237" s="150" t="str">
        <f t="shared" ca="1" si="581"/>
        <v/>
      </c>
      <c r="AX237" s="149">
        <f t="shared" ca="1" si="663"/>
        <v>3.0340677449042339E-3</v>
      </c>
      <c r="AY237" s="149">
        <f t="shared" ca="1" si="664"/>
        <v>9.0331657692784245E-4</v>
      </c>
      <c r="AZ237" s="149">
        <f t="shared" ca="1" si="665"/>
        <v>1.1657651090276431E-3</v>
      </c>
      <c r="BA237" s="149">
        <f t="shared" ca="1" si="666"/>
        <v>1.0000000000001177E-4</v>
      </c>
      <c r="BB237" s="149">
        <f t="shared" ca="1" si="667"/>
        <v>1.0000000000001177E-4</v>
      </c>
      <c r="BC237" s="149">
        <f t="shared" ca="1" si="668"/>
        <v>1.0000000000001177E-4</v>
      </c>
      <c r="BD237" s="143">
        <f t="shared" ca="1" si="602"/>
        <v>0</v>
      </c>
      <c r="BE237" s="144">
        <f t="shared" ca="1" si="603"/>
        <v>0</v>
      </c>
      <c r="BF237" s="40">
        <f t="shared" si="604"/>
        <v>2019</v>
      </c>
      <c r="BG237" s="139">
        <f t="shared" si="605"/>
        <v>6</v>
      </c>
      <c r="BH237" s="140">
        <f t="shared" ca="1" si="606"/>
        <v>6611</v>
      </c>
      <c r="BI237" s="304">
        <f t="shared" ca="1" si="607"/>
        <v>18.143737166324435</v>
      </c>
      <c r="BJ237" s="42">
        <f t="shared" ca="1" si="626"/>
        <v>18.199315537303217</v>
      </c>
      <c r="BK237" s="42">
        <f t="shared" ca="1" si="627"/>
        <v>18.202053388090349</v>
      </c>
      <c r="BL237" s="42">
        <f t="shared" ca="1" si="608"/>
        <v>18.223134839151268</v>
      </c>
      <c r="BM237" s="285">
        <f t="shared" si="609"/>
        <v>20</v>
      </c>
      <c r="BN237" s="41">
        <f t="shared" si="610"/>
        <v>14</v>
      </c>
      <c r="BO237" s="41">
        <f t="shared" si="611"/>
        <v>6</v>
      </c>
      <c r="BP237" s="297" t="str">
        <f t="shared" ca="1" si="628"/>
        <v/>
      </c>
      <c r="BQ237" s="297" t="str">
        <f t="shared" ca="1" si="629"/>
        <v/>
      </c>
      <c r="BR237" s="299" t="str">
        <f t="shared" ca="1" si="630"/>
        <v/>
      </c>
      <c r="BS237" s="153" t="str">
        <f t="shared" ca="1" si="631"/>
        <v/>
      </c>
      <c r="BT237" s="153" t="str">
        <f t="shared" ca="1" si="632"/>
        <v/>
      </c>
      <c r="BU237" s="300" t="str">
        <f t="shared" ca="1" si="633"/>
        <v/>
      </c>
      <c r="BV237" s="301" t="str">
        <f t="shared" ca="1" si="634"/>
        <v/>
      </c>
      <c r="BW237" s="300" t="str">
        <f t="shared" ca="1" si="635"/>
        <v/>
      </c>
      <c r="BX237" s="301" t="str">
        <f t="shared" ca="1" si="636"/>
        <v/>
      </c>
      <c r="BY237" s="146" t="str">
        <f t="shared" ca="1" si="637"/>
        <v/>
      </c>
      <c r="BZ237" s="146" t="str">
        <f t="shared" ca="1" si="638"/>
        <v/>
      </c>
      <c r="CA237" s="146" t="str">
        <f t="shared" ca="1" si="639"/>
        <v/>
      </c>
      <c r="CB237" s="146" t="str">
        <f t="shared" ca="1" si="640"/>
        <v/>
      </c>
      <c r="CC237" s="302">
        <v>1</v>
      </c>
      <c r="CD237" s="154">
        <f ca="1">IF(BD237,_xll.xCrudeAPO(BS237,BT237,BY237,BZ237,S238,S239,BI237,BL237,BN237,BO237,0,Strike1,AO237,CC237,0,BL237,IF(OptControl=4,0,1),0,1),0)</f>
        <v>0</v>
      </c>
      <c r="CE237" s="155">
        <f ca="1">IF(BD237,_xll.xCrudeAPO(BS237,BT237,BY237,BZ237,S238,S239,BI237,BL237,BN237,BO237,0,Strike1,AO237,CC237,0,BL237,IF(OptControl=4,0,1),1,1)+_xll.xCrudeAPO(BS237,BT237,BY237,BZ237,S238,S239,BI237,BL237,BN237,BO237,0,Strike1,AO237,CC237,0,BL237,IF(OptControl=4,0,1),1,2)+IF(OR(VolSkewFlag=2,ABS(BQ237)&lt;0.0001),0,IF(BQ237&gt;0,-1,1)*CF237*Strike1/BP237^2*BW237/10%),0)</f>
        <v>0</v>
      </c>
      <c r="CF237" s="155">
        <f ca="1">IF(BD237,(_xll.xCrudeAPO(BS237,BT237,BY237,BZ237,S238,S239,BI237,BL237,BN237,BO237,0,Strike1,AO237,CC237,0,BL237,IF(OptControl=4,0,1),3,1)+_xll.xCrudeAPO(BS237,BT237,BY237,BZ237,S238,S239,BI237,BL237,BN237,BO237,0,Strike1,AO237,CC237,0,BL237,IF(OptControl=4,0,1),3,2))/100,0)</f>
        <v>0</v>
      </c>
      <c r="CG237" s="155">
        <f ca="1">IF(BD237,_xll.xCrudeAPO(BS237,BT237,BY237,BZ237,S238,S239,BI237-DaysForThetaCalculation/365.25,BL237-DaysForThetaCalculation/365.25,BN237,BO237,0,Strike1,AO237,CC237,0,BL237,IF(OptControl=4,0,1),0,1)-_xll.xCrudeAPO(BS237,BT237,BY237,BZ237,S238,S239,BI237,BL237,BN237,BO237,0,Strike1,AO237,CC237,0,BL237,IF(OptControl=4,0,1),0,1),0)</f>
        <v>0</v>
      </c>
      <c r="CH237" s="303">
        <f ca="1">IF(BD237,_xll.xCrudeAPO(BS237,BT237,CA237,CB237,S238,S239,BI237,BL237,BN237,BO237,0,Strike2,AO237,CC237,0,BL237,IF(OptControl=3,1,0),0,1),0)</f>
        <v>0</v>
      </c>
      <c r="CI237" s="155">
        <f ca="1">IF(BD237,_xll.xCrudeAPO(BS237,BT237,CA237,CB237,S238,S239,BI237,BL237,BN237,BO237,0,Strike2,AO237,CC237,0,BL237,IF(OptControl=3,1,0),1,1)+_xll.xCrudeAPO(BS237,BT237,CA237,CB237,S238,S239,BI237,BL237,BN237,BO237,0,Strike2,AO237,CC237,0,BL237,IF(OptControl=3,1,0),1,2)+IF(OR(VolSkewFlag=2,ABS(BR237)&lt;0.0001),0,IF(BR237&gt;0,-1,1)*CJ237*Strike2/BP237^2*BX237/10%),0)</f>
        <v>0</v>
      </c>
      <c r="CJ237" s="155">
        <f ca="1">IF(BD237,(_xll.xCrudeAPO(BS237,BT237,CA237,CB237,S238,S239,BI237,BL237,BN237,BO237,0,Strike2,AO237,CC237,0,BL237,IF(OptControl=3,1,0),3,1)+_xll.xCrudeAPO(BS237,BT237,CA237,CB237,S238,S239,BI237,BL237,BN237,BO237,0,Strike2,AO237,CC237,0,BL237,IF(OptControl=3,1,0),3,2))/100,0)</f>
        <v>0</v>
      </c>
      <c r="CK237" s="156">
        <f ca="1">IF(BD237,_xll.xCrudeAPO(BS237,BT237,CA237,CB237,S238,S239,BI237-DaysForThetaCalculation/365.25,BL237-DaysForThetaCalculation/365.25,BN237,BO237,0,Strike2,AO237,CC237,0,BL237,IF(OptControl=3,1,0),0,1)-_xll.xCrudeAPO(BS237,BT237,CA237,CB237,S238,S239,BI237,BL237,BN237,BO237,0,Strike2,AO237,CC237,0,BL237,IF(OptControl=3,1,0),0,1),0)</f>
        <v>0</v>
      </c>
      <c r="CL237" s="51"/>
      <c r="CM237" s="779" t="str">
        <f t="shared" ca="1" si="650"/>
        <v/>
      </c>
      <c r="CN237" s="783" t="str">
        <f t="shared" ca="1" si="651"/>
        <v/>
      </c>
      <c r="CO237" s="780" t="str">
        <f t="shared" ca="1" si="652"/>
        <v/>
      </c>
      <c r="CP237" s="780" t="str">
        <f t="shared" ca="1" si="653"/>
        <v/>
      </c>
      <c r="CQ237" s="780" t="str">
        <f t="shared" ca="1" si="654"/>
        <v/>
      </c>
      <c r="CR237" s="780" t="str">
        <f t="shared" ca="1" si="655"/>
        <v/>
      </c>
      <c r="CS237" s="781" t="str">
        <f t="shared" ca="1" si="656"/>
        <v/>
      </c>
      <c r="CT237" s="782" t="str">
        <f t="shared" ca="1" si="657"/>
        <v/>
      </c>
      <c r="CU237" s="782" t="str">
        <f t="shared" ca="1" si="658"/>
        <v/>
      </c>
      <c r="CV237" s="155">
        <f ca="1">IF(BD237,_xll.EURO(CN237,Strike1,AO237,AO237,CT237,CM237,IF(OptControl=4,0,1),0),0)</f>
        <v>0</v>
      </c>
      <c r="CW237" s="155">
        <f ca="1">IF(BD237,_xll.EURO(CN237,Strike1,AO237,AO237,CT237,CM237,IF(OptControl=4,0,1),1)+IF(OR(VolSkewFlag=2,ABS(CO237)&lt;0.0001),0,IF(CO237&gt;0,-1,1)*CX237*100*Strike1/CN237^2*CQ237/10%),0)</f>
        <v>0</v>
      </c>
      <c r="CX237" s="155">
        <f ca="1">IF(BD237,_xll.EURO(CN237,Strike1,AO237,AO237,CT237,CM237,IF(OptControl=4,0,1),3)/100,0)</f>
        <v>0</v>
      </c>
      <c r="CY237" s="155">
        <f ca="1">IF(BD237,_xll.EURO(CN237,Strike1,AO237,AO237,CT237,CM237,IF(OptControl=4,0,1),0)-_xll.EURO(CN237,Strike1,AO237,AO237,CT237,CM237-1,IF(OptControl=4,0,1),0),0)</f>
        <v>0</v>
      </c>
      <c r="CZ237" s="155">
        <f ca="1">IF(BD237,_xll.EURO(CN237,Strike2,AO237,AO237,CU237,CM237,IF(OptControl=3,1,0),0),0)</f>
        <v>0</v>
      </c>
      <c r="DA237" s="155">
        <f ca="1">IF(BD237,_xll.EURO(CN237,Strike2,AO237,AO237,CU237,CM237,IF(OptControl=3,1,0),1)+IF(OR(VolSkewFlag=2,ABS(CP237)&lt;0.0001),0,IF(CP237&gt;0,-1,1)*DB237*100*Strike2/CN237^2*CR237/10%),0)</f>
        <v>0</v>
      </c>
      <c r="DB237" s="155">
        <f ca="1">IF(BD237,_xll.EURO(CN237,Strike2,AO237,AO237,CU237,CM237,IF(OptControl=3,1,0),3)/100,0)</f>
        <v>0</v>
      </c>
      <c r="DC237" s="156">
        <f ca="1">IF(BD237,_xll.EURO(CN237,Strike2,AO237,AO237,CU237,CM237,IF(OptControl=3,1,0),0)-_xll.EURO(CN237,Strike2,AO237,AO237,CU237,CM237-1,IF(OptControl=3,1,0),0),0)</f>
        <v>0</v>
      </c>
      <c r="DE237" s="651">
        <f t="shared" ca="1" si="659"/>
        <v>43525</v>
      </c>
      <c r="DF237" s="465">
        <v>1E-4</v>
      </c>
      <c r="DG237" s="649">
        <v>1E-4</v>
      </c>
      <c r="DH237" s="650">
        <f t="shared" ca="1" si="612"/>
        <v>43525</v>
      </c>
      <c r="DI237" s="465">
        <v>1E-4</v>
      </c>
      <c r="DJ237" s="649">
        <v>1E-4</v>
      </c>
      <c r="DK237" s="651">
        <f t="shared" ca="1" si="613"/>
        <v>43525</v>
      </c>
      <c r="DL237" s="652">
        <f t="shared" si="614"/>
        <v>5.0100000000000006E-2</v>
      </c>
      <c r="DM237" s="651">
        <f t="shared" ca="1" si="615"/>
        <v>43525</v>
      </c>
      <c r="DN237" s="563">
        <f t="shared" si="616"/>
        <v>-0.12990000000000002</v>
      </c>
      <c r="DO237" s="803">
        <v>-0.13</v>
      </c>
      <c r="DP237" s="650">
        <f t="shared" ca="1" si="617"/>
        <v>43525</v>
      </c>
      <c r="DQ237" s="653">
        <v>1E-4</v>
      </c>
      <c r="DR237" s="590">
        <v>1E-4</v>
      </c>
      <c r="DS237" s="650">
        <f t="shared" ca="1" si="618"/>
        <v>43525</v>
      </c>
      <c r="DT237" s="653">
        <v>1E-4</v>
      </c>
      <c r="DU237" s="590">
        <v>1E-4</v>
      </c>
      <c r="DV237" s="651">
        <f t="shared" ca="1" si="619"/>
        <v>43525</v>
      </c>
      <c r="DW237" s="590">
        <v>1E-4</v>
      </c>
      <c r="DX237" s="651">
        <f t="shared" ca="1" si="620"/>
        <v>43525</v>
      </c>
      <c r="DY237" s="590">
        <f t="shared" si="621"/>
        <v>1E-4</v>
      </c>
      <c r="DZ237" s="1"/>
      <c r="EA237" s="857"/>
      <c r="EB237" s="857"/>
      <c r="EC237" s="857"/>
      <c r="ED237" s="868" t="e">
        <f t="shared" ca="1" si="670"/>
        <v>#NAME?</v>
      </c>
      <c r="EE237" s="863" t="e">
        <f t="shared" ca="1" si="641"/>
        <v>#NAME?</v>
      </c>
      <c r="EF237" s="590" t="e">
        <f t="shared" ca="1" si="642"/>
        <v>#NAME?</v>
      </c>
      <c r="EG237" s="862" t="str">
        <f t="shared" ca="1" si="622"/>
        <v/>
      </c>
      <c r="EH237" s="114" t="str">
        <f t="shared" ca="1" si="643"/>
        <v/>
      </c>
      <c r="EI237" s="109" t="str">
        <f t="shared" ca="1" si="644"/>
        <v/>
      </c>
      <c r="EJ237" s="115">
        <f ca="1">IF(BD237,_xll.xASN(BP237,Strike1,AO237,EH237,0,BM237,0,BI237,BL237,IF(OptControl=4,0,1),0),0)</f>
        <v>0</v>
      </c>
      <c r="EK237" s="108">
        <f ca="1">IF(BD237,_xll.xASN(BP237,Strike2,AO237,EI237,0,BM237,0,BI237,BL237,IF(OptControl=3,1,0),0),0)</f>
        <v>0</v>
      </c>
      <c r="EP237" s="53"/>
      <c r="EQ237" s="1"/>
      <c r="ER237" s="103"/>
      <c r="ES237" s="103"/>
      <c r="ET237" s="1"/>
      <c r="EU237" s="667" t="s">
        <v>450</v>
      </c>
      <c r="EW237" s="53"/>
      <c r="EY237" s="104"/>
      <c r="FN237" s="657">
        <v>68</v>
      </c>
      <c r="FO237" s="469" t="str">
        <f ca="1">IF(OR(FO$169&lt;SwaptionFirstMonthPosition+1,$FN237&lt;SwaptionFirstMonthPosition+1,FO$169&gt;SwaptionFirstMonthPosition+SwaptionNumOfMonths+1,$FN237&gt;SwaptionFirstMonthPosition+SwaptionNumOfMonths+1),"",IF($FN237=FO$169,1,IF($FN237&lt;FO$169,INDEX($FO$170:$IH$241,FO$169,$FN237),SUMPRODUCT(INDEX($FO$325:$IH$396,FO$169,1+SwaptionShift):INDEX($FO$325:$IH$396,FO$169,SwaptionMonthsToGo+SwaptionShift),INDEX($FO$245:$IH$316,$FN237-FO$169,73-FO$169+SwaptionShift):INDEX($FO$245:$IH$316,$FN237-FO$169,72-FO$169+SwaptionMonthsToGo+SwaptionShift))/SQRT(SUM(INDEX($FO392:$IH392,1+SwaptionShift):INDEX($FO392:$IH392,SwaptionMonthsToGo+SwaptionShift))*SUM(INDEX($FO$325:$IH$396,FO$169,1+SwaptionShift):INDEX($FO$325:$IH$396,FO$169,SwaptionMonthsToGo+SwaptionShift))))))</f>
        <v/>
      </c>
      <c r="FP237" s="469" t="str">
        <f ca="1">IF(OR(FP$169&lt;SwaptionFirstMonthPosition+1,$FN237&lt;SwaptionFirstMonthPosition+1,FP$169&gt;SwaptionFirstMonthPosition+SwaptionNumOfMonths+1,$FN237&gt;SwaptionFirstMonthPosition+SwaptionNumOfMonths+1),"",IF($FN237=FP$169,1,IF($FN237&lt;FP$169,INDEX($FO$170:$IH$241,FP$169,$FN237),SUMPRODUCT(INDEX($FO$325:$IH$396,FP$169,1+SwaptionShift):INDEX($FO$325:$IH$396,FP$169,SwaptionMonthsToGo+SwaptionShift),INDEX($FO$245:$IH$316,$FN237-FP$169,73-FP$169+SwaptionShift):INDEX($FO$245:$IH$316,$FN237-FP$169,72-FP$169+SwaptionMonthsToGo+SwaptionShift))/SQRT(SUM(INDEX($FO392:$IH392,1+SwaptionShift):INDEX($FO392:$IH392,SwaptionMonthsToGo+SwaptionShift))*SUM(INDEX($FO$325:$IH$396,FP$169,1+SwaptionShift):INDEX($FO$325:$IH$396,FP$169,SwaptionMonthsToGo+SwaptionShift))))))</f>
        <v/>
      </c>
      <c r="FQ237" s="469" t="str">
        <f ca="1">IF(OR(FQ$169&lt;SwaptionFirstMonthPosition+1,$FN237&lt;SwaptionFirstMonthPosition+1,FQ$169&gt;SwaptionFirstMonthPosition+SwaptionNumOfMonths+1,$FN237&gt;SwaptionFirstMonthPosition+SwaptionNumOfMonths+1),"",IF($FN237=FQ$169,1,IF($FN237&lt;FQ$169,INDEX($FO$170:$IH$241,FQ$169,$FN237),SUMPRODUCT(INDEX($FO$325:$IH$396,FQ$169,1+SwaptionShift):INDEX($FO$325:$IH$396,FQ$169,SwaptionMonthsToGo+SwaptionShift),INDEX($FO$245:$IH$316,$FN237-FQ$169,73-FQ$169+SwaptionShift):INDEX($FO$245:$IH$316,$FN237-FQ$169,72-FQ$169+SwaptionMonthsToGo+SwaptionShift))/SQRT(SUM(INDEX($FO392:$IH392,1+SwaptionShift):INDEX($FO392:$IH392,SwaptionMonthsToGo+SwaptionShift))*SUM(INDEX($FO$325:$IH$396,FQ$169,1+SwaptionShift):INDEX($FO$325:$IH$396,FQ$169,SwaptionMonthsToGo+SwaptionShift))))))</f>
        <v/>
      </c>
      <c r="FR237" s="469" t="str">
        <f ca="1">IF(OR(FR$169&lt;SwaptionFirstMonthPosition+1,$FN237&lt;SwaptionFirstMonthPosition+1,FR$169&gt;SwaptionFirstMonthPosition+SwaptionNumOfMonths+1,$FN237&gt;SwaptionFirstMonthPosition+SwaptionNumOfMonths+1),"",IF($FN237=FR$169,1,IF($FN237&lt;FR$169,INDEX($FO$170:$IH$241,FR$169,$FN237),SUMPRODUCT(INDEX($FO$325:$IH$396,FR$169,1+SwaptionShift):INDEX($FO$325:$IH$396,FR$169,SwaptionMonthsToGo+SwaptionShift),INDEX($FO$245:$IH$316,$FN237-FR$169,73-FR$169+SwaptionShift):INDEX($FO$245:$IH$316,$FN237-FR$169,72-FR$169+SwaptionMonthsToGo+SwaptionShift))/SQRT(SUM(INDEX($FO392:$IH392,1+SwaptionShift):INDEX($FO392:$IH392,SwaptionMonthsToGo+SwaptionShift))*SUM(INDEX($FO$325:$IH$396,FR$169,1+SwaptionShift):INDEX($FO$325:$IH$396,FR$169,SwaptionMonthsToGo+SwaptionShift))))))</f>
        <v/>
      </c>
      <c r="FS237" s="469" t="str">
        <f ca="1">IF(OR(FS$169&lt;SwaptionFirstMonthPosition+1,$FN237&lt;SwaptionFirstMonthPosition+1,FS$169&gt;SwaptionFirstMonthPosition+SwaptionNumOfMonths+1,$FN237&gt;SwaptionFirstMonthPosition+SwaptionNumOfMonths+1),"",IF($FN237=FS$169,1,IF($FN237&lt;FS$169,INDEX($FO$170:$IH$241,FS$169,$FN237),SUMPRODUCT(INDEX($FO$325:$IH$396,FS$169,1+SwaptionShift):INDEX($FO$325:$IH$396,FS$169,SwaptionMonthsToGo+SwaptionShift),INDEX($FO$245:$IH$316,$FN237-FS$169,73-FS$169+SwaptionShift):INDEX($FO$245:$IH$316,$FN237-FS$169,72-FS$169+SwaptionMonthsToGo+SwaptionShift))/SQRT(SUM(INDEX($FO392:$IH392,1+SwaptionShift):INDEX($FO392:$IH392,SwaptionMonthsToGo+SwaptionShift))*SUM(INDEX($FO$325:$IH$396,FS$169,1+SwaptionShift):INDEX($FO$325:$IH$396,FS$169,SwaptionMonthsToGo+SwaptionShift))))))</f>
        <v/>
      </c>
      <c r="FT237" s="469" t="str">
        <f ca="1">IF(OR(FT$169&lt;SwaptionFirstMonthPosition+1,$FN237&lt;SwaptionFirstMonthPosition+1,FT$169&gt;SwaptionFirstMonthPosition+SwaptionNumOfMonths+1,$FN237&gt;SwaptionFirstMonthPosition+SwaptionNumOfMonths+1),"",IF($FN237=FT$169,1,IF($FN237&lt;FT$169,INDEX($FO$170:$IH$241,FT$169,$FN237),SUMPRODUCT(INDEX($FO$325:$IH$396,FT$169,1+SwaptionShift):INDEX($FO$325:$IH$396,FT$169,SwaptionMonthsToGo+SwaptionShift),INDEX($FO$245:$IH$316,$FN237-FT$169,73-FT$169+SwaptionShift):INDEX($FO$245:$IH$316,$FN237-FT$169,72-FT$169+SwaptionMonthsToGo+SwaptionShift))/SQRT(SUM(INDEX($FO392:$IH392,1+SwaptionShift):INDEX($FO392:$IH392,SwaptionMonthsToGo+SwaptionShift))*SUM(INDEX($FO$325:$IH$396,FT$169,1+SwaptionShift):INDEX($FO$325:$IH$396,FT$169,SwaptionMonthsToGo+SwaptionShift))))))</f>
        <v/>
      </c>
      <c r="FU237" s="469" t="str">
        <f ca="1">IF(OR(FU$169&lt;SwaptionFirstMonthPosition+1,$FN237&lt;SwaptionFirstMonthPosition+1,FU$169&gt;SwaptionFirstMonthPosition+SwaptionNumOfMonths+1,$FN237&gt;SwaptionFirstMonthPosition+SwaptionNumOfMonths+1),"",IF($FN237=FU$169,1,IF($FN237&lt;FU$169,INDEX($FO$170:$IH$241,FU$169,$FN237),SUMPRODUCT(INDEX($FO$325:$IH$396,FU$169,1+SwaptionShift):INDEX($FO$325:$IH$396,FU$169,SwaptionMonthsToGo+SwaptionShift),INDEX($FO$245:$IH$316,$FN237-FU$169,73-FU$169+SwaptionShift):INDEX($FO$245:$IH$316,$FN237-FU$169,72-FU$169+SwaptionMonthsToGo+SwaptionShift))/SQRT(SUM(INDEX($FO392:$IH392,1+SwaptionShift):INDEX($FO392:$IH392,SwaptionMonthsToGo+SwaptionShift))*SUM(INDEX($FO$325:$IH$396,FU$169,1+SwaptionShift):INDEX($FO$325:$IH$396,FU$169,SwaptionMonthsToGo+SwaptionShift))))))</f>
        <v/>
      </c>
      <c r="FV237" s="469" t="str">
        <f ca="1">IF(OR(FV$169&lt;SwaptionFirstMonthPosition+1,$FN237&lt;SwaptionFirstMonthPosition+1,FV$169&gt;SwaptionFirstMonthPosition+SwaptionNumOfMonths+1,$FN237&gt;SwaptionFirstMonthPosition+SwaptionNumOfMonths+1),"",IF($FN237=FV$169,1,IF($FN237&lt;FV$169,INDEX($FO$170:$IH$241,FV$169,$FN237),SUMPRODUCT(INDEX($FO$325:$IH$396,FV$169,1+SwaptionShift):INDEX($FO$325:$IH$396,FV$169,SwaptionMonthsToGo+SwaptionShift),INDEX($FO$245:$IH$316,$FN237-FV$169,73-FV$169+SwaptionShift):INDEX($FO$245:$IH$316,$FN237-FV$169,72-FV$169+SwaptionMonthsToGo+SwaptionShift))/SQRT(SUM(INDEX($FO392:$IH392,1+SwaptionShift):INDEX($FO392:$IH392,SwaptionMonthsToGo+SwaptionShift))*SUM(INDEX($FO$325:$IH$396,FV$169,1+SwaptionShift):INDEX($FO$325:$IH$396,FV$169,SwaptionMonthsToGo+SwaptionShift))))))</f>
        <v/>
      </c>
      <c r="FW237" s="469" t="str">
        <f ca="1">IF(OR(FW$169&lt;SwaptionFirstMonthPosition+1,$FN237&lt;SwaptionFirstMonthPosition+1,FW$169&gt;SwaptionFirstMonthPosition+SwaptionNumOfMonths+1,$FN237&gt;SwaptionFirstMonthPosition+SwaptionNumOfMonths+1),"",IF($FN237=FW$169,1,IF($FN237&lt;FW$169,INDEX($FO$170:$IH$241,FW$169,$FN237),SUMPRODUCT(INDEX($FO$325:$IH$396,FW$169,1+SwaptionShift):INDEX($FO$325:$IH$396,FW$169,SwaptionMonthsToGo+SwaptionShift),INDEX($FO$245:$IH$316,$FN237-FW$169,73-FW$169+SwaptionShift):INDEX($FO$245:$IH$316,$FN237-FW$169,72-FW$169+SwaptionMonthsToGo+SwaptionShift))/SQRT(SUM(INDEX($FO392:$IH392,1+SwaptionShift):INDEX($FO392:$IH392,SwaptionMonthsToGo+SwaptionShift))*SUM(INDEX($FO$325:$IH$396,FW$169,1+SwaptionShift):INDEX($FO$325:$IH$396,FW$169,SwaptionMonthsToGo+SwaptionShift))))))</f>
        <v/>
      </c>
      <c r="FX237" s="469" t="str">
        <f ca="1">IF(OR(FX$169&lt;SwaptionFirstMonthPosition+1,$FN237&lt;SwaptionFirstMonthPosition+1,FX$169&gt;SwaptionFirstMonthPosition+SwaptionNumOfMonths+1,$FN237&gt;SwaptionFirstMonthPosition+SwaptionNumOfMonths+1),"",IF($FN237=FX$169,1,IF($FN237&lt;FX$169,INDEX($FO$170:$IH$241,FX$169,$FN237),SUMPRODUCT(INDEX($FO$325:$IH$396,FX$169,1+SwaptionShift):INDEX($FO$325:$IH$396,FX$169,SwaptionMonthsToGo+SwaptionShift),INDEX($FO$245:$IH$316,$FN237-FX$169,73-FX$169+SwaptionShift):INDEX($FO$245:$IH$316,$FN237-FX$169,72-FX$169+SwaptionMonthsToGo+SwaptionShift))/SQRT(SUM(INDEX($FO392:$IH392,1+SwaptionShift):INDEX($FO392:$IH392,SwaptionMonthsToGo+SwaptionShift))*SUM(INDEX($FO$325:$IH$396,FX$169,1+SwaptionShift):INDEX($FO$325:$IH$396,FX$169,SwaptionMonthsToGo+SwaptionShift))))))</f>
        <v/>
      </c>
      <c r="FY237" s="469" t="str">
        <f ca="1">IF(OR(FY$169&lt;SwaptionFirstMonthPosition+1,$FN237&lt;SwaptionFirstMonthPosition+1,FY$169&gt;SwaptionFirstMonthPosition+SwaptionNumOfMonths+1,$FN237&gt;SwaptionFirstMonthPosition+SwaptionNumOfMonths+1),"",IF($FN237=FY$169,1,IF($FN237&lt;FY$169,INDEX($FO$170:$IH$241,FY$169,$FN237),SUMPRODUCT(INDEX($FO$325:$IH$396,FY$169,1+SwaptionShift):INDEX($FO$325:$IH$396,FY$169,SwaptionMonthsToGo+SwaptionShift),INDEX($FO$245:$IH$316,$FN237-FY$169,73-FY$169+SwaptionShift):INDEX($FO$245:$IH$316,$FN237-FY$169,72-FY$169+SwaptionMonthsToGo+SwaptionShift))/SQRT(SUM(INDEX($FO392:$IH392,1+SwaptionShift):INDEX($FO392:$IH392,SwaptionMonthsToGo+SwaptionShift))*SUM(INDEX($FO$325:$IH$396,FY$169,1+SwaptionShift):INDEX($FO$325:$IH$396,FY$169,SwaptionMonthsToGo+SwaptionShift))))))</f>
        <v/>
      </c>
      <c r="FZ237" s="469" t="str">
        <f ca="1">IF(OR(FZ$169&lt;SwaptionFirstMonthPosition+1,$FN237&lt;SwaptionFirstMonthPosition+1,FZ$169&gt;SwaptionFirstMonthPosition+SwaptionNumOfMonths+1,$FN237&gt;SwaptionFirstMonthPosition+SwaptionNumOfMonths+1),"",IF($FN237=FZ$169,1,IF($FN237&lt;FZ$169,INDEX($FO$170:$IH$241,FZ$169,$FN237),SUMPRODUCT(INDEX($FO$325:$IH$396,FZ$169,1+SwaptionShift):INDEX($FO$325:$IH$396,FZ$169,SwaptionMonthsToGo+SwaptionShift),INDEX($FO$245:$IH$316,$FN237-FZ$169,73-FZ$169+SwaptionShift):INDEX($FO$245:$IH$316,$FN237-FZ$169,72-FZ$169+SwaptionMonthsToGo+SwaptionShift))/SQRT(SUM(INDEX($FO392:$IH392,1+SwaptionShift):INDEX($FO392:$IH392,SwaptionMonthsToGo+SwaptionShift))*SUM(INDEX($FO$325:$IH$396,FZ$169,1+SwaptionShift):INDEX($FO$325:$IH$396,FZ$169,SwaptionMonthsToGo+SwaptionShift))))))</f>
        <v/>
      </c>
      <c r="GA237" s="469" t="str">
        <f ca="1">IF(OR(GA$169&lt;SwaptionFirstMonthPosition+1,$FN237&lt;SwaptionFirstMonthPosition+1,GA$169&gt;SwaptionFirstMonthPosition+SwaptionNumOfMonths+1,$FN237&gt;SwaptionFirstMonthPosition+SwaptionNumOfMonths+1),"",IF($FN237=GA$169,1,IF($FN237&lt;GA$169,INDEX($FO$170:$IH$241,GA$169,$FN237),SUMPRODUCT(INDEX($FO$325:$IH$396,GA$169,1+SwaptionShift):INDEX($FO$325:$IH$396,GA$169,SwaptionMonthsToGo+SwaptionShift),INDEX($FO$245:$IH$316,$FN237-GA$169,73-GA$169+SwaptionShift):INDEX($FO$245:$IH$316,$FN237-GA$169,72-GA$169+SwaptionMonthsToGo+SwaptionShift))/SQRT(SUM(INDEX($FO392:$IH392,1+SwaptionShift):INDEX($FO392:$IH392,SwaptionMonthsToGo+SwaptionShift))*SUM(INDEX($FO$325:$IH$396,GA$169,1+SwaptionShift):INDEX($FO$325:$IH$396,GA$169,SwaptionMonthsToGo+SwaptionShift))))))</f>
        <v/>
      </c>
      <c r="GB237" s="469" t="str">
        <f ca="1">IF(OR(GB$169&lt;SwaptionFirstMonthPosition+1,$FN237&lt;SwaptionFirstMonthPosition+1,GB$169&gt;SwaptionFirstMonthPosition+SwaptionNumOfMonths+1,$FN237&gt;SwaptionFirstMonthPosition+SwaptionNumOfMonths+1),"",IF($FN237=GB$169,1,IF($FN237&lt;GB$169,INDEX($FO$170:$IH$241,GB$169,$FN237),SUMPRODUCT(INDEX($FO$325:$IH$396,GB$169,1+SwaptionShift):INDEX($FO$325:$IH$396,GB$169,SwaptionMonthsToGo+SwaptionShift),INDEX($FO$245:$IH$316,$FN237-GB$169,73-GB$169+SwaptionShift):INDEX($FO$245:$IH$316,$FN237-GB$169,72-GB$169+SwaptionMonthsToGo+SwaptionShift))/SQRT(SUM(INDEX($FO392:$IH392,1+SwaptionShift):INDEX($FO392:$IH392,SwaptionMonthsToGo+SwaptionShift))*SUM(INDEX($FO$325:$IH$396,GB$169,1+SwaptionShift):INDEX($FO$325:$IH$396,GB$169,SwaptionMonthsToGo+SwaptionShift))))))</f>
        <v/>
      </c>
      <c r="GC237" s="469" t="str">
        <f ca="1">IF(OR(GC$169&lt;SwaptionFirstMonthPosition+1,$FN237&lt;SwaptionFirstMonthPosition+1,GC$169&gt;SwaptionFirstMonthPosition+SwaptionNumOfMonths+1,$FN237&gt;SwaptionFirstMonthPosition+SwaptionNumOfMonths+1),"",IF($FN237=GC$169,1,IF($FN237&lt;GC$169,INDEX($FO$170:$IH$241,GC$169,$FN237),SUMPRODUCT(INDEX($FO$325:$IH$396,GC$169,1+SwaptionShift):INDEX($FO$325:$IH$396,GC$169,SwaptionMonthsToGo+SwaptionShift),INDEX($FO$245:$IH$316,$FN237-GC$169,73-GC$169+SwaptionShift):INDEX($FO$245:$IH$316,$FN237-GC$169,72-GC$169+SwaptionMonthsToGo+SwaptionShift))/SQRT(SUM(INDEX($FO392:$IH392,1+SwaptionShift):INDEX($FO392:$IH392,SwaptionMonthsToGo+SwaptionShift))*SUM(INDEX($FO$325:$IH$396,GC$169,1+SwaptionShift):INDEX($FO$325:$IH$396,GC$169,SwaptionMonthsToGo+SwaptionShift))))))</f>
        <v/>
      </c>
      <c r="GD237" s="469" t="str">
        <f ca="1">IF(OR(GD$169&lt;SwaptionFirstMonthPosition+1,$FN237&lt;SwaptionFirstMonthPosition+1,GD$169&gt;SwaptionFirstMonthPosition+SwaptionNumOfMonths+1,$FN237&gt;SwaptionFirstMonthPosition+SwaptionNumOfMonths+1),"",IF($FN237=GD$169,1,IF($FN237&lt;GD$169,INDEX($FO$170:$IH$241,GD$169,$FN237),SUMPRODUCT(INDEX($FO$325:$IH$396,GD$169,1+SwaptionShift):INDEX($FO$325:$IH$396,GD$169,SwaptionMonthsToGo+SwaptionShift),INDEX($FO$245:$IH$316,$FN237-GD$169,73-GD$169+SwaptionShift):INDEX($FO$245:$IH$316,$FN237-GD$169,72-GD$169+SwaptionMonthsToGo+SwaptionShift))/SQRT(SUM(INDEX($FO392:$IH392,1+SwaptionShift):INDEX($FO392:$IH392,SwaptionMonthsToGo+SwaptionShift))*SUM(INDEX($FO$325:$IH$396,GD$169,1+SwaptionShift):INDEX($FO$325:$IH$396,GD$169,SwaptionMonthsToGo+SwaptionShift))))))</f>
        <v/>
      </c>
      <c r="GE237" s="469" t="str">
        <f ca="1">IF(OR(GE$169&lt;SwaptionFirstMonthPosition+1,$FN237&lt;SwaptionFirstMonthPosition+1,GE$169&gt;SwaptionFirstMonthPosition+SwaptionNumOfMonths+1,$FN237&gt;SwaptionFirstMonthPosition+SwaptionNumOfMonths+1),"",IF($FN237=GE$169,1,IF($FN237&lt;GE$169,INDEX($FO$170:$IH$241,GE$169,$FN237),SUMPRODUCT(INDEX($FO$325:$IH$396,GE$169,1+SwaptionShift):INDEX($FO$325:$IH$396,GE$169,SwaptionMonthsToGo+SwaptionShift),INDEX($FO$245:$IH$316,$FN237-GE$169,73-GE$169+SwaptionShift):INDEX($FO$245:$IH$316,$FN237-GE$169,72-GE$169+SwaptionMonthsToGo+SwaptionShift))/SQRT(SUM(INDEX($FO392:$IH392,1+SwaptionShift):INDEX($FO392:$IH392,SwaptionMonthsToGo+SwaptionShift))*SUM(INDEX($FO$325:$IH$396,GE$169,1+SwaptionShift):INDEX($FO$325:$IH$396,GE$169,SwaptionMonthsToGo+SwaptionShift))))))</f>
        <v/>
      </c>
      <c r="GF237" s="469" t="str">
        <f ca="1">IF(OR(GF$169&lt;SwaptionFirstMonthPosition+1,$FN237&lt;SwaptionFirstMonthPosition+1,GF$169&gt;SwaptionFirstMonthPosition+SwaptionNumOfMonths+1,$FN237&gt;SwaptionFirstMonthPosition+SwaptionNumOfMonths+1),"",IF($FN237=GF$169,1,IF($FN237&lt;GF$169,INDEX($FO$170:$IH$241,GF$169,$FN237),SUMPRODUCT(INDEX($FO$325:$IH$396,GF$169,1+SwaptionShift):INDEX($FO$325:$IH$396,GF$169,SwaptionMonthsToGo+SwaptionShift),INDEX($FO$245:$IH$316,$FN237-GF$169,73-GF$169+SwaptionShift):INDEX($FO$245:$IH$316,$FN237-GF$169,72-GF$169+SwaptionMonthsToGo+SwaptionShift))/SQRT(SUM(INDEX($FO392:$IH392,1+SwaptionShift):INDEX($FO392:$IH392,SwaptionMonthsToGo+SwaptionShift))*SUM(INDEX($FO$325:$IH$396,GF$169,1+SwaptionShift):INDEX($FO$325:$IH$396,GF$169,SwaptionMonthsToGo+SwaptionShift))))))</f>
        <v/>
      </c>
      <c r="GG237" s="469" t="str">
        <f ca="1">IF(OR(GG$169&lt;SwaptionFirstMonthPosition+1,$FN237&lt;SwaptionFirstMonthPosition+1,GG$169&gt;SwaptionFirstMonthPosition+SwaptionNumOfMonths+1,$FN237&gt;SwaptionFirstMonthPosition+SwaptionNumOfMonths+1),"",IF($FN237=GG$169,1,IF($FN237&lt;GG$169,INDEX($FO$170:$IH$241,GG$169,$FN237),SUMPRODUCT(INDEX($FO$325:$IH$396,GG$169,1+SwaptionShift):INDEX($FO$325:$IH$396,GG$169,SwaptionMonthsToGo+SwaptionShift),INDEX($FO$245:$IH$316,$FN237-GG$169,73-GG$169+SwaptionShift):INDEX($FO$245:$IH$316,$FN237-GG$169,72-GG$169+SwaptionMonthsToGo+SwaptionShift))/SQRT(SUM(INDEX($FO392:$IH392,1+SwaptionShift):INDEX($FO392:$IH392,SwaptionMonthsToGo+SwaptionShift))*SUM(INDEX($FO$325:$IH$396,GG$169,1+SwaptionShift):INDEX($FO$325:$IH$396,GG$169,SwaptionMonthsToGo+SwaptionShift))))))</f>
        <v/>
      </c>
      <c r="GH237" s="469" t="str">
        <f ca="1">IF(OR(GH$169&lt;SwaptionFirstMonthPosition+1,$FN237&lt;SwaptionFirstMonthPosition+1,GH$169&gt;SwaptionFirstMonthPosition+SwaptionNumOfMonths+1,$FN237&gt;SwaptionFirstMonthPosition+SwaptionNumOfMonths+1),"",IF($FN237=GH$169,1,IF($FN237&lt;GH$169,INDEX($FO$170:$IH$241,GH$169,$FN237),SUMPRODUCT(INDEX($FO$325:$IH$396,GH$169,1+SwaptionShift):INDEX($FO$325:$IH$396,GH$169,SwaptionMonthsToGo+SwaptionShift),INDEX($FO$245:$IH$316,$FN237-GH$169,73-GH$169+SwaptionShift):INDEX($FO$245:$IH$316,$FN237-GH$169,72-GH$169+SwaptionMonthsToGo+SwaptionShift))/SQRT(SUM(INDEX($FO392:$IH392,1+SwaptionShift):INDEX($FO392:$IH392,SwaptionMonthsToGo+SwaptionShift))*SUM(INDEX($FO$325:$IH$396,GH$169,1+SwaptionShift):INDEX($FO$325:$IH$396,GH$169,SwaptionMonthsToGo+SwaptionShift))))))</f>
        <v/>
      </c>
      <c r="GI237" s="469" t="str">
        <f ca="1">IF(OR(GI$169&lt;SwaptionFirstMonthPosition+1,$FN237&lt;SwaptionFirstMonthPosition+1,GI$169&gt;SwaptionFirstMonthPosition+SwaptionNumOfMonths+1,$FN237&gt;SwaptionFirstMonthPosition+SwaptionNumOfMonths+1),"",IF($FN237=GI$169,1,IF($FN237&lt;GI$169,INDEX($FO$170:$IH$241,GI$169,$FN237),SUMPRODUCT(INDEX($FO$325:$IH$396,GI$169,1+SwaptionShift):INDEX($FO$325:$IH$396,GI$169,SwaptionMonthsToGo+SwaptionShift),INDEX($FO$245:$IH$316,$FN237-GI$169,73-GI$169+SwaptionShift):INDEX($FO$245:$IH$316,$FN237-GI$169,72-GI$169+SwaptionMonthsToGo+SwaptionShift))/SQRT(SUM(INDEX($FO392:$IH392,1+SwaptionShift):INDEX($FO392:$IH392,SwaptionMonthsToGo+SwaptionShift))*SUM(INDEX($FO$325:$IH$396,GI$169,1+SwaptionShift):INDEX($FO$325:$IH$396,GI$169,SwaptionMonthsToGo+SwaptionShift))))))</f>
        <v/>
      </c>
      <c r="GJ237" s="469" t="str">
        <f ca="1">IF(OR(GJ$169&lt;SwaptionFirstMonthPosition+1,$FN237&lt;SwaptionFirstMonthPosition+1,GJ$169&gt;SwaptionFirstMonthPosition+SwaptionNumOfMonths+1,$FN237&gt;SwaptionFirstMonthPosition+SwaptionNumOfMonths+1),"",IF($FN237=GJ$169,1,IF($FN237&lt;GJ$169,INDEX($FO$170:$IH$241,GJ$169,$FN237),SUMPRODUCT(INDEX($FO$325:$IH$396,GJ$169,1+SwaptionShift):INDEX($FO$325:$IH$396,GJ$169,SwaptionMonthsToGo+SwaptionShift),INDEX($FO$245:$IH$316,$FN237-GJ$169,73-GJ$169+SwaptionShift):INDEX($FO$245:$IH$316,$FN237-GJ$169,72-GJ$169+SwaptionMonthsToGo+SwaptionShift))/SQRT(SUM(INDEX($FO392:$IH392,1+SwaptionShift):INDEX($FO392:$IH392,SwaptionMonthsToGo+SwaptionShift))*SUM(INDEX($FO$325:$IH$396,GJ$169,1+SwaptionShift):INDEX($FO$325:$IH$396,GJ$169,SwaptionMonthsToGo+SwaptionShift))))))</f>
        <v/>
      </c>
      <c r="GK237" s="469" t="str">
        <f ca="1">IF(OR(GK$169&lt;SwaptionFirstMonthPosition+1,$FN237&lt;SwaptionFirstMonthPosition+1,GK$169&gt;SwaptionFirstMonthPosition+SwaptionNumOfMonths+1,$FN237&gt;SwaptionFirstMonthPosition+SwaptionNumOfMonths+1),"",IF($FN237=GK$169,1,IF($FN237&lt;GK$169,INDEX($FO$170:$IH$241,GK$169,$FN237),SUMPRODUCT(INDEX($FO$325:$IH$396,GK$169,1+SwaptionShift):INDEX($FO$325:$IH$396,GK$169,SwaptionMonthsToGo+SwaptionShift),INDEX($FO$245:$IH$316,$FN237-GK$169,73-GK$169+SwaptionShift):INDEX($FO$245:$IH$316,$FN237-GK$169,72-GK$169+SwaptionMonthsToGo+SwaptionShift))/SQRT(SUM(INDEX($FO392:$IH392,1+SwaptionShift):INDEX($FO392:$IH392,SwaptionMonthsToGo+SwaptionShift))*SUM(INDEX($FO$325:$IH$396,GK$169,1+SwaptionShift):INDEX($FO$325:$IH$396,GK$169,SwaptionMonthsToGo+SwaptionShift))))))</f>
        <v/>
      </c>
      <c r="GL237" s="469" t="str">
        <f ca="1">IF(OR(GL$169&lt;SwaptionFirstMonthPosition+1,$FN237&lt;SwaptionFirstMonthPosition+1,GL$169&gt;SwaptionFirstMonthPosition+SwaptionNumOfMonths+1,$FN237&gt;SwaptionFirstMonthPosition+SwaptionNumOfMonths+1),"",IF($FN237=GL$169,1,IF($FN237&lt;GL$169,INDEX($FO$170:$IH$241,GL$169,$FN237),SUMPRODUCT(INDEX($FO$325:$IH$396,GL$169,1+SwaptionShift):INDEX($FO$325:$IH$396,GL$169,SwaptionMonthsToGo+SwaptionShift),INDEX($FO$245:$IH$316,$FN237-GL$169,73-GL$169+SwaptionShift):INDEX($FO$245:$IH$316,$FN237-GL$169,72-GL$169+SwaptionMonthsToGo+SwaptionShift))/SQRT(SUM(INDEX($FO392:$IH392,1+SwaptionShift):INDEX($FO392:$IH392,SwaptionMonthsToGo+SwaptionShift))*SUM(INDEX($FO$325:$IH$396,GL$169,1+SwaptionShift):INDEX($FO$325:$IH$396,GL$169,SwaptionMonthsToGo+SwaptionShift))))))</f>
        <v/>
      </c>
      <c r="GM237" s="469" t="str">
        <f ca="1">IF(OR(GM$169&lt;SwaptionFirstMonthPosition+1,$FN237&lt;SwaptionFirstMonthPosition+1,GM$169&gt;SwaptionFirstMonthPosition+SwaptionNumOfMonths+1,$FN237&gt;SwaptionFirstMonthPosition+SwaptionNumOfMonths+1),"",IF($FN237=GM$169,1,IF($FN237&lt;GM$169,INDEX($FO$170:$IH$241,GM$169,$FN237),SUMPRODUCT(INDEX($FO$325:$IH$396,GM$169,1+SwaptionShift):INDEX($FO$325:$IH$396,GM$169,SwaptionMonthsToGo+SwaptionShift),INDEX($FO$245:$IH$316,$FN237-GM$169,73-GM$169+SwaptionShift):INDEX($FO$245:$IH$316,$FN237-GM$169,72-GM$169+SwaptionMonthsToGo+SwaptionShift))/SQRT(SUM(INDEX($FO392:$IH392,1+SwaptionShift):INDEX($FO392:$IH392,SwaptionMonthsToGo+SwaptionShift))*SUM(INDEX($FO$325:$IH$396,GM$169,1+SwaptionShift):INDEX($FO$325:$IH$396,GM$169,SwaptionMonthsToGo+SwaptionShift))))))</f>
        <v/>
      </c>
      <c r="GN237" s="469" t="str">
        <f ca="1">IF(OR(GN$169&lt;SwaptionFirstMonthPosition+1,$FN237&lt;SwaptionFirstMonthPosition+1,GN$169&gt;SwaptionFirstMonthPosition+SwaptionNumOfMonths+1,$FN237&gt;SwaptionFirstMonthPosition+SwaptionNumOfMonths+1),"",IF($FN237=GN$169,1,IF($FN237&lt;GN$169,INDEX($FO$170:$IH$241,GN$169,$FN237),SUMPRODUCT(INDEX($FO$325:$IH$396,GN$169,1+SwaptionShift):INDEX($FO$325:$IH$396,GN$169,SwaptionMonthsToGo+SwaptionShift),INDEX($FO$245:$IH$316,$FN237-GN$169,73-GN$169+SwaptionShift):INDEX($FO$245:$IH$316,$FN237-GN$169,72-GN$169+SwaptionMonthsToGo+SwaptionShift))/SQRT(SUM(INDEX($FO392:$IH392,1+SwaptionShift):INDEX($FO392:$IH392,SwaptionMonthsToGo+SwaptionShift))*SUM(INDEX($FO$325:$IH$396,GN$169,1+SwaptionShift):INDEX($FO$325:$IH$396,GN$169,SwaptionMonthsToGo+SwaptionShift))))))</f>
        <v/>
      </c>
      <c r="GO237" s="469" t="str">
        <f ca="1">IF(OR(GO$169&lt;SwaptionFirstMonthPosition+1,$FN237&lt;SwaptionFirstMonthPosition+1,GO$169&gt;SwaptionFirstMonthPosition+SwaptionNumOfMonths+1,$FN237&gt;SwaptionFirstMonthPosition+SwaptionNumOfMonths+1),"",IF($FN237=GO$169,1,IF($FN237&lt;GO$169,INDEX($FO$170:$IH$241,GO$169,$FN237),SUMPRODUCT(INDEX($FO$325:$IH$396,GO$169,1+SwaptionShift):INDEX($FO$325:$IH$396,GO$169,SwaptionMonthsToGo+SwaptionShift),INDEX($FO$245:$IH$316,$FN237-GO$169,73-GO$169+SwaptionShift):INDEX($FO$245:$IH$316,$FN237-GO$169,72-GO$169+SwaptionMonthsToGo+SwaptionShift))/SQRT(SUM(INDEX($FO392:$IH392,1+SwaptionShift):INDEX($FO392:$IH392,SwaptionMonthsToGo+SwaptionShift))*SUM(INDEX($FO$325:$IH$396,GO$169,1+SwaptionShift):INDEX($FO$325:$IH$396,GO$169,SwaptionMonthsToGo+SwaptionShift))))))</f>
        <v/>
      </c>
      <c r="GP237" s="469" t="str">
        <f ca="1">IF(OR(GP$169&lt;SwaptionFirstMonthPosition+1,$FN237&lt;SwaptionFirstMonthPosition+1,GP$169&gt;SwaptionFirstMonthPosition+SwaptionNumOfMonths+1,$FN237&gt;SwaptionFirstMonthPosition+SwaptionNumOfMonths+1),"",IF($FN237=GP$169,1,IF($FN237&lt;GP$169,INDEX($FO$170:$IH$241,GP$169,$FN237),SUMPRODUCT(INDEX($FO$325:$IH$396,GP$169,1+SwaptionShift):INDEX($FO$325:$IH$396,GP$169,SwaptionMonthsToGo+SwaptionShift),INDEX($FO$245:$IH$316,$FN237-GP$169,73-GP$169+SwaptionShift):INDEX($FO$245:$IH$316,$FN237-GP$169,72-GP$169+SwaptionMonthsToGo+SwaptionShift))/SQRT(SUM(INDEX($FO392:$IH392,1+SwaptionShift):INDEX($FO392:$IH392,SwaptionMonthsToGo+SwaptionShift))*SUM(INDEX($FO$325:$IH$396,GP$169,1+SwaptionShift):INDEX($FO$325:$IH$396,GP$169,SwaptionMonthsToGo+SwaptionShift))))))</f>
        <v/>
      </c>
      <c r="GQ237" s="469" t="str">
        <f ca="1">IF(OR(GQ$169&lt;SwaptionFirstMonthPosition+1,$FN237&lt;SwaptionFirstMonthPosition+1,GQ$169&gt;SwaptionFirstMonthPosition+SwaptionNumOfMonths+1,$FN237&gt;SwaptionFirstMonthPosition+SwaptionNumOfMonths+1),"",IF($FN237=GQ$169,1,IF($FN237&lt;GQ$169,INDEX($FO$170:$IH$241,GQ$169,$FN237),SUMPRODUCT(INDEX($FO$325:$IH$396,GQ$169,1+SwaptionShift):INDEX($FO$325:$IH$396,GQ$169,SwaptionMonthsToGo+SwaptionShift),INDEX($FO$245:$IH$316,$FN237-GQ$169,73-GQ$169+SwaptionShift):INDEX($FO$245:$IH$316,$FN237-GQ$169,72-GQ$169+SwaptionMonthsToGo+SwaptionShift))/SQRT(SUM(INDEX($FO392:$IH392,1+SwaptionShift):INDEX($FO392:$IH392,SwaptionMonthsToGo+SwaptionShift))*SUM(INDEX($FO$325:$IH$396,GQ$169,1+SwaptionShift):INDEX($FO$325:$IH$396,GQ$169,SwaptionMonthsToGo+SwaptionShift))))))</f>
        <v/>
      </c>
      <c r="GR237" s="469" t="str">
        <f ca="1">IF(OR(GR$169&lt;SwaptionFirstMonthPosition+1,$FN237&lt;SwaptionFirstMonthPosition+1,GR$169&gt;SwaptionFirstMonthPosition+SwaptionNumOfMonths+1,$FN237&gt;SwaptionFirstMonthPosition+SwaptionNumOfMonths+1),"",IF($FN237=GR$169,1,IF($FN237&lt;GR$169,INDEX($FO$170:$IH$241,GR$169,$FN237),SUMPRODUCT(INDEX($FO$325:$IH$396,GR$169,1+SwaptionShift):INDEX($FO$325:$IH$396,GR$169,SwaptionMonthsToGo+SwaptionShift),INDEX($FO$245:$IH$316,$FN237-GR$169,73-GR$169+SwaptionShift):INDEX($FO$245:$IH$316,$FN237-GR$169,72-GR$169+SwaptionMonthsToGo+SwaptionShift))/SQRT(SUM(INDEX($FO392:$IH392,1+SwaptionShift):INDEX($FO392:$IH392,SwaptionMonthsToGo+SwaptionShift))*SUM(INDEX($FO$325:$IH$396,GR$169,1+SwaptionShift):INDEX($FO$325:$IH$396,GR$169,SwaptionMonthsToGo+SwaptionShift))))))</f>
        <v/>
      </c>
      <c r="GS237" s="469" t="str">
        <f ca="1">IF(OR(GS$169&lt;SwaptionFirstMonthPosition+1,$FN237&lt;SwaptionFirstMonthPosition+1,GS$169&gt;SwaptionFirstMonthPosition+SwaptionNumOfMonths+1,$FN237&gt;SwaptionFirstMonthPosition+SwaptionNumOfMonths+1),"",IF($FN237=GS$169,1,IF($FN237&lt;GS$169,INDEX($FO$170:$IH$241,GS$169,$FN237),SUMPRODUCT(INDEX($FO$325:$IH$396,GS$169,1+SwaptionShift):INDEX($FO$325:$IH$396,GS$169,SwaptionMonthsToGo+SwaptionShift),INDEX($FO$245:$IH$316,$FN237-GS$169,73-GS$169+SwaptionShift):INDEX($FO$245:$IH$316,$FN237-GS$169,72-GS$169+SwaptionMonthsToGo+SwaptionShift))/SQRT(SUM(INDEX($FO392:$IH392,1+SwaptionShift):INDEX($FO392:$IH392,SwaptionMonthsToGo+SwaptionShift))*SUM(INDEX($FO$325:$IH$396,GS$169,1+SwaptionShift):INDEX($FO$325:$IH$396,GS$169,SwaptionMonthsToGo+SwaptionShift))))))</f>
        <v/>
      </c>
      <c r="GT237" s="469" t="str">
        <f ca="1">IF(OR(GT$169&lt;SwaptionFirstMonthPosition+1,$FN237&lt;SwaptionFirstMonthPosition+1,GT$169&gt;SwaptionFirstMonthPosition+SwaptionNumOfMonths+1,$FN237&gt;SwaptionFirstMonthPosition+SwaptionNumOfMonths+1),"",IF($FN237=GT$169,1,IF($FN237&lt;GT$169,INDEX($FO$170:$IH$241,GT$169,$FN237),SUMPRODUCT(INDEX($FO$325:$IH$396,GT$169,1+SwaptionShift):INDEX($FO$325:$IH$396,GT$169,SwaptionMonthsToGo+SwaptionShift),INDEX($FO$245:$IH$316,$FN237-GT$169,73-GT$169+SwaptionShift):INDEX($FO$245:$IH$316,$FN237-GT$169,72-GT$169+SwaptionMonthsToGo+SwaptionShift))/SQRT(SUM(INDEX($FO392:$IH392,1+SwaptionShift):INDEX($FO392:$IH392,SwaptionMonthsToGo+SwaptionShift))*SUM(INDEX($FO$325:$IH$396,GT$169,1+SwaptionShift):INDEX($FO$325:$IH$396,GT$169,SwaptionMonthsToGo+SwaptionShift))))))</f>
        <v/>
      </c>
      <c r="GU237" s="469" t="str">
        <f ca="1">IF(OR(GU$169&lt;SwaptionFirstMonthPosition+1,$FN237&lt;SwaptionFirstMonthPosition+1,GU$169&gt;SwaptionFirstMonthPosition+SwaptionNumOfMonths+1,$FN237&gt;SwaptionFirstMonthPosition+SwaptionNumOfMonths+1),"",IF($FN237=GU$169,1,IF($FN237&lt;GU$169,INDEX($FO$170:$IH$241,GU$169,$FN237),SUMPRODUCT(INDEX($FO$325:$IH$396,GU$169,1+SwaptionShift):INDEX($FO$325:$IH$396,GU$169,SwaptionMonthsToGo+SwaptionShift),INDEX($FO$245:$IH$316,$FN237-GU$169,73-GU$169+SwaptionShift):INDEX($FO$245:$IH$316,$FN237-GU$169,72-GU$169+SwaptionMonthsToGo+SwaptionShift))/SQRT(SUM(INDEX($FO392:$IH392,1+SwaptionShift):INDEX($FO392:$IH392,SwaptionMonthsToGo+SwaptionShift))*SUM(INDEX($FO$325:$IH$396,GU$169,1+SwaptionShift):INDEX($FO$325:$IH$396,GU$169,SwaptionMonthsToGo+SwaptionShift))))))</f>
        <v/>
      </c>
      <c r="GV237" s="469" t="str">
        <f ca="1">IF(OR(GV$169&lt;SwaptionFirstMonthPosition+1,$FN237&lt;SwaptionFirstMonthPosition+1,GV$169&gt;SwaptionFirstMonthPosition+SwaptionNumOfMonths+1,$FN237&gt;SwaptionFirstMonthPosition+SwaptionNumOfMonths+1),"",IF($FN237=GV$169,1,IF($FN237&lt;GV$169,INDEX($FO$170:$IH$241,GV$169,$FN237),SUMPRODUCT(INDEX($FO$325:$IH$396,GV$169,1+SwaptionShift):INDEX($FO$325:$IH$396,GV$169,SwaptionMonthsToGo+SwaptionShift),INDEX($FO$245:$IH$316,$FN237-GV$169,73-GV$169+SwaptionShift):INDEX($FO$245:$IH$316,$FN237-GV$169,72-GV$169+SwaptionMonthsToGo+SwaptionShift))/SQRT(SUM(INDEX($FO392:$IH392,1+SwaptionShift):INDEX($FO392:$IH392,SwaptionMonthsToGo+SwaptionShift))*SUM(INDEX($FO$325:$IH$396,GV$169,1+SwaptionShift):INDEX($FO$325:$IH$396,GV$169,SwaptionMonthsToGo+SwaptionShift))))))</f>
        <v/>
      </c>
      <c r="GW237" s="469" t="str">
        <f ca="1">IF(OR(GW$169&lt;SwaptionFirstMonthPosition+1,$FN237&lt;SwaptionFirstMonthPosition+1,GW$169&gt;SwaptionFirstMonthPosition+SwaptionNumOfMonths+1,$FN237&gt;SwaptionFirstMonthPosition+SwaptionNumOfMonths+1),"",IF($FN237=GW$169,1,IF($FN237&lt;GW$169,INDEX($FO$170:$IH$241,GW$169,$FN237),SUMPRODUCT(INDEX($FO$325:$IH$396,GW$169,1+SwaptionShift):INDEX($FO$325:$IH$396,GW$169,SwaptionMonthsToGo+SwaptionShift),INDEX($FO$245:$IH$316,$FN237-GW$169,73-GW$169+SwaptionShift):INDEX($FO$245:$IH$316,$FN237-GW$169,72-GW$169+SwaptionMonthsToGo+SwaptionShift))/SQRT(SUM(INDEX($FO392:$IH392,1+SwaptionShift):INDEX($FO392:$IH392,SwaptionMonthsToGo+SwaptionShift))*SUM(INDEX($FO$325:$IH$396,GW$169,1+SwaptionShift):INDEX($FO$325:$IH$396,GW$169,SwaptionMonthsToGo+SwaptionShift))))))</f>
        <v/>
      </c>
      <c r="GX237" s="469" t="str">
        <f ca="1">IF(OR(GX$169&lt;SwaptionFirstMonthPosition+1,$FN237&lt;SwaptionFirstMonthPosition+1,GX$169&gt;SwaptionFirstMonthPosition+SwaptionNumOfMonths+1,$FN237&gt;SwaptionFirstMonthPosition+SwaptionNumOfMonths+1),"",IF($FN237=GX$169,1,IF($FN237&lt;GX$169,INDEX($FO$170:$IH$241,GX$169,$FN237),SUMPRODUCT(INDEX($FO$325:$IH$396,GX$169,1+SwaptionShift):INDEX($FO$325:$IH$396,GX$169,SwaptionMonthsToGo+SwaptionShift),INDEX($FO$245:$IH$316,$FN237-GX$169,73-GX$169+SwaptionShift):INDEX($FO$245:$IH$316,$FN237-GX$169,72-GX$169+SwaptionMonthsToGo+SwaptionShift))/SQRT(SUM(INDEX($FO392:$IH392,1+SwaptionShift):INDEX($FO392:$IH392,SwaptionMonthsToGo+SwaptionShift))*SUM(INDEX($FO$325:$IH$396,GX$169,1+SwaptionShift):INDEX($FO$325:$IH$396,GX$169,SwaptionMonthsToGo+SwaptionShift))))))</f>
        <v/>
      </c>
      <c r="GY237" s="469" t="str">
        <f ca="1">IF(OR(GY$169&lt;SwaptionFirstMonthPosition+1,$FN237&lt;SwaptionFirstMonthPosition+1,GY$169&gt;SwaptionFirstMonthPosition+SwaptionNumOfMonths+1,$FN237&gt;SwaptionFirstMonthPosition+SwaptionNumOfMonths+1),"",IF($FN237=GY$169,1,IF($FN237&lt;GY$169,INDEX($FO$170:$IH$241,GY$169,$FN237),SUMPRODUCT(INDEX($FO$325:$IH$396,GY$169,1+SwaptionShift):INDEX($FO$325:$IH$396,GY$169,SwaptionMonthsToGo+SwaptionShift),INDEX($FO$245:$IH$316,$FN237-GY$169,73-GY$169+SwaptionShift):INDEX($FO$245:$IH$316,$FN237-GY$169,72-GY$169+SwaptionMonthsToGo+SwaptionShift))/SQRT(SUM(INDEX($FO392:$IH392,1+SwaptionShift):INDEX($FO392:$IH392,SwaptionMonthsToGo+SwaptionShift))*SUM(INDEX($FO$325:$IH$396,GY$169,1+SwaptionShift):INDEX($FO$325:$IH$396,GY$169,SwaptionMonthsToGo+SwaptionShift))))))</f>
        <v/>
      </c>
      <c r="GZ237" s="469" t="str">
        <f ca="1">IF(OR(GZ$169&lt;SwaptionFirstMonthPosition+1,$FN237&lt;SwaptionFirstMonthPosition+1,GZ$169&gt;SwaptionFirstMonthPosition+SwaptionNumOfMonths+1,$FN237&gt;SwaptionFirstMonthPosition+SwaptionNumOfMonths+1),"",IF($FN237=GZ$169,1,IF($FN237&lt;GZ$169,INDEX($FO$170:$IH$241,GZ$169,$FN237),SUMPRODUCT(INDEX($FO$325:$IH$396,GZ$169,1+SwaptionShift):INDEX($FO$325:$IH$396,GZ$169,SwaptionMonthsToGo+SwaptionShift),INDEX($FO$245:$IH$316,$FN237-GZ$169,73-GZ$169+SwaptionShift):INDEX($FO$245:$IH$316,$FN237-GZ$169,72-GZ$169+SwaptionMonthsToGo+SwaptionShift))/SQRT(SUM(INDEX($FO392:$IH392,1+SwaptionShift):INDEX($FO392:$IH392,SwaptionMonthsToGo+SwaptionShift))*SUM(INDEX($FO$325:$IH$396,GZ$169,1+SwaptionShift):INDEX($FO$325:$IH$396,GZ$169,SwaptionMonthsToGo+SwaptionShift))))))</f>
        <v/>
      </c>
      <c r="HA237" s="469" t="str">
        <f ca="1">IF(OR(HA$169&lt;SwaptionFirstMonthPosition+1,$FN237&lt;SwaptionFirstMonthPosition+1,HA$169&gt;SwaptionFirstMonthPosition+SwaptionNumOfMonths+1,$FN237&gt;SwaptionFirstMonthPosition+SwaptionNumOfMonths+1),"",IF($FN237=HA$169,1,IF($FN237&lt;HA$169,INDEX($FO$170:$IH$241,HA$169,$FN237),SUMPRODUCT(INDEX($FO$325:$IH$396,HA$169,1+SwaptionShift):INDEX($FO$325:$IH$396,HA$169,SwaptionMonthsToGo+SwaptionShift),INDEX($FO$245:$IH$316,$FN237-HA$169,73-HA$169+SwaptionShift):INDEX($FO$245:$IH$316,$FN237-HA$169,72-HA$169+SwaptionMonthsToGo+SwaptionShift))/SQRT(SUM(INDEX($FO392:$IH392,1+SwaptionShift):INDEX($FO392:$IH392,SwaptionMonthsToGo+SwaptionShift))*SUM(INDEX($FO$325:$IH$396,HA$169,1+SwaptionShift):INDEX($FO$325:$IH$396,HA$169,SwaptionMonthsToGo+SwaptionShift))))))</f>
        <v/>
      </c>
      <c r="HB237" s="469" t="str">
        <f ca="1">IF(OR(HB$169&lt;SwaptionFirstMonthPosition+1,$FN237&lt;SwaptionFirstMonthPosition+1,HB$169&gt;SwaptionFirstMonthPosition+SwaptionNumOfMonths+1,$FN237&gt;SwaptionFirstMonthPosition+SwaptionNumOfMonths+1),"",IF($FN237=HB$169,1,IF($FN237&lt;HB$169,INDEX($FO$170:$IH$241,HB$169,$FN237),SUMPRODUCT(INDEX($FO$325:$IH$396,HB$169,1+SwaptionShift):INDEX($FO$325:$IH$396,HB$169,SwaptionMonthsToGo+SwaptionShift),INDEX($FO$245:$IH$316,$FN237-HB$169,73-HB$169+SwaptionShift):INDEX($FO$245:$IH$316,$FN237-HB$169,72-HB$169+SwaptionMonthsToGo+SwaptionShift))/SQRT(SUM(INDEX($FO392:$IH392,1+SwaptionShift):INDEX($FO392:$IH392,SwaptionMonthsToGo+SwaptionShift))*SUM(INDEX($FO$325:$IH$396,HB$169,1+SwaptionShift):INDEX($FO$325:$IH$396,HB$169,SwaptionMonthsToGo+SwaptionShift))))))</f>
        <v/>
      </c>
      <c r="HC237" s="469" t="str">
        <f ca="1">IF(OR(HC$169&lt;SwaptionFirstMonthPosition+1,$FN237&lt;SwaptionFirstMonthPosition+1,HC$169&gt;SwaptionFirstMonthPosition+SwaptionNumOfMonths+1,$FN237&gt;SwaptionFirstMonthPosition+SwaptionNumOfMonths+1),"",IF($FN237=HC$169,1,IF($FN237&lt;HC$169,INDEX($FO$170:$IH$241,HC$169,$FN237),SUMPRODUCT(INDEX($FO$325:$IH$396,HC$169,1+SwaptionShift):INDEX($FO$325:$IH$396,HC$169,SwaptionMonthsToGo+SwaptionShift),INDEX($FO$245:$IH$316,$FN237-HC$169,73-HC$169+SwaptionShift):INDEX($FO$245:$IH$316,$FN237-HC$169,72-HC$169+SwaptionMonthsToGo+SwaptionShift))/SQRT(SUM(INDEX($FO392:$IH392,1+SwaptionShift):INDEX($FO392:$IH392,SwaptionMonthsToGo+SwaptionShift))*SUM(INDEX($FO$325:$IH$396,HC$169,1+SwaptionShift):INDEX($FO$325:$IH$396,HC$169,SwaptionMonthsToGo+SwaptionShift))))))</f>
        <v/>
      </c>
      <c r="HD237" s="469" t="str">
        <f ca="1">IF(OR(HD$169&lt;SwaptionFirstMonthPosition+1,$FN237&lt;SwaptionFirstMonthPosition+1,HD$169&gt;SwaptionFirstMonthPosition+SwaptionNumOfMonths+1,$FN237&gt;SwaptionFirstMonthPosition+SwaptionNumOfMonths+1),"",IF($FN237=HD$169,1,IF($FN237&lt;HD$169,INDEX($FO$170:$IH$241,HD$169,$FN237),SUMPRODUCT(INDEX($FO$325:$IH$396,HD$169,1+SwaptionShift):INDEX($FO$325:$IH$396,HD$169,SwaptionMonthsToGo+SwaptionShift),INDEX($FO$245:$IH$316,$FN237-HD$169,73-HD$169+SwaptionShift):INDEX($FO$245:$IH$316,$FN237-HD$169,72-HD$169+SwaptionMonthsToGo+SwaptionShift))/SQRT(SUM(INDEX($FO392:$IH392,1+SwaptionShift):INDEX($FO392:$IH392,SwaptionMonthsToGo+SwaptionShift))*SUM(INDEX($FO$325:$IH$396,HD$169,1+SwaptionShift):INDEX($FO$325:$IH$396,HD$169,SwaptionMonthsToGo+SwaptionShift))))))</f>
        <v/>
      </c>
      <c r="HE237" s="469" t="str">
        <f ca="1">IF(OR(HE$169&lt;SwaptionFirstMonthPosition+1,$FN237&lt;SwaptionFirstMonthPosition+1,HE$169&gt;SwaptionFirstMonthPosition+SwaptionNumOfMonths+1,$FN237&gt;SwaptionFirstMonthPosition+SwaptionNumOfMonths+1),"",IF($FN237=HE$169,1,IF($FN237&lt;HE$169,INDEX($FO$170:$IH$241,HE$169,$FN237),SUMPRODUCT(INDEX($FO$325:$IH$396,HE$169,1+SwaptionShift):INDEX($FO$325:$IH$396,HE$169,SwaptionMonthsToGo+SwaptionShift),INDEX($FO$245:$IH$316,$FN237-HE$169,73-HE$169+SwaptionShift):INDEX($FO$245:$IH$316,$FN237-HE$169,72-HE$169+SwaptionMonthsToGo+SwaptionShift))/SQRT(SUM(INDEX($FO392:$IH392,1+SwaptionShift):INDEX($FO392:$IH392,SwaptionMonthsToGo+SwaptionShift))*SUM(INDEX($FO$325:$IH$396,HE$169,1+SwaptionShift):INDEX($FO$325:$IH$396,HE$169,SwaptionMonthsToGo+SwaptionShift))))))</f>
        <v/>
      </c>
      <c r="HF237" s="469" t="str">
        <f ca="1">IF(OR(HF$169&lt;SwaptionFirstMonthPosition+1,$FN237&lt;SwaptionFirstMonthPosition+1,HF$169&gt;SwaptionFirstMonthPosition+SwaptionNumOfMonths+1,$FN237&gt;SwaptionFirstMonthPosition+SwaptionNumOfMonths+1),"",IF($FN237=HF$169,1,IF($FN237&lt;HF$169,INDEX($FO$170:$IH$241,HF$169,$FN237),SUMPRODUCT(INDEX($FO$325:$IH$396,HF$169,1+SwaptionShift):INDEX($FO$325:$IH$396,HF$169,SwaptionMonthsToGo+SwaptionShift),INDEX($FO$245:$IH$316,$FN237-HF$169,73-HF$169+SwaptionShift):INDEX($FO$245:$IH$316,$FN237-HF$169,72-HF$169+SwaptionMonthsToGo+SwaptionShift))/SQRT(SUM(INDEX($FO392:$IH392,1+SwaptionShift):INDEX($FO392:$IH392,SwaptionMonthsToGo+SwaptionShift))*SUM(INDEX($FO$325:$IH$396,HF$169,1+SwaptionShift):INDEX($FO$325:$IH$396,HF$169,SwaptionMonthsToGo+SwaptionShift))))))</f>
        <v/>
      </c>
      <c r="HG237" s="469" t="str">
        <f ca="1">IF(OR(HG$169&lt;SwaptionFirstMonthPosition+1,$FN237&lt;SwaptionFirstMonthPosition+1,HG$169&gt;SwaptionFirstMonthPosition+SwaptionNumOfMonths+1,$FN237&gt;SwaptionFirstMonthPosition+SwaptionNumOfMonths+1),"",IF($FN237=HG$169,1,IF($FN237&lt;HG$169,INDEX($FO$170:$IH$241,HG$169,$FN237),SUMPRODUCT(INDEX($FO$325:$IH$396,HG$169,1+SwaptionShift):INDEX($FO$325:$IH$396,HG$169,SwaptionMonthsToGo+SwaptionShift),INDEX($FO$245:$IH$316,$FN237-HG$169,73-HG$169+SwaptionShift):INDEX($FO$245:$IH$316,$FN237-HG$169,72-HG$169+SwaptionMonthsToGo+SwaptionShift))/SQRT(SUM(INDEX($FO392:$IH392,1+SwaptionShift):INDEX($FO392:$IH392,SwaptionMonthsToGo+SwaptionShift))*SUM(INDEX($FO$325:$IH$396,HG$169,1+SwaptionShift):INDEX($FO$325:$IH$396,HG$169,SwaptionMonthsToGo+SwaptionShift))))))</f>
        <v/>
      </c>
      <c r="HH237" s="469" t="str">
        <f ca="1">IF(OR(HH$169&lt;SwaptionFirstMonthPosition+1,$FN237&lt;SwaptionFirstMonthPosition+1,HH$169&gt;SwaptionFirstMonthPosition+SwaptionNumOfMonths+1,$FN237&gt;SwaptionFirstMonthPosition+SwaptionNumOfMonths+1),"",IF($FN237=HH$169,1,IF($FN237&lt;HH$169,INDEX($FO$170:$IH$241,HH$169,$FN237),SUMPRODUCT(INDEX($FO$325:$IH$396,HH$169,1+SwaptionShift):INDEX($FO$325:$IH$396,HH$169,SwaptionMonthsToGo+SwaptionShift),INDEX($FO$245:$IH$316,$FN237-HH$169,73-HH$169+SwaptionShift):INDEX($FO$245:$IH$316,$FN237-HH$169,72-HH$169+SwaptionMonthsToGo+SwaptionShift))/SQRT(SUM(INDEX($FO392:$IH392,1+SwaptionShift):INDEX($FO392:$IH392,SwaptionMonthsToGo+SwaptionShift))*SUM(INDEX($FO$325:$IH$396,HH$169,1+SwaptionShift):INDEX($FO$325:$IH$396,HH$169,SwaptionMonthsToGo+SwaptionShift))))))</f>
        <v/>
      </c>
      <c r="HI237" s="469" t="str">
        <f ca="1">IF(OR(HI$169&lt;SwaptionFirstMonthPosition+1,$FN237&lt;SwaptionFirstMonthPosition+1,HI$169&gt;SwaptionFirstMonthPosition+SwaptionNumOfMonths+1,$FN237&gt;SwaptionFirstMonthPosition+SwaptionNumOfMonths+1),"",IF($FN237=HI$169,1,IF($FN237&lt;HI$169,INDEX($FO$170:$IH$241,HI$169,$FN237),SUMPRODUCT(INDEX($FO$325:$IH$396,HI$169,1+SwaptionShift):INDEX($FO$325:$IH$396,HI$169,SwaptionMonthsToGo+SwaptionShift),INDEX($FO$245:$IH$316,$FN237-HI$169,73-HI$169+SwaptionShift):INDEX($FO$245:$IH$316,$FN237-HI$169,72-HI$169+SwaptionMonthsToGo+SwaptionShift))/SQRT(SUM(INDEX($FO392:$IH392,1+SwaptionShift):INDEX($FO392:$IH392,SwaptionMonthsToGo+SwaptionShift))*SUM(INDEX($FO$325:$IH$396,HI$169,1+SwaptionShift):INDEX($FO$325:$IH$396,HI$169,SwaptionMonthsToGo+SwaptionShift))))))</f>
        <v/>
      </c>
      <c r="HJ237" s="469" t="str">
        <f ca="1">IF(OR(HJ$169&lt;SwaptionFirstMonthPosition+1,$FN237&lt;SwaptionFirstMonthPosition+1,HJ$169&gt;SwaptionFirstMonthPosition+SwaptionNumOfMonths+1,$FN237&gt;SwaptionFirstMonthPosition+SwaptionNumOfMonths+1),"",IF($FN237=HJ$169,1,IF($FN237&lt;HJ$169,INDEX($FO$170:$IH$241,HJ$169,$FN237),SUMPRODUCT(INDEX($FO$325:$IH$396,HJ$169,1+SwaptionShift):INDEX($FO$325:$IH$396,HJ$169,SwaptionMonthsToGo+SwaptionShift),INDEX($FO$245:$IH$316,$FN237-HJ$169,73-HJ$169+SwaptionShift):INDEX($FO$245:$IH$316,$FN237-HJ$169,72-HJ$169+SwaptionMonthsToGo+SwaptionShift))/SQRT(SUM(INDEX($FO392:$IH392,1+SwaptionShift):INDEX($FO392:$IH392,SwaptionMonthsToGo+SwaptionShift))*SUM(INDEX($FO$325:$IH$396,HJ$169,1+SwaptionShift):INDEX($FO$325:$IH$396,HJ$169,SwaptionMonthsToGo+SwaptionShift))))))</f>
        <v/>
      </c>
      <c r="HK237" s="469" t="str">
        <f ca="1">IF(OR(HK$169&lt;SwaptionFirstMonthPosition+1,$FN237&lt;SwaptionFirstMonthPosition+1,HK$169&gt;SwaptionFirstMonthPosition+SwaptionNumOfMonths+1,$FN237&gt;SwaptionFirstMonthPosition+SwaptionNumOfMonths+1),"",IF($FN237=HK$169,1,IF($FN237&lt;HK$169,INDEX($FO$170:$IH$241,HK$169,$FN237),SUMPRODUCT(INDEX($FO$325:$IH$396,HK$169,1+SwaptionShift):INDEX($FO$325:$IH$396,HK$169,SwaptionMonthsToGo+SwaptionShift),INDEX($FO$245:$IH$316,$FN237-HK$169,73-HK$169+SwaptionShift):INDEX($FO$245:$IH$316,$FN237-HK$169,72-HK$169+SwaptionMonthsToGo+SwaptionShift))/SQRT(SUM(INDEX($FO392:$IH392,1+SwaptionShift):INDEX($FO392:$IH392,SwaptionMonthsToGo+SwaptionShift))*SUM(INDEX($FO$325:$IH$396,HK$169,1+SwaptionShift):INDEX($FO$325:$IH$396,HK$169,SwaptionMonthsToGo+SwaptionShift))))))</f>
        <v/>
      </c>
      <c r="HL237" s="469" t="str">
        <f ca="1">IF(OR(HL$169&lt;SwaptionFirstMonthPosition+1,$FN237&lt;SwaptionFirstMonthPosition+1,HL$169&gt;SwaptionFirstMonthPosition+SwaptionNumOfMonths+1,$FN237&gt;SwaptionFirstMonthPosition+SwaptionNumOfMonths+1),"",IF($FN237=HL$169,1,IF($FN237&lt;HL$169,INDEX($FO$170:$IH$241,HL$169,$FN237),SUMPRODUCT(INDEX($FO$325:$IH$396,HL$169,1+SwaptionShift):INDEX($FO$325:$IH$396,HL$169,SwaptionMonthsToGo+SwaptionShift),INDEX($FO$245:$IH$316,$FN237-HL$169,73-HL$169+SwaptionShift):INDEX($FO$245:$IH$316,$FN237-HL$169,72-HL$169+SwaptionMonthsToGo+SwaptionShift))/SQRT(SUM(INDEX($FO392:$IH392,1+SwaptionShift):INDEX($FO392:$IH392,SwaptionMonthsToGo+SwaptionShift))*SUM(INDEX($FO$325:$IH$396,HL$169,1+SwaptionShift):INDEX($FO$325:$IH$396,HL$169,SwaptionMonthsToGo+SwaptionShift))))))</f>
        <v/>
      </c>
      <c r="HM237" s="469" t="str">
        <f ca="1">IF(OR(HM$169&lt;SwaptionFirstMonthPosition+1,$FN237&lt;SwaptionFirstMonthPosition+1,HM$169&gt;SwaptionFirstMonthPosition+SwaptionNumOfMonths+1,$FN237&gt;SwaptionFirstMonthPosition+SwaptionNumOfMonths+1),"",IF($FN237=HM$169,1,IF($FN237&lt;HM$169,INDEX($FO$170:$IH$241,HM$169,$FN237),SUMPRODUCT(INDEX($FO$325:$IH$396,HM$169,1+SwaptionShift):INDEX($FO$325:$IH$396,HM$169,SwaptionMonthsToGo+SwaptionShift),INDEX($FO$245:$IH$316,$FN237-HM$169,73-HM$169+SwaptionShift):INDEX($FO$245:$IH$316,$FN237-HM$169,72-HM$169+SwaptionMonthsToGo+SwaptionShift))/SQRT(SUM(INDEX($FO392:$IH392,1+SwaptionShift):INDEX($FO392:$IH392,SwaptionMonthsToGo+SwaptionShift))*SUM(INDEX($FO$325:$IH$396,HM$169,1+SwaptionShift):INDEX($FO$325:$IH$396,HM$169,SwaptionMonthsToGo+SwaptionShift))))))</f>
        <v/>
      </c>
      <c r="HN237" s="469" t="str">
        <f ca="1">IF(OR(HN$169&lt;SwaptionFirstMonthPosition+1,$FN237&lt;SwaptionFirstMonthPosition+1,HN$169&gt;SwaptionFirstMonthPosition+SwaptionNumOfMonths+1,$FN237&gt;SwaptionFirstMonthPosition+SwaptionNumOfMonths+1),"",IF($FN237=HN$169,1,IF($FN237&lt;HN$169,INDEX($FO$170:$IH$241,HN$169,$FN237),SUMPRODUCT(INDEX($FO$325:$IH$396,HN$169,1+SwaptionShift):INDEX($FO$325:$IH$396,HN$169,SwaptionMonthsToGo+SwaptionShift),INDEX($FO$245:$IH$316,$FN237-HN$169,73-HN$169+SwaptionShift):INDEX($FO$245:$IH$316,$FN237-HN$169,72-HN$169+SwaptionMonthsToGo+SwaptionShift))/SQRT(SUM(INDEX($FO392:$IH392,1+SwaptionShift):INDEX($FO392:$IH392,SwaptionMonthsToGo+SwaptionShift))*SUM(INDEX($FO$325:$IH$396,HN$169,1+SwaptionShift):INDEX($FO$325:$IH$396,HN$169,SwaptionMonthsToGo+SwaptionShift))))))</f>
        <v/>
      </c>
      <c r="HO237" s="469" t="str">
        <f ca="1">IF(OR(HO$169&lt;SwaptionFirstMonthPosition+1,$FN237&lt;SwaptionFirstMonthPosition+1,HO$169&gt;SwaptionFirstMonthPosition+SwaptionNumOfMonths+1,$FN237&gt;SwaptionFirstMonthPosition+SwaptionNumOfMonths+1),"",IF($FN237=HO$169,1,IF($FN237&lt;HO$169,INDEX($FO$170:$IH$241,HO$169,$FN237),SUMPRODUCT(INDEX($FO$325:$IH$396,HO$169,1+SwaptionShift):INDEX($FO$325:$IH$396,HO$169,SwaptionMonthsToGo+SwaptionShift),INDEX($FO$245:$IH$316,$FN237-HO$169,73-HO$169+SwaptionShift):INDEX($FO$245:$IH$316,$FN237-HO$169,72-HO$169+SwaptionMonthsToGo+SwaptionShift))/SQRT(SUM(INDEX($FO392:$IH392,1+SwaptionShift):INDEX($FO392:$IH392,SwaptionMonthsToGo+SwaptionShift))*SUM(INDEX($FO$325:$IH$396,HO$169,1+SwaptionShift):INDEX($FO$325:$IH$396,HO$169,SwaptionMonthsToGo+SwaptionShift))))))</f>
        <v/>
      </c>
      <c r="HP237" s="469" t="str">
        <f ca="1">IF(OR(HP$169&lt;SwaptionFirstMonthPosition+1,$FN237&lt;SwaptionFirstMonthPosition+1,HP$169&gt;SwaptionFirstMonthPosition+SwaptionNumOfMonths+1,$FN237&gt;SwaptionFirstMonthPosition+SwaptionNumOfMonths+1),"",IF($FN237=HP$169,1,IF($FN237&lt;HP$169,INDEX($FO$170:$IH$241,HP$169,$FN237),SUMPRODUCT(INDEX($FO$325:$IH$396,HP$169,1+SwaptionShift):INDEX($FO$325:$IH$396,HP$169,SwaptionMonthsToGo+SwaptionShift),INDEX($FO$245:$IH$316,$FN237-HP$169,73-HP$169+SwaptionShift):INDEX($FO$245:$IH$316,$FN237-HP$169,72-HP$169+SwaptionMonthsToGo+SwaptionShift))/SQRT(SUM(INDEX($FO392:$IH392,1+SwaptionShift):INDEX($FO392:$IH392,SwaptionMonthsToGo+SwaptionShift))*SUM(INDEX($FO$325:$IH$396,HP$169,1+SwaptionShift):INDEX($FO$325:$IH$396,HP$169,SwaptionMonthsToGo+SwaptionShift))))))</f>
        <v/>
      </c>
      <c r="HQ237" s="469" t="str">
        <f ca="1">IF(OR(HQ$169&lt;SwaptionFirstMonthPosition+1,$FN237&lt;SwaptionFirstMonthPosition+1,HQ$169&gt;SwaptionFirstMonthPosition+SwaptionNumOfMonths+1,$FN237&gt;SwaptionFirstMonthPosition+SwaptionNumOfMonths+1),"",IF($FN237=HQ$169,1,IF($FN237&lt;HQ$169,INDEX($FO$170:$IH$241,HQ$169,$FN237),SUMPRODUCT(INDEX($FO$325:$IH$396,HQ$169,1+SwaptionShift):INDEX($FO$325:$IH$396,HQ$169,SwaptionMonthsToGo+SwaptionShift),INDEX($FO$245:$IH$316,$FN237-HQ$169,73-HQ$169+SwaptionShift):INDEX($FO$245:$IH$316,$FN237-HQ$169,72-HQ$169+SwaptionMonthsToGo+SwaptionShift))/SQRT(SUM(INDEX($FO392:$IH392,1+SwaptionShift):INDEX($FO392:$IH392,SwaptionMonthsToGo+SwaptionShift))*SUM(INDEX($FO$325:$IH$396,HQ$169,1+SwaptionShift):INDEX($FO$325:$IH$396,HQ$169,SwaptionMonthsToGo+SwaptionShift))))))</f>
        <v/>
      </c>
      <c r="HR237" s="469" t="str">
        <f ca="1">IF(OR(HR$169&lt;SwaptionFirstMonthPosition+1,$FN237&lt;SwaptionFirstMonthPosition+1,HR$169&gt;SwaptionFirstMonthPosition+SwaptionNumOfMonths+1,$FN237&gt;SwaptionFirstMonthPosition+SwaptionNumOfMonths+1),"",IF($FN237=HR$169,1,IF($FN237&lt;HR$169,INDEX($FO$170:$IH$241,HR$169,$FN237),SUMPRODUCT(INDEX($FO$325:$IH$396,HR$169,1+SwaptionShift):INDEX($FO$325:$IH$396,HR$169,SwaptionMonthsToGo+SwaptionShift),INDEX($FO$245:$IH$316,$FN237-HR$169,73-HR$169+SwaptionShift):INDEX($FO$245:$IH$316,$FN237-HR$169,72-HR$169+SwaptionMonthsToGo+SwaptionShift))/SQRT(SUM(INDEX($FO392:$IH392,1+SwaptionShift):INDEX($FO392:$IH392,SwaptionMonthsToGo+SwaptionShift))*SUM(INDEX($FO$325:$IH$396,HR$169,1+SwaptionShift):INDEX($FO$325:$IH$396,HR$169,SwaptionMonthsToGo+SwaptionShift))))))</f>
        <v/>
      </c>
      <c r="HS237" s="469" t="str">
        <f ca="1">IF(OR(HS$169&lt;SwaptionFirstMonthPosition+1,$FN237&lt;SwaptionFirstMonthPosition+1,HS$169&gt;SwaptionFirstMonthPosition+SwaptionNumOfMonths+1,$FN237&gt;SwaptionFirstMonthPosition+SwaptionNumOfMonths+1),"",IF($FN237=HS$169,1,IF($FN237&lt;HS$169,INDEX($FO$170:$IH$241,HS$169,$FN237),SUMPRODUCT(INDEX($FO$325:$IH$396,HS$169,1+SwaptionShift):INDEX($FO$325:$IH$396,HS$169,SwaptionMonthsToGo+SwaptionShift),INDEX($FO$245:$IH$316,$FN237-HS$169,73-HS$169+SwaptionShift):INDEX($FO$245:$IH$316,$FN237-HS$169,72-HS$169+SwaptionMonthsToGo+SwaptionShift))/SQRT(SUM(INDEX($FO392:$IH392,1+SwaptionShift):INDEX($FO392:$IH392,SwaptionMonthsToGo+SwaptionShift))*SUM(INDEX($FO$325:$IH$396,HS$169,1+SwaptionShift):INDEX($FO$325:$IH$396,HS$169,SwaptionMonthsToGo+SwaptionShift))))))</f>
        <v/>
      </c>
      <c r="HT237" s="469" t="str">
        <f ca="1">IF(OR(HT$169&lt;SwaptionFirstMonthPosition+1,$FN237&lt;SwaptionFirstMonthPosition+1,HT$169&gt;SwaptionFirstMonthPosition+SwaptionNumOfMonths+1,$FN237&gt;SwaptionFirstMonthPosition+SwaptionNumOfMonths+1),"",IF($FN237=HT$169,1,IF($FN237&lt;HT$169,INDEX($FO$170:$IH$241,HT$169,$FN237),SUMPRODUCT(INDEX($FO$325:$IH$396,HT$169,1+SwaptionShift):INDEX($FO$325:$IH$396,HT$169,SwaptionMonthsToGo+SwaptionShift),INDEX($FO$245:$IH$316,$FN237-HT$169,73-HT$169+SwaptionShift):INDEX($FO$245:$IH$316,$FN237-HT$169,72-HT$169+SwaptionMonthsToGo+SwaptionShift))/SQRT(SUM(INDEX($FO392:$IH392,1+SwaptionShift):INDEX($FO392:$IH392,SwaptionMonthsToGo+SwaptionShift))*SUM(INDEX($FO$325:$IH$396,HT$169,1+SwaptionShift):INDEX($FO$325:$IH$396,HT$169,SwaptionMonthsToGo+SwaptionShift))))))</f>
        <v/>
      </c>
      <c r="HU237" s="469" t="str">
        <f ca="1">IF(OR(HU$169&lt;SwaptionFirstMonthPosition+1,$FN237&lt;SwaptionFirstMonthPosition+1,HU$169&gt;SwaptionFirstMonthPosition+SwaptionNumOfMonths+1,$FN237&gt;SwaptionFirstMonthPosition+SwaptionNumOfMonths+1),"",IF($FN237=HU$169,1,IF($FN237&lt;HU$169,INDEX($FO$170:$IH$241,HU$169,$FN237),SUMPRODUCT(INDEX($FO$325:$IH$396,HU$169,1+SwaptionShift):INDEX($FO$325:$IH$396,HU$169,SwaptionMonthsToGo+SwaptionShift),INDEX($FO$245:$IH$316,$FN237-HU$169,73-HU$169+SwaptionShift):INDEX($FO$245:$IH$316,$FN237-HU$169,72-HU$169+SwaptionMonthsToGo+SwaptionShift))/SQRT(SUM(INDEX($FO392:$IH392,1+SwaptionShift):INDEX($FO392:$IH392,SwaptionMonthsToGo+SwaptionShift))*SUM(INDEX($FO$325:$IH$396,HU$169,1+SwaptionShift):INDEX($FO$325:$IH$396,HU$169,SwaptionMonthsToGo+SwaptionShift))))))</f>
        <v/>
      </c>
      <c r="HV237" s="469" t="str">
        <f ca="1">IF(OR(HV$169&lt;SwaptionFirstMonthPosition+1,$FN237&lt;SwaptionFirstMonthPosition+1,HV$169&gt;SwaptionFirstMonthPosition+SwaptionNumOfMonths+1,$FN237&gt;SwaptionFirstMonthPosition+SwaptionNumOfMonths+1),"",IF($FN237=HV$169,1,IF($FN237&lt;HV$169,INDEX($FO$170:$IH$241,HV$169,$FN237),SUMPRODUCT(INDEX($FO$325:$IH$396,HV$169,1+SwaptionShift):INDEX($FO$325:$IH$396,HV$169,SwaptionMonthsToGo+SwaptionShift),INDEX($FO$245:$IH$316,$FN237-HV$169,73-HV$169+SwaptionShift):INDEX($FO$245:$IH$316,$FN237-HV$169,72-HV$169+SwaptionMonthsToGo+SwaptionShift))/SQRT(SUM(INDEX($FO392:$IH392,1+SwaptionShift):INDEX($FO392:$IH392,SwaptionMonthsToGo+SwaptionShift))*SUM(INDEX($FO$325:$IH$396,HV$169,1+SwaptionShift):INDEX($FO$325:$IH$396,HV$169,SwaptionMonthsToGo+SwaptionShift))))))</f>
        <v/>
      </c>
      <c r="HW237" s="469" t="str">
        <f ca="1">IF(OR(HW$169&lt;SwaptionFirstMonthPosition+1,$FN237&lt;SwaptionFirstMonthPosition+1,HW$169&gt;SwaptionFirstMonthPosition+SwaptionNumOfMonths+1,$FN237&gt;SwaptionFirstMonthPosition+SwaptionNumOfMonths+1),"",IF($FN237=HW$169,1,IF($FN237&lt;HW$169,INDEX($FO$170:$IH$241,HW$169,$FN237),SUMPRODUCT(INDEX($FO$325:$IH$396,HW$169,1+SwaptionShift):INDEX($FO$325:$IH$396,HW$169,SwaptionMonthsToGo+SwaptionShift),INDEX($FO$245:$IH$316,$FN237-HW$169,73-HW$169+SwaptionShift):INDEX($FO$245:$IH$316,$FN237-HW$169,72-HW$169+SwaptionMonthsToGo+SwaptionShift))/SQRT(SUM(INDEX($FO392:$IH392,1+SwaptionShift):INDEX($FO392:$IH392,SwaptionMonthsToGo+SwaptionShift))*SUM(INDEX($FO$325:$IH$396,HW$169,1+SwaptionShift):INDEX($FO$325:$IH$396,HW$169,SwaptionMonthsToGo+SwaptionShift))))))</f>
        <v/>
      </c>
      <c r="HX237" s="469" t="str">
        <f ca="1">IF(OR(HX$169&lt;SwaptionFirstMonthPosition+1,$FN237&lt;SwaptionFirstMonthPosition+1,HX$169&gt;SwaptionFirstMonthPosition+SwaptionNumOfMonths+1,$FN237&gt;SwaptionFirstMonthPosition+SwaptionNumOfMonths+1),"",IF($FN237=HX$169,1,IF($FN237&lt;HX$169,INDEX($FO$170:$IH$241,HX$169,$FN237),SUMPRODUCT(INDEX($FO$325:$IH$396,HX$169,1+SwaptionShift):INDEX($FO$325:$IH$396,HX$169,SwaptionMonthsToGo+SwaptionShift),INDEX($FO$245:$IH$316,$FN237-HX$169,73-HX$169+SwaptionShift):INDEX($FO$245:$IH$316,$FN237-HX$169,72-HX$169+SwaptionMonthsToGo+SwaptionShift))/SQRT(SUM(INDEX($FO392:$IH392,1+SwaptionShift):INDEX($FO392:$IH392,SwaptionMonthsToGo+SwaptionShift))*SUM(INDEX($FO$325:$IH$396,HX$169,1+SwaptionShift):INDEX($FO$325:$IH$396,HX$169,SwaptionMonthsToGo+SwaptionShift))))))</f>
        <v/>
      </c>
      <c r="HY237" s="469" t="str">
        <f ca="1">IF(OR(HY$169&lt;SwaptionFirstMonthPosition+1,$FN237&lt;SwaptionFirstMonthPosition+1,HY$169&gt;SwaptionFirstMonthPosition+SwaptionNumOfMonths+1,$FN237&gt;SwaptionFirstMonthPosition+SwaptionNumOfMonths+1),"",IF($FN237=HY$169,1,IF($FN237&lt;HY$169,INDEX($FO$170:$IH$241,HY$169,$FN237),SUMPRODUCT(INDEX($FO$325:$IH$396,HY$169,1+SwaptionShift):INDEX($FO$325:$IH$396,HY$169,SwaptionMonthsToGo+SwaptionShift),INDEX($FO$245:$IH$316,$FN237-HY$169,73-HY$169+SwaptionShift):INDEX($FO$245:$IH$316,$FN237-HY$169,72-HY$169+SwaptionMonthsToGo+SwaptionShift))/SQRT(SUM(INDEX($FO392:$IH392,1+SwaptionShift):INDEX($FO392:$IH392,SwaptionMonthsToGo+SwaptionShift))*SUM(INDEX($FO$325:$IH$396,HY$169,1+SwaptionShift):INDEX($FO$325:$IH$396,HY$169,SwaptionMonthsToGo+SwaptionShift))))))</f>
        <v/>
      </c>
      <c r="HZ237" s="469" t="str">
        <f ca="1">IF(OR(HZ$169&lt;SwaptionFirstMonthPosition+1,$FN237&lt;SwaptionFirstMonthPosition+1,HZ$169&gt;SwaptionFirstMonthPosition+SwaptionNumOfMonths+1,$FN237&gt;SwaptionFirstMonthPosition+SwaptionNumOfMonths+1),"",IF($FN237=HZ$169,1,IF($FN237&lt;HZ$169,INDEX($FO$170:$IH$241,HZ$169,$FN237),SUMPRODUCT(INDEX($FO$325:$IH$396,HZ$169,1+SwaptionShift):INDEX($FO$325:$IH$396,HZ$169,SwaptionMonthsToGo+SwaptionShift),INDEX($FO$245:$IH$316,$FN237-HZ$169,73-HZ$169+SwaptionShift):INDEX($FO$245:$IH$316,$FN237-HZ$169,72-HZ$169+SwaptionMonthsToGo+SwaptionShift))/SQRT(SUM(INDEX($FO392:$IH392,1+SwaptionShift):INDEX($FO392:$IH392,SwaptionMonthsToGo+SwaptionShift))*SUM(INDEX($FO$325:$IH$396,HZ$169,1+SwaptionShift):INDEX($FO$325:$IH$396,HZ$169,SwaptionMonthsToGo+SwaptionShift))))))</f>
        <v/>
      </c>
      <c r="IA237" s="469" t="str">
        <f ca="1">IF(OR(IA$169&lt;SwaptionFirstMonthPosition+1,$FN237&lt;SwaptionFirstMonthPosition+1,IA$169&gt;SwaptionFirstMonthPosition+SwaptionNumOfMonths+1,$FN237&gt;SwaptionFirstMonthPosition+SwaptionNumOfMonths+1),"",IF($FN237=IA$169,1,IF($FN237&lt;IA$169,INDEX($FO$170:$IH$241,IA$169,$FN237),SUMPRODUCT(INDEX($FO$325:$IH$396,IA$169,1+SwaptionShift):INDEX($FO$325:$IH$396,IA$169,SwaptionMonthsToGo+SwaptionShift),INDEX($FO$245:$IH$316,$FN237-IA$169,73-IA$169+SwaptionShift):INDEX($FO$245:$IH$316,$FN237-IA$169,72-IA$169+SwaptionMonthsToGo+SwaptionShift))/SQRT(SUM(INDEX($FO392:$IH392,1+SwaptionShift):INDEX($FO392:$IH392,SwaptionMonthsToGo+SwaptionShift))*SUM(INDEX($FO$325:$IH$396,IA$169,1+SwaptionShift):INDEX($FO$325:$IH$396,IA$169,SwaptionMonthsToGo+SwaptionShift))))))</f>
        <v/>
      </c>
      <c r="IB237" s="469" t="str">
        <f ca="1">IF(OR(IB$169&lt;SwaptionFirstMonthPosition+1,$FN237&lt;SwaptionFirstMonthPosition+1,IB$169&gt;SwaptionFirstMonthPosition+SwaptionNumOfMonths+1,$FN237&gt;SwaptionFirstMonthPosition+SwaptionNumOfMonths+1),"",IF($FN237=IB$169,1,IF($FN237&lt;IB$169,INDEX($FO$170:$IH$241,IB$169,$FN237),SUMPRODUCT(INDEX($FO$325:$IH$396,IB$169,1+SwaptionShift):INDEX($FO$325:$IH$396,IB$169,SwaptionMonthsToGo+SwaptionShift),INDEX($FO$245:$IH$316,$FN237-IB$169,73-IB$169+SwaptionShift):INDEX($FO$245:$IH$316,$FN237-IB$169,72-IB$169+SwaptionMonthsToGo+SwaptionShift))/SQRT(SUM(INDEX($FO392:$IH392,1+SwaptionShift):INDEX($FO392:$IH392,SwaptionMonthsToGo+SwaptionShift))*SUM(INDEX($FO$325:$IH$396,IB$169,1+SwaptionShift):INDEX($FO$325:$IH$396,IB$169,SwaptionMonthsToGo+SwaptionShift))))))</f>
        <v/>
      </c>
      <c r="IC237" s="469" t="str">
        <f ca="1">IF(OR(IC$169&lt;SwaptionFirstMonthPosition+1,$FN237&lt;SwaptionFirstMonthPosition+1,IC$169&gt;SwaptionFirstMonthPosition+SwaptionNumOfMonths+1,$FN237&gt;SwaptionFirstMonthPosition+SwaptionNumOfMonths+1),"",IF($FN237=IC$169,1,IF($FN237&lt;IC$169,INDEX($FO$170:$IH$241,IC$169,$FN237),SUMPRODUCT(INDEX($FO$325:$IH$396,IC$169,1+SwaptionShift):INDEX($FO$325:$IH$396,IC$169,SwaptionMonthsToGo+SwaptionShift),INDEX($FO$245:$IH$316,$FN237-IC$169,73-IC$169+SwaptionShift):INDEX($FO$245:$IH$316,$FN237-IC$169,72-IC$169+SwaptionMonthsToGo+SwaptionShift))/SQRT(SUM(INDEX($FO392:$IH392,1+SwaptionShift):INDEX($FO392:$IH392,SwaptionMonthsToGo+SwaptionShift))*SUM(INDEX($FO$325:$IH$396,IC$169,1+SwaptionShift):INDEX($FO$325:$IH$396,IC$169,SwaptionMonthsToGo+SwaptionShift))))))</f>
        <v/>
      </c>
      <c r="ID237" s="469" t="str">
        <f ca="1">IF(OR(ID$169&lt;SwaptionFirstMonthPosition+1,$FN237&lt;SwaptionFirstMonthPosition+1,ID$169&gt;SwaptionFirstMonthPosition+SwaptionNumOfMonths+1,$FN237&gt;SwaptionFirstMonthPosition+SwaptionNumOfMonths+1),"",IF($FN237=ID$169,1,IF($FN237&lt;ID$169,INDEX($FO$170:$IH$241,ID$169,$FN237),SUMPRODUCT(INDEX($FO$325:$IH$396,ID$169,1+SwaptionShift):INDEX($FO$325:$IH$396,ID$169,SwaptionMonthsToGo+SwaptionShift),INDEX($FO$245:$IH$316,$FN237-ID$169,73-ID$169+SwaptionShift):INDEX($FO$245:$IH$316,$FN237-ID$169,72-ID$169+SwaptionMonthsToGo+SwaptionShift))/SQRT(SUM(INDEX($FO392:$IH392,1+SwaptionShift):INDEX($FO392:$IH392,SwaptionMonthsToGo+SwaptionShift))*SUM(INDEX($FO$325:$IH$396,ID$169,1+SwaptionShift):INDEX($FO$325:$IH$396,ID$169,SwaptionMonthsToGo+SwaptionShift))))))</f>
        <v/>
      </c>
      <c r="IE237" s="469" t="str">
        <f ca="1">IF(OR(IE$169&lt;SwaptionFirstMonthPosition+1,$FN237&lt;SwaptionFirstMonthPosition+1,IE$169&gt;SwaptionFirstMonthPosition+SwaptionNumOfMonths+1,$FN237&gt;SwaptionFirstMonthPosition+SwaptionNumOfMonths+1),"",IF($FN237=IE$169,1,IF($FN237&lt;IE$169,INDEX($FO$170:$IH$241,IE$169,$FN237),SUMPRODUCT(INDEX($FO$325:$IH$396,IE$169,1+SwaptionShift):INDEX($FO$325:$IH$396,IE$169,SwaptionMonthsToGo+SwaptionShift),INDEX($FO$245:$IH$316,$FN237-IE$169,73-IE$169+SwaptionShift):INDEX($FO$245:$IH$316,$FN237-IE$169,72-IE$169+SwaptionMonthsToGo+SwaptionShift))/SQRT(SUM(INDEX($FO392:$IH392,1+SwaptionShift):INDEX($FO392:$IH392,SwaptionMonthsToGo+SwaptionShift))*SUM(INDEX($FO$325:$IH$396,IE$169,1+SwaptionShift):INDEX($FO$325:$IH$396,IE$169,SwaptionMonthsToGo+SwaptionShift))))))</f>
        <v/>
      </c>
      <c r="IF237" s="469" t="str">
        <f ca="1">IF(OR(IF$169&lt;SwaptionFirstMonthPosition+1,$FN237&lt;SwaptionFirstMonthPosition+1,IF$169&gt;SwaptionFirstMonthPosition+SwaptionNumOfMonths+1,$FN237&gt;SwaptionFirstMonthPosition+SwaptionNumOfMonths+1),"",IF($FN237=IF$169,1,IF($FN237&lt;IF$169,INDEX($FO$170:$IH$241,IF$169,$FN237),SUMPRODUCT(INDEX($FO$325:$IH$396,IF$169,1+SwaptionShift):INDEX($FO$325:$IH$396,IF$169,SwaptionMonthsToGo+SwaptionShift),INDEX($FO$245:$IH$316,$FN237-IF$169,73-IF$169+SwaptionShift):INDEX($FO$245:$IH$316,$FN237-IF$169,72-IF$169+SwaptionMonthsToGo+SwaptionShift))/SQRT(SUM(INDEX($FO392:$IH392,1+SwaptionShift):INDEX($FO392:$IH392,SwaptionMonthsToGo+SwaptionShift))*SUM(INDEX($FO$325:$IH$396,IF$169,1+SwaptionShift):INDEX($FO$325:$IH$396,IF$169,SwaptionMonthsToGo+SwaptionShift))))))</f>
        <v/>
      </c>
      <c r="IG237" s="469" t="str">
        <f ca="1">IF(OR(IG$169&lt;SwaptionFirstMonthPosition+1,$FN237&lt;SwaptionFirstMonthPosition+1,IG$169&gt;SwaptionFirstMonthPosition+SwaptionNumOfMonths+1,$FN237&gt;SwaptionFirstMonthPosition+SwaptionNumOfMonths+1),"",IF($FN237=IG$169,1,IF($FN237&lt;IG$169,INDEX($FO$170:$IH$241,IG$169,$FN237),SUMPRODUCT(INDEX($FO$325:$IH$396,IG$169,1+SwaptionShift):INDEX($FO$325:$IH$396,IG$169,SwaptionMonthsToGo+SwaptionShift),INDEX($FO$245:$IH$316,$FN237-IG$169,73-IG$169+SwaptionShift):INDEX($FO$245:$IH$316,$FN237-IG$169,72-IG$169+SwaptionMonthsToGo+SwaptionShift))/SQRT(SUM(INDEX($FO392:$IH392,1+SwaptionShift):INDEX($FO392:$IH392,SwaptionMonthsToGo+SwaptionShift))*SUM(INDEX($FO$325:$IH$396,IG$169,1+SwaptionShift):INDEX($FO$325:$IH$396,IG$169,SwaptionMonthsToGo+SwaptionShift))))))</f>
        <v/>
      </c>
      <c r="IH237" s="662" t="str">
        <f ca="1">IF(OR(IH$169&lt;SwaptionFirstMonthPosition+1,$FN237&lt;SwaptionFirstMonthPosition+1,IH$169&gt;SwaptionFirstMonthPosition+SwaptionNumOfMonths+1,$FN237&gt;SwaptionFirstMonthPosition+SwaptionNumOfMonths+1),"",IF($FN237=IH$169,1,IF($FN237&lt;IH$169,INDEX($FO$170:$IH$241,IH$169,$FN237),SUMPRODUCT(INDEX($FO$325:$IH$396,IH$169,1+SwaptionShift):INDEX($FO$325:$IH$396,IH$169,SwaptionMonthsToGo+SwaptionShift),INDEX($FO$245:$IH$316,$FN237-IH$169,73-IH$169+SwaptionShift):INDEX($FO$245:$IH$316,$FN237-IH$169,72-IH$169+SwaptionMonthsToGo+SwaptionShift))/SQRT(SUM(INDEX($FO392:$IH392,1+SwaptionShift):INDEX($FO392:$IH392,SwaptionMonthsToGo+SwaptionShift))*SUM(INDEX($FO$325:$IH$396,IH$169,1+SwaptionShift):INDEX($FO$325:$IH$396,IH$169,SwaptionMonthsToGo+SwaptionShift))))))</f>
        <v/>
      </c>
      <c r="II237" s="242"/>
    </row>
    <row r="238" spans="8:243">
      <c r="H238" s="49" t="e">
        <f t="shared" ca="1" si="645"/>
        <v>#N/A</v>
      </c>
      <c r="I238" s="369">
        <f t="shared" si="646"/>
        <v>43647</v>
      </c>
      <c r="J238" s="367">
        <v>24.834999999999798</v>
      </c>
      <c r="K238" s="101" t="s">
        <v>267</v>
      </c>
      <c r="L238" s="382">
        <f t="shared" si="647"/>
        <v>24.83499999999982</v>
      </c>
      <c r="M238" s="163">
        <v>0.12390000000000001</v>
      </c>
      <c r="N238" s="372">
        <v>0</v>
      </c>
      <c r="O238" s="163">
        <f t="shared" si="595"/>
        <v>0.12390000000000001</v>
      </c>
      <c r="P238" s="367">
        <v>23.581095205975398</v>
      </c>
      <c r="Q238" s="101" t="s">
        <v>267</v>
      </c>
      <c r="R238" s="367">
        <f t="shared" ca="1" si="596"/>
        <v>23.581095205975355</v>
      </c>
      <c r="S238" s="814">
        <f t="shared" si="594"/>
        <v>0.34564686274866568</v>
      </c>
      <c r="T238" s="813">
        <f t="shared" si="660"/>
        <v>0.99999999999173361</v>
      </c>
      <c r="U238" s="532">
        <f t="shared" si="661"/>
        <v>0.99999999999999978</v>
      </c>
      <c r="V238" s="379">
        <v>0</v>
      </c>
      <c r="W238" s="424">
        <f t="shared" si="597"/>
        <v>24.869090909090708</v>
      </c>
      <c r="X238" s="405">
        <f t="shared" si="598"/>
        <v>24.86909090909073</v>
      </c>
      <c r="Y238" s="313">
        <f t="shared" si="599"/>
        <v>23.550690909090708</v>
      </c>
      <c r="Z238" s="313">
        <f t="shared" ca="1" si="600"/>
        <v>23.550690909090729</v>
      </c>
      <c r="AA238" s="419">
        <f t="shared" si="623"/>
        <v>1.3184</v>
      </c>
      <c r="AB238" s="423">
        <f t="shared" ca="1" si="624"/>
        <v>1.3184</v>
      </c>
      <c r="AC238" s="221">
        <v>43636</v>
      </c>
      <c r="AD238" s="221">
        <v>43632</v>
      </c>
      <c r="AE238" s="221">
        <v>43631</v>
      </c>
      <c r="AF238" s="221">
        <v>43627</v>
      </c>
      <c r="AG238" s="241" t="s">
        <v>497</v>
      </c>
      <c r="AH238" s="239" t="s">
        <v>497</v>
      </c>
      <c r="AI238" s="141">
        <v>22</v>
      </c>
      <c r="AJ238" s="41">
        <v>14</v>
      </c>
      <c r="AK238" s="41">
        <v>8</v>
      </c>
      <c r="AL238" s="285">
        <v>23</v>
      </c>
      <c r="AM238" s="41">
        <v>10</v>
      </c>
      <c r="AN238" s="142">
        <v>13</v>
      </c>
      <c r="AO238" s="364">
        <v>6.3681547860331589E-2</v>
      </c>
      <c r="AP238" s="145">
        <f t="shared" ca="1" si="648"/>
        <v>0.31736402110458928</v>
      </c>
      <c r="AQ238" s="364">
        <v>6.0355103427749905E-2</v>
      </c>
      <c r="AR238" s="145">
        <f t="shared" ca="1" si="662"/>
        <v>0.33915061797101559</v>
      </c>
      <c r="AS238" s="264">
        <f t="shared" si="601"/>
        <v>0.12335454545454545</v>
      </c>
      <c r="AT238" s="149">
        <f t="shared" si="649"/>
        <v>0.12390000000000001</v>
      </c>
      <c r="AU238" s="149">
        <f t="shared" si="625"/>
        <v>0.12327391304347826</v>
      </c>
      <c r="AV238" s="263">
        <f t="shared" ca="1" si="669"/>
        <v>0.12191379204227629</v>
      </c>
      <c r="AW238" s="150" t="str">
        <f t="shared" ca="1" si="581"/>
        <v/>
      </c>
      <c r="AX238" s="149">
        <f t="shared" ca="1" si="663"/>
        <v>2.9914445127478856E-3</v>
      </c>
      <c r="AY238" s="149">
        <f t="shared" ca="1" si="664"/>
        <v>8.8777423070112089E-4</v>
      </c>
      <c r="AZ238" s="149">
        <f t="shared" ca="1" si="665"/>
        <v>1.1518716257472945E-3</v>
      </c>
      <c r="BA238" s="149">
        <f t="shared" ca="1" si="666"/>
        <v>1.0000000000001184E-4</v>
      </c>
      <c r="BB238" s="149">
        <f t="shared" ca="1" si="667"/>
        <v>1.0000000000001184E-4</v>
      </c>
      <c r="BC238" s="149">
        <f t="shared" ca="1" si="668"/>
        <v>1.0000000000001184E-4</v>
      </c>
      <c r="BD238" s="143">
        <f t="shared" ca="1" si="602"/>
        <v>0</v>
      </c>
      <c r="BE238" s="144">
        <f t="shared" ca="1" si="603"/>
        <v>0</v>
      </c>
      <c r="BF238" s="40">
        <f t="shared" si="604"/>
        <v>2019</v>
      </c>
      <c r="BG238" s="139">
        <f t="shared" si="605"/>
        <v>7</v>
      </c>
      <c r="BH238" s="140">
        <f t="shared" ca="1" si="606"/>
        <v>6642</v>
      </c>
      <c r="BI238" s="304">
        <f t="shared" ca="1" si="607"/>
        <v>18.225872689938399</v>
      </c>
      <c r="BJ238" s="42">
        <f t="shared" ca="1" si="626"/>
        <v>18.278140750420011</v>
      </c>
      <c r="BK238" s="42">
        <f t="shared" ca="1" si="627"/>
        <v>18.280878601207142</v>
      </c>
      <c r="BL238" s="42">
        <f t="shared" ca="1" si="608"/>
        <v>18.308008213552363</v>
      </c>
      <c r="BM238" s="285">
        <f t="shared" si="609"/>
        <v>22</v>
      </c>
      <c r="BN238" s="41">
        <f t="shared" si="610"/>
        <v>14</v>
      </c>
      <c r="BO238" s="41">
        <f t="shared" si="611"/>
        <v>8</v>
      </c>
      <c r="BP238" s="297" t="str">
        <f t="shared" ca="1" si="628"/>
        <v/>
      </c>
      <c r="BQ238" s="297" t="str">
        <f t="shared" ca="1" si="629"/>
        <v/>
      </c>
      <c r="BR238" s="299" t="str">
        <f t="shared" ca="1" si="630"/>
        <v/>
      </c>
      <c r="BS238" s="153" t="str">
        <f t="shared" ca="1" si="631"/>
        <v/>
      </c>
      <c r="BT238" s="153" t="str">
        <f t="shared" ca="1" si="632"/>
        <v/>
      </c>
      <c r="BU238" s="300" t="str">
        <f t="shared" ca="1" si="633"/>
        <v/>
      </c>
      <c r="BV238" s="301" t="str">
        <f t="shared" ca="1" si="634"/>
        <v/>
      </c>
      <c r="BW238" s="300" t="str">
        <f t="shared" ca="1" si="635"/>
        <v/>
      </c>
      <c r="BX238" s="301" t="str">
        <f t="shared" ca="1" si="636"/>
        <v/>
      </c>
      <c r="BY238" s="146" t="str">
        <f t="shared" ca="1" si="637"/>
        <v/>
      </c>
      <c r="BZ238" s="146" t="str">
        <f t="shared" ca="1" si="638"/>
        <v/>
      </c>
      <c r="CA238" s="146" t="str">
        <f t="shared" ca="1" si="639"/>
        <v/>
      </c>
      <c r="CB238" s="146" t="str">
        <f t="shared" ca="1" si="640"/>
        <v/>
      </c>
      <c r="CC238" s="302">
        <v>1</v>
      </c>
      <c r="CD238" s="154">
        <f ca="1">IF(BD238,_xll.xCrudeAPO(BS238,BT238,BY238,BZ238,S239,S240,BI238,BL238,BN238,BO238,0,Strike1,AO238,CC238,0,BL238,IF(OptControl=4,0,1),0,1),0)</f>
        <v>0</v>
      </c>
      <c r="CE238" s="155">
        <f ca="1">IF(BD238,_xll.xCrudeAPO(BS238,BT238,BY238,BZ238,S239,S240,BI238,BL238,BN238,BO238,0,Strike1,AO238,CC238,0,BL238,IF(OptControl=4,0,1),1,1)+_xll.xCrudeAPO(BS238,BT238,BY238,BZ238,S239,S240,BI238,BL238,BN238,BO238,0,Strike1,AO238,CC238,0,BL238,IF(OptControl=4,0,1),1,2)+IF(OR(VolSkewFlag=2,ABS(BQ238)&lt;0.0001),0,IF(BQ238&gt;0,-1,1)*CF238*Strike1/BP238^2*BW238/10%),0)</f>
        <v>0</v>
      </c>
      <c r="CF238" s="155">
        <f ca="1">IF(BD238,(_xll.xCrudeAPO(BS238,BT238,BY238,BZ238,S239,S240,BI238,BL238,BN238,BO238,0,Strike1,AO238,CC238,0,BL238,IF(OptControl=4,0,1),3,1)+_xll.xCrudeAPO(BS238,BT238,BY238,BZ238,S239,S240,BI238,BL238,BN238,BO238,0,Strike1,AO238,CC238,0,BL238,IF(OptControl=4,0,1),3,2))/100,0)</f>
        <v>0</v>
      </c>
      <c r="CG238" s="155">
        <f ca="1">IF(BD238,_xll.xCrudeAPO(BS238,BT238,BY238,BZ238,S239,S240,BI238-DaysForThetaCalculation/365.25,BL238-DaysForThetaCalculation/365.25,BN238,BO238,0,Strike1,AO238,CC238,0,BL238,IF(OptControl=4,0,1),0,1)-_xll.xCrudeAPO(BS238,BT238,BY238,BZ238,S239,S240,BI238,BL238,BN238,BO238,0,Strike1,AO238,CC238,0,BL238,IF(OptControl=4,0,1),0,1),0)</f>
        <v>0</v>
      </c>
      <c r="CH238" s="303">
        <f ca="1">IF(BD238,_xll.xCrudeAPO(BS238,BT238,CA238,CB238,S239,S240,BI238,BL238,BN238,BO238,0,Strike2,AO238,CC238,0,BL238,IF(OptControl=3,1,0),0,1),0)</f>
        <v>0</v>
      </c>
      <c r="CI238" s="155">
        <f ca="1">IF(BD238,_xll.xCrudeAPO(BS238,BT238,CA238,CB238,S239,S240,BI238,BL238,BN238,BO238,0,Strike2,AO238,CC238,0,BL238,IF(OptControl=3,1,0),1,1)+_xll.xCrudeAPO(BS238,BT238,CA238,CB238,S239,S240,BI238,BL238,BN238,BO238,0,Strike2,AO238,CC238,0,BL238,IF(OptControl=3,1,0),1,2)+IF(OR(VolSkewFlag=2,ABS(BR238)&lt;0.0001),0,IF(BR238&gt;0,-1,1)*CJ238*Strike2/BP238^2*BX238/10%),0)</f>
        <v>0</v>
      </c>
      <c r="CJ238" s="155">
        <f ca="1">IF(BD238,(_xll.xCrudeAPO(BS238,BT238,CA238,CB238,S239,S240,BI238,BL238,BN238,BO238,0,Strike2,AO238,CC238,0,BL238,IF(OptControl=3,1,0),3,1)+_xll.xCrudeAPO(BS238,BT238,CA238,CB238,S239,S240,BI238,BL238,BN238,BO238,0,Strike2,AO238,CC238,0,BL238,IF(OptControl=3,1,0),3,2))/100,0)</f>
        <v>0</v>
      </c>
      <c r="CK238" s="156">
        <f ca="1">IF(BD238,_xll.xCrudeAPO(BS238,BT238,CA238,CB238,S239,S240,BI238-DaysForThetaCalculation/365.25,BL238-DaysForThetaCalculation/365.25,BN238,BO238,0,Strike2,AO238,CC238,0,BL238,IF(OptControl=3,1,0),0,1)-_xll.xCrudeAPO(BS238,BT238,CA238,CB238,S239,S240,BI238,BL238,BN238,BO238,0,Strike2,AO238,CC238,0,BL238,IF(OptControl=3,1,0),0,1),0)</f>
        <v>0</v>
      </c>
      <c r="CL238" s="51"/>
      <c r="CM238" s="779" t="str">
        <f t="shared" ca="1" si="650"/>
        <v/>
      </c>
      <c r="CN238" s="783" t="str">
        <f t="shared" ca="1" si="651"/>
        <v/>
      </c>
      <c r="CO238" s="780" t="str">
        <f t="shared" ca="1" si="652"/>
        <v/>
      </c>
      <c r="CP238" s="780" t="str">
        <f t="shared" ca="1" si="653"/>
        <v/>
      </c>
      <c r="CQ238" s="780" t="str">
        <f t="shared" ca="1" si="654"/>
        <v/>
      </c>
      <c r="CR238" s="780" t="str">
        <f t="shared" ca="1" si="655"/>
        <v/>
      </c>
      <c r="CS238" s="781" t="str">
        <f t="shared" ca="1" si="656"/>
        <v/>
      </c>
      <c r="CT238" s="782" t="str">
        <f t="shared" ca="1" si="657"/>
        <v/>
      </c>
      <c r="CU238" s="782" t="str">
        <f t="shared" ca="1" si="658"/>
        <v/>
      </c>
      <c r="CV238" s="155">
        <f ca="1">IF(BD238,_xll.EURO(CN238,Strike1,AO238,AO238,CT238,CM238,IF(OptControl=4,0,1),0),0)</f>
        <v>0</v>
      </c>
      <c r="CW238" s="155">
        <f ca="1">IF(BD238,_xll.EURO(CN238,Strike1,AO238,AO238,CT238,CM238,IF(OptControl=4,0,1),1)+IF(OR(VolSkewFlag=2,ABS(CO238)&lt;0.0001),0,IF(CO238&gt;0,-1,1)*CX238*100*Strike1/CN238^2*CQ238/10%),0)</f>
        <v>0</v>
      </c>
      <c r="CX238" s="155">
        <f ca="1">IF(BD238,_xll.EURO(CN238,Strike1,AO238,AO238,CT238,CM238,IF(OptControl=4,0,1),3)/100,0)</f>
        <v>0</v>
      </c>
      <c r="CY238" s="155">
        <f ca="1">IF(BD238,_xll.EURO(CN238,Strike1,AO238,AO238,CT238,CM238,IF(OptControl=4,0,1),0)-_xll.EURO(CN238,Strike1,AO238,AO238,CT238,CM238-1,IF(OptControl=4,0,1),0),0)</f>
        <v>0</v>
      </c>
      <c r="CZ238" s="155">
        <f ca="1">IF(BD238,_xll.EURO(CN238,Strike2,AO238,AO238,CU238,CM238,IF(OptControl=3,1,0),0),0)</f>
        <v>0</v>
      </c>
      <c r="DA238" s="155">
        <f ca="1">IF(BD238,_xll.EURO(CN238,Strike2,AO238,AO238,CU238,CM238,IF(OptControl=3,1,0),1)+IF(OR(VolSkewFlag=2,ABS(CP238)&lt;0.0001),0,IF(CP238&gt;0,-1,1)*DB238*100*Strike2/CN238^2*CR238/10%),0)</f>
        <v>0</v>
      </c>
      <c r="DB238" s="155">
        <f ca="1">IF(BD238,_xll.EURO(CN238,Strike2,AO238,AO238,CU238,CM238,IF(OptControl=3,1,0),3)/100,0)</f>
        <v>0</v>
      </c>
      <c r="DC238" s="156">
        <f ca="1">IF(BD238,_xll.EURO(CN238,Strike2,AO238,AO238,CU238,CM238,IF(OptControl=3,1,0),0)-_xll.EURO(CN238,Strike2,AO238,AO238,CU238,CM238-1,IF(OptControl=3,1,0),0),0)</f>
        <v>0</v>
      </c>
      <c r="DE238" s="651">
        <f t="shared" ca="1" si="659"/>
        <v>43556</v>
      </c>
      <c r="DF238" s="465">
        <v>1E-4</v>
      </c>
      <c r="DG238" s="649">
        <v>1E-4</v>
      </c>
      <c r="DH238" s="650">
        <f t="shared" ca="1" si="612"/>
        <v>43556</v>
      </c>
      <c r="DI238" s="465">
        <v>1E-4</v>
      </c>
      <c r="DJ238" s="649">
        <v>1E-4</v>
      </c>
      <c r="DK238" s="651">
        <f t="shared" ca="1" si="613"/>
        <v>43556</v>
      </c>
      <c r="DL238" s="652">
        <f t="shared" si="614"/>
        <v>5.0100000000000006E-2</v>
      </c>
      <c r="DM238" s="651">
        <f t="shared" ca="1" si="615"/>
        <v>43556</v>
      </c>
      <c r="DN238" s="563">
        <f t="shared" si="616"/>
        <v>-0.12990000000000002</v>
      </c>
      <c r="DO238" s="803">
        <v>-0.13</v>
      </c>
      <c r="DP238" s="650">
        <f t="shared" ca="1" si="617"/>
        <v>43556</v>
      </c>
      <c r="DQ238" s="653">
        <v>1E-4</v>
      </c>
      <c r="DR238" s="590">
        <v>1E-4</v>
      </c>
      <c r="DS238" s="650">
        <f t="shared" ca="1" si="618"/>
        <v>43556</v>
      </c>
      <c r="DT238" s="653">
        <v>1E-4</v>
      </c>
      <c r="DU238" s="590">
        <v>1E-4</v>
      </c>
      <c r="DV238" s="651">
        <f t="shared" ca="1" si="619"/>
        <v>43556</v>
      </c>
      <c r="DW238" s="590">
        <v>1E-4</v>
      </c>
      <c r="DX238" s="651">
        <f t="shared" ca="1" si="620"/>
        <v>43556</v>
      </c>
      <c r="DY238" s="590">
        <f t="shared" si="621"/>
        <v>1E-4</v>
      </c>
      <c r="DZ238" s="1"/>
      <c r="EA238" s="857"/>
      <c r="EB238" s="857"/>
      <c r="EC238" s="857"/>
      <c r="ED238" s="868" t="e">
        <f t="shared" ca="1" si="670"/>
        <v>#NAME?</v>
      </c>
      <c r="EE238" s="863" t="e">
        <f t="shared" ca="1" si="641"/>
        <v>#NAME?</v>
      </c>
      <c r="EF238" s="590" t="e">
        <f t="shared" ca="1" si="642"/>
        <v>#NAME?</v>
      </c>
      <c r="EG238" s="862" t="str">
        <f t="shared" ca="1" si="622"/>
        <v/>
      </c>
      <c r="EH238" s="114" t="str">
        <f t="shared" ca="1" si="643"/>
        <v/>
      </c>
      <c r="EI238" s="109" t="str">
        <f t="shared" ca="1" si="644"/>
        <v/>
      </c>
      <c r="EJ238" s="115">
        <f ca="1">IF(BD238,_xll.xASN(BP238,Strike1,AO238,EH238,0,BM238,0,BI238,BL238,IF(OptControl=4,0,1),0),0)</f>
        <v>0</v>
      </c>
      <c r="EK238" s="108">
        <f ca="1">IF(BD238,_xll.xASN(BP238,Strike2,AO238,EI238,0,BM238,0,BI238,BL238,IF(OptControl=3,1,0),0),0)</f>
        <v>0</v>
      </c>
      <c r="EP238" s="53"/>
      <c r="EQ238" s="1"/>
      <c r="ER238" s="103"/>
      <c r="ES238" s="103"/>
      <c r="ET238" s="1"/>
      <c r="EU238" s="667" t="s">
        <v>451</v>
      </c>
      <c r="EW238" s="53"/>
      <c r="EY238" s="104"/>
      <c r="FN238" s="657">
        <v>69</v>
      </c>
      <c r="FO238" s="469" t="str">
        <f ca="1">IF(OR(FO$169&lt;SwaptionFirstMonthPosition+1,$FN238&lt;SwaptionFirstMonthPosition+1,FO$169&gt;SwaptionFirstMonthPosition+SwaptionNumOfMonths+1,$FN238&gt;SwaptionFirstMonthPosition+SwaptionNumOfMonths+1),"",IF($FN238=FO$169,1,IF($FN238&lt;FO$169,INDEX($FO$170:$IH$241,FO$169,$FN238),SUMPRODUCT(INDEX($FO$325:$IH$396,FO$169,1+SwaptionShift):INDEX($FO$325:$IH$396,FO$169,SwaptionMonthsToGo+SwaptionShift),INDEX($FO$245:$IH$316,$FN238-FO$169,73-FO$169+SwaptionShift):INDEX($FO$245:$IH$316,$FN238-FO$169,72-FO$169+SwaptionMonthsToGo+SwaptionShift))/SQRT(SUM(INDEX($FO393:$IH393,1+SwaptionShift):INDEX($FO393:$IH393,SwaptionMonthsToGo+SwaptionShift))*SUM(INDEX($FO$325:$IH$396,FO$169,1+SwaptionShift):INDEX($FO$325:$IH$396,FO$169,SwaptionMonthsToGo+SwaptionShift))))))</f>
        <v/>
      </c>
      <c r="FP238" s="469" t="str">
        <f ca="1">IF(OR(FP$169&lt;SwaptionFirstMonthPosition+1,$FN238&lt;SwaptionFirstMonthPosition+1,FP$169&gt;SwaptionFirstMonthPosition+SwaptionNumOfMonths+1,$FN238&gt;SwaptionFirstMonthPosition+SwaptionNumOfMonths+1),"",IF($FN238=FP$169,1,IF($FN238&lt;FP$169,INDEX($FO$170:$IH$241,FP$169,$FN238),SUMPRODUCT(INDEX($FO$325:$IH$396,FP$169,1+SwaptionShift):INDEX($FO$325:$IH$396,FP$169,SwaptionMonthsToGo+SwaptionShift),INDEX($FO$245:$IH$316,$FN238-FP$169,73-FP$169+SwaptionShift):INDEX($FO$245:$IH$316,$FN238-FP$169,72-FP$169+SwaptionMonthsToGo+SwaptionShift))/SQRT(SUM(INDEX($FO393:$IH393,1+SwaptionShift):INDEX($FO393:$IH393,SwaptionMonthsToGo+SwaptionShift))*SUM(INDEX($FO$325:$IH$396,FP$169,1+SwaptionShift):INDEX($FO$325:$IH$396,FP$169,SwaptionMonthsToGo+SwaptionShift))))))</f>
        <v/>
      </c>
      <c r="FQ238" s="469" t="str">
        <f ca="1">IF(OR(FQ$169&lt;SwaptionFirstMonthPosition+1,$FN238&lt;SwaptionFirstMonthPosition+1,FQ$169&gt;SwaptionFirstMonthPosition+SwaptionNumOfMonths+1,$FN238&gt;SwaptionFirstMonthPosition+SwaptionNumOfMonths+1),"",IF($FN238=FQ$169,1,IF($FN238&lt;FQ$169,INDEX($FO$170:$IH$241,FQ$169,$FN238),SUMPRODUCT(INDEX($FO$325:$IH$396,FQ$169,1+SwaptionShift):INDEX($FO$325:$IH$396,FQ$169,SwaptionMonthsToGo+SwaptionShift),INDEX($FO$245:$IH$316,$FN238-FQ$169,73-FQ$169+SwaptionShift):INDEX($FO$245:$IH$316,$FN238-FQ$169,72-FQ$169+SwaptionMonthsToGo+SwaptionShift))/SQRT(SUM(INDEX($FO393:$IH393,1+SwaptionShift):INDEX($FO393:$IH393,SwaptionMonthsToGo+SwaptionShift))*SUM(INDEX($FO$325:$IH$396,FQ$169,1+SwaptionShift):INDEX($FO$325:$IH$396,FQ$169,SwaptionMonthsToGo+SwaptionShift))))))</f>
        <v/>
      </c>
      <c r="FR238" s="469" t="str">
        <f ca="1">IF(OR(FR$169&lt;SwaptionFirstMonthPosition+1,$FN238&lt;SwaptionFirstMonthPosition+1,FR$169&gt;SwaptionFirstMonthPosition+SwaptionNumOfMonths+1,$FN238&gt;SwaptionFirstMonthPosition+SwaptionNumOfMonths+1),"",IF($FN238=FR$169,1,IF($FN238&lt;FR$169,INDEX($FO$170:$IH$241,FR$169,$FN238),SUMPRODUCT(INDEX($FO$325:$IH$396,FR$169,1+SwaptionShift):INDEX($FO$325:$IH$396,FR$169,SwaptionMonthsToGo+SwaptionShift),INDEX($FO$245:$IH$316,$FN238-FR$169,73-FR$169+SwaptionShift):INDEX($FO$245:$IH$316,$FN238-FR$169,72-FR$169+SwaptionMonthsToGo+SwaptionShift))/SQRT(SUM(INDEX($FO393:$IH393,1+SwaptionShift):INDEX($FO393:$IH393,SwaptionMonthsToGo+SwaptionShift))*SUM(INDEX($FO$325:$IH$396,FR$169,1+SwaptionShift):INDEX($FO$325:$IH$396,FR$169,SwaptionMonthsToGo+SwaptionShift))))))</f>
        <v/>
      </c>
      <c r="FS238" s="469" t="str">
        <f ca="1">IF(OR(FS$169&lt;SwaptionFirstMonthPosition+1,$FN238&lt;SwaptionFirstMonthPosition+1,FS$169&gt;SwaptionFirstMonthPosition+SwaptionNumOfMonths+1,$FN238&gt;SwaptionFirstMonthPosition+SwaptionNumOfMonths+1),"",IF($FN238=FS$169,1,IF($FN238&lt;FS$169,INDEX($FO$170:$IH$241,FS$169,$FN238),SUMPRODUCT(INDEX($FO$325:$IH$396,FS$169,1+SwaptionShift):INDEX($FO$325:$IH$396,FS$169,SwaptionMonthsToGo+SwaptionShift),INDEX($FO$245:$IH$316,$FN238-FS$169,73-FS$169+SwaptionShift):INDEX($FO$245:$IH$316,$FN238-FS$169,72-FS$169+SwaptionMonthsToGo+SwaptionShift))/SQRT(SUM(INDEX($FO393:$IH393,1+SwaptionShift):INDEX($FO393:$IH393,SwaptionMonthsToGo+SwaptionShift))*SUM(INDEX($FO$325:$IH$396,FS$169,1+SwaptionShift):INDEX($FO$325:$IH$396,FS$169,SwaptionMonthsToGo+SwaptionShift))))))</f>
        <v/>
      </c>
      <c r="FT238" s="469" t="str">
        <f ca="1">IF(OR(FT$169&lt;SwaptionFirstMonthPosition+1,$FN238&lt;SwaptionFirstMonthPosition+1,FT$169&gt;SwaptionFirstMonthPosition+SwaptionNumOfMonths+1,$FN238&gt;SwaptionFirstMonthPosition+SwaptionNumOfMonths+1),"",IF($FN238=FT$169,1,IF($FN238&lt;FT$169,INDEX($FO$170:$IH$241,FT$169,$FN238),SUMPRODUCT(INDEX($FO$325:$IH$396,FT$169,1+SwaptionShift):INDEX($FO$325:$IH$396,FT$169,SwaptionMonthsToGo+SwaptionShift),INDEX($FO$245:$IH$316,$FN238-FT$169,73-FT$169+SwaptionShift):INDEX($FO$245:$IH$316,$FN238-FT$169,72-FT$169+SwaptionMonthsToGo+SwaptionShift))/SQRT(SUM(INDEX($FO393:$IH393,1+SwaptionShift):INDEX($FO393:$IH393,SwaptionMonthsToGo+SwaptionShift))*SUM(INDEX($FO$325:$IH$396,FT$169,1+SwaptionShift):INDEX($FO$325:$IH$396,FT$169,SwaptionMonthsToGo+SwaptionShift))))))</f>
        <v/>
      </c>
      <c r="FU238" s="469" t="str">
        <f ca="1">IF(OR(FU$169&lt;SwaptionFirstMonthPosition+1,$FN238&lt;SwaptionFirstMonthPosition+1,FU$169&gt;SwaptionFirstMonthPosition+SwaptionNumOfMonths+1,$FN238&gt;SwaptionFirstMonthPosition+SwaptionNumOfMonths+1),"",IF($FN238=FU$169,1,IF($FN238&lt;FU$169,INDEX($FO$170:$IH$241,FU$169,$FN238),SUMPRODUCT(INDEX($FO$325:$IH$396,FU$169,1+SwaptionShift):INDEX($FO$325:$IH$396,FU$169,SwaptionMonthsToGo+SwaptionShift),INDEX($FO$245:$IH$316,$FN238-FU$169,73-FU$169+SwaptionShift):INDEX($FO$245:$IH$316,$FN238-FU$169,72-FU$169+SwaptionMonthsToGo+SwaptionShift))/SQRT(SUM(INDEX($FO393:$IH393,1+SwaptionShift):INDEX($FO393:$IH393,SwaptionMonthsToGo+SwaptionShift))*SUM(INDEX($FO$325:$IH$396,FU$169,1+SwaptionShift):INDEX($FO$325:$IH$396,FU$169,SwaptionMonthsToGo+SwaptionShift))))))</f>
        <v/>
      </c>
      <c r="FV238" s="469" t="str">
        <f ca="1">IF(OR(FV$169&lt;SwaptionFirstMonthPosition+1,$FN238&lt;SwaptionFirstMonthPosition+1,FV$169&gt;SwaptionFirstMonthPosition+SwaptionNumOfMonths+1,$FN238&gt;SwaptionFirstMonthPosition+SwaptionNumOfMonths+1),"",IF($FN238=FV$169,1,IF($FN238&lt;FV$169,INDEX($FO$170:$IH$241,FV$169,$FN238),SUMPRODUCT(INDEX($FO$325:$IH$396,FV$169,1+SwaptionShift):INDEX($FO$325:$IH$396,FV$169,SwaptionMonthsToGo+SwaptionShift),INDEX($FO$245:$IH$316,$FN238-FV$169,73-FV$169+SwaptionShift):INDEX($FO$245:$IH$316,$FN238-FV$169,72-FV$169+SwaptionMonthsToGo+SwaptionShift))/SQRT(SUM(INDEX($FO393:$IH393,1+SwaptionShift):INDEX($FO393:$IH393,SwaptionMonthsToGo+SwaptionShift))*SUM(INDEX($FO$325:$IH$396,FV$169,1+SwaptionShift):INDEX($FO$325:$IH$396,FV$169,SwaptionMonthsToGo+SwaptionShift))))))</f>
        <v/>
      </c>
      <c r="FW238" s="469" t="str">
        <f ca="1">IF(OR(FW$169&lt;SwaptionFirstMonthPosition+1,$FN238&lt;SwaptionFirstMonthPosition+1,FW$169&gt;SwaptionFirstMonthPosition+SwaptionNumOfMonths+1,$FN238&gt;SwaptionFirstMonthPosition+SwaptionNumOfMonths+1),"",IF($FN238=FW$169,1,IF($FN238&lt;FW$169,INDEX($FO$170:$IH$241,FW$169,$FN238),SUMPRODUCT(INDEX($FO$325:$IH$396,FW$169,1+SwaptionShift):INDEX($FO$325:$IH$396,FW$169,SwaptionMonthsToGo+SwaptionShift),INDEX($FO$245:$IH$316,$FN238-FW$169,73-FW$169+SwaptionShift):INDEX($FO$245:$IH$316,$FN238-FW$169,72-FW$169+SwaptionMonthsToGo+SwaptionShift))/SQRT(SUM(INDEX($FO393:$IH393,1+SwaptionShift):INDEX($FO393:$IH393,SwaptionMonthsToGo+SwaptionShift))*SUM(INDEX($FO$325:$IH$396,FW$169,1+SwaptionShift):INDEX($FO$325:$IH$396,FW$169,SwaptionMonthsToGo+SwaptionShift))))))</f>
        <v/>
      </c>
      <c r="FX238" s="469" t="str">
        <f ca="1">IF(OR(FX$169&lt;SwaptionFirstMonthPosition+1,$FN238&lt;SwaptionFirstMonthPosition+1,FX$169&gt;SwaptionFirstMonthPosition+SwaptionNumOfMonths+1,$FN238&gt;SwaptionFirstMonthPosition+SwaptionNumOfMonths+1),"",IF($FN238=FX$169,1,IF($FN238&lt;FX$169,INDEX($FO$170:$IH$241,FX$169,$FN238),SUMPRODUCT(INDEX($FO$325:$IH$396,FX$169,1+SwaptionShift):INDEX($FO$325:$IH$396,FX$169,SwaptionMonthsToGo+SwaptionShift),INDEX($FO$245:$IH$316,$FN238-FX$169,73-FX$169+SwaptionShift):INDEX($FO$245:$IH$316,$FN238-FX$169,72-FX$169+SwaptionMonthsToGo+SwaptionShift))/SQRT(SUM(INDEX($FO393:$IH393,1+SwaptionShift):INDEX($FO393:$IH393,SwaptionMonthsToGo+SwaptionShift))*SUM(INDEX($FO$325:$IH$396,FX$169,1+SwaptionShift):INDEX($FO$325:$IH$396,FX$169,SwaptionMonthsToGo+SwaptionShift))))))</f>
        <v/>
      </c>
      <c r="FY238" s="469" t="str">
        <f ca="1">IF(OR(FY$169&lt;SwaptionFirstMonthPosition+1,$FN238&lt;SwaptionFirstMonthPosition+1,FY$169&gt;SwaptionFirstMonthPosition+SwaptionNumOfMonths+1,$FN238&gt;SwaptionFirstMonthPosition+SwaptionNumOfMonths+1),"",IF($FN238=FY$169,1,IF($FN238&lt;FY$169,INDEX($FO$170:$IH$241,FY$169,$FN238),SUMPRODUCT(INDEX($FO$325:$IH$396,FY$169,1+SwaptionShift):INDEX($FO$325:$IH$396,FY$169,SwaptionMonthsToGo+SwaptionShift),INDEX($FO$245:$IH$316,$FN238-FY$169,73-FY$169+SwaptionShift):INDEX($FO$245:$IH$316,$FN238-FY$169,72-FY$169+SwaptionMonthsToGo+SwaptionShift))/SQRT(SUM(INDEX($FO393:$IH393,1+SwaptionShift):INDEX($FO393:$IH393,SwaptionMonthsToGo+SwaptionShift))*SUM(INDEX($FO$325:$IH$396,FY$169,1+SwaptionShift):INDEX($FO$325:$IH$396,FY$169,SwaptionMonthsToGo+SwaptionShift))))))</f>
        <v/>
      </c>
      <c r="FZ238" s="469" t="str">
        <f ca="1">IF(OR(FZ$169&lt;SwaptionFirstMonthPosition+1,$FN238&lt;SwaptionFirstMonthPosition+1,FZ$169&gt;SwaptionFirstMonthPosition+SwaptionNumOfMonths+1,$FN238&gt;SwaptionFirstMonthPosition+SwaptionNumOfMonths+1),"",IF($FN238=FZ$169,1,IF($FN238&lt;FZ$169,INDEX($FO$170:$IH$241,FZ$169,$FN238),SUMPRODUCT(INDEX($FO$325:$IH$396,FZ$169,1+SwaptionShift):INDEX($FO$325:$IH$396,FZ$169,SwaptionMonthsToGo+SwaptionShift),INDEX($FO$245:$IH$316,$FN238-FZ$169,73-FZ$169+SwaptionShift):INDEX($FO$245:$IH$316,$FN238-FZ$169,72-FZ$169+SwaptionMonthsToGo+SwaptionShift))/SQRT(SUM(INDEX($FO393:$IH393,1+SwaptionShift):INDEX($FO393:$IH393,SwaptionMonthsToGo+SwaptionShift))*SUM(INDEX($FO$325:$IH$396,FZ$169,1+SwaptionShift):INDEX($FO$325:$IH$396,FZ$169,SwaptionMonthsToGo+SwaptionShift))))))</f>
        <v/>
      </c>
      <c r="GA238" s="469" t="str">
        <f ca="1">IF(OR(GA$169&lt;SwaptionFirstMonthPosition+1,$FN238&lt;SwaptionFirstMonthPosition+1,GA$169&gt;SwaptionFirstMonthPosition+SwaptionNumOfMonths+1,$FN238&gt;SwaptionFirstMonthPosition+SwaptionNumOfMonths+1),"",IF($FN238=GA$169,1,IF($FN238&lt;GA$169,INDEX($FO$170:$IH$241,GA$169,$FN238),SUMPRODUCT(INDEX($FO$325:$IH$396,GA$169,1+SwaptionShift):INDEX($FO$325:$IH$396,GA$169,SwaptionMonthsToGo+SwaptionShift),INDEX($FO$245:$IH$316,$FN238-GA$169,73-GA$169+SwaptionShift):INDEX($FO$245:$IH$316,$FN238-GA$169,72-GA$169+SwaptionMonthsToGo+SwaptionShift))/SQRT(SUM(INDEX($FO393:$IH393,1+SwaptionShift):INDEX($FO393:$IH393,SwaptionMonthsToGo+SwaptionShift))*SUM(INDEX($FO$325:$IH$396,GA$169,1+SwaptionShift):INDEX($FO$325:$IH$396,GA$169,SwaptionMonthsToGo+SwaptionShift))))))</f>
        <v/>
      </c>
      <c r="GB238" s="469" t="str">
        <f ca="1">IF(OR(GB$169&lt;SwaptionFirstMonthPosition+1,$FN238&lt;SwaptionFirstMonthPosition+1,GB$169&gt;SwaptionFirstMonthPosition+SwaptionNumOfMonths+1,$FN238&gt;SwaptionFirstMonthPosition+SwaptionNumOfMonths+1),"",IF($FN238=GB$169,1,IF($FN238&lt;GB$169,INDEX($FO$170:$IH$241,GB$169,$FN238),SUMPRODUCT(INDEX($FO$325:$IH$396,GB$169,1+SwaptionShift):INDEX($FO$325:$IH$396,GB$169,SwaptionMonthsToGo+SwaptionShift),INDEX($FO$245:$IH$316,$FN238-GB$169,73-GB$169+SwaptionShift):INDEX($FO$245:$IH$316,$FN238-GB$169,72-GB$169+SwaptionMonthsToGo+SwaptionShift))/SQRT(SUM(INDEX($FO393:$IH393,1+SwaptionShift):INDEX($FO393:$IH393,SwaptionMonthsToGo+SwaptionShift))*SUM(INDEX($FO$325:$IH$396,GB$169,1+SwaptionShift):INDEX($FO$325:$IH$396,GB$169,SwaptionMonthsToGo+SwaptionShift))))))</f>
        <v/>
      </c>
      <c r="GC238" s="469" t="str">
        <f ca="1">IF(OR(GC$169&lt;SwaptionFirstMonthPosition+1,$FN238&lt;SwaptionFirstMonthPosition+1,GC$169&gt;SwaptionFirstMonthPosition+SwaptionNumOfMonths+1,$FN238&gt;SwaptionFirstMonthPosition+SwaptionNumOfMonths+1),"",IF($FN238=GC$169,1,IF($FN238&lt;GC$169,INDEX($FO$170:$IH$241,GC$169,$FN238),SUMPRODUCT(INDEX($FO$325:$IH$396,GC$169,1+SwaptionShift):INDEX($FO$325:$IH$396,GC$169,SwaptionMonthsToGo+SwaptionShift),INDEX($FO$245:$IH$316,$FN238-GC$169,73-GC$169+SwaptionShift):INDEX($FO$245:$IH$316,$FN238-GC$169,72-GC$169+SwaptionMonthsToGo+SwaptionShift))/SQRT(SUM(INDEX($FO393:$IH393,1+SwaptionShift):INDEX($FO393:$IH393,SwaptionMonthsToGo+SwaptionShift))*SUM(INDEX($FO$325:$IH$396,GC$169,1+SwaptionShift):INDEX($FO$325:$IH$396,GC$169,SwaptionMonthsToGo+SwaptionShift))))))</f>
        <v/>
      </c>
      <c r="GD238" s="469" t="str">
        <f ca="1">IF(OR(GD$169&lt;SwaptionFirstMonthPosition+1,$FN238&lt;SwaptionFirstMonthPosition+1,GD$169&gt;SwaptionFirstMonthPosition+SwaptionNumOfMonths+1,$FN238&gt;SwaptionFirstMonthPosition+SwaptionNumOfMonths+1),"",IF($FN238=GD$169,1,IF($FN238&lt;GD$169,INDEX($FO$170:$IH$241,GD$169,$FN238),SUMPRODUCT(INDEX($FO$325:$IH$396,GD$169,1+SwaptionShift):INDEX($FO$325:$IH$396,GD$169,SwaptionMonthsToGo+SwaptionShift),INDEX($FO$245:$IH$316,$FN238-GD$169,73-GD$169+SwaptionShift):INDEX($FO$245:$IH$316,$FN238-GD$169,72-GD$169+SwaptionMonthsToGo+SwaptionShift))/SQRT(SUM(INDEX($FO393:$IH393,1+SwaptionShift):INDEX($FO393:$IH393,SwaptionMonthsToGo+SwaptionShift))*SUM(INDEX($FO$325:$IH$396,GD$169,1+SwaptionShift):INDEX($FO$325:$IH$396,GD$169,SwaptionMonthsToGo+SwaptionShift))))))</f>
        <v/>
      </c>
      <c r="GE238" s="469" t="str">
        <f ca="1">IF(OR(GE$169&lt;SwaptionFirstMonthPosition+1,$FN238&lt;SwaptionFirstMonthPosition+1,GE$169&gt;SwaptionFirstMonthPosition+SwaptionNumOfMonths+1,$FN238&gt;SwaptionFirstMonthPosition+SwaptionNumOfMonths+1),"",IF($FN238=GE$169,1,IF($FN238&lt;GE$169,INDEX($FO$170:$IH$241,GE$169,$FN238),SUMPRODUCT(INDEX($FO$325:$IH$396,GE$169,1+SwaptionShift):INDEX($FO$325:$IH$396,GE$169,SwaptionMonthsToGo+SwaptionShift),INDEX($FO$245:$IH$316,$FN238-GE$169,73-GE$169+SwaptionShift):INDEX($FO$245:$IH$316,$FN238-GE$169,72-GE$169+SwaptionMonthsToGo+SwaptionShift))/SQRT(SUM(INDEX($FO393:$IH393,1+SwaptionShift):INDEX($FO393:$IH393,SwaptionMonthsToGo+SwaptionShift))*SUM(INDEX($FO$325:$IH$396,GE$169,1+SwaptionShift):INDEX($FO$325:$IH$396,GE$169,SwaptionMonthsToGo+SwaptionShift))))))</f>
        <v/>
      </c>
      <c r="GF238" s="469" t="str">
        <f ca="1">IF(OR(GF$169&lt;SwaptionFirstMonthPosition+1,$FN238&lt;SwaptionFirstMonthPosition+1,GF$169&gt;SwaptionFirstMonthPosition+SwaptionNumOfMonths+1,$FN238&gt;SwaptionFirstMonthPosition+SwaptionNumOfMonths+1),"",IF($FN238=GF$169,1,IF($FN238&lt;GF$169,INDEX($FO$170:$IH$241,GF$169,$FN238),SUMPRODUCT(INDEX($FO$325:$IH$396,GF$169,1+SwaptionShift):INDEX($FO$325:$IH$396,GF$169,SwaptionMonthsToGo+SwaptionShift),INDEX($FO$245:$IH$316,$FN238-GF$169,73-GF$169+SwaptionShift):INDEX($FO$245:$IH$316,$FN238-GF$169,72-GF$169+SwaptionMonthsToGo+SwaptionShift))/SQRT(SUM(INDEX($FO393:$IH393,1+SwaptionShift):INDEX($FO393:$IH393,SwaptionMonthsToGo+SwaptionShift))*SUM(INDEX($FO$325:$IH$396,GF$169,1+SwaptionShift):INDEX($FO$325:$IH$396,GF$169,SwaptionMonthsToGo+SwaptionShift))))))</f>
        <v/>
      </c>
      <c r="GG238" s="469" t="str">
        <f ca="1">IF(OR(GG$169&lt;SwaptionFirstMonthPosition+1,$FN238&lt;SwaptionFirstMonthPosition+1,GG$169&gt;SwaptionFirstMonthPosition+SwaptionNumOfMonths+1,$FN238&gt;SwaptionFirstMonthPosition+SwaptionNumOfMonths+1),"",IF($FN238=GG$169,1,IF($FN238&lt;GG$169,INDEX($FO$170:$IH$241,GG$169,$FN238),SUMPRODUCT(INDEX($FO$325:$IH$396,GG$169,1+SwaptionShift):INDEX($FO$325:$IH$396,GG$169,SwaptionMonthsToGo+SwaptionShift),INDEX($FO$245:$IH$316,$FN238-GG$169,73-GG$169+SwaptionShift):INDEX($FO$245:$IH$316,$FN238-GG$169,72-GG$169+SwaptionMonthsToGo+SwaptionShift))/SQRT(SUM(INDEX($FO393:$IH393,1+SwaptionShift):INDEX($FO393:$IH393,SwaptionMonthsToGo+SwaptionShift))*SUM(INDEX($FO$325:$IH$396,GG$169,1+SwaptionShift):INDEX($FO$325:$IH$396,GG$169,SwaptionMonthsToGo+SwaptionShift))))))</f>
        <v/>
      </c>
      <c r="GH238" s="469" t="str">
        <f ca="1">IF(OR(GH$169&lt;SwaptionFirstMonthPosition+1,$FN238&lt;SwaptionFirstMonthPosition+1,GH$169&gt;SwaptionFirstMonthPosition+SwaptionNumOfMonths+1,$FN238&gt;SwaptionFirstMonthPosition+SwaptionNumOfMonths+1),"",IF($FN238=GH$169,1,IF($FN238&lt;GH$169,INDEX($FO$170:$IH$241,GH$169,$FN238),SUMPRODUCT(INDEX($FO$325:$IH$396,GH$169,1+SwaptionShift):INDEX($FO$325:$IH$396,GH$169,SwaptionMonthsToGo+SwaptionShift),INDEX($FO$245:$IH$316,$FN238-GH$169,73-GH$169+SwaptionShift):INDEX($FO$245:$IH$316,$FN238-GH$169,72-GH$169+SwaptionMonthsToGo+SwaptionShift))/SQRT(SUM(INDEX($FO393:$IH393,1+SwaptionShift):INDEX($FO393:$IH393,SwaptionMonthsToGo+SwaptionShift))*SUM(INDEX($FO$325:$IH$396,GH$169,1+SwaptionShift):INDEX($FO$325:$IH$396,GH$169,SwaptionMonthsToGo+SwaptionShift))))))</f>
        <v/>
      </c>
      <c r="GI238" s="469" t="str">
        <f ca="1">IF(OR(GI$169&lt;SwaptionFirstMonthPosition+1,$FN238&lt;SwaptionFirstMonthPosition+1,GI$169&gt;SwaptionFirstMonthPosition+SwaptionNumOfMonths+1,$FN238&gt;SwaptionFirstMonthPosition+SwaptionNumOfMonths+1),"",IF($FN238=GI$169,1,IF($FN238&lt;GI$169,INDEX($FO$170:$IH$241,GI$169,$FN238),SUMPRODUCT(INDEX($FO$325:$IH$396,GI$169,1+SwaptionShift):INDEX($FO$325:$IH$396,GI$169,SwaptionMonthsToGo+SwaptionShift),INDEX($FO$245:$IH$316,$FN238-GI$169,73-GI$169+SwaptionShift):INDEX($FO$245:$IH$316,$FN238-GI$169,72-GI$169+SwaptionMonthsToGo+SwaptionShift))/SQRT(SUM(INDEX($FO393:$IH393,1+SwaptionShift):INDEX($FO393:$IH393,SwaptionMonthsToGo+SwaptionShift))*SUM(INDEX($FO$325:$IH$396,GI$169,1+SwaptionShift):INDEX($FO$325:$IH$396,GI$169,SwaptionMonthsToGo+SwaptionShift))))))</f>
        <v/>
      </c>
      <c r="GJ238" s="469" t="str">
        <f ca="1">IF(OR(GJ$169&lt;SwaptionFirstMonthPosition+1,$FN238&lt;SwaptionFirstMonthPosition+1,GJ$169&gt;SwaptionFirstMonthPosition+SwaptionNumOfMonths+1,$FN238&gt;SwaptionFirstMonthPosition+SwaptionNumOfMonths+1),"",IF($FN238=GJ$169,1,IF($FN238&lt;GJ$169,INDEX($FO$170:$IH$241,GJ$169,$FN238),SUMPRODUCT(INDEX($FO$325:$IH$396,GJ$169,1+SwaptionShift):INDEX($FO$325:$IH$396,GJ$169,SwaptionMonthsToGo+SwaptionShift),INDEX($FO$245:$IH$316,$FN238-GJ$169,73-GJ$169+SwaptionShift):INDEX($FO$245:$IH$316,$FN238-GJ$169,72-GJ$169+SwaptionMonthsToGo+SwaptionShift))/SQRT(SUM(INDEX($FO393:$IH393,1+SwaptionShift):INDEX($FO393:$IH393,SwaptionMonthsToGo+SwaptionShift))*SUM(INDEX($FO$325:$IH$396,GJ$169,1+SwaptionShift):INDEX($FO$325:$IH$396,GJ$169,SwaptionMonthsToGo+SwaptionShift))))))</f>
        <v/>
      </c>
      <c r="GK238" s="469" t="str">
        <f ca="1">IF(OR(GK$169&lt;SwaptionFirstMonthPosition+1,$FN238&lt;SwaptionFirstMonthPosition+1,GK$169&gt;SwaptionFirstMonthPosition+SwaptionNumOfMonths+1,$FN238&gt;SwaptionFirstMonthPosition+SwaptionNumOfMonths+1),"",IF($FN238=GK$169,1,IF($FN238&lt;GK$169,INDEX($FO$170:$IH$241,GK$169,$FN238),SUMPRODUCT(INDEX($FO$325:$IH$396,GK$169,1+SwaptionShift):INDEX($FO$325:$IH$396,GK$169,SwaptionMonthsToGo+SwaptionShift),INDEX($FO$245:$IH$316,$FN238-GK$169,73-GK$169+SwaptionShift):INDEX($FO$245:$IH$316,$FN238-GK$169,72-GK$169+SwaptionMonthsToGo+SwaptionShift))/SQRT(SUM(INDEX($FO393:$IH393,1+SwaptionShift):INDEX($FO393:$IH393,SwaptionMonthsToGo+SwaptionShift))*SUM(INDEX($FO$325:$IH$396,GK$169,1+SwaptionShift):INDEX($FO$325:$IH$396,GK$169,SwaptionMonthsToGo+SwaptionShift))))))</f>
        <v/>
      </c>
      <c r="GL238" s="469" t="str">
        <f ca="1">IF(OR(GL$169&lt;SwaptionFirstMonthPosition+1,$FN238&lt;SwaptionFirstMonthPosition+1,GL$169&gt;SwaptionFirstMonthPosition+SwaptionNumOfMonths+1,$FN238&gt;SwaptionFirstMonthPosition+SwaptionNumOfMonths+1),"",IF($FN238=GL$169,1,IF($FN238&lt;GL$169,INDEX($FO$170:$IH$241,GL$169,$FN238),SUMPRODUCT(INDEX($FO$325:$IH$396,GL$169,1+SwaptionShift):INDEX($FO$325:$IH$396,GL$169,SwaptionMonthsToGo+SwaptionShift),INDEX($FO$245:$IH$316,$FN238-GL$169,73-GL$169+SwaptionShift):INDEX($FO$245:$IH$316,$FN238-GL$169,72-GL$169+SwaptionMonthsToGo+SwaptionShift))/SQRT(SUM(INDEX($FO393:$IH393,1+SwaptionShift):INDEX($FO393:$IH393,SwaptionMonthsToGo+SwaptionShift))*SUM(INDEX($FO$325:$IH$396,GL$169,1+SwaptionShift):INDEX($FO$325:$IH$396,GL$169,SwaptionMonthsToGo+SwaptionShift))))))</f>
        <v/>
      </c>
      <c r="GM238" s="469" t="str">
        <f ca="1">IF(OR(GM$169&lt;SwaptionFirstMonthPosition+1,$FN238&lt;SwaptionFirstMonthPosition+1,GM$169&gt;SwaptionFirstMonthPosition+SwaptionNumOfMonths+1,$FN238&gt;SwaptionFirstMonthPosition+SwaptionNumOfMonths+1),"",IF($FN238=GM$169,1,IF($FN238&lt;GM$169,INDEX($FO$170:$IH$241,GM$169,$FN238),SUMPRODUCT(INDEX($FO$325:$IH$396,GM$169,1+SwaptionShift):INDEX($FO$325:$IH$396,GM$169,SwaptionMonthsToGo+SwaptionShift),INDEX($FO$245:$IH$316,$FN238-GM$169,73-GM$169+SwaptionShift):INDEX($FO$245:$IH$316,$FN238-GM$169,72-GM$169+SwaptionMonthsToGo+SwaptionShift))/SQRT(SUM(INDEX($FO393:$IH393,1+SwaptionShift):INDEX($FO393:$IH393,SwaptionMonthsToGo+SwaptionShift))*SUM(INDEX($FO$325:$IH$396,GM$169,1+SwaptionShift):INDEX($FO$325:$IH$396,GM$169,SwaptionMonthsToGo+SwaptionShift))))))</f>
        <v/>
      </c>
      <c r="GN238" s="469" t="str">
        <f ca="1">IF(OR(GN$169&lt;SwaptionFirstMonthPosition+1,$FN238&lt;SwaptionFirstMonthPosition+1,GN$169&gt;SwaptionFirstMonthPosition+SwaptionNumOfMonths+1,$FN238&gt;SwaptionFirstMonthPosition+SwaptionNumOfMonths+1),"",IF($FN238=GN$169,1,IF($FN238&lt;GN$169,INDEX($FO$170:$IH$241,GN$169,$FN238),SUMPRODUCT(INDEX($FO$325:$IH$396,GN$169,1+SwaptionShift):INDEX($FO$325:$IH$396,GN$169,SwaptionMonthsToGo+SwaptionShift),INDEX($FO$245:$IH$316,$FN238-GN$169,73-GN$169+SwaptionShift):INDEX($FO$245:$IH$316,$FN238-GN$169,72-GN$169+SwaptionMonthsToGo+SwaptionShift))/SQRT(SUM(INDEX($FO393:$IH393,1+SwaptionShift):INDEX($FO393:$IH393,SwaptionMonthsToGo+SwaptionShift))*SUM(INDEX($FO$325:$IH$396,GN$169,1+SwaptionShift):INDEX($FO$325:$IH$396,GN$169,SwaptionMonthsToGo+SwaptionShift))))))</f>
        <v/>
      </c>
      <c r="GO238" s="469" t="str">
        <f ca="1">IF(OR(GO$169&lt;SwaptionFirstMonthPosition+1,$FN238&lt;SwaptionFirstMonthPosition+1,GO$169&gt;SwaptionFirstMonthPosition+SwaptionNumOfMonths+1,$FN238&gt;SwaptionFirstMonthPosition+SwaptionNumOfMonths+1),"",IF($FN238=GO$169,1,IF($FN238&lt;GO$169,INDEX($FO$170:$IH$241,GO$169,$FN238),SUMPRODUCT(INDEX($FO$325:$IH$396,GO$169,1+SwaptionShift):INDEX($FO$325:$IH$396,GO$169,SwaptionMonthsToGo+SwaptionShift),INDEX($FO$245:$IH$316,$FN238-GO$169,73-GO$169+SwaptionShift):INDEX($FO$245:$IH$316,$FN238-GO$169,72-GO$169+SwaptionMonthsToGo+SwaptionShift))/SQRT(SUM(INDEX($FO393:$IH393,1+SwaptionShift):INDEX($FO393:$IH393,SwaptionMonthsToGo+SwaptionShift))*SUM(INDEX($FO$325:$IH$396,GO$169,1+SwaptionShift):INDEX($FO$325:$IH$396,GO$169,SwaptionMonthsToGo+SwaptionShift))))))</f>
        <v/>
      </c>
      <c r="GP238" s="469" t="str">
        <f ca="1">IF(OR(GP$169&lt;SwaptionFirstMonthPosition+1,$FN238&lt;SwaptionFirstMonthPosition+1,GP$169&gt;SwaptionFirstMonthPosition+SwaptionNumOfMonths+1,$FN238&gt;SwaptionFirstMonthPosition+SwaptionNumOfMonths+1),"",IF($FN238=GP$169,1,IF($FN238&lt;GP$169,INDEX($FO$170:$IH$241,GP$169,$FN238),SUMPRODUCT(INDEX($FO$325:$IH$396,GP$169,1+SwaptionShift):INDEX($FO$325:$IH$396,GP$169,SwaptionMonthsToGo+SwaptionShift),INDEX($FO$245:$IH$316,$FN238-GP$169,73-GP$169+SwaptionShift):INDEX($FO$245:$IH$316,$FN238-GP$169,72-GP$169+SwaptionMonthsToGo+SwaptionShift))/SQRT(SUM(INDEX($FO393:$IH393,1+SwaptionShift):INDEX($FO393:$IH393,SwaptionMonthsToGo+SwaptionShift))*SUM(INDEX($FO$325:$IH$396,GP$169,1+SwaptionShift):INDEX($FO$325:$IH$396,GP$169,SwaptionMonthsToGo+SwaptionShift))))))</f>
        <v/>
      </c>
      <c r="GQ238" s="469" t="str">
        <f ca="1">IF(OR(GQ$169&lt;SwaptionFirstMonthPosition+1,$FN238&lt;SwaptionFirstMonthPosition+1,GQ$169&gt;SwaptionFirstMonthPosition+SwaptionNumOfMonths+1,$FN238&gt;SwaptionFirstMonthPosition+SwaptionNumOfMonths+1),"",IF($FN238=GQ$169,1,IF($FN238&lt;GQ$169,INDEX($FO$170:$IH$241,GQ$169,$FN238),SUMPRODUCT(INDEX($FO$325:$IH$396,GQ$169,1+SwaptionShift):INDEX($FO$325:$IH$396,GQ$169,SwaptionMonthsToGo+SwaptionShift),INDEX($FO$245:$IH$316,$FN238-GQ$169,73-GQ$169+SwaptionShift):INDEX($FO$245:$IH$316,$FN238-GQ$169,72-GQ$169+SwaptionMonthsToGo+SwaptionShift))/SQRT(SUM(INDEX($FO393:$IH393,1+SwaptionShift):INDEX($FO393:$IH393,SwaptionMonthsToGo+SwaptionShift))*SUM(INDEX($FO$325:$IH$396,GQ$169,1+SwaptionShift):INDEX($FO$325:$IH$396,GQ$169,SwaptionMonthsToGo+SwaptionShift))))))</f>
        <v/>
      </c>
      <c r="GR238" s="469" t="str">
        <f ca="1">IF(OR(GR$169&lt;SwaptionFirstMonthPosition+1,$FN238&lt;SwaptionFirstMonthPosition+1,GR$169&gt;SwaptionFirstMonthPosition+SwaptionNumOfMonths+1,$FN238&gt;SwaptionFirstMonthPosition+SwaptionNumOfMonths+1),"",IF($FN238=GR$169,1,IF($FN238&lt;GR$169,INDEX($FO$170:$IH$241,GR$169,$FN238),SUMPRODUCT(INDEX($FO$325:$IH$396,GR$169,1+SwaptionShift):INDEX($FO$325:$IH$396,GR$169,SwaptionMonthsToGo+SwaptionShift),INDEX($FO$245:$IH$316,$FN238-GR$169,73-GR$169+SwaptionShift):INDEX($FO$245:$IH$316,$FN238-GR$169,72-GR$169+SwaptionMonthsToGo+SwaptionShift))/SQRT(SUM(INDEX($FO393:$IH393,1+SwaptionShift):INDEX($FO393:$IH393,SwaptionMonthsToGo+SwaptionShift))*SUM(INDEX($FO$325:$IH$396,GR$169,1+SwaptionShift):INDEX($FO$325:$IH$396,GR$169,SwaptionMonthsToGo+SwaptionShift))))))</f>
        <v/>
      </c>
      <c r="GS238" s="469" t="str">
        <f ca="1">IF(OR(GS$169&lt;SwaptionFirstMonthPosition+1,$FN238&lt;SwaptionFirstMonthPosition+1,GS$169&gt;SwaptionFirstMonthPosition+SwaptionNumOfMonths+1,$FN238&gt;SwaptionFirstMonthPosition+SwaptionNumOfMonths+1),"",IF($FN238=GS$169,1,IF($FN238&lt;GS$169,INDEX($FO$170:$IH$241,GS$169,$FN238),SUMPRODUCT(INDEX($FO$325:$IH$396,GS$169,1+SwaptionShift):INDEX($FO$325:$IH$396,GS$169,SwaptionMonthsToGo+SwaptionShift),INDEX($FO$245:$IH$316,$FN238-GS$169,73-GS$169+SwaptionShift):INDEX($FO$245:$IH$316,$FN238-GS$169,72-GS$169+SwaptionMonthsToGo+SwaptionShift))/SQRT(SUM(INDEX($FO393:$IH393,1+SwaptionShift):INDEX($FO393:$IH393,SwaptionMonthsToGo+SwaptionShift))*SUM(INDEX($FO$325:$IH$396,GS$169,1+SwaptionShift):INDEX($FO$325:$IH$396,GS$169,SwaptionMonthsToGo+SwaptionShift))))))</f>
        <v/>
      </c>
      <c r="GT238" s="469" t="str">
        <f ca="1">IF(OR(GT$169&lt;SwaptionFirstMonthPosition+1,$FN238&lt;SwaptionFirstMonthPosition+1,GT$169&gt;SwaptionFirstMonthPosition+SwaptionNumOfMonths+1,$FN238&gt;SwaptionFirstMonthPosition+SwaptionNumOfMonths+1),"",IF($FN238=GT$169,1,IF($FN238&lt;GT$169,INDEX($FO$170:$IH$241,GT$169,$FN238),SUMPRODUCT(INDEX($FO$325:$IH$396,GT$169,1+SwaptionShift):INDEX($FO$325:$IH$396,GT$169,SwaptionMonthsToGo+SwaptionShift),INDEX($FO$245:$IH$316,$FN238-GT$169,73-GT$169+SwaptionShift):INDEX($FO$245:$IH$316,$FN238-GT$169,72-GT$169+SwaptionMonthsToGo+SwaptionShift))/SQRT(SUM(INDEX($FO393:$IH393,1+SwaptionShift):INDEX($FO393:$IH393,SwaptionMonthsToGo+SwaptionShift))*SUM(INDEX($FO$325:$IH$396,GT$169,1+SwaptionShift):INDEX($FO$325:$IH$396,GT$169,SwaptionMonthsToGo+SwaptionShift))))))</f>
        <v/>
      </c>
      <c r="GU238" s="469" t="str">
        <f ca="1">IF(OR(GU$169&lt;SwaptionFirstMonthPosition+1,$FN238&lt;SwaptionFirstMonthPosition+1,GU$169&gt;SwaptionFirstMonthPosition+SwaptionNumOfMonths+1,$FN238&gt;SwaptionFirstMonthPosition+SwaptionNumOfMonths+1),"",IF($FN238=GU$169,1,IF($FN238&lt;GU$169,INDEX($FO$170:$IH$241,GU$169,$FN238),SUMPRODUCT(INDEX($FO$325:$IH$396,GU$169,1+SwaptionShift):INDEX($FO$325:$IH$396,GU$169,SwaptionMonthsToGo+SwaptionShift),INDEX($FO$245:$IH$316,$FN238-GU$169,73-GU$169+SwaptionShift):INDEX($FO$245:$IH$316,$FN238-GU$169,72-GU$169+SwaptionMonthsToGo+SwaptionShift))/SQRT(SUM(INDEX($FO393:$IH393,1+SwaptionShift):INDEX($FO393:$IH393,SwaptionMonthsToGo+SwaptionShift))*SUM(INDEX($FO$325:$IH$396,GU$169,1+SwaptionShift):INDEX($FO$325:$IH$396,GU$169,SwaptionMonthsToGo+SwaptionShift))))))</f>
        <v/>
      </c>
      <c r="GV238" s="469" t="str">
        <f ca="1">IF(OR(GV$169&lt;SwaptionFirstMonthPosition+1,$FN238&lt;SwaptionFirstMonthPosition+1,GV$169&gt;SwaptionFirstMonthPosition+SwaptionNumOfMonths+1,$FN238&gt;SwaptionFirstMonthPosition+SwaptionNumOfMonths+1),"",IF($FN238=GV$169,1,IF($FN238&lt;GV$169,INDEX($FO$170:$IH$241,GV$169,$FN238),SUMPRODUCT(INDEX($FO$325:$IH$396,GV$169,1+SwaptionShift):INDEX($FO$325:$IH$396,GV$169,SwaptionMonthsToGo+SwaptionShift),INDEX($FO$245:$IH$316,$FN238-GV$169,73-GV$169+SwaptionShift):INDEX($FO$245:$IH$316,$FN238-GV$169,72-GV$169+SwaptionMonthsToGo+SwaptionShift))/SQRT(SUM(INDEX($FO393:$IH393,1+SwaptionShift):INDEX($FO393:$IH393,SwaptionMonthsToGo+SwaptionShift))*SUM(INDEX($FO$325:$IH$396,GV$169,1+SwaptionShift):INDEX($FO$325:$IH$396,GV$169,SwaptionMonthsToGo+SwaptionShift))))))</f>
        <v/>
      </c>
      <c r="GW238" s="469" t="str">
        <f ca="1">IF(OR(GW$169&lt;SwaptionFirstMonthPosition+1,$FN238&lt;SwaptionFirstMonthPosition+1,GW$169&gt;SwaptionFirstMonthPosition+SwaptionNumOfMonths+1,$FN238&gt;SwaptionFirstMonthPosition+SwaptionNumOfMonths+1),"",IF($FN238=GW$169,1,IF($FN238&lt;GW$169,INDEX($FO$170:$IH$241,GW$169,$FN238),SUMPRODUCT(INDEX($FO$325:$IH$396,GW$169,1+SwaptionShift):INDEX($FO$325:$IH$396,GW$169,SwaptionMonthsToGo+SwaptionShift),INDEX($FO$245:$IH$316,$FN238-GW$169,73-GW$169+SwaptionShift):INDEX($FO$245:$IH$316,$FN238-GW$169,72-GW$169+SwaptionMonthsToGo+SwaptionShift))/SQRT(SUM(INDEX($FO393:$IH393,1+SwaptionShift):INDEX($FO393:$IH393,SwaptionMonthsToGo+SwaptionShift))*SUM(INDEX($FO$325:$IH$396,GW$169,1+SwaptionShift):INDEX($FO$325:$IH$396,GW$169,SwaptionMonthsToGo+SwaptionShift))))))</f>
        <v/>
      </c>
      <c r="GX238" s="469" t="str">
        <f ca="1">IF(OR(GX$169&lt;SwaptionFirstMonthPosition+1,$FN238&lt;SwaptionFirstMonthPosition+1,GX$169&gt;SwaptionFirstMonthPosition+SwaptionNumOfMonths+1,$FN238&gt;SwaptionFirstMonthPosition+SwaptionNumOfMonths+1),"",IF($FN238=GX$169,1,IF($FN238&lt;GX$169,INDEX($FO$170:$IH$241,GX$169,$FN238),SUMPRODUCT(INDEX($FO$325:$IH$396,GX$169,1+SwaptionShift):INDEX($FO$325:$IH$396,GX$169,SwaptionMonthsToGo+SwaptionShift),INDEX($FO$245:$IH$316,$FN238-GX$169,73-GX$169+SwaptionShift):INDEX($FO$245:$IH$316,$FN238-GX$169,72-GX$169+SwaptionMonthsToGo+SwaptionShift))/SQRT(SUM(INDEX($FO393:$IH393,1+SwaptionShift):INDEX($FO393:$IH393,SwaptionMonthsToGo+SwaptionShift))*SUM(INDEX($FO$325:$IH$396,GX$169,1+SwaptionShift):INDEX($FO$325:$IH$396,GX$169,SwaptionMonthsToGo+SwaptionShift))))))</f>
        <v/>
      </c>
      <c r="GY238" s="469" t="str">
        <f ca="1">IF(OR(GY$169&lt;SwaptionFirstMonthPosition+1,$FN238&lt;SwaptionFirstMonthPosition+1,GY$169&gt;SwaptionFirstMonthPosition+SwaptionNumOfMonths+1,$FN238&gt;SwaptionFirstMonthPosition+SwaptionNumOfMonths+1),"",IF($FN238=GY$169,1,IF($FN238&lt;GY$169,INDEX($FO$170:$IH$241,GY$169,$FN238),SUMPRODUCT(INDEX($FO$325:$IH$396,GY$169,1+SwaptionShift):INDEX($FO$325:$IH$396,GY$169,SwaptionMonthsToGo+SwaptionShift),INDEX($FO$245:$IH$316,$FN238-GY$169,73-GY$169+SwaptionShift):INDEX($FO$245:$IH$316,$FN238-GY$169,72-GY$169+SwaptionMonthsToGo+SwaptionShift))/SQRT(SUM(INDEX($FO393:$IH393,1+SwaptionShift):INDEX($FO393:$IH393,SwaptionMonthsToGo+SwaptionShift))*SUM(INDEX($FO$325:$IH$396,GY$169,1+SwaptionShift):INDEX($FO$325:$IH$396,GY$169,SwaptionMonthsToGo+SwaptionShift))))))</f>
        <v/>
      </c>
      <c r="GZ238" s="469" t="str">
        <f ca="1">IF(OR(GZ$169&lt;SwaptionFirstMonthPosition+1,$FN238&lt;SwaptionFirstMonthPosition+1,GZ$169&gt;SwaptionFirstMonthPosition+SwaptionNumOfMonths+1,$FN238&gt;SwaptionFirstMonthPosition+SwaptionNumOfMonths+1),"",IF($FN238=GZ$169,1,IF($FN238&lt;GZ$169,INDEX($FO$170:$IH$241,GZ$169,$FN238),SUMPRODUCT(INDEX($FO$325:$IH$396,GZ$169,1+SwaptionShift):INDEX($FO$325:$IH$396,GZ$169,SwaptionMonthsToGo+SwaptionShift),INDEX($FO$245:$IH$316,$FN238-GZ$169,73-GZ$169+SwaptionShift):INDEX($FO$245:$IH$316,$FN238-GZ$169,72-GZ$169+SwaptionMonthsToGo+SwaptionShift))/SQRT(SUM(INDEX($FO393:$IH393,1+SwaptionShift):INDEX($FO393:$IH393,SwaptionMonthsToGo+SwaptionShift))*SUM(INDEX($FO$325:$IH$396,GZ$169,1+SwaptionShift):INDEX($FO$325:$IH$396,GZ$169,SwaptionMonthsToGo+SwaptionShift))))))</f>
        <v/>
      </c>
      <c r="HA238" s="469" t="str">
        <f ca="1">IF(OR(HA$169&lt;SwaptionFirstMonthPosition+1,$FN238&lt;SwaptionFirstMonthPosition+1,HA$169&gt;SwaptionFirstMonthPosition+SwaptionNumOfMonths+1,$FN238&gt;SwaptionFirstMonthPosition+SwaptionNumOfMonths+1),"",IF($FN238=HA$169,1,IF($FN238&lt;HA$169,INDEX($FO$170:$IH$241,HA$169,$FN238),SUMPRODUCT(INDEX($FO$325:$IH$396,HA$169,1+SwaptionShift):INDEX($FO$325:$IH$396,HA$169,SwaptionMonthsToGo+SwaptionShift),INDEX($FO$245:$IH$316,$FN238-HA$169,73-HA$169+SwaptionShift):INDEX($FO$245:$IH$316,$FN238-HA$169,72-HA$169+SwaptionMonthsToGo+SwaptionShift))/SQRT(SUM(INDEX($FO393:$IH393,1+SwaptionShift):INDEX($FO393:$IH393,SwaptionMonthsToGo+SwaptionShift))*SUM(INDEX($FO$325:$IH$396,HA$169,1+SwaptionShift):INDEX($FO$325:$IH$396,HA$169,SwaptionMonthsToGo+SwaptionShift))))))</f>
        <v/>
      </c>
      <c r="HB238" s="469" t="str">
        <f ca="1">IF(OR(HB$169&lt;SwaptionFirstMonthPosition+1,$FN238&lt;SwaptionFirstMonthPosition+1,HB$169&gt;SwaptionFirstMonthPosition+SwaptionNumOfMonths+1,$FN238&gt;SwaptionFirstMonthPosition+SwaptionNumOfMonths+1),"",IF($FN238=HB$169,1,IF($FN238&lt;HB$169,INDEX($FO$170:$IH$241,HB$169,$FN238),SUMPRODUCT(INDEX($FO$325:$IH$396,HB$169,1+SwaptionShift):INDEX($FO$325:$IH$396,HB$169,SwaptionMonthsToGo+SwaptionShift),INDEX($FO$245:$IH$316,$FN238-HB$169,73-HB$169+SwaptionShift):INDEX($FO$245:$IH$316,$FN238-HB$169,72-HB$169+SwaptionMonthsToGo+SwaptionShift))/SQRT(SUM(INDEX($FO393:$IH393,1+SwaptionShift):INDEX($FO393:$IH393,SwaptionMonthsToGo+SwaptionShift))*SUM(INDEX($FO$325:$IH$396,HB$169,1+SwaptionShift):INDEX($FO$325:$IH$396,HB$169,SwaptionMonthsToGo+SwaptionShift))))))</f>
        <v/>
      </c>
      <c r="HC238" s="469" t="str">
        <f ca="1">IF(OR(HC$169&lt;SwaptionFirstMonthPosition+1,$FN238&lt;SwaptionFirstMonthPosition+1,HC$169&gt;SwaptionFirstMonthPosition+SwaptionNumOfMonths+1,$FN238&gt;SwaptionFirstMonthPosition+SwaptionNumOfMonths+1),"",IF($FN238=HC$169,1,IF($FN238&lt;HC$169,INDEX($FO$170:$IH$241,HC$169,$FN238),SUMPRODUCT(INDEX($FO$325:$IH$396,HC$169,1+SwaptionShift):INDEX($FO$325:$IH$396,HC$169,SwaptionMonthsToGo+SwaptionShift),INDEX($FO$245:$IH$316,$FN238-HC$169,73-HC$169+SwaptionShift):INDEX($FO$245:$IH$316,$FN238-HC$169,72-HC$169+SwaptionMonthsToGo+SwaptionShift))/SQRT(SUM(INDEX($FO393:$IH393,1+SwaptionShift):INDEX($FO393:$IH393,SwaptionMonthsToGo+SwaptionShift))*SUM(INDEX($FO$325:$IH$396,HC$169,1+SwaptionShift):INDEX($FO$325:$IH$396,HC$169,SwaptionMonthsToGo+SwaptionShift))))))</f>
        <v/>
      </c>
      <c r="HD238" s="469" t="str">
        <f ca="1">IF(OR(HD$169&lt;SwaptionFirstMonthPosition+1,$FN238&lt;SwaptionFirstMonthPosition+1,HD$169&gt;SwaptionFirstMonthPosition+SwaptionNumOfMonths+1,$FN238&gt;SwaptionFirstMonthPosition+SwaptionNumOfMonths+1),"",IF($FN238=HD$169,1,IF($FN238&lt;HD$169,INDEX($FO$170:$IH$241,HD$169,$FN238),SUMPRODUCT(INDEX($FO$325:$IH$396,HD$169,1+SwaptionShift):INDEX($FO$325:$IH$396,HD$169,SwaptionMonthsToGo+SwaptionShift),INDEX($FO$245:$IH$316,$FN238-HD$169,73-HD$169+SwaptionShift):INDEX($FO$245:$IH$316,$FN238-HD$169,72-HD$169+SwaptionMonthsToGo+SwaptionShift))/SQRT(SUM(INDEX($FO393:$IH393,1+SwaptionShift):INDEX($FO393:$IH393,SwaptionMonthsToGo+SwaptionShift))*SUM(INDEX($FO$325:$IH$396,HD$169,1+SwaptionShift):INDEX($FO$325:$IH$396,HD$169,SwaptionMonthsToGo+SwaptionShift))))))</f>
        <v/>
      </c>
      <c r="HE238" s="469" t="str">
        <f ca="1">IF(OR(HE$169&lt;SwaptionFirstMonthPosition+1,$FN238&lt;SwaptionFirstMonthPosition+1,HE$169&gt;SwaptionFirstMonthPosition+SwaptionNumOfMonths+1,$FN238&gt;SwaptionFirstMonthPosition+SwaptionNumOfMonths+1),"",IF($FN238=HE$169,1,IF($FN238&lt;HE$169,INDEX($FO$170:$IH$241,HE$169,$FN238),SUMPRODUCT(INDEX($FO$325:$IH$396,HE$169,1+SwaptionShift):INDEX($FO$325:$IH$396,HE$169,SwaptionMonthsToGo+SwaptionShift),INDEX($FO$245:$IH$316,$FN238-HE$169,73-HE$169+SwaptionShift):INDEX($FO$245:$IH$316,$FN238-HE$169,72-HE$169+SwaptionMonthsToGo+SwaptionShift))/SQRT(SUM(INDEX($FO393:$IH393,1+SwaptionShift):INDEX($FO393:$IH393,SwaptionMonthsToGo+SwaptionShift))*SUM(INDEX($FO$325:$IH$396,HE$169,1+SwaptionShift):INDEX($FO$325:$IH$396,HE$169,SwaptionMonthsToGo+SwaptionShift))))))</f>
        <v/>
      </c>
      <c r="HF238" s="469" t="str">
        <f ca="1">IF(OR(HF$169&lt;SwaptionFirstMonthPosition+1,$FN238&lt;SwaptionFirstMonthPosition+1,HF$169&gt;SwaptionFirstMonthPosition+SwaptionNumOfMonths+1,$FN238&gt;SwaptionFirstMonthPosition+SwaptionNumOfMonths+1),"",IF($FN238=HF$169,1,IF($FN238&lt;HF$169,INDEX($FO$170:$IH$241,HF$169,$FN238),SUMPRODUCT(INDEX($FO$325:$IH$396,HF$169,1+SwaptionShift):INDEX($FO$325:$IH$396,HF$169,SwaptionMonthsToGo+SwaptionShift),INDEX($FO$245:$IH$316,$FN238-HF$169,73-HF$169+SwaptionShift):INDEX($FO$245:$IH$316,$FN238-HF$169,72-HF$169+SwaptionMonthsToGo+SwaptionShift))/SQRT(SUM(INDEX($FO393:$IH393,1+SwaptionShift):INDEX($FO393:$IH393,SwaptionMonthsToGo+SwaptionShift))*SUM(INDEX($FO$325:$IH$396,HF$169,1+SwaptionShift):INDEX($FO$325:$IH$396,HF$169,SwaptionMonthsToGo+SwaptionShift))))))</f>
        <v/>
      </c>
      <c r="HG238" s="469" t="str">
        <f ca="1">IF(OR(HG$169&lt;SwaptionFirstMonthPosition+1,$FN238&lt;SwaptionFirstMonthPosition+1,HG$169&gt;SwaptionFirstMonthPosition+SwaptionNumOfMonths+1,$FN238&gt;SwaptionFirstMonthPosition+SwaptionNumOfMonths+1),"",IF($FN238=HG$169,1,IF($FN238&lt;HG$169,INDEX($FO$170:$IH$241,HG$169,$FN238),SUMPRODUCT(INDEX($FO$325:$IH$396,HG$169,1+SwaptionShift):INDEX($FO$325:$IH$396,HG$169,SwaptionMonthsToGo+SwaptionShift),INDEX($FO$245:$IH$316,$FN238-HG$169,73-HG$169+SwaptionShift):INDEX($FO$245:$IH$316,$FN238-HG$169,72-HG$169+SwaptionMonthsToGo+SwaptionShift))/SQRT(SUM(INDEX($FO393:$IH393,1+SwaptionShift):INDEX($FO393:$IH393,SwaptionMonthsToGo+SwaptionShift))*SUM(INDEX($FO$325:$IH$396,HG$169,1+SwaptionShift):INDEX($FO$325:$IH$396,HG$169,SwaptionMonthsToGo+SwaptionShift))))))</f>
        <v/>
      </c>
      <c r="HH238" s="469" t="str">
        <f ca="1">IF(OR(HH$169&lt;SwaptionFirstMonthPosition+1,$FN238&lt;SwaptionFirstMonthPosition+1,HH$169&gt;SwaptionFirstMonthPosition+SwaptionNumOfMonths+1,$FN238&gt;SwaptionFirstMonthPosition+SwaptionNumOfMonths+1),"",IF($FN238=HH$169,1,IF($FN238&lt;HH$169,INDEX($FO$170:$IH$241,HH$169,$FN238),SUMPRODUCT(INDEX($FO$325:$IH$396,HH$169,1+SwaptionShift):INDEX($FO$325:$IH$396,HH$169,SwaptionMonthsToGo+SwaptionShift),INDEX($FO$245:$IH$316,$FN238-HH$169,73-HH$169+SwaptionShift):INDEX($FO$245:$IH$316,$FN238-HH$169,72-HH$169+SwaptionMonthsToGo+SwaptionShift))/SQRT(SUM(INDEX($FO393:$IH393,1+SwaptionShift):INDEX($FO393:$IH393,SwaptionMonthsToGo+SwaptionShift))*SUM(INDEX($FO$325:$IH$396,HH$169,1+SwaptionShift):INDEX($FO$325:$IH$396,HH$169,SwaptionMonthsToGo+SwaptionShift))))))</f>
        <v/>
      </c>
      <c r="HI238" s="469" t="str">
        <f ca="1">IF(OR(HI$169&lt;SwaptionFirstMonthPosition+1,$FN238&lt;SwaptionFirstMonthPosition+1,HI$169&gt;SwaptionFirstMonthPosition+SwaptionNumOfMonths+1,$FN238&gt;SwaptionFirstMonthPosition+SwaptionNumOfMonths+1),"",IF($FN238=HI$169,1,IF($FN238&lt;HI$169,INDEX($FO$170:$IH$241,HI$169,$FN238),SUMPRODUCT(INDEX($FO$325:$IH$396,HI$169,1+SwaptionShift):INDEX($FO$325:$IH$396,HI$169,SwaptionMonthsToGo+SwaptionShift),INDEX($FO$245:$IH$316,$FN238-HI$169,73-HI$169+SwaptionShift):INDEX($FO$245:$IH$316,$FN238-HI$169,72-HI$169+SwaptionMonthsToGo+SwaptionShift))/SQRT(SUM(INDEX($FO393:$IH393,1+SwaptionShift):INDEX($FO393:$IH393,SwaptionMonthsToGo+SwaptionShift))*SUM(INDEX($FO$325:$IH$396,HI$169,1+SwaptionShift):INDEX($FO$325:$IH$396,HI$169,SwaptionMonthsToGo+SwaptionShift))))))</f>
        <v/>
      </c>
      <c r="HJ238" s="469" t="str">
        <f ca="1">IF(OR(HJ$169&lt;SwaptionFirstMonthPosition+1,$FN238&lt;SwaptionFirstMonthPosition+1,HJ$169&gt;SwaptionFirstMonthPosition+SwaptionNumOfMonths+1,$FN238&gt;SwaptionFirstMonthPosition+SwaptionNumOfMonths+1),"",IF($FN238=HJ$169,1,IF($FN238&lt;HJ$169,INDEX($FO$170:$IH$241,HJ$169,$FN238),SUMPRODUCT(INDEX($FO$325:$IH$396,HJ$169,1+SwaptionShift):INDEX($FO$325:$IH$396,HJ$169,SwaptionMonthsToGo+SwaptionShift),INDEX($FO$245:$IH$316,$FN238-HJ$169,73-HJ$169+SwaptionShift):INDEX($FO$245:$IH$316,$FN238-HJ$169,72-HJ$169+SwaptionMonthsToGo+SwaptionShift))/SQRT(SUM(INDEX($FO393:$IH393,1+SwaptionShift):INDEX($FO393:$IH393,SwaptionMonthsToGo+SwaptionShift))*SUM(INDEX($FO$325:$IH$396,HJ$169,1+SwaptionShift):INDEX($FO$325:$IH$396,HJ$169,SwaptionMonthsToGo+SwaptionShift))))))</f>
        <v/>
      </c>
      <c r="HK238" s="469" t="str">
        <f ca="1">IF(OR(HK$169&lt;SwaptionFirstMonthPosition+1,$FN238&lt;SwaptionFirstMonthPosition+1,HK$169&gt;SwaptionFirstMonthPosition+SwaptionNumOfMonths+1,$FN238&gt;SwaptionFirstMonthPosition+SwaptionNumOfMonths+1),"",IF($FN238=HK$169,1,IF($FN238&lt;HK$169,INDEX($FO$170:$IH$241,HK$169,$FN238),SUMPRODUCT(INDEX($FO$325:$IH$396,HK$169,1+SwaptionShift):INDEX($FO$325:$IH$396,HK$169,SwaptionMonthsToGo+SwaptionShift),INDEX($FO$245:$IH$316,$FN238-HK$169,73-HK$169+SwaptionShift):INDEX($FO$245:$IH$316,$FN238-HK$169,72-HK$169+SwaptionMonthsToGo+SwaptionShift))/SQRT(SUM(INDEX($FO393:$IH393,1+SwaptionShift):INDEX($FO393:$IH393,SwaptionMonthsToGo+SwaptionShift))*SUM(INDEX($FO$325:$IH$396,HK$169,1+SwaptionShift):INDEX($FO$325:$IH$396,HK$169,SwaptionMonthsToGo+SwaptionShift))))))</f>
        <v/>
      </c>
      <c r="HL238" s="469" t="str">
        <f ca="1">IF(OR(HL$169&lt;SwaptionFirstMonthPosition+1,$FN238&lt;SwaptionFirstMonthPosition+1,HL$169&gt;SwaptionFirstMonthPosition+SwaptionNumOfMonths+1,$FN238&gt;SwaptionFirstMonthPosition+SwaptionNumOfMonths+1),"",IF($FN238=HL$169,1,IF($FN238&lt;HL$169,INDEX($FO$170:$IH$241,HL$169,$FN238),SUMPRODUCT(INDEX($FO$325:$IH$396,HL$169,1+SwaptionShift):INDEX($FO$325:$IH$396,HL$169,SwaptionMonthsToGo+SwaptionShift),INDEX($FO$245:$IH$316,$FN238-HL$169,73-HL$169+SwaptionShift):INDEX($FO$245:$IH$316,$FN238-HL$169,72-HL$169+SwaptionMonthsToGo+SwaptionShift))/SQRT(SUM(INDEX($FO393:$IH393,1+SwaptionShift):INDEX($FO393:$IH393,SwaptionMonthsToGo+SwaptionShift))*SUM(INDEX($FO$325:$IH$396,HL$169,1+SwaptionShift):INDEX($FO$325:$IH$396,HL$169,SwaptionMonthsToGo+SwaptionShift))))))</f>
        <v/>
      </c>
      <c r="HM238" s="469" t="str">
        <f ca="1">IF(OR(HM$169&lt;SwaptionFirstMonthPosition+1,$FN238&lt;SwaptionFirstMonthPosition+1,HM$169&gt;SwaptionFirstMonthPosition+SwaptionNumOfMonths+1,$FN238&gt;SwaptionFirstMonthPosition+SwaptionNumOfMonths+1),"",IF($FN238=HM$169,1,IF($FN238&lt;HM$169,INDEX($FO$170:$IH$241,HM$169,$FN238),SUMPRODUCT(INDEX($FO$325:$IH$396,HM$169,1+SwaptionShift):INDEX($FO$325:$IH$396,HM$169,SwaptionMonthsToGo+SwaptionShift),INDEX($FO$245:$IH$316,$FN238-HM$169,73-HM$169+SwaptionShift):INDEX($FO$245:$IH$316,$FN238-HM$169,72-HM$169+SwaptionMonthsToGo+SwaptionShift))/SQRT(SUM(INDEX($FO393:$IH393,1+SwaptionShift):INDEX($FO393:$IH393,SwaptionMonthsToGo+SwaptionShift))*SUM(INDEX($FO$325:$IH$396,HM$169,1+SwaptionShift):INDEX($FO$325:$IH$396,HM$169,SwaptionMonthsToGo+SwaptionShift))))))</f>
        <v/>
      </c>
      <c r="HN238" s="469" t="str">
        <f ca="1">IF(OR(HN$169&lt;SwaptionFirstMonthPosition+1,$FN238&lt;SwaptionFirstMonthPosition+1,HN$169&gt;SwaptionFirstMonthPosition+SwaptionNumOfMonths+1,$FN238&gt;SwaptionFirstMonthPosition+SwaptionNumOfMonths+1),"",IF($FN238=HN$169,1,IF($FN238&lt;HN$169,INDEX($FO$170:$IH$241,HN$169,$FN238),SUMPRODUCT(INDEX($FO$325:$IH$396,HN$169,1+SwaptionShift):INDEX($FO$325:$IH$396,HN$169,SwaptionMonthsToGo+SwaptionShift),INDEX($FO$245:$IH$316,$FN238-HN$169,73-HN$169+SwaptionShift):INDEX($FO$245:$IH$316,$FN238-HN$169,72-HN$169+SwaptionMonthsToGo+SwaptionShift))/SQRT(SUM(INDEX($FO393:$IH393,1+SwaptionShift):INDEX($FO393:$IH393,SwaptionMonthsToGo+SwaptionShift))*SUM(INDEX($FO$325:$IH$396,HN$169,1+SwaptionShift):INDEX($FO$325:$IH$396,HN$169,SwaptionMonthsToGo+SwaptionShift))))))</f>
        <v/>
      </c>
      <c r="HO238" s="469" t="str">
        <f ca="1">IF(OR(HO$169&lt;SwaptionFirstMonthPosition+1,$FN238&lt;SwaptionFirstMonthPosition+1,HO$169&gt;SwaptionFirstMonthPosition+SwaptionNumOfMonths+1,$FN238&gt;SwaptionFirstMonthPosition+SwaptionNumOfMonths+1),"",IF($FN238=HO$169,1,IF($FN238&lt;HO$169,INDEX($FO$170:$IH$241,HO$169,$FN238),SUMPRODUCT(INDEX($FO$325:$IH$396,HO$169,1+SwaptionShift):INDEX($FO$325:$IH$396,HO$169,SwaptionMonthsToGo+SwaptionShift),INDEX($FO$245:$IH$316,$FN238-HO$169,73-HO$169+SwaptionShift):INDEX($FO$245:$IH$316,$FN238-HO$169,72-HO$169+SwaptionMonthsToGo+SwaptionShift))/SQRT(SUM(INDEX($FO393:$IH393,1+SwaptionShift):INDEX($FO393:$IH393,SwaptionMonthsToGo+SwaptionShift))*SUM(INDEX($FO$325:$IH$396,HO$169,1+SwaptionShift):INDEX($FO$325:$IH$396,HO$169,SwaptionMonthsToGo+SwaptionShift))))))</f>
        <v/>
      </c>
      <c r="HP238" s="469" t="str">
        <f ca="1">IF(OR(HP$169&lt;SwaptionFirstMonthPosition+1,$FN238&lt;SwaptionFirstMonthPosition+1,HP$169&gt;SwaptionFirstMonthPosition+SwaptionNumOfMonths+1,$FN238&gt;SwaptionFirstMonthPosition+SwaptionNumOfMonths+1),"",IF($FN238=HP$169,1,IF($FN238&lt;HP$169,INDEX($FO$170:$IH$241,HP$169,$FN238),SUMPRODUCT(INDEX($FO$325:$IH$396,HP$169,1+SwaptionShift):INDEX($FO$325:$IH$396,HP$169,SwaptionMonthsToGo+SwaptionShift),INDEX($FO$245:$IH$316,$FN238-HP$169,73-HP$169+SwaptionShift):INDEX($FO$245:$IH$316,$FN238-HP$169,72-HP$169+SwaptionMonthsToGo+SwaptionShift))/SQRT(SUM(INDEX($FO393:$IH393,1+SwaptionShift):INDEX($FO393:$IH393,SwaptionMonthsToGo+SwaptionShift))*SUM(INDEX($FO$325:$IH$396,HP$169,1+SwaptionShift):INDEX($FO$325:$IH$396,HP$169,SwaptionMonthsToGo+SwaptionShift))))))</f>
        <v/>
      </c>
      <c r="HQ238" s="469" t="str">
        <f ca="1">IF(OR(HQ$169&lt;SwaptionFirstMonthPosition+1,$FN238&lt;SwaptionFirstMonthPosition+1,HQ$169&gt;SwaptionFirstMonthPosition+SwaptionNumOfMonths+1,$FN238&gt;SwaptionFirstMonthPosition+SwaptionNumOfMonths+1),"",IF($FN238=HQ$169,1,IF($FN238&lt;HQ$169,INDEX($FO$170:$IH$241,HQ$169,$FN238),SUMPRODUCT(INDEX($FO$325:$IH$396,HQ$169,1+SwaptionShift):INDEX($FO$325:$IH$396,HQ$169,SwaptionMonthsToGo+SwaptionShift),INDEX($FO$245:$IH$316,$FN238-HQ$169,73-HQ$169+SwaptionShift):INDEX($FO$245:$IH$316,$FN238-HQ$169,72-HQ$169+SwaptionMonthsToGo+SwaptionShift))/SQRT(SUM(INDEX($FO393:$IH393,1+SwaptionShift):INDEX($FO393:$IH393,SwaptionMonthsToGo+SwaptionShift))*SUM(INDEX($FO$325:$IH$396,HQ$169,1+SwaptionShift):INDEX($FO$325:$IH$396,HQ$169,SwaptionMonthsToGo+SwaptionShift))))))</f>
        <v/>
      </c>
      <c r="HR238" s="469" t="str">
        <f ca="1">IF(OR(HR$169&lt;SwaptionFirstMonthPosition+1,$FN238&lt;SwaptionFirstMonthPosition+1,HR$169&gt;SwaptionFirstMonthPosition+SwaptionNumOfMonths+1,$FN238&gt;SwaptionFirstMonthPosition+SwaptionNumOfMonths+1),"",IF($FN238=HR$169,1,IF($FN238&lt;HR$169,INDEX($FO$170:$IH$241,HR$169,$FN238),SUMPRODUCT(INDEX($FO$325:$IH$396,HR$169,1+SwaptionShift):INDEX($FO$325:$IH$396,HR$169,SwaptionMonthsToGo+SwaptionShift),INDEX($FO$245:$IH$316,$FN238-HR$169,73-HR$169+SwaptionShift):INDEX($FO$245:$IH$316,$FN238-HR$169,72-HR$169+SwaptionMonthsToGo+SwaptionShift))/SQRT(SUM(INDEX($FO393:$IH393,1+SwaptionShift):INDEX($FO393:$IH393,SwaptionMonthsToGo+SwaptionShift))*SUM(INDEX($FO$325:$IH$396,HR$169,1+SwaptionShift):INDEX($FO$325:$IH$396,HR$169,SwaptionMonthsToGo+SwaptionShift))))))</f>
        <v/>
      </c>
      <c r="HS238" s="469" t="str">
        <f ca="1">IF(OR(HS$169&lt;SwaptionFirstMonthPosition+1,$FN238&lt;SwaptionFirstMonthPosition+1,HS$169&gt;SwaptionFirstMonthPosition+SwaptionNumOfMonths+1,$FN238&gt;SwaptionFirstMonthPosition+SwaptionNumOfMonths+1),"",IF($FN238=HS$169,1,IF($FN238&lt;HS$169,INDEX($FO$170:$IH$241,HS$169,$FN238),SUMPRODUCT(INDEX($FO$325:$IH$396,HS$169,1+SwaptionShift):INDEX($FO$325:$IH$396,HS$169,SwaptionMonthsToGo+SwaptionShift),INDEX($FO$245:$IH$316,$FN238-HS$169,73-HS$169+SwaptionShift):INDEX($FO$245:$IH$316,$FN238-HS$169,72-HS$169+SwaptionMonthsToGo+SwaptionShift))/SQRT(SUM(INDEX($FO393:$IH393,1+SwaptionShift):INDEX($FO393:$IH393,SwaptionMonthsToGo+SwaptionShift))*SUM(INDEX($FO$325:$IH$396,HS$169,1+SwaptionShift):INDEX($FO$325:$IH$396,HS$169,SwaptionMonthsToGo+SwaptionShift))))))</f>
        <v/>
      </c>
      <c r="HT238" s="469" t="str">
        <f ca="1">IF(OR(HT$169&lt;SwaptionFirstMonthPosition+1,$FN238&lt;SwaptionFirstMonthPosition+1,HT$169&gt;SwaptionFirstMonthPosition+SwaptionNumOfMonths+1,$FN238&gt;SwaptionFirstMonthPosition+SwaptionNumOfMonths+1),"",IF($FN238=HT$169,1,IF($FN238&lt;HT$169,INDEX($FO$170:$IH$241,HT$169,$FN238),SUMPRODUCT(INDEX($FO$325:$IH$396,HT$169,1+SwaptionShift):INDEX($FO$325:$IH$396,HT$169,SwaptionMonthsToGo+SwaptionShift),INDEX($FO$245:$IH$316,$FN238-HT$169,73-HT$169+SwaptionShift):INDEX($FO$245:$IH$316,$FN238-HT$169,72-HT$169+SwaptionMonthsToGo+SwaptionShift))/SQRT(SUM(INDEX($FO393:$IH393,1+SwaptionShift):INDEX($FO393:$IH393,SwaptionMonthsToGo+SwaptionShift))*SUM(INDEX($FO$325:$IH$396,HT$169,1+SwaptionShift):INDEX($FO$325:$IH$396,HT$169,SwaptionMonthsToGo+SwaptionShift))))))</f>
        <v/>
      </c>
      <c r="HU238" s="469" t="str">
        <f ca="1">IF(OR(HU$169&lt;SwaptionFirstMonthPosition+1,$FN238&lt;SwaptionFirstMonthPosition+1,HU$169&gt;SwaptionFirstMonthPosition+SwaptionNumOfMonths+1,$FN238&gt;SwaptionFirstMonthPosition+SwaptionNumOfMonths+1),"",IF($FN238=HU$169,1,IF($FN238&lt;HU$169,INDEX($FO$170:$IH$241,HU$169,$FN238),SUMPRODUCT(INDEX($FO$325:$IH$396,HU$169,1+SwaptionShift):INDEX($FO$325:$IH$396,HU$169,SwaptionMonthsToGo+SwaptionShift),INDEX($FO$245:$IH$316,$FN238-HU$169,73-HU$169+SwaptionShift):INDEX($FO$245:$IH$316,$FN238-HU$169,72-HU$169+SwaptionMonthsToGo+SwaptionShift))/SQRT(SUM(INDEX($FO393:$IH393,1+SwaptionShift):INDEX($FO393:$IH393,SwaptionMonthsToGo+SwaptionShift))*SUM(INDEX($FO$325:$IH$396,HU$169,1+SwaptionShift):INDEX($FO$325:$IH$396,HU$169,SwaptionMonthsToGo+SwaptionShift))))))</f>
        <v/>
      </c>
      <c r="HV238" s="469" t="str">
        <f ca="1">IF(OR(HV$169&lt;SwaptionFirstMonthPosition+1,$FN238&lt;SwaptionFirstMonthPosition+1,HV$169&gt;SwaptionFirstMonthPosition+SwaptionNumOfMonths+1,$FN238&gt;SwaptionFirstMonthPosition+SwaptionNumOfMonths+1),"",IF($FN238=HV$169,1,IF($FN238&lt;HV$169,INDEX($FO$170:$IH$241,HV$169,$FN238),SUMPRODUCT(INDEX($FO$325:$IH$396,HV$169,1+SwaptionShift):INDEX($FO$325:$IH$396,HV$169,SwaptionMonthsToGo+SwaptionShift),INDEX($FO$245:$IH$316,$FN238-HV$169,73-HV$169+SwaptionShift):INDEX($FO$245:$IH$316,$FN238-HV$169,72-HV$169+SwaptionMonthsToGo+SwaptionShift))/SQRT(SUM(INDEX($FO393:$IH393,1+SwaptionShift):INDEX($FO393:$IH393,SwaptionMonthsToGo+SwaptionShift))*SUM(INDEX($FO$325:$IH$396,HV$169,1+SwaptionShift):INDEX($FO$325:$IH$396,HV$169,SwaptionMonthsToGo+SwaptionShift))))))</f>
        <v/>
      </c>
      <c r="HW238" s="469" t="str">
        <f ca="1">IF(OR(HW$169&lt;SwaptionFirstMonthPosition+1,$FN238&lt;SwaptionFirstMonthPosition+1,HW$169&gt;SwaptionFirstMonthPosition+SwaptionNumOfMonths+1,$FN238&gt;SwaptionFirstMonthPosition+SwaptionNumOfMonths+1),"",IF($FN238=HW$169,1,IF($FN238&lt;HW$169,INDEX($FO$170:$IH$241,HW$169,$FN238),SUMPRODUCT(INDEX($FO$325:$IH$396,HW$169,1+SwaptionShift):INDEX($FO$325:$IH$396,HW$169,SwaptionMonthsToGo+SwaptionShift),INDEX($FO$245:$IH$316,$FN238-HW$169,73-HW$169+SwaptionShift):INDEX($FO$245:$IH$316,$FN238-HW$169,72-HW$169+SwaptionMonthsToGo+SwaptionShift))/SQRT(SUM(INDEX($FO393:$IH393,1+SwaptionShift):INDEX($FO393:$IH393,SwaptionMonthsToGo+SwaptionShift))*SUM(INDEX($FO$325:$IH$396,HW$169,1+SwaptionShift):INDEX($FO$325:$IH$396,HW$169,SwaptionMonthsToGo+SwaptionShift))))))</f>
        <v/>
      </c>
      <c r="HX238" s="469" t="str">
        <f ca="1">IF(OR(HX$169&lt;SwaptionFirstMonthPosition+1,$FN238&lt;SwaptionFirstMonthPosition+1,HX$169&gt;SwaptionFirstMonthPosition+SwaptionNumOfMonths+1,$FN238&gt;SwaptionFirstMonthPosition+SwaptionNumOfMonths+1),"",IF($FN238=HX$169,1,IF($FN238&lt;HX$169,INDEX($FO$170:$IH$241,HX$169,$FN238),SUMPRODUCT(INDEX($FO$325:$IH$396,HX$169,1+SwaptionShift):INDEX($FO$325:$IH$396,HX$169,SwaptionMonthsToGo+SwaptionShift),INDEX($FO$245:$IH$316,$FN238-HX$169,73-HX$169+SwaptionShift):INDEX($FO$245:$IH$316,$FN238-HX$169,72-HX$169+SwaptionMonthsToGo+SwaptionShift))/SQRT(SUM(INDEX($FO393:$IH393,1+SwaptionShift):INDEX($FO393:$IH393,SwaptionMonthsToGo+SwaptionShift))*SUM(INDEX($FO$325:$IH$396,HX$169,1+SwaptionShift):INDEX($FO$325:$IH$396,HX$169,SwaptionMonthsToGo+SwaptionShift))))))</f>
        <v/>
      </c>
      <c r="HY238" s="469" t="str">
        <f ca="1">IF(OR(HY$169&lt;SwaptionFirstMonthPosition+1,$FN238&lt;SwaptionFirstMonthPosition+1,HY$169&gt;SwaptionFirstMonthPosition+SwaptionNumOfMonths+1,$FN238&gt;SwaptionFirstMonthPosition+SwaptionNumOfMonths+1),"",IF($FN238=HY$169,1,IF($FN238&lt;HY$169,INDEX($FO$170:$IH$241,HY$169,$FN238),SUMPRODUCT(INDEX($FO$325:$IH$396,HY$169,1+SwaptionShift):INDEX($FO$325:$IH$396,HY$169,SwaptionMonthsToGo+SwaptionShift),INDEX($FO$245:$IH$316,$FN238-HY$169,73-HY$169+SwaptionShift):INDEX($FO$245:$IH$316,$FN238-HY$169,72-HY$169+SwaptionMonthsToGo+SwaptionShift))/SQRT(SUM(INDEX($FO393:$IH393,1+SwaptionShift):INDEX($FO393:$IH393,SwaptionMonthsToGo+SwaptionShift))*SUM(INDEX($FO$325:$IH$396,HY$169,1+SwaptionShift):INDEX($FO$325:$IH$396,HY$169,SwaptionMonthsToGo+SwaptionShift))))))</f>
        <v/>
      </c>
      <c r="HZ238" s="469" t="str">
        <f ca="1">IF(OR(HZ$169&lt;SwaptionFirstMonthPosition+1,$FN238&lt;SwaptionFirstMonthPosition+1,HZ$169&gt;SwaptionFirstMonthPosition+SwaptionNumOfMonths+1,$FN238&gt;SwaptionFirstMonthPosition+SwaptionNumOfMonths+1),"",IF($FN238=HZ$169,1,IF($FN238&lt;HZ$169,INDEX($FO$170:$IH$241,HZ$169,$FN238),SUMPRODUCT(INDEX($FO$325:$IH$396,HZ$169,1+SwaptionShift):INDEX($FO$325:$IH$396,HZ$169,SwaptionMonthsToGo+SwaptionShift),INDEX($FO$245:$IH$316,$FN238-HZ$169,73-HZ$169+SwaptionShift):INDEX($FO$245:$IH$316,$FN238-HZ$169,72-HZ$169+SwaptionMonthsToGo+SwaptionShift))/SQRT(SUM(INDEX($FO393:$IH393,1+SwaptionShift):INDEX($FO393:$IH393,SwaptionMonthsToGo+SwaptionShift))*SUM(INDEX($FO$325:$IH$396,HZ$169,1+SwaptionShift):INDEX($FO$325:$IH$396,HZ$169,SwaptionMonthsToGo+SwaptionShift))))))</f>
        <v/>
      </c>
      <c r="IA238" s="469" t="str">
        <f ca="1">IF(OR(IA$169&lt;SwaptionFirstMonthPosition+1,$FN238&lt;SwaptionFirstMonthPosition+1,IA$169&gt;SwaptionFirstMonthPosition+SwaptionNumOfMonths+1,$FN238&gt;SwaptionFirstMonthPosition+SwaptionNumOfMonths+1),"",IF($FN238=IA$169,1,IF($FN238&lt;IA$169,INDEX($FO$170:$IH$241,IA$169,$FN238),SUMPRODUCT(INDEX($FO$325:$IH$396,IA$169,1+SwaptionShift):INDEX($FO$325:$IH$396,IA$169,SwaptionMonthsToGo+SwaptionShift),INDEX($FO$245:$IH$316,$FN238-IA$169,73-IA$169+SwaptionShift):INDEX($FO$245:$IH$316,$FN238-IA$169,72-IA$169+SwaptionMonthsToGo+SwaptionShift))/SQRT(SUM(INDEX($FO393:$IH393,1+SwaptionShift):INDEX($FO393:$IH393,SwaptionMonthsToGo+SwaptionShift))*SUM(INDEX($FO$325:$IH$396,IA$169,1+SwaptionShift):INDEX($FO$325:$IH$396,IA$169,SwaptionMonthsToGo+SwaptionShift))))))</f>
        <v/>
      </c>
      <c r="IB238" s="469" t="str">
        <f ca="1">IF(OR(IB$169&lt;SwaptionFirstMonthPosition+1,$FN238&lt;SwaptionFirstMonthPosition+1,IB$169&gt;SwaptionFirstMonthPosition+SwaptionNumOfMonths+1,$FN238&gt;SwaptionFirstMonthPosition+SwaptionNumOfMonths+1),"",IF($FN238=IB$169,1,IF($FN238&lt;IB$169,INDEX($FO$170:$IH$241,IB$169,$FN238),SUMPRODUCT(INDEX($FO$325:$IH$396,IB$169,1+SwaptionShift):INDEX($FO$325:$IH$396,IB$169,SwaptionMonthsToGo+SwaptionShift),INDEX($FO$245:$IH$316,$FN238-IB$169,73-IB$169+SwaptionShift):INDEX($FO$245:$IH$316,$FN238-IB$169,72-IB$169+SwaptionMonthsToGo+SwaptionShift))/SQRT(SUM(INDEX($FO393:$IH393,1+SwaptionShift):INDEX($FO393:$IH393,SwaptionMonthsToGo+SwaptionShift))*SUM(INDEX($FO$325:$IH$396,IB$169,1+SwaptionShift):INDEX($FO$325:$IH$396,IB$169,SwaptionMonthsToGo+SwaptionShift))))))</f>
        <v/>
      </c>
      <c r="IC238" s="469" t="str">
        <f ca="1">IF(OR(IC$169&lt;SwaptionFirstMonthPosition+1,$FN238&lt;SwaptionFirstMonthPosition+1,IC$169&gt;SwaptionFirstMonthPosition+SwaptionNumOfMonths+1,$FN238&gt;SwaptionFirstMonthPosition+SwaptionNumOfMonths+1),"",IF($FN238=IC$169,1,IF($FN238&lt;IC$169,INDEX($FO$170:$IH$241,IC$169,$FN238),SUMPRODUCT(INDEX($FO$325:$IH$396,IC$169,1+SwaptionShift):INDEX($FO$325:$IH$396,IC$169,SwaptionMonthsToGo+SwaptionShift),INDEX($FO$245:$IH$316,$FN238-IC$169,73-IC$169+SwaptionShift):INDEX($FO$245:$IH$316,$FN238-IC$169,72-IC$169+SwaptionMonthsToGo+SwaptionShift))/SQRT(SUM(INDEX($FO393:$IH393,1+SwaptionShift):INDEX($FO393:$IH393,SwaptionMonthsToGo+SwaptionShift))*SUM(INDEX($FO$325:$IH$396,IC$169,1+SwaptionShift):INDEX($FO$325:$IH$396,IC$169,SwaptionMonthsToGo+SwaptionShift))))))</f>
        <v/>
      </c>
      <c r="ID238" s="469" t="str">
        <f ca="1">IF(OR(ID$169&lt;SwaptionFirstMonthPosition+1,$FN238&lt;SwaptionFirstMonthPosition+1,ID$169&gt;SwaptionFirstMonthPosition+SwaptionNumOfMonths+1,$FN238&gt;SwaptionFirstMonthPosition+SwaptionNumOfMonths+1),"",IF($FN238=ID$169,1,IF($FN238&lt;ID$169,INDEX($FO$170:$IH$241,ID$169,$FN238),SUMPRODUCT(INDEX($FO$325:$IH$396,ID$169,1+SwaptionShift):INDEX($FO$325:$IH$396,ID$169,SwaptionMonthsToGo+SwaptionShift),INDEX($FO$245:$IH$316,$FN238-ID$169,73-ID$169+SwaptionShift):INDEX($FO$245:$IH$316,$FN238-ID$169,72-ID$169+SwaptionMonthsToGo+SwaptionShift))/SQRT(SUM(INDEX($FO393:$IH393,1+SwaptionShift):INDEX($FO393:$IH393,SwaptionMonthsToGo+SwaptionShift))*SUM(INDEX($FO$325:$IH$396,ID$169,1+SwaptionShift):INDEX($FO$325:$IH$396,ID$169,SwaptionMonthsToGo+SwaptionShift))))))</f>
        <v/>
      </c>
      <c r="IE238" s="469" t="str">
        <f ca="1">IF(OR(IE$169&lt;SwaptionFirstMonthPosition+1,$FN238&lt;SwaptionFirstMonthPosition+1,IE$169&gt;SwaptionFirstMonthPosition+SwaptionNumOfMonths+1,$FN238&gt;SwaptionFirstMonthPosition+SwaptionNumOfMonths+1),"",IF($FN238=IE$169,1,IF($FN238&lt;IE$169,INDEX($FO$170:$IH$241,IE$169,$FN238),SUMPRODUCT(INDEX($FO$325:$IH$396,IE$169,1+SwaptionShift):INDEX($FO$325:$IH$396,IE$169,SwaptionMonthsToGo+SwaptionShift),INDEX($FO$245:$IH$316,$FN238-IE$169,73-IE$169+SwaptionShift):INDEX($FO$245:$IH$316,$FN238-IE$169,72-IE$169+SwaptionMonthsToGo+SwaptionShift))/SQRT(SUM(INDEX($FO393:$IH393,1+SwaptionShift):INDEX($FO393:$IH393,SwaptionMonthsToGo+SwaptionShift))*SUM(INDEX($FO$325:$IH$396,IE$169,1+SwaptionShift):INDEX($FO$325:$IH$396,IE$169,SwaptionMonthsToGo+SwaptionShift))))))</f>
        <v/>
      </c>
      <c r="IF238" s="469" t="str">
        <f ca="1">IF(OR(IF$169&lt;SwaptionFirstMonthPosition+1,$FN238&lt;SwaptionFirstMonthPosition+1,IF$169&gt;SwaptionFirstMonthPosition+SwaptionNumOfMonths+1,$FN238&gt;SwaptionFirstMonthPosition+SwaptionNumOfMonths+1),"",IF($FN238=IF$169,1,IF($FN238&lt;IF$169,INDEX($FO$170:$IH$241,IF$169,$FN238),SUMPRODUCT(INDEX($FO$325:$IH$396,IF$169,1+SwaptionShift):INDEX($FO$325:$IH$396,IF$169,SwaptionMonthsToGo+SwaptionShift),INDEX($FO$245:$IH$316,$FN238-IF$169,73-IF$169+SwaptionShift):INDEX($FO$245:$IH$316,$FN238-IF$169,72-IF$169+SwaptionMonthsToGo+SwaptionShift))/SQRT(SUM(INDEX($FO393:$IH393,1+SwaptionShift):INDEX($FO393:$IH393,SwaptionMonthsToGo+SwaptionShift))*SUM(INDEX($FO$325:$IH$396,IF$169,1+SwaptionShift):INDEX($FO$325:$IH$396,IF$169,SwaptionMonthsToGo+SwaptionShift))))))</f>
        <v/>
      </c>
      <c r="IG238" s="469" t="str">
        <f ca="1">IF(OR(IG$169&lt;SwaptionFirstMonthPosition+1,$FN238&lt;SwaptionFirstMonthPosition+1,IG$169&gt;SwaptionFirstMonthPosition+SwaptionNumOfMonths+1,$FN238&gt;SwaptionFirstMonthPosition+SwaptionNumOfMonths+1),"",IF($FN238=IG$169,1,IF($FN238&lt;IG$169,INDEX($FO$170:$IH$241,IG$169,$FN238),SUMPRODUCT(INDEX($FO$325:$IH$396,IG$169,1+SwaptionShift):INDEX($FO$325:$IH$396,IG$169,SwaptionMonthsToGo+SwaptionShift),INDEX($FO$245:$IH$316,$FN238-IG$169,73-IG$169+SwaptionShift):INDEX($FO$245:$IH$316,$FN238-IG$169,72-IG$169+SwaptionMonthsToGo+SwaptionShift))/SQRT(SUM(INDEX($FO393:$IH393,1+SwaptionShift):INDEX($FO393:$IH393,SwaptionMonthsToGo+SwaptionShift))*SUM(INDEX($FO$325:$IH$396,IG$169,1+SwaptionShift):INDEX($FO$325:$IH$396,IG$169,SwaptionMonthsToGo+SwaptionShift))))))</f>
        <v/>
      </c>
      <c r="IH238" s="662" t="str">
        <f ca="1">IF(OR(IH$169&lt;SwaptionFirstMonthPosition+1,$FN238&lt;SwaptionFirstMonthPosition+1,IH$169&gt;SwaptionFirstMonthPosition+SwaptionNumOfMonths+1,$FN238&gt;SwaptionFirstMonthPosition+SwaptionNumOfMonths+1),"",IF($FN238=IH$169,1,IF($FN238&lt;IH$169,INDEX($FO$170:$IH$241,IH$169,$FN238),SUMPRODUCT(INDEX($FO$325:$IH$396,IH$169,1+SwaptionShift):INDEX($FO$325:$IH$396,IH$169,SwaptionMonthsToGo+SwaptionShift),INDEX($FO$245:$IH$316,$FN238-IH$169,73-IH$169+SwaptionShift):INDEX($FO$245:$IH$316,$FN238-IH$169,72-IH$169+SwaptionMonthsToGo+SwaptionShift))/SQRT(SUM(INDEX($FO393:$IH393,1+SwaptionShift):INDEX($FO393:$IH393,SwaptionMonthsToGo+SwaptionShift))*SUM(INDEX($FO$325:$IH$396,IH$169,1+SwaptionShift):INDEX($FO$325:$IH$396,IH$169,SwaptionMonthsToGo+SwaptionShift))))))</f>
        <v/>
      </c>
      <c r="II238" s="242"/>
    </row>
    <row r="239" spans="8:243">
      <c r="H239" s="49" t="e">
        <f t="shared" ca="1" si="645"/>
        <v>#N/A</v>
      </c>
      <c r="I239" s="369">
        <f t="shared" si="646"/>
        <v>43678</v>
      </c>
      <c r="J239" s="367">
        <v>24.859999999999797</v>
      </c>
      <c r="K239" s="101" t="s">
        <v>267</v>
      </c>
      <c r="L239" s="382">
        <f t="shared" si="647"/>
        <v>24.859999999999818</v>
      </c>
      <c r="M239" s="163">
        <v>0.12350000000000001</v>
      </c>
      <c r="N239" s="372">
        <v>0</v>
      </c>
      <c r="O239" s="163">
        <f t="shared" si="595"/>
        <v>0.12350000000000001</v>
      </c>
      <c r="P239" s="367">
        <v>23.415904794024296</v>
      </c>
      <c r="Q239" s="101" t="s">
        <v>267</v>
      </c>
      <c r="R239" s="367">
        <f t="shared" ca="1" si="596"/>
        <v>23.415904794024282</v>
      </c>
      <c r="S239" s="814">
        <f t="shared" si="594"/>
        <v>0.34559039412117903</v>
      </c>
      <c r="T239" s="813">
        <f t="shared" si="660"/>
        <v>0.99999999999256017</v>
      </c>
      <c r="U239" s="532">
        <f t="shared" si="661"/>
        <v>0.99999999999999978</v>
      </c>
      <c r="V239" s="379">
        <v>0</v>
      </c>
      <c r="W239" s="424">
        <f t="shared" si="597"/>
        <v>24.894090909090707</v>
      </c>
      <c r="X239" s="405">
        <f t="shared" si="598"/>
        <v>24.894090909090725</v>
      </c>
      <c r="Y239" s="313">
        <f t="shared" si="599"/>
        <v>23.575690909090707</v>
      </c>
      <c r="Z239" s="313">
        <f t="shared" ca="1" si="600"/>
        <v>23.575690909090724</v>
      </c>
      <c r="AA239" s="419">
        <f t="shared" si="623"/>
        <v>1.3184</v>
      </c>
      <c r="AB239" s="423">
        <f t="shared" ca="1" si="624"/>
        <v>1.3184</v>
      </c>
      <c r="AC239" s="221">
        <v>43666</v>
      </c>
      <c r="AD239" s="221">
        <v>43662</v>
      </c>
      <c r="AE239" s="221">
        <v>43661</v>
      </c>
      <c r="AF239" s="221">
        <v>43657</v>
      </c>
      <c r="AG239" s="241" t="s">
        <v>497</v>
      </c>
      <c r="AH239" s="239" t="s">
        <v>497</v>
      </c>
      <c r="AI239" s="141">
        <v>22</v>
      </c>
      <c r="AJ239" s="41">
        <v>14</v>
      </c>
      <c r="AK239" s="41">
        <v>8</v>
      </c>
      <c r="AL239" s="285">
        <v>22</v>
      </c>
      <c r="AM239" s="41">
        <v>10</v>
      </c>
      <c r="AN239" s="142">
        <v>12</v>
      </c>
      <c r="AO239" s="364">
        <v>6.3726870455807799E-2</v>
      </c>
      <c r="AP239" s="145">
        <f t="shared" ca="1" si="648"/>
        <v>0.31542500822571817</v>
      </c>
      <c r="AQ239" s="364">
        <v>6.0462137277053102E-2</v>
      </c>
      <c r="AR239" s="145">
        <f t="shared" ca="1" si="662"/>
        <v>0.33685833868110171</v>
      </c>
      <c r="AS239" s="264">
        <f t="shared" si="601"/>
        <v>0.12295454545454546</v>
      </c>
      <c r="AT239" s="149">
        <f t="shared" si="649"/>
        <v>0.12350000000000001</v>
      </c>
      <c r="AU239" s="149">
        <f t="shared" si="625"/>
        <v>0.12288181818181819</v>
      </c>
      <c r="AV239" s="263">
        <f t="shared" ca="1" si="669"/>
        <v>0.12158000179307234</v>
      </c>
      <c r="AW239" s="150" t="str">
        <f t="shared" ca="1" si="581"/>
        <v/>
      </c>
      <c r="AX239" s="149">
        <f t="shared" ca="1" si="663"/>
        <v>2.9494200608667985E-3</v>
      </c>
      <c r="AY239" s="149">
        <f t="shared" ca="1" si="664"/>
        <v>8.7249930403958972E-4</v>
      </c>
      <c r="AZ239" s="149">
        <f t="shared" ca="1" si="665"/>
        <v>1.1381437237458559E-3</v>
      </c>
      <c r="BA239" s="149">
        <f t="shared" ca="1" si="666"/>
        <v>1.000000000000119E-4</v>
      </c>
      <c r="BB239" s="149">
        <f t="shared" ca="1" si="667"/>
        <v>1.000000000000119E-4</v>
      </c>
      <c r="BC239" s="149">
        <f t="shared" ca="1" si="668"/>
        <v>1.000000000000119E-4</v>
      </c>
      <c r="BD239" s="143">
        <f t="shared" ca="1" si="602"/>
        <v>0</v>
      </c>
      <c r="BE239" s="144">
        <f t="shared" ca="1" si="603"/>
        <v>0</v>
      </c>
      <c r="BF239" s="40">
        <f t="shared" si="604"/>
        <v>2019</v>
      </c>
      <c r="BG239" s="139">
        <f t="shared" si="605"/>
        <v>8</v>
      </c>
      <c r="BH239" s="140">
        <f t="shared" ca="1" si="606"/>
        <v>6672</v>
      </c>
      <c r="BI239" s="304">
        <f t="shared" ca="1" si="607"/>
        <v>18.310746064339494</v>
      </c>
      <c r="BJ239" s="42">
        <f t="shared" ca="1" si="626"/>
        <v>18.363014124821106</v>
      </c>
      <c r="BK239" s="42">
        <f t="shared" ca="1" si="627"/>
        <v>18.365751975608237</v>
      </c>
      <c r="BL239" s="42">
        <f t="shared" ca="1" si="608"/>
        <v>18.392881587953458</v>
      </c>
      <c r="BM239" s="285">
        <f t="shared" si="609"/>
        <v>22</v>
      </c>
      <c r="BN239" s="41">
        <f t="shared" si="610"/>
        <v>14</v>
      </c>
      <c r="BO239" s="41">
        <f t="shared" si="611"/>
        <v>8</v>
      </c>
      <c r="BP239" s="297" t="str">
        <f t="shared" ca="1" si="628"/>
        <v/>
      </c>
      <c r="BQ239" s="297" t="str">
        <f t="shared" ca="1" si="629"/>
        <v/>
      </c>
      <c r="BR239" s="299" t="str">
        <f t="shared" ca="1" si="630"/>
        <v/>
      </c>
      <c r="BS239" s="153" t="str">
        <f t="shared" ca="1" si="631"/>
        <v/>
      </c>
      <c r="BT239" s="153" t="str">
        <f t="shared" ca="1" si="632"/>
        <v/>
      </c>
      <c r="BU239" s="300" t="str">
        <f t="shared" ca="1" si="633"/>
        <v/>
      </c>
      <c r="BV239" s="301" t="str">
        <f t="shared" ca="1" si="634"/>
        <v/>
      </c>
      <c r="BW239" s="300" t="str">
        <f t="shared" ca="1" si="635"/>
        <v/>
      </c>
      <c r="BX239" s="301" t="str">
        <f t="shared" ca="1" si="636"/>
        <v/>
      </c>
      <c r="BY239" s="146" t="str">
        <f t="shared" ca="1" si="637"/>
        <v/>
      </c>
      <c r="BZ239" s="146" t="str">
        <f t="shared" ca="1" si="638"/>
        <v/>
      </c>
      <c r="CA239" s="146" t="str">
        <f t="shared" ca="1" si="639"/>
        <v/>
      </c>
      <c r="CB239" s="146" t="str">
        <f t="shared" ca="1" si="640"/>
        <v/>
      </c>
      <c r="CC239" s="302">
        <v>1</v>
      </c>
      <c r="CD239" s="154">
        <f ca="1">IF(BD239,_xll.xCrudeAPO(BS239,BT239,BY239,BZ239,S240,S241,BI239,BL239,BN239,BO239,0,Strike1,AO239,CC239,0,BL239,IF(OptControl=4,0,1),0,1),0)</f>
        <v>0</v>
      </c>
      <c r="CE239" s="155">
        <f ca="1">IF(BD239,_xll.xCrudeAPO(BS239,BT239,BY239,BZ239,S240,S241,BI239,BL239,BN239,BO239,0,Strike1,AO239,CC239,0,BL239,IF(OptControl=4,0,1),1,1)+_xll.xCrudeAPO(BS239,BT239,BY239,BZ239,S240,S241,BI239,BL239,BN239,BO239,0,Strike1,AO239,CC239,0,BL239,IF(OptControl=4,0,1),1,2)+IF(OR(VolSkewFlag=2,ABS(BQ239)&lt;0.0001),0,IF(BQ239&gt;0,-1,1)*CF239*Strike1/BP239^2*BW239/10%),0)</f>
        <v>0</v>
      </c>
      <c r="CF239" s="155">
        <f ca="1">IF(BD239,(_xll.xCrudeAPO(BS239,BT239,BY239,BZ239,S240,S241,BI239,BL239,BN239,BO239,0,Strike1,AO239,CC239,0,BL239,IF(OptControl=4,0,1),3,1)+_xll.xCrudeAPO(BS239,BT239,BY239,BZ239,S240,S241,BI239,BL239,BN239,BO239,0,Strike1,AO239,CC239,0,BL239,IF(OptControl=4,0,1),3,2))/100,0)</f>
        <v>0</v>
      </c>
      <c r="CG239" s="155">
        <f ca="1">IF(BD239,_xll.xCrudeAPO(BS239,BT239,BY239,BZ239,S240,S241,BI239-DaysForThetaCalculation/365.25,BL239-DaysForThetaCalculation/365.25,BN239,BO239,0,Strike1,AO239,CC239,0,BL239,IF(OptControl=4,0,1),0,1)-_xll.xCrudeAPO(BS239,BT239,BY239,BZ239,S240,S241,BI239,BL239,BN239,BO239,0,Strike1,AO239,CC239,0,BL239,IF(OptControl=4,0,1),0,1),0)</f>
        <v>0</v>
      </c>
      <c r="CH239" s="303">
        <f ca="1">IF(BD239,_xll.xCrudeAPO(BS239,BT239,CA239,CB239,S240,S241,BI239,BL239,BN239,BO239,0,Strike2,AO239,CC239,0,BL239,IF(OptControl=3,1,0),0,1),0)</f>
        <v>0</v>
      </c>
      <c r="CI239" s="155">
        <f ca="1">IF(BD239,_xll.xCrudeAPO(BS239,BT239,CA239,CB239,S240,S241,BI239,BL239,BN239,BO239,0,Strike2,AO239,CC239,0,BL239,IF(OptControl=3,1,0),1,1)+_xll.xCrudeAPO(BS239,BT239,CA239,CB239,S240,S241,BI239,BL239,BN239,BO239,0,Strike2,AO239,CC239,0,BL239,IF(OptControl=3,1,0),1,2)+IF(OR(VolSkewFlag=2,ABS(BR239)&lt;0.0001),0,IF(BR239&gt;0,-1,1)*CJ239*Strike2/BP239^2*BX239/10%),0)</f>
        <v>0</v>
      </c>
      <c r="CJ239" s="155">
        <f ca="1">IF(BD239,(_xll.xCrudeAPO(BS239,BT239,CA239,CB239,S240,S241,BI239,BL239,BN239,BO239,0,Strike2,AO239,CC239,0,BL239,IF(OptControl=3,1,0),3,1)+_xll.xCrudeAPO(BS239,BT239,CA239,CB239,S240,S241,BI239,BL239,BN239,BO239,0,Strike2,AO239,CC239,0,BL239,IF(OptControl=3,1,0),3,2))/100,0)</f>
        <v>0</v>
      </c>
      <c r="CK239" s="156">
        <f ca="1">IF(BD239,_xll.xCrudeAPO(BS239,BT239,CA239,CB239,S240,S241,BI239-DaysForThetaCalculation/365.25,BL239-DaysForThetaCalculation/365.25,BN239,BO239,0,Strike2,AO239,CC239,0,BL239,IF(OptControl=3,1,0),0,1)-_xll.xCrudeAPO(BS239,BT239,CA239,CB239,S240,S241,BI239,BL239,BN239,BO239,0,Strike2,AO239,CC239,0,BL239,IF(OptControl=3,1,0),0,1),0)</f>
        <v>0</v>
      </c>
      <c r="CL239" s="51"/>
      <c r="CM239" s="779" t="str">
        <f t="shared" ca="1" si="650"/>
        <v/>
      </c>
      <c r="CN239" s="783" t="str">
        <f t="shared" ca="1" si="651"/>
        <v/>
      </c>
      <c r="CO239" s="780" t="str">
        <f t="shared" ca="1" si="652"/>
        <v/>
      </c>
      <c r="CP239" s="780" t="str">
        <f t="shared" ca="1" si="653"/>
        <v/>
      </c>
      <c r="CQ239" s="780" t="str">
        <f t="shared" ca="1" si="654"/>
        <v/>
      </c>
      <c r="CR239" s="780" t="str">
        <f t="shared" ca="1" si="655"/>
        <v/>
      </c>
      <c r="CS239" s="781" t="str">
        <f t="shared" ca="1" si="656"/>
        <v/>
      </c>
      <c r="CT239" s="782" t="str">
        <f t="shared" ca="1" si="657"/>
        <v/>
      </c>
      <c r="CU239" s="782" t="str">
        <f t="shared" ca="1" si="658"/>
        <v/>
      </c>
      <c r="CV239" s="155">
        <f ca="1">IF(BD239,_xll.EURO(CN239,Strike1,AO239,AO239,CT239,CM239,IF(OptControl=4,0,1),0),0)</f>
        <v>0</v>
      </c>
      <c r="CW239" s="155">
        <f ca="1">IF(BD239,_xll.EURO(CN239,Strike1,AO239,AO239,CT239,CM239,IF(OptControl=4,0,1),1)+IF(OR(VolSkewFlag=2,ABS(CO239)&lt;0.0001),0,IF(CO239&gt;0,-1,1)*CX239*100*Strike1/CN239^2*CQ239/10%),0)</f>
        <v>0</v>
      </c>
      <c r="CX239" s="155">
        <f ca="1">IF(BD239,_xll.EURO(CN239,Strike1,AO239,AO239,CT239,CM239,IF(OptControl=4,0,1),3)/100,0)</f>
        <v>0</v>
      </c>
      <c r="CY239" s="155">
        <f ca="1">IF(BD239,_xll.EURO(CN239,Strike1,AO239,AO239,CT239,CM239,IF(OptControl=4,0,1),0)-_xll.EURO(CN239,Strike1,AO239,AO239,CT239,CM239-1,IF(OptControl=4,0,1),0),0)</f>
        <v>0</v>
      </c>
      <c r="CZ239" s="155">
        <f ca="1">IF(BD239,_xll.EURO(CN239,Strike2,AO239,AO239,CU239,CM239,IF(OptControl=3,1,0),0),0)</f>
        <v>0</v>
      </c>
      <c r="DA239" s="155">
        <f ca="1">IF(BD239,_xll.EURO(CN239,Strike2,AO239,AO239,CU239,CM239,IF(OptControl=3,1,0),1)+IF(OR(VolSkewFlag=2,ABS(CP239)&lt;0.0001),0,IF(CP239&gt;0,-1,1)*DB239*100*Strike2/CN239^2*CR239/10%),0)</f>
        <v>0</v>
      </c>
      <c r="DB239" s="155">
        <f ca="1">IF(BD239,_xll.EURO(CN239,Strike2,AO239,AO239,CU239,CM239,IF(OptControl=3,1,0),3)/100,0)</f>
        <v>0</v>
      </c>
      <c r="DC239" s="156">
        <f ca="1">IF(BD239,_xll.EURO(CN239,Strike2,AO239,AO239,CU239,CM239,IF(OptControl=3,1,0),0)-_xll.EURO(CN239,Strike2,AO239,AO239,CU239,CM239-1,IF(OptControl=3,1,0),0),0)</f>
        <v>0</v>
      </c>
      <c r="DE239" s="651">
        <f t="shared" ca="1" si="659"/>
        <v>43586</v>
      </c>
      <c r="DF239" s="465">
        <v>1E-4</v>
      </c>
      <c r="DG239" s="649">
        <v>1E-4</v>
      </c>
      <c r="DH239" s="650">
        <f t="shared" ca="1" si="612"/>
        <v>43586</v>
      </c>
      <c r="DI239" s="465">
        <v>1E-4</v>
      </c>
      <c r="DJ239" s="649">
        <v>1E-4</v>
      </c>
      <c r="DK239" s="651">
        <f t="shared" ca="1" si="613"/>
        <v>43586</v>
      </c>
      <c r="DL239" s="652">
        <f t="shared" si="614"/>
        <v>5.0100000000000006E-2</v>
      </c>
      <c r="DM239" s="651">
        <f t="shared" ca="1" si="615"/>
        <v>43586</v>
      </c>
      <c r="DN239" s="563">
        <f t="shared" si="616"/>
        <v>-0.12990000000000002</v>
      </c>
      <c r="DO239" s="803">
        <v>-0.13</v>
      </c>
      <c r="DP239" s="650">
        <f t="shared" ca="1" si="617"/>
        <v>43586</v>
      </c>
      <c r="DQ239" s="653">
        <v>1E-4</v>
      </c>
      <c r="DR239" s="590">
        <v>1E-4</v>
      </c>
      <c r="DS239" s="650">
        <f t="shared" ca="1" si="618"/>
        <v>43586</v>
      </c>
      <c r="DT239" s="653">
        <v>1E-4</v>
      </c>
      <c r="DU239" s="590">
        <v>1E-4</v>
      </c>
      <c r="DV239" s="651">
        <f t="shared" ca="1" si="619"/>
        <v>43586</v>
      </c>
      <c r="DW239" s="590">
        <v>1E-4</v>
      </c>
      <c r="DX239" s="651">
        <f t="shared" ca="1" si="620"/>
        <v>43586</v>
      </c>
      <c r="DY239" s="590">
        <f t="shared" si="621"/>
        <v>1E-4</v>
      </c>
      <c r="DZ239" s="1"/>
      <c r="EA239" s="857"/>
      <c r="EB239" s="857"/>
      <c r="EC239" s="857"/>
      <c r="ED239" s="868" t="e">
        <f t="shared" ca="1" si="670"/>
        <v>#NAME?</v>
      </c>
      <c r="EE239" s="863" t="e">
        <f t="shared" ca="1" si="641"/>
        <v>#NAME?</v>
      </c>
      <c r="EF239" s="590" t="e">
        <f t="shared" ca="1" si="642"/>
        <v>#NAME?</v>
      </c>
      <c r="EG239" s="862" t="str">
        <f t="shared" ca="1" si="622"/>
        <v/>
      </c>
      <c r="EH239" s="114" t="str">
        <f t="shared" ca="1" si="643"/>
        <v/>
      </c>
      <c r="EI239" s="109" t="str">
        <f t="shared" ca="1" si="644"/>
        <v/>
      </c>
      <c r="EJ239" s="115">
        <f ca="1">IF(BD239,_xll.xASN(BP239,Strike1,AO239,EH239,0,BM239,0,BI239,BL239,IF(OptControl=4,0,1),0),0)</f>
        <v>0</v>
      </c>
      <c r="EK239" s="108">
        <f ca="1">IF(BD239,_xll.xASN(BP239,Strike2,AO239,EI239,0,BM239,0,BI239,BL239,IF(OptControl=3,1,0),0),0)</f>
        <v>0</v>
      </c>
      <c r="EP239" s="53"/>
      <c r="EQ239" s="1"/>
      <c r="ER239" s="103"/>
      <c r="ES239" s="103"/>
      <c r="ET239" s="1"/>
      <c r="EU239" s="667" t="s">
        <v>452</v>
      </c>
      <c r="EW239" s="53"/>
      <c r="EY239" s="104"/>
      <c r="FN239" s="657">
        <v>70</v>
      </c>
      <c r="FO239" s="469" t="str">
        <f ca="1">IF(OR(FO$169&lt;SwaptionFirstMonthPosition+1,$FN239&lt;SwaptionFirstMonthPosition+1,FO$169&gt;SwaptionFirstMonthPosition+SwaptionNumOfMonths+1,$FN239&gt;SwaptionFirstMonthPosition+SwaptionNumOfMonths+1),"",IF($FN239=FO$169,1,IF($FN239&lt;FO$169,INDEX($FO$170:$IH$241,FO$169,$FN239),SUMPRODUCT(INDEX($FO$325:$IH$396,FO$169,1+SwaptionShift):INDEX($FO$325:$IH$396,FO$169,SwaptionMonthsToGo+SwaptionShift),INDEX($FO$245:$IH$316,$FN239-FO$169,73-FO$169+SwaptionShift):INDEX($FO$245:$IH$316,$FN239-FO$169,72-FO$169+SwaptionMonthsToGo+SwaptionShift))/SQRT(SUM(INDEX($FO394:$IH394,1+SwaptionShift):INDEX($FO394:$IH394,SwaptionMonthsToGo+SwaptionShift))*SUM(INDEX($FO$325:$IH$396,FO$169,1+SwaptionShift):INDEX($FO$325:$IH$396,FO$169,SwaptionMonthsToGo+SwaptionShift))))))</f>
        <v/>
      </c>
      <c r="FP239" s="469" t="str">
        <f ca="1">IF(OR(FP$169&lt;SwaptionFirstMonthPosition+1,$FN239&lt;SwaptionFirstMonthPosition+1,FP$169&gt;SwaptionFirstMonthPosition+SwaptionNumOfMonths+1,$FN239&gt;SwaptionFirstMonthPosition+SwaptionNumOfMonths+1),"",IF($FN239=FP$169,1,IF($FN239&lt;FP$169,INDEX($FO$170:$IH$241,FP$169,$FN239),SUMPRODUCT(INDEX($FO$325:$IH$396,FP$169,1+SwaptionShift):INDEX($FO$325:$IH$396,FP$169,SwaptionMonthsToGo+SwaptionShift),INDEX($FO$245:$IH$316,$FN239-FP$169,73-FP$169+SwaptionShift):INDEX($FO$245:$IH$316,$FN239-FP$169,72-FP$169+SwaptionMonthsToGo+SwaptionShift))/SQRT(SUM(INDEX($FO394:$IH394,1+SwaptionShift):INDEX($FO394:$IH394,SwaptionMonthsToGo+SwaptionShift))*SUM(INDEX($FO$325:$IH$396,FP$169,1+SwaptionShift):INDEX($FO$325:$IH$396,FP$169,SwaptionMonthsToGo+SwaptionShift))))))</f>
        <v/>
      </c>
      <c r="FQ239" s="469" t="str">
        <f ca="1">IF(OR(FQ$169&lt;SwaptionFirstMonthPosition+1,$FN239&lt;SwaptionFirstMonthPosition+1,FQ$169&gt;SwaptionFirstMonthPosition+SwaptionNumOfMonths+1,$FN239&gt;SwaptionFirstMonthPosition+SwaptionNumOfMonths+1),"",IF($FN239=FQ$169,1,IF($FN239&lt;FQ$169,INDEX($FO$170:$IH$241,FQ$169,$FN239),SUMPRODUCT(INDEX($FO$325:$IH$396,FQ$169,1+SwaptionShift):INDEX($FO$325:$IH$396,FQ$169,SwaptionMonthsToGo+SwaptionShift),INDEX($FO$245:$IH$316,$FN239-FQ$169,73-FQ$169+SwaptionShift):INDEX($FO$245:$IH$316,$FN239-FQ$169,72-FQ$169+SwaptionMonthsToGo+SwaptionShift))/SQRT(SUM(INDEX($FO394:$IH394,1+SwaptionShift):INDEX($FO394:$IH394,SwaptionMonthsToGo+SwaptionShift))*SUM(INDEX($FO$325:$IH$396,FQ$169,1+SwaptionShift):INDEX($FO$325:$IH$396,FQ$169,SwaptionMonthsToGo+SwaptionShift))))))</f>
        <v/>
      </c>
      <c r="FR239" s="469" t="str">
        <f ca="1">IF(OR(FR$169&lt;SwaptionFirstMonthPosition+1,$FN239&lt;SwaptionFirstMonthPosition+1,FR$169&gt;SwaptionFirstMonthPosition+SwaptionNumOfMonths+1,$FN239&gt;SwaptionFirstMonthPosition+SwaptionNumOfMonths+1),"",IF($FN239=FR$169,1,IF($FN239&lt;FR$169,INDEX($FO$170:$IH$241,FR$169,$FN239),SUMPRODUCT(INDEX($FO$325:$IH$396,FR$169,1+SwaptionShift):INDEX($FO$325:$IH$396,FR$169,SwaptionMonthsToGo+SwaptionShift),INDEX($FO$245:$IH$316,$FN239-FR$169,73-FR$169+SwaptionShift):INDEX($FO$245:$IH$316,$FN239-FR$169,72-FR$169+SwaptionMonthsToGo+SwaptionShift))/SQRT(SUM(INDEX($FO394:$IH394,1+SwaptionShift):INDEX($FO394:$IH394,SwaptionMonthsToGo+SwaptionShift))*SUM(INDEX($FO$325:$IH$396,FR$169,1+SwaptionShift):INDEX($FO$325:$IH$396,FR$169,SwaptionMonthsToGo+SwaptionShift))))))</f>
        <v/>
      </c>
      <c r="FS239" s="469" t="str">
        <f ca="1">IF(OR(FS$169&lt;SwaptionFirstMonthPosition+1,$FN239&lt;SwaptionFirstMonthPosition+1,FS$169&gt;SwaptionFirstMonthPosition+SwaptionNumOfMonths+1,$FN239&gt;SwaptionFirstMonthPosition+SwaptionNumOfMonths+1),"",IF($FN239=FS$169,1,IF($FN239&lt;FS$169,INDEX($FO$170:$IH$241,FS$169,$FN239),SUMPRODUCT(INDEX($FO$325:$IH$396,FS$169,1+SwaptionShift):INDEX($FO$325:$IH$396,FS$169,SwaptionMonthsToGo+SwaptionShift),INDEX($FO$245:$IH$316,$FN239-FS$169,73-FS$169+SwaptionShift):INDEX($FO$245:$IH$316,$FN239-FS$169,72-FS$169+SwaptionMonthsToGo+SwaptionShift))/SQRT(SUM(INDEX($FO394:$IH394,1+SwaptionShift):INDEX($FO394:$IH394,SwaptionMonthsToGo+SwaptionShift))*SUM(INDEX($FO$325:$IH$396,FS$169,1+SwaptionShift):INDEX($FO$325:$IH$396,FS$169,SwaptionMonthsToGo+SwaptionShift))))))</f>
        <v/>
      </c>
      <c r="FT239" s="469" t="str">
        <f ca="1">IF(OR(FT$169&lt;SwaptionFirstMonthPosition+1,$FN239&lt;SwaptionFirstMonthPosition+1,FT$169&gt;SwaptionFirstMonthPosition+SwaptionNumOfMonths+1,$FN239&gt;SwaptionFirstMonthPosition+SwaptionNumOfMonths+1),"",IF($FN239=FT$169,1,IF($FN239&lt;FT$169,INDEX($FO$170:$IH$241,FT$169,$FN239),SUMPRODUCT(INDEX($FO$325:$IH$396,FT$169,1+SwaptionShift):INDEX($FO$325:$IH$396,FT$169,SwaptionMonthsToGo+SwaptionShift),INDEX($FO$245:$IH$316,$FN239-FT$169,73-FT$169+SwaptionShift):INDEX($FO$245:$IH$316,$FN239-FT$169,72-FT$169+SwaptionMonthsToGo+SwaptionShift))/SQRT(SUM(INDEX($FO394:$IH394,1+SwaptionShift):INDEX($FO394:$IH394,SwaptionMonthsToGo+SwaptionShift))*SUM(INDEX($FO$325:$IH$396,FT$169,1+SwaptionShift):INDEX($FO$325:$IH$396,FT$169,SwaptionMonthsToGo+SwaptionShift))))))</f>
        <v/>
      </c>
      <c r="FU239" s="469" t="str">
        <f ca="1">IF(OR(FU$169&lt;SwaptionFirstMonthPosition+1,$FN239&lt;SwaptionFirstMonthPosition+1,FU$169&gt;SwaptionFirstMonthPosition+SwaptionNumOfMonths+1,$FN239&gt;SwaptionFirstMonthPosition+SwaptionNumOfMonths+1),"",IF($FN239=FU$169,1,IF($FN239&lt;FU$169,INDEX($FO$170:$IH$241,FU$169,$FN239),SUMPRODUCT(INDEX($FO$325:$IH$396,FU$169,1+SwaptionShift):INDEX($FO$325:$IH$396,FU$169,SwaptionMonthsToGo+SwaptionShift),INDEX($FO$245:$IH$316,$FN239-FU$169,73-FU$169+SwaptionShift):INDEX($FO$245:$IH$316,$FN239-FU$169,72-FU$169+SwaptionMonthsToGo+SwaptionShift))/SQRT(SUM(INDEX($FO394:$IH394,1+SwaptionShift):INDEX($FO394:$IH394,SwaptionMonthsToGo+SwaptionShift))*SUM(INDEX($FO$325:$IH$396,FU$169,1+SwaptionShift):INDEX($FO$325:$IH$396,FU$169,SwaptionMonthsToGo+SwaptionShift))))))</f>
        <v/>
      </c>
      <c r="FV239" s="469" t="str">
        <f ca="1">IF(OR(FV$169&lt;SwaptionFirstMonthPosition+1,$FN239&lt;SwaptionFirstMonthPosition+1,FV$169&gt;SwaptionFirstMonthPosition+SwaptionNumOfMonths+1,$FN239&gt;SwaptionFirstMonthPosition+SwaptionNumOfMonths+1),"",IF($FN239=FV$169,1,IF($FN239&lt;FV$169,INDEX($FO$170:$IH$241,FV$169,$FN239),SUMPRODUCT(INDEX($FO$325:$IH$396,FV$169,1+SwaptionShift):INDEX($FO$325:$IH$396,FV$169,SwaptionMonthsToGo+SwaptionShift),INDEX($FO$245:$IH$316,$FN239-FV$169,73-FV$169+SwaptionShift):INDEX($FO$245:$IH$316,$FN239-FV$169,72-FV$169+SwaptionMonthsToGo+SwaptionShift))/SQRT(SUM(INDEX($FO394:$IH394,1+SwaptionShift):INDEX($FO394:$IH394,SwaptionMonthsToGo+SwaptionShift))*SUM(INDEX($FO$325:$IH$396,FV$169,1+SwaptionShift):INDEX($FO$325:$IH$396,FV$169,SwaptionMonthsToGo+SwaptionShift))))))</f>
        <v/>
      </c>
      <c r="FW239" s="469" t="str">
        <f ca="1">IF(OR(FW$169&lt;SwaptionFirstMonthPosition+1,$FN239&lt;SwaptionFirstMonthPosition+1,FW$169&gt;SwaptionFirstMonthPosition+SwaptionNumOfMonths+1,$FN239&gt;SwaptionFirstMonthPosition+SwaptionNumOfMonths+1),"",IF($FN239=FW$169,1,IF($FN239&lt;FW$169,INDEX($FO$170:$IH$241,FW$169,$FN239),SUMPRODUCT(INDEX($FO$325:$IH$396,FW$169,1+SwaptionShift):INDEX($FO$325:$IH$396,FW$169,SwaptionMonthsToGo+SwaptionShift),INDEX($FO$245:$IH$316,$FN239-FW$169,73-FW$169+SwaptionShift):INDEX($FO$245:$IH$316,$FN239-FW$169,72-FW$169+SwaptionMonthsToGo+SwaptionShift))/SQRT(SUM(INDEX($FO394:$IH394,1+SwaptionShift):INDEX($FO394:$IH394,SwaptionMonthsToGo+SwaptionShift))*SUM(INDEX($FO$325:$IH$396,FW$169,1+SwaptionShift):INDEX($FO$325:$IH$396,FW$169,SwaptionMonthsToGo+SwaptionShift))))))</f>
        <v/>
      </c>
      <c r="FX239" s="469" t="str">
        <f ca="1">IF(OR(FX$169&lt;SwaptionFirstMonthPosition+1,$FN239&lt;SwaptionFirstMonthPosition+1,FX$169&gt;SwaptionFirstMonthPosition+SwaptionNumOfMonths+1,$FN239&gt;SwaptionFirstMonthPosition+SwaptionNumOfMonths+1),"",IF($FN239=FX$169,1,IF($FN239&lt;FX$169,INDEX($FO$170:$IH$241,FX$169,$FN239),SUMPRODUCT(INDEX($FO$325:$IH$396,FX$169,1+SwaptionShift):INDEX($FO$325:$IH$396,FX$169,SwaptionMonthsToGo+SwaptionShift),INDEX($FO$245:$IH$316,$FN239-FX$169,73-FX$169+SwaptionShift):INDEX($FO$245:$IH$316,$FN239-FX$169,72-FX$169+SwaptionMonthsToGo+SwaptionShift))/SQRT(SUM(INDEX($FO394:$IH394,1+SwaptionShift):INDEX($FO394:$IH394,SwaptionMonthsToGo+SwaptionShift))*SUM(INDEX($FO$325:$IH$396,FX$169,1+SwaptionShift):INDEX($FO$325:$IH$396,FX$169,SwaptionMonthsToGo+SwaptionShift))))))</f>
        <v/>
      </c>
      <c r="FY239" s="469" t="str">
        <f ca="1">IF(OR(FY$169&lt;SwaptionFirstMonthPosition+1,$FN239&lt;SwaptionFirstMonthPosition+1,FY$169&gt;SwaptionFirstMonthPosition+SwaptionNumOfMonths+1,$FN239&gt;SwaptionFirstMonthPosition+SwaptionNumOfMonths+1),"",IF($FN239=FY$169,1,IF($FN239&lt;FY$169,INDEX($FO$170:$IH$241,FY$169,$FN239),SUMPRODUCT(INDEX($FO$325:$IH$396,FY$169,1+SwaptionShift):INDEX($FO$325:$IH$396,FY$169,SwaptionMonthsToGo+SwaptionShift),INDEX($FO$245:$IH$316,$FN239-FY$169,73-FY$169+SwaptionShift):INDEX($FO$245:$IH$316,$FN239-FY$169,72-FY$169+SwaptionMonthsToGo+SwaptionShift))/SQRT(SUM(INDEX($FO394:$IH394,1+SwaptionShift):INDEX($FO394:$IH394,SwaptionMonthsToGo+SwaptionShift))*SUM(INDEX($FO$325:$IH$396,FY$169,1+SwaptionShift):INDEX($FO$325:$IH$396,FY$169,SwaptionMonthsToGo+SwaptionShift))))))</f>
        <v/>
      </c>
      <c r="FZ239" s="469" t="str">
        <f ca="1">IF(OR(FZ$169&lt;SwaptionFirstMonthPosition+1,$FN239&lt;SwaptionFirstMonthPosition+1,FZ$169&gt;SwaptionFirstMonthPosition+SwaptionNumOfMonths+1,$FN239&gt;SwaptionFirstMonthPosition+SwaptionNumOfMonths+1),"",IF($FN239=FZ$169,1,IF($FN239&lt;FZ$169,INDEX($FO$170:$IH$241,FZ$169,$FN239),SUMPRODUCT(INDEX($FO$325:$IH$396,FZ$169,1+SwaptionShift):INDEX($FO$325:$IH$396,FZ$169,SwaptionMonthsToGo+SwaptionShift),INDEX($FO$245:$IH$316,$FN239-FZ$169,73-FZ$169+SwaptionShift):INDEX($FO$245:$IH$316,$FN239-FZ$169,72-FZ$169+SwaptionMonthsToGo+SwaptionShift))/SQRT(SUM(INDEX($FO394:$IH394,1+SwaptionShift):INDEX($FO394:$IH394,SwaptionMonthsToGo+SwaptionShift))*SUM(INDEX($FO$325:$IH$396,FZ$169,1+SwaptionShift):INDEX($FO$325:$IH$396,FZ$169,SwaptionMonthsToGo+SwaptionShift))))))</f>
        <v/>
      </c>
      <c r="GA239" s="469" t="str">
        <f ca="1">IF(OR(GA$169&lt;SwaptionFirstMonthPosition+1,$FN239&lt;SwaptionFirstMonthPosition+1,GA$169&gt;SwaptionFirstMonthPosition+SwaptionNumOfMonths+1,$FN239&gt;SwaptionFirstMonthPosition+SwaptionNumOfMonths+1),"",IF($FN239=GA$169,1,IF($FN239&lt;GA$169,INDEX($FO$170:$IH$241,GA$169,$FN239),SUMPRODUCT(INDEX($FO$325:$IH$396,GA$169,1+SwaptionShift):INDEX($FO$325:$IH$396,GA$169,SwaptionMonthsToGo+SwaptionShift),INDEX($FO$245:$IH$316,$FN239-GA$169,73-GA$169+SwaptionShift):INDEX($FO$245:$IH$316,$FN239-GA$169,72-GA$169+SwaptionMonthsToGo+SwaptionShift))/SQRT(SUM(INDEX($FO394:$IH394,1+SwaptionShift):INDEX($FO394:$IH394,SwaptionMonthsToGo+SwaptionShift))*SUM(INDEX($FO$325:$IH$396,GA$169,1+SwaptionShift):INDEX($FO$325:$IH$396,GA$169,SwaptionMonthsToGo+SwaptionShift))))))</f>
        <v/>
      </c>
      <c r="GB239" s="469" t="str">
        <f ca="1">IF(OR(GB$169&lt;SwaptionFirstMonthPosition+1,$FN239&lt;SwaptionFirstMonthPosition+1,GB$169&gt;SwaptionFirstMonthPosition+SwaptionNumOfMonths+1,$FN239&gt;SwaptionFirstMonthPosition+SwaptionNumOfMonths+1),"",IF($FN239=GB$169,1,IF($FN239&lt;GB$169,INDEX($FO$170:$IH$241,GB$169,$FN239),SUMPRODUCT(INDEX($FO$325:$IH$396,GB$169,1+SwaptionShift):INDEX($FO$325:$IH$396,GB$169,SwaptionMonthsToGo+SwaptionShift),INDEX($FO$245:$IH$316,$FN239-GB$169,73-GB$169+SwaptionShift):INDEX($FO$245:$IH$316,$FN239-GB$169,72-GB$169+SwaptionMonthsToGo+SwaptionShift))/SQRT(SUM(INDEX($FO394:$IH394,1+SwaptionShift):INDEX($FO394:$IH394,SwaptionMonthsToGo+SwaptionShift))*SUM(INDEX($FO$325:$IH$396,GB$169,1+SwaptionShift):INDEX($FO$325:$IH$396,GB$169,SwaptionMonthsToGo+SwaptionShift))))))</f>
        <v/>
      </c>
      <c r="GC239" s="469" t="str">
        <f ca="1">IF(OR(GC$169&lt;SwaptionFirstMonthPosition+1,$FN239&lt;SwaptionFirstMonthPosition+1,GC$169&gt;SwaptionFirstMonthPosition+SwaptionNumOfMonths+1,$FN239&gt;SwaptionFirstMonthPosition+SwaptionNumOfMonths+1),"",IF($FN239=GC$169,1,IF($FN239&lt;GC$169,INDEX($FO$170:$IH$241,GC$169,$FN239),SUMPRODUCT(INDEX($FO$325:$IH$396,GC$169,1+SwaptionShift):INDEX($FO$325:$IH$396,GC$169,SwaptionMonthsToGo+SwaptionShift),INDEX($FO$245:$IH$316,$FN239-GC$169,73-GC$169+SwaptionShift):INDEX($FO$245:$IH$316,$FN239-GC$169,72-GC$169+SwaptionMonthsToGo+SwaptionShift))/SQRT(SUM(INDEX($FO394:$IH394,1+SwaptionShift):INDEX($FO394:$IH394,SwaptionMonthsToGo+SwaptionShift))*SUM(INDEX($FO$325:$IH$396,GC$169,1+SwaptionShift):INDEX($FO$325:$IH$396,GC$169,SwaptionMonthsToGo+SwaptionShift))))))</f>
        <v/>
      </c>
      <c r="GD239" s="469" t="str">
        <f ca="1">IF(OR(GD$169&lt;SwaptionFirstMonthPosition+1,$FN239&lt;SwaptionFirstMonthPosition+1,GD$169&gt;SwaptionFirstMonthPosition+SwaptionNumOfMonths+1,$FN239&gt;SwaptionFirstMonthPosition+SwaptionNumOfMonths+1),"",IF($FN239=GD$169,1,IF($FN239&lt;GD$169,INDEX($FO$170:$IH$241,GD$169,$FN239),SUMPRODUCT(INDEX($FO$325:$IH$396,GD$169,1+SwaptionShift):INDEX($FO$325:$IH$396,GD$169,SwaptionMonthsToGo+SwaptionShift),INDEX($FO$245:$IH$316,$FN239-GD$169,73-GD$169+SwaptionShift):INDEX($FO$245:$IH$316,$FN239-GD$169,72-GD$169+SwaptionMonthsToGo+SwaptionShift))/SQRT(SUM(INDEX($FO394:$IH394,1+SwaptionShift):INDEX($FO394:$IH394,SwaptionMonthsToGo+SwaptionShift))*SUM(INDEX($FO$325:$IH$396,GD$169,1+SwaptionShift):INDEX($FO$325:$IH$396,GD$169,SwaptionMonthsToGo+SwaptionShift))))))</f>
        <v/>
      </c>
      <c r="GE239" s="469" t="str">
        <f ca="1">IF(OR(GE$169&lt;SwaptionFirstMonthPosition+1,$FN239&lt;SwaptionFirstMonthPosition+1,GE$169&gt;SwaptionFirstMonthPosition+SwaptionNumOfMonths+1,$FN239&gt;SwaptionFirstMonthPosition+SwaptionNumOfMonths+1),"",IF($FN239=GE$169,1,IF($FN239&lt;GE$169,INDEX($FO$170:$IH$241,GE$169,$FN239),SUMPRODUCT(INDEX($FO$325:$IH$396,GE$169,1+SwaptionShift):INDEX($FO$325:$IH$396,GE$169,SwaptionMonthsToGo+SwaptionShift),INDEX($FO$245:$IH$316,$FN239-GE$169,73-GE$169+SwaptionShift):INDEX($FO$245:$IH$316,$FN239-GE$169,72-GE$169+SwaptionMonthsToGo+SwaptionShift))/SQRT(SUM(INDEX($FO394:$IH394,1+SwaptionShift):INDEX($FO394:$IH394,SwaptionMonthsToGo+SwaptionShift))*SUM(INDEX($FO$325:$IH$396,GE$169,1+SwaptionShift):INDEX($FO$325:$IH$396,GE$169,SwaptionMonthsToGo+SwaptionShift))))))</f>
        <v/>
      </c>
      <c r="GF239" s="469" t="str">
        <f ca="1">IF(OR(GF$169&lt;SwaptionFirstMonthPosition+1,$FN239&lt;SwaptionFirstMonthPosition+1,GF$169&gt;SwaptionFirstMonthPosition+SwaptionNumOfMonths+1,$FN239&gt;SwaptionFirstMonthPosition+SwaptionNumOfMonths+1),"",IF($FN239=GF$169,1,IF($FN239&lt;GF$169,INDEX($FO$170:$IH$241,GF$169,$FN239),SUMPRODUCT(INDEX($FO$325:$IH$396,GF$169,1+SwaptionShift):INDEX($FO$325:$IH$396,GF$169,SwaptionMonthsToGo+SwaptionShift),INDEX($FO$245:$IH$316,$FN239-GF$169,73-GF$169+SwaptionShift):INDEX($FO$245:$IH$316,$FN239-GF$169,72-GF$169+SwaptionMonthsToGo+SwaptionShift))/SQRT(SUM(INDEX($FO394:$IH394,1+SwaptionShift):INDEX($FO394:$IH394,SwaptionMonthsToGo+SwaptionShift))*SUM(INDEX($FO$325:$IH$396,GF$169,1+SwaptionShift):INDEX($FO$325:$IH$396,GF$169,SwaptionMonthsToGo+SwaptionShift))))))</f>
        <v/>
      </c>
      <c r="GG239" s="469" t="str">
        <f ca="1">IF(OR(GG$169&lt;SwaptionFirstMonthPosition+1,$FN239&lt;SwaptionFirstMonthPosition+1,GG$169&gt;SwaptionFirstMonthPosition+SwaptionNumOfMonths+1,$FN239&gt;SwaptionFirstMonthPosition+SwaptionNumOfMonths+1),"",IF($FN239=GG$169,1,IF($FN239&lt;GG$169,INDEX($FO$170:$IH$241,GG$169,$FN239),SUMPRODUCT(INDEX($FO$325:$IH$396,GG$169,1+SwaptionShift):INDEX($FO$325:$IH$396,GG$169,SwaptionMonthsToGo+SwaptionShift),INDEX($FO$245:$IH$316,$FN239-GG$169,73-GG$169+SwaptionShift):INDEX($FO$245:$IH$316,$FN239-GG$169,72-GG$169+SwaptionMonthsToGo+SwaptionShift))/SQRT(SUM(INDEX($FO394:$IH394,1+SwaptionShift):INDEX($FO394:$IH394,SwaptionMonthsToGo+SwaptionShift))*SUM(INDEX($FO$325:$IH$396,GG$169,1+SwaptionShift):INDEX($FO$325:$IH$396,GG$169,SwaptionMonthsToGo+SwaptionShift))))))</f>
        <v/>
      </c>
      <c r="GH239" s="469" t="str">
        <f ca="1">IF(OR(GH$169&lt;SwaptionFirstMonthPosition+1,$FN239&lt;SwaptionFirstMonthPosition+1,GH$169&gt;SwaptionFirstMonthPosition+SwaptionNumOfMonths+1,$FN239&gt;SwaptionFirstMonthPosition+SwaptionNumOfMonths+1),"",IF($FN239=GH$169,1,IF($FN239&lt;GH$169,INDEX($FO$170:$IH$241,GH$169,$FN239),SUMPRODUCT(INDEX($FO$325:$IH$396,GH$169,1+SwaptionShift):INDEX($FO$325:$IH$396,GH$169,SwaptionMonthsToGo+SwaptionShift),INDEX($FO$245:$IH$316,$FN239-GH$169,73-GH$169+SwaptionShift):INDEX($FO$245:$IH$316,$FN239-GH$169,72-GH$169+SwaptionMonthsToGo+SwaptionShift))/SQRT(SUM(INDEX($FO394:$IH394,1+SwaptionShift):INDEX($FO394:$IH394,SwaptionMonthsToGo+SwaptionShift))*SUM(INDEX($FO$325:$IH$396,GH$169,1+SwaptionShift):INDEX($FO$325:$IH$396,GH$169,SwaptionMonthsToGo+SwaptionShift))))))</f>
        <v/>
      </c>
      <c r="GI239" s="469" t="str">
        <f ca="1">IF(OR(GI$169&lt;SwaptionFirstMonthPosition+1,$FN239&lt;SwaptionFirstMonthPosition+1,GI$169&gt;SwaptionFirstMonthPosition+SwaptionNumOfMonths+1,$FN239&gt;SwaptionFirstMonthPosition+SwaptionNumOfMonths+1),"",IF($FN239=GI$169,1,IF($FN239&lt;GI$169,INDEX($FO$170:$IH$241,GI$169,$FN239),SUMPRODUCT(INDEX($FO$325:$IH$396,GI$169,1+SwaptionShift):INDEX($FO$325:$IH$396,GI$169,SwaptionMonthsToGo+SwaptionShift),INDEX($FO$245:$IH$316,$FN239-GI$169,73-GI$169+SwaptionShift):INDEX($FO$245:$IH$316,$FN239-GI$169,72-GI$169+SwaptionMonthsToGo+SwaptionShift))/SQRT(SUM(INDEX($FO394:$IH394,1+SwaptionShift):INDEX($FO394:$IH394,SwaptionMonthsToGo+SwaptionShift))*SUM(INDEX($FO$325:$IH$396,GI$169,1+SwaptionShift):INDEX($FO$325:$IH$396,GI$169,SwaptionMonthsToGo+SwaptionShift))))))</f>
        <v/>
      </c>
      <c r="GJ239" s="469" t="str">
        <f ca="1">IF(OR(GJ$169&lt;SwaptionFirstMonthPosition+1,$FN239&lt;SwaptionFirstMonthPosition+1,GJ$169&gt;SwaptionFirstMonthPosition+SwaptionNumOfMonths+1,$FN239&gt;SwaptionFirstMonthPosition+SwaptionNumOfMonths+1),"",IF($FN239=GJ$169,1,IF($FN239&lt;GJ$169,INDEX($FO$170:$IH$241,GJ$169,$FN239),SUMPRODUCT(INDEX($FO$325:$IH$396,GJ$169,1+SwaptionShift):INDEX($FO$325:$IH$396,GJ$169,SwaptionMonthsToGo+SwaptionShift),INDEX($FO$245:$IH$316,$FN239-GJ$169,73-GJ$169+SwaptionShift):INDEX($FO$245:$IH$316,$FN239-GJ$169,72-GJ$169+SwaptionMonthsToGo+SwaptionShift))/SQRT(SUM(INDEX($FO394:$IH394,1+SwaptionShift):INDEX($FO394:$IH394,SwaptionMonthsToGo+SwaptionShift))*SUM(INDEX($FO$325:$IH$396,GJ$169,1+SwaptionShift):INDEX($FO$325:$IH$396,GJ$169,SwaptionMonthsToGo+SwaptionShift))))))</f>
        <v/>
      </c>
      <c r="GK239" s="469" t="str">
        <f ca="1">IF(OR(GK$169&lt;SwaptionFirstMonthPosition+1,$FN239&lt;SwaptionFirstMonthPosition+1,GK$169&gt;SwaptionFirstMonthPosition+SwaptionNumOfMonths+1,$FN239&gt;SwaptionFirstMonthPosition+SwaptionNumOfMonths+1),"",IF($FN239=GK$169,1,IF($FN239&lt;GK$169,INDEX($FO$170:$IH$241,GK$169,$FN239),SUMPRODUCT(INDEX($FO$325:$IH$396,GK$169,1+SwaptionShift):INDEX($FO$325:$IH$396,GK$169,SwaptionMonthsToGo+SwaptionShift),INDEX($FO$245:$IH$316,$FN239-GK$169,73-GK$169+SwaptionShift):INDEX($FO$245:$IH$316,$FN239-GK$169,72-GK$169+SwaptionMonthsToGo+SwaptionShift))/SQRT(SUM(INDEX($FO394:$IH394,1+SwaptionShift):INDEX($FO394:$IH394,SwaptionMonthsToGo+SwaptionShift))*SUM(INDEX($FO$325:$IH$396,GK$169,1+SwaptionShift):INDEX($FO$325:$IH$396,GK$169,SwaptionMonthsToGo+SwaptionShift))))))</f>
        <v/>
      </c>
      <c r="GL239" s="469" t="str">
        <f ca="1">IF(OR(GL$169&lt;SwaptionFirstMonthPosition+1,$FN239&lt;SwaptionFirstMonthPosition+1,GL$169&gt;SwaptionFirstMonthPosition+SwaptionNumOfMonths+1,$FN239&gt;SwaptionFirstMonthPosition+SwaptionNumOfMonths+1),"",IF($FN239=GL$169,1,IF($FN239&lt;GL$169,INDEX($FO$170:$IH$241,GL$169,$FN239),SUMPRODUCT(INDEX($FO$325:$IH$396,GL$169,1+SwaptionShift):INDEX($FO$325:$IH$396,GL$169,SwaptionMonthsToGo+SwaptionShift),INDEX($FO$245:$IH$316,$FN239-GL$169,73-GL$169+SwaptionShift):INDEX($FO$245:$IH$316,$FN239-GL$169,72-GL$169+SwaptionMonthsToGo+SwaptionShift))/SQRT(SUM(INDEX($FO394:$IH394,1+SwaptionShift):INDEX($FO394:$IH394,SwaptionMonthsToGo+SwaptionShift))*SUM(INDEX($FO$325:$IH$396,GL$169,1+SwaptionShift):INDEX($FO$325:$IH$396,GL$169,SwaptionMonthsToGo+SwaptionShift))))))</f>
        <v/>
      </c>
      <c r="GM239" s="469" t="str">
        <f ca="1">IF(OR(GM$169&lt;SwaptionFirstMonthPosition+1,$FN239&lt;SwaptionFirstMonthPosition+1,GM$169&gt;SwaptionFirstMonthPosition+SwaptionNumOfMonths+1,$FN239&gt;SwaptionFirstMonthPosition+SwaptionNumOfMonths+1),"",IF($FN239=GM$169,1,IF($FN239&lt;GM$169,INDEX($FO$170:$IH$241,GM$169,$FN239),SUMPRODUCT(INDEX($FO$325:$IH$396,GM$169,1+SwaptionShift):INDEX($FO$325:$IH$396,GM$169,SwaptionMonthsToGo+SwaptionShift),INDEX($FO$245:$IH$316,$FN239-GM$169,73-GM$169+SwaptionShift):INDEX($FO$245:$IH$316,$FN239-GM$169,72-GM$169+SwaptionMonthsToGo+SwaptionShift))/SQRT(SUM(INDEX($FO394:$IH394,1+SwaptionShift):INDEX($FO394:$IH394,SwaptionMonthsToGo+SwaptionShift))*SUM(INDEX($FO$325:$IH$396,GM$169,1+SwaptionShift):INDEX($FO$325:$IH$396,GM$169,SwaptionMonthsToGo+SwaptionShift))))))</f>
        <v/>
      </c>
      <c r="GN239" s="469" t="str">
        <f ca="1">IF(OR(GN$169&lt;SwaptionFirstMonthPosition+1,$FN239&lt;SwaptionFirstMonthPosition+1,GN$169&gt;SwaptionFirstMonthPosition+SwaptionNumOfMonths+1,$FN239&gt;SwaptionFirstMonthPosition+SwaptionNumOfMonths+1),"",IF($FN239=GN$169,1,IF($FN239&lt;GN$169,INDEX($FO$170:$IH$241,GN$169,$FN239),SUMPRODUCT(INDEX($FO$325:$IH$396,GN$169,1+SwaptionShift):INDEX($FO$325:$IH$396,GN$169,SwaptionMonthsToGo+SwaptionShift),INDEX($FO$245:$IH$316,$FN239-GN$169,73-GN$169+SwaptionShift):INDEX($FO$245:$IH$316,$FN239-GN$169,72-GN$169+SwaptionMonthsToGo+SwaptionShift))/SQRT(SUM(INDEX($FO394:$IH394,1+SwaptionShift):INDEX($FO394:$IH394,SwaptionMonthsToGo+SwaptionShift))*SUM(INDEX($FO$325:$IH$396,GN$169,1+SwaptionShift):INDEX($FO$325:$IH$396,GN$169,SwaptionMonthsToGo+SwaptionShift))))))</f>
        <v/>
      </c>
      <c r="GO239" s="469" t="str">
        <f ca="1">IF(OR(GO$169&lt;SwaptionFirstMonthPosition+1,$FN239&lt;SwaptionFirstMonthPosition+1,GO$169&gt;SwaptionFirstMonthPosition+SwaptionNumOfMonths+1,$FN239&gt;SwaptionFirstMonthPosition+SwaptionNumOfMonths+1),"",IF($FN239=GO$169,1,IF($FN239&lt;GO$169,INDEX($FO$170:$IH$241,GO$169,$FN239),SUMPRODUCT(INDEX($FO$325:$IH$396,GO$169,1+SwaptionShift):INDEX($FO$325:$IH$396,GO$169,SwaptionMonthsToGo+SwaptionShift),INDEX($FO$245:$IH$316,$FN239-GO$169,73-GO$169+SwaptionShift):INDEX($FO$245:$IH$316,$FN239-GO$169,72-GO$169+SwaptionMonthsToGo+SwaptionShift))/SQRT(SUM(INDEX($FO394:$IH394,1+SwaptionShift):INDEX($FO394:$IH394,SwaptionMonthsToGo+SwaptionShift))*SUM(INDEX($FO$325:$IH$396,GO$169,1+SwaptionShift):INDEX($FO$325:$IH$396,GO$169,SwaptionMonthsToGo+SwaptionShift))))))</f>
        <v/>
      </c>
      <c r="GP239" s="469" t="str">
        <f ca="1">IF(OR(GP$169&lt;SwaptionFirstMonthPosition+1,$FN239&lt;SwaptionFirstMonthPosition+1,GP$169&gt;SwaptionFirstMonthPosition+SwaptionNumOfMonths+1,$FN239&gt;SwaptionFirstMonthPosition+SwaptionNumOfMonths+1),"",IF($FN239=GP$169,1,IF($FN239&lt;GP$169,INDEX($FO$170:$IH$241,GP$169,$FN239),SUMPRODUCT(INDEX($FO$325:$IH$396,GP$169,1+SwaptionShift):INDEX($FO$325:$IH$396,GP$169,SwaptionMonthsToGo+SwaptionShift),INDEX($FO$245:$IH$316,$FN239-GP$169,73-GP$169+SwaptionShift):INDEX($FO$245:$IH$316,$FN239-GP$169,72-GP$169+SwaptionMonthsToGo+SwaptionShift))/SQRT(SUM(INDEX($FO394:$IH394,1+SwaptionShift):INDEX($FO394:$IH394,SwaptionMonthsToGo+SwaptionShift))*SUM(INDEX($FO$325:$IH$396,GP$169,1+SwaptionShift):INDEX($FO$325:$IH$396,GP$169,SwaptionMonthsToGo+SwaptionShift))))))</f>
        <v/>
      </c>
      <c r="GQ239" s="469" t="str">
        <f ca="1">IF(OR(GQ$169&lt;SwaptionFirstMonthPosition+1,$FN239&lt;SwaptionFirstMonthPosition+1,GQ$169&gt;SwaptionFirstMonthPosition+SwaptionNumOfMonths+1,$FN239&gt;SwaptionFirstMonthPosition+SwaptionNumOfMonths+1),"",IF($FN239=GQ$169,1,IF($FN239&lt;GQ$169,INDEX($FO$170:$IH$241,GQ$169,$FN239),SUMPRODUCT(INDEX($FO$325:$IH$396,GQ$169,1+SwaptionShift):INDEX($FO$325:$IH$396,GQ$169,SwaptionMonthsToGo+SwaptionShift),INDEX($FO$245:$IH$316,$FN239-GQ$169,73-GQ$169+SwaptionShift):INDEX($FO$245:$IH$316,$FN239-GQ$169,72-GQ$169+SwaptionMonthsToGo+SwaptionShift))/SQRT(SUM(INDEX($FO394:$IH394,1+SwaptionShift):INDEX($FO394:$IH394,SwaptionMonthsToGo+SwaptionShift))*SUM(INDEX($FO$325:$IH$396,GQ$169,1+SwaptionShift):INDEX($FO$325:$IH$396,GQ$169,SwaptionMonthsToGo+SwaptionShift))))))</f>
        <v/>
      </c>
      <c r="GR239" s="469" t="str">
        <f ca="1">IF(OR(GR$169&lt;SwaptionFirstMonthPosition+1,$FN239&lt;SwaptionFirstMonthPosition+1,GR$169&gt;SwaptionFirstMonthPosition+SwaptionNumOfMonths+1,$FN239&gt;SwaptionFirstMonthPosition+SwaptionNumOfMonths+1),"",IF($FN239=GR$169,1,IF($FN239&lt;GR$169,INDEX($FO$170:$IH$241,GR$169,$FN239),SUMPRODUCT(INDEX($FO$325:$IH$396,GR$169,1+SwaptionShift):INDEX($FO$325:$IH$396,GR$169,SwaptionMonthsToGo+SwaptionShift),INDEX($FO$245:$IH$316,$FN239-GR$169,73-GR$169+SwaptionShift):INDEX($FO$245:$IH$316,$FN239-GR$169,72-GR$169+SwaptionMonthsToGo+SwaptionShift))/SQRT(SUM(INDEX($FO394:$IH394,1+SwaptionShift):INDEX($FO394:$IH394,SwaptionMonthsToGo+SwaptionShift))*SUM(INDEX($FO$325:$IH$396,GR$169,1+SwaptionShift):INDEX($FO$325:$IH$396,GR$169,SwaptionMonthsToGo+SwaptionShift))))))</f>
        <v/>
      </c>
      <c r="GS239" s="469" t="str">
        <f ca="1">IF(OR(GS$169&lt;SwaptionFirstMonthPosition+1,$FN239&lt;SwaptionFirstMonthPosition+1,GS$169&gt;SwaptionFirstMonthPosition+SwaptionNumOfMonths+1,$FN239&gt;SwaptionFirstMonthPosition+SwaptionNumOfMonths+1),"",IF($FN239=GS$169,1,IF($FN239&lt;GS$169,INDEX($FO$170:$IH$241,GS$169,$FN239),SUMPRODUCT(INDEX($FO$325:$IH$396,GS$169,1+SwaptionShift):INDEX($FO$325:$IH$396,GS$169,SwaptionMonthsToGo+SwaptionShift),INDEX($FO$245:$IH$316,$FN239-GS$169,73-GS$169+SwaptionShift):INDEX($FO$245:$IH$316,$FN239-GS$169,72-GS$169+SwaptionMonthsToGo+SwaptionShift))/SQRT(SUM(INDEX($FO394:$IH394,1+SwaptionShift):INDEX($FO394:$IH394,SwaptionMonthsToGo+SwaptionShift))*SUM(INDEX($FO$325:$IH$396,GS$169,1+SwaptionShift):INDEX($FO$325:$IH$396,GS$169,SwaptionMonthsToGo+SwaptionShift))))))</f>
        <v/>
      </c>
      <c r="GT239" s="469" t="str">
        <f ca="1">IF(OR(GT$169&lt;SwaptionFirstMonthPosition+1,$FN239&lt;SwaptionFirstMonthPosition+1,GT$169&gt;SwaptionFirstMonthPosition+SwaptionNumOfMonths+1,$FN239&gt;SwaptionFirstMonthPosition+SwaptionNumOfMonths+1),"",IF($FN239=GT$169,1,IF($FN239&lt;GT$169,INDEX($FO$170:$IH$241,GT$169,$FN239),SUMPRODUCT(INDEX($FO$325:$IH$396,GT$169,1+SwaptionShift):INDEX($FO$325:$IH$396,GT$169,SwaptionMonthsToGo+SwaptionShift),INDEX($FO$245:$IH$316,$FN239-GT$169,73-GT$169+SwaptionShift):INDEX($FO$245:$IH$316,$FN239-GT$169,72-GT$169+SwaptionMonthsToGo+SwaptionShift))/SQRT(SUM(INDEX($FO394:$IH394,1+SwaptionShift):INDEX($FO394:$IH394,SwaptionMonthsToGo+SwaptionShift))*SUM(INDEX($FO$325:$IH$396,GT$169,1+SwaptionShift):INDEX($FO$325:$IH$396,GT$169,SwaptionMonthsToGo+SwaptionShift))))))</f>
        <v/>
      </c>
      <c r="GU239" s="469" t="str">
        <f ca="1">IF(OR(GU$169&lt;SwaptionFirstMonthPosition+1,$FN239&lt;SwaptionFirstMonthPosition+1,GU$169&gt;SwaptionFirstMonthPosition+SwaptionNumOfMonths+1,$FN239&gt;SwaptionFirstMonthPosition+SwaptionNumOfMonths+1),"",IF($FN239=GU$169,1,IF($FN239&lt;GU$169,INDEX($FO$170:$IH$241,GU$169,$FN239),SUMPRODUCT(INDEX($FO$325:$IH$396,GU$169,1+SwaptionShift):INDEX($FO$325:$IH$396,GU$169,SwaptionMonthsToGo+SwaptionShift),INDEX($FO$245:$IH$316,$FN239-GU$169,73-GU$169+SwaptionShift):INDEX($FO$245:$IH$316,$FN239-GU$169,72-GU$169+SwaptionMonthsToGo+SwaptionShift))/SQRT(SUM(INDEX($FO394:$IH394,1+SwaptionShift):INDEX($FO394:$IH394,SwaptionMonthsToGo+SwaptionShift))*SUM(INDEX($FO$325:$IH$396,GU$169,1+SwaptionShift):INDEX($FO$325:$IH$396,GU$169,SwaptionMonthsToGo+SwaptionShift))))))</f>
        <v/>
      </c>
      <c r="GV239" s="469" t="str">
        <f ca="1">IF(OR(GV$169&lt;SwaptionFirstMonthPosition+1,$FN239&lt;SwaptionFirstMonthPosition+1,GV$169&gt;SwaptionFirstMonthPosition+SwaptionNumOfMonths+1,$FN239&gt;SwaptionFirstMonthPosition+SwaptionNumOfMonths+1),"",IF($FN239=GV$169,1,IF($FN239&lt;GV$169,INDEX($FO$170:$IH$241,GV$169,$FN239),SUMPRODUCT(INDEX($FO$325:$IH$396,GV$169,1+SwaptionShift):INDEX($FO$325:$IH$396,GV$169,SwaptionMonthsToGo+SwaptionShift),INDEX($FO$245:$IH$316,$FN239-GV$169,73-GV$169+SwaptionShift):INDEX($FO$245:$IH$316,$FN239-GV$169,72-GV$169+SwaptionMonthsToGo+SwaptionShift))/SQRT(SUM(INDEX($FO394:$IH394,1+SwaptionShift):INDEX($FO394:$IH394,SwaptionMonthsToGo+SwaptionShift))*SUM(INDEX($FO$325:$IH$396,GV$169,1+SwaptionShift):INDEX($FO$325:$IH$396,GV$169,SwaptionMonthsToGo+SwaptionShift))))))</f>
        <v/>
      </c>
      <c r="GW239" s="469" t="str">
        <f ca="1">IF(OR(GW$169&lt;SwaptionFirstMonthPosition+1,$FN239&lt;SwaptionFirstMonthPosition+1,GW$169&gt;SwaptionFirstMonthPosition+SwaptionNumOfMonths+1,$FN239&gt;SwaptionFirstMonthPosition+SwaptionNumOfMonths+1),"",IF($FN239=GW$169,1,IF($FN239&lt;GW$169,INDEX($FO$170:$IH$241,GW$169,$FN239),SUMPRODUCT(INDEX($FO$325:$IH$396,GW$169,1+SwaptionShift):INDEX($FO$325:$IH$396,GW$169,SwaptionMonthsToGo+SwaptionShift),INDEX($FO$245:$IH$316,$FN239-GW$169,73-GW$169+SwaptionShift):INDEX($FO$245:$IH$316,$FN239-GW$169,72-GW$169+SwaptionMonthsToGo+SwaptionShift))/SQRT(SUM(INDEX($FO394:$IH394,1+SwaptionShift):INDEX($FO394:$IH394,SwaptionMonthsToGo+SwaptionShift))*SUM(INDEX($FO$325:$IH$396,GW$169,1+SwaptionShift):INDEX($FO$325:$IH$396,GW$169,SwaptionMonthsToGo+SwaptionShift))))))</f>
        <v/>
      </c>
      <c r="GX239" s="469" t="str">
        <f ca="1">IF(OR(GX$169&lt;SwaptionFirstMonthPosition+1,$FN239&lt;SwaptionFirstMonthPosition+1,GX$169&gt;SwaptionFirstMonthPosition+SwaptionNumOfMonths+1,$FN239&gt;SwaptionFirstMonthPosition+SwaptionNumOfMonths+1),"",IF($FN239=GX$169,1,IF($FN239&lt;GX$169,INDEX($FO$170:$IH$241,GX$169,$FN239),SUMPRODUCT(INDEX($FO$325:$IH$396,GX$169,1+SwaptionShift):INDEX($FO$325:$IH$396,GX$169,SwaptionMonthsToGo+SwaptionShift),INDEX($FO$245:$IH$316,$FN239-GX$169,73-GX$169+SwaptionShift):INDEX($FO$245:$IH$316,$FN239-GX$169,72-GX$169+SwaptionMonthsToGo+SwaptionShift))/SQRT(SUM(INDEX($FO394:$IH394,1+SwaptionShift):INDEX($FO394:$IH394,SwaptionMonthsToGo+SwaptionShift))*SUM(INDEX($FO$325:$IH$396,GX$169,1+SwaptionShift):INDEX($FO$325:$IH$396,GX$169,SwaptionMonthsToGo+SwaptionShift))))))</f>
        <v/>
      </c>
      <c r="GY239" s="469" t="str">
        <f ca="1">IF(OR(GY$169&lt;SwaptionFirstMonthPosition+1,$FN239&lt;SwaptionFirstMonthPosition+1,GY$169&gt;SwaptionFirstMonthPosition+SwaptionNumOfMonths+1,$FN239&gt;SwaptionFirstMonthPosition+SwaptionNumOfMonths+1),"",IF($FN239=GY$169,1,IF($FN239&lt;GY$169,INDEX($FO$170:$IH$241,GY$169,$FN239),SUMPRODUCT(INDEX($FO$325:$IH$396,GY$169,1+SwaptionShift):INDEX($FO$325:$IH$396,GY$169,SwaptionMonthsToGo+SwaptionShift),INDEX($FO$245:$IH$316,$FN239-GY$169,73-GY$169+SwaptionShift):INDEX($FO$245:$IH$316,$FN239-GY$169,72-GY$169+SwaptionMonthsToGo+SwaptionShift))/SQRT(SUM(INDEX($FO394:$IH394,1+SwaptionShift):INDEX($FO394:$IH394,SwaptionMonthsToGo+SwaptionShift))*SUM(INDEX($FO$325:$IH$396,GY$169,1+SwaptionShift):INDEX($FO$325:$IH$396,GY$169,SwaptionMonthsToGo+SwaptionShift))))))</f>
        <v/>
      </c>
      <c r="GZ239" s="469" t="str">
        <f ca="1">IF(OR(GZ$169&lt;SwaptionFirstMonthPosition+1,$FN239&lt;SwaptionFirstMonthPosition+1,GZ$169&gt;SwaptionFirstMonthPosition+SwaptionNumOfMonths+1,$FN239&gt;SwaptionFirstMonthPosition+SwaptionNumOfMonths+1),"",IF($FN239=GZ$169,1,IF($FN239&lt;GZ$169,INDEX($FO$170:$IH$241,GZ$169,$FN239),SUMPRODUCT(INDEX($FO$325:$IH$396,GZ$169,1+SwaptionShift):INDEX($FO$325:$IH$396,GZ$169,SwaptionMonthsToGo+SwaptionShift),INDEX($FO$245:$IH$316,$FN239-GZ$169,73-GZ$169+SwaptionShift):INDEX($FO$245:$IH$316,$FN239-GZ$169,72-GZ$169+SwaptionMonthsToGo+SwaptionShift))/SQRT(SUM(INDEX($FO394:$IH394,1+SwaptionShift):INDEX($FO394:$IH394,SwaptionMonthsToGo+SwaptionShift))*SUM(INDEX($FO$325:$IH$396,GZ$169,1+SwaptionShift):INDEX($FO$325:$IH$396,GZ$169,SwaptionMonthsToGo+SwaptionShift))))))</f>
        <v/>
      </c>
      <c r="HA239" s="469" t="str">
        <f ca="1">IF(OR(HA$169&lt;SwaptionFirstMonthPosition+1,$FN239&lt;SwaptionFirstMonthPosition+1,HA$169&gt;SwaptionFirstMonthPosition+SwaptionNumOfMonths+1,$FN239&gt;SwaptionFirstMonthPosition+SwaptionNumOfMonths+1),"",IF($FN239=HA$169,1,IF($FN239&lt;HA$169,INDEX($FO$170:$IH$241,HA$169,$FN239),SUMPRODUCT(INDEX($FO$325:$IH$396,HA$169,1+SwaptionShift):INDEX($FO$325:$IH$396,HA$169,SwaptionMonthsToGo+SwaptionShift),INDEX($FO$245:$IH$316,$FN239-HA$169,73-HA$169+SwaptionShift):INDEX($FO$245:$IH$316,$FN239-HA$169,72-HA$169+SwaptionMonthsToGo+SwaptionShift))/SQRT(SUM(INDEX($FO394:$IH394,1+SwaptionShift):INDEX($FO394:$IH394,SwaptionMonthsToGo+SwaptionShift))*SUM(INDEX($FO$325:$IH$396,HA$169,1+SwaptionShift):INDEX($FO$325:$IH$396,HA$169,SwaptionMonthsToGo+SwaptionShift))))))</f>
        <v/>
      </c>
      <c r="HB239" s="469" t="str">
        <f ca="1">IF(OR(HB$169&lt;SwaptionFirstMonthPosition+1,$FN239&lt;SwaptionFirstMonthPosition+1,HB$169&gt;SwaptionFirstMonthPosition+SwaptionNumOfMonths+1,$FN239&gt;SwaptionFirstMonthPosition+SwaptionNumOfMonths+1),"",IF($FN239=HB$169,1,IF($FN239&lt;HB$169,INDEX($FO$170:$IH$241,HB$169,$FN239),SUMPRODUCT(INDEX($FO$325:$IH$396,HB$169,1+SwaptionShift):INDEX($FO$325:$IH$396,HB$169,SwaptionMonthsToGo+SwaptionShift),INDEX($FO$245:$IH$316,$FN239-HB$169,73-HB$169+SwaptionShift):INDEX($FO$245:$IH$316,$FN239-HB$169,72-HB$169+SwaptionMonthsToGo+SwaptionShift))/SQRT(SUM(INDEX($FO394:$IH394,1+SwaptionShift):INDEX($FO394:$IH394,SwaptionMonthsToGo+SwaptionShift))*SUM(INDEX($FO$325:$IH$396,HB$169,1+SwaptionShift):INDEX($FO$325:$IH$396,HB$169,SwaptionMonthsToGo+SwaptionShift))))))</f>
        <v/>
      </c>
      <c r="HC239" s="469" t="str">
        <f ca="1">IF(OR(HC$169&lt;SwaptionFirstMonthPosition+1,$FN239&lt;SwaptionFirstMonthPosition+1,HC$169&gt;SwaptionFirstMonthPosition+SwaptionNumOfMonths+1,$FN239&gt;SwaptionFirstMonthPosition+SwaptionNumOfMonths+1),"",IF($FN239=HC$169,1,IF($FN239&lt;HC$169,INDEX($FO$170:$IH$241,HC$169,$FN239),SUMPRODUCT(INDEX($FO$325:$IH$396,HC$169,1+SwaptionShift):INDEX($FO$325:$IH$396,HC$169,SwaptionMonthsToGo+SwaptionShift),INDEX($FO$245:$IH$316,$FN239-HC$169,73-HC$169+SwaptionShift):INDEX($FO$245:$IH$316,$FN239-HC$169,72-HC$169+SwaptionMonthsToGo+SwaptionShift))/SQRT(SUM(INDEX($FO394:$IH394,1+SwaptionShift):INDEX($FO394:$IH394,SwaptionMonthsToGo+SwaptionShift))*SUM(INDEX($FO$325:$IH$396,HC$169,1+SwaptionShift):INDEX($FO$325:$IH$396,HC$169,SwaptionMonthsToGo+SwaptionShift))))))</f>
        <v/>
      </c>
      <c r="HD239" s="469" t="str">
        <f ca="1">IF(OR(HD$169&lt;SwaptionFirstMonthPosition+1,$FN239&lt;SwaptionFirstMonthPosition+1,HD$169&gt;SwaptionFirstMonthPosition+SwaptionNumOfMonths+1,$FN239&gt;SwaptionFirstMonthPosition+SwaptionNumOfMonths+1),"",IF($FN239=HD$169,1,IF($FN239&lt;HD$169,INDEX($FO$170:$IH$241,HD$169,$FN239),SUMPRODUCT(INDEX($FO$325:$IH$396,HD$169,1+SwaptionShift):INDEX($FO$325:$IH$396,HD$169,SwaptionMonthsToGo+SwaptionShift),INDEX($FO$245:$IH$316,$FN239-HD$169,73-HD$169+SwaptionShift):INDEX($FO$245:$IH$316,$FN239-HD$169,72-HD$169+SwaptionMonthsToGo+SwaptionShift))/SQRT(SUM(INDEX($FO394:$IH394,1+SwaptionShift):INDEX($FO394:$IH394,SwaptionMonthsToGo+SwaptionShift))*SUM(INDEX($FO$325:$IH$396,HD$169,1+SwaptionShift):INDEX($FO$325:$IH$396,HD$169,SwaptionMonthsToGo+SwaptionShift))))))</f>
        <v/>
      </c>
      <c r="HE239" s="469" t="str">
        <f ca="1">IF(OR(HE$169&lt;SwaptionFirstMonthPosition+1,$FN239&lt;SwaptionFirstMonthPosition+1,HE$169&gt;SwaptionFirstMonthPosition+SwaptionNumOfMonths+1,$FN239&gt;SwaptionFirstMonthPosition+SwaptionNumOfMonths+1),"",IF($FN239=HE$169,1,IF($FN239&lt;HE$169,INDEX($FO$170:$IH$241,HE$169,$FN239),SUMPRODUCT(INDEX($FO$325:$IH$396,HE$169,1+SwaptionShift):INDEX($FO$325:$IH$396,HE$169,SwaptionMonthsToGo+SwaptionShift),INDEX($FO$245:$IH$316,$FN239-HE$169,73-HE$169+SwaptionShift):INDEX($FO$245:$IH$316,$FN239-HE$169,72-HE$169+SwaptionMonthsToGo+SwaptionShift))/SQRT(SUM(INDEX($FO394:$IH394,1+SwaptionShift):INDEX($FO394:$IH394,SwaptionMonthsToGo+SwaptionShift))*SUM(INDEX($FO$325:$IH$396,HE$169,1+SwaptionShift):INDEX($FO$325:$IH$396,HE$169,SwaptionMonthsToGo+SwaptionShift))))))</f>
        <v/>
      </c>
      <c r="HF239" s="469" t="str">
        <f ca="1">IF(OR(HF$169&lt;SwaptionFirstMonthPosition+1,$FN239&lt;SwaptionFirstMonthPosition+1,HF$169&gt;SwaptionFirstMonthPosition+SwaptionNumOfMonths+1,$FN239&gt;SwaptionFirstMonthPosition+SwaptionNumOfMonths+1),"",IF($FN239=HF$169,1,IF($FN239&lt;HF$169,INDEX($FO$170:$IH$241,HF$169,$FN239),SUMPRODUCT(INDEX($FO$325:$IH$396,HF$169,1+SwaptionShift):INDEX($FO$325:$IH$396,HF$169,SwaptionMonthsToGo+SwaptionShift),INDEX($FO$245:$IH$316,$FN239-HF$169,73-HF$169+SwaptionShift):INDEX($FO$245:$IH$316,$FN239-HF$169,72-HF$169+SwaptionMonthsToGo+SwaptionShift))/SQRT(SUM(INDEX($FO394:$IH394,1+SwaptionShift):INDEX($FO394:$IH394,SwaptionMonthsToGo+SwaptionShift))*SUM(INDEX($FO$325:$IH$396,HF$169,1+SwaptionShift):INDEX($FO$325:$IH$396,HF$169,SwaptionMonthsToGo+SwaptionShift))))))</f>
        <v/>
      </c>
      <c r="HG239" s="469" t="str">
        <f ca="1">IF(OR(HG$169&lt;SwaptionFirstMonthPosition+1,$FN239&lt;SwaptionFirstMonthPosition+1,HG$169&gt;SwaptionFirstMonthPosition+SwaptionNumOfMonths+1,$FN239&gt;SwaptionFirstMonthPosition+SwaptionNumOfMonths+1),"",IF($FN239=HG$169,1,IF($FN239&lt;HG$169,INDEX($FO$170:$IH$241,HG$169,$FN239),SUMPRODUCT(INDEX($FO$325:$IH$396,HG$169,1+SwaptionShift):INDEX($FO$325:$IH$396,HG$169,SwaptionMonthsToGo+SwaptionShift),INDEX($FO$245:$IH$316,$FN239-HG$169,73-HG$169+SwaptionShift):INDEX($FO$245:$IH$316,$FN239-HG$169,72-HG$169+SwaptionMonthsToGo+SwaptionShift))/SQRT(SUM(INDEX($FO394:$IH394,1+SwaptionShift):INDEX($FO394:$IH394,SwaptionMonthsToGo+SwaptionShift))*SUM(INDEX($FO$325:$IH$396,HG$169,1+SwaptionShift):INDEX($FO$325:$IH$396,HG$169,SwaptionMonthsToGo+SwaptionShift))))))</f>
        <v/>
      </c>
      <c r="HH239" s="469" t="str">
        <f ca="1">IF(OR(HH$169&lt;SwaptionFirstMonthPosition+1,$FN239&lt;SwaptionFirstMonthPosition+1,HH$169&gt;SwaptionFirstMonthPosition+SwaptionNumOfMonths+1,$FN239&gt;SwaptionFirstMonthPosition+SwaptionNumOfMonths+1),"",IF($FN239=HH$169,1,IF($FN239&lt;HH$169,INDEX($FO$170:$IH$241,HH$169,$FN239),SUMPRODUCT(INDEX($FO$325:$IH$396,HH$169,1+SwaptionShift):INDEX($FO$325:$IH$396,HH$169,SwaptionMonthsToGo+SwaptionShift),INDEX($FO$245:$IH$316,$FN239-HH$169,73-HH$169+SwaptionShift):INDEX($FO$245:$IH$316,$FN239-HH$169,72-HH$169+SwaptionMonthsToGo+SwaptionShift))/SQRT(SUM(INDEX($FO394:$IH394,1+SwaptionShift):INDEX($FO394:$IH394,SwaptionMonthsToGo+SwaptionShift))*SUM(INDEX($FO$325:$IH$396,HH$169,1+SwaptionShift):INDEX($FO$325:$IH$396,HH$169,SwaptionMonthsToGo+SwaptionShift))))))</f>
        <v/>
      </c>
      <c r="HI239" s="469" t="str">
        <f ca="1">IF(OR(HI$169&lt;SwaptionFirstMonthPosition+1,$FN239&lt;SwaptionFirstMonthPosition+1,HI$169&gt;SwaptionFirstMonthPosition+SwaptionNumOfMonths+1,$FN239&gt;SwaptionFirstMonthPosition+SwaptionNumOfMonths+1),"",IF($FN239=HI$169,1,IF($FN239&lt;HI$169,INDEX($FO$170:$IH$241,HI$169,$FN239),SUMPRODUCT(INDEX($FO$325:$IH$396,HI$169,1+SwaptionShift):INDEX($FO$325:$IH$396,HI$169,SwaptionMonthsToGo+SwaptionShift),INDEX($FO$245:$IH$316,$FN239-HI$169,73-HI$169+SwaptionShift):INDEX($FO$245:$IH$316,$FN239-HI$169,72-HI$169+SwaptionMonthsToGo+SwaptionShift))/SQRT(SUM(INDEX($FO394:$IH394,1+SwaptionShift):INDEX($FO394:$IH394,SwaptionMonthsToGo+SwaptionShift))*SUM(INDEX($FO$325:$IH$396,HI$169,1+SwaptionShift):INDEX($FO$325:$IH$396,HI$169,SwaptionMonthsToGo+SwaptionShift))))))</f>
        <v/>
      </c>
      <c r="HJ239" s="469" t="str">
        <f ca="1">IF(OR(HJ$169&lt;SwaptionFirstMonthPosition+1,$FN239&lt;SwaptionFirstMonthPosition+1,HJ$169&gt;SwaptionFirstMonthPosition+SwaptionNumOfMonths+1,$FN239&gt;SwaptionFirstMonthPosition+SwaptionNumOfMonths+1),"",IF($FN239=HJ$169,1,IF($FN239&lt;HJ$169,INDEX($FO$170:$IH$241,HJ$169,$FN239),SUMPRODUCT(INDEX($FO$325:$IH$396,HJ$169,1+SwaptionShift):INDEX($FO$325:$IH$396,HJ$169,SwaptionMonthsToGo+SwaptionShift),INDEX($FO$245:$IH$316,$FN239-HJ$169,73-HJ$169+SwaptionShift):INDEX($FO$245:$IH$316,$FN239-HJ$169,72-HJ$169+SwaptionMonthsToGo+SwaptionShift))/SQRT(SUM(INDEX($FO394:$IH394,1+SwaptionShift):INDEX($FO394:$IH394,SwaptionMonthsToGo+SwaptionShift))*SUM(INDEX($FO$325:$IH$396,HJ$169,1+SwaptionShift):INDEX($FO$325:$IH$396,HJ$169,SwaptionMonthsToGo+SwaptionShift))))))</f>
        <v/>
      </c>
      <c r="HK239" s="469" t="str">
        <f ca="1">IF(OR(HK$169&lt;SwaptionFirstMonthPosition+1,$FN239&lt;SwaptionFirstMonthPosition+1,HK$169&gt;SwaptionFirstMonthPosition+SwaptionNumOfMonths+1,$FN239&gt;SwaptionFirstMonthPosition+SwaptionNumOfMonths+1),"",IF($FN239=HK$169,1,IF($FN239&lt;HK$169,INDEX($FO$170:$IH$241,HK$169,$FN239),SUMPRODUCT(INDEX($FO$325:$IH$396,HK$169,1+SwaptionShift):INDEX($FO$325:$IH$396,HK$169,SwaptionMonthsToGo+SwaptionShift),INDEX($FO$245:$IH$316,$FN239-HK$169,73-HK$169+SwaptionShift):INDEX($FO$245:$IH$316,$FN239-HK$169,72-HK$169+SwaptionMonthsToGo+SwaptionShift))/SQRT(SUM(INDEX($FO394:$IH394,1+SwaptionShift):INDEX($FO394:$IH394,SwaptionMonthsToGo+SwaptionShift))*SUM(INDEX($FO$325:$IH$396,HK$169,1+SwaptionShift):INDEX($FO$325:$IH$396,HK$169,SwaptionMonthsToGo+SwaptionShift))))))</f>
        <v/>
      </c>
      <c r="HL239" s="469" t="str">
        <f ca="1">IF(OR(HL$169&lt;SwaptionFirstMonthPosition+1,$FN239&lt;SwaptionFirstMonthPosition+1,HL$169&gt;SwaptionFirstMonthPosition+SwaptionNumOfMonths+1,$FN239&gt;SwaptionFirstMonthPosition+SwaptionNumOfMonths+1),"",IF($FN239=HL$169,1,IF($FN239&lt;HL$169,INDEX($FO$170:$IH$241,HL$169,$FN239),SUMPRODUCT(INDEX($FO$325:$IH$396,HL$169,1+SwaptionShift):INDEX($FO$325:$IH$396,HL$169,SwaptionMonthsToGo+SwaptionShift),INDEX($FO$245:$IH$316,$FN239-HL$169,73-HL$169+SwaptionShift):INDEX($FO$245:$IH$316,$FN239-HL$169,72-HL$169+SwaptionMonthsToGo+SwaptionShift))/SQRT(SUM(INDEX($FO394:$IH394,1+SwaptionShift):INDEX($FO394:$IH394,SwaptionMonthsToGo+SwaptionShift))*SUM(INDEX($FO$325:$IH$396,HL$169,1+SwaptionShift):INDEX($FO$325:$IH$396,HL$169,SwaptionMonthsToGo+SwaptionShift))))))</f>
        <v/>
      </c>
      <c r="HM239" s="469" t="str">
        <f ca="1">IF(OR(HM$169&lt;SwaptionFirstMonthPosition+1,$FN239&lt;SwaptionFirstMonthPosition+1,HM$169&gt;SwaptionFirstMonthPosition+SwaptionNumOfMonths+1,$FN239&gt;SwaptionFirstMonthPosition+SwaptionNumOfMonths+1),"",IF($FN239=HM$169,1,IF($FN239&lt;HM$169,INDEX($FO$170:$IH$241,HM$169,$FN239),SUMPRODUCT(INDEX($FO$325:$IH$396,HM$169,1+SwaptionShift):INDEX($FO$325:$IH$396,HM$169,SwaptionMonthsToGo+SwaptionShift),INDEX($FO$245:$IH$316,$FN239-HM$169,73-HM$169+SwaptionShift):INDEX($FO$245:$IH$316,$FN239-HM$169,72-HM$169+SwaptionMonthsToGo+SwaptionShift))/SQRT(SUM(INDEX($FO394:$IH394,1+SwaptionShift):INDEX($FO394:$IH394,SwaptionMonthsToGo+SwaptionShift))*SUM(INDEX($FO$325:$IH$396,HM$169,1+SwaptionShift):INDEX($FO$325:$IH$396,HM$169,SwaptionMonthsToGo+SwaptionShift))))))</f>
        <v/>
      </c>
      <c r="HN239" s="469" t="str">
        <f ca="1">IF(OR(HN$169&lt;SwaptionFirstMonthPosition+1,$FN239&lt;SwaptionFirstMonthPosition+1,HN$169&gt;SwaptionFirstMonthPosition+SwaptionNumOfMonths+1,$FN239&gt;SwaptionFirstMonthPosition+SwaptionNumOfMonths+1),"",IF($FN239=HN$169,1,IF($FN239&lt;HN$169,INDEX($FO$170:$IH$241,HN$169,$FN239),SUMPRODUCT(INDEX($FO$325:$IH$396,HN$169,1+SwaptionShift):INDEX($FO$325:$IH$396,HN$169,SwaptionMonthsToGo+SwaptionShift),INDEX($FO$245:$IH$316,$FN239-HN$169,73-HN$169+SwaptionShift):INDEX($FO$245:$IH$316,$FN239-HN$169,72-HN$169+SwaptionMonthsToGo+SwaptionShift))/SQRT(SUM(INDEX($FO394:$IH394,1+SwaptionShift):INDEX($FO394:$IH394,SwaptionMonthsToGo+SwaptionShift))*SUM(INDEX($FO$325:$IH$396,HN$169,1+SwaptionShift):INDEX($FO$325:$IH$396,HN$169,SwaptionMonthsToGo+SwaptionShift))))))</f>
        <v/>
      </c>
      <c r="HO239" s="469" t="str">
        <f ca="1">IF(OR(HO$169&lt;SwaptionFirstMonthPosition+1,$FN239&lt;SwaptionFirstMonthPosition+1,HO$169&gt;SwaptionFirstMonthPosition+SwaptionNumOfMonths+1,$FN239&gt;SwaptionFirstMonthPosition+SwaptionNumOfMonths+1),"",IF($FN239=HO$169,1,IF($FN239&lt;HO$169,INDEX($FO$170:$IH$241,HO$169,$FN239),SUMPRODUCT(INDEX($FO$325:$IH$396,HO$169,1+SwaptionShift):INDEX($FO$325:$IH$396,HO$169,SwaptionMonthsToGo+SwaptionShift),INDEX($FO$245:$IH$316,$FN239-HO$169,73-HO$169+SwaptionShift):INDEX($FO$245:$IH$316,$FN239-HO$169,72-HO$169+SwaptionMonthsToGo+SwaptionShift))/SQRT(SUM(INDEX($FO394:$IH394,1+SwaptionShift):INDEX($FO394:$IH394,SwaptionMonthsToGo+SwaptionShift))*SUM(INDEX($FO$325:$IH$396,HO$169,1+SwaptionShift):INDEX($FO$325:$IH$396,HO$169,SwaptionMonthsToGo+SwaptionShift))))))</f>
        <v/>
      </c>
      <c r="HP239" s="469" t="str">
        <f ca="1">IF(OR(HP$169&lt;SwaptionFirstMonthPosition+1,$FN239&lt;SwaptionFirstMonthPosition+1,HP$169&gt;SwaptionFirstMonthPosition+SwaptionNumOfMonths+1,$FN239&gt;SwaptionFirstMonthPosition+SwaptionNumOfMonths+1),"",IF($FN239=HP$169,1,IF($FN239&lt;HP$169,INDEX($FO$170:$IH$241,HP$169,$FN239),SUMPRODUCT(INDEX($FO$325:$IH$396,HP$169,1+SwaptionShift):INDEX($FO$325:$IH$396,HP$169,SwaptionMonthsToGo+SwaptionShift),INDEX($FO$245:$IH$316,$FN239-HP$169,73-HP$169+SwaptionShift):INDEX($FO$245:$IH$316,$FN239-HP$169,72-HP$169+SwaptionMonthsToGo+SwaptionShift))/SQRT(SUM(INDEX($FO394:$IH394,1+SwaptionShift):INDEX($FO394:$IH394,SwaptionMonthsToGo+SwaptionShift))*SUM(INDEX($FO$325:$IH$396,HP$169,1+SwaptionShift):INDEX($FO$325:$IH$396,HP$169,SwaptionMonthsToGo+SwaptionShift))))))</f>
        <v/>
      </c>
      <c r="HQ239" s="469" t="str">
        <f ca="1">IF(OR(HQ$169&lt;SwaptionFirstMonthPosition+1,$FN239&lt;SwaptionFirstMonthPosition+1,HQ$169&gt;SwaptionFirstMonthPosition+SwaptionNumOfMonths+1,$FN239&gt;SwaptionFirstMonthPosition+SwaptionNumOfMonths+1),"",IF($FN239=HQ$169,1,IF($FN239&lt;HQ$169,INDEX($FO$170:$IH$241,HQ$169,$FN239),SUMPRODUCT(INDEX($FO$325:$IH$396,HQ$169,1+SwaptionShift):INDEX($FO$325:$IH$396,HQ$169,SwaptionMonthsToGo+SwaptionShift),INDEX($FO$245:$IH$316,$FN239-HQ$169,73-HQ$169+SwaptionShift):INDEX($FO$245:$IH$316,$FN239-HQ$169,72-HQ$169+SwaptionMonthsToGo+SwaptionShift))/SQRT(SUM(INDEX($FO394:$IH394,1+SwaptionShift):INDEX($FO394:$IH394,SwaptionMonthsToGo+SwaptionShift))*SUM(INDEX($FO$325:$IH$396,HQ$169,1+SwaptionShift):INDEX($FO$325:$IH$396,HQ$169,SwaptionMonthsToGo+SwaptionShift))))))</f>
        <v/>
      </c>
      <c r="HR239" s="469" t="str">
        <f ca="1">IF(OR(HR$169&lt;SwaptionFirstMonthPosition+1,$FN239&lt;SwaptionFirstMonthPosition+1,HR$169&gt;SwaptionFirstMonthPosition+SwaptionNumOfMonths+1,$FN239&gt;SwaptionFirstMonthPosition+SwaptionNumOfMonths+1),"",IF($FN239=HR$169,1,IF($FN239&lt;HR$169,INDEX($FO$170:$IH$241,HR$169,$FN239),SUMPRODUCT(INDEX($FO$325:$IH$396,HR$169,1+SwaptionShift):INDEX($FO$325:$IH$396,HR$169,SwaptionMonthsToGo+SwaptionShift),INDEX($FO$245:$IH$316,$FN239-HR$169,73-HR$169+SwaptionShift):INDEX($FO$245:$IH$316,$FN239-HR$169,72-HR$169+SwaptionMonthsToGo+SwaptionShift))/SQRT(SUM(INDEX($FO394:$IH394,1+SwaptionShift):INDEX($FO394:$IH394,SwaptionMonthsToGo+SwaptionShift))*SUM(INDEX($FO$325:$IH$396,HR$169,1+SwaptionShift):INDEX($FO$325:$IH$396,HR$169,SwaptionMonthsToGo+SwaptionShift))))))</f>
        <v/>
      </c>
      <c r="HS239" s="469" t="str">
        <f ca="1">IF(OR(HS$169&lt;SwaptionFirstMonthPosition+1,$FN239&lt;SwaptionFirstMonthPosition+1,HS$169&gt;SwaptionFirstMonthPosition+SwaptionNumOfMonths+1,$FN239&gt;SwaptionFirstMonthPosition+SwaptionNumOfMonths+1),"",IF($FN239=HS$169,1,IF($FN239&lt;HS$169,INDEX($FO$170:$IH$241,HS$169,$FN239),SUMPRODUCT(INDEX($FO$325:$IH$396,HS$169,1+SwaptionShift):INDEX($FO$325:$IH$396,HS$169,SwaptionMonthsToGo+SwaptionShift),INDEX($FO$245:$IH$316,$FN239-HS$169,73-HS$169+SwaptionShift):INDEX($FO$245:$IH$316,$FN239-HS$169,72-HS$169+SwaptionMonthsToGo+SwaptionShift))/SQRT(SUM(INDEX($FO394:$IH394,1+SwaptionShift):INDEX($FO394:$IH394,SwaptionMonthsToGo+SwaptionShift))*SUM(INDEX($FO$325:$IH$396,HS$169,1+SwaptionShift):INDEX($FO$325:$IH$396,HS$169,SwaptionMonthsToGo+SwaptionShift))))))</f>
        <v/>
      </c>
      <c r="HT239" s="469" t="str">
        <f ca="1">IF(OR(HT$169&lt;SwaptionFirstMonthPosition+1,$FN239&lt;SwaptionFirstMonthPosition+1,HT$169&gt;SwaptionFirstMonthPosition+SwaptionNumOfMonths+1,$FN239&gt;SwaptionFirstMonthPosition+SwaptionNumOfMonths+1),"",IF($FN239=HT$169,1,IF($FN239&lt;HT$169,INDEX($FO$170:$IH$241,HT$169,$FN239),SUMPRODUCT(INDEX($FO$325:$IH$396,HT$169,1+SwaptionShift):INDEX($FO$325:$IH$396,HT$169,SwaptionMonthsToGo+SwaptionShift),INDEX($FO$245:$IH$316,$FN239-HT$169,73-HT$169+SwaptionShift):INDEX($FO$245:$IH$316,$FN239-HT$169,72-HT$169+SwaptionMonthsToGo+SwaptionShift))/SQRT(SUM(INDEX($FO394:$IH394,1+SwaptionShift):INDEX($FO394:$IH394,SwaptionMonthsToGo+SwaptionShift))*SUM(INDEX($FO$325:$IH$396,HT$169,1+SwaptionShift):INDEX($FO$325:$IH$396,HT$169,SwaptionMonthsToGo+SwaptionShift))))))</f>
        <v/>
      </c>
      <c r="HU239" s="469" t="str">
        <f ca="1">IF(OR(HU$169&lt;SwaptionFirstMonthPosition+1,$FN239&lt;SwaptionFirstMonthPosition+1,HU$169&gt;SwaptionFirstMonthPosition+SwaptionNumOfMonths+1,$FN239&gt;SwaptionFirstMonthPosition+SwaptionNumOfMonths+1),"",IF($FN239=HU$169,1,IF($FN239&lt;HU$169,INDEX($FO$170:$IH$241,HU$169,$FN239),SUMPRODUCT(INDEX($FO$325:$IH$396,HU$169,1+SwaptionShift):INDEX($FO$325:$IH$396,HU$169,SwaptionMonthsToGo+SwaptionShift),INDEX($FO$245:$IH$316,$FN239-HU$169,73-HU$169+SwaptionShift):INDEX($FO$245:$IH$316,$FN239-HU$169,72-HU$169+SwaptionMonthsToGo+SwaptionShift))/SQRT(SUM(INDEX($FO394:$IH394,1+SwaptionShift):INDEX($FO394:$IH394,SwaptionMonthsToGo+SwaptionShift))*SUM(INDEX($FO$325:$IH$396,HU$169,1+SwaptionShift):INDEX($FO$325:$IH$396,HU$169,SwaptionMonthsToGo+SwaptionShift))))))</f>
        <v/>
      </c>
      <c r="HV239" s="469" t="str">
        <f ca="1">IF(OR(HV$169&lt;SwaptionFirstMonthPosition+1,$FN239&lt;SwaptionFirstMonthPosition+1,HV$169&gt;SwaptionFirstMonthPosition+SwaptionNumOfMonths+1,$FN239&gt;SwaptionFirstMonthPosition+SwaptionNumOfMonths+1),"",IF($FN239=HV$169,1,IF($FN239&lt;HV$169,INDEX($FO$170:$IH$241,HV$169,$FN239),SUMPRODUCT(INDEX($FO$325:$IH$396,HV$169,1+SwaptionShift):INDEX($FO$325:$IH$396,HV$169,SwaptionMonthsToGo+SwaptionShift),INDEX($FO$245:$IH$316,$FN239-HV$169,73-HV$169+SwaptionShift):INDEX($FO$245:$IH$316,$FN239-HV$169,72-HV$169+SwaptionMonthsToGo+SwaptionShift))/SQRT(SUM(INDEX($FO394:$IH394,1+SwaptionShift):INDEX($FO394:$IH394,SwaptionMonthsToGo+SwaptionShift))*SUM(INDEX($FO$325:$IH$396,HV$169,1+SwaptionShift):INDEX($FO$325:$IH$396,HV$169,SwaptionMonthsToGo+SwaptionShift))))))</f>
        <v/>
      </c>
      <c r="HW239" s="469" t="str">
        <f ca="1">IF(OR(HW$169&lt;SwaptionFirstMonthPosition+1,$FN239&lt;SwaptionFirstMonthPosition+1,HW$169&gt;SwaptionFirstMonthPosition+SwaptionNumOfMonths+1,$FN239&gt;SwaptionFirstMonthPosition+SwaptionNumOfMonths+1),"",IF($FN239=HW$169,1,IF($FN239&lt;HW$169,INDEX($FO$170:$IH$241,HW$169,$FN239),SUMPRODUCT(INDEX($FO$325:$IH$396,HW$169,1+SwaptionShift):INDEX($FO$325:$IH$396,HW$169,SwaptionMonthsToGo+SwaptionShift),INDEX($FO$245:$IH$316,$FN239-HW$169,73-HW$169+SwaptionShift):INDEX($FO$245:$IH$316,$FN239-HW$169,72-HW$169+SwaptionMonthsToGo+SwaptionShift))/SQRT(SUM(INDEX($FO394:$IH394,1+SwaptionShift):INDEX($FO394:$IH394,SwaptionMonthsToGo+SwaptionShift))*SUM(INDEX($FO$325:$IH$396,HW$169,1+SwaptionShift):INDEX($FO$325:$IH$396,HW$169,SwaptionMonthsToGo+SwaptionShift))))))</f>
        <v/>
      </c>
      <c r="HX239" s="469" t="str">
        <f ca="1">IF(OR(HX$169&lt;SwaptionFirstMonthPosition+1,$FN239&lt;SwaptionFirstMonthPosition+1,HX$169&gt;SwaptionFirstMonthPosition+SwaptionNumOfMonths+1,$FN239&gt;SwaptionFirstMonthPosition+SwaptionNumOfMonths+1),"",IF($FN239=HX$169,1,IF($FN239&lt;HX$169,INDEX($FO$170:$IH$241,HX$169,$FN239),SUMPRODUCT(INDEX($FO$325:$IH$396,HX$169,1+SwaptionShift):INDEX($FO$325:$IH$396,HX$169,SwaptionMonthsToGo+SwaptionShift),INDEX($FO$245:$IH$316,$FN239-HX$169,73-HX$169+SwaptionShift):INDEX($FO$245:$IH$316,$FN239-HX$169,72-HX$169+SwaptionMonthsToGo+SwaptionShift))/SQRT(SUM(INDEX($FO394:$IH394,1+SwaptionShift):INDEX($FO394:$IH394,SwaptionMonthsToGo+SwaptionShift))*SUM(INDEX($FO$325:$IH$396,HX$169,1+SwaptionShift):INDEX($FO$325:$IH$396,HX$169,SwaptionMonthsToGo+SwaptionShift))))))</f>
        <v/>
      </c>
      <c r="HY239" s="469" t="str">
        <f ca="1">IF(OR(HY$169&lt;SwaptionFirstMonthPosition+1,$FN239&lt;SwaptionFirstMonthPosition+1,HY$169&gt;SwaptionFirstMonthPosition+SwaptionNumOfMonths+1,$FN239&gt;SwaptionFirstMonthPosition+SwaptionNumOfMonths+1),"",IF($FN239=HY$169,1,IF($FN239&lt;HY$169,INDEX($FO$170:$IH$241,HY$169,$FN239),SUMPRODUCT(INDEX($FO$325:$IH$396,HY$169,1+SwaptionShift):INDEX($FO$325:$IH$396,HY$169,SwaptionMonthsToGo+SwaptionShift),INDEX($FO$245:$IH$316,$FN239-HY$169,73-HY$169+SwaptionShift):INDEX($FO$245:$IH$316,$FN239-HY$169,72-HY$169+SwaptionMonthsToGo+SwaptionShift))/SQRT(SUM(INDEX($FO394:$IH394,1+SwaptionShift):INDEX($FO394:$IH394,SwaptionMonthsToGo+SwaptionShift))*SUM(INDEX($FO$325:$IH$396,HY$169,1+SwaptionShift):INDEX($FO$325:$IH$396,HY$169,SwaptionMonthsToGo+SwaptionShift))))))</f>
        <v/>
      </c>
      <c r="HZ239" s="469" t="str">
        <f ca="1">IF(OR(HZ$169&lt;SwaptionFirstMonthPosition+1,$FN239&lt;SwaptionFirstMonthPosition+1,HZ$169&gt;SwaptionFirstMonthPosition+SwaptionNumOfMonths+1,$FN239&gt;SwaptionFirstMonthPosition+SwaptionNumOfMonths+1),"",IF($FN239=HZ$169,1,IF($FN239&lt;HZ$169,INDEX($FO$170:$IH$241,HZ$169,$FN239),SUMPRODUCT(INDEX($FO$325:$IH$396,HZ$169,1+SwaptionShift):INDEX($FO$325:$IH$396,HZ$169,SwaptionMonthsToGo+SwaptionShift),INDEX($FO$245:$IH$316,$FN239-HZ$169,73-HZ$169+SwaptionShift):INDEX($FO$245:$IH$316,$FN239-HZ$169,72-HZ$169+SwaptionMonthsToGo+SwaptionShift))/SQRT(SUM(INDEX($FO394:$IH394,1+SwaptionShift):INDEX($FO394:$IH394,SwaptionMonthsToGo+SwaptionShift))*SUM(INDEX($FO$325:$IH$396,HZ$169,1+SwaptionShift):INDEX($FO$325:$IH$396,HZ$169,SwaptionMonthsToGo+SwaptionShift))))))</f>
        <v/>
      </c>
      <c r="IA239" s="469" t="str">
        <f ca="1">IF(OR(IA$169&lt;SwaptionFirstMonthPosition+1,$FN239&lt;SwaptionFirstMonthPosition+1,IA$169&gt;SwaptionFirstMonthPosition+SwaptionNumOfMonths+1,$FN239&gt;SwaptionFirstMonthPosition+SwaptionNumOfMonths+1),"",IF($FN239=IA$169,1,IF($FN239&lt;IA$169,INDEX($FO$170:$IH$241,IA$169,$FN239),SUMPRODUCT(INDEX($FO$325:$IH$396,IA$169,1+SwaptionShift):INDEX($FO$325:$IH$396,IA$169,SwaptionMonthsToGo+SwaptionShift),INDEX($FO$245:$IH$316,$FN239-IA$169,73-IA$169+SwaptionShift):INDEX($FO$245:$IH$316,$FN239-IA$169,72-IA$169+SwaptionMonthsToGo+SwaptionShift))/SQRT(SUM(INDEX($FO394:$IH394,1+SwaptionShift):INDEX($FO394:$IH394,SwaptionMonthsToGo+SwaptionShift))*SUM(INDEX($FO$325:$IH$396,IA$169,1+SwaptionShift):INDEX($FO$325:$IH$396,IA$169,SwaptionMonthsToGo+SwaptionShift))))))</f>
        <v/>
      </c>
      <c r="IB239" s="469" t="str">
        <f ca="1">IF(OR(IB$169&lt;SwaptionFirstMonthPosition+1,$FN239&lt;SwaptionFirstMonthPosition+1,IB$169&gt;SwaptionFirstMonthPosition+SwaptionNumOfMonths+1,$FN239&gt;SwaptionFirstMonthPosition+SwaptionNumOfMonths+1),"",IF($FN239=IB$169,1,IF($FN239&lt;IB$169,INDEX($FO$170:$IH$241,IB$169,$FN239),SUMPRODUCT(INDEX($FO$325:$IH$396,IB$169,1+SwaptionShift):INDEX($FO$325:$IH$396,IB$169,SwaptionMonthsToGo+SwaptionShift),INDEX($FO$245:$IH$316,$FN239-IB$169,73-IB$169+SwaptionShift):INDEX($FO$245:$IH$316,$FN239-IB$169,72-IB$169+SwaptionMonthsToGo+SwaptionShift))/SQRT(SUM(INDEX($FO394:$IH394,1+SwaptionShift):INDEX($FO394:$IH394,SwaptionMonthsToGo+SwaptionShift))*SUM(INDEX($FO$325:$IH$396,IB$169,1+SwaptionShift):INDEX($FO$325:$IH$396,IB$169,SwaptionMonthsToGo+SwaptionShift))))))</f>
        <v/>
      </c>
      <c r="IC239" s="469" t="str">
        <f ca="1">IF(OR(IC$169&lt;SwaptionFirstMonthPosition+1,$FN239&lt;SwaptionFirstMonthPosition+1,IC$169&gt;SwaptionFirstMonthPosition+SwaptionNumOfMonths+1,$FN239&gt;SwaptionFirstMonthPosition+SwaptionNumOfMonths+1),"",IF($FN239=IC$169,1,IF($FN239&lt;IC$169,INDEX($FO$170:$IH$241,IC$169,$FN239),SUMPRODUCT(INDEX($FO$325:$IH$396,IC$169,1+SwaptionShift):INDEX($FO$325:$IH$396,IC$169,SwaptionMonthsToGo+SwaptionShift),INDEX($FO$245:$IH$316,$FN239-IC$169,73-IC$169+SwaptionShift):INDEX($FO$245:$IH$316,$FN239-IC$169,72-IC$169+SwaptionMonthsToGo+SwaptionShift))/SQRT(SUM(INDEX($FO394:$IH394,1+SwaptionShift):INDEX($FO394:$IH394,SwaptionMonthsToGo+SwaptionShift))*SUM(INDEX($FO$325:$IH$396,IC$169,1+SwaptionShift):INDEX($FO$325:$IH$396,IC$169,SwaptionMonthsToGo+SwaptionShift))))))</f>
        <v/>
      </c>
      <c r="ID239" s="469" t="str">
        <f ca="1">IF(OR(ID$169&lt;SwaptionFirstMonthPosition+1,$FN239&lt;SwaptionFirstMonthPosition+1,ID$169&gt;SwaptionFirstMonthPosition+SwaptionNumOfMonths+1,$FN239&gt;SwaptionFirstMonthPosition+SwaptionNumOfMonths+1),"",IF($FN239=ID$169,1,IF($FN239&lt;ID$169,INDEX($FO$170:$IH$241,ID$169,$FN239),SUMPRODUCT(INDEX($FO$325:$IH$396,ID$169,1+SwaptionShift):INDEX($FO$325:$IH$396,ID$169,SwaptionMonthsToGo+SwaptionShift),INDEX($FO$245:$IH$316,$FN239-ID$169,73-ID$169+SwaptionShift):INDEX($FO$245:$IH$316,$FN239-ID$169,72-ID$169+SwaptionMonthsToGo+SwaptionShift))/SQRT(SUM(INDEX($FO394:$IH394,1+SwaptionShift):INDEX($FO394:$IH394,SwaptionMonthsToGo+SwaptionShift))*SUM(INDEX($FO$325:$IH$396,ID$169,1+SwaptionShift):INDEX($FO$325:$IH$396,ID$169,SwaptionMonthsToGo+SwaptionShift))))))</f>
        <v/>
      </c>
      <c r="IE239" s="469" t="str">
        <f ca="1">IF(OR(IE$169&lt;SwaptionFirstMonthPosition+1,$FN239&lt;SwaptionFirstMonthPosition+1,IE$169&gt;SwaptionFirstMonthPosition+SwaptionNumOfMonths+1,$FN239&gt;SwaptionFirstMonthPosition+SwaptionNumOfMonths+1),"",IF($FN239=IE$169,1,IF($FN239&lt;IE$169,INDEX($FO$170:$IH$241,IE$169,$FN239),SUMPRODUCT(INDEX($FO$325:$IH$396,IE$169,1+SwaptionShift):INDEX($FO$325:$IH$396,IE$169,SwaptionMonthsToGo+SwaptionShift),INDEX($FO$245:$IH$316,$FN239-IE$169,73-IE$169+SwaptionShift):INDEX($FO$245:$IH$316,$FN239-IE$169,72-IE$169+SwaptionMonthsToGo+SwaptionShift))/SQRT(SUM(INDEX($FO394:$IH394,1+SwaptionShift):INDEX($FO394:$IH394,SwaptionMonthsToGo+SwaptionShift))*SUM(INDEX($FO$325:$IH$396,IE$169,1+SwaptionShift):INDEX($FO$325:$IH$396,IE$169,SwaptionMonthsToGo+SwaptionShift))))))</f>
        <v/>
      </c>
      <c r="IF239" s="469" t="str">
        <f ca="1">IF(OR(IF$169&lt;SwaptionFirstMonthPosition+1,$FN239&lt;SwaptionFirstMonthPosition+1,IF$169&gt;SwaptionFirstMonthPosition+SwaptionNumOfMonths+1,$FN239&gt;SwaptionFirstMonthPosition+SwaptionNumOfMonths+1),"",IF($FN239=IF$169,1,IF($FN239&lt;IF$169,INDEX($FO$170:$IH$241,IF$169,$FN239),SUMPRODUCT(INDEX($FO$325:$IH$396,IF$169,1+SwaptionShift):INDEX($FO$325:$IH$396,IF$169,SwaptionMonthsToGo+SwaptionShift),INDEX($FO$245:$IH$316,$FN239-IF$169,73-IF$169+SwaptionShift):INDEX($FO$245:$IH$316,$FN239-IF$169,72-IF$169+SwaptionMonthsToGo+SwaptionShift))/SQRT(SUM(INDEX($FO394:$IH394,1+SwaptionShift):INDEX($FO394:$IH394,SwaptionMonthsToGo+SwaptionShift))*SUM(INDEX($FO$325:$IH$396,IF$169,1+SwaptionShift):INDEX($FO$325:$IH$396,IF$169,SwaptionMonthsToGo+SwaptionShift))))))</f>
        <v/>
      </c>
      <c r="IG239" s="469" t="str">
        <f ca="1">IF(OR(IG$169&lt;SwaptionFirstMonthPosition+1,$FN239&lt;SwaptionFirstMonthPosition+1,IG$169&gt;SwaptionFirstMonthPosition+SwaptionNumOfMonths+1,$FN239&gt;SwaptionFirstMonthPosition+SwaptionNumOfMonths+1),"",IF($FN239=IG$169,1,IF($FN239&lt;IG$169,INDEX($FO$170:$IH$241,IG$169,$FN239),SUMPRODUCT(INDEX($FO$325:$IH$396,IG$169,1+SwaptionShift):INDEX($FO$325:$IH$396,IG$169,SwaptionMonthsToGo+SwaptionShift),INDEX($FO$245:$IH$316,$FN239-IG$169,73-IG$169+SwaptionShift):INDEX($FO$245:$IH$316,$FN239-IG$169,72-IG$169+SwaptionMonthsToGo+SwaptionShift))/SQRT(SUM(INDEX($FO394:$IH394,1+SwaptionShift):INDEX($FO394:$IH394,SwaptionMonthsToGo+SwaptionShift))*SUM(INDEX($FO$325:$IH$396,IG$169,1+SwaptionShift):INDEX($FO$325:$IH$396,IG$169,SwaptionMonthsToGo+SwaptionShift))))))</f>
        <v/>
      </c>
      <c r="IH239" s="662" t="str">
        <f ca="1">IF(OR(IH$169&lt;SwaptionFirstMonthPosition+1,$FN239&lt;SwaptionFirstMonthPosition+1,IH$169&gt;SwaptionFirstMonthPosition+SwaptionNumOfMonths+1,$FN239&gt;SwaptionFirstMonthPosition+SwaptionNumOfMonths+1),"",IF($FN239=IH$169,1,IF($FN239&lt;IH$169,INDEX($FO$170:$IH$241,IH$169,$FN239),SUMPRODUCT(INDEX($FO$325:$IH$396,IH$169,1+SwaptionShift):INDEX($FO$325:$IH$396,IH$169,SwaptionMonthsToGo+SwaptionShift),INDEX($FO$245:$IH$316,$FN239-IH$169,73-IH$169+SwaptionShift):INDEX($FO$245:$IH$316,$FN239-IH$169,72-IH$169+SwaptionMonthsToGo+SwaptionShift))/SQRT(SUM(INDEX($FO394:$IH394,1+SwaptionShift):INDEX($FO394:$IH394,SwaptionMonthsToGo+SwaptionShift))*SUM(INDEX($FO$325:$IH$396,IH$169,1+SwaptionShift):INDEX($FO$325:$IH$396,IH$169,SwaptionMonthsToGo+SwaptionShift))))))</f>
        <v/>
      </c>
      <c r="II239" s="242"/>
    </row>
    <row r="240" spans="8:243">
      <c r="H240" s="49" t="e">
        <f t="shared" ca="1" si="645"/>
        <v>#N/A</v>
      </c>
      <c r="I240" s="369">
        <f t="shared" si="646"/>
        <v>43709</v>
      </c>
      <c r="J240" s="367">
        <v>24.884999999999799</v>
      </c>
      <c r="K240" s="101" t="s">
        <v>267</v>
      </c>
      <c r="L240" s="382">
        <f t="shared" si="647"/>
        <v>24.884999999999817</v>
      </c>
      <c r="M240" s="163">
        <v>0.1231</v>
      </c>
      <c r="N240" s="372">
        <v>0</v>
      </c>
      <c r="O240" s="163">
        <f t="shared" si="595"/>
        <v>0.1231</v>
      </c>
      <c r="P240" s="367">
        <v>23.654372536064898</v>
      </c>
      <c r="Q240" s="101" t="s">
        <v>267</v>
      </c>
      <c r="R240" s="367">
        <f t="shared" ca="1" si="596"/>
        <v>23.654372536064919</v>
      </c>
      <c r="S240" s="814">
        <f t="shared" si="594"/>
        <v>0.34553449017996724</v>
      </c>
      <c r="T240" s="813">
        <f t="shared" si="660"/>
        <v>0.99999999999330413</v>
      </c>
      <c r="U240" s="532">
        <f t="shared" si="661"/>
        <v>0.99999999999999978</v>
      </c>
      <c r="V240" s="379">
        <v>0</v>
      </c>
      <c r="W240" s="424">
        <f t="shared" si="597"/>
        <v>24.91714285714265</v>
      </c>
      <c r="X240" s="405">
        <f t="shared" si="598"/>
        <v>24.917142857142672</v>
      </c>
      <c r="Y240" s="313">
        <f t="shared" si="599"/>
        <v>23.59874285714265</v>
      </c>
      <c r="Z240" s="313">
        <f t="shared" ca="1" si="600"/>
        <v>23.598742857142671</v>
      </c>
      <c r="AA240" s="419">
        <f t="shared" si="623"/>
        <v>1.3184</v>
      </c>
      <c r="AB240" s="423">
        <f t="shared" ca="1" si="624"/>
        <v>1.3184</v>
      </c>
      <c r="AC240" s="221">
        <v>43697</v>
      </c>
      <c r="AD240" s="221">
        <v>43693</v>
      </c>
      <c r="AE240" s="221">
        <v>43692</v>
      </c>
      <c r="AF240" s="221">
        <v>43688</v>
      </c>
      <c r="AG240" s="241" t="s">
        <v>497</v>
      </c>
      <c r="AH240" s="239" t="s">
        <v>497</v>
      </c>
      <c r="AI240" s="141">
        <v>21</v>
      </c>
      <c r="AJ240" s="41">
        <v>15</v>
      </c>
      <c r="AK240" s="41">
        <v>6</v>
      </c>
      <c r="AL240" s="285">
        <v>21</v>
      </c>
      <c r="AM240" s="41">
        <v>10</v>
      </c>
      <c r="AN240" s="142">
        <v>11</v>
      </c>
      <c r="AO240" s="364">
        <v>6.37721930519657E-2</v>
      </c>
      <c r="AP240" s="145">
        <f t="shared" ca="1" si="648"/>
        <v>0.31354939642478974</v>
      </c>
      <c r="AQ240" s="364">
        <v>6.0488961264074E-2</v>
      </c>
      <c r="AR240" s="145">
        <f t="shared" ca="1" si="662"/>
        <v>0.33499951174903425</v>
      </c>
      <c r="AS240" s="264">
        <f t="shared" si="601"/>
        <v>0.12258571428571428</v>
      </c>
      <c r="AT240" s="149">
        <f t="shared" si="649"/>
        <v>0.1231</v>
      </c>
      <c r="AU240" s="149">
        <f t="shared" si="625"/>
        <v>0.12249047619047621</v>
      </c>
      <c r="AV240" s="263">
        <f t="shared" ca="1" si="669"/>
        <v>0.12111680007718985</v>
      </c>
      <c r="AW240" s="150" t="str">
        <f t="shared" ca="1" si="581"/>
        <v/>
      </c>
      <c r="AX240" s="149">
        <f t="shared" ca="1" si="663"/>
        <v>2.9079859774676872E-3</v>
      </c>
      <c r="AY240" s="149">
        <f t="shared" ca="1" si="664"/>
        <v>8.5748719575737872E-4</v>
      </c>
      <c r="AZ240" s="149">
        <f t="shared" ca="1" si="665"/>
        <v>1.1245794296405999E-3</v>
      </c>
      <c r="BA240" s="149">
        <f t="shared" ca="1" si="666"/>
        <v>1.0000000000001197E-4</v>
      </c>
      <c r="BB240" s="149">
        <f t="shared" ca="1" si="667"/>
        <v>1.0000000000001197E-4</v>
      </c>
      <c r="BC240" s="149">
        <f t="shared" ca="1" si="668"/>
        <v>1.0000000000001197E-4</v>
      </c>
      <c r="BD240" s="143">
        <f t="shared" ca="1" si="602"/>
        <v>0</v>
      </c>
      <c r="BE240" s="144">
        <f t="shared" ca="1" si="603"/>
        <v>0</v>
      </c>
      <c r="BF240" s="40">
        <f t="shared" si="604"/>
        <v>2019</v>
      </c>
      <c r="BG240" s="139">
        <f t="shared" si="605"/>
        <v>9</v>
      </c>
      <c r="BH240" s="140">
        <f t="shared" ca="1" si="606"/>
        <v>6703</v>
      </c>
      <c r="BI240" s="304">
        <f t="shared" ca="1" si="607"/>
        <v>18.395619438740589</v>
      </c>
      <c r="BJ240" s="42">
        <f t="shared" ca="1" si="626"/>
        <v>18.452332062188326</v>
      </c>
      <c r="BK240" s="42">
        <f t="shared" ca="1" si="627"/>
        <v>18.455069912975457</v>
      </c>
      <c r="BL240" s="42">
        <f t="shared" ca="1" si="608"/>
        <v>18.475017111567421</v>
      </c>
      <c r="BM240" s="285">
        <f t="shared" si="609"/>
        <v>21</v>
      </c>
      <c r="BN240" s="41">
        <f t="shared" si="610"/>
        <v>15</v>
      </c>
      <c r="BO240" s="41">
        <f t="shared" si="611"/>
        <v>6</v>
      </c>
      <c r="BP240" s="297" t="str">
        <f t="shared" ca="1" si="628"/>
        <v/>
      </c>
      <c r="BQ240" s="297" t="str">
        <f t="shared" ca="1" si="629"/>
        <v/>
      </c>
      <c r="BR240" s="299" t="str">
        <f t="shared" ca="1" si="630"/>
        <v/>
      </c>
      <c r="BS240" s="153" t="str">
        <f t="shared" ca="1" si="631"/>
        <v/>
      </c>
      <c r="BT240" s="153" t="str">
        <f t="shared" ca="1" si="632"/>
        <v/>
      </c>
      <c r="BU240" s="300" t="str">
        <f t="shared" ca="1" si="633"/>
        <v/>
      </c>
      <c r="BV240" s="301" t="str">
        <f t="shared" ca="1" si="634"/>
        <v/>
      </c>
      <c r="BW240" s="300" t="str">
        <f t="shared" ca="1" si="635"/>
        <v/>
      </c>
      <c r="BX240" s="301" t="str">
        <f t="shared" ca="1" si="636"/>
        <v/>
      </c>
      <c r="BY240" s="146" t="str">
        <f t="shared" ca="1" si="637"/>
        <v/>
      </c>
      <c r="BZ240" s="146" t="str">
        <f t="shared" ca="1" si="638"/>
        <v/>
      </c>
      <c r="CA240" s="146" t="str">
        <f t="shared" ca="1" si="639"/>
        <v/>
      </c>
      <c r="CB240" s="146" t="str">
        <f t="shared" ca="1" si="640"/>
        <v/>
      </c>
      <c r="CC240" s="302">
        <v>1</v>
      </c>
      <c r="CD240" s="154">
        <f ca="1">IF(BD240,_xll.xCrudeAPO(BS240,BT240,BY240,BZ240,S241,S242,BI240,BL240,BN240,BO240,0,Strike1,AO240,CC240,0,BL240,IF(OptControl=4,0,1),0,1),0)</f>
        <v>0</v>
      </c>
      <c r="CE240" s="155">
        <f ca="1">IF(BD240,_xll.xCrudeAPO(BS240,BT240,BY240,BZ240,S241,S242,BI240,BL240,BN240,BO240,0,Strike1,AO240,CC240,0,BL240,IF(OptControl=4,0,1),1,1)+_xll.xCrudeAPO(BS240,BT240,BY240,BZ240,S241,S242,BI240,BL240,BN240,BO240,0,Strike1,AO240,CC240,0,BL240,IF(OptControl=4,0,1),1,2)+IF(OR(VolSkewFlag=2,ABS(BQ240)&lt;0.0001),0,IF(BQ240&gt;0,-1,1)*CF240*Strike1/BP240^2*BW240/10%),0)</f>
        <v>0</v>
      </c>
      <c r="CF240" s="155">
        <f ca="1">IF(BD240,(_xll.xCrudeAPO(BS240,BT240,BY240,BZ240,S241,S242,BI240,BL240,BN240,BO240,0,Strike1,AO240,CC240,0,BL240,IF(OptControl=4,0,1),3,1)+_xll.xCrudeAPO(BS240,BT240,BY240,BZ240,S241,S242,BI240,BL240,BN240,BO240,0,Strike1,AO240,CC240,0,BL240,IF(OptControl=4,0,1),3,2))/100,0)</f>
        <v>0</v>
      </c>
      <c r="CG240" s="155">
        <f ca="1">IF(BD240,_xll.xCrudeAPO(BS240,BT240,BY240,BZ240,S241,S242,BI240-DaysForThetaCalculation/365.25,BL240-DaysForThetaCalculation/365.25,BN240,BO240,0,Strike1,AO240,CC240,0,BL240,IF(OptControl=4,0,1),0,1)-_xll.xCrudeAPO(BS240,BT240,BY240,BZ240,S241,S242,BI240,BL240,BN240,BO240,0,Strike1,AO240,CC240,0,BL240,IF(OptControl=4,0,1),0,1),0)</f>
        <v>0</v>
      </c>
      <c r="CH240" s="303">
        <f ca="1">IF(BD240,_xll.xCrudeAPO(BS240,BT240,CA240,CB240,S241,S242,BI240,BL240,BN240,BO240,0,Strike2,AO240,CC240,0,BL240,IF(OptControl=3,1,0),0,1),0)</f>
        <v>0</v>
      </c>
      <c r="CI240" s="155">
        <f ca="1">IF(BD240,_xll.xCrudeAPO(BS240,BT240,CA240,CB240,S241,S242,BI240,BL240,BN240,BO240,0,Strike2,AO240,CC240,0,BL240,IF(OptControl=3,1,0),1,1)+_xll.xCrudeAPO(BS240,BT240,CA240,CB240,S241,S242,BI240,BL240,BN240,BO240,0,Strike2,AO240,CC240,0,BL240,IF(OptControl=3,1,0),1,2)+IF(OR(VolSkewFlag=2,ABS(BR240)&lt;0.0001),0,IF(BR240&gt;0,-1,1)*CJ240*Strike2/BP240^2*BX240/10%),0)</f>
        <v>0</v>
      </c>
      <c r="CJ240" s="155">
        <f ca="1">IF(BD240,(_xll.xCrudeAPO(BS240,BT240,CA240,CB240,S241,S242,BI240,BL240,BN240,BO240,0,Strike2,AO240,CC240,0,BL240,IF(OptControl=3,1,0),3,1)+_xll.xCrudeAPO(BS240,BT240,CA240,CB240,S241,S242,BI240,BL240,BN240,BO240,0,Strike2,AO240,CC240,0,BL240,IF(OptControl=3,1,0),3,2))/100,0)</f>
        <v>0</v>
      </c>
      <c r="CK240" s="156">
        <f ca="1">IF(BD240,_xll.xCrudeAPO(BS240,BT240,CA240,CB240,S241,S242,BI240-DaysForThetaCalculation/365.25,BL240-DaysForThetaCalculation/365.25,BN240,BO240,0,Strike2,AO240,CC240,0,BL240,IF(OptControl=3,1,0),0,1)-_xll.xCrudeAPO(BS240,BT240,CA240,CB240,S241,S242,BI240,BL240,BN240,BO240,0,Strike2,AO240,CC240,0,BL240,IF(OptControl=3,1,0),0,1),0)</f>
        <v>0</v>
      </c>
      <c r="CL240" s="51"/>
      <c r="CM240" s="779" t="str">
        <f t="shared" ca="1" si="650"/>
        <v/>
      </c>
      <c r="CN240" s="783" t="str">
        <f t="shared" ca="1" si="651"/>
        <v/>
      </c>
      <c r="CO240" s="780" t="str">
        <f t="shared" ca="1" si="652"/>
        <v/>
      </c>
      <c r="CP240" s="780" t="str">
        <f t="shared" ca="1" si="653"/>
        <v/>
      </c>
      <c r="CQ240" s="780" t="str">
        <f t="shared" ca="1" si="654"/>
        <v/>
      </c>
      <c r="CR240" s="780" t="str">
        <f t="shared" ca="1" si="655"/>
        <v/>
      </c>
      <c r="CS240" s="781" t="str">
        <f t="shared" ca="1" si="656"/>
        <v/>
      </c>
      <c r="CT240" s="782" t="str">
        <f t="shared" ca="1" si="657"/>
        <v/>
      </c>
      <c r="CU240" s="782" t="str">
        <f t="shared" ca="1" si="658"/>
        <v/>
      </c>
      <c r="CV240" s="155">
        <f ca="1">IF(BD240,_xll.EURO(CN240,Strike1,AO240,AO240,CT240,CM240,IF(OptControl=4,0,1),0),0)</f>
        <v>0</v>
      </c>
      <c r="CW240" s="155">
        <f ca="1">IF(BD240,_xll.EURO(CN240,Strike1,AO240,AO240,CT240,CM240,IF(OptControl=4,0,1),1)+IF(OR(VolSkewFlag=2,ABS(CO240)&lt;0.0001),0,IF(CO240&gt;0,-1,1)*CX240*100*Strike1/CN240^2*CQ240/10%),0)</f>
        <v>0</v>
      </c>
      <c r="CX240" s="155">
        <f ca="1">IF(BD240,_xll.EURO(CN240,Strike1,AO240,AO240,CT240,CM240,IF(OptControl=4,0,1),3)/100,0)</f>
        <v>0</v>
      </c>
      <c r="CY240" s="155">
        <f ca="1">IF(BD240,_xll.EURO(CN240,Strike1,AO240,AO240,CT240,CM240,IF(OptControl=4,0,1),0)-_xll.EURO(CN240,Strike1,AO240,AO240,CT240,CM240-1,IF(OptControl=4,0,1),0),0)</f>
        <v>0</v>
      </c>
      <c r="CZ240" s="155">
        <f ca="1">IF(BD240,_xll.EURO(CN240,Strike2,AO240,AO240,CU240,CM240,IF(OptControl=3,1,0),0),0)</f>
        <v>0</v>
      </c>
      <c r="DA240" s="155">
        <f ca="1">IF(BD240,_xll.EURO(CN240,Strike2,AO240,AO240,CU240,CM240,IF(OptControl=3,1,0),1)+IF(OR(VolSkewFlag=2,ABS(CP240)&lt;0.0001),0,IF(CP240&gt;0,-1,1)*DB240*100*Strike2/CN240^2*CR240/10%),0)</f>
        <v>0</v>
      </c>
      <c r="DB240" s="155">
        <f ca="1">IF(BD240,_xll.EURO(CN240,Strike2,AO240,AO240,CU240,CM240,IF(OptControl=3,1,0),3)/100,0)</f>
        <v>0</v>
      </c>
      <c r="DC240" s="156">
        <f ca="1">IF(BD240,_xll.EURO(CN240,Strike2,AO240,AO240,CU240,CM240,IF(OptControl=3,1,0),0)-_xll.EURO(CN240,Strike2,AO240,AO240,CU240,CM240-1,IF(OptControl=3,1,0),0),0)</f>
        <v>0</v>
      </c>
      <c r="DE240" s="651">
        <f t="shared" ca="1" si="659"/>
        <v>43617</v>
      </c>
      <c r="DF240" s="465">
        <v>1E-4</v>
      </c>
      <c r="DG240" s="649">
        <v>1E-4</v>
      </c>
      <c r="DH240" s="650">
        <f t="shared" ca="1" si="612"/>
        <v>43617</v>
      </c>
      <c r="DI240" s="465">
        <v>1E-4</v>
      </c>
      <c r="DJ240" s="649">
        <v>1E-4</v>
      </c>
      <c r="DK240" s="651">
        <f t="shared" ca="1" si="613"/>
        <v>43617</v>
      </c>
      <c r="DL240" s="652">
        <f t="shared" si="614"/>
        <v>5.0100000000000006E-2</v>
      </c>
      <c r="DM240" s="651">
        <f t="shared" ca="1" si="615"/>
        <v>43617</v>
      </c>
      <c r="DN240" s="563">
        <f t="shared" si="616"/>
        <v>-0.12990000000000002</v>
      </c>
      <c r="DO240" s="803">
        <v>-0.13</v>
      </c>
      <c r="DP240" s="650">
        <f t="shared" ca="1" si="617"/>
        <v>43617</v>
      </c>
      <c r="DQ240" s="653">
        <v>1E-4</v>
      </c>
      <c r="DR240" s="590">
        <v>1E-4</v>
      </c>
      <c r="DS240" s="650">
        <f t="shared" ca="1" si="618"/>
        <v>43617</v>
      </c>
      <c r="DT240" s="653">
        <v>1E-4</v>
      </c>
      <c r="DU240" s="590">
        <v>1E-4</v>
      </c>
      <c r="DV240" s="651">
        <f t="shared" ca="1" si="619"/>
        <v>43617</v>
      </c>
      <c r="DW240" s="590">
        <v>1E-4</v>
      </c>
      <c r="DX240" s="651">
        <f t="shared" ca="1" si="620"/>
        <v>43617</v>
      </c>
      <c r="DY240" s="590">
        <f t="shared" si="621"/>
        <v>1E-4</v>
      </c>
      <c r="DZ240" s="1"/>
      <c r="EA240" s="857"/>
      <c r="EB240" s="857"/>
      <c r="EC240" s="857"/>
      <c r="ED240" s="868" t="e">
        <f t="shared" ca="1" si="670"/>
        <v>#NAME?</v>
      </c>
      <c r="EE240" s="863" t="e">
        <f t="shared" ca="1" si="641"/>
        <v>#NAME?</v>
      </c>
      <c r="EF240" s="590" t="e">
        <f t="shared" ca="1" si="642"/>
        <v>#NAME?</v>
      </c>
      <c r="EG240" s="862" t="str">
        <f t="shared" ca="1" si="622"/>
        <v/>
      </c>
      <c r="EH240" s="114" t="str">
        <f t="shared" ca="1" si="643"/>
        <v/>
      </c>
      <c r="EI240" s="109" t="str">
        <f t="shared" ca="1" si="644"/>
        <v/>
      </c>
      <c r="EJ240" s="115">
        <f ca="1">IF(BD240,_xll.xASN(BP240,Strike1,AO240,EH240,0,BM240,0,BI240,BL240,IF(OptControl=4,0,1),0),0)</f>
        <v>0</v>
      </c>
      <c r="EK240" s="108">
        <f ca="1">IF(BD240,_xll.xASN(BP240,Strike2,AO240,EI240,0,BM240,0,BI240,BL240,IF(OptControl=3,1,0),0),0)</f>
        <v>0</v>
      </c>
      <c r="EP240" s="53"/>
      <c r="EQ240" s="1"/>
      <c r="ER240" s="103"/>
      <c r="ES240" s="103"/>
      <c r="ET240" s="1"/>
      <c r="EU240" s="667" t="s">
        <v>453</v>
      </c>
      <c r="EW240" s="53"/>
      <c r="EY240" s="104"/>
      <c r="FN240" s="657">
        <v>71</v>
      </c>
      <c r="FO240" s="469" t="str">
        <f ca="1">IF(OR(FO$169&lt;SwaptionFirstMonthPosition+1,$FN240&lt;SwaptionFirstMonthPosition+1,FO$169&gt;SwaptionFirstMonthPosition+SwaptionNumOfMonths+1,$FN240&gt;SwaptionFirstMonthPosition+SwaptionNumOfMonths+1),"",IF($FN240=FO$169,1,IF($FN240&lt;FO$169,INDEX($FO$170:$IH$241,FO$169,$FN240),SUMPRODUCT(INDEX($FO$325:$IH$396,FO$169,1+SwaptionShift):INDEX($FO$325:$IH$396,FO$169,SwaptionMonthsToGo+SwaptionShift),INDEX($FO$245:$IH$316,$FN240-FO$169,73-FO$169+SwaptionShift):INDEX($FO$245:$IH$316,$FN240-FO$169,72-FO$169+SwaptionMonthsToGo+SwaptionShift))/SQRT(SUM(INDEX($FO395:$IH395,1+SwaptionShift):INDEX($FO395:$IH395,SwaptionMonthsToGo+SwaptionShift))*SUM(INDEX($FO$325:$IH$396,FO$169,1+SwaptionShift):INDEX($FO$325:$IH$396,FO$169,SwaptionMonthsToGo+SwaptionShift))))))</f>
        <v/>
      </c>
      <c r="FP240" s="469" t="str">
        <f ca="1">IF(OR(FP$169&lt;SwaptionFirstMonthPosition+1,$FN240&lt;SwaptionFirstMonthPosition+1,FP$169&gt;SwaptionFirstMonthPosition+SwaptionNumOfMonths+1,$FN240&gt;SwaptionFirstMonthPosition+SwaptionNumOfMonths+1),"",IF($FN240=FP$169,1,IF($FN240&lt;FP$169,INDEX($FO$170:$IH$241,FP$169,$FN240),SUMPRODUCT(INDEX($FO$325:$IH$396,FP$169,1+SwaptionShift):INDEX($FO$325:$IH$396,FP$169,SwaptionMonthsToGo+SwaptionShift),INDEX($FO$245:$IH$316,$FN240-FP$169,73-FP$169+SwaptionShift):INDEX($FO$245:$IH$316,$FN240-FP$169,72-FP$169+SwaptionMonthsToGo+SwaptionShift))/SQRT(SUM(INDEX($FO395:$IH395,1+SwaptionShift):INDEX($FO395:$IH395,SwaptionMonthsToGo+SwaptionShift))*SUM(INDEX($FO$325:$IH$396,FP$169,1+SwaptionShift):INDEX($FO$325:$IH$396,FP$169,SwaptionMonthsToGo+SwaptionShift))))))</f>
        <v/>
      </c>
      <c r="FQ240" s="469" t="str">
        <f ca="1">IF(OR(FQ$169&lt;SwaptionFirstMonthPosition+1,$FN240&lt;SwaptionFirstMonthPosition+1,FQ$169&gt;SwaptionFirstMonthPosition+SwaptionNumOfMonths+1,$FN240&gt;SwaptionFirstMonthPosition+SwaptionNumOfMonths+1),"",IF($FN240=FQ$169,1,IF($FN240&lt;FQ$169,INDEX($FO$170:$IH$241,FQ$169,$FN240),SUMPRODUCT(INDEX($FO$325:$IH$396,FQ$169,1+SwaptionShift):INDEX($FO$325:$IH$396,FQ$169,SwaptionMonthsToGo+SwaptionShift),INDEX($FO$245:$IH$316,$FN240-FQ$169,73-FQ$169+SwaptionShift):INDEX($FO$245:$IH$316,$FN240-FQ$169,72-FQ$169+SwaptionMonthsToGo+SwaptionShift))/SQRT(SUM(INDEX($FO395:$IH395,1+SwaptionShift):INDEX($FO395:$IH395,SwaptionMonthsToGo+SwaptionShift))*SUM(INDEX($FO$325:$IH$396,FQ$169,1+SwaptionShift):INDEX($FO$325:$IH$396,FQ$169,SwaptionMonthsToGo+SwaptionShift))))))</f>
        <v/>
      </c>
      <c r="FR240" s="469" t="str">
        <f ca="1">IF(OR(FR$169&lt;SwaptionFirstMonthPosition+1,$FN240&lt;SwaptionFirstMonthPosition+1,FR$169&gt;SwaptionFirstMonthPosition+SwaptionNumOfMonths+1,$FN240&gt;SwaptionFirstMonthPosition+SwaptionNumOfMonths+1),"",IF($FN240=FR$169,1,IF($FN240&lt;FR$169,INDEX($FO$170:$IH$241,FR$169,$FN240),SUMPRODUCT(INDEX($FO$325:$IH$396,FR$169,1+SwaptionShift):INDEX($FO$325:$IH$396,FR$169,SwaptionMonthsToGo+SwaptionShift),INDEX($FO$245:$IH$316,$FN240-FR$169,73-FR$169+SwaptionShift):INDEX($FO$245:$IH$316,$FN240-FR$169,72-FR$169+SwaptionMonthsToGo+SwaptionShift))/SQRT(SUM(INDEX($FO395:$IH395,1+SwaptionShift):INDEX($FO395:$IH395,SwaptionMonthsToGo+SwaptionShift))*SUM(INDEX($FO$325:$IH$396,FR$169,1+SwaptionShift):INDEX($FO$325:$IH$396,FR$169,SwaptionMonthsToGo+SwaptionShift))))))</f>
        <v/>
      </c>
      <c r="FS240" s="469" t="str">
        <f ca="1">IF(OR(FS$169&lt;SwaptionFirstMonthPosition+1,$FN240&lt;SwaptionFirstMonthPosition+1,FS$169&gt;SwaptionFirstMonthPosition+SwaptionNumOfMonths+1,$FN240&gt;SwaptionFirstMonthPosition+SwaptionNumOfMonths+1),"",IF($FN240=FS$169,1,IF($FN240&lt;FS$169,INDEX($FO$170:$IH$241,FS$169,$FN240),SUMPRODUCT(INDEX($FO$325:$IH$396,FS$169,1+SwaptionShift):INDEX($FO$325:$IH$396,FS$169,SwaptionMonthsToGo+SwaptionShift),INDEX($FO$245:$IH$316,$FN240-FS$169,73-FS$169+SwaptionShift):INDEX($FO$245:$IH$316,$FN240-FS$169,72-FS$169+SwaptionMonthsToGo+SwaptionShift))/SQRT(SUM(INDEX($FO395:$IH395,1+SwaptionShift):INDEX($FO395:$IH395,SwaptionMonthsToGo+SwaptionShift))*SUM(INDEX($FO$325:$IH$396,FS$169,1+SwaptionShift):INDEX($FO$325:$IH$396,FS$169,SwaptionMonthsToGo+SwaptionShift))))))</f>
        <v/>
      </c>
      <c r="FT240" s="469" t="str">
        <f ca="1">IF(OR(FT$169&lt;SwaptionFirstMonthPosition+1,$FN240&lt;SwaptionFirstMonthPosition+1,FT$169&gt;SwaptionFirstMonthPosition+SwaptionNumOfMonths+1,$FN240&gt;SwaptionFirstMonthPosition+SwaptionNumOfMonths+1),"",IF($FN240=FT$169,1,IF($FN240&lt;FT$169,INDEX($FO$170:$IH$241,FT$169,$FN240),SUMPRODUCT(INDEX($FO$325:$IH$396,FT$169,1+SwaptionShift):INDEX($FO$325:$IH$396,FT$169,SwaptionMonthsToGo+SwaptionShift),INDEX($FO$245:$IH$316,$FN240-FT$169,73-FT$169+SwaptionShift):INDEX($FO$245:$IH$316,$FN240-FT$169,72-FT$169+SwaptionMonthsToGo+SwaptionShift))/SQRT(SUM(INDEX($FO395:$IH395,1+SwaptionShift):INDEX($FO395:$IH395,SwaptionMonthsToGo+SwaptionShift))*SUM(INDEX($FO$325:$IH$396,FT$169,1+SwaptionShift):INDEX($FO$325:$IH$396,FT$169,SwaptionMonthsToGo+SwaptionShift))))))</f>
        <v/>
      </c>
      <c r="FU240" s="469" t="str">
        <f ca="1">IF(OR(FU$169&lt;SwaptionFirstMonthPosition+1,$FN240&lt;SwaptionFirstMonthPosition+1,FU$169&gt;SwaptionFirstMonthPosition+SwaptionNumOfMonths+1,$FN240&gt;SwaptionFirstMonthPosition+SwaptionNumOfMonths+1),"",IF($FN240=FU$169,1,IF($FN240&lt;FU$169,INDEX($FO$170:$IH$241,FU$169,$FN240),SUMPRODUCT(INDEX($FO$325:$IH$396,FU$169,1+SwaptionShift):INDEX($FO$325:$IH$396,FU$169,SwaptionMonthsToGo+SwaptionShift),INDEX($FO$245:$IH$316,$FN240-FU$169,73-FU$169+SwaptionShift):INDEX($FO$245:$IH$316,$FN240-FU$169,72-FU$169+SwaptionMonthsToGo+SwaptionShift))/SQRT(SUM(INDEX($FO395:$IH395,1+SwaptionShift):INDEX($FO395:$IH395,SwaptionMonthsToGo+SwaptionShift))*SUM(INDEX($FO$325:$IH$396,FU$169,1+SwaptionShift):INDEX($FO$325:$IH$396,FU$169,SwaptionMonthsToGo+SwaptionShift))))))</f>
        <v/>
      </c>
      <c r="FV240" s="469" t="str">
        <f ca="1">IF(OR(FV$169&lt;SwaptionFirstMonthPosition+1,$FN240&lt;SwaptionFirstMonthPosition+1,FV$169&gt;SwaptionFirstMonthPosition+SwaptionNumOfMonths+1,$FN240&gt;SwaptionFirstMonthPosition+SwaptionNumOfMonths+1),"",IF($FN240=FV$169,1,IF($FN240&lt;FV$169,INDEX($FO$170:$IH$241,FV$169,$FN240),SUMPRODUCT(INDEX($FO$325:$IH$396,FV$169,1+SwaptionShift):INDEX($FO$325:$IH$396,FV$169,SwaptionMonthsToGo+SwaptionShift),INDEX($FO$245:$IH$316,$FN240-FV$169,73-FV$169+SwaptionShift):INDEX($FO$245:$IH$316,$FN240-FV$169,72-FV$169+SwaptionMonthsToGo+SwaptionShift))/SQRT(SUM(INDEX($FO395:$IH395,1+SwaptionShift):INDEX($FO395:$IH395,SwaptionMonthsToGo+SwaptionShift))*SUM(INDEX($FO$325:$IH$396,FV$169,1+SwaptionShift):INDEX($FO$325:$IH$396,FV$169,SwaptionMonthsToGo+SwaptionShift))))))</f>
        <v/>
      </c>
      <c r="FW240" s="469" t="str">
        <f ca="1">IF(OR(FW$169&lt;SwaptionFirstMonthPosition+1,$FN240&lt;SwaptionFirstMonthPosition+1,FW$169&gt;SwaptionFirstMonthPosition+SwaptionNumOfMonths+1,$FN240&gt;SwaptionFirstMonthPosition+SwaptionNumOfMonths+1),"",IF($FN240=FW$169,1,IF($FN240&lt;FW$169,INDEX($FO$170:$IH$241,FW$169,$FN240),SUMPRODUCT(INDEX($FO$325:$IH$396,FW$169,1+SwaptionShift):INDEX($FO$325:$IH$396,FW$169,SwaptionMonthsToGo+SwaptionShift),INDEX($FO$245:$IH$316,$FN240-FW$169,73-FW$169+SwaptionShift):INDEX($FO$245:$IH$316,$FN240-FW$169,72-FW$169+SwaptionMonthsToGo+SwaptionShift))/SQRT(SUM(INDEX($FO395:$IH395,1+SwaptionShift):INDEX($FO395:$IH395,SwaptionMonthsToGo+SwaptionShift))*SUM(INDEX($FO$325:$IH$396,FW$169,1+SwaptionShift):INDEX($FO$325:$IH$396,FW$169,SwaptionMonthsToGo+SwaptionShift))))))</f>
        <v/>
      </c>
      <c r="FX240" s="469" t="str">
        <f ca="1">IF(OR(FX$169&lt;SwaptionFirstMonthPosition+1,$FN240&lt;SwaptionFirstMonthPosition+1,FX$169&gt;SwaptionFirstMonthPosition+SwaptionNumOfMonths+1,$FN240&gt;SwaptionFirstMonthPosition+SwaptionNumOfMonths+1),"",IF($FN240=FX$169,1,IF($FN240&lt;FX$169,INDEX($FO$170:$IH$241,FX$169,$FN240),SUMPRODUCT(INDEX($FO$325:$IH$396,FX$169,1+SwaptionShift):INDEX($FO$325:$IH$396,FX$169,SwaptionMonthsToGo+SwaptionShift),INDEX($FO$245:$IH$316,$FN240-FX$169,73-FX$169+SwaptionShift):INDEX($FO$245:$IH$316,$FN240-FX$169,72-FX$169+SwaptionMonthsToGo+SwaptionShift))/SQRT(SUM(INDEX($FO395:$IH395,1+SwaptionShift):INDEX($FO395:$IH395,SwaptionMonthsToGo+SwaptionShift))*SUM(INDEX($FO$325:$IH$396,FX$169,1+SwaptionShift):INDEX($FO$325:$IH$396,FX$169,SwaptionMonthsToGo+SwaptionShift))))))</f>
        <v/>
      </c>
      <c r="FY240" s="469" t="str">
        <f ca="1">IF(OR(FY$169&lt;SwaptionFirstMonthPosition+1,$FN240&lt;SwaptionFirstMonthPosition+1,FY$169&gt;SwaptionFirstMonthPosition+SwaptionNumOfMonths+1,$FN240&gt;SwaptionFirstMonthPosition+SwaptionNumOfMonths+1),"",IF($FN240=FY$169,1,IF($FN240&lt;FY$169,INDEX($FO$170:$IH$241,FY$169,$FN240),SUMPRODUCT(INDEX($FO$325:$IH$396,FY$169,1+SwaptionShift):INDEX($FO$325:$IH$396,FY$169,SwaptionMonthsToGo+SwaptionShift),INDEX($FO$245:$IH$316,$FN240-FY$169,73-FY$169+SwaptionShift):INDEX($FO$245:$IH$316,$FN240-FY$169,72-FY$169+SwaptionMonthsToGo+SwaptionShift))/SQRT(SUM(INDEX($FO395:$IH395,1+SwaptionShift):INDEX($FO395:$IH395,SwaptionMonthsToGo+SwaptionShift))*SUM(INDEX($FO$325:$IH$396,FY$169,1+SwaptionShift):INDEX($FO$325:$IH$396,FY$169,SwaptionMonthsToGo+SwaptionShift))))))</f>
        <v/>
      </c>
      <c r="FZ240" s="469" t="str">
        <f ca="1">IF(OR(FZ$169&lt;SwaptionFirstMonthPosition+1,$FN240&lt;SwaptionFirstMonthPosition+1,FZ$169&gt;SwaptionFirstMonthPosition+SwaptionNumOfMonths+1,$FN240&gt;SwaptionFirstMonthPosition+SwaptionNumOfMonths+1),"",IF($FN240=FZ$169,1,IF($FN240&lt;FZ$169,INDEX($FO$170:$IH$241,FZ$169,$FN240),SUMPRODUCT(INDEX($FO$325:$IH$396,FZ$169,1+SwaptionShift):INDEX($FO$325:$IH$396,FZ$169,SwaptionMonthsToGo+SwaptionShift),INDEX($FO$245:$IH$316,$FN240-FZ$169,73-FZ$169+SwaptionShift):INDEX($FO$245:$IH$316,$FN240-FZ$169,72-FZ$169+SwaptionMonthsToGo+SwaptionShift))/SQRT(SUM(INDEX($FO395:$IH395,1+SwaptionShift):INDEX($FO395:$IH395,SwaptionMonthsToGo+SwaptionShift))*SUM(INDEX($FO$325:$IH$396,FZ$169,1+SwaptionShift):INDEX($FO$325:$IH$396,FZ$169,SwaptionMonthsToGo+SwaptionShift))))))</f>
        <v/>
      </c>
      <c r="GA240" s="469" t="str">
        <f ca="1">IF(OR(GA$169&lt;SwaptionFirstMonthPosition+1,$FN240&lt;SwaptionFirstMonthPosition+1,GA$169&gt;SwaptionFirstMonthPosition+SwaptionNumOfMonths+1,$FN240&gt;SwaptionFirstMonthPosition+SwaptionNumOfMonths+1),"",IF($FN240=GA$169,1,IF($FN240&lt;GA$169,INDEX($FO$170:$IH$241,GA$169,$FN240),SUMPRODUCT(INDEX($FO$325:$IH$396,GA$169,1+SwaptionShift):INDEX($FO$325:$IH$396,GA$169,SwaptionMonthsToGo+SwaptionShift),INDEX($FO$245:$IH$316,$FN240-GA$169,73-GA$169+SwaptionShift):INDEX($FO$245:$IH$316,$FN240-GA$169,72-GA$169+SwaptionMonthsToGo+SwaptionShift))/SQRT(SUM(INDEX($FO395:$IH395,1+SwaptionShift):INDEX($FO395:$IH395,SwaptionMonthsToGo+SwaptionShift))*SUM(INDEX($FO$325:$IH$396,GA$169,1+SwaptionShift):INDEX($FO$325:$IH$396,GA$169,SwaptionMonthsToGo+SwaptionShift))))))</f>
        <v/>
      </c>
      <c r="GB240" s="469" t="str">
        <f ca="1">IF(OR(GB$169&lt;SwaptionFirstMonthPosition+1,$FN240&lt;SwaptionFirstMonthPosition+1,GB$169&gt;SwaptionFirstMonthPosition+SwaptionNumOfMonths+1,$FN240&gt;SwaptionFirstMonthPosition+SwaptionNumOfMonths+1),"",IF($FN240=GB$169,1,IF($FN240&lt;GB$169,INDEX($FO$170:$IH$241,GB$169,$FN240),SUMPRODUCT(INDEX($FO$325:$IH$396,GB$169,1+SwaptionShift):INDEX($FO$325:$IH$396,GB$169,SwaptionMonthsToGo+SwaptionShift),INDEX($FO$245:$IH$316,$FN240-GB$169,73-GB$169+SwaptionShift):INDEX($FO$245:$IH$316,$FN240-GB$169,72-GB$169+SwaptionMonthsToGo+SwaptionShift))/SQRT(SUM(INDEX($FO395:$IH395,1+SwaptionShift):INDEX($FO395:$IH395,SwaptionMonthsToGo+SwaptionShift))*SUM(INDEX($FO$325:$IH$396,GB$169,1+SwaptionShift):INDEX($FO$325:$IH$396,GB$169,SwaptionMonthsToGo+SwaptionShift))))))</f>
        <v/>
      </c>
      <c r="GC240" s="469" t="str">
        <f ca="1">IF(OR(GC$169&lt;SwaptionFirstMonthPosition+1,$FN240&lt;SwaptionFirstMonthPosition+1,GC$169&gt;SwaptionFirstMonthPosition+SwaptionNumOfMonths+1,$FN240&gt;SwaptionFirstMonthPosition+SwaptionNumOfMonths+1),"",IF($FN240=GC$169,1,IF($FN240&lt;GC$169,INDEX($FO$170:$IH$241,GC$169,$FN240),SUMPRODUCT(INDEX($FO$325:$IH$396,GC$169,1+SwaptionShift):INDEX($FO$325:$IH$396,GC$169,SwaptionMonthsToGo+SwaptionShift),INDEX($FO$245:$IH$316,$FN240-GC$169,73-GC$169+SwaptionShift):INDEX($FO$245:$IH$316,$FN240-GC$169,72-GC$169+SwaptionMonthsToGo+SwaptionShift))/SQRT(SUM(INDEX($FO395:$IH395,1+SwaptionShift):INDEX($FO395:$IH395,SwaptionMonthsToGo+SwaptionShift))*SUM(INDEX($FO$325:$IH$396,GC$169,1+SwaptionShift):INDEX($FO$325:$IH$396,GC$169,SwaptionMonthsToGo+SwaptionShift))))))</f>
        <v/>
      </c>
      <c r="GD240" s="469" t="str">
        <f ca="1">IF(OR(GD$169&lt;SwaptionFirstMonthPosition+1,$FN240&lt;SwaptionFirstMonthPosition+1,GD$169&gt;SwaptionFirstMonthPosition+SwaptionNumOfMonths+1,$FN240&gt;SwaptionFirstMonthPosition+SwaptionNumOfMonths+1),"",IF($FN240=GD$169,1,IF($FN240&lt;GD$169,INDEX($FO$170:$IH$241,GD$169,$FN240),SUMPRODUCT(INDEX($FO$325:$IH$396,GD$169,1+SwaptionShift):INDEX($FO$325:$IH$396,GD$169,SwaptionMonthsToGo+SwaptionShift),INDEX($FO$245:$IH$316,$FN240-GD$169,73-GD$169+SwaptionShift):INDEX($FO$245:$IH$316,$FN240-GD$169,72-GD$169+SwaptionMonthsToGo+SwaptionShift))/SQRT(SUM(INDEX($FO395:$IH395,1+SwaptionShift):INDEX($FO395:$IH395,SwaptionMonthsToGo+SwaptionShift))*SUM(INDEX($FO$325:$IH$396,GD$169,1+SwaptionShift):INDEX($FO$325:$IH$396,GD$169,SwaptionMonthsToGo+SwaptionShift))))))</f>
        <v/>
      </c>
      <c r="GE240" s="469" t="str">
        <f ca="1">IF(OR(GE$169&lt;SwaptionFirstMonthPosition+1,$FN240&lt;SwaptionFirstMonthPosition+1,GE$169&gt;SwaptionFirstMonthPosition+SwaptionNumOfMonths+1,$FN240&gt;SwaptionFirstMonthPosition+SwaptionNumOfMonths+1),"",IF($FN240=GE$169,1,IF($FN240&lt;GE$169,INDEX($FO$170:$IH$241,GE$169,$FN240),SUMPRODUCT(INDEX($FO$325:$IH$396,GE$169,1+SwaptionShift):INDEX($FO$325:$IH$396,GE$169,SwaptionMonthsToGo+SwaptionShift),INDEX($FO$245:$IH$316,$FN240-GE$169,73-GE$169+SwaptionShift):INDEX($FO$245:$IH$316,$FN240-GE$169,72-GE$169+SwaptionMonthsToGo+SwaptionShift))/SQRT(SUM(INDEX($FO395:$IH395,1+SwaptionShift):INDEX($FO395:$IH395,SwaptionMonthsToGo+SwaptionShift))*SUM(INDEX($FO$325:$IH$396,GE$169,1+SwaptionShift):INDEX($FO$325:$IH$396,GE$169,SwaptionMonthsToGo+SwaptionShift))))))</f>
        <v/>
      </c>
      <c r="GF240" s="469" t="str">
        <f ca="1">IF(OR(GF$169&lt;SwaptionFirstMonthPosition+1,$FN240&lt;SwaptionFirstMonthPosition+1,GF$169&gt;SwaptionFirstMonthPosition+SwaptionNumOfMonths+1,$FN240&gt;SwaptionFirstMonthPosition+SwaptionNumOfMonths+1),"",IF($FN240=GF$169,1,IF($FN240&lt;GF$169,INDEX($FO$170:$IH$241,GF$169,$FN240),SUMPRODUCT(INDEX($FO$325:$IH$396,GF$169,1+SwaptionShift):INDEX($FO$325:$IH$396,GF$169,SwaptionMonthsToGo+SwaptionShift),INDEX($FO$245:$IH$316,$FN240-GF$169,73-GF$169+SwaptionShift):INDEX($FO$245:$IH$316,$FN240-GF$169,72-GF$169+SwaptionMonthsToGo+SwaptionShift))/SQRT(SUM(INDEX($FO395:$IH395,1+SwaptionShift):INDEX($FO395:$IH395,SwaptionMonthsToGo+SwaptionShift))*SUM(INDEX($FO$325:$IH$396,GF$169,1+SwaptionShift):INDEX($FO$325:$IH$396,GF$169,SwaptionMonthsToGo+SwaptionShift))))))</f>
        <v/>
      </c>
      <c r="GG240" s="469" t="str">
        <f ca="1">IF(OR(GG$169&lt;SwaptionFirstMonthPosition+1,$FN240&lt;SwaptionFirstMonthPosition+1,GG$169&gt;SwaptionFirstMonthPosition+SwaptionNumOfMonths+1,$FN240&gt;SwaptionFirstMonthPosition+SwaptionNumOfMonths+1),"",IF($FN240=GG$169,1,IF($FN240&lt;GG$169,INDEX($FO$170:$IH$241,GG$169,$FN240),SUMPRODUCT(INDEX($FO$325:$IH$396,GG$169,1+SwaptionShift):INDEX($FO$325:$IH$396,GG$169,SwaptionMonthsToGo+SwaptionShift),INDEX($FO$245:$IH$316,$FN240-GG$169,73-GG$169+SwaptionShift):INDEX($FO$245:$IH$316,$FN240-GG$169,72-GG$169+SwaptionMonthsToGo+SwaptionShift))/SQRT(SUM(INDEX($FO395:$IH395,1+SwaptionShift):INDEX($FO395:$IH395,SwaptionMonthsToGo+SwaptionShift))*SUM(INDEX($FO$325:$IH$396,GG$169,1+SwaptionShift):INDEX($FO$325:$IH$396,GG$169,SwaptionMonthsToGo+SwaptionShift))))))</f>
        <v/>
      </c>
      <c r="GH240" s="469" t="str">
        <f ca="1">IF(OR(GH$169&lt;SwaptionFirstMonthPosition+1,$FN240&lt;SwaptionFirstMonthPosition+1,GH$169&gt;SwaptionFirstMonthPosition+SwaptionNumOfMonths+1,$FN240&gt;SwaptionFirstMonthPosition+SwaptionNumOfMonths+1),"",IF($FN240=GH$169,1,IF($FN240&lt;GH$169,INDEX($FO$170:$IH$241,GH$169,$FN240),SUMPRODUCT(INDEX($FO$325:$IH$396,GH$169,1+SwaptionShift):INDEX($FO$325:$IH$396,GH$169,SwaptionMonthsToGo+SwaptionShift),INDEX($FO$245:$IH$316,$FN240-GH$169,73-GH$169+SwaptionShift):INDEX($FO$245:$IH$316,$FN240-GH$169,72-GH$169+SwaptionMonthsToGo+SwaptionShift))/SQRT(SUM(INDEX($FO395:$IH395,1+SwaptionShift):INDEX($FO395:$IH395,SwaptionMonthsToGo+SwaptionShift))*SUM(INDEX($FO$325:$IH$396,GH$169,1+SwaptionShift):INDEX($FO$325:$IH$396,GH$169,SwaptionMonthsToGo+SwaptionShift))))))</f>
        <v/>
      </c>
      <c r="GI240" s="469" t="str">
        <f ca="1">IF(OR(GI$169&lt;SwaptionFirstMonthPosition+1,$FN240&lt;SwaptionFirstMonthPosition+1,GI$169&gt;SwaptionFirstMonthPosition+SwaptionNumOfMonths+1,$FN240&gt;SwaptionFirstMonthPosition+SwaptionNumOfMonths+1),"",IF($FN240=GI$169,1,IF($FN240&lt;GI$169,INDEX($FO$170:$IH$241,GI$169,$FN240),SUMPRODUCT(INDEX($FO$325:$IH$396,GI$169,1+SwaptionShift):INDEX($FO$325:$IH$396,GI$169,SwaptionMonthsToGo+SwaptionShift),INDEX($FO$245:$IH$316,$FN240-GI$169,73-GI$169+SwaptionShift):INDEX($FO$245:$IH$316,$FN240-GI$169,72-GI$169+SwaptionMonthsToGo+SwaptionShift))/SQRT(SUM(INDEX($FO395:$IH395,1+SwaptionShift):INDEX($FO395:$IH395,SwaptionMonthsToGo+SwaptionShift))*SUM(INDEX($FO$325:$IH$396,GI$169,1+SwaptionShift):INDEX($FO$325:$IH$396,GI$169,SwaptionMonthsToGo+SwaptionShift))))))</f>
        <v/>
      </c>
      <c r="GJ240" s="469" t="str">
        <f ca="1">IF(OR(GJ$169&lt;SwaptionFirstMonthPosition+1,$FN240&lt;SwaptionFirstMonthPosition+1,GJ$169&gt;SwaptionFirstMonthPosition+SwaptionNumOfMonths+1,$FN240&gt;SwaptionFirstMonthPosition+SwaptionNumOfMonths+1),"",IF($FN240=GJ$169,1,IF($FN240&lt;GJ$169,INDEX($FO$170:$IH$241,GJ$169,$FN240),SUMPRODUCT(INDEX($FO$325:$IH$396,GJ$169,1+SwaptionShift):INDEX($FO$325:$IH$396,GJ$169,SwaptionMonthsToGo+SwaptionShift),INDEX($FO$245:$IH$316,$FN240-GJ$169,73-GJ$169+SwaptionShift):INDEX($FO$245:$IH$316,$FN240-GJ$169,72-GJ$169+SwaptionMonthsToGo+SwaptionShift))/SQRT(SUM(INDEX($FO395:$IH395,1+SwaptionShift):INDEX($FO395:$IH395,SwaptionMonthsToGo+SwaptionShift))*SUM(INDEX($FO$325:$IH$396,GJ$169,1+SwaptionShift):INDEX($FO$325:$IH$396,GJ$169,SwaptionMonthsToGo+SwaptionShift))))))</f>
        <v/>
      </c>
      <c r="GK240" s="469" t="str">
        <f ca="1">IF(OR(GK$169&lt;SwaptionFirstMonthPosition+1,$FN240&lt;SwaptionFirstMonthPosition+1,GK$169&gt;SwaptionFirstMonthPosition+SwaptionNumOfMonths+1,$FN240&gt;SwaptionFirstMonthPosition+SwaptionNumOfMonths+1),"",IF($FN240=GK$169,1,IF($FN240&lt;GK$169,INDEX($FO$170:$IH$241,GK$169,$FN240),SUMPRODUCT(INDEX($FO$325:$IH$396,GK$169,1+SwaptionShift):INDEX($FO$325:$IH$396,GK$169,SwaptionMonthsToGo+SwaptionShift),INDEX($FO$245:$IH$316,$FN240-GK$169,73-GK$169+SwaptionShift):INDEX($FO$245:$IH$316,$FN240-GK$169,72-GK$169+SwaptionMonthsToGo+SwaptionShift))/SQRT(SUM(INDEX($FO395:$IH395,1+SwaptionShift):INDEX($FO395:$IH395,SwaptionMonthsToGo+SwaptionShift))*SUM(INDEX($FO$325:$IH$396,GK$169,1+SwaptionShift):INDEX($FO$325:$IH$396,GK$169,SwaptionMonthsToGo+SwaptionShift))))))</f>
        <v/>
      </c>
      <c r="GL240" s="469" t="str">
        <f ca="1">IF(OR(GL$169&lt;SwaptionFirstMonthPosition+1,$FN240&lt;SwaptionFirstMonthPosition+1,GL$169&gt;SwaptionFirstMonthPosition+SwaptionNumOfMonths+1,$FN240&gt;SwaptionFirstMonthPosition+SwaptionNumOfMonths+1),"",IF($FN240=GL$169,1,IF($FN240&lt;GL$169,INDEX($FO$170:$IH$241,GL$169,$FN240),SUMPRODUCT(INDEX($FO$325:$IH$396,GL$169,1+SwaptionShift):INDEX($FO$325:$IH$396,GL$169,SwaptionMonthsToGo+SwaptionShift),INDEX($FO$245:$IH$316,$FN240-GL$169,73-GL$169+SwaptionShift):INDEX($FO$245:$IH$316,$FN240-GL$169,72-GL$169+SwaptionMonthsToGo+SwaptionShift))/SQRT(SUM(INDEX($FO395:$IH395,1+SwaptionShift):INDEX($FO395:$IH395,SwaptionMonthsToGo+SwaptionShift))*SUM(INDEX($FO$325:$IH$396,GL$169,1+SwaptionShift):INDEX($FO$325:$IH$396,GL$169,SwaptionMonthsToGo+SwaptionShift))))))</f>
        <v/>
      </c>
      <c r="GM240" s="469" t="str">
        <f ca="1">IF(OR(GM$169&lt;SwaptionFirstMonthPosition+1,$FN240&lt;SwaptionFirstMonthPosition+1,GM$169&gt;SwaptionFirstMonthPosition+SwaptionNumOfMonths+1,$FN240&gt;SwaptionFirstMonthPosition+SwaptionNumOfMonths+1),"",IF($FN240=GM$169,1,IF($FN240&lt;GM$169,INDEX($FO$170:$IH$241,GM$169,$FN240),SUMPRODUCT(INDEX($FO$325:$IH$396,GM$169,1+SwaptionShift):INDEX($FO$325:$IH$396,GM$169,SwaptionMonthsToGo+SwaptionShift),INDEX($FO$245:$IH$316,$FN240-GM$169,73-GM$169+SwaptionShift):INDEX($FO$245:$IH$316,$FN240-GM$169,72-GM$169+SwaptionMonthsToGo+SwaptionShift))/SQRT(SUM(INDEX($FO395:$IH395,1+SwaptionShift):INDEX($FO395:$IH395,SwaptionMonthsToGo+SwaptionShift))*SUM(INDEX($FO$325:$IH$396,GM$169,1+SwaptionShift):INDEX($FO$325:$IH$396,GM$169,SwaptionMonthsToGo+SwaptionShift))))))</f>
        <v/>
      </c>
      <c r="GN240" s="469" t="str">
        <f ca="1">IF(OR(GN$169&lt;SwaptionFirstMonthPosition+1,$FN240&lt;SwaptionFirstMonthPosition+1,GN$169&gt;SwaptionFirstMonthPosition+SwaptionNumOfMonths+1,$FN240&gt;SwaptionFirstMonthPosition+SwaptionNumOfMonths+1),"",IF($FN240=GN$169,1,IF($FN240&lt;GN$169,INDEX($FO$170:$IH$241,GN$169,$FN240),SUMPRODUCT(INDEX($FO$325:$IH$396,GN$169,1+SwaptionShift):INDEX($FO$325:$IH$396,GN$169,SwaptionMonthsToGo+SwaptionShift),INDEX($FO$245:$IH$316,$FN240-GN$169,73-GN$169+SwaptionShift):INDEX($FO$245:$IH$316,$FN240-GN$169,72-GN$169+SwaptionMonthsToGo+SwaptionShift))/SQRT(SUM(INDEX($FO395:$IH395,1+SwaptionShift):INDEX($FO395:$IH395,SwaptionMonthsToGo+SwaptionShift))*SUM(INDEX($FO$325:$IH$396,GN$169,1+SwaptionShift):INDEX($FO$325:$IH$396,GN$169,SwaptionMonthsToGo+SwaptionShift))))))</f>
        <v/>
      </c>
      <c r="GO240" s="469" t="str">
        <f ca="1">IF(OR(GO$169&lt;SwaptionFirstMonthPosition+1,$FN240&lt;SwaptionFirstMonthPosition+1,GO$169&gt;SwaptionFirstMonthPosition+SwaptionNumOfMonths+1,$FN240&gt;SwaptionFirstMonthPosition+SwaptionNumOfMonths+1),"",IF($FN240=GO$169,1,IF($FN240&lt;GO$169,INDEX($FO$170:$IH$241,GO$169,$FN240),SUMPRODUCT(INDEX($FO$325:$IH$396,GO$169,1+SwaptionShift):INDEX($FO$325:$IH$396,GO$169,SwaptionMonthsToGo+SwaptionShift),INDEX($FO$245:$IH$316,$FN240-GO$169,73-GO$169+SwaptionShift):INDEX($FO$245:$IH$316,$FN240-GO$169,72-GO$169+SwaptionMonthsToGo+SwaptionShift))/SQRT(SUM(INDEX($FO395:$IH395,1+SwaptionShift):INDEX($FO395:$IH395,SwaptionMonthsToGo+SwaptionShift))*SUM(INDEX($FO$325:$IH$396,GO$169,1+SwaptionShift):INDEX($FO$325:$IH$396,GO$169,SwaptionMonthsToGo+SwaptionShift))))))</f>
        <v/>
      </c>
      <c r="GP240" s="469" t="str">
        <f ca="1">IF(OR(GP$169&lt;SwaptionFirstMonthPosition+1,$FN240&lt;SwaptionFirstMonthPosition+1,GP$169&gt;SwaptionFirstMonthPosition+SwaptionNumOfMonths+1,$FN240&gt;SwaptionFirstMonthPosition+SwaptionNumOfMonths+1),"",IF($FN240=GP$169,1,IF($FN240&lt;GP$169,INDEX($FO$170:$IH$241,GP$169,$FN240),SUMPRODUCT(INDEX($FO$325:$IH$396,GP$169,1+SwaptionShift):INDEX($FO$325:$IH$396,GP$169,SwaptionMonthsToGo+SwaptionShift),INDEX($FO$245:$IH$316,$FN240-GP$169,73-GP$169+SwaptionShift):INDEX($FO$245:$IH$316,$FN240-GP$169,72-GP$169+SwaptionMonthsToGo+SwaptionShift))/SQRT(SUM(INDEX($FO395:$IH395,1+SwaptionShift):INDEX($FO395:$IH395,SwaptionMonthsToGo+SwaptionShift))*SUM(INDEX($FO$325:$IH$396,GP$169,1+SwaptionShift):INDEX($FO$325:$IH$396,GP$169,SwaptionMonthsToGo+SwaptionShift))))))</f>
        <v/>
      </c>
      <c r="GQ240" s="469" t="str">
        <f ca="1">IF(OR(GQ$169&lt;SwaptionFirstMonthPosition+1,$FN240&lt;SwaptionFirstMonthPosition+1,GQ$169&gt;SwaptionFirstMonthPosition+SwaptionNumOfMonths+1,$FN240&gt;SwaptionFirstMonthPosition+SwaptionNumOfMonths+1),"",IF($FN240=GQ$169,1,IF($FN240&lt;GQ$169,INDEX($FO$170:$IH$241,GQ$169,$FN240),SUMPRODUCT(INDEX($FO$325:$IH$396,GQ$169,1+SwaptionShift):INDEX($FO$325:$IH$396,GQ$169,SwaptionMonthsToGo+SwaptionShift),INDEX($FO$245:$IH$316,$FN240-GQ$169,73-GQ$169+SwaptionShift):INDEX($FO$245:$IH$316,$FN240-GQ$169,72-GQ$169+SwaptionMonthsToGo+SwaptionShift))/SQRT(SUM(INDEX($FO395:$IH395,1+SwaptionShift):INDEX($FO395:$IH395,SwaptionMonthsToGo+SwaptionShift))*SUM(INDEX($FO$325:$IH$396,GQ$169,1+SwaptionShift):INDEX($FO$325:$IH$396,GQ$169,SwaptionMonthsToGo+SwaptionShift))))))</f>
        <v/>
      </c>
      <c r="GR240" s="469" t="str">
        <f ca="1">IF(OR(GR$169&lt;SwaptionFirstMonthPosition+1,$FN240&lt;SwaptionFirstMonthPosition+1,GR$169&gt;SwaptionFirstMonthPosition+SwaptionNumOfMonths+1,$FN240&gt;SwaptionFirstMonthPosition+SwaptionNumOfMonths+1),"",IF($FN240=GR$169,1,IF($FN240&lt;GR$169,INDEX($FO$170:$IH$241,GR$169,$FN240),SUMPRODUCT(INDEX($FO$325:$IH$396,GR$169,1+SwaptionShift):INDEX($FO$325:$IH$396,GR$169,SwaptionMonthsToGo+SwaptionShift),INDEX($FO$245:$IH$316,$FN240-GR$169,73-GR$169+SwaptionShift):INDEX($FO$245:$IH$316,$FN240-GR$169,72-GR$169+SwaptionMonthsToGo+SwaptionShift))/SQRT(SUM(INDEX($FO395:$IH395,1+SwaptionShift):INDEX($FO395:$IH395,SwaptionMonthsToGo+SwaptionShift))*SUM(INDEX($FO$325:$IH$396,GR$169,1+SwaptionShift):INDEX($FO$325:$IH$396,GR$169,SwaptionMonthsToGo+SwaptionShift))))))</f>
        <v/>
      </c>
      <c r="GS240" s="469" t="str">
        <f ca="1">IF(OR(GS$169&lt;SwaptionFirstMonthPosition+1,$FN240&lt;SwaptionFirstMonthPosition+1,GS$169&gt;SwaptionFirstMonthPosition+SwaptionNumOfMonths+1,$FN240&gt;SwaptionFirstMonthPosition+SwaptionNumOfMonths+1),"",IF($FN240=GS$169,1,IF($FN240&lt;GS$169,INDEX($FO$170:$IH$241,GS$169,$FN240),SUMPRODUCT(INDEX($FO$325:$IH$396,GS$169,1+SwaptionShift):INDEX($FO$325:$IH$396,GS$169,SwaptionMonthsToGo+SwaptionShift),INDEX($FO$245:$IH$316,$FN240-GS$169,73-GS$169+SwaptionShift):INDEX($FO$245:$IH$316,$FN240-GS$169,72-GS$169+SwaptionMonthsToGo+SwaptionShift))/SQRT(SUM(INDEX($FO395:$IH395,1+SwaptionShift):INDEX($FO395:$IH395,SwaptionMonthsToGo+SwaptionShift))*SUM(INDEX($FO$325:$IH$396,GS$169,1+SwaptionShift):INDEX($FO$325:$IH$396,GS$169,SwaptionMonthsToGo+SwaptionShift))))))</f>
        <v/>
      </c>
      <c r="GT240" s="469" t="str">
        <f ca="1">IF(OR(GT$169&lt;SwaptionFirstMonthPosition+1,$FN240&lt;SwaptionFirstMonthPosition+1,GT$169&gt;SwaptionFirstMonthPosition+SwaptionNumOfMonths+1,$FN240&gt;SwaptionFirstMonthPosition+SwaptionNumOfMonths+1),"",IF($FN240=GT$169,1,IF($FN240&lt;GT$169,INDEX($FO$170:$IH$241,GT$169,$FN240),SUMPRODUCT(INDEX($FO$325:$IH$396,GT$169,1+SwaptionShift):INDEX($FO$325:$IH$396,GT$169,SwaptionMonthsToGo+SwaptionShift),INDEX($FO$245:$IH$316,$FN240-GT$169,73-GT$169+SwaptionShift):INDEX($FO$245:$IH$316,$FN240-GT$169,72-GT$169+SwaptionMonthsToGo+SwaptionShift))/SQRT(SUM(INDEX($FO395:$IH395,1+SwaptionShift):INDEX($FO395:$IH395,SwaptionMonthsToGo+SwaptionShift))*SUM(INDEX($FO$325:$IH$396,GT$169,1+SwaptionShift):INDEX($FO$325:$IH$396,GT$169,SwaptionMonthsToGo+SwaptionShift))))))</f>
        <v/>
      </c>
      <c r="GU240" s="469" t="str">
        <f ca="1">IF(OR(GU$169&lt;SwaptionFirstMonthPosition+1,$FN240&lt;SwaptionFirstMonthPosition+1,GU$169&gt;SwaptionFirstMonthPosition+SwaptionNumOfMonths+1,$FN240&gt;SwaptionFirstMonthPosition+SwaptionNumOfMonths+1),"",IF($FN240=GU$169,1,IF($FN240&lt;GU$169,INDEX($FO$170:$IH$241,GU$169,$FN240),SUMPRODUCT(INDEX($FO$325:$IH$396,GU$169,1+SwaptionShift):INDEX($FO$325:$IH$396,GU$169,SwaptionMonthsToGo+SwaptionShift),INDEX($FO$245:$IH$316,$FN240-GU$169,73-GU$169+SwaptionShift):INDEX($FO$245:$IH$316,$FN240-GU$169,72-GU$169+SwaptionMonthsToGo+SwaptionShift))/SQRT(SUM(INDEX($FO395:$IH395,1+SwaptionShift):INDEX($FO395:$IH395,SwaptionMonthsToGo+SwaptionShift))*SUM(INDEX($FO$325:$IH$396,GU$169,1+SwaptionShift):INDEX($FO$325:$IH$396,GU$169,SwaptionMonthsToGo+SwaptionShift))))))</f>
        <v/>
      </c>
      <c r="GV240" s="469" t="str">
        <f ca="1">IF(OR(GV$169&lt;SwaptionFirstMonthPosition+1,$FN240&lt;SwaptionFirstMonthPosition+1,GV$169&gt;SwaptionFirstMonthPosition+SwaptionNumOfMonths+1,$FN240&gt;SwaptionFirstMonthPosition+SwaptionNumOfMonths+1),"",IF($FN240=GV$169,1,IF($FN240&lt;GV$169,INDEX($FO$170:$IH$241,GV$169,$FN240),SUMPRODUCT(INDEX($FO$325:$IH$396,GV$169,1+SwaptionShift):INDEX($FO$325:$IH$396,GV$169,SwaptionMonthsToGo+SwaptionShift),INDEX($FO$245:$IH$316,$FN240-GV$169,73-GV$169+SwaptionShift):INDEX($FO$245:$IH$316,$FN240-GV$169,72-GV$169+SwaptionMonthsToGo+SwaptionShift))/SQRT(SUM(INDEX($FO395:$IH395,1+SwaptionShift):INDEX($FO395:$IH395,SwaptionMonthsToGo+SwaptionShift))*SUM(INDEX($FO$325:$IH$396,GV$169,1+SwaptionShift):INDEX($FO$325:$IH$396,GV$169,SwaptionMonthsToGo+SwaptionShift))))))</f>
        <v/>
      </c>
      <c r="GW240" s="469" t="str">
        <f ca="1">IF(OR(GW$169&lt;SwaptionFirstMonthPosition+1,$FN240&lt;SwaptionFirstMonthPosition+1,GW$169&gt;SwaptionFirstMonthPosition+SwaptionNumOfMonths+1,$FN240&gt;SwaptionFirstMonthPosition+SwaptionNumOfMonths+1),"",IF($FN240=GW$169,1,IF($FN240&lt;GW$169,INDEX($FO$170:$IH$241,GW$169,$FN240),SUMPRODUCT(INDEX($FO$325:$IH$396,GW$169,1+SwaptionShift):INDEX($FO$325:$IH$396,GW$169,SwaptionMonthsToGo+SwaptionShift),INDEX($FO$245:$IH$316,$FN240-GW$169,73-GW$169+SwaptionShift):INDEX($FO$245:$IH$316,$FN240-GW$169,72-GW$169+SwaptionMonthsToGo+SwaptionShift))/SQRT(SUM(INDEX($FO395:$IH395,1+SwaptionShift):INDEX($FO395:$IH395,SwaptionMonthsToGo+SwaptionShift))*SUM(INDEX($FO$325:$IH$396,GW$169,1+SwaptionShift):INDEX($FO$325:$IH$396,GW$169,SwaptionMonthsToGo+SwaptionShift))))))</f>
        <v/>
      </c>
      <c r="GX240" s="469" t="str">
        <f ca="1">IF(OR(GX$169&lt;SwaptionFirstMonthPosition+1,$FN240&lt;SwaptionFirstMonthPosition+1,GX$169&gt;SwaptionFirstMonthPosition+SwaptionNumOfMonths+1,$FN240&gt;SwaptionFirstMonthPosition+SwaptionNumOfMonths+1),"",IF($FN240=GX$169,1,IF($FN240&lt;GX$169,INDEX($FO$170:$IH$241,GX$169,$FN240),SUMPRODUCT(INDEX($FO$325:$IH$396,GX$169,1+SwaptionShift):INDEX($FO$325:$IH$396,GX$169,SwaptionMonthsToGo+SwaptionShift),INDEX($FO$245:$IH$316,$FN240-GX$169,73-GX$169+SwaptionShift):INDEX($FO$245:$IH$316,$FN240-GX$169,72-GX$169+SwaptionMonthsToGo+SwaptionShift))/SQRT(SUM(INDEX($FO395:$IH395,1+SwaptionShift):INDEX($FO395:$IH395,SwaptionMonthsToGo+SwaptionShift))*SUM(INDEX($FO$325:$IH$396,GX$169,1+SwaptionShift):INDEX($FO$325:$IH$396,GX$169,SwaptionMonthsToGo+SwaptionShift))))))</f>
        <v/>
      </c>
      <c r="GY240" s="469" t="str">
        <f ca="1">IF(OR(GY$169&lt;SwaptionFirstMonthPosition+1,$FN240&lt;SwaptionFirstMonthPosition+1,GY$169&gt;SwaptionFirstMonthPosition+SwaptionNumOfMonths+1,$FN240&gt;SwaptionFirstMonthPosition+SwaptionNumOfMonths+1),"",IF($FN240=GY$169,1,IF($FN240&lt;GY$169,INDEX($FO$170:$IH$241,GY$169,$FN240),SUMPRODUCT(INDEX($FO$325:$IH$396,GY$169,1+SwaptionShift):INDEX($FO$325:$IH$396,GY$169,SwaptionMonthsToGo+SwaptionShift),INDEX($FO$245:$IH$316,$FN240-GY$169,73-GY$169+SwaptionShift):INDEX($FO$245:$IH$316,$FN240-GY$169,72-GY$169+SwaptionMonthsToGo+SwaptionShift))/SQRT(SUM(INDEX($FO395:$IH395,1+SwaptionShift):INDEX($FO395:$IH395,SwaptionMonthsToGo+SwaptionShift))*SUM(INDEX($FO$325:$IH$396,GY$169,1+SwaptionShift):INDEX($FO$325:$IH$396,GY$169,SwaptionMonthsToGo+SwaptionShift))))))</f>
        <v/>
      </c>
      <c r="GZ240" s="469" t="str">
        <f ca="1">IF(OR(GZ$169&lt;SwaptionFirstMonthPosition+1,$FN240&lt;SwaptionFirstMonthPosition+1,GZ$169&gt;SwaptionFirstMonthPosition+SwaptionNumOfMonths+1,$FN240&gt;SwaptionFirstMonthPosition+SwaptionNumOfMonths+1),"",IF($FN240=GZ$169,1,IF($FN240&lt;GZ$169,INDEX($FO$170:$IH$241,GZ$169,$FN240),SUMPRODUCT(INDEX($FO$325:$IH$396,GZ$169,1+SwaptionShift):INDEX($FO$325:$IH$396,GZ$169,SwaptionMonthsToGo+SwaptionShift),INDEX($FO$245:$IH$316,$FN240-GZ$169,73-GZ$169+SwaptionShift):INDEX($FO$245:$IH$316,$FN240-GZ$169,72-GZ$169+SwaptionMonthsToGo+SwaptionShift))/SQRT(SUM(INDEX($FO395:$IH395,1+SwaptionShift):INDEX($FO395:$IH395,SwaptionMonthsToGo+SwaptionShift))*SUM(INDEX($FO$325:$IH$396,GZ$169,1+SwaptionShift):INDEX($FO$325:$IH$396,GZ$169,SwaptionMonthsToGo+SwaptionShift))))))</f>
        <v/>
      </c>
      <c r="HA240" s="469" t="str">
        <f ca="1">IF(OR(HA$169&lt;SwaptionFirstMonthPosition+1,$FN240&lt;SwaptionFirstMonthPosition+1,HA$169&gt;SwaptionFirstMonthPosition+SwaptionNumOfMonths+1,$FN240&gt;SwaptionFirstMonthPosition+SwaptionNumOfMonths+1),"",IF($FN240=HA$169,1,IF($FN240&lt;HA$169,INDEX($FO$170:$IH$241,HA$169,$FN240),SUMPRODUCT(INDEX($FO$325:$IH$396,HA$169,1+SwaptionShift):INDEX($FO$325:$IH$396,HA$169,SwaptionMonthsToGo+SwaptionShift),INDEX($FO$245:$IH$316,$FN240-HA$169,73-HA$169+SwaptionShift):INDEX($FO$245:$IH$316,$FN240-HA$169,72-HA$169+SwaptionMonthsToGo+SwaptionShift))/SQRT(SUM(INDEX($FO395:$IH395,1+SwaptionShift):INDEX($FO395:$IH395,SwaptionMonthsToGo+SwaptionShift))*SUM(INDEX($FO$325:$IH$396,HA$169,1+SwaptionShift):INDEX($FO$325:$IH$396,HA$169,SwaptionMonthsToGo+SwaptionShift))))))</f>
        <v/>
      </c>
      <c r="HB240" s="469" t="str">
        <f ca="1">IF(OR(HB$169&lt;SwaptionFirstMonthPosition+1,$FN240&lt;SwaptionFirstMonthPosition+1,HB$169&gt;SwaptionFirstMonthPosition+SwaptionNumOfMonths+1,$FN240&gt;SwaptionFirstMonthPosition+SwaptionNumOfMonths+1),"",IF($FN240=HB$169,1,IF($FN240&lt;HB$169,INDEX($FO$170:$IH$241,HB$169,$FN240),SUMPRODUCT(INDEX($FO$325:$IH$396,HB$169,1+SwaptionShift):INDEX($FO$325:$IH$396,HB$169,SwaptionMonthsToGo+SwaptionShift),INDEX($FO$245:$IH$316,$FN240-HB$169,73-HB$169+SwaptionShift):INDEX($FO$245:$IH$316,$FN240-HB$169,72-HB$169+SwaptionMonthsToGo+SwaptionShift))/SQRT(SUM(INDEX($FO395:$IH395,1+SwaptionShift):INDEX($FO395:$IH395,SwaptionMonthsToGo+SwaptionShift))*SUM(INDEX($FO$325:$IH$396,HB$169,1+SwaptionShift):INDEX($FO$325:$IH$396,HB$169,SwaptionMonthsToGo+SwaptionShift))))))</f>
        <v/>
      </c>
      <c r="HC240" s="469" t="str">
        <f ca="1">IF(OR(HC$169&lt;SwaptionFirstMonthPosition+1,$FN240&lt;SwaptionFirstMonthPosition+1,HC$169&gt;SwaptionFirstMonthPosition+SwaptionNumOfMonths+1,$FN240&gt;SwaptionFirstMonthPosition+SwaptionNumOfMonths+1),"",IF($FN240=HC$169,1,IF($FN240&lt;HC$169,INDEX($FO$170:$IH$241,HC$169,$FN240),SUMPRODUCT(INDEX($FO$325:$IH$396,HC$169,1+SwaptionShift):INDEX($FO$325:$IH$396,HC$169,SwaptionMonthsToGo+SwaptionShift),INDEX($FO$245:$IH$316,$FN240-HC$169,73-HC$169+SwaptionShift):INDEX($FO$245:$IH$316,$FN240-HC$169,72-HC$169+SwaptionMonthsToGo+SwaptionShift))/SQRT(SUM(INDEX($FO395:$IH395,1+SwaptionShift):INDEX($FO395:$IH395,SwaptionMonthsToGo+SwaptionShift))*SUM(INDEX($FO$325:$IH$396,HC$169,1+SwaptionShift):INDEX($FO$325:$IH$396,HC$169,SwaptionMonthsToGo+SwaptionShift))))))</f>
        <v/>
      </c>
      <c r="HD240" s="469" t="str">
        <f ca="1">IF(OR(HD$169&lt;SwaptionFirstMonthPosition+1,$FN240&lt;SwaptionFirstMonthPosition+1,HD$169&gt;SwaptionFirstMonthPosition+SwaptionNumOfMonths+1,$FN240&gt;SwaptionFirstMonthPosition+SwaptionNumOfMonths+1),"",IF($FN240=HD$169,1,IF($FN240&lt;HD$169,INDEX($FO$170:$IH$241,HD$169,$FN240),SUMPRODUCT(INDEX($FO$325:$IH$396,HD$169,1+SwaptionShift):INDEX($FO$325:$IH$396,HD$169,SwaptionMonthsToGo+SwaptionShift),INDEX($FO$245:$IH$316,$FN240-HD$169,73-HD$169+SwaptionShift):INDEX($FO$245:$IH$316,$FN240-HD$169,72-HD$169+SwaptionMonthsToGo+SwaptionShift))/SQRT(SUM(INDEX($FO395:$IH395,1+SwaptionShift):INDEX($FO395:$IH395,SwaptionMonthsToGo+SwaptionShift))*SUM(INDEX($FO$325:$IH$396,HD$169,1+SwaptionShift):INDEX($FO$325:$IH$396,HD$169,SwaptionMonthsToGo+SwaptionShift))))))</f>
        <v/>
      </c>
      <c r="HE240" s="469" t="str">
        <f ca="1">IF(OR(HE$169&lt;SwaptionFirstMonthPosition+1,$FN240&lt;SwaptionFirstMonthPosition+1,HE$169&gt;SwaptionFirstMonthPosition+SwaptionNumOfMonths+1,$FN240&gt;SwaptionFirstMonthPosition+SwaptionNumOfMonths+1),"",IF($FN240=HE$169,1,IF($FN240&lt;HE$169,INDEX($FO$170:$IH$241,HE$169,$FN240),SUMPRODUCT(INDEX($FO$325:$IH$396,HE$169,1+SwaptionShift):INDEX($FO$325:$IH$396,HE$169,SwaptionMonthsToGo+SwaptionShift),INDEX($FO$245:$IH$316,$FN240-HE$169,73-HE$169+SwaptionShift):INDEX($FO$245:$IH$316,$FN240-HE$169,72-HE$169+SwaptionMonthsToGo+SwaptionShift))/SQRT(SUM(INDEX($FO395:$IH395,1+SwaptionShift):INDEX($FO395:$IH395,SwaptionMonthsToGo+SwaptionShift))*SUM(INDEX($FO$325:$IH$396,HE$169,1+SwaptionShift):INDEX($FO$325:$IH$396,HE$169,SwaptionMonthsToGo+SwaptionShift))))))</f>
        <v/>
      </c>
      <c r="HF240" s="469" t="str">
        <f ca="1">IF(OR(HF$169&lt;SwaptionFirstMonthPosition+1,$FN240&lt;SwaptionFirstMonthPosition+1,HF$169&gt;SwaptionFirstMonthPosition+SwaptionNumOfMonths+1,$FN240&gt;SwaptionFirstMonthPosition+SwaptionNumOfMonths+1),"",IF($FN240=HF$169,1,IF($FN240&lt;HF$169,INDEX($FO$170:$IH$241,HF$169,$FN240),SUMPRODUCT(INDEX($FO$325:$IH$396,HF$169,1+SwaptionShift):INDEX($FO$325:$IH$396,HF$169,SwaptionMonthsToGo+SwaptionShift),INDEX($FO$245:$IH$316,$FN240-HF$169,73-HF$169+SwaptionShift):INDEX($FO$245:$IH$316,$FN240-HF$169,72-HF$169+SwaptionMonthsToGo+SwaptionShift))/SQRT(SUM(INDEX($FO395:$IH395,1+SwaptionShift):INDEX($FO395:$IH395,SwaptionMonthsToGo+SwaptionShift))*SUM(INDEX($FO$325:$IH$396,HF$169,1+SwaptionShift):INDEX($FO$325:$IH$396,HF$169,SwaptionMonthsToGo+SwaptionShift))))))</f>
        <v/>
      </c>
      <c r="HG240" s="469" t="str">
        <f ca="1">IF(OR(HG$169&lt;SwaptionFirstMonthPosition+1,$FN240&lt;SwaptionFirstMonthPosition+1,HG$169&gt;SwaptionFirstMonthPosition+SwaptionNumOfMonths+1,$FN240&gt;SwaptionFirstMonthPosition+SwaptionNumOfMonths+1),"",IF($FN240=HG$169,1,IF($FN240&lt;HG$169,INDEX($FO$170:$IH$241,HG$169,$FN240),SUMPRODUCT(INDEX($FO$325:$IH$396,HG$169,1+SwaptionShift):INDEX($FO$325:$IH$396,HG$169,SwaptionMonthsToGo+SwaptionShift),INDEX($FO$245:$IH$316,$FN240-HG$169,73-HG$169+SwaptionShift):INDEX($FO$245:$IH$316,$FN240-HG$169,72-HG$169+SwaptionMonthsToGo+SwaptionShift))/SQRT(SUM(INDEX($FO395:$IH395,1+SwaptionShift):INDEX($FO395:$IH395,SwaptionMonthsToGo+SwaptionShift))*SUM(INDEX($FO$325:$IH$396,HG$169,1+SwaptionShift):INDEX($FO$325:$IH$396,HG$169,SwaptionMonthsToGo+SwaptionShift))))))</f>
        <v/>
      </c>
      <c r="HH240" s="469" t="str">
        <f ca="1">IF(OR(HH$169&lt;SwaptionFirstMonthPosition+1,$FN240&lt;SwaptionFirstMonthPosition+1,HH$169&gt;SwaptionFirstMonthPosition+SwaptionNumOfMonths+1,$FN240&gt;SwaptionFirstMonthPosition+SwaptionNumOfMonths+1),"",IF($FN240=HH$169,1,IF($FN240&lt;HH$169,INDEX($FO$170:$IH$241,HH$169,$FN240),SUMPRODUCT(INDEX($FO$325:$IH$396,HH$169,1+SwaptionShift):INDEX($FO$325:$IH$396,HH$169,SwaptionMonthsToGo+SwaptionShift),INDEX($FO$245:$IH$316,$FN240-HH$169,73-HH$169+SwaptionShift):INDEX($FO$245:$IH$316,$FN240-HH$169,72-HH$169+SwaptionMonthsToGo+SwaptionShift))/SQRT(SUM(INDEX($FO395:$IH395,1+SwaptionShift):INDEX($FO395:$IH395,SwaptionMonthsToGo+SwaptionShift))*SUM(INDEX($FO$325:$IH$396,HH$169,1+SwaptionShift):INDEX($FO$325:$IH$396,HH$169,SwaptionMonthsToGo+SwaptionShift))))))</f>
        <v/>
      </c>
      <c r="HI240" s="469" t="str">
        <f ca="1">IF(OR(HI$169&lt;SwaptionFirstMonthPosition+1,$FN240&lt;SwaptionFirstMonthPosition+1,HI$169&gt;SwaptionFirstMonthPosition+SwaptionNumOfMonths+1,$FN240&gt;SwaptionFirstMonthPosition+SwaptionNumOfMonths+1),"",IF($FN240=HI$169,1,IF($FN240&lt;HI$169,INDEX($FO$170:$IH$241,HI$169,$FN240),SUMPRODUCT(INDEX($FO$325:$IH$396,HI$169,1+SwaptionShift):INDEX($FO$325:$IH$396,HI$169,SwaptionMonthsToGo+SwaptionShift),INDEX($FO$245:$IH$316,$FN240-HI$169,73-HI$169+SwaptionShift):INDEX($FO$245:$IH$316,$FN240-HI$169,72-HI$169+SwaptionMonthsToGo+SwaptionShift))/SQRT(SUM(INDEX($FO395:$IH395,1+SwaptionShift):INDEX($FO395:$IH395,SwaptionMonthsToGo+SwaptionShift))*SUM(INDEX($FO$325:$IH$396,HI$169,1+SwaptionShift):INDEX($FO$325:$IH$396,HI$169,SwaptionMonthsToGo+SwaptionShift))))))</f>
        <v/>
      </c>
      <c r="HJ240" s="469" t="str">
        <f ca="1">IF(OR(HJ$169&lt;SwaptionFirstMonthPosition+1,$FN240&lt;SwaptionFirstMonthPosition+1,HJ$169&gt;SwaptionFirstMonthPosition+SwaptionNumOfMonths+1,$FN240&gt;SwaptionFirstMonthPosition+SwaptionNumOfMonths+1),"",IF($FN240=HJ$169,1,IF($FN240&lt;HJ$169,INDEX($FO$170:$IH$241,HJ$169,$FN240),SUMPRODUCT(INDEX($FO$325:$IH$396,HJ$169,1+SwaptionShift):INDEX($FO$325:$IH$396,HJ$169,SwaptionMonthsToGo+SwaptionShift),INDEX($FO$245:$IH$316,$FN240-HJ$169,73-HJ$169+SwaptionShift):INDEX($FO$245:$IH$316,$FN240-HJ$169,72-HJ$169+SwaptionMonthsToGo+SwaptionShift))/SQRT(SUM(INDEX($FO395:$IH395,1+SwaptionShift):INDEX($FO395:$IH395,SwaptionMonthsToGo+SwaptionShift))*SUM(INDEX($FO$325:$IH$396,HJ$169,1+SwaptionShift):INDEX($FO$325:$IH$396,HJ$169,SwaptionMonthsToGo+SwaptionShift))))))</f>
        <v/>
      </c>
      <c r="HK240" s="469" t="str">
        <f ca="1">IF(OR(HK$169&lt;SwaptionFirstMonthPosition+1,$FN240&lt;SwaptionFirstMonthPosition+1,HK$169&gt;SwaptionFirstMonthPosition+SwaptionNumOfMonths+1,$FN240&gt;SwaptionFirstMonthPosition+SwaptionNumOfMonths+1),"",IF($FN240=HK$169,1,IF($FN240&lt;HK$169,INDEX($FO$170:$IH$241,HK$169,$FN240),SUMPRODUCT(INDEX($FO$325:$IH$396,HK$169,1+SwaptionShift):INDEX($FO$325:$IH$396,HK$169,SwaptionMonthsToGo+SwaptionShift),INDEX($FO$245:$IH$316,$FN240-HK$169,73-HK$169+SwaptionShift):INDEX($FO$245:$IH$316,$FN240-HK$169,72-HK$169+SwaptionMonthsToGo+SwaptionShift))/SQRT(SUM(INDEX($FO395:$IH395,1+SwaptionShift):INDEX($FO395:$IH395,SwaptionMonthsToGo+SwaptionShift))*SUM(INDEX($FO$325:$IH$396,HK$169,1+SwaptionShift):INDEX($FO$325:$IH$396,HK$169,SwaptionMonthsToGo+SwaptionShift))))))</f>
        <v/>
      </c>
      <c r="HL240" s="469" t="str">
        <f ca="1">IF(OR(HL$169&lt;SwaptionFirstMonthPosition+1,$FN240&lt;SwaptionFirstMonthPosition+1,HL$169&gt;SwaptionFirstMonthPosition+SwaptionNumOfMonths+1,$FN240&gt;SwaptionFirstMonthPosition+SwaptionNumOfMonths+1),"",IF($FN240=HL$169,1,IF($FN240&lt;HL$169,INDEX($FO$170:$IH$241,HL$169,$FN240),SUMPRODUCT(INDEX($FO$325:$IH$396,HL$169,1+SwaptionShift):INDEX($FO$325:$IH$396,HL$169,SwaptionMonthsToGo+SwaptionShift),INDEX($FO$245:$IH$316,$FN240-HL$169,73-HL$169+SwaptionShift):INDEX($FO$245:$IH$316,$FN240-HL$169,72-HL$169+SwaptionMonthsToGo+SwaptionShift))/SQRT(SUM(INDEX($FO395:$IH395,1+SwaptionShift):INDEX($FO395:$IH395,SwaptionMonthsToGo+SwaptionShift))*SUM(INDEX($FO$325:$IH$396,HL$169,1+SwaptionShift):INDEX($FO$325:$IH$396,HL$169,SwaptionMonthsToGo+SwaptionShift))))))</f>
        <v/>
      </c>
      <c r="HM240" s="469" t="str">
        <f ca="1">IF(OR(HM$169&lt;SwaptionFirstMonthPosition+1,$FN240&lt;SwaptionFirstMonthPosition+1,HM$169&gt;SwaptionFirstMonthPosition+SwaptionNumOfMonths+1,$FN240&gt;SwaptionFirstMonthPosition+SwaptionNumOfMonths+1),"",IF($FN240=HM$169,1,IF($FN240&lt;HM$169,INDEX($FO$170:$IH$241,HM$169,$FN240),SUMPRODUCT(INDEX($FO$325:$IH$396,HM$169,1+SwaptionShift):INDEX($FO$325:$IH$396,HM$169,SwaptionMonthsToGo+SwaptionShift),INDEX($FO$245:$IH$316,$FN240-HM$169,73-HM$169+SwaptionShift):INDEX($FO$245:$IH$316,$FN240-HM$169,72-HM$169+SwaptionMonthsToGo+SwaptionShift))/SQRT(SUM(INDEX($FO395:$IH395,1+SwaptionShift):INDEX($FO395:$IH395,SwaptionMonthsToGo+SwaptionShift))*SUM(INDEX($FO$325:$IH$396,HM$169,1+SwaptionShift):INDEX($FO$325:$IH$396,HM$169,SwaptionMonthsToGo+SwaptionShift))))))</f>
        <v/>
      </c>
      <c r="HN240" s="469" t="str">
        <f ca="1">IF(OR(HN$169&lt;SwaptionFirstMonthPosition+1,$FN240&lt;SwaptionFirstMonthPosition+1,HN$169&gt;SwaptionFirstMonthPosition+SwaptionNumOfMonths+1,$FN240&gt;SwaptionFirstMonthPosition+SwaptionNumOfMonths+1),"",IF($FN240=HN$169,1,IF($FN240&lt;HN$169,INDEX($FO$170:$IH$241,HN$169,$FN240),SUMPRODUCT(INDEX($FO$325:$IH$396,HN$169,1+SwaptionShift):INDEX($FO$325:$IH$396,HN$169,SwaptionMonthsToGo+SwaptionShift),INDEX($FO$245:$IH$316,$FN240-HN$169,73-HN$169+SwaptionShift):INDEX($FO$245:$IH$316,$FN240-HN$169,72-HN$169+SwaptionMonthsToGo+SwaptionShift))/SQRT(SUM(INDEX($FO395:$IH395,1+SwaptionShift):INDEX($FO395:$IH395,SwaptionMonthsToGo+SwaptionShift))*SUM(INDEX($FO$325:$IH$396,HN$169,1+SwaptionShift):INDEX($FO$325:$IH$396,HN$169,SwaptionMonthsToGo+SwaptionShift))))))</f>
        <v/>
      </c>
      <c r="HO240" s="469" t="str">
        <f ca="1">IF(OR(HO$169&lt;SwaptionFirstMonthPosition+1,$FN240&lt;SwaptionFirstMonthPosition+1,HO$169&gt;SwaptionFirstMonthPosition+SwaptionNumOfMonths+1,$FN240&gt;SwaptionFirstMonthPosition+SwaptionNumOfMonths+1),"",IF($FN240=HO$169,1,IF($FN240&lt;HO$169,INDEX($FO$170:$IH$241,HO$169,$FN240),SUMPRODUCT(INDEX($FO$325:$IH$396,HO$169,1+SwaptionShift):INDEX($FO$325:$IH$396,HO$169,SwaptionMonthsToGo+SwaptionShift),INDEX($FO$245:$IH$316,$FN240-HO$169,73-HO$169+SwaptionShift):INDEX($FO$245:$IH$316,$FN240-HO$169,72-HO$169+SwaptionMonthsToGo+SwaptionShift))/SQRT(SUM(INDEX($FO395:$IH395,1+SwaptionShift):INDEX($FO395:$IH395,SwaptionMonthsToGo+SwaptionShift))*SUM(INDEX($FO$325:$IH$396,HO$169,1+SwaptionShift):INDEX($FO$325:$IH$396,HO$169,SwaptionMonthsToGo+SwaptionShift))))))</f>
        <v/>
      </c>
      <c r="HP240" s="469" t="str">
        <f ca="1">IF(OR(HP$169&lt;SwaptionFirstMonthPosition+1,$FN240&lt;SwaptionFirstMonthPosition+1,HP$169&gt;SwaptionFirstMonthPosition+SwaptionNumOfMonths+1,$FN240&gt;SwaptionFirstMonthPosition+SwaptionNumOfMonths+1),"",IF($FN240=HP$169,1,IF($FN240&lt;HP$169,INDEX($FO$170:$IH$241,HP$169,$FN240),SUMPRODUCT(INDEX($FO$325:$IH$396,HP$169,1+SwaptionShift):INDEX($FO$325:$IH$396,HP$169,SwaptionMonthsToGo+SwaptionShift),INDEX($FO$245:$IH$316,$FN240-HP$169,73-HP$169+SwaptionShift):INDEX($FO$245:$IH$316,$FN240-HP$169,72-HP$169+SwaptionMonthsToGo+SwaptionShift))/SQRT(SUM(INDEX($FO395:$IH395,1+SwaptionShift):INDEX($FO395:$IH395,SwaptionMonthsToGo+SwaptionShift))*SUM(INDEX($FO$325:$IH$396,HP$169,1+SwaptionShift):INDEX($FO$325:$IH$396,HP$169,SwaptionMonthsToGo+SwaptionShift))))))</f>
        <v/>
      </c>
      <c r="HQ240" s="469" t="str">
        <f ca="1">IF(OR(HQ$169&lt;SwaptionFirstMonthPosition+1,$FN240&lt;SwaptionFirstMonthPosition+1,HQ$169&gt;SwaptionFirstMonthPosition+SwaptionNumOfMonths+1,$FN240&gt;SwaptionFirstMonthPosition+SwaptionNumOfMonths+1),"",IF($FN240=HQ$169,1,IF($FN240&lt;HQ$169,INDEX($FO$170:$IH$241,HQ$169,$FN240),SUMPRODUCT(INDEX($FO$325:$IH$396,HQ$169,1+SwaptionShift):INDEX($FO$325:$IH$396,HQ$169,SwaptionMonthsToGo+SwaptionShift),INDEX($FO$245:$IH$316,$FN240-HQ$169,73-HQ$169+SwaptionShift):INDEX($FO$245:$IH$316,$FN240-HQ$169,72-HQ$169+SwaptionMonthsToGo+SwaptionShift))/SQRT(SUM(INDEX($FO395:$IH395,1+SwaptionShift):INDEX($FO395:$IH395,SwaptionMonthsToGo+SwaptionShift))*SUM(INDEX($FO$325:$IH$396,HQ$169,1+SwaptionShift):INDEX($FO$325:$IH$396,HQ$169,SwaptionMonthsToGo+SwaptionShift))))))</f>
        <v/>
      </c>
      <c r="HR240" s="469" t="str">
        <f ca="1">IF(OR(HR$169&lt;SwaptionFirstMonthPosition+1,$FN240&lt;SwaptionFirstMonthPosition+1,HR$169&gt;SwaptionFirstMonthPosition+SwaptionNumOfMonths+1,$FN240&gt;SwaptionFirstMonthPosition+SwaptionNumOfMonths+1),"",IF($FN240=HR$169,1,IF($FN240&lt;HR$169,INDEX($FO$170:$IH$241,HR$169,$FN240),SUMPRODUCT(INDEX($FO$325:$IH$396,HR$169,1+SwaptionShift):INDEX($FO$325:$IH$396,HR$169,SwaptionMonthsToGo+SwaptionShift),INDEX($FO$245:$IH$316,$FN240-HR$169,73-HR$169+SwaptionShift):INDEX($FO$245:$IH$316,$FN240-HR$169,72-HR$169+SwaptionMonthsToGo+SwaptionShift))/SQRT(SUM(INDEX($FO395:$IH395,1+SwaptionShift):INDEX($FO395:$IH395,SwaptionMonthsToGo+SwaptionShift))*SUM(INDEX($FO$325:$IH$396,HR$169,1+SwaptionShift):INDEX($FO$325:$IH$396,HR$169,SwaptionMonthsToGo+SwaptionShift))))))</f>
        <v/>
      </c>
      <c r="HS240" s="469" t="str">
        <f ca="1">IF(OR(HS$169&lt;SwaptionFirstMonthPosition+1,$FN240&lt;SwaptionFirstMonthPosition+1,HS$169&gt;SwaptionFirstMonthPosition+SwaptionNumOfMonths+1,$FN240&gt;SwaptionFirstMonthPosition+SwaptionNumOfMonths+1),"",IF($FN240=HS$169,1,IF($FN240&lt;HS$169,INDEX($FO$170:$IH$241,HS$169,$FN240),SUMPRODUCT(INDEX($FO$325:$IH$396,HS$169,1+SwaptionShift):INDEX($FO$325:$IH$396,HS$169,SwaptionMonthsToGo+SwaptionShift),INDEX($FO$245:$IH$316,$FN240-HS$169,73-HS$169+SwaptionShift):INDEX($FO$245:$IH$316,$FN240-HS$169,72-HS$169+SwaptionMonthsToGo+SwaptionShift))/SQRT(SUM(INDEX($FO395:$IH395,1+SwaptionShift):INDEX($FO395:$IH395,SwaptionMonthsToGo+SwaptionShift))*SUM(INDEX($FO$325:$IH$396,HS$169,1+SwaptionShift):INDEX($FO$325:$IH$396,HS$169,SwaptionMonthsToGo+SwaptionShift))))))</f>
        <v/>
      </c>
      <c r="HT240" s="469" t="str">
        <f ca="1">IF(OR(HT$169&lt;SwaptionFirstMonthPosition+1,$FN240&lt;SwaptionFirstMonthPosition+1,HT$169&gt;SwaptionFirstMonthPosition+SwaptionNumOfMonths+1,$FN240&gt;SwaptionFirstMonthPosition+SwaptionNumOfMonths+1),"",IF($FN240=HT$169,1,IF($FN240&lt;HT$169,INDEX($FO$170:$IH$241,HT$169,$FN240),SUMPRODUCT(INDEX($FO$325:$IH$396,HT$169,1+SwaptionShift):INDEX($FO$325:$IH$396,HT$169,SwaptionMonthsToGo+SwaptionShift),INDEX($FO$245:$IH$316,$FN240-HT$169,73-HT$169+SwaptionShift):INDEX($FO$245:$IH$316,$FN240-HT$169,72-HT$169+SwaptionMonthsToGo+SwaptionShift))/SQRT(SUM(INDEX($FO395:$IH395,1+SwaptionShift):INDEX($FO395:$IH395,SwaptionMonthsToGo+SwaptionShift))*SUM(INDEX($FO$325:$IH$396,HT$169,1+SwaptionShift):INDEX($FO$325:$IH$396,HT$169,SwaptionMonthsToGo+SwaptionShift))))))</f>
        <v/>
      </c>
      <c r="HU240" s="469" t="str">
        <f ca="1">IF(OR(HU$169&lt;SwaptionFirstMonthPosition+1,$FN240&lt;SwaptionFirstMonthPosition+1,HU$169&gt;SwaptionFirstMonthPosition+SwaptionNumOfMonths+1,$FN240&gt;SwaptionFirstMonthPosition+SwaptionNumOfMonths+1),"",IF($FN240=HU$169,1,IF($FN240&lt;HU$169,INDEX($FO$170:$IH$241,HU$169,$FN240),SUMPRODUCT(INDEX($FO$325:$IH$396,HU$169,1+SwaptionShift):INDEX($FO$325:$IH$396,HU$169,SwaptionMonthsToGo+SwaptionShift),INDEX($FO$245:$IH$316,$FN240-HU$169,73-HU$169+SwaptionShift):INDEX($FO$245:$IH$316,$FN240-HU$169,72-HU$169+SwaptionMonthsToGo+SwaptionShift))/SQRT(SUM(INDEX($FO395:$IH395,1+SwaptionShift):INDEX($FO395:$IH395,SwaptionMonthsToGo+SwaptionShift))*SUM(INDEX($FO$325:$IH$396,HU$169,1+SwaptionShift):INDEX($FO$325:$IH$396,HU$169,SwaptionMonthsToGo+SwaptionShift))))))</f>
        <v/>
      </c>
      <c r="HV240" s="469" t="str">
        <f ca="1">IF(OR(HV$169&lt;SwaptionFirstMonthPosition+1,$FN240&lt;SwaptionFirstMonthPosition+1,HV$169&gt;SwaptionFirstMonthPosition+SwaptionNumOfMonths+1,$FN240&gt;SwaptionFirstMonthPosition+SwaptionNumOfMonths+1),"",IF($FN240=HV$169,1,IF($FN240&lt;HV$169,INDEX($FO$170:$IH$241,HV$169,$FN240),SUMPRODUCT(INDEX($FO$325:$IH$396,HV$169,1+SwaptionShift):INDEX($FO$325:$IH$396,HV$169,SwaptionMonthsToGo+SwaptionShift),INDEX($FO$245:$IH$316,$FN240-HV$169,73-HV$169+SwaptionShift):INDEX($FO$245:$IH$316,$FN240-HV$169,72-HV$169+SwaptionMonthsToGo+SwaptionShift))/SQRT(SUM(INDEX($FO395:$IH395,1+SwaptionShift):INDEX($FO395:$IH395,SwaptionMonthsToGo+SwaptionShift))*SUM(INDEX($FO$325:$IH$396,HV$169,1+SwaptionShift):INDEX($FO$325:$IH$396,HV$169,SwaptionMonthsToGo+SwaptionShift))))))</f>
        <v/>
      </c>
      <c r="HW240" s="469" t="str">
        <f ca="1">IF(OR(HW$169&lt;SwaptionFirstMonthPosition+1,$FN240&lt;SwaptionFirstMonthPosition+1,HW$169&gt;SwaptionFirstMonthPosition+SwaptionNumOfMonths+1,$FN240&gt;SwaptionFirstMonthPosition+SwaptionNumOfMonths+1),"",IF($FN240=HW$169,1,IF($FN240&lt;HW$169,INDEX($FO$170:$IH$241,HW$169,$FN240),SUMPRODUCT(INDEX($FO$325:$IH$396,HW$169,1+SwaptionShift):INDEX($FO$325:$IH$396,HW$169,SwaptionMonthsToGo+SwaptionShift),INDEX($FO$245:$IH$316,$FN240-HW$169,73-HW$169+SwaptionShift):INDEX($FO$245:$IH$316,$FN240-HW$169,72-HW$169+SwaptionMonthsToGo+SwaptionShift))/SQRT(SUM(INDEX($FO395:$IH395,1+SwaptionShift):INDEX($FO395:$IH395,SwaptionMonthsToGo+SwaptionShift))*SUM(INDEX($FO$325:$IH$396,HW$169,1+SwaptionShift):INDEX($FO$325:$IH$396,HW$169,SwaptionMonthsToGo+SwaptionShift))))))</f>
        <v/>
      </c>
      <c r="HX240" s="469" t="str">
        <f ca="1">IF(OR(HX$169&lt;SwaptionFirstMonthPosition+1,$FN240&lt;SwaptionFirstMonthPosition+1,HX$169&gt;SwaptionFirstMonthPosition+SwaptionNumOfMonths+1,$FN240&gt;SwaptionFirstMonthPosition+SwaptionNumOfMonths+1),"",IF($FN240=HX$169,1,IF($FN240&lt;HX$169,INDEX($FO$170:$IH$241,HX$169,$FN240),SUMPRODUCT(INDEX($FO$325:$IH$396,HX$169,1+SwaptionShift):INDEX($FO$325:$IH$396,HX$169,SwaptionMonthsToGo+SwaptionShift),INDEX($FO$245:$IH$316,$FN240-HX$169,73-HX$169+SwaptionShift):INDEX($FO$245:$IH$316,$FN240-HX$169,72-HX$169+SwaptionMonthsToGo+SwaptionShift))/SQRT(SUM(INDEX($FO395:$IH395,1+SwaptionShift):INDEX($FO395:$IH395,SwaptionMonthsToGo+SwaptionShift))*SUM(INDEX($FO$325:$IH$396,HX$169,1+SwaptionShift):INDEX($FO$325:$IH$396,HX$169,SwaptionMonthsToGo+SwaptionShift))))))</f>
        <v/>
      </c>
      <c r="HY240" s="469" t="str">
        <f ca="1">IF(OR(HY$169&lt;SwaptionFirstMonthPosition+1,$FN240&lt;SwaptionFirstMonthPosition+1,HY$169&gt;SwaptionFirstMonthPosition+SwaptionNumOfMonths+1,$FN240&gt;SwaptionFirstMonthPosition+SwaptionNumOfMonths+1),"",IF($FN240=HY$169,1,IF($FN240&lt;HY$169,INDEX($FO$170:$IH$241,HY$169,$FN240),SUMPRODUCT(INDEX($FO$325:$IH$396,HY$169,1+SwaptionShift):INDEX($FO$325:$IH$396,HY$169,SwaptionMonthsToGo+SwaptionShift),INDEX($FO$245:$IH$316,$FN240-HY$169,73-HY$169+SwaptionShift):INDEX($FO$245:$IH$316,$FN240-HY$169,72-HY$169+SwaptionMonthsToGo+SwaptionShift))/SQRT(SUM(INDEX($FO395:$IH395,1+SwaptionShift):INDEX($FO395:$IH395,SwaptionMonthsToGo+SwaptionShift))*SUM(INDEX($FO$325:$IH$396,HY$169,1+SwaptionShift):INDEX($FO$325:$IH$396,HY$169,SwaptionMonthsToGo+SwaptionShift))))))</f>
        <v/>
      </c>
      <c r="HZ240" s="469" t="str">
        <f ca="1">IF(OR(HZ$169&lt;SwaptionFirstMonthPosition+1,$FN240&lt;SwaptionFirstMonthPosition+1,HZ$169&gt;SwaptionFirstMonthPosition+SwaptionNumOfMonths+1,$FN240&gt;SwaptionFirstMonthPosition+SwaptionNumOfMonths+1),"",IF($FN240=HZ$169,1,IF($FN240&lt;HZ$169,INDEX($FO$170:$IH$241,HZ$169,$FN240),SUMPRODUCT(INDEX($FO$325:$IH$396,HZ$169,1+SwaptionShift):INDEX($FO$325:$IH$396,HZ$169,SwaptionMonthsToGo+SwaptionShift),INDEX($FO$245:$IH$316,$FN240-HZ$169,73-HZ$169+SwaptionShift):INDEX($FO$245:$IH$316,$FN240-HZ$169,72-HZ$169+SwaptionMonthsToGo+SwaptionShift))/SQRT(SUM(INDEX($FO395:$IH395,1+SwaptionShift):INDEX($FO395:$IH395,SwaptionMonthsToGo+SwaptionShift))*SUM(INDEX($FO$325:$IH$396,HZ$169,1+SwaptionShift):INDEX($FO$325:$IH$396,HZ$169,SwaptionMonthsToGo+SwaptionShift))))))</f>
        <v/>
      </c>
      <c r="IA240" s="469" t="str">
        <f ca="1">IF(OR(IA$169&lt;SwaptionFirstMonthPosition+1,$FN240&lt;SwaptionFirstMonthPosition+1,IA$169&gt;SwaptionFirstMonthPosition+SwaptionNumOfMonths+1,$FN240&gt;SwaptionFirstMonthPosition+SwaptionNumOfMonths+1),"",IF($FN240=IA$169,1,IF($FN240&lt;IA$169,INDEX($FO$170:$IH$241,IA$169,$FN240),SUMPRODUCT(INDEX($FO$325:$IH$396,IA$169,1+SwaptionShift):INDEX($FO$325:$IH$396,IA$169,SwaptionMonthsToGo+SwaptionShift),INDEX($FO$245:$IH$316,$FN240-IA$169,73-IA$169+SwaptionShift):INDEX($FO$245:$IH$316,$FN240-IA$169,72-IA$169+SwaptionMonthsToGo+SwaptionShift))/SQRT(SUM(INDEX($FO395:$IH395,1+SwaptionShift):INDEX($FO395:$IH395,SwaptionMonthsToGo+SwaptionShift))*SUM(INDEX($FO$325:$IH$396,IA$169,1+SwaptionShift):INDEX($FO$325:$IH$396,IA$169,SwaptionMonthsToGo+SwaptionShift))))))</f>
        <v/>
      </c>
      <c r="IB240" s="469" t="str">
        <f ca="1">IF(OR(IB$169&lt;SwaptionFirstMonthPosition+1,$FN240&lt;SwaptionFirstMonthPosition+1,IB$169&gt;SwaptionFirstMonthPosition+SwaptionNumOfMonths+1,$FN240&gt;SwaptionFirstMonthPosition+SwaptionNumOfMonths+1),"",IF($FN240=IB$169,1,IF($FN240&lt;IB$169,INDEX($FO$170:$IH$241,IB$169,$FN240),SUMPRODUCT(INDEX($FO$325:$IH$396,IB$169,1+SwaptionShift):INDEX($FO$325:$IH$396,IB$169,SwaptionMonthsToGo+SwaptionShift),INDEX($FO$245:$IH$316,$FN240-IB$169,73-IB$169+SwaptionShift):INDEX($FO$245:$IH$316,$FN240-IB$169,72-IB$169+SwaptionMonthsToGo+SwaptionShift))/SQRT(SUM(INDEX($FO395:$IH395,1+SwaptionShift):INDEX($FO395:$IH395,SwaptionMonthsToGo+SwaptionShift))*SUM(INDEX($FO$325:$IH$396,IB$169,1+SwaptionShift):INDEX($FO$325:$IH$396,IB$169,SwaptionMonthsToGo+SwaptionShift))))))</f>
        <v/>
      </c>
      <c r="IC240" s="469" t="str">
        <f ca="1">IF(OR(IC$169&lt;SwaptionFirstMonthPosition+1,$FN240&lt;SwaptionFirstMonthPosition+1,IC$169&gt;SwaptionFirstMonthPosition+SwaptionNumOfMonths+1,$FN240&gt;SwaptionFirstMonthPosition+SwaptionNumOfMonths+1),"",IF($FN240=IC$169,1,IF($FN240&lt;IC$169,INDEX($FO$170:$IH$241,IC$169,$FN240),SUMPRODUCT(INDEX($FO$325:$IH$396,IC$169,1+SwaptionShift):INDEX($FO$325:$IH$396,IC$169,SwaptionMonthsToGo+SwaptionShift),INDEX($FO$245:$IH$316,$FN240-IC$169,73-IC$169+SwaptionShift):INDEX($FO$245:$IH$316,$FN240-IC$169,72-IC$169+SwaptionMonthsToGo+SwaptionShift))/SQRT(SUM(INDEX($FO395:$IH395,1+SwaptionShift):INDEX($FO395:$IH395,SwaptionMonthsToGo+SwaptionShift))*SUM(INDEX($FO$325:$IH$396,IC$169,1+SwaptionShift):INDEX($FO$325:$IH$396,IC$169,SwaptionMonthsToGo+SwaptionShift))))))</f>
        <v/>
      </c>
      <c r="ID240" s="469" t="str">
        <f ca="1">IF(OR(ID$169&lt;SwaptionFirstMonthPosition+1,$FN240&lt;SwaptionFirstMonthPosition+1,ID$169&gt;SwaptionFirstMonthPosition+SwaptionNumOfMonths+1,$FN240&gt;SwaptionFirstMonthPosition+SwaptionNumOfMonths+1),"",IF($FN240=ID$169,1,IF($FN240&lt;ID$169,INDEX($FO$170:$IH$241,ID$169,$FN240),SUMPRODUCT(INDEX($FO$325:$IH$396,ID$169,1+SwaptionShift):INDEX($FO$325:$IH$396,ID$169,SwaptionMonthsToGo+SwaptionShift),INDEX($FO$245:$IH$316,$FN240-ID$169,73-ID$169+SwaptionShift):INDEX($FO$245:$IH$316,$FN240-ID$169,72-ID$169+SwaptionMonthsToGo+SwaptionShift))/SQRT(SUM(INDEX($FO395:$IH395,1+SwaptionShift):INDEX($FO395:$IH395,SwaptionMonthsToGo+SwaptionShift))*SUM(INDEX($FO$325:$IH$396,ID$169,1+SwaptionShift):INDEX($FO$325:$IH$396,ID$169,SwaptionMonthsToGo+SwaptionShift))))))</f>
        <v/>
      </c>
      <c r="IE240" s="469" t="str">
        <f ca="1">IF(OR(IE$169&lt;SwaptionFirstMonthPosition+1,$FN240&lt;SwaptionFirstMonthPosition+1,IE$169&gt;SwaptionFirstMonthPosition+SwaptionNumOfMonths+1,$FN240&gt;SwaptionFirstMonthPosition+SwaptionNumOfMonths+1),"",IF($FN240=IE$169,1,IF($FN240&lt;IE$169,INDEX($FO$170:$IH$241,IE$169,$FN240),SUMPRODUCT(INDEX($FO$325:$IH$396,IE$169,1+SwaptionShift):INDEX($FO$325:$IH$396,IE$169,SwaptionMonthsToGo+SwaptionShift),INDEX($FO$245:$IH$316,$FN240-IE$169,73-IE$169+SwaptionShift):INDEX($FO$245:$IH$316,$FN240-IE$169,72-IE$169+SwaptionMonthsToGo+SwaptionShift))/SQRT(SUM(INDEX($FO395:$IH395,1+SwaptionShift):INDEX($FO395:$IH395,SwaptionMonthsToGo+SwaptionShift))*SUM(INDEX($FO$325:$IH$396,IE$169,1+SwaptionShift):INDEX($FO$325:$IH$396,IE$169,SwaptionMonthsToGo+SwaptionShift))))))</f>
        <v/>
      </c>
      <c r="IF240" s="469" t="str">
        <f ca="1">IF(OR(IF$169&lt;SwaptionFirstMonthPosition+1,$FN240&lt;SwaptionFirstMonthPosition+1,IF$169&gt;SwaptionFirstMonthPosition+SwaptionNumOfMonths+1,$FN240&gt;SwaptionFirstMonthPosition+SwaptionNumOfMonths+1),"",IF($FN240=IF$169,1,IF($FN240&lt;IF$169,INDEX($FO$170:$IH$241,IF$169,$FN240),SUMPRODUCT(INDEX($FO$325:$IH$396,IF$169,1+SwaptionShift):INDEX($FO$325:$IH$396,IF$169,SwaptionMonthsToGo+SwaptionShift),INDEX($FO$245:$IH$316,$FN240-IF$169,73-IF$169+SwaptionShift):INDEX($FO$245:$IH$316,$FN240-IF$169,72-IF$169+SwaptionMonthsToGo+SwaptionShift))/SQRT(SUM(INDEX($FO395:$IH395,1+SwaptionShift):INDEX($FO395:$IH395,SwaptionMonthsToGo+SwaptionShift))*SUM(INDEX($FO$325:$IH$396,IF$169,1+SwaptionShift):INDEX($FO$325:$IH$396,IF$169,SwaptionMonthsToGo+SwaptionShift))))))</f>
        <v/>
      </c>
      <c r="IG240" s="469" t="str">
        <f ca="1">IF(OR(IG$169&lt;SwaptionFirstMonthPosition+1,$FN240&lt;SwaptionFirstMonthPosition+1,IG$169&gt;SwaptionFirstMonthPosition+SwaptionNumOfMonths+1,$FN240&gt;SwaptionFirstMonthPosition+SwaptionNumOfMonths+1),"",IF($FN240=IG$169,1,IF($FN240&lt;IG$169,INDEX($FO$170:$IH$241,IG$169,$FN240),SUMPRODUCT(INDEX($FO$325:$IH$396,IG$169,1+SwaptionShift):INDEX($FO$325:$IH$396,IG$169,SwaptionMonthsToGo+SwaptionShift),INDEX($FO$245:$IH$316,$FN240-IG$169,73-IG$169+SwaptionShift):INDEX($FO$245:$IH$316,$FN240-IG$169,72-IG$169+SwaptionMonthsToGo+SwaptionShift))/SQRT(SUM(INDEX($FO395:$IH395,1+SwaptionShift):INDEX($FO395:$IH395,SwaptionMonthsToGo+SwaptionShift))*SUM(INDEX($FO$325:$IH$396,IG$169,1+SwaptionShift):INDEX($FO$325:$IH$396,IG$169,SwaptionMonthsToGo+SwaptionShift))))))</f>
        <v/>
      </c>
      <c r="IH240" s="662" t="str">
        <f ca="1">IF(OR(IH$169&lt;SwaptionFirstMonthPosition+1,$FN240&lt;SwaptionFirstMonthPosition+1,IH$169&gt;SwaptionFirstMonthPosition+SwaptionNumOfMonths+1,$FN240&gt;SwaptionFirstMonthPosition+SwaptionNumOfMonths+1),"",IF($FN240=IH$169,1,IF($FN240&lt;IH$169,INDEX($FO$170:$IH$241,IH$169,$FN240),SUMPRODUCT(INDEX($FO$325:$IH$396,IH$169,1+SwaptionShift):INDEX($FO$325:$IH$396,IH$169,SwaptionMonthsToGo+SwaptionShift),INDEX($FO$245:$IH$316,$FN240-IH$169,73-IH$169+SwaptionShift):INDEX($FO$245:$IH$316,$FN240-IH$169,72-IH$169+SwaptionMonthsToGo+SwaptionShift))/SQRT(SUM(INDEX($FO395:$IH395,1+SwaptionShift):INDEX($FO395:$IH395,SwaptionMonthsToGo+SwaptionShift))*SUM(INDEX($FO$325:$IH$396,IH$169,1+SwaptionShift):INDEX($FO$325:$IH$396,IH$169,SwaptionMonthsToGo+SwaptionShift))))))</f>
        <v/>
      </c>
      <c r="II240" s="242"/>
    </row>
    <row r="241" spans="8:243">
      <c r="H241" s="49" t="e">
        <f t="shared" ca="1" si="645"/>
        <v>#N/A</v>
      </c>
      <c r="I241" s="369">
        <f t="shared" si="646"/>
        <v>43739</v>
      </c>
      <c r="J241" s="367">
        <v>24.909999999999798</v>
      </c>
      <c r="K241" s="101" t="s">
        <v>267</v>
      </c>
      <c r="L241" s="382">
        <f t="shared" si="647"/>
        <v>24.909999999999815</v>
      </c>
      <c r="M241" s="163">
        <v>0.1227</v>
      </c>
      <c r="N241" s="372">
        <v>0</v>
      </c>
      <c r="O241" s="163">
        <f t="shared" si="595"/>
        <v>0.1227</v>
      </c>
      <c r="P241" s="367">
        <v>23.510122886612198</v>
      </c>
      <c r="Q241" s="101" t="s">
        <v>267</v>
      </c>
      <c r="R241" s="367">
        <f t="shared" ca="1" si="596"/>
        <v>23.510122886612226</v>
      </c>
      <c r="S241" s="814">
        <f t="shared" si="594"/>
        <v>0.34547914527816759</v>
      </c>
      <c r="T241" s="813">
        <f t="shared" si="660"/>
        <v>0.99999999999397371</v>
      </c>
      <c r="U241" s="532">
        <f t="shared" si="661"/>
        <v>0.99999999999999978</v>
      </c>
      <c r="V241" s="379">
        <v>0</v>
      </c>
      <c r="W241" s="424">
        <f t="shared" si="597"/>
        <v>24.944782608695451</v>
      </c>
      <c r="X241" s="405">
        <f t="shared" si="598"/>
        <v>24.944782608695466</v>
      </c>
      <c r="Y241" s="313">
        <f t="shared" si="599"/>
        <v>23.70318260869545</v>
      </c>
      <c r="Z241" s="313">
        <f t="shared" ca="1" si="600"/>
        <v>23.703182608695464</v>
      </c>
      <c r="AA241" s="419">
        <f t="shared" si="623"/>
        <v>1.2416</v>
      </c>
      <c r="AB241" s="423">
        <f t="shared" ca="1" si="624"/>
        <v>1.2416</v>
      </c>
      <c r="AC241" s="221">
        <v>43728</v>
      </c>
      <c r="AD241" s="221">
        <v>43724</v>
      </c>
      <c r="AE241" s="221">
        <v>43723</v>
      </c>
      <c r="AF241" s="221">
        <v>43719</v>
      </c>
      <c r="AG241" s="241" t="s">
        <v>497</v>
      </c>
      <c r="AH241" s="239" t="s">
        <v>497</v>
      </c>
      <c r="AI241" s="141">
        <v>23</v>
      </c>
      <c r="AJ241" s="41">
        <v>14</v>
      </c>
      <c r="AK241" s="41">
        <v>9</v>
      </c>
      <c r="AL241" s="285">
        <v>23</v>
      </c>
      <c r="AM241" s="41">
        <v>10</v>
      </c>
      <c r="AN241" s="142">
        <v>13</v>
      </c>
      <c r="AO241" s="364">
        <v>6.3816053629540903E-2</v>
      </c>
      <c r="AP241" s="145">
        <f t="shared" ca="1" si="648"/>
        <v>0.31163728626840159</v>
      </c>
      <c r="AQ241" s="364">
        <v>6.0450995554417505E-2</v>
      </c>
      <c r="AR241" s="145">
        <f t="shared" ca="1" si="662"/>
        <v>0.3335359638480046</v>
      </c>
      <c r="AS241" s="264">
        <f t="shared" si="601"/>
        <v>0.12214347826086958</v>
      </c>
      <c r="AT241" s="149">
        <f t="shared" si="649"/>
        <v>0.1227</v>
      </c>
      <c r="AU241" s="149">
        <f t="shared" si="625"/>
        <v>0.12207391304347828</v>
      </c>
      <c r="AV241" s="263">
        <f t="shared" ca="1" si="669"/>
        <v>0.12071835549101965</v>
      </c>
      <c r="AW241" s="150" t="str">
        <f t="shared" ca="1" si="581"/>
        <v/>
      </c>
      <c r="AX241" s="149">
        <f t="shared" ca="1" si="663"/>
        <v>2.8671339689279366E-3</v>
      </c>
      <c r="AY241" s="149">
        <f t="shared" ca="1" si="664"/>
        <v>8.4273338383601681E-4</v>
      </c>
      <c r="AZ241" s="149">
        <f t="shared" ca="1" si="665"/>
        <v>1.1111767935673967E-3</v>
      </c>
      <c r="BA241" s="149">
        <f t="shared" ca="1" si="666"/>
        <v>1.0000000000001204E-4</v>
      </c>
      <c r="BB241" s="149">
        <f t="shared" ca="1" si="667"/>
        <v>1.0000000000001204E-4</v>
      </c>
      <c r="BC241" s="149">
        <f t="shared" ca="1" si="668"/>
        <v>1.0000000000001204E-4</v>
      </c>
      <c r="BD241" s="143">
        <f t="shared" ca="1" si="602"/>
        <v>0</v>
      </c>
      <c r="BE241" s="144">
        <f t="shared" ca="1" si="603"/>
        <v>0</v>
      </c>
      <c r="BF241" s="40">
        <f t="shared" si="604"/>
        <v>2019</v>
      </c>
      <c r="BG241" s="139">
        <f t="shared" si="605"/>
        <v>10</v>
      </c>
      <c r="BH241" s="140">
        <f t="shared" ca="1" si="606"/>
        <v>6734</v>
      </c>
      <c r="BI241" s="304">
        <f t="shared" ca="1" si="607"/>
        <v>18.477754962354553</v>
      </c>
      <c r="BJ241" s="42">
        <f t="shared" ca="1" si="626"/>
        <v>18.527750498467402</v>
      </c>
      <c r="BK241" s="42">
        <f t="shared" ca="1" si="627"/>
        <v>18.530488349254533</v>
      </c>
      <c r="BL241" s="42">
        <f t="shared" ca="1" si="608"/>
        <v>18.559890485968516</v>
      </c>
      <c r="BM241" s="285">
        <f t="shared" si="609"/>
        <v>23</v>
      </c>
      <c r="BN241" s="41">
        <f t="shared" si="610"/>
        <v>14</v>
      </c>
      <c r="BO241" s="41">
        <f t="shared" si="611"/>
        <v>9</v>
      </c>
      <c r="BP241" s="297" t="str">
        <f t="shared" ca="1" si="628"/>
        <v/>
      </c>
      <c r="BQ241" s="297" t="str">
        <f t="shared" ca="1" si="629"/>
        <v/>
      </c>
      <c r="BR241" s="299" t="str">
        <f t="shared" ca="1" si="630"/>
        <v/>
      </c>
      <c r="BS241" s="153" t="str">
        <f t="shared" ca="1" si="631"/>
        <v/>
      </c>
      <c r="BT241" s="153" t="str">
        <f t="shared" ca="1" si="632"/>
        <v/>
      </c>
      <c r="BU241" s="300" t="str">
        <f t="shared" ca="1" si="633"/>
        <v/>
      </c>
      <c r="BV241" s="301" t="str">
        <f t="shared" ca="1" si="634"/>
        <v/>
      </c>
      <c r="BW241" s="300" t="str">
        <f t="shared" ca="1" si="635"/>
        <v/>
      </c>
      <c r="BX241" s="301" t="str">
        <f t="shared" ca="1" si="636"/>
        <v/>
      </c>
      <c r="BY241" s="146" t="str">
        <f t="shared" ca="1" si="637"/>
        <v/>
      </c>
      <c r="BZ241" s="146" t="str">
        <f t="shared" ca="1" si="638"/>
        <v/>
      </c>
      <c r="CA241" s="146" t="str">
        <f t="shared" ca="1" si="639"/>
        <v/>
      </c>
      <c r="CB241" s="146" t="str">
        <f t="shared" ca="1" si="640"/>
        <v/>
      </c>
      <c r="CC241" s="302">
        <v>1</v>
      </c>
      <c r="CD241" s="154">
        <f ca="1">IF(BD241,_xll.xCrudeAPO(BS241,BT241,BY241,BZ241,S242,S243,BI241,BL241,BN241,BO241,0,Strike1,AO241,CC241,0,BL241,IF(OptControl=4,0,1),0,1),0)</f>
        <v>0</v>
      </c>
      <c r="CE241" s="155">
        <f ca="1">IF(BD241,_xll.xCrudeAPO(BS241,BT241,BY241,BZ241,S242,S243,BI241,BL241,BN241,BO241,0,Strike1,AO241,CC241,0,BL241,IF(OptControl=4,0,1),1,1)+_xll.xCrudeAPO(BS241,BT241,BY241,BZ241,S242,S243,BI241,BL241,BN241,BO241,0,Strike1,AO241,CC241,0,BL241,IF(OptControl=4,0,1),1,2)+IF(OR(VolSkewFlag=2,ABS(BQ241)&lt;0.0001),0,IF(BQ241&gt;0,-1,1)*CF241*Strike1/BP241^2*BW241/10%),0)</f>
        <v>0</v>
      </c>
      <c r="CF241" s="155">
        <f ca="1">IF(BD241,(_xll.xCrudeAPO(BS241,BT241,BY241,BZ241,S242,S243,BI241,BL241,BN241,BO241,0,Strike1,AO241,CC241,0,BL241,IF(OptControl=4,0,1),3,1)+_xll.xCrudeAPO(BS241,BT241,BY241,BZ241,S242,S243,BI241,BL241,BN241,BO241,0,Strike1,AO241,CC241,0,BL241,IF(OptControl=4,0,1),3,2))/100,0)</f>
        <v>0</v>
      </c>
      <c r="CG241" s="155">
        <f ca="1">IF(BD241,_xll.xCrudeAPO(BS241,BT241,BY241,BZ241,S242,S243,BI241-DaysForThetaCalculation/365.25,BL241-DaysForThetaCalculation/365.25,BN241,BO241,0,Strike1,AO241,CC241,0,BL241,IF(OptControl=4,0,1),0,1)-_xll.xCrudeAPO(BS241,BT241,BY241,BZ241,S242,S243,BI241,BL241,BN241,BO241,0,Strike1,AO241,CC241,0,BL241,IF(OptControl=4,0,1),0,1),0)</f>
        <v>0</v>
      </c>
      <c r="CH241" s="303">
        <f ca="1">IF(BD241,_xll.xCrudeAPO(BS241,BT241,CA241,CB241,S242,S243,BI241,BL241,BN241,BO241,0,Strike2,AO241,CC241,0,BL241,IF(OptControl=3,1,0),0,1),0)</f>
        <v>0</v>
      </c>
      <c r="CI241" s="155">
        <f ca="1">IF(BD241,_xll.xCrudeAPO(BS241,BT241,CA241,CB241,S242,S243,BI241,BL241,BN241,BO241,0,Strike2,AO241,CC241,0,BL241,IF(OptControl=3,1,0),1,1)+_xll.xCrudeAPO(BS241,BT241,CA241,CB241,S242,S243,BI241,BL241,BN241,BO241,0,Strike2,AO241,CC241,0,BL241,IF(OptControl=3,1,0),1,2)+IF(OR(VolSkewFlag=2,ABS(BR241)&lt;0.0001),0,IF(BR241&gt;0,-1,1)*CJ241*Strike2/BP241^2*BX241/10%),0)</f>
        <v>0</v>
      </c>
      <c r="CJ241" s="155">
        <f ca="1">IF(BD241,(_xll.xCrudeAPO(BS241,BT241,CA241,CB241,S242,S243,BI241,BL241,BN241,BO241,0,Strike2,AO241,CC241,0,BL241,IF(OptControl=3,1,0),3,1)+_xll.xCrudeAPO(BS241,BT241,CA241,CB241,S242,S243,BI241,BL241,BN241,BO241,0,Strike2,AO241,CC241,0,BL241,IF(OptControl=3,1,0),3,2))/100,0)</f>
        <v>0</v>
      </c>
      <c r="CK241" s="156">
        <f ca="1">IF(BD241,_xll.xCrudeAPO(BS241,BT241,CA241,CB241,S242,S243,BI241-DaysForThetaCalculation/365.25,BL241-DaysForThetaCalculation/365.25,BN241,BO241,0,Strike2,AO241,CC241,0,BL241,IF(OptControl=3,1,0),0,1)-_xll.xCrudeAPO(BS241,BT241,CA241,CB241,S242,S243,BI241,BL241,BN241,BO241,0,Strike2,AO241,CC241,0,BL241,IF(OptControl=3,1,0),0,1),0)</f>
        <v>0</v>
      </c>
      <c r="CL241" s="51"/>
      <c r="CM241" s="779" t="str">
        <f t="shared" ca="1" si="650"/>
        <v/>
      </c>
      <c r="CN241" s="783" t="str">
        <f t="shared" ca="1" si="651"/>
        <v/>
      </c>
      <c r="CO241" s="780" t="str">
        <f t="shared" ca="1" si="652"/>
        <v/>
      </c>
      <c r="CP241" s="780" t="str">
        <f t="shared" ca="1" si="653"/>
        <v/>
      </c>
      <c r="CQ241" s="780" t="str">
        <f t="shared" ca="1" si="654"/>
        <v/>
      </c>
      <c r="CR241" s="780" t="str">
        <f t="shared" ca="1" si="655"/>
        <v/>
      </c>
      <c r="CS241" s="781" t="str">
        <f t="shared" ca="1" si="656"/>
        <v/>
      </c>
      <c r="CT241" s="782" t="str">
        <f t="shared" ca="1" si="657"/>
        <v/>
      </c>
      <c r="CU241" s="782" t="str">
        <f t="shared" ca="1" si="658"/>
        <v/>
      </c>
      <c r="CV241" s="155">
        <f ca="1">IF(BD241,_xll.EURO(CN241,Strike1,AO241,AO241,CT241,CM241,IF(OptControl=4,0,1),0),0)</f>
        <v>0</v>
      </c>
      <c r="CW241" s="155">
        <f ca="1">IF(BD241,_xll.EURO(CN241,Strike1,AO241,AO241,CT241,CM241,IF(OptControl=4,0,1),1)+IF(OR(VolSkewFlag=2,ABS(CO241)&lt;0.0001),0,IF(CO241&gt;0,-1,1)*CX241*100*Strike1/CN241^2*CQ241/10%),0)</f>
        <v>0</v>
      </c>
      <c r="CX241" s="155">
        <f ca="1">IF(BD241,_xll.EURO(CN241,Strike1,AO241,AO241,CT241,CM241,IF(OptControl=4,0,1),3)/100,0)</f>
        <v>0</v>
      </c>
      <c r="CY241" s="155">
        <f ca="1">IF(BD241,_xll.EURO(CN241,Strike1,AO241,AO241,CT241,CM241,IF(OptControl=4,0,1),0)-_xll.EURO(CN241,Strike1,AO241,AO241,CT241,CM241-1,IF(OptControl=4,0,1),0),0)</f>
        <v>0</v>
      </c>
      <c r="CZ241" s="155">
        <f ca="1">IF(BD241,_xll.EURO(CN241,Strike2,AO241,AO241,CU241,CM241,IF(OptControl=3,1,0),0),0)</f>
        <v>0</v>
      </c>
      <c r="DA241" s="155">
        <f ca="1">IF(BD241,_xll.EURO(CN241,Strike2,AO241,AO241,CU241,CM241,IF(OptControl=3,1,0),1)+IF(OR(VolSkewFlag=2,ABS(CP241)&lt;0.0001),0,IF(CP241&gt;0,-1,1)*DB241*100*Strike2/CN241^2*CR241/10%),0)</f>
        <v>0</v>
      </c>
      <c r="DB241" s="155">
        <f ca="1">IF(BD241,_xll.EURO(CN241,Strike2,AO241,AO241,CU241,CM241,IF(OptControl=3,1,0),3)/100,0)</f>
        <v>0</v>
      </c>
      <c r="DC241" s="156">
        <f ca="1">IF(BD241,_xll.EURO(CN241,Strike2,AO241,AO241,CU241,CM241,IF(OptControl=3,1,0),0)-_xll.EURO(CN241,Strike2,AO241,AO241,CU241,CM241-1,IF(OptControl=3,1,0),0),0)</f>
        <v>0</v>
      </c>
      <c r="DE241" s="651">
        <f t="shared" ca="1" si="659"/>
        <v>43647</v>
      </c>
      <c r="DF241" s="465">
        <v>1E-4</v>
      </c>
      <c r="DG241" s="649">
        <v>1E-4</v>
      </c>
      <c r="DH241" s="650">
        <f t="shared" ca="1" si="612"/>
        <v>43647</v>
      </c>
      <c r="DI241" s="465">
        <v>1E-4</v>
      </c>
      <c r="DJ241" s="649">
        <v>1E-4</v>
      </c>
      <c r="DK241" s="651">
        <f t="shared" ca="1" si="613"/>
        <v>43647</v>
      </c>
      <c r="DL241" s="652">
        <f t="shared" si="614"/>
        <v>5.0100000000000006E-2</v>
      </c>
      <c r="DM241" s="651">
        <f t="shared" ca="1" si="615"/>
        <v>43647</v>
      </c>
      <c r="DN241" s="563">
        <f t="shared" si="616"/>
        <v>-0.12990000000000002</v>
      </c>
      <c r="DO241" s="803">
        <v>-0.13</v>
      </c>
      <c r="DP241" s="650">
        <f t="shared" ca="1" si="617"/>
        <v>43647</v>
      </c>
      <c r="DQ241" s="653">
        <v>1E-4</v>
      </c>
      <c r="DR241" s="590">
        <v>1E-4</v>
      </c>
      <c r="DS241" s="650">
        <f t="shared" ca="1" si="618"/>
        <v>43647</v>
      </c>
      <c r="DT241" s="653">
        <v>1E-4</v>
      </c>
      <c r="DU241" s="590">
        <v>1E-4</v>
      </c>
      <c r="DV241" s="651">
        <f t="shared" ca="1" si="619"/>
        <v>43647</v>
      </c>
      <c r="DW241" s="590">
        <v>1E-4</v>
      </c>
      <c r="DX241" s="651">
        <f t="shared" ca="1" si="620"/>
        <v>43647</v>
      </c>
      <c r="DY241" s="590">
        <f t="shared" si="621"/>
        <v>1E-4</v>
      </c>
      <c r="DZ241" s="1"/>
      <c r="EA241" s="857"/>
      <c r="EB241" s="857"/>
      <c r="EC241" s="857"/>
      <c r="ED241" s="868" t="e">
        <f t="shared" ca="1" si="670"/>
        <v>#NAME?</v>
      </c>
      <c r="EE241" s="863" t="e">
        <f t="shared" ca="1" si="641"/>
        <v>#NAME?</v>
      </c>
      <c r="EF241" s="590" t="e">
        <f t="shared" ca="1" si="642"/>
        <v>#NAME?</v>
      </c>
      <c r="EG241" s="862" t="str">
        <f t="shared" ca="1" si="622"/>
        <v/>
      </c>
      <c r="EH241" s="114" t="str">
        <f t="shared" ca="1" si="643"/>
        <v/>
      </c>
      <c r="EI241" s="109" t="str">
        <f t="shared" ca="1" si="644"/>
        <v/>
      </c>
      <c r="EJ241" s="115">
        <f ca="1">IF(BD241,_xll.xASN(BP241,Strike1,AO241,EH241,0,BM241,0,BI241,BL241,IF(OptControl=4,0,1),0),0)</f>
        <v>0</v>
      </c>
      <c r="EK241" s="108">
        <f ca="1">IF(BD241,_xll.xASN(BP241,Strike2,AO241,EI241,0,BM241,0,BI241,BL241,IF(OptControl=3,1,0),0),0)</f>
        <v>0</v>
      </c>
      <c r="EP241" s="53"/>
      <c r="EQ241" s="1"/>
      <c r="ER241" s="103"/>
      <c r="ES241" s="103"/>
      <c r="ET241" s="1"/>
      <c r="EU241" s="667" t="s">
        <v>454</v>
      </c>
      <c r="EW241" s="53"/>
      <c r="EY241" s="104"/>
      <c r="FN241" s="659">
        <v>72</v>
      </c>
      <c r="FO241" s="663" t="str">
        <f ca="1">IF(OR(FO$169&lt;SwaptionFirstMonthPosition+1,$FN241&lt;SwaptionFirstMonthPosition+1,FO$169&gt;SwaptionFirstMonthPosition+SwaptionNumOfMonths+1,$FN241&gt;SwaptionFirstMonthPosition+SwaptionNumOfMonths+1),"",IF($FN241=FO$169,1,IF($FN241&lt;FO$169,INDEX($FO$170:$IH$241,FO$169,$FN241),SUMPRODUCT(INDEX($FO$325:$IH$396,FO$169,1+SwaptionShift):INDEX($FO$325:$IH$396,FO$169,SwaptionMonthsToGo+SwaptionShift),INDEX($FO$245:$IH$316,$FN241-FO$169,73-FO$169+SwaptionShift):INDEX($FO$245:$IH$316,$FN241-FO$169,72-FO$169+SwaptionMonthsToGo+SwaptionShift))/SQRT(SUM(INDEX($FO396:$IH396,1+SwaptionShift):INDEX($FO396:$IH396,SwaptionMonthsToGo+SwaptionShift))*SUM(INDEX($FO$325:$IH$396,FO$169,1+SwaptionShift):INDEX($FO$325:$IH$396,FO$169,SwaptionMonthsToGo+SwaptionShift))))))</f>
        <v/>
      </c>
      <c r="FP241" s="663" t="str">
        <f ca="1">IF(OR(FP$169&lt;SwaptionFirstMonthPosition+1,$FN241&lt;SwaptionFirstMonthPosition+1,FP$169&gt;SwaptionFirstMonthPosition+SwaptionNumOfMonths+1,$FN241&gt;SwaptionFirstMonthPosition+SwaptionNumOfMonths+1),"",IF($FN241=FP$169,1,IF($FN241&lt;FP$169,INDEX($FO$170:$IH$241,FP$169,$FN241),SUMPRODUCT(INDEX($FO$325:$IH$396,FP$169,1+SwaptionShift):INDEX($FO$325:$IH$396,FP$169,SwaptionMonthsToGo+SwaptionShift),INDEX($FO$245:$IH$316,$FN241-FP$169,73-FP$169+SwaptionShift):INDEX($FO$245:$IH$316,$FN241-FP$169,72-FP$169+SwaptionMonthsToGo+SwaptionShift))/SQRT(SUM(INDEX($FO396:$IH396,1+SwaptionShift):INDEX($FO396:$IH396,SwaptionMonthsToGo+SwaptionShift))*SUM(INDEX($FO$325:$IH$396,FP$169,1+SwaptionShift):INDEX($FO$325:$IH$396,FP$169,SwaptionMonthsToGo+SwaptionShift))))))</f>
        <v/>
      </c>
      <c r="FQ241" s="663" t="str">
        <f ca="1">IF(OR(FQ$169&lt;SwaptionFirstMonthPosition+1,$FN241&lt;SwaptionFirstMonthPosition+1,FQ$169&gt;SwaptionFirstMonthPosition+SwaptionNumOfMonths+1,$FN241&gt;SwaptionFirstMonthPosition+SwaptionNumOfMonths+1),"",IF($FN241=FQ$169,1,IF($FN241&lt;FQ$169,INDEX($FO$170:$IH$241,FQ$169,$FN241),SUMPRODUCT(INDEX($FO$325:$IH$396,FQ$169,1+SwaptionShift):INDEX($FO$325:$IH$396,FQ$169,SwaptionMonthsToGo+SwaptionShift),INDEX($FO$245:$IH$316,$FN241-FQ$169,73-FQ$169+SwaptionShift):INDEX($FO$245:$IH$316,$FN241-FQ$169,72-FQ$169+SwaptionMonthsToGo+SwaptionShift))/SQRT(SUM(INDEX($FO396:$IH396,1+SwaptionShift):INDEX($FO396:$IH396,SwaptionMonthsToGo+SwaptionShift))*SUM(INDEX($FO$325:$IH$396,FQ$169,1+SwaptionShift):INDEX($FO$325:$IH$396,FQ$169,SwaptionMonthsToGo+SwaptionShift))))))</f>
        <v/>
      </c>
      <c r="FR241" s="663" t="str">
        <f ca="1">IF(OR(FR$169&lt;SwaptionFirstMonthPosition+1,$FN241&lt;SwaptionFirstMonthPosition+1,FR$169&gt;SwaptionFirstMonthPosition+SwaptionNumOfMonths+1,$FN241&gt;SwaptionFirstMonthPosition+SwaptionNumOfMonths+1),"",IF($FN241=FR$169,1,IF($FN241&lt;FR$169,INDEX($FO$170:$IH$241,FR$169,$FN241),SUMPRODUCT(INDEX($FO$325:$IH$396,FR$169,1+SwaptionShift):INDEX($FO$325:$IH$396,FR$169,SwaptionMonthsToGo+SwaptionShift),INDEX($FO$245:$IH$316,$FN241-FR$169,73-FR$169+SwaptionShift):INDEX($FO$245:$IH$316,$FN241-FR$169,72-FR$169+SwaptionMonthsToGo+SwaptionShift))/SQRT(SUM(INDEX($FO396:$IH396,1+SwaptionShift):INDEX($FO396:$IH396,SwaptionMonthsToGo+SwaptionShift))*SUM(INDEX($FO$325:$IH$396,FR$169,1+SwaptionShift):INDEX($FO$325:$IH$396,FR$169,SwaptionMonthsToGo+SwaptionShift))))))</f>
        <v/>
      </c>
      <c r="FS241" s="663" t="str">
        <f ca="1">IF(OR(FS$169&lt;SwaptionFirstMonthPosition+1,$FN241&lt;SwaptionFirstMonthPosition+1,FS$169&gt;SwaptionFirstMonthPosition+SwaptionNumOfMonths+1,$FN241&gt;SwaptionFirstMonthPosition+SwaptionNumOfMonths+1),"",IF($FN241=FS$169,1,IF($FN241&lt;FS$169,INDEX($FO$170:$IH$241,FS$169,$FN241),SUMPRODUCT(INDEX($FO$325:$IH$396,FS$169,1+SwaptionShift):INDEX($FO$325:$IH$396,FS$169,SwaptionMonthsToGo+SwaptionShift),INDEX($FO$245:$IH$316,$FN241-FS$169,73-FS$169+SwaptionShift):INDEX($FO$245:$IH$316,$FN241-FS$169,72-FS$169+SwaptionMonthsToGo+SwaptionShift))/SQRT(SUM(INDEX($FO396:$IH396,1+SwaptionShift):INDEX($FO396:$IH396,SwaptionMonthsToGo+SwaptionShift))*SUM(INDEX($FO$325:$IH$396,FS$169,1+SwaptionShift):INDEX($FO$325:$IH$396,FS$169,SwaptionMonthsToGo+SwaptionShift))))))</f>
        <v/>
      </c>
      <c r="FT241" s="663" t="str">
        <f ca="1">IF(OR(FT$169&lt;SwaptionFirstMonthPosition+1,$FN241&lt;SwaptionFirstMonthPosition+1,FT$169&gt;SwaptionFirstMonthPosition+SwaptionNumOfMonths+1,$FN241&gt;SwaptionFirstMonthPosition+SwaptionNumOfMonths+1),"",IF($FN241=FT$169,1,IF($FN241&lt;FT$169,INDEX($FO$170:$IH$241,FT$169,$FN241),SUMPRODUCT(INDEX($FO$325:$IH$396,FT$169,1+SwaptionShift):INDEX($FO$325:$IH$396,FT$169,SwaptionMonthsToGo+SwaptionShift),INDEX($FO$245:$IH$316,$FN241-FT$169,73-FT$169+SwaptionShift):INDEX($FO$245:$IH$316,$FN241-FT$169,72-FT$169+SwaptionMonthsToGo+SwaptionShift))/SQRT(SUM(INDEX($FO396:$IH396,1+SwaptionShift):INDEX($FO396:$IH396,SwaptionMonthsToGo+SwaptionShift))*SUM(INDEX($FO$325:$IH$396,FT$169,1+SwaptionShift):INDEX($FO$325:$IH$396,FT$169,SwaptionMonthsToGo+SwaptionShift))))))</f>
        <v/>
      </c>
      <c r="FU241" s="663" t="str">
        <f ca="1">IF(OR(FU$169&lt;SwaptionFirstMonthPosition+1,$FN241&lt;SwaptionFirstMonthPosition+1,FU$169&gt;SwaptionFirstMonthPosition+SwaptionNumOfMonths+1,$FN241&gt;SwaptionFirstMonthPosition+SwaptionNumOfMonths+1),"",IF($FN241=FU$169,1,IF($FN241&lt;FU$169,INDEX($FO$170:$IH$241,FU$169,$FN241),SUMPRODUCT(INDEX($FO$325:$IH$396,FU$169,1+SwaptionShift):INDEX($FO$325:$IH$396,FU$169,SwaptionMonthsToGo+SwaptionShift),INDEX($FO$245:$IH$316,$FN241-FU$169,73-FU$169+SwaptionShift):INDEX($FO$245:$IH$316,$FN241-FU$169,72-FU$169+SwaptionMonthsToGo+SwaptionShift))/SQRT(SUM(INDEX($FO396:$IH396,1+SwaptionShift):INDEX($FO396:$IH396,SwaptionMonthsToGo+SwaptionShift))*SUM(INDEX($FO$325:$IH$396,FU$169,1+SwaptionShift):INDEX($FO$325:$IH$396,FU$169,SwaptionMonthsToGo+SwaptionShift))))))</f>
        <v/>
      </c>
      <c r="FV241" s="663" t="str">
        <f ca="1">IF(OR(FV$169&lt;SwaptionFirstMonthPosition+1,$FN241&lt;SwaptionFirstMonthPosition+1,FV$169&gt;SwaptionFirstMonthPosition+SwaptionNumOfMonths+1,$FN241&gt;SwaptionFirstMonthPosition+SwaptionNumOfMonths+1),"",IF($FN241=FV$169,1,IF($FN241&lt;FV$169,INDEX($FO$170:$IH$241,FV$169,$FN241),SUMPRODUCT(INDEX($FO$325:$IH$396,FV$169,1+SwaptionShift):INDEX($FO$325:$IH$396,FV$169,SwaptionMonthsToGo+SwaptionShift),INDEX($FO$245:$IH$316,$FN241-FV$169,73-FV$169+SwaptionShift):INDEX($FO$245:$IH$316,$FN241-FV$169,72-FV$169+SwaptionMonthsToGo+SwaptionShift))/SQRT(SUM(INDEX($FO396:$IH396,1+SwaptionShift):INDEX($FO396:$IH396,SwaptionMonthsToGo+SwaptionShift))*SUM(INDEX($FO$325:$IH$396,FV$169,1+SwaptionShift):INDEX($FO$325:$IH$396,FV$169,SwaptionMonthsToGo+SwaptionShift))))))</f>
        <v/>
      </c>
      <c r="FW241" s="663" t="str">
        <f ca="1">IF(OR(FW$169&lt;SwaptionFirstMonthPosition+1,$FN241&lt;SwaptionFirstMonthPosition+1,FW$169&gt;SwaptionFirstMonthPosition+SwaptionNumOfMonths+1,$FN241&gt;SwaptionFirstMonthPosition+SwaptionNumOfMonths+1),"",IF($FN241=FW$169,1,IF($FN241&lt;FW$169,INDEX($FO$170:$IH$241,FW$169,$FN241),SUMPRODUCT(INDEX($FO$325:$IH$396,FW$169,1+SwaptionShift):INDEX($FO$325:$IH$396,FW$169,SwaptionMonthsToGo+SwaptionShift),INDEX($FO$245:$IH$316,$FN241-FW$169,73-FW$169+SwaptionShift):INDEX($FO$245:$IH$316,$FN241-FW$169,72-FW$169+SwaptionMonthsToGo+SwaptionShift))/SQRT(SUM(INDEX($FO396:$IH396,1+SwaptionShift):INDEX($FO396:$IH396,SwaptionMonthsToGo+SwaptionShift))*SUM(INDEX($FO$325:$IH$396,FW$169,1+SwaptionShift):INDEX($FO$325:$IH$396,FW$169,SwaptionMonthsToGo+SwaptionShift))))))</f>
        <v/>
      </c>
      <c r="FX241" s="663" t="str">
        <f ca="1">IF(OR(FX$169&lt;SwaptionFirstMonthPosition+1,$FN241&lt;SwaptionFirstMonthPosition+1,FX$169&gt;SwaptionFirstMonthPosition+SwaptionNumOfMonths+1,$FN241&gt;SwaptionFirstMonthPosition+SwaptionNumOfMonths+1),"",IF($FN241=FX$169,1,IF($FN241&lt;FX$169,INDEX($FO$170:$IH$241,FX$169,$FN241),SUMPRODUCT(INDEX($FO$325:$IH$396,FX$169,1+SwaptionShift):INDEX($FO$325:$IH$396,FX$169,SwaptionMonthsToGo+SwaptionShift),INDEX($FO$245:$IH$316,$FN241-FX$169,73-FX$169+SwaptionShift):INDEX($FO$245:$IH$316,$FN241-FX$169,72-FX$169+SwaptionMonthsToGo+SwaptionShift))/SQRT(SUM(INDEX($FO396:$IH396,1+SwaptionShift):INDEX($FO396:$IH396,SwaptionMonthsToGo+SwaptionShift))*SUM(INDEX($FO$325:$IH$396,FX$169,1+SwaptionShift):INDEX($FO$325:$IH$396,FX$169,SwaptionMonthsToGo+SwaptionShift))))))</f>
        <v/>
      </c>
      <c r="FY241" s="663" t="str">
        <f ca="1">IF(OR(FY$169&lt;SwaptionFirstMonthPosition+1,$FN241&lt;SwaptionFirstMonthPosition+1,FY$169&gt;SwaptionFirstMonthPosition+SwaptionNumOfMonths+1,$FN241&gt;SwaptionFirstMonthPosition+SwaptionNumOfMonths+1),"",IF($FN241=FY$169,1,IF($FN241&lt;FY$169,INDEX($FO$170:$IH$241,FY$169,$FN241),SUMPRODUCT(INDEX($FO$325:$IH$396,FY$169,1+SwaptionShift):INDEX($FO$325:$IH$396,FY$169,SwaptionMonthsToGo+SwaptionShift),INDEX($FO$245:$IH$316,$FN241-FY$169,73-FY$169+SwaptionShift):INDEX($FO$245:$IH$316,$FN241-FY$169,72-FY$169+SwaptionMonthsToGo+SwaptionShift))/SQRT(SUM(INDEX($FO396:$IH396,1+SwaptionShift):INDEX($FO396:$IH396,SwaptionMonthsToGo+SwaptionShift))*SUM(INDEX($FO$325:$IH$396,FY$169,1+SwaptionShift):INDEX($FO$325:$IH$396,FY$169,SwaptionMonthsToGo+SwaptionShift))))))</f>
        <v/>
      </c>
      <c r="FZ241" s="663" t="str">
        <f ca="1">IF(OR(FZ$169&lt;SwaptionFirstMonthPosition+1,$FN241&lt;SwaptionFirstMonthPosition+1,FZ$169&gt;SwaptionFirstMonthPosition+SwaptionNumOfMonths+1,$FN241&gt;SwaptionFirstMonthPosition+SwaptionNumOfMonths+1),"",IF($FN241=FZ$169,1,IF($FN241&lt;FZ$169,INDEX($FO$170:$IH$241,FZ$169,$FN241),SUMPRODUCT(INDEX($FO$325:$IH$396,FZ$169,1+SwaptionShift):INDEX($FO$325:$IH$396,FZ$169,SwaptionMonthsToGo+SwaptionShift),INDEX($FO$245:$IH$316,$FN241-FZ$169,73-FZ$169+SwaptionShift):INDEX($FO$245:$IH$316,$FN241-FZ$169,72-FZ$169+SwaptionMonthsToGo+SwaptionShift))/SQRT(SUM(INDEX($FO396:$IH396,1+SwaptionShift):INDEX($FO396:$IH396,SwaptionMonthsToGo+SwaptionShift))*SUM(INDEX($FO$325:$IH$396,FZ$169,1+SwaptionShift):INDEX($FO$325:$IH$396,FZ$169,SwaptionMonthsToGo+SwaptionShift))))))</f>
        <v/>
      </c>
      <c r="GA241" s="663" t="str">
        <f ca="1">IF(OR(GA$169&lt;SwaptionFirstMonthPosition+1,$FN241&lt;SwaptionFirstMonthPosition+1,GA$169&gt;SwaptionFirstMonthPosition+SwaptionNumOfMonths+1,$FN241&gt;SwaptionFirstMonthPosition+SwaptionNumOfMonths+1),"",IF($FN241=GA$169,1,IF($FN241&lt;GA$169,INDEX($FO$170:$IH$241,GA$169,$FN241),SUMPRODUCT(INDEX($FO$325:$IH$396,GA$169,1+SwaptionShift):INDEX($FO$325:$IH$396,GA$169,SwaptionMonthsToGo+SwaptionShift),INDEX($FO$245:$IH$316,$FN241-GA$169,73-GA$169+SwaptionShift):INDEX($FO$245:$IH$316,$FN241-GA$169,72-GA$169+SwaptionMonthsToGo+SwaptionShift))/SQRT(SUM(INDEX($FO396:$IH396,1+SwaptionShift):INDEX($FO396:$IH396,SwaptionMonthsToGo+SwaptionShift))*SUM(INDEX($FO$325:$IH$396,GA$169,1+SwaptionShift):INDEX($FO$325:$IH$396,GA$169,SwaptionMonthsToGo+SwaptionShift))))))</f>
        <v/>
      </c>
      <c r="GB241" s="663" t="str">
        <f ca="1">IF(OR(GB$169&lt;SwaptionFirstMonthPosition+1,$FN241&lt;SwaptionFirstMonthPosition+1,GB$169&gt;SwaptionFirstMonthPosition+SwaptionNumOfMonths+1,$FN241&gt;SwaptionFirstMonthPosition+SwaptionNumOfMonths+1),"",IF($FN241=GB$169,1,IF($FN241&lt;GB$169,INDEX($FO$170:$IH$241,GB$169,$FN241),SUMPRODUCT(INDEX($FO$325:$IH$396,GB$169,1+SwaptionShift):INDEX($FO$325:$IH$396,GB$169,SwaptionMonthsToGo+SwaptionShift),INDEX($FO$245:$IH$316,$FN241-GB$169,73-GB$169+SwaptionShift):INDEX($FO$245:$IH$316,$FN241-GB$169,72-GB$169+SwaptionMonthsToGo+SwaptionShift))/SQRT(SUM(INDEX($FO396:$IH396,1+SwaptionShift):INDEX($FO396:$IH396,SwaptionMonthsToGo+SwaptionShift))*SUM(INDEX($FO$325:$IH$396,GB$169,1+SwaptionShift):INDEX($FO$325:$IH$396,GB$169,SwaptionMonthsToGo+SwaptionShift))))))</f>
        <v/>
      </c>
      <c r="GC241" s="663" t="str">
        <f ca="1">IF(OR(GC$169&lt;SwaptionFirstMonthPosition+1,$FN241&lt;SwaptionFirstMonthPosition+1,GC$169&gt;SwaptionFirstMonthPosition+SwaptionNumOfMonths+1,$FN241&gt;SwaptionFirstMonthPosition+SwaptionNumOfMonths+1),"",IF($FN241=GC$169,1,IF($FN241&lt;GC$169,INDEX($FO$170:$IH$241,GC$169,$FN241),SUMPRODUCT(INDEX($FO$325:$IH$396,GC$169,1+SwaptionShift):INDEX($FO$325:$IH$396,GC$169,SwaptionMonthsToGo+SwaptionShift),INDEX($FO$245:$IH$316,$FN241-GC$169,73-GC$169+SwaptionShift):INDEX($FO$245:$IH$316,$FN241-GC$169,72-GC$169+SwaptionMonthsToGo+SwaptionShift))/SQRT(SUM(INDEX($FO396:$IH396,1+SwaptionShift):INDEX($FO396:$IH396,SwaptionMonthsToGo+SwaptionShift))*SUM(INDEX($FO$325:$IH$396,GC$169,1+SwaptionShift):INDEX($FO$325:$IH$396,GC$169,SwaptionMonthsToGo+SwaptionShift))))))</f>
        <v/>
      </c>
      <c r="GD241" s="663" t="str">
        <f ca="1">IF(OR(GD$169&lt;SwaptionFirstMonthPosition+1,$FN241&lt;SwaptionFirstMonthPosition+1,GD$169&gt;SwaptionFirstMonthPosition+SwaptionNumOfMonths+1,$FN241&gt;SwaptionFirstMonthPosition+SwaptionNumOfMonths+1),"",IF($FN241=GD$169,1,IF($FN241&lt;GD$169,INDEX($FO$170:$IH$241,GD$169,$FN241),SUMPRODUCT(INDEX($FO$325:$IH$396,GD$169,1+SwaptionShift):INDEX($FO$325:$IH$396,GD$169,SwaptionMonthsToGo+SwaptionShift),INDEX($FO$245:$IH$316,$FN241-GD$169,73-GD$169+SwaptionShift):INDEX($FO$245:$IH$316,$FN241-GD$169,72-GD$169+SwaptionMonthsToGo+SwaptionShift))/SQRT(SUM(INDEX($FO396:$IH396,1+SwaptionShift):INDEX($FO396:$IH396,SwaptionMonthsToGo+SwaptionShift))*SUM(INDEX($FO$325:$IH$396,GD$169,1+SwaptionShift):INDEX($FO$325:$IH$396,GD$169,SwaptionMonthsToGo+SwaptionShift))))))</f>
        <v/>
      </c>
      <c r="GE241" s="663" t="str">
        <f ca="1">IF(OR(GE$169&lt;SwaptionFirstMonthPosition+1,$FN241&lt;SwaptionFirstMonthPosition+1,GE$169&gt;SwaptionFirstMonthPosition+SwaptionNumOfMonths+1,$FN241&gt;SwaptionFirstMonthPosition+SwaptionNumOfMonths+1),"",IF($FN241=GE$169,1,IF($FN241&lt;GE$169,INDEX($FO$170:$IH$241,GE$169,$FN241),SUMPRODUCT(INDEX($FO$325:$IH$396,GE$169,1+SwaptionShift):INDEX($FO$325:$IH$396,GE$169,SwaptionMonthsToGo+SwaptionShift),INDEX($FO$245:$IH$316,$FN241-GE$169,73-GE$169+SwaptionShift):INDEX($FO$245:$IH$316,$FN241-GE$169,72-GE$169+SwaptionMonthsToGo+SwaptionShift))/SQRT(SUM(INDEX($FO396:$IH396,1+SwaptionShift):INDEX($FO396:$IH396,SwaptionMonthsToGo+SwaptionShift))*SUM(INDEX($FO$325:$IH$396,GE$169,1+SwaptionShift):INDEX($FO$325:$IH$396,GE$169,SwaptionMonthsToGo+SwaptionShift))))))</f>
        <v/>
      </c>
      <c r="GF241" s="663" t="str">
        <f ca="1">IF(OR(GF$169&lt;SwaptionFirstMonthPosition+1,$FN241&lt;SwaptionFirstMonthPosition+1,GF$169&gt;SwaptionFirstMonthPosition+SwaptionNumOfMonths+1,$FN241&gt;SwaptionFirstMonthPosition+SwaptionNumOfMonths+1),"",IF($FN241=GF$169,1,IF($FN241&lt;GF$169,INDEX($FO$170:$IH$241,GF$169,$FN241),SUMPRODUCT(INDEX($FO$325:$IH$396,GF$169,1+SwaptionShift):INDEX($FO$325:$IH$396,GF$169,SwaptionMonthsToGo+SwaptionShift),INDEX($FO$245:$IH$316,$FN241-GF$169,73-GF$169+SwaptionShift):INDEX($FO$245:$IH$316,$FN241-GF$169,72-GF$169+SwaptionMonthsToGo+SwaptionShift))/SQRT(SUM(INDEX($FO396:$IH396,1+SwaptionShift):INDEX($FO396:$IH396,SwaptionMonthsToGo+SwaptionShift))*SUM(INDEX($FO$325:$IH$396,GF$169,1+SwaptionShift):INDEX($FO$325:$IH$396,GF$169,SwaptionMonthsToGo+SwaptionShift))))))</f>
        <v/>
      </c>
      <c r="GG241" s="663" t="str">
        <f ca="1">IF(OR(GG$169&lt;SwaptionFirstMonthPosition+1,$FN241&lt;SwaptionFirstMonthPosition+1,GG$169&gt;SwaptionFirstMonthPosition+SwaptionNumOfMonths+1,$FN241&gt;SwaptionFirstMonthPosition+SwaptionNumOfMonths+1),"",IF($FN241=GG$169,1,IF($FN241&lt;GG$169,INDEX($FO$170:$IH$241,GG$169,$FN241),SUMPRODUCT(INDEX($FO$325:$IH$396,GG$169,1+SwaptionShift):INDEX($FO$325:$IH$396,GG$169,SwaptionMonthsToGo+SwaptionShift),INDEX($FO$245:$IH$316,$FN241-GG$169,73-GG$169+SwaptionShift):INDEX($FO$245:$IH$316,$FN241-GG$169,72-GG$169+SwaptionMonthsToGo+SwaptionShift))/SQRT(SUM(INDEX($FO396:$IH396,1+SwaptionShift):INDEX($FO396:$IH396,SwaptionMonthsToGo+SwaptionShift))*SUM(INDEX($FO$325:$IH$396,GG$169,1+SwaptionShift):INDEX($FO$325:$IH$396,GG$169,SwaptionMonthsToGo+SwaptionShift))))))</f>
        <v/>
      </c>
      <c r="GH241" s="663" t="str">
        <f ca="1">IF(OR(GH$169&lt;SwaptionFirstMonthPosition+1,$FN241&lt;SwaptionFirstMonthPosition+1,GH$169&gt;SwaptionFirstMonthPosition+SwaptionNumOfMonths+1,$FN241&gt;SwaptionFirstMonthPosition+SwaptionNumOfMonths+1),"",IF($FN241=GH$169,1,IF($FN241&lt;GH$169,INDEX($FO$170:$IH$241,GH$169,$FN241),SUMPRODUCT(INDEX($FO$325:$IH$396,GH$169,1+SwaptionShift):INDEX($FO$325:$IH$396,GH$169,SwaptionMonthsToGo+SwaptionShift),INDEX($FO$245:$IH$316,$FN241-GH$169,73-GH$169+SwaptionShift):INDEX($FO$245:$IH$316,$FN241-GH$169,72-GH$169+SwaptionMonthsToGo+SwaptionShift))/SQRT(SUM(INDEX($FO396:$IH396,1+SwaptionShift):INDEX($FO396:$IH396,SwaptionMonthsToGo+SwaptionShift))*SUM(INDEX($FO$325:$IH$396,GH$169,1+SwaptionShift):INDEX($FO$325:$IH$396,GH$169,SwaptionMonthsToGo+SwaptionShift))))))</f>
        <v/>
      </c>
      <c r="GI241" s="663" t="str">
        <f ca="1">IF(OR(GI$169&lt;SwaptionFirstMonthPosition+1,$FN241&lt;SwaptionFirstMonthPosition+1,GI$169&gt;SwaptionFirstMonthPosition+SwaptionNumOfMonths+1,$FN241&gt;SwaptionFirstMonthPosition+SwaptionNumOfMonths+1),"",IF($FN241=GI$169,1,IF($FN241&lt;GI$169,INDEX($FO$170:$IH$241,GI$169,$FN241),SUMPRODUCT(INDEX($FO$325:$IH$396,GI$169,1+SwaptionShift):INDEX($FO$325:$IH$396,GI$169,SwaptionMonthsToGo+SwaptionShift),INDEX($FO$245:$IH$316,$FN241-GI$169,73-GI$169+SwaptionShift):INDEX($FO$245:$IH$316,$FN241-GI$169,72-GI$169+SwaptionMonthsToGo+SwaptionShift))/SQRT(SUM(INDEX($FO396:$IH396,1+SwaptionShift):INDEX($FO396:$IH396,SwaptionMonthsToGo+SwaptionShift))*SUM(INDEX($FO$325:$IH$396,GI$169,1+SwaptionShift):INDEX($FO$325:$IH$396,GI$169,SwaptionMonthsToGo+SwaptionShift))))))</f>
        <v/>
      </c>
      <c r="GJ241" s="663" t="str">
        <f ca="1">IF(OR(GJ$169&lt;SwaptionFirstMonthPosition+1,$FN241&lt;SwaptionFirstMonthPosition+1,GJ$169&gt;SwaptionFirstMonthPosition+SwaptionNumOfMonths+1,$FN241&gt;SwaptionFirstMonthPosition+SwaptionNumOfMonths+1),"",IF($FN241=GJ$169,1,IF($FN241&lt;GJ$169,INDEX($FO$170:$IH$241,GJ$169,$FN241),SUMPRODUCT(INDEX($FO$325:$IH$396,GJ$169,1+SwaptionShift):INDEX($FO$325:$IH$396,GJ$169,SwaptionMonthsToGo+SwaptionShift),INDEX($FO$245:$IH$316,$FN241-GJ$169,73-GJ$169+SwaptionShift):INDEX($FO$245:$IH$316,$FN241-GJ$169,72-GJ$169+SwaptionMonthsToGo+SwaptionShift))/SQRT(SUM(INDEX($FO396:$IH396,1+SwaptionShift):INDEX($FO396:$IH396,SwaptionMonthsToGo+SwaptionShift))*SUM(INDEX($FO$325:$IH$396,GJ$169,1+SwaptionShift):INDEX($FO$325:$IH$396,GJ$169,SwaptionMonthsToGo+SwaptionShift))))))</f>
        <v/>
      </c>
      <c r="GK241" s="663" t="str">
        <f ca="1">IF(OR(GK$169&lt;SwaptionFirstMonthPosition+1,$FN241&lt;SwaptionFirstMonthPosition+1,GK$169&gt;SwaptionFirstMonthPosition+SwaptionNumOfMonths+1,$FN241&gt;SwaptionFirstMonthPosition+SwaptionNumOfMonths+1),"",IF($FN241=GK$169,1,IF($FN241&lt;GK$169,INDEX($FO$170:$IH$241,GK$169,$FN241),SUMPRODUCT(INDEX($FO$325:$IH$396,GK$169,1+SwaptionShift):INDEX($FO$325:$IH$396,GK$169,SwaptionMonthsToGo+SwaptionShift),INDEX($FO$245:$IH$316,$FN241-GK$169,73-GK$169+SwaptionShift):INDEX($FO$245:$IH$316,$FN241-GK$169,72-GK$169+SwaptionMonthsToGo+SwaptionShift))/SQRT(SUM(INDEX($FO396:$IH396,1+SwaptionShift):INDEX($FO396:$IH396,SwaptionMonthsToGo+SwaptionShift))*SUM(INDEX($FO$325:$IH$396,GK$169,1+SwaptionShift):INDEX($FO$325:$IH$396,GK$169,SwaptionMonthsToGo+SwaptionShift))))))</f>
        <v/>
      </c>
      <c r="GL241" s="663" t="str">
        <f ca="1">IF(OR(GL$169&lt;SwaptionFirstMonthPosition+1,$FN241&lt;SwaptionFirstMonthPosition+1,GL$169&gt;SwaptionFirstMonthPosition+SwaptionNumOfMonths+1,$FN241&gt;SwaptionFirstMonthPosition+SwaptionNumOfMonths+1),"",IF($FN241=GL$169,1,IF($FN241&lt;GL$169,INDEX($FO$170:$IH$241,GL$169,$FN241),SUMPRODUCT(INDEX($FO$325:$IH$396,GL$169,1+SwaptionShift):INDEX($FO$325:$IH$396,GL$169,SwaptionMonthsToGo+SwaptionShift),INDEX($FO$245:$IH$316,$FN241-GL$169,73-GL$169+SwaptionShift):INDEX($FO$245:$IH$316,$FN241-GL$169,72-GL$169+SwaptionMonthsToGo+SwaptionShift))/SQRT(SUM(INDEX($FO396:$IH396,1+SwaptionShift):INDEX($FO396:$IH396,SwaptionMonthsToGo+SwaptionShift))*SUM(INDEX($FO$325:$IH$396,GL$169,1+SwaptionShift):INDEX($FO$325:$IH$396,GL$169,SwaptionMonthsToGo+SwaptionShift))))))</f>
        <v/>
      </c>
      <c r="GM241" s="663" t="str">
        <f ca="1">IF(OR(GM$169&lt;SwaptionFirstMonthPosition+1,$FN241&lt;SwaptionFirstMonthPosition+1,GM$169&gt;SwaptionFirstMonthPosition+SwaptionNumOfMonths+1,$FN241&gt;SwaptionFirstMonthPosition+SwaptionNumOfMonths+1),"",IF($FN241=GM$169,1,IF($FN241&lt;GM$169,INDEX($FO$170:$IH$241,GM$169,$FN241),SUMPRODUCT(INDEX($FO$325:$IH$396,GM$169,1+SwaptionShift):INDEX($FO$325:$IH$396,GM$169,SwaptionMonthsToGo+SwaptionShift),INDEX($FO$245:$IH$316,$FN241-GM$169,73-GM$169+SwaptionShift):INDEX($FO$245:$IH$316,$FN241-GM$169,72-GM$169+SwaptionMonthsToGo+SwaptionShift))/SQRT(SUM(INDEX($FO396:$IH396,1+SwaptionShift):INDEX($FO396:$IH396,SwaptionMonthsToGo+SwaptionShift))*SUM(INDEX($FO$325:$IH$396,GM$169,1+SwaptionShift):INDEX($FO$325:$IH$396,GM$169,SwaptionMonthsToGo+SwaptionShift))))))</f>
        <v/>
      </c>
      <c r="GN241" s="663" t="str">
        <f ca="1">IF(OR(GN$169&lt;SwaptionFirstMonthPosition+1,$FN241&lt;SwaptionFirstMonthPosition+1,GN$169&gt;SwaptionFirstMonthPosition+SwaptionNumOfMonths+1,$FN241&gt;SwaptionFirstMonthPosition+SwaptionNumOfMonths+1),"",IF($FN241=GN$169,1,IF($FN241&lt;GN$169,INDEX($FO$170:$IH$241,GN$169,$FN241),SUMPRODUCT(INDEX($FO$325:$IH$396,GN$169,1+SwaptionShift):INDEX($FO$325:$IH$396,GN$169,SwaptionMonthsToGo+SwaptionShift),INDEX($FO$245:$IH$316,$FN241-GN$169,73-GN$169+SwaptionShift):INDEX($FO$245:$IH$316,$FN241-GN$169,72-GN$169+SwaptionMonthsToGo+SwaptionShift))/SQRT(SUM(INDEX($FO396:$IH396,1+SwaptionShift):INDEX($FO396:$IH396,SwaptionMonthsToGo+SwaptionShift))*SUM(INDEX($FO$325:$IH$396,GN$169,1+SwaptionShift):INDEX($FO$325:$IH$396,GN$169,SwaptionMonthsToGo+SwaptionShift))))))</f>
        <v/>
      </c>
      <c r="GO241" s="663" t="str">
        <f ca="1">IF(OR(GO$169&lt;SwaptionFirstMonthPosition+1,$FN241&lt;SwaptionFirstMonthPosition+1,GO$169&gt;SwaptionFirstMonthPosition+SwaptionNumOfMonths+1,$FN241&gt;SwaptionFirstMonthPosition+SwaptionNumOfMonths+1),"",IF($FN241=GO$169,1,IF($FN241&lt;GO$169,INDEX($FO$170:$IH$241,GO$169,$FN241),SUMPRODUCT(INDEX($FO$325:$IH$396,GO$169,1+SwaptionShift):INDEX($FO$325:$IH$396,GO$169,SwaptionMonthsToGo+SwaptionShift),INDEX($FO$245:$IH$316,$FN241-GO$169,73-GO$169+SwaptionShift):INDEX($FO$245:$IH$316,$FN241-GO$169,72-GO$169+SwaptionMonthsToGo+SwaptionShift))/SQRT(SUM(INDEX($FO396:$IH396,1+SwaptionShift):INDEX($FO396:$IH396,SwaptionMonthsToGo+SwaptionShift))*SUM(INDEX($FO$325:$IH$396,GO$169,1+SwaptionShift):INDEX($FO$325:$IH$396,GO$169,SwaptionMonthsToGo+SwaptionShift))))))</f>
        <v/>
      </c>
      <c r="GP241" s="663" t="str">
        <f ca="1">IF(OR(GP$169&lt;SwaptionFirstMonthPosition+1,$FN241&lt;SwaptionFirstMonthPosition+1,GP$169&gt;SwaptionFirstMonthPosition+SwaptionNumOfMonths+1,$FN241&gt;SwaptionFirstMonthPosition+SwaptionNumOfMonths+1),"",IF($FN241=GP$169,1,IF($FN241&lt;GP$169,INDEX($FO$170:$IH$241,GP$169,$FN241),SUMPRODUCT(INDEX($FO$325:$IH$396,GP$169,1+SwaptionShift):INDEX($FO$325:$IH$396,GP$169,SwaptionMonthsToGo+SwaptionShift),INDEX($FO$245:$IH$316,$FN241-GP$169,73-GP$169+SwaptionShift):INDEX($FO$245:$IH$316,$FN241-GP$169,72-GP$169+SwaptionMonthsToGo+SwaptionShift))/SQRT(SUM(INDEX($FO396:$IH396,1+SwaptionShift):INDEX($FO396:$IH396,SwaptionMonthsToGo+SwaptionShift))*SUM(INDEX($FO$325:$IH$396,GP$169,1+SwaptionShift):INDEX($FO$325:$IH$396,GP$169,SwaptionMonthsToGo+SwaptionShift))))))</f>
        <v/>
      </c>
      <c r="GQ241" s="663" t="str">
        <f ca="1">IF(OR(GQ$169&lt;SwaptionFirstMonthPosition+1,$FN241&lt;SwaptionFirstMonthPosition+1,GQ$169&gt;SwaptionFirstMonthPosition+SwaptionNumOfMonths+1,$FN241&gt;SwaptionFirstMonthPosition+SwaptionNumOfMonths+1),"",IF($FN241=GQ$169,1,IF($FN241&lt;GQ$169,INDEX($FO$170:$IH$241,GQ$169,$FN241),SUMPRODUCT(INDEX($FO$325:$IH$396,GQ$169,1+SwaptionShift):INDEX($FO$325:$IH$396,GQ$169,SwaptionMonthsToGo+SwaptionShift),INDEX($FO$245:$IH$316,$FN241-GQ$169,73-GQ$169+SwaptionShift):INDEX($FO$245:$IH$316,$FN241-GQ$169,72-GQ$169+SwaptionMonthsToGo+SwaptionShift))/SQRT(SUM(INDEX($FO396:$IH396,1+SwaptionShift):INDEX($FO396:$IH396,SwaptionMonthsToGo+SwaptionShift))*SUM(INDEX($FO$325:$IH$396,GQ$169,1+SwaptionShift):INDEX($FO$325:$IH$396,GQ$169,SwaptionMonthsToGo+SwaptionShift))))))</f>
        <v/>
      </c>
      <c r="GR241" s="663" t="str">
        <f ca="1">IF(OR(GR$169&lt;SwaptionFirstMonthPosition+1,$FN241&lt;SwaptionFirstMonthPosition+1,GR$169&gt;SwaptionFirstMonthPosition+SwaptionNumOfMonths+1,$FN241&gt;SwaptionFirstMonthPosition+SwaptionNumOfMonths+1),"",IF($FN241=GR$169,1,IF($FN241&lt;GR$169,INDEX($FO$170:$IH$241,GR$169,$FN241),SUMPRODUCT(INDEX($FO$325:$IH$396,GR$169,1+SwaptionShift):INDEX($FO$325:$IH$396,GR$169,SwaptionMonthsToGo+SwaptionShift),INDEX($FO$245:$IH$316,$FN241-GR$169,73-GR$169+SwaptionShift):INDEX($FO$245:$IH$316,$FN241-GR$169,72-GR$169+SwaptionMonthsToGo+SwaptionShift))/SQRT(SUM(INDEX($FO396:$IH396,1+SwaptionShift):INDEX($FO396:$IH396,SwaptionMonthsToGo+SwaptionShift))*SUM(INDEX($FO$325:$IH$396,GR$169,1+SwaptionShift):INDEX($FO$325:$IH$396,GR$169,SwaptionMonthsToGo+SwaptionShift))))))</f>
        <v/>
      </c>
      <c r="GS241" s="663" t="str">
        <f ca="1">IF(OR(GS$169&lt;SwaptionFirstMonthPosition+1,$FN241&lt;SwaptionFirstMonthPosition+1,GS$169&gt;SwaptionFirstMonthPosition+SwaptionNumOfMonths+1,$FN241&gt;SwaptionFirstMonthPosition+SwaptionNumOfMonths+1),"",IF($FN241=GS$169,1,IF($FN241&lt;GS$169,INDEX($FO$170:$IH$241,GS$169,$FN241),SUMPRODUCT(INDEX($FO$325:$IH$396,GS$169,1+SwaptionShift):INDEX($FO$325:$IH$396,GS$169,SwaptionMonthsToGo+SwaptionShift),INDEX($FO$245:$IH$316,$FN241-GS$169,73-GS$169+SwaptionShift):INDEX($FO$245:$IH$316,$FN241-GS$169,72-GS$169+SwaptionMonthsToGo+SwaptionShift))/SQRT(SUM(INDEX($FO396:$IH396,1+SwaptionShift):INDEX($FO396:$IH396,SwaptionMonthsToGo+SwaptionShift))*SUM(INDEX($FO$325:$IH$396,GS$169,1+SwaptionShift):INDEX($FO$325:$IH$396,GS$169,SwaptionMonthsToGo+SwaptionShift))))))</f>
        <v/>
      </c>
      <c r="GT241" s="663" t="str">
        <f ca="1">IF(OR(GT$169&lt;SwaptionFirstMonthPosition+1,$FN241&lt;SwaptionFirstMonthPosition+1,GT$169&gt;SwaptionFirstMonthPosition+SwaptionNumOfMonths+1,$FN241&gt;SwaptionFirstMonthPosition+SwaptionNumOfMonths+1),"",IF($FN241=GT$169,1,IF($FN241&lt;GT$169,INDEX($FO$170:$IH$241,GT$169,$FN241),SUMPRODUCT(INDEX($FO$325:$IH$396,GT$169,1+SwaptionShift):INDEX($FO$325:$IH$396,GT$169,SwaptionMonthsToGo+SwaptionShift),INDEX($FO$245:$IH$316,$FN241-GT$169,73-GT$169+SwaptionShift):INDEX($FO$245:$IH$316,$FN241-GT$169,72-GT$169+SwaptionMonthsToGo+SwaptionShift))/SQRT(SUM(INDEX($FO396:$IH396,1+SwaptionShift):INDEX($FO396:$IH396,SwaptionMonthsToGo+SwaptionShift))*SUM(INDEX($FO$325:$IH$396,GT$169,1+SwaptionShift):INDEX($FO$325:$IH$396,GT$169,SwaptionMonthsToGo+SwaptionShift))))))</f>
        <v/>
      </c>
      <c r="GU241" s="663" t="str">
        <f ca="1">IF(OR(GU$169&lt;SwaptionFirstMonthPosition+1,$FN241&lt;SwaptionFirstMonthPosition+1,GU$169&gt;SwaptionFirstMonthPosition+SwaptionNumOfMonths+1,$FN241&gt;SwaptionFirstMonthPosition+SwaptionNumOfMonths+1),"",IF($FN241=GU$169,1,IF($FN241&lt;GU$169,INDEX($FO$170:$IH$241,GU$169,$FN241),SUMPRODUCT(INDEX($FO$325:$IH$396,GU$169,1+SwaptionShift):INDEX($FO$325:$IH$396,GU$169,SwaptionMonthsToGo+SwaptionShift),INDEX($FO$245:$IH$316,$FN241-GU$169,73-GU$169+SwaptionShift):INDEX($FO$245:$IH$316,$FN241-GU$169,72-GU$169+SwaptionMonthsToGo+SwaptionShift))/SQRT(SUM(INDEX($FO396:$IH396,1+SwaptionShift):INDEX($FO396:$IH396,SwaptionMonthsToGo+SwaptionShift))*SUM(INDEX($FO$325:$IH$396,GU$169,1+SwaptionShift):INDEX($FO$325:$IH$396,GU$169,SwaptionMonthsToGo+SwaptionShift))))))</f>
        <v/>
      </c>
      <c r="GV241" s="663" t="str">
        <f ca="1">IF(OR(GV$169&lt;SwaptionFirstMonthPosition+1,$FN241&lt;SwaptionFirstMonthPosition+1,GV$169&gt;SwaptionFirstMonthPosition+SwaptionNumOfMonths+1,$FN241&gt;SwaptionFirstMonthPosition+SwaptionNumOfMonths+1),"",IF($FN241=GV$169,1,IF($FN241&lt;GV$169,INDEX($FO$170:$IH$241,GV$169,$FN241),SUMPRODUCT(INDEX($FO$325:$IH$396,GV$169,1+SwaptionShift):INDEX($FO$325:$IH$396,GV$169,SwaptionMonthsToGo+SwaptionShift),INDEX($FO$245:$IH$316,$FN241-GV$169,73-GV$169+SwaptionShift):INDEX($FO$245:$IH$316,$FN241-GV$169,72-GV$169+SwaptionMonthsToGo+SwaptionShift))/SQRT(SUM(INDEX($FO396:$IH396,1+SwaptionShift):INDEX($FO396:$IH396,SwaptionMonthsToGo+SwaptionShift))*SUM(INDEX($FO$325:$IH$396,GV$169,1+SwaptionShift):INDEX($FO$325:$IH$396,GV$169,SwaptionMonthsToGo+SwaptionShift))))))</f>
        <v/>
      </c>
      <c r="GW241" s="663" t="str">
        <f ca="1">IF(OR(GW$169&lt;SwaptionFirstMonthPosition+1,$FN241&lt;SwaptionFirstMonthPosition+1,GW$169&gt;SwaptionFirstMonthPosition+SwaptionNumOfMonths+1,$FN241&gt;SwaptionFirstMonthPosition+SwaptionNumOfMonths+1),"",IF($FN241=GW$169,1,IF($FN241&lt;GW$169,INDEX($FO$170:$IH$241,GW$169,$FN241),SUMPRODUCT(INDEX($FO$325:$IH$396,GW$169,1+SwaptionShift):INDEX($FO$325:$IH$396,GW$169,SwaptionMonthsToGo+SwaptionShift),INDEX($FO$245:$IH$316,$FN241-GW$169,73-GW$169+SwaptionShift):INDEX($FO$245:$IH$316,$FN241-GW$169,72-GW$169+SwaptionMonthsToGo+SwaptionShift))/SQRT(SUM(INDEX($FO396:$IH396,1+SwaptionShift):INDEX($FO396:$IH396,SwaptionMonthsToGo+SwaptionShift))*SUM(INDEX($FO$325:$IH$396,GW$169,1+SwaptionShift):INDEX($FO$325:$IH$396,GW$169,SwaptionMonthsToGo+SwaptionShift))))))</f>
        <v/>
      </c>
      <c r="GX241" s="663" t="str">
        <f ca="1">IF(OR(GX$169&lt;SwaptionFirstMonthPosition+1,$FN241&lt;SwaptionFirstMonthPosition+1,GX$169&gt;SwaptionFirstMonthPosition+SwaptionNumOfMonths+1,$FN241&gt;SwaptionFirstMonthPosition+SwaptionNumOfMonths+1),"",IF($FN241=GX$169,1,IF($FN241&lt;GX$169,INDEX($FO$170:$IH$241,GX$169,$FN241),SUMPRODUCT(INDEX($FO$325:$IH$396,GX$169,1+SwaptionShift):INDEX($FO$325:$IH$396,GX$169,SwaptionMonthsToGo+SwaptionShift),INDEX($FO$245:$IH$316,$FN241-GX$169,73-GX$169+SwaptionShift):INDEX($FO$245:$IH$316,$FN241-GX$169,72-GX$169+SwaptionMonthsToGo+SwaptionShift))/SQRT(SUM(INDEX($FO396:$IH396,1+SwaptionShift):INDEX($FO396:$IH396,SwaptionMonthsToGo+SwaptionShift))*SUM(INDEX($FO$325:$IH$396,GX$169,1+SwaptionShift):INDEX($FO$325:$IH$396,GX$169,SwaptionMonthsToGo+SwaptionShift))))))</f>
        <v/>
      </c>
      <c r="GY241" s="663" t="str">
        <f ca="1">IF(OR(GY$169&lt;SwaptionFirstMonthPosition+1,$FN241&lt;SwaptionFirstMonthPosition+1,GY$169&gt;SwaptionFirstMonthPosition+SwaptionNumOfMonths+1,$FN241&gt;SwaptionFirstMonthPosition+SwaptionNumOfMonths+1),"",IF($FN241=GY$169,1,IF($FN241&lt;GY$169,INDEX($FO$170:$IH$241,GY$169,$FN241),SUMPRODUCT(INDEX($FO$325:$IH$396,GY$169,1+SwaptionShift):INDEX($FO$325:$IH$396,GY$169,SwaptionMonthsToGo+SwaptionShift),INDEX($FO$245:$IH$316,$FN241-GY$169,73-GY$169+SwaptionShift):INDEX($FO$245:$IH$316,$FN241-GY$169,72-GY$169+SwaptionMonthsToGo+SwaptionShift))/SQRT(SUM(INDEX($FO396:$IH396,1+SwaptionShift):INDEX($FO396:$IH396,SwaptionMonthsToGo+SwaptionShift))*SUM(INDEX($FO$325:$IH$396,GY$169,1+SwaptionShift):INDEX($FO$325:$IH$396,GY$169,SwaptionMonthsToGo+SwaptionShift))))))</f>
        <v/>
      </c>
      <c r="GZ241" s="663" t="str">
        <f ca="1">IF(OR(GZ$169&lt;SwaptionFirstMonthPosition+1,$FN241&lt;SwaptionFirstMonthPosition+1,GZ$169&gt;SwaptionFirstMonthPosition+SwaptionNumOfMonths+1,$FN241&gt;SwaptionFirstMonthPosition+SwaptionNumOfMonths+1),"",IF($FN241=GZ$169,1,IF($FN241&lt;GZ$169,INDEX($FO$170:$IH$241,GZ$169,$FN241),SUMPRODUCT(INDEX($FO$325:$IH$396,GZ$169,1+SwaptionShift):INDEX($FO$325:$IH$396,GZ$169,SwaptionMonthsToGo+SwaptionShift),INDEX($FO$245:$IH$316,$FN241-GZ$169,73-GZ$169+SwaptionShift):INDEX($FO$245:$IH$316,$FN241-GZ$169,72-GZ$169+SwaptionMonthsToGo+SwaptionShift))/SQRT(SUM(INDEX($FO396:$IH396,1+SwaptionShift):INDEX($FO396:$IH396,SwaptionMonthsToGo+SwaptionShift))*SUM(INDEX($FO$325:$IH$396,GZ$169,1+SwaptionShift):INDEX($FO$325:$IH$396,GZ$169,SwaptionMonthsToGo+SwaptionShift))))))</f>
        <v/>
      </c>
      <c r="HA241" s="663" t="str">
        <f ca="1">IF(OR(HA$169&lt;SwaptionFirstMonthPosition+1,$FN241&lt;SwaptionFirstMonthPosition+1,HA$169&gt;SwaptionFirstMonthPosition+SwaptionNumOfMonths+1,$FN241&gt;SwaptionFirstMonthPosition+SwaptionNumOfMonths+1),"",IF($FN241=HA$169,1,IF($FN241&lt;HA$169,INDEX($FO$170:$IH$241,HA$169,$FN241),SUMPRODUCT(INDEX($FO$325:$IH$396,HA$169,1+SwaptionShift):INDEX($FO$325:$IH$396,HA$169,SwaptionMonthsToGo+SwaptionShift),INDEX($FO$245:$IH$316,$FN241-HA$169,73-HA$169+SwaptionShift):INDEX($FO$245:$IH$316,$FN241-HA$169,72-HA$169+SwaptionMonthsToGo+SwaptionShift))/SQRT(SUM(INDEX($FO396:$IH396,1+SwaptionShift):INDEX($FO396:$IH396,SwaptionMonthsToGo+SwaptionShift))*SUM(INDEX($FO$325:$IH$396,HA$169,1+SwaptionShift):INDEX($FO$325:$IH$396,HA$169,SwaptionMonthsToGo+SwaptionShift))))))</f>
        <v/>
      </c>
      <c r="HB241" s="663" t="str">
        <f ca="1">IF(OR(HB$169&lt;SwaptionFirstMonthPosition+1,$FN241&lt;SwaptionFirstMonthPosition+1,HB$169&gt;SwaptionFirstMonthPosition+SwaptionNumOfMonths+1,$FN241&gt;SwaptionFirstMonthPosition+SwaptionNumOfMonths+1),"",IF($FN241=HB$169,1,IF($FN241&lt;HB$169,INDEX($FO$170:$IH$241,HB$169,$FN241),SUMPRODUCT(INDEX($FO$325:$IH$396,HB$169,1+SwaptionShift):INDEX($FO$325:$IH$396,HB$169,SwaptionMonthsToGo+SwaptionShift),INDEX($FO$245:$IH$316,$FN241-HB$169,73-HB$169+SwaptionShift):INDEX($FO$245:$IH$316,$FN241-HB$169,72-HB$169+SwaptionMonthsToGo+SwaptionShift))/SQRT(SUM(INDEX($FO396:$IH396,1+SwaptionShift):INDEX($FO396:$IH396,SwaptionMonthsToGo+SwaptionShift))*SUM(INDEX($FO$325:$IH$396,HB$169,1+SwaptionShift):INDEX($FO$325:$IH$396,HB$169,SwaptionMonthsToGo+SwaptionShift))))))</f>
        <v/>
      </c>
      <c r="HC241" s="663" t="str">
        <f ca="1">IF(OR(HC$169&lt;SwaptionFirstMonthPosition+1,$FN241&lt;SwaptionFirstMonthPosition+1,HC$169&gt;SwaptionFirstMonthPosition+SwaptionNumOfMonths+1,$FN241&gt;SwaptionFirstMonthPosition+SwaptionNumOfMonths+1),"",IF($FN241=HC$169,1,IF($FN241&lt;HC$169,INDEX($FO$170:$IH$241,HC$169,$FN241),SUMPRODUCT(INDEX($FO$325:$IH$396,HC$169,1+SwaptionShift):INDEX($FO$325:$IH$396,HC$169,SwaptionMonthsToGo+SwaptionShift),INDEX($FO$245:$IH$316,$FN241-HC$169,73-HC$169+SwaptionShift):INDEX($FO$245:$IH$316,$FN241-HC$169,72-HC$169+SwaptionMonthsToGo+SwaptionShift))/SQRT(SUM(INDEX($FO396:$IH396,1+SwaptionShift):INDEX($FO396:$IH396,SwaptionMonthsToGo+SwaptionShift))*SUM(INDEX($FO$325:$IH$396,HC$169,1+SwaptionShift):INDEX($FO$325:$IH$396,HC$169,SwaptionMonthsToGo+SwaptionShift))))))</f>
        <v/>
      </c>
      <c r="HD241" s="663" t="str">
        <f ca="1">IF(OR(HD$169&lt;SwaptionFirstMonthPosition+1,$FN241&lt;SwaptionFirstMonthPosition+1,HD$169&gt;SwaptionFirstMonthPosition+SwaptionNumOfMonths+1,$FN241&gt;SwaptionFirstMonthPosition+SwaptionNumOfMonths+1),"",IF($FN241=HD$169,1,IF($FN241&lt;HD$169,INDEX($FO$170:$IH$241,HD$169,$FN241),SUMPRODUCT(INDEX($FO$325:$IH$396,HD$169,1+SwaptionShift):INDEX($FO$325:$IH$396,HD$169,SwaptionMonthsToGo+SwaptionShift),INDEX($FO$245:$IH$316,$FN241-HD$169,73-HD$169+SwaptionShift):INDEX($FO$245:$IH$316,$FN241-HD$169,72-HD$169+SwaptionMonthsToGo+SwaptionShift))/SQRT(SUM(INDEX($FO396:$IH396,1+SwaptionShift):INDEX($FO396:$IH396,SwaptionMonthsToGo+SwaptionShift))*SUM(INDEX($FO$325:$IH$396,HD$169,1+SwaptionShift):INDEX($FO$325:$IH$396,HD$169,SwaptionMonthsToGo+SwaptionShift))))))</f>
        <v/>
      </c>
      <c r="HE241" s="663" t="str">
        <f ca="1">IF(OR(HE$169&lt;SwaptionFirstMonthPosition+1,$FN241&lt;SwaptionFirstMonthPosition+1,HE$169&gt;SwaptionFirstMonthPosition+SwaptionNumOfMonths+1,$FN241&gt;SwaptionFirstMonthPosition+SwaptionNumOfMonths+1),"",IF($FN241=HE$169,1,IF($FN241&lt;HE$169,INDEX($FO$170:$IH$241,HE$169,$FN241),SUMPRODUCT(INDEX($FO$325:$IH$396,HE$169,1+SwaptionShift):INDEX($FO$325:$IH$396,HE$169,SwaptionMonthsToGo+SwaptionShift),INDEX($FO$245:$IH$316,$FN241-HE$169,73-HE$169+SwaptionShift):INDEX($FO$245:$IH$316,$FN241-HE$169,72-HE$169+SwaptionMonthsToGo+SwaptionShift))/SQRT(SUM(INDEX($FO396:$IH396,1+SwaptionShift):INDEX($FO396:$IH396,SwaptionMonthsToGo+SwaptionShift))*SUM(INDEX($FO$325:$IH$396,HE$169,1+SwaptionShift):INDEX($FO$325:$IH$396,HE$169,SwaptionMonthsToGo+SwaptionShift))))))</f>
        <v/>
      </c>
      <c r="HF241" s="663" t="str">
        <f ca="1">IF(OR(HF$169&lt;SwaptionFirstMonthPosition+1,$FN241&lt;SwaptionFirstMonthPosition+1,HF$169&gt;SwaptionFirstMonthPosition+SwaptionNumOfMonths+1,$FN241&gt;SwaptionFirstMonthPosition+SwaptionNumOfMonths+1),"",IF($FN241=HF$169,1,IF($FN241&lt;HF$169,INDEX($FO$170:$IH$241,HF$169,$FN241),SUMPRODUCT(INDEX($FO$325:$IH$396,HF$169,1+SwaptionShift):INDEX($FO$325:$IH$396,HF$169,SwaptionMonthsToGo+SwaptionShift),INDEX($FO$245:$IH$316,$FN241-HF$169,73-HF$169+SwaptionShift):INDEX($FO$245:$IH$316,$FN241-HF$169,72-HF$169+SwaptionMonthsToGo+SwaptionShift))/SQRT(SUM(INDEX($FO396:$IH396,1+SwaptionShift):INDEX($FO396:$IH396,SwaptionMonthsToGo+SwaptionShift))*SUM(INDEX($FO$325:$IH$396,HF$169,1+SwaptionShift):INDEX($FO$325:$IH$396,HF$169,SwaptionMonthsToGo+SwaptionShift))))))</f>
        <v/>
      </c>
      <c r="HG241" s="663" t="str">
        <f ca="1">IF(OR(HG$169&lt;SwaptionFirstMonthPosition+1,$FN241&lt;SwaptionFirstMonthPosition+1,HG$169&gt;SwaptionFirstMonthPosition+SwaptionNumOfMonths+1,$FN241&gt;SwaptionFirstMonthPosition+SwaptionNumOfMonths+1),"",IF($FN241=HG$169,1,IF($FN241&lt;HG$169,INDEX($FO$170:$IH$241,HG$169,$FN241),SUMPRODUCT(INDEX($FO$325:$IH$396,HG$169,1+SwaptionShift):INDEX($FO$325:$IH$396,HG$169,SwaptionMonthsToGo+SwaptionShift),INDEX($FO$245:$IH$316,$FN241-HG$169,73-HG$169+SwaptionShift):INDEX($FO$245:$IH$316,$FN241-HG$169,72-HG$169+SwaptionMonthsToGo+SwaptionShift))/SQRT(SUM(INDEX($FO396:$IH396,1+SwaptionShift):INDEX($FO396:$IH396,SwaptionMonthsToGo+SwaptionShift))*SUM(INDEX($FO$325:$IH$396,HG$169,1+SwaptionShift):INDEX($FO$325:$IH$396,HG$169,SwaptionMonthsToGo+SwaptionShift))))))</f>
        <v/>
      </c>
      <c r="HH241" s="663" t="str">
        <f ca="1">IF(OR(HH$169&lt;SwaptionFirstMonthPosition+1,$FN241&lt;SwaptionFirstMonthPosition+1,HH$169&gt;SwaptionFirstMonthPosition+SwaptionNumOfMonths+1,$FN241&gt;SwaptionFirstMonthPosition+SwaptionNumOfMonths+1),"",IF($FN241=HH$169,1,IF($FN241&lt;HH$169,INDEX($FO$170:$IH$241,HH$169,$FN241),SUMPRODUCT(INDEX($FO$325:$IH$396,HH$169,1+SwaptionShift):INDEX($FO$325:$IH$396,HH$169,SwaptionMonthsToGo+SwaptionShift),INDEX($FO$245:$IH$316,$FN241-HH$169,73-HH$169+SwaptionShift):INDEX($FO$245:$IH$316,$FN241-HH$169,72-HH$169+SwaptionMonthsToGo+SwaptionShift))/SQRT(SUM(INDEX($FO396:$IH396,1+SwaptionShift):INDEX($FO396:$IH396,SwaptionMonthsToGo+SwaptionShift))*SUM(INDEX($FO$325:$IH$396,HH$169,1+SwaptionShift):INDEX($FO$325:$IH$396,HH$169,SwaptionMonthsToGo+SwaptionShift))))))</f>
        <v/>
      </c>
      <c r="HI241" s="663" t="str">
        <f ca="1">IF(OR(HI$169&lt;SwaptionFirstMonthPosition+1,$FN241&lt;SwaptionFirstMonthPosition+1,HI$169&gt;SwaptionFirstMonthPosition+SwaptionNumOfMonths+1,$FN241&gt;SwaptionFirstMonthPosition+SwaptionNumOfMonths+1),"",IF($FN241=HI$169,1,IF($FN241&lt;HI$169,INDEX($FO$170:$IH$241,HI$169,$FN241),SUMPRODUCT(INDEX($FO$325:$IH$396,HI$169,1+SwaptionShift):INDEX($FO$325:$IH$396,HI$169,SwaptionMonthsToGo+SwaptionShift),INDEX($FO$245:$IH$316,$FN241-HI$169,73-HI$169+SwaptionShift):INDEX($FO$245:$IH$316,$FN241-HI$169,72-HI$169+SwaptionMonthsToGo+SwaptionShift))/SQRT(SUM(INDEX($FO396:$IH396,1+SwaptionShift):INDEX($FO396:$IH396,SwaptionMonthsToGo+SwaptionShift))*SUM(INDEX($FO$325:$IH$396,HI$169,1+SwaptionShift):INDEX($FO$325:$IH$396,HI$169,SwaptionMonthsToGo+SwaptionShift))))))</f>
        <v/>
      </c>
      <c r="HJ241" s="663" t="str">
        <f ca="1">IF(OR(HJ$169&lt;SwaptionFirstMonthPosition+1,$FN241&lt;SwaptionFirstMonthPosition+1,HJ$169&gt;SwaptionFirstMonthPosition+SwaptionNumOfMonths+1,$FN241&gt;SwaptionFirstMonthPosition+SwaptionNumOfMonths+1),"",IF($FN241=HJ$169,1,IF($FN241&lt;HJ$169,INDEX($FO$170:$IH$241,HJ$169,$FN241),SUMPRODUCT(INDEX($FO$325:$IH$396,HJ$169,1+SwaptionShift):INDEX($FO$325:$IH$396,HJ$169,SwaptionMonthsToGo+SwaptionShift),INDEX($FO$245:$IH$316,$FN241-HJ$169,73-HJ$169+SwaptionShift):INDEX($FO$245:$IH$316,$FN241-HJ$169,72-HJ$169+SwaptionMonthsToGo+SwaptionShift))/SQRT(SUM(INDEX($FO396:$IH396,1+SwaptionShift):INDEX($FO396:$IH396,SwaptionMonthsToGo+SwaptionShift))*SUM(INDEX($FO$325:$IH$396,HJ$169,1+SwaptionShift):INDEX($FO$325:$IH$396,HJ$169,SwaptionMonthsToGo+SwaptionShift))))))</f>
        <v/>
      </c>
      <c r="HK241" s="663" t="str">
        <f ca="1">IF(OR(HK$169&lt;SwaptionFirstMonthPosition+1,$FN241&lt;SwaptionFirstMonthPosition+1,HK$169&gt;SwaptionFirstMonthPosition+SwaptionNumOfMonths+1,$FN241&gt;SwaptionFirstMonthPosition+SwaptionNumOfMonths+1),"",IF($FN241=HK$169,1,IF($FN241&lt;HK$169,INDEX($FO$170:$IH$241,HK$169,$FN241),SUMPRODUCT(INDEX($FO$325:$IH$396,HK$169,1+SwaptionShift):INDEX($FO$325:$IH$396,HK$169,SwaptionMonthsToGo+SwaptionShift),INDEX($FO$245:$IH$316,$FN241-HK$169,73-HK$169+SwaptionShift):INDEX($FO$245:$IH$316,$FN241-HK$169,72-HK$169+SwaptionMonthsToGo+SwaptionShift))/SQRT(SUM(INDEX($FO396:$IH396,1+SwaptionShift):INDEX($FO396:$IH396,SwaptionMonthsToGo+SwaptionShift))*SUM(INDEX($FO$325:$IH$396,HK$169,1+SwaptionShift):INDEX($FO$325:$IH$396,HK$169,SwaptionMonthsToGo+SwaptionShift))))))</f>
        <v/>
      </c>
      <c r="HL241" s="663" t="str">
        <f ca="1">IF(OR(HL$169&lt;SwaptionFirstMonthPosition+1,$FN241&lt;SwaptionFirstMonthPosition+1,HL$169&gt;SwaptionFirstMonthPosition+SwaptionNumOfMonths+1,$FN241&gt;SwaptionFirstMonthPosition+SwaptionNumOfMonths+1),"",IF($FN241=HL$169,1,IF($FN241&lt;HL$169,INDEX($FO$170:$IH$241,HL$169,$FN241),SUMPRODUCT(INDEX($FO$325:$IH$396,HL$169,1+SwaptionShift):INDEX($FO$325:$IH$396,HL$169,SwaptionMonthsToGo+SwaptionShift),INDEX($FO$245:$IH$316,$FN241-HL$169,73-HL$169+SwaptionShift):INDEX($FO$245:$IH$316,$FN241-HL$169,72-HL$169+SwaptionMonthsToGo+SwaptionShift))/SQRT(SUM(INDEX($FO396:$IH396,1+SwaptionShift):INDEX($FO396:$IH396,SwaptionMonthsToGo+SwaptionShift))*SUM(INDEX($FO$325:$IH$396,HL$169,1+SwaptionShift):INDEX($FO$325:$IH$396,HL$169,SwaptionMonthsToGo+SwaptionShift))))))</f>
        <v/>
      </c>
      <c r="HM241" s="663" t="str">
        <f ca="1">IF(OR(HM$169&lt;SwaptionFirstMonthPosition+1,$FN241&lt;SwaptionFirstMonthPosition+1,HM$169&gt;SwaptionFirstMonthPosition+SwaptionNumOfMonths+1,$FN241&gt;SwaptionFirstMonthPosition+SwaptionNumOfMonths+1),"",IF($FN241=HM$169,1,IF($FN241&lt;HM$169,INDEX($FO$170:$IH$241,HM$169,$FN241),SUMPRODUCT(INDEX($FO$325:$IH$396,HM$169,1+SwaptionShift):INDEX($FO$325:$IH$396,HM$169,SwaptionMonthsToGo+SwaptionShift),INDEX($FO$245:$IH$316,$FN241-HM$169,73-HM$169+SwaptionShift):INDEX($FO$245:$IH$316,$FN241-HM$169,72-HM$169+SwaptionMonthsToGo+SwaptionShift))/SQRT(SUM(INDEX($FO396:$IH396,1+SwaptionShift):INDEX($FO396:$IH396,SwaptionMonthsToGo+SwaptionShift))*SUM(INDEX($FO$325:$IH$396,HM$169,1+SwaptionShift):INDEX($FO$325:$IH$396,HM$169,SwaptionMonthsToGo+SwaptionShift))))))</f>
        <v/>
      </c>
      <c r="HN241" s="663" t="str">
        <f ca="1">IF(OR(HN$169&lt;SwaptionFirstMonthPosition+1,$FN241&lt;SwaptionFirstMonthPosition+1,HN$169&gt;SwaptionFirstMonthPosition+SwaptionNumOfMonths+1,$FN241&gt;SwaptionFirstMonthPosition+SwaptionNumOfMonths+1),"",IF($FN241=HN$169,1,IF($FN241&lt;HN$169,INDEX($FO$170:$IH$241,HN$169,$FN241),SUMPRODUCT(INDEX($FO$325:$IH$396,HN$169,1+SwaptionShift):INDEX($FO$325:$IH$396,HN$169,SwaptionMonthsToGo+SwaptionShift),INDEX($FO$245:$IH$316,$FN241-HN$169,73-HN$169+SwaptionShift):INDEX($FO$245:$IH$316,$FN241-HN$169,72-HN$169+SwaptionMonthsToGo+SwaptionShift))/SQRT(SUM(INDEX($FO396:$IH396,1+SwaptionShift):INDEX($FO396:$IH396,SwaptionMonthsToGo+SwaptionShift))*SUM(INDEX($FO$325:$IH$396,HN$169,1+SwaptionShift):INDEX($FO$325:$IH$396,HN$169,SwaptionMonthsToGo+SwaptionShift))))))</f>
        <v/>
      </c>
      <c r="HO241" s="663" t="str">
        <f ca="1">IF(OR(HO$169&lt;SwaptionFirstMonthPosition+1,$FN241&lt;SwaptionFirstMonthPosition+1,HO$169&gt;SwaptionFirstMonthPosition+SwaptionNumOfMonths+1,$FN241&gt;SwaptionFirstMonthPosition+SwaptionNumOfMonths+1),"",IF($FN241=HO$169,1,IF($FN241&lt;HO$169,INDEX($FO$170:$IH$241,HO$169,$FN241),SUMPRODUCT(INDEX($FO$325:$IH$396,HO$169,1+SwaptionShift):INDEX($FO$325:$IH$396,HO$169,SwaptionMonthsToGo+SwaptionShift),INDEX($FO$245:$IH$316,$FN241-HO$169,73-HO$169+SwaptionShift):INDEX($FO$245:$IH$316,$FN241-HO$169,72-HO$169+SwaptionMonthsToGo+SwaptionShift))/SQRT(SUM(INDEX($FO396:$IH396,1+SwaptionShift):INDEX($FO396:$IH396,SwaptionMonthsToGo+SwaptionShift))*SUM(INDEX($FO$325:$IH$396,HO$169,1+SwaptionShift):INDEX($FO$325:$IH$396,HO$169,SwaptionMonthsToGo+SwaptionShift))))))</f>
        <v/>
      </c>
      <c r="HP241" s="663" t="str">
        <f ca="1">IF(OR(HP$169&lt;SwaptionFirstMonthPosition+1,$FN241&lt;SwaptionFirstMonthPosition+1,HP$169&gt;SwaptionFirstMonthPosition+SwaptionNumOfMonths+1,$FN241&gt;SwaptionFirstMonthPosition+SwaptionNumOfMonths+1),"",IF($FN241=HP$169,1,IF($FN241&lt;HP$169,INDEX($FO$170:$IH$241,HP$169,$FN241),SUMPRODUCT(INDEX($FO$325:$IH$396,HP$169,1+SwaptionShift):INDEX($FO$325:$IH$396,HP$169,SwaptionMonthsToGo+SwaptionShift),INDEX($FO$245:$IH$316,$FN241-HP$169,73-HP$169+SwaptionShift):INDEX($FO$245:$IH$316,$FN241-HP$169,72-HP$169+SwaptionMonthsToGo+SwaptionShift))/SQRT(SUM(INDEX($FO396:$IH396,1+SwaptionShift):INDEX($FO396:$IH396,SwaptionMonthsToGo+SwaptionShift))*SUM(INDEX($FO$325:$IH$396,HP$169,1+SwaptionShift):INDEX($FO$325:$IH$396,HP$169,SwaptionMonthsToGo+SwaptionShift))))))</f>
        <v/>
      </c>
      <c r="HQ241" s="663" t="str">
        <f ca="1">IF(OR(HQ$169&lt;SwaptionFirstMonthPosition+1,$FN241&lt;SwaptionFirstMonthPosition+1,HQ$169&gt;SwaptionFirstMonthPosition+SwaptionNumOfMonths+1,$FN241&gt;SwaptionFirstMonthPosition+SwaptionNumOfMonths+1),"",IF($FN241=HQ$169,1,IF($FN241&lt;HQ$169,INDEX($FO$170:$IH$241,HQ$169,$FN241),SUMPRODUCT(INDEX($FO$325:$IH$396,HQ$169,1+SwaptionShift):INDEX($FO$325:$IH$396,HQ$169,SwaptionMonthsToGo+SwaptionShift),INDEX($FO$245:$IH$316,$FN241-HQ$169,73-HQ$169+SwaptionShift):INDEX($FO$245:$IH$316,$FN241-HQ$169,72-HQ$169+SwaptionMonthsToGo+SwaptionShift))/SQRT(SUM(INDEX($FO396:$IH396,1+SwaptionShift):INDEX($FO396:$IH396,SwaptionMonthsToGo+SwaptionShift))*SUM(INDEX($FO$325:$IH$396,HQ$169,1+SwaptionShift):INDEX($FO$325:$IH$396,HQ$169,SwaptionMonthsToGo+SwaptionShift))))))</f>
        <v/>
      </c>
      <c r="HR241" s="663" t="str">
        <f ca="1">IF(OR(HR$169&lt;SwaptionFirstMonthPosition+1,$FN241&lt;SwaptionFirstMonthPosition+1,HR$169&gt;SwaptionFirstMonthPosition+SwaptionNumOfMonths+1,$FN241&gt;SwaptionFirstMonthPosition+SwaptionNumOfMonths+1),"",IF($FN241=HR$169,1,IF($FN241&lt;HR$169,INDEX($FO$170:$IH$241,HR$169,$FN241),SUMPRODUCT(INDEX($FO$325:$IH$396,HR$169,1+SwaptionShift):INDEX($FO$325:$IH$396,HR$169,SwaptionMonthsToGo+SwaptionShift),INDEX($FO$245:$IH$316,$FN241-HR$169,73-HR$169+SwaptionShift):INDEX($FO$245:$IH$316,$FN241-HR$169,72-HR$169+SwaptionMonthsToGo+SwaptionShift))/SQRT(SUM(INDEX($FO396:$IH396,1+SwaptionShift):INDEX($FO396:$IH396,SwaptionMonthsToGo+SwaptionShift))*SUM(INDEX($FO$325:$IH$396,HR$169,1+SwaptionShift):INDEX($FO$325:$IH$396,HR$169,SwaptionMonthsToGo+SwaptionShift))))))</f>
        <v/>
      </c>
      <c r="HS241" s="663" t="str">
        <f ca="1">IF(OR(HS$169&lt;SwaptionFirstMonthPosition+1,$FN241&lt;SwaptionFirstMonthPosition+1,HS$169&gt;SwaptionFirstMonthPosition+SwaptionNumOfMonths+1,$FN241&gt;SwaptionFirstMonthPosition+SwaptionNumOfMonths+1),"",IF($FN241=HS$169,1,IF($FN241&lt;HS$169,INDEX($FO$170:$IH$241,HS$169,$FN241),SUMPRODUCT(INDEX($FO$325:$IH$396,HS$169,1+SwaptionShift):INDEX($FO$325:$IH$396,HS$169,SwaptionMonthsToGo+SwaptionShift),INDEX($FO$245:$IH$316,$FN241-HS$169,73-HS$169+SwaptionShift):INDEX($FO$245:$IH$316,$FN241-HS$169,72-HS$169+SwaptionMonthsToGo+SwaptionShift))/SQRT(SUM(INDEX($FO396:$IH396,1+SwaptionShift):INDEX($FO396:$IH396,SwaptionMonthsToGo+SwaptionShift))*SUM(INDEX($FO$325:$IH$396,HS$169,1+SwaptionShift):INDEX($FO$325:$IH$396,HS$169,SwaptionMonthsToGo+SwaptionShift))))))</f>
        <v/>
      </c>
      <c r="HT241" s="663" t="str">
        <f ca="1">IF(OR(HT$169&lt;SwaptionFirstMonthPosition+1,$FN241&lt;SwaptionFirstMonthPosition+1,HT$169&gt;SwaptionFirstMonthPosition+SwaptionNumOfMonths+1,$FN241&gt;SwaptionFirstMonthPosition+SwaptionNumOfMonths+1),"",IF($FN241=HT$169,1,IF($FN241&lt;HT$169,INDEX($FO$170:$IH$241,HT$169,$FN241),SUMPRODUCT(INDEX($FO$325:$IH$396,HT$169,1+SwaptionShift):INDEX($FO$325:$IH$396,HT$169,SwaptionMonthsToGo+SwaptionShift),INDEX($FO$245:$IH$316,$FN241-HT$169,73-HT$169+SwaptionShift):INDEX($FO$245:$IH$316,$FN241-HT$169,72-HT$169+SwaptionMonthsToGo+SwaptionShift))/SQRT(SUM(INDEX($FO396:$IH396,1+SwaptionShift):INDEX($FO396:$IH396,SwaptionMonthsToGo+SwaptionShift))*SUM(INDEX($FO$325:$IH$396,HT$169,1+SwaptionShift):INDEX($FO$325:$IH$396,HT$169,SwaptionMonthsToGo+SwaptionShift))))))</f>
        <v/>
      </c>
      <c r="HU241" s="663" t="str">
        <f ca="1">IF(OR(HU$169&lt;SwaptionFirstMonthPosition+1,$FN241&lt;SwaptionFirstMonthPosition+1,HU$169&gt;SwaptionFirstMonthPosition+SwaptionNumOfMonths+1,$FN241&gt;SwaptionFirstMonthPosition+SwaptionNumOfMonths+1),"",IF($FN241=HU$169,1,IF($FN241&lt;HU$169,INDEX($FO$170:$IH$241,HU$169,$FN241),SUMPRODUCT(INDEX($FO$325:$IH$396,HU$169,1+SwaptionShift):INDEX($FO$325:$IH$396,HU$169,SwaptionMonthsToGo+SwaptionShift),INDEX($FO$245:$IH$316,$FN241-HU$169,73-HU$169+SwaptionShift):INDEX($FO$245:$IH$316,$FN241-HU$169,72-HU$169+SwaptionMonthsToGo+SwaptionShift))/SQRT(SUM(INDEX($FO396:$IH396,1+SwaptionShift):INDEX($FO396:$IH396,SwaptionMonthsToGo+SwaptionShift))*SUM(INDEX($FO$325:$IH$396,HU$169,1+SwaptionShift):INDEX($FO$325:$IH$396,HU$169,SwaptionMonthsToGo+SwaptionShift))))))</f>
        <v/>
      </c>
      <c r="HV241" s="663" t="str">
        <f ca="1">IF(OR(HV$169&lt;SwaptionFirstMonthPosition+1,$FN241&lt;SwaptionFirstMonthPosition+1,HV$169&gt;SwaptionFirstMonthPosition+SwaptionNumOfMonths+1,$FN241&gt;SwaptionFirstMonthPosition+SwaptionNumOfMonths+1),"",IF($FN241=HV$169,1,IF($FN241&lt;HV$169,INDEX($FO$170:$IH$241,HV$169,$FN241),SUMPRODUCT(INDEX($FO$325:$IH$396,HV$169,1+SwaptionShift):INDEX($FO$325:$IH$396,HV$169,SwaptionMonthsToGo+SwaptionShift),INDEX($FO$245:$IH$316,$FN241-HV$169,73-HV$169+SwaptionShift):INDEX($FO$245:$IH$316,$FN241-HV$169,72-HV$169+SwaptionMonthsToGo+SwaptionShift))/SQRT(SUM(INDEX($FO396:$IH396,1+SwaptionShift):INDEX($FO396:$IH396,SwaptionMonthsToGo+SwaptionShift))*SUM(INDEX($FO$325:$IH$396,HV$169,1+SwaptionShift):INDEX($FO$325:$IH$396,HV$169,SwaptionMonthsToGo+SwaptionShift))))))</f>
        <v/>
      </c>
      <c r="HW241" s="663" t="str">
        <f ca="1">IF(OR(HW$169&lt;SwaptionFirstMonthPosition+1,$FN241&lt;SwaptionFirstMonthPosition+1,HW$169&gt;SwaptionFirstMonthPosition+SwaptionNumOfMonths+1,$FN241&gt;SwaptionFirstMonthPosition+SwaptionNumOfMonths+1),"",IF($FN241=HW$169,1,IF($FN241&lt;HW$169,INDEX($FO$170:$IH$241,HW$169,$FN241),SUMPRODUCT(INDEX($FO$325:$IH$396,HW$169,1+SwaptionShift):INDEX($FO$325:$IH$396,HW$169,SwaptionMonthsToGo+SwaptionShift),INDEX($FO$245:$IH$316,$FN241-HW$169,73-HW$169+SwaptionShift):INDEX($FO$245:$IH$316,$FN241-HW$169,72-HW$169+SwaptionMonthsToGo+SwaptionShift))/SQRT(SUM(INDEX($FO396:$IH396,1+SwaptionShift):INDEX($FO396:$IH396,SwaptionMonthsToGo+SwaptionShift))*SUM(INDEX($FO$325:$IH$396,HW$169,1+SwaptionShift):INDEX($FO$325:$IH$396,HW$169,SwaptionMonthsToGo+SwaptionShift))))))</f>
        <v/>
      </c>
      <c r="HX241" s="663" t="str">
        <f ca="1">IF(OR(HX$169&lt;SwaptionFirstMonthPosition+1,$FN241&lt;SwaptionFirstMonthPosition+1,HX$169&gt;SwaptionFirstMonthPosition+SwaptionNumOfMonths+1,$FN241&gt;SwaptionFirstMonthPosition+SwaptionNumOfMonths+1),"",IF($FN241=HX$169,1,IF($FN241&lt;HX$169,INDEX($FO$170:$IH$241,HX$169,$FN241),SUMPRODUCT(INDEX($FO$325:$IH$396,HX$169,1+SwaptionShift):INDEX($FO$325:$IH$396,HX$169,SwaptionMonthsToGo+SwaptionShift),INDEX($FO$245:$IH$316,$FN241-HX$169,73-HX$169+SwaptionShift):INDEX($FO$245:$IH$316,$FN241-HX$169,72-HX$169+SwaptionMonthsToGo+SwaptionShift))/SQRT(SUM(INDEX($FO396:$IH396,1+SwaptionShift):INDEX($FO396:$IH396,SwaptionMonthsToGo+SwaptionShift))*SUM(INDEX($FO$325:$IH$396,HX$169,1+SwaptionShift):INDEX($FO$325:$IH$396,HX$169,SwaptionMonthsToGo+SwaptionShift))))))</f>
        <v/>
      </c>
      <c r="HY241" s="663" t="str">
        <f ca="1">IF(OR(HY$169&lt;SwaptionFirstMonthPosition+1,$FN241&lt;SwaptionFirstMonthPosition+1,HY$169&gt;SwaptionFirstMonthPosition+SwaptionNumOfMonths+1,$FN241&gt;SwaptionFirstMonthPosition+SwaptionNumOfMonths+1),"",IF($FN241=HY$169,1,IF($FN241&lt;HY$169,INDEX($FO$170:$IH$241,HY$169,$FN241),SUMPRODUCT(INDEX($FO$325:$IH$396,HY$169,1+SwaptionShift):INDEX($FO$325:$IH$396,HY$169,SwaptionMonthsToGo+SwaptionShift),INDEX($FO$245:$IH$316,$FN241-HY$169,73-HY$169+SwaptionShift):INDEX($FO$245:$IH$316,$FN241-HY$169,72-HY$169+SwaptionMonthsToGo+SwaptionShift))/SQRT(SUM(INDEX($FO396:$IH396,1+SwaptionShift):INDEX($FO396:$IH396,SwaptionMonthsToGo+SwaptionShift))*SUM(INDEX($FO$325:$IH$396,HY$169,1+SwaptionShift):INDEX($FO$325:$IH$396,HY$169,SwaptionMonthsToGo+SwaptionShift))))))</f>
        <v/>
      </c>
      <c r="HZ241" s="663" t="str">
        <f ca="1">IF(OR(HZ$169&lt;SwaptionFirstMonthPosition+1,$FN241&lt;SwaptionFirstMonthPosition+1,HZ$169&gt;SwaptionFirstMonthPosition+SwaptionNumOfMonths+1,$FN241&gt;SwaptionFirstMonthPosition+SwaptionNumOfMonths+1),"",IF($FN241=HZ$169,1,IF($FN241&lt;HZ$169,INDEX($FO$170:$IH$241,HZ$169,$FN241),SUMPRODUCT(INDEX($FO$325:$IH$396,HZ$169,1+SwaptionShift):INDEX($FO$325:$IH$396,HZ$169,SwaptionMonthsToGo+SwaptionShift),INDEX($FO$245:$IH$316,$FN241-HZ$169,73-HZ$169+SwaptionShift):INDEX($FO$245:$IH$316,$FN241-HZ$169,72-HZ$169+SwaptionMonthsToGo+SwaptionShift))/SQRT(SUM(INDEX($FO396:$IH396,1+SwaptionShift):INDEX($FO396:$IH396,SwaptionMonthsToGo+SwaptionShift))*SUM(INDEX($FO$325:$IH$396,HZ$169,1+SwaptionShift):INDEX($FO$325:$IH$396,HZ$169,SwaptionMonthsToGo+SwaptionShift))))))</f>
        <v/>
      </c>
      <c r="IA241" s="663" t="str">
        <f ca="1">IF(OR(IA$169&lt;SwaptionFirstMonthPosition+1,$FN241&lt;SwaptionFirstMonthPosition+1,IA$169&gt;SwaptionFirstMonthPosition+SwaptionNumOfMonths+1,$FN241&gt;SwaptionFirstMonthPosition+SwaptionNumOfMonths+1),"",IF($FN241=IA$169,1,IF($FN241&lt;IA$169,INDEX($FO$170:$IH$241,IA$169,$FN241),SUMPRODUCT(INDEX($FO$325:$IH$396,IA$169,1+SwaptionShift):INDEX($FO$325:$IH$396,IA$169,SwaptionMonthsToGo+SwaptionShift),INDEX($FO$245:$IH$316,$FN241-IA$169,73-IA$169+SwaptionShift):INDEX($FO$245:$IH$316,$FN241-IA$169,72-IA$169+SwaptionMonthsToGo+SwaptionShift))/SQRT(SUM(INDEX($FO396:$IH396,1+SwaptionShift):INDEX($FO396:$IH396,SwaptionMonthsToGo+SwaptionShift))*SUM(INDEX($FO$325:$IH$396,IA$169,1+SwaptionShift):INDEX($FO$325:$IH$396,IA$169,SwaptionMonthsToGo+SwaptionShift))))))</f>
        <v/>
      </c>
      <c r="IB241" s="663" t="str">
        <f ca="1">IF(OR(IB$169&lt;SwaptionFirstMonthPosition+1,$FN241&lt;SwaptionFirstMonthPosition+1,IB$169&gt;SwaptionFirstMonthPosition+SwaptionNumOfMonths+1,$FN241&gt;SwaptionFirstMonthPosition+SwaptionNumOfMonths+1),"",IF($FN241=IB$169,1,IF($FN241&lt;IB$169,INDEX($FO$170:$IH$241,IB$169,$FN241),SUMPRODUCT(INDEX($FO$325:$IH$396,IB$169,1+SwaptionShift):INDEX($FO$325:$IH$396,IB$169,SwaptionMonthsToGo+SwaptionShift),INDEX($FO$245:$IH$316,$FN241-IB$169,73-IB$169+SwaptionShift):INDEX($FO$245:$IH$316,$FN241-IB$169,72-IB$169+SwaptionMonthsToGo+SwaptionShift))/SQRT(SUM(INDEX($FO396:$IH396,1+SwaptionShift):INDEX($FO396:$IH396,SwaptionMonthsToGo+SwaptionShift))*SUM(INDEX($FO$325:$IH$396,IB$169,1+SwaptionShift):INDEX($FO$325:$IH$396,IB$169,SwaptionMonthsToGo+SwaptionShift))))))</f>
        <v/>
      </c>
      <c r="IC241" s="663" t="str">
        <f ca="1">IF(OR(IC$169&lt;SwaptionFirstMonthPosition+1,$FN241&lt;SwaptionFirstMonthPosition+1,IC$169&gt;SwaptionFirstMonthPosition+SwaptionNumOfMonths+1,$FN241&gt;SwaptionFirstMonthPosition+SwaptionNumOfMonths+1),"",IF($FN241=IC$169,1,IF($FN241&lt;IC$169,INDEX($FO$170:$IH$241,IC$169,$FN241),SUMPRODUCT(INDEX($FO$325:$IH$396,IC$169,1+SwaptionShift):INDEX($FO$325:$IH$396,IC$169,SwaptionMonthsToGo+SwaptionShift),INDEX($FO$245:$IH$316,$FN241-IC$169,73-IC$169+SwaptionShift):INDEX($FO$245:$IH$316,$FN241-IC$169,72-IC$169+SwaptionMonthsToGo+SwaptionShift))/SQRT(SUM(INDEX($FO396:$IH396,1+SwaptionShift):INDEX($FO396:$IH396,SwaptionMonthsToGo+SwaptionShift))*SUM(INDEX($FO$325:$IH$396,IC$169,1+SwaptionShift):INDEX($FO$325:$IH$396,IC$169,SwaptionMonthsToGo+SwaptionShift))))))</f>
        <v/>
      </c>
      <c r="ID241" s="663" t="str">
        <f ca="1">IF(OR(ID$169&lt;SwaptionFirstMonthPosition+1,$FN241&lt;SwaptionFirstMonthPosition+1,ID$169&gt;SwaptionFirstMonthPosition+SwaptionNumOfMonths+1,$FN241&gt;SwaptionFirstMonthPosition+SwaptionNumOfMonths+1),"",IF($FN241=ID$169,1,IF($FN241&lt;ID$169,INDEX($FO$170:$IH$241,ID$169,$FN241),SUMPRODUCT(INDEX($FO$325:$IH$396,ID$169,1+SwaptionShift):INDEX($FO$325:$IH$396,ID$169,SwaptionMonthsToGo+SwaptionShift),INDEX($FO$245:$IH$316,$FN241-ID$169,73-ID$169+SwaptionShift):INDEX($FO$245:$IH$316,$FN241-ID$169,72-ID$169+SwaptionMonthsToGo+SwaptionShift))/SQRT(SUM(INDEX($FO396:$IH396,1+SwaptionShift):INDEX($FO396:$IH396,SwaptionMonthsToGo+SwaptionShift))*SUM(INDEX($FO$325:$IH$396,ID$169,1+SwaptionShift):INDEX($FO$325:$IH$396,ID$169,SwaptionMonthsToGo+SwaptionShift))))))</f>
        <v/>
      </c>
      <c r="IE241" s="663" t="str">
        <f ca="1">IF(OR(IE$169&lt;SwaptionFirstMonthPosition+1,$FN241&lt;SwaptionFirstMonthPosition+1,IE$169&gt;SwaptionFirstMonthPosition+SwaptionNumOfMonths+1,$FN241&gt;SwaptionFirstMonthPosition+SwaptionNumOfMonths+1),"",IF($FN241=IE$169,1,IF($FN241&lt;IE$169,INDEX($FO$170:$IH$241,IE$169,$FN241),SUMPRODUCT(INDEX($FO$325:$IH$396,IE$169,1+SwaptionShift):INDEX($FO$325:$IH$396,IE$169,SwaptionMonthsToGo+SwaptionShift),INDEX($FO$245:$IH$316,$FN241-IE$169,73-IE$169+SwaptionShift):INDEX($FO$245:$IH$316,$FN241-IE$169,72-IE$169+SwaptionMonthsToGo+SwaptionShift))/SQRT(SUM(INDEX($FO396:$IH396,1+SwaptionShift):INDEX($FO396:$IH396,SwaptionMonthsToGo+SwaptionShift))*SUM(INDEX($FO$325:$IH$396,IE$169,1+SwaptionShift):INDEX($FO$325:$IH$396,IE$169,SwaptionMonthsToGo+SwaptionShift))))))</f>
        <v/>
      </c>
      <c r="IF241" s="663" t="str">
        <f ca="1">IF(OR(IF$169&lt;SwaptionFirstMonthPosition+1,$FN241&lt;SwaptionFirstMonthPosition+1,IF$169&gt;SwaptionFirstMonthPosition+SwaptionNumOfMonths+1,$FN241&gt;SwaptionFirstMonthPosition+SwaptionNumOfMonths+1),"",IF($FN241=IF$169,1,IF($FN241&lt;IF$169,INDEX($FO$170:$IH$241,IF$169,$FN241),SUMPRODUCT(INDEX($FO$325:$IH$396,IF$169,1+SwaptionShift):INDEX($FO$325:$IH$396,IF$169,SwaptionMonthsToGo+SwaptionShift),INDEX($FO$245:$IH$316,$FN241-IF$169,73-IF$169+SwaptionShift):INDEX($FO$245:$IH$316,$FN241-IF$169,72-IF$169+SwaptionMonthsToGo+SwaptionShift))/SQRT(SUM(INDEX($FO396:$IH396,1+SwaptionShift):INDEX($FO396:$IH396,SwaptionMonthsToGo+SwaptionShift))*SUM(INDEX($FO$325:$IH$396,IF$169,1+SwaptionShift):INDEX($FO$325:$IH$396,IF$169,SwaptionMonthsToGo+SwaptionShift))))))</f>
        <v/>
      </c>
      <c r="IG241" s="663" t="str">
        <f ca="1">IF(OR(IG$169&lt;SwaptionFirstMonthPosition+1,$FN241&lt;SwaptionFirstMonthPosition+1,IG$169&gt;SwaptionFirstMonthPosition+SwaptionNumOfMonths+1,$FN241&gt;SwaptionFirstMonthPosition+SwaptionNumOfMonths+1),"",IF($FN241=IG$169,1,IF($FN241&lt;IG$169,INDEX($FO$170:$IH$241,IG$169,$FN241),SUMPRODUCT(INDEX($FO$325:$IH$396,IG$169,1+SwaptionShift):INDEX($FO$325:$IH$396,IG$169,SwaptionMonthsToGo+SwaptionShift),INDEX($FO$245:$IH$316,$FN241-IG$169,73-IG$169+SwaptionShift):INDEX($FO$245:$IH$316,$FN241-IG$169,72-IG$169+SwaptionMonthsToGo+SwaptionShift))/SQRT(SUM(INDEX($FO396:$IH396,1+SwaptionShift):INDEX($FO396:$IH396,SwaptionMonthsToGo+SwaptionShift))*SUM(INDEX($FO$325:$IH$396,IG$169,1+SwaptionShift):INDEX($FO$325:$IH$396,IG$169,SwaptionMonthsToGo+SwaptionShift))))))</f>
        <v/>
      </c>
      <c r="IH241" s="664" t="str">
        <f ca="1">IF(OR(IH$169&lt;SwaptionFirstMonthPosition+1,$FN241&lt;SwaptionFirstMonthPosition+1,IH$169&gt;SwaptionFirstMonthPosition+SwaptionNumOfMonths+1,$FN241&gt;SwaptionFirstMonthPosition+SwaptionNumOfMonths+1),"",IF($FN241=IH$169,1,IF($FN241&lt;IH$169,INDEX($FO$170:$IH$241,IH$169,$FN241),SUMPRODUCT(INDEX($FO$325:$IH$396,IH$169,1+SwaptionShift):INDEX($FO$325:$IH$396,IH$169,SwaptionMonthsToGo+SwaptionShift),INDEX($FO$245:$IH$316,$FN241-IH$169,73-IH$169+SwaptionShift):INDEX($FO$245:$IH$316,$FN241-IH$169,72-IH$169+SwaptionMonthsToGo+SwaptionShift))/SQRT(SUM(INDEX($FO396:$IH396,1+SwaptionShift):INDEX($FO396:$IH396,SwaptionMonthsToGo+SwaptionShift))*SUM(INDEX($FO$325:$IH$396,IH$169,1+SwaptionShift):INDEX($FO$325:$IH$396,IH$169,SwaptionMonthsToGo+SwaptionShift))))))</f>
        <v/>
      </c>
      <c r="II241" s="242"/>
    </row>
    <row r="242" spans="8:243">
      <c r="H242" s="49" t="e">
        <f t="shared" ca="1" si="645"/>
        <v>#N/A</v>
      </c>
      <c r="I242" s="369">
        <f t="shared" si="646"/>
        <v>43770</v>
      </c>
      <c r="J242" s="367">
        <v>24.934999999999796</v>
      </c>
      <c r="K242" s="101" t="s">
        <v>267</v>
      </c>
      <c r="L242" s="382">
        <f t="shared" si="647"/>
        <v>24.934999999999814</v>
      </c>
      <c r="M242" s="163">
        <v>0.12230000000000001</v>
      </c>
      <c r="N242" s="372">
        <v>0</v>
      </c>
      <c r="O242" s="163">
        <f t="shared" si="595"/>
        <v>0.12230000000000001</v>
      </c>
      <c r="P242" s="367">
        <v>23.679306466715801</v>
      </c>
      <c r="Q242" s="101" t="s">
        <v>267</v>
      </c>
      <c r="R242" s="367">
        <f t="shared" ca="1" si="596"/>
        <v>23.679306466715801</v>
      </c>
      <c r="S242" s="814">
        <f t="shared" si="594"/>
        <v>0.34542435382538589</v>
      </c>
      <c r="T242" s="813">
        <f t="shared" si="660"/>
        <v>0.99999999999457634</v>
      </c>
      <c r="U242" s="532">
        <f t="shared" si="661"/>
        <v>0.99999999999999978</v>
      </c>
      <c r="V242" s="379">
        <v>0</v>
      </c>
      <c r="W242" s="424">
        <f t="shared" si="597"/>
        <v>24.968333333333128</v>
      </c>
      <c r="X242" s="405">
        <f t="shared" si="598"/>
        <v>24.968333333333145</v>
      </c>
      <c r="Y242" s="313">
        <f t="shared" si="599"/>
        <v>23.726733333333129</v>
      </c>
      <c r="Z242" s="313">
        <f t="shared" ca="1" si="600"/>
        <v>23.726733333333144</v>
      </c>
      <c r="AA242" s="419">
        <f t="shared" si="623"/>
        <v>1.2416</v>
      </c>
      <c r="AB242" s="423">
        <f t="shared" ca="1" si="624"/>
        <v>1.2416</v>
      </c>
      <c r="AC242" s="221">
        <v>43758</v>
      </c>
      <c r="AD242" s="221">
        <v>43754</v>
      </c>
      <c r="AE242" s="221">
        <v>43753</v>
      </c>
      <c r="AF242" s="221">
        <v>43749</v>
      </c>
      <c r="AG242" s="241" t="s">
        <v>497</v>
      </c>
      <c r="AH242" s="239" t="s">
        <v>497</v>
      </c>
      <c r="AI242" s="141">
        <v>21</v>
      </c>
      <c r="AJ242" s="41">
        <v>14</v>
      </c>
      <c r="AK242" s="41">
        <v>7</v>
      </c>
      <c r="AL242" s="285">
        <v>21</v>
      </c>
      <c r="AM242" s="41">
        <v>10</v>
      </c>
      <c r="AN242" s="142">
        <v>11</v>
      </c>
      <c r="AO242" s="364">
        <v>6.3861376227038594E-2</v>
      </c>
      <c r="AP242" s="145">
        <f t="shared" ca="1" si="648"/>
        <v>0.30977973689224125</v>
      </c>
      <c r="AQ242" s="364">
        <v>6.0411764331668401E-2</v>
      </c>
      <c r="AR242" s="145">
        <f t="shared" ca="1" si="662"/>
        <v>0.33214256506272188</v>
      </c>
      <c r="AS242" s="264">
        <f t="shared" si="601"/>
        <v>0.12176666666666668</v>
      </c>
      <c r="AT242" s="149">
        <f t="shared" si="649"/>
        <v>0.12230000000000001</v>
      </c>
      <c r="AU242" s="149">
        <f t="shared" si="625"/>
        <v>0.12169047619047621</v>
      </c>
      <c r="AV242" s="263">
        <f t="shared" ca="1" si="669"/>
        <v>0.1203842292094017</v>
      </c>
      <c r="AW242" s="150" t="str">
        <f t="shared" ca="1" si="581"/>
        <v/>
      </c>
      <c r="AX242" s="149">
        <f t="shared" ca="1" si="663"/>
        <v>2.8268558581355146E-3</v>
      </c>
      <c r="AY242" s="149">
        <f t="shared" ca="1" si="664"/>
        <v>8.2823342406228805E-4</v>
      </c>
      <c r="AZ242" s="149">
        <f t="shared" ca="1" si="665"/>
        <v>1.0979338889004207E-3</v>
      </c>
      <c r="BA242" s="149">
        <f t="shared" ca="1" si="666"/>
        <v>1.0000000000001211E-4</v>
      </c>
      <c r="BB242" s="149">
        <f t="shared" ca="1" si="667"/>
        <v>1.0000000000001211E-4</v>
      </c>
      <c r="BC242" s="149">
        <f t="shared" ca="1" si="668"/>
        <v>1.0000000000001211E-4</v>
      </c>
      <c r="BD242" s="143">
        <f t="shared" ca="1" si="602"/>
        <v>0</v>
      </c>
      <c r="BE242" s="144">
        <f t="shared" ca="1" si="603"/>
        <v>0</v>
      </c>
      <c r="BF242" s="40">
        <f t="shared" si="604"/>
        <v>2019</v>
      </c>
      <c r="BG242" s="139">
        <f t="shared" si="605"/>
        <v>11</v>
      </c>
      <c r="BH242" s="140">
        <f t="shared" ca="1" si="606"/>
        <v>6764</v>
      </c>
      <c r="BI242" s="304">
        <f t="shared" ca="1" si="607"/>
        <v>18.562628336755647</v>
      </c>
      <c r="BJ242" s="42">
        <f t="shared" ca="1" si="626"/>
        <v>18.6155601186402</v>
      </c>
      <c r="BK242" s="42">
        <f t="shared" ca="1" si="627"/>
        <v>18.618297969427331</v>
      </c>
      <c r="BL242" s="42">
        <f t="shared" ca="1" si="608"/>
        <v>18.642026009582477</v>
      </c>
      <c r="BM242" s="285">
        <f t="shared" si="609"/>
        <v>21</v>
      </c>
      <c r="BN242" s="41">
        <f t="shared" si="610"/>
        <v>14</v>
      </c>
      <c r="BO242" s="41">
        <f t="shared" si="611"/>
        <v>7</v>
      </c>
      <c r="BP242" s="297" t="str">
        <f t="shared" ca="1" si="628"/>
        <v/>
      </c>
      <c r="BQ242" s="297" t="str">
        <f t="shared" ca="1" si="629"/>
        <v/>
      </c>
      <c r="BR242" s="299" t="str">
        <f t="shared" ca="1" si="630"/>
        <v/>
      </c>
      <c r="BS242" s="153" t="str">
        <f t="shared" ca="1" si="631"/>
        <v/>
      </c>
      <c r="BT242" s="153" t="str">
        <f t="shared" ca="1" si="632"/>
        <v/>
      </c>
      <c r="BU242" s="300" t="str">
        <f t="shared" ca="1" si="633"/>
        <v/>
      </c>
      <c r="BV242" s="301" t="str">
        <f t="shared" ca="1" si="634"/>
        <v/>
      </c>
      <c r="BW242" s="300" t="str">
        <f t="shared" ca="1" si="635"/>
        <v/>
      </c>
      <c r="BX242" s="301" t="str">
        <f t="shared" ca="1" si="636"/>
        <v/>
      </c>
      <c r="BY242" s="146" t="str">
        <f t="shared" ca="1" si="637"/>
        <v/>
      </c>
      <c r="BZ242" s="146" t="str">
        <f t="shared" ca="1" si="638"/>
        <v/>
      </c>
      <c r="CA242" s="146" t="str">
        <f t="shared" ca="1" si="639"/>
        <v/>
      </c>
      <c r="CB242" s="146" t="str">
        <f t="shared" ca="1" si="640"/>
        <v/>
      </c>
      <c r="CC242" s="302">
        <v>1</v>
      </c>
      <c r="CD242" s="154">
        <f ca="1">IF(BD242,_xll.xCrudeAPO(BS242,BT242,BY242,BZ242,S243,S244,BI242,BL242,BN242,BO242,0,Strike1,AO242,CC242,0,BL242,IF(OptControl=4,0,1),0,1),0)</f>
        <v>0</v>
      </c>
      <c r="CE242" s="155">
        <f ca="1">IF(BD242,_xll.xCrudeAPO(BS242,BT242,BY242,BZ242,S243,S244,BI242,BL242,BN242,BO242,0,Strike1,AO242,CC242,0,BL242,IF(OptControl=4,0,1),1,1)+_xll.xCrudeAPO(BS242,BT242,BY242,BZ242,S243,S244,BI242,BL242,BN242,BO242,0,Strike1,AO242,CC242,0,BL242,IF(OptControl=4,0,1),1,2)+IF(OR(VolSkewFlag=2,ABS(BQ242)&lt;0.0001),0,IF(BQ242&gt;0,-1,1)*CF242*Strike1/BP242^2*BW242/10%),0)</f>
        <v>0</v>
      </c>
      <c r="CF242" s="155">
        <f ca="1">IF(BD242,(_xll.xCrudeAPO(BS242,BT242,BY242,BZ242,S243,S244,BI242,BL242,BN242,BO242,0,Strike1,AO242,CC242,0,BL242,IF(OptControl=4,0,1),3,1)+_xll.xCrudeAPO(BS242,BT242,BY242,BZ242,S243,S244,BI242,BL242,BN242,BO242,0,Strike1,AO242,CC242,0,BL242,IF(OptControl=4,0,1),3,2))/100,0)</f>
        <v>0</v>
      </c>
      <c r="CG242" s="155">
        <f ca="1">IF(BD242,_xll.xCrudeAPO(BS242,BT242,BY242,BZ242,S243,S244,BI242-DaysForThetaCalculation/365.25,BL242-DaysForThetaCalculation/365.25,BN242,BO242,0,Strike1,AO242,CC242,0,BL242,IF(OptControl=4,0,1),0,1)-_xll.xCrudeAPO(BS242,BT242,BY242,BZ242,S243,S244,BI242,BL242,BN242,BO242,0,Strike1,AO242,CC242,0,BL242,IF(OptControl=4,0,1),0,1),0)</f>
        <v>0</v>
      </c>
      <c r="CH242" s="303">
        <f ca="1">IF(BD242,_xll.xCrudeAPO(BS242,BT242,CA242,CB242,S243,S244,BI242,BL242,BN242,BO242,0,Strike2,AO242,CC242,0,BL242,IF(OptControl=3,1,0),0,1),0)</f>
        <v>0</v>
      </c>
      <c r="CI242" s="155">
        <f ca="1">IF(BD242,_xll.xCrudeAPO(BS242,BT242,CA242,CB242,S243,S244,BI242,BL242,BN242,BO242,0,Strike2,AO242,CC242,0,BL242,IF(OptControl=3,1,0),1,1)+_xll.xCrudeAPO(BS242,BT242,CA242,CB242,S243,S244,BI242,BL242,BN242,BO242,0,Strike2,AO242,CC242,0,BL242,IF(OptControl=3,1,0),1,2)+IF(OR(VolSkewFlag=2,ABS(BR242)&lt;0.0001),0,IF(BR242&gt;0,-1,1)*CJ242*Strike2/BP242^2*BX242/10%),0)</f>
        <v>0</v>
      </c>
      <c r="CJ242" s="155">
        <f ca="1">IF(BD242,(_xll.xCrudeAPO(BS242,BT242,CA242,CB242,S243,S244,BI242,BL242,BN242,BO242,0,Strike2,AO242,CC242,0,BL242,IF(OptControl=3,1,0),3,1)+_xll.xCrudeAPO(BS242,BT242,CA242,CB242,S243,S244,BI242,BL242,BN242,BO242,0,Strike2,AO242,CC242,0,BL242,IF(OptControl=3,1,0),3,2))/100,0)</f>
        <v>0</v>
      </c>
      <c r="CK242" s="156">
        <f ca="1">IF(BD242,_xll.xCrudeAPO(BS242,BT242,CA242,CB242,S243,S244,BI242-DaysForThetaCalculation/365.25,BL242-DaysForThetaCalculation/365.25,BN242,BO242,0,Strike2,AO242,CC242,0,BL242,IF(OptControl=3,1,0),0,1)-_xll.xCrudeAPO(BS242,BT242,CA242,CB242,S243,S244,BI242,BL242,BN242,BO242,0,Strike2,AO242,CC242,0,BL242,IF(OptControl=3,1,0),0,1),0)</f>
        <v>0</v>
      </c>
      <c r="CL242" s="51"/>
      <c r="CM242" s="779" t="str">
        <f t="shared" ca="1" si="650"/>
        <v/>
      </c>
      <c r="CN242" s="783" t="str">
        <f t="shared" ca="1" si="651"/>
        <v/>
      </c>
      <c r="CO242" s="780" t="str">
        <f t="shared" ca="1" si="652"/>
        <v/>
      </c>
      <c r="CP242" s="780" t="str">
        <f t="shared" ca="1" si="653"/>
        <v/>
      </c>
      <c r="CQ242" s="780" t="str">
        <f t="shared" ca="1" si="654"/>
        <v/>
      </c>
      <c r="CR242" s="780" t="str">
        <f t="shared" ca="1" si="655"/>
        <v/>
      </c>
      <c r="CS242" s="781" t="str">
        <f t="shared" ca="1" si="656"/>
        <v/>
      </c>
      <c r="CT242" s="782" t="str">
        <f t="shared" ca="1" si="657"/>
        <v/>
      </c>
      <c r="CU242" s="782" t="str">
        <f t="shared" ca="1" si="658"/>
        <v/>
      </c>
      <c r="CV242" s="155">
        <f ca="1">IF(BD242,_xll.EURO(CN242,Strike1,AO242,AO242,CT242,CM242,IF(OptControl=4,0,1),0),0)</f>
        <v>0</v>
      </c>
      <c r="CW242" s="155">
        <f ca="1">IF(BD242,_xll.EURO(CN242,Strike1,AO242,AO242,CT242,CM242,IF(OptControl=4,0,1),1)+IF(OR(VolSkewFlag=2,ABS(CO242)&lt;0.0001),0,IF(CO242&gt;0,-1,1)*CX242*100*Strike1/CN242^2*CQ242/10%),0)</f>
        <v>0</v>
      </c>
      <c r="CX242" s="155">
        <f ca="1">IF(BD242,_xll.EURO(CN242,Strike1,AO242,AO242,CT242,CM242,IF(OptControl=4,0,1),3)/100,0)</f>
        <v>0</v>
      </c>
      <c r="CY242" s="155">
        <f ca="1">IF(BD242,_xll.EURO(CN242,Strike1,AO242,AO242,CT242,CM242,IF(OptControl=4,0,1),0)-_xll.EURO(CN242,Strike1,AO242,AO242,CT242,CM242-1,IF(OptControl=4,0,1),0),0)</f>
        <v>0</v>
      </c>
      <c r="CZ242" s="155">
        <f ca="1">IF(BD242,_xll.EURO(CN242,Strike2,AO242,AO242,CU242,CM242,IF(OptControl=3,1,0),0),0)</f>
        <v>0</v>
      </c>
      <c r="DA242" s="155">
        <f ca="1">IF(BD242,_xll.EURO(CN242,Strike2,AO242,AO242,CU242,CM242,IF(OptControl=3,1,0),1)+IF(OR(VolSkewFlag=2,ABS(CP242)&lt;0.0001),0,IF(CP242&gt;0,-1,1)*DB242*100*Strike2/CN242^2*CR242/10%),0)</f>
        <v>0</v>
      </c>
      <c r="DB242" s="155">
        <f ca="1">IF(BD242,_xll.EURO(CN242,Strike2,AO242,AO242,CU242,CM242,IF(OptControl=3,1,0),3)/100,0)</f>
        <v>0</v>
      </c>
      <c r="DC242" s="156">
        <f ca="1">IF(BD242,_xll.EURO(CN242,Strike2,AO242,AO242,CU242,CM242,IF(OptControl=3,1,0),0)-_xll.EURO(CN242,Strike2,AO242,AO242,CU242,CM242-1,IF(OptControl=3,1,0),0),0)</f>
        <v>0</v>
      </c>
      <c r="DE242" s="651">
        <f t="shared" ca="1" si="659"/>
        <v>43678</v>
      </c>
      <c r="DF242" s="465">
        <v>1E-4</v>
      </c>
      <c r="DG242" s="649">
        <v>1E-4</v>
      </c>
      <c r="DH242" s="650">
        <f t="shared" ca="1" si="612"/>
        <v>43678</v>
      </c>
      <c r="DI242" s="465">
        <v>1E-4</v>
      </c>
      <c r="DJ242" s="649">
        <v>1E-4</v>
      </c>
      <c r="DK242" s="651">
        <f t="shared" ca="1" si="613"/>
        <v>43678</v>
      </c>
      <c r="DL242" s="652">
        <f t="shared" si="614"/>
        <v>5.0100000000000006E-2</v>
      </c>
      <c r="DM242" s="651">
        <f t="shared" ca="1" si="615"/>
        <v>43678</v>
      </c>
      <c r="DN242" s="563">
        <f t="shared" si="616"/>
        <v>-0.12990000000000002</v>
      </c>
      <c r="DO242" s="803">
        <v>-0.13</v>
      </c>
      <c r="DP242" s="650">
        <f t="shared" ca="1" si="617"/>
        <v>43678</v>
      </c>
      <c r="DQ242" s="653">
        <v>1E-4</v>
      </c>
      <c r="DR242" s="590">
        <v>1E-4</v>
      </c>
      <c r="DS242" s="650">
        <f t="shared" ca="1" si="618"/>
        <v>43678</v>
      </c>
      <c r="DT242" s="653">
        <v>1E-4</v>
      </c>
      <c r="DU242" s="590">
        <v>1E-4</v>
      </c>
      <c r="DV242" s="651">
        <f t="shared" ca="1" si="619"/>
        <v>43678</v>
      </c>
      <c r="DW242" s="590">
        <v>1E-4</v>
      </c>
      <c r="DX242" s="651">
        <f t="shared" ca="1" si="620"/>
        <v>43678</v>
      </c>
      <c r="DY242" s="590">
        <f t="shared" si="621"/>
        <v>1E-4</v>
      </c>
      <c r="DZ242" s="1"/>
      <c r="EA242" s="857"/>
      <c r="EB242" s="857"/>
      <c r="EC242" s="857"/>
      <c r="ED242" s="868" t="e">
        <f t="shared" ca="1" si="670"/>
        <v>#NAME?</v>
      </c>
      <c r="EE242" s="863" t="e">
        <f t="shared" ca="1" si="641"/>
        <v>#NAME?</v>
      </c>
      <c r="EF242" s="590" t="e">
        <f t="shared" ca="1" si="642"/>
        <v>#NAME?</v>
      </c>
      <c r="EG242" s="862" t="str">
        <f t="shared" ca="1" si="622"/>
        <v/>
      </c>
      <c r="EH242" s="114" t="str">
        <f t="shared" ca="1" si="643"/>
        <v/>
      </c>
      <c r="EI242" s="109" t="str">
        <f t="shared" ca="1" si="644"/>
        <v/>
      </c>
      <c r="EJ242" s="115">
        <f ca="1">IF(BD242,_xll.xASN(BP242,Strike1,AO242,EH242,0,BM242,0,BI242,BL242,IF(OptControl=4,0,1),0),0)</f>
        <v>0</v>
      </c>
      <c r="EK242" s="108">
        <f ca="1">IF(BD242,_xll.xASN(BP242,Strike2,AO242,EI242,0,BM242,0,BI242,BL242,IF(OptControl=3,1,0),0),0)</f>
        <v>0</v>
      </c>
      <c r="EP242" s="53"/>
      <c r="EQ242" s="1"/>
      <c r="ER242" s="103"/>
      <c r="ES242" s="103"/>
      <c r="ET242" s="1"/>
      <c r="EU242" s="667" t="s">
        <v>455</v>
      </c>
      <c r="EW242" s="53"/>
      <c r="EY242" s="104"/>
      <c r="FN242" s="242"/>
      <c r="FO242" s="242"/>
      <c r="FP242" s="242"/>
      <c r="FQ242" s="450"/>
      <c r="FR242" s="242"/>
      <c r="FS242" s="242"/>
      <c r="FT242" s="242"/>
      <c r="FU242" s="242"/>
      <c r="FV242" s="242"/>
      <c r="FW242" s="242"/>
      <c r="FX242" s="242"/>
      <c r="FY242" s="242"/>
      <c r="FZ242" s="242"/>
      <c r="GA242" s="242"/>
      <c r="GB242" s="242"/>
      <c r="GC242" s="242"/>
      <c r="GD242" s="242"/>
      <c r="GE242" s="242"/>
      <c r="GF242" s="242"/>
      <c r="GG242" s="242"/>
      <c r="GH242" s="242"/>
      <c r="GI242" s="242"/>
      <c r="GJ242" s="242"/>
      <c r="GK242" s="242"/>
      <c r="GL242" s="242"/>
      <c r="GM242" s="242"/>
      <c r="GN242" s="242"/>
      <c r="GO242" s="242"/>
      <c r="GP242" s="242"/>
      <c r="GQ242" s="242"/>
      <c r="GR242" s="242"/>
      <c r="GS242" s="242"/>
      <c r="GT242" s="242"/>
      <c r="GU242" s="242"/>
      <c r="GV242" s="242"/>
      <c r="GW242" s="242"/>
      <c r="GX242" s="242"/>
      <c r="GY242" s="242"/>
      <c r="GZ242" s="242"/>
      <c r="HA242" s="242"/>
      <c r="HB242" s="242"/>
      <c r="HC242" s="242"/>
      <c r="HD242" s="242"/>
      <c r="HE242" s="242"/>
      <c r="HF242" s="242"/>
      <c r="HG242" s="242"/>
      <c r="HH242" s="242"/>
      <c r="HI242" s="242"/>
      <c r="HJ242" s="242"/>
      <c r="HK242" s="242"/>
      <c r="HL242" s="242"/>
      <c r="HM242" s="242"/>
      <c r="HN242" s="242"/>
      <c r="HO242" s="242"/>
      <c r="HP242" s="242"/>
      <c r="HQ242" s="242"/>
      <c r="HR242" s="242"/>
      <c r="HS242" s="242"/>
      <c r="HT242" s="242"/>
      <c r="HU242" s="242"/>
      <c r="HV242" s="242"/>
      <c r="HW242" s="242"/>
      <c r="HX242" s="242"/>
      <c r="HY242" s="242"/>
      <c r="HZ242" s="242"/>
      <c r="IA242" s="242"/>
      <c r="IB242" s="242"/>
      <c r="IC242" s="242"/>
      <c r="ID242" s="242"/>
      <c r="IE242" s="242"/>
      <c r="IF242" s="242"/>
      <c r="IG242" s="242"/>
      <c r="IH242" s="242"/>
      <c r="II242" s="242"/>
    </row>
    <row r="243" spans="8:243">
      <c r="H243" s="49" t="e">
        <f t="shared" ca="1" si="645"/>
        <v>#N/A</v>
      </c>
      <c r="I243" s="369">
        <f t="shared" si="646"/>
        <v>43800</v>
      </c>
      <c r="J243" s="367">
        <v>24.959999999999798</v>
      </c>
      <c r="K243" s="101" t="s">
        <v>267</v>
      </c>
      <c r="L243" s="382">
        <f t="shared" si="647"/>
        <v>24.959999999999813</v>
      </c>
      <c r="M243" s="163">
        <v>0.12190000000000001</v>
      </c>
      <c r="N243" s="372">
        <v>0</v>
      </c>
      <c r="O243" s="163">
        <f t="shared" si="595"/>
        <v>0.12190000000000001</v>
      </c>
      <c r="P243" s="367">
        <v>23.721548871756699</v>
      </c>
      <c r="Q243" s="101" t="s">
        <v>267</v>
      </c>
      <c r="R243" s="367">
        <f t="shared" ca="1" si="596"/>
        <v>23.721548871756742</v>
      </c>
      <c r="S243" s="814">
        <f t="shared" si="594"/>
        <v>0.34537011028713205</v>
      </c>
      <c r="T243" s="813">
        <f t="shared" si="660"/>
        <v>0.99999999999511868</v>
      </c>
      <c r="U243" s="532">
        <f t="shared" si="661"/>
        <v>0.99999999999999978</v>
      </c>
      <c r="V243" s="379">
        <v>0</v>
      </c>
      <c r="W243" s="424">
        <f t="shared" si="597"/>
        <v>24.992142857142653</v>
      </c>
      <c r="X243" s="405">
        <f t="shared" si="598"/>
        <v>24.992142857142671</v>
      </c>
      <c r="Y243" s="313">
        <f t="shared" si="599"/>
        <v>23.750542857142655</v>
      </c>
      <c r="Z243" s="313">
        <f t="shared" ca="1" si="600"/>
        <v>23.750542857142669</v>
      </c>
      <c r="AA243" s="419">
        <f t="shared" si="623"/>
        <v>1.2416</v>
      </c>
      <c r="AB243" s="423">
        <f t="shared" ca="1" si="624"/>
        <v>1.2416</v>
      </c>
      <c r="AC243" s="221">
        <v>43789</v>
      </c>
      <c r="AD243" s="221">
        <v>43785</v>
      </c>
      <c r="AE243" s="221">
        <v>43784</v>
      </c>
      <c r="AF243" s="221">
        <v>43780</v>
      </c>
      <c r="AG243" s="241" t="s">
        <v>497</v>
      </c>
      <c r="AH243" s="239" t="s">
        <v>497</v>
      </c>
      <c r="AI243" s="141">
        <v>21</v>
      </c>
      <c r="AJ243" s="41">
        <v>15</v>
      </c>
      <c r="AK243" s="41">
        <v>6</v>
      </c>
      <c r="AL243" s="285">
        <v>21</v>
      </c>
      <c r="AM243" s="41">
        <v>10</v>
      </c>
      <c r="AN243" s="142">
        <v>11</v>
      </c>
      <c r="AO243" s="364">
        <v>6.3905236805911009E-2</v>
      </c>
      <c r="AP243" s="145">
        <f t="shared" ca="1" si="648"/>
        <v>0.30788618170475224</v>
      </c>
      <c r="AQ243" s="364">
        <v>6.0373798642456802E-2</v>
      </c>
      <c r="AR243" s="145">
        <f t="shared" ca="1" si="662"/>
        <v>0.3306956453683178</v>
      </c>
      <c r="AS243" s="264">
        <f t="shared" si="601"/>
        <v>0.12138571428571429</v>
      </c>
      <c r="AT243" s="149">
        <f t="shared" si="649"/>
        <v>0.12190000000000001</v>
      </c>
      <c r="AU243" s="149">
        <f t="shared" si="625"/>
        <v>0.12129047619047621</v>
      </c>
      <c r="AV243" s="263">
        <f t="shared" ca="1" si="669"/>
        <v>0.1199209736609565</v>
      </c>
      <c r="AW243" s="150" t="str">
        <f t="shared" ref="AW243:AW260" ca="1" si="671">IF($I243-DateToday+15&gt;=$T$8,"",IF($I243-DateToday+15&lt;$T$5,1,MATCH($I243-DateToday+15,$T$5:$T$8)))</f>
        <v/>
      </c>
      <c r="AX243" s="149">
        <f t="shared" ca="1" si="663"/>
        <v>2.7871435828522068E-3</v>
      </c>
      <c r="AY243" s="149">
        <f t="shared" ca="1" si="664"/>
        <v>8.1398294868952449E-4</v>
      </c>
      <c r="AZ243" s="149">
        <f t="shared" ca="1" si="665"/>
        <v>1.0848488119751991E-3</v>
      </c>
      <c r="BA243" s="149">
        <f t="shared" ca="1" si="666"/>
        <v>1.0000000000001219E-4</v>
      </c>
      <c r="BB243" s="149">
        <f t="shared" ca="1" si="667"/>
        <v>1.0000000000001219E-4</v>
      </c>
      <c r="BC243" s="149">
        <f t="shared" ca="1" si="668"/>
        <v>1.0000000000001219E-4</v>
      </c>
      <c r="BD243" s="143">
        <f t="shared" ca="1" si="602"/>
        <v>0</v>
      </c>
      <c r="BE243" s="144">
        <f t="shared" ca="1" si="603"/>
        <v>0</v>
      </c>
      <c r="BF243" s="40">
        <f t="shared" si="604"/>
        <v>2019</v>
      </c>
      <c r="BG243" s="139">
        <f t="shared" si="605"/>
        <v>12</v>
      </c>
      <c r="BH243" s="140">
        <f t="shared" ca="1" si="606"/>
        <v>6795</v>
      </c>
      <c r="BI243" s="304">
        <f t="shared" ca="1" si="607"/>
        <v>18.644763860369611</v>
      </c>
      <c r="BJ243" s="42">
        <f t="shared" ca="1" si="626"/>
        <v>18.703432091522441</v>
      </c>
      <c r="BK243" s="42">
        <f t="shared" ca="1" si="627"/>
        <v>18.706169942309572</v>
      </c>
      <c r="BL243" s="42">
        <f t="shared" ca="1" si="608"/>
        <v>18.726899383983572</v>
      </c>
      <c r="BM243" s="285">
        <f t="shared" si="609"/>
        <v>21</v>
      </c>
      <c r="BN243" s="41">
        <f t="shared" si="610"/>
        <v>15</v>
      </c>
      <c r="BO243" s="41">
        <f t="shared" si="611"/>
        <v>6</v>
      </c>
      <c r="BP243" s="297" t="str">
        <f t="shared" ca="1" si="628"/>
        <v/>
      </c>
      <c r="BQ243" s="297" t="str">
        <f t="shared" ca="1" si="629"/>
        <v/>
      </c>
      <c r="BR243" s="299" t="str">
        <f t="shared" ca="1" si="630"/>
        <v/>
      </c>
      <c r="BS243" s="153" t="str">
        <f t="shared" ca="1" si="631"/>
        <v/>
      </c>
      <c r="BT243" s="153" t="str">
        <f t="shared" ca="1" si="632"/>
        <v/>
      </c>
      <c r="BU243" s="300" t="str">
        <f t="shared" ca="1" si="633"/>
        <v/>
      </c>
      <c r="BV243" s="301" t="str">
        <f t="shared" ca="1" si="634"/>
        <v/>
      </c>
      <c r="BW243" s="300" t="str">
        <f t="shared" ca="1" si="635"/>
        <v/>
      </c>
      <c r="BX243" s="301" t="str">
        <f t="shared" ca="1" si="636"/>
        <v/>
      </c>
      <c r="BY243" s="146" t="str">
        <f t="shared" ca="1" si="637"/>
        <v/>
      </c>
      <c r="BZ243" s="146" t="str">
        <f t="shared" ca="1" si="638"/>
        <v/>
      </c>
      <c r="CA243" s="146" t="str">
        <f t="shared" ca="1" si="639"/>
        <v/>
      </c>
      <c r="CB243" s="146" t="str">
        <f t="shared" ca="1" si="640"/>
        <v/>
      </c>
      <c r="CC243" s="302">
        <v>1</v>
      </c>
      <c r="CD243" s="154">
        <f ca="1">IF(BD243,_xll.xCrudeAPO(BS243,BT243,BY243,BZ243,S244,S245,BI243,BL243,BN243,BO243,0,Strike1,AO243,CC243,0,BL243,IF(OptControl=4,0,1),0,1),0)</f>
        <v>0</v>
      </c>
      <c r="CE243" s="155">
        <f ca="1">IF(BD243,_xll.xCrudeAPO(BS243,BT243,BY243,BZ243,S244,S245,BI243,BL243,BN243,BO243,0,Strike1,AO243,CC243,0,BL243,IF(OptControl=4,0,1),1,1)+_xll.xCrudeAPO(BS243,BT243,BY243,BZ243,S244,S245,BI243,BL243,BN243,BO243,0,Strike1,AO243,CC243,0,BL243,IF(OptControl=4,0,1),1,2)+IF(OR(VolSkewFlag=2,ABS(BQ243)&lt;0.0001),0,IF(BQ243&gt;0,-1,1)*CF243*Strike1/BP243^2*BW243/10%),0)</f>
        <v>0</v>
      </c>
      <c r="CF243" s="155">
        <f ca="1">IF(BD243,(_xll.xCrudeAPO(BS243,BT243,BY243,BZ243,S244,S245,BI243,BL243,BN243,BO243,0,Strike1,AO243,CC243,0,BL243,IF(OptControl=4,0,1),3,1)+_xll.xCrudeAPO(BS243,BT243,BY243,BZ243,S244,S245,BI243,BL243,BN243,BO243,0,Strike1,AO243,CC243,0,BL243,IF(OptControl=4,0,1),3,2))/100,0)</f>
        <v>0</v>
      </c>
      <c r="CG243" s="155">
        <f ca="1">IF(BD243,_xll.xCrudeAPO(BS243,BT243,BY243,BZ243,S244,S245,BI243-DaysForThetaCalculation/365.25,BL243-DaysForThetaCalculation/365.25,BN243,BO243,0,Strike1,AO243,CC243,0,BL243,IF(OptControl=4,0,1),0,1)-_xll.xCrudeAPO(BS243,BT243,BY243,BZ243,S244,S245,BI243,BL243,BN243,BO243,0,Strike1,AO243,CC243,0,BL243,IF(OptControl=4,0,1),0,1),0)</f>
        <v>0</v>
      </c>
      <c r="CH243" s="303">
        <f ca="1">IF(BD243,_xll.xCrudeAPO(BS243,BT243,CA243,CB243,S244,S245,BI243,BL243,BN243,BO243,0,Strike2,AO243,CC243,0,BL243,IF(OptControl=3,1,0),0,1),0)</f>
        <v>0</v>
      </c>
      <c r="CI243" s="155">
        <f ca="1">IF(BD243,_xll.xCrudeAPO(BS243,BT243,CA243,CB243,S244,S245,BI243,BL243,BN243,BO243,0,Strike2,AO243,CC243,0,BL243,IF(OptControl=3,1,0),1,1)+_xll.xCrudeAPO(BS243,BT243,CA243,CB243,S244,S245,BI243,BL243,BN243,BO243,0,Strike2,AO243,CC243,0,BL243,IF(OptControl=3,1,0),1,2)+IF(OR(VolSkewFlag=2,ABS(BR243)&lt;0.0001),0,IF(BR243&gt;0,-1,1)*CJ243*Strike2/BP243^2*BX243/10%),0)</f>
        <v>0</v>
      </c>
      <c r="CJ243" s="155">
        <f ca="1">IF(BD243,(_xll.xCrudeAPO(BS243,BT243,CA243,CB243,S244,S245,BI243,BL243,BN243,BO243,0,Strike2,AO243,CC243,0,BL243,IF(OptControl=3,1,0),3,1)+_xll.xCrudeAPO(BS243,BT243,CA243,CB243,S244,S245,BI243,BL243,BN243,BO243,0,Strike2,AO243,CC243,0,BL243,IF(OptControl=3,1,0),3,2))/100,0)</f>
        <v>0</v>
      </c>
      <c r="CK243" s="156">
        <f ca="1">IF(BD243,_xll.xCrudeAPO(BS243,BT243,CA243,CB243,S244,S245,BI243-DaysForThetaCalculation/365.25,BL243-DaysForThetaCalculation/365.25,BN243,BO243,0,Strike2,AO243,CC243,0,BL243,IF(OptControl=3,1,0),0,1)-_xll.xCrudeAPO(BS243,BT243,CA243,CB243,S244,S245,BI243,BL243,BN243,BO243,0,Strike2,AO243,CC243,0,BL243,IF(OptControl=3,1,0),0,1),0)</f>
        <v>0</v>
      </c>
      <c r="CL243" s="51"/>
      <c r="CM243" s="779" t="str">
        <f t="shared" ca="1" si="650"/>
        <v/>
      </c>
      <c r="CN243" s="783" t="str">
        <f t="shared" ca="1" si="651"/>
        <v/>
      </c>
      <c r="CO243" s="780" t="str">
        <f t="shared" ca="1" si="652"/>
        <v/>
      </c>
      <c r="CP243" s="780" t="str">
        <f t="shared" ca="1" si="653"/>
        <v/>
      </c>
      <c r="CQ243" s="780" t="str">
        <f t="shared" ca="1" si="654"/>
        <v/>
      </c>
      <c r="CR243" s="780" t="str">
        <f t="shared" ca="1" si="655"/>
        <v/>
      </c>
      <c r="CS243" s="781" t="str">
        <f t="shared" ca="1" si="656"/>
        <v/>
      </c>
      <c r="CT243" s="782" t="str">
        <f t="shared" ca="1" si="657"/>
        <v/>
      </c>
      <c r="CU243" s="782" t="str">
        <f t="shared" ca="1" si="658"/>
        <v/>
      </c>
      <c r="CV243" s="155">
        <f ca="1">IF(BD243,_xll.EURO(CN243,Strike1,AO243,AO243,CT243,CM243,IF(OptControl=4,0,1),0),0)</f>
        <v>0</v>
      </c>
      <c r="CW243" s="155">
        <f ca="1">IF(BD243,_xll.EURO(CN243,Strike1,AO243,AO243,CT243,CM243,IF(OptControl=4,0,1),1)+IF(OR(VolSkewFlag=2,ABS(CO243)&lt;0.0001),0,IF(CO243&gt;0,-1,1)*CX243*100*Strike1/CN243^2*CQ243/10%),0)</f>
        <v>0</v>
      </c>
      <c r="CX243" s="155">
        <f ca="1">IF(BD243,_xll.EURO(CN243,Strike1,AO243,AO243,CT243,CM243,IF(OptControl=4,0,1),3)/100,0)</f>
        <v>0</v>
      </c>
      <c r="CY243" s="155">
        <f ca="1">IF(BD243,_xll.EURO(CN243,Strike1,AO243,AO243,CT243,CM243,IF(OptControl=4,0,1),0)-_xll.EURO(CN243,Strike1,AO243,AO243,CT243,CM243-1,IF(OptControl=4,0,1),0),0)</f>
        <v>0</v>
      </c>
      <c r="CZ243" s="155">
        <f ca="1">IF(BD243,_xll.EURO(CN243,Strike2,AO243,AO243,CU243,CM243,IF(OptControl=3,1,0),0),0)</f>
        <v>0</v>
      </c>
      <c r="DA243" s="155">
        <f ca="1">IF(BD243,_xll.EURO(CN243,Strike2,AO243,AO243,CU243,CM243,IF(OptControl=3,1,0),1)+IF(OR(VolSkewFlag=2,ABS(CP243)&lt;0.0001),0,IF(CP243&gt;0,-1,1)*DB243*100*Strike2/CN243^2*CR243/10%),0)</f>
        <v>0</v>
      </c>
      <c r="DB243" s="155">
        <f ca="1">IF(BD243,_xll.EURO(CN243,Strike2,AO243,AO243,CU243,CM243,IF(OptControl=3,1,0),3)/100,0)</f>
        <v>0</v>
      </c>
      <c r="DC243" s="156">
        <f ca="1">IF(BD243,_xll.EURO(CN243,Strike2,AO243,AO243,CU243,CM243,IF(OptControl=3,1,0),0)-_xll.EURO(CN243,Strike2,AO243,AO243,CU243,CM243-1,IF(OptControl=3,1,0),0),0)</f>
        <v>0</v>
      </c>
      <c r="DE243" s="651">
        <f t="shared" ca="1" si="659"/>
        <v>43709</v>
      </c>
      <c r="DF243" s="465">
        <v>1E-4</v>
      </c>
      <c r="DG243" s="649">
        <v>1E-4</v>
      </c>
      <c r="DH243" s="650">
        <f t="shared" ca="1" si="612"/>
        <v>43709</v>
      </c>
      <c r="DI243" s="465">
        <v>1E-4</v>
      </c>
      <c r="DJ243" s="649">
        <v>1E-4</v>
      </c>
      <c r="DK243" s="651">
        <f t="shared" ca="1" si="613"/>
        <v>43709</v>
      </c>
      <c r="DL243" s="652">
        <f t="shared" si="614"/>
        <v>5.0100000000000006E-2</v>
      </c>
      <c r="DM243" s="651">
        <f t="shared" ca="1" si="615"/>
        <v>43709</v>
      </c>
      <c r="DN243" s="563">
        <f t="shared" si="616"/>
        <v>-0.12990000000000002</v>
      </c>
      <c r="DO243" s="803">
        <v>-0.13</v>
      </c>
      <c r="DP243" s="650">
        <f t="shared" ca="1" si="617"/>
        <v>43709</v>
      </c>
      <c r="DQ243" s="653">
        <v>1E-4</v>
      </c>
      <c r="DR243" s="590">
        <v>1E-4</v>
      </c>
      <c r="DS243" s="650">
        <f t="shared" ca="1" si="618"/>
        <v>43709</v>
      </c>
      <c r="DT243" s="653">
        <v>1E-4</v>
      </c>
      <c r="DU243" s="590">
        <v>1E-4</v>
      </c>
      <c r="DV243" s="651">
        <f t="shared" ca="1" si="619"/>
        <v>43709</v>
      </c>
      <c r="DW243" s="590">
        <v>1E-4</v>
      </c>
      <c r="DX243" s="651">
        <f t="shared" ca="1" si="620"/>
        <v>43709</v>
      </c>
      <c r="DY243" s="590">
        <f t="shared" si="621"/>
        <v>1E-4</v>
      </c>
      <c r="DZ243" s="1"/>
      <c r="EA243" s="857"/>
      <c r="EB243" s="857"/>
      <c r="EC243" s="857"/>
      <c r="ED243" s="868" t="e">
        <f t="shared" ca="1" si="670"/>
        <v>#NAME?</v>
      </c>
      <c r="EE243" s="863" t="e">
        <f t="shared" ca="1" si="641"/>
        <v>#NAME?</v>
      </c>
      <c r="EF243" s="590" t="e">
        <f t="shared" ca="1" si="642"/>
        <v>#NAME?</v>
      </c>
      <c r="EG243" s="862" t="str">
        <f t="shared" ca="1" si="622"/>
        <v/>
      </c>
      <c r="EH243" s="114" t="str">
        <f t="shared" ca="1" si="643"/>
        <v/>
      </c>
      <c r="EI243" s="109" t="str">
        <f t="shared" ca="1" si="644"/>
        <v/>
      </c>
      <c r="EJ243" s="115">
        <f ca="1">IF(BD243,_xll.xASN(BP243,Strike1,AO243,EH243,0,BM243,0,BI243,BL243,IF(OptControl=4,0,1),0),0)</f>
        <v>0</v>
      </c>
      <c r="EK243" s="108">
        <f ca="1">IF(BD243,_xll.xASN(BP243,Strike2,AO243,EI243,0,BM243,0,BI243,BL243,IF(OptControl=3,1,0),0),0)</f>
        <v>0</v>
      </c>
      <c r="EP243" s="53"/>
      <c r="EQ243" s="1"/>
      <c r="ER243" s="103"/>
      <c r="ES243" s="103"/>
      <c r="ET243" s="1"/>
      <c r="EU243" s="667" t="s">
        <v>456</v>
      </c>
      <c r="EW243" s="53"/>
      <c r="EY243" s="104"/>
      <c r="FN243" s="457" t="s">
        <v>238</v>
      </c>
      <c r="FO243" s="242"/>
      <c r="FP243" s="242"/>
      <c r="FQ243" s="242"/>
      <c r="FR243" s="242"/>
      <c r="FS243" s="242"/>
      <c r="FT243" s="242"/>
      <c r="FU243" s="242"/>
      <c r="FV243" s="242"/>
      <c r="FW243" s="242"/>
      <c r="FX243" s="242"/>
      <c r="FY243" s="242"/>
      <c r="FZ243" s="242"/>
      <c r="GA243" s="242"/>
      <c r="GB243" s="242"/>
      <c r="GC243" s="242"/>
      <c r="GD243" s="242"/>
      <c r="GE243" s="242"/>
      <c r="GF243" s="242"/>
      <c r="GG243" s="242"/>
      <c r="GH243" s="242"/>
      <c r="GI243" s="242"/>
      <c r="GJ243" s="242"/>
      <c r="GK243" s="242"/>
      <c r="GL243" s="242"/>
      <c r="GM243" s="242"/>
      <c r="GN243" s="242"/>
      <c r="GO243" s="242"/>
      <c r="GP243" s="242"/>
      <c r="GQ243" s="242"/>
      <c r="GR243" s="242"/>
      <c r="GS243" s="242"/>
      <c r="GT243" s="242"/>
      <c r="GU243" s="242"/>
      <c r="GV243" s="242"/>
      <c r="GW243" s="242"/>
      <c r="GX243" s="242"/>
      <c r="GY243" s="242"/>
      <c r="GZ243" s="242"/>
      <c r="HA243" s="242"/>
      <c r="HB243" s="242"/>
      <c r="HC243" s="242"/>
      <c r="HD243" s="242"/>
      <c r="HE243" s="242"/>
      <c r="HF243" s="242"/>
      <c r="HG243" s="242"/>
      <c r="HH243" s="242"/>
      <c r="HI243" s="242"/>
      <c r="HJ243" s="242"/>
      <c r="HK243" s="242"/>
      <c r="HL243" s="242"/>
      <c r="HM243" s="242"/>
      <c r="HN243" s="242"/>
      <c r="HO243" s="242"/>
      <c r="HP243" s="242"/>
      <c r="HQ243" s="242"/>
      <c r="HR243" s="242"/>
      <c r="HS243" s="242"/>
      <c r="HT243" s="242"/>
      <c r="HU243" s="242"/>
      <c r="HV243" s="242"/>
      <c r="HW243" s="242"/>
      <c r="HX243" s="242"/>
      <c r="HY243" s="242"/>
      <c r="HZ243" s="242"/>
      <c r="IA243" s="242"/>
      <c r="IB243" s="242"/>
      <c r="IC243" s="242"/>
      <c r="ID243" s="242"/>
      <c r="IE243" s="242"/>
      <c r="IF243" s="242"/>
      <c r="IG243" s="242"/>
      <c r="IH243" s="242"/>
      <c r="II243" s="242"/>
    </row>
    <row r="244" spans="8:243">
      <c r="H244" s="49" t="e">
        <f t="shared" ca="1" si="645"/>
        <v>#N/A</v>
      </c>
      <c r="I244" s="369">
        <f t="shared" si="646"/>
        <v>43831</v>
      </c>
      <c r="J244" s="367">
        <v>24.984999999999797</v>
      </c>
      <c r="K244" s="101" t="s">
        <v>267</v>
      </c>
      <c r="L244" s="382">
        <f t="shared" si="647"/>
        <v>24.984999999999811</v>
      </c>
      <c r="M244" s="163">
        <v>0.12150000000000001</v>
      </c>
      <c r="N244" s="372">
        <v>0</v>
      </c>
      <c r="O244" s="163">
        <f t="shared" si="595"/>
        <v>0.12150000000000001</v>
      </c>
      <c r="P244" s="367">
        <v>23.731446480220797</v>
      </c>
      <c r="Q244" s="101" t="s">
        <v>267</v>
      </c>
      <c r="R244" s="367">
        <f t="shared" ca="1" si="596"/>
        <v>23.731446480220782</v>
      </c>
      <c r="S244" s="814">
        <f t="shared" si="594"/>
        <v>0.34531640918426071</v>
      </c>
      <c r="T244" s="813">
        <f t="shared" si="660"/>
        <v>0.99999999999560685</v>
      </c>
      <c r="U244" s="532">
        <f t="shared" si="661"/>
        <v>0.99999999999999978</v>
      </c>
      <c r="V244" s="379">
        <v>0</v>
      </c>
      <c r="W244" s="424">
        <f t="shared" si="597"/>
        <v>25.020227272727073</v>
      </c>
      <c r="X244" s="405">
        <f t="shared" si="598"/>
        <v>25.020227272727084</v>
      </c>
      <c r="Y244" s="313">
        <f t="shared" si="599"/>
        <v>23.804227272727072</v>
      </c>
      <c r="Z244" s="313">
        <f t="shared" ca="1" si="600"/>
        <v>23.804227272727083</v>
      </c>
      <c r="AA244" s="419">
        <f t="shared" si="623"/>
        <v>1.216</v>
      </c>
      <c r="AB244" s="423">
        <f t="shared" ca="1" si="624"/>
        <v>1.216</v>
      </c>
      <c r="AC244" s="221">
        <v>43819</v>
      </c>
      <c r="AD244" s="221">
        <v>43815</v>
      </c>
      <c r="AE244" s="221">
        <v>43814</v>
      </c>
      <c r="AF244" s="221">
        <v>43810</v>
      </c>
      <c r="AG244" s="241" t="s">
        <v>497</v>
      </c>
      <c r="AH244" s="239" t="s">
        <v>497</v>
      </c>
      <c r="AI244" s="141">
        <v>22</v>
      </c>
      <c r="AJ244" s="41">
        <v>13</v>
      </c>
      <c r="AK244" s="41">
        <v>9</v>
      </c>
      <c r="AL244" s="285">
        <v>22</v>
      </c>
      <c r="AM244" s="41">
        <v>9</v>
      </c>
      <c r="AN244" s="142">
        <v>13</v>
      </c>
      <c r="AO244" s="364">
        <v>6.3950559404749391E-2</v>
      </c>
      <c r="AP244" s="145">
        <f t="shared" ca="1" si="648"/>
        <v>0.30599384334455587</v>
      </c>
      <c r="AQ244" s="364">
        <v>6.03345674408362E-2</v>
      </c>
      <c r="AR244" s="145">
        <f t="shared" ca="1" si="662"/>
        <v>0.32931824233856988</v>
      </c>
      <c r="AS244" s="264">
        <f t="shared" si="601"/>
        <v>0.1211</v>
      </c>
      <c r="AT244" s="149">
        <f t="shared" si="649"/>
        <v>0.12150000000000001</v>
      </c>
      <c r="AU244" s="149">
        <f t="shared" si="625"/>
        <v>0.1211</v>
      </c>
      <c r="AV244" s="263">
        <f t="shared" ca="1" si="669"/>
        <v>0.11958664001639559</v>
      </c>
      <c r="AW244" s="150" t="str">
        <f t="shared" ca="1" si="671"/>
        <v/>
      </c>
      <c r="AX244" s="149">
        <f t="shared" ca="1" si="663"/>
        <v>2.747989194099844E-3</v>
      </c>
      <c r="AY244" s="149">
        <f t="shared" ca="1" si="664"/>
        <v>7.9997766512193312E-4</v>
      </c>
      <c r="AZ244" s="149">
        <f t="shared" ca="1" si="665"/>
        <v>1.0719196818149603E-3</v>
      </c>
      <c r="BA244" s="149">
        <f t="shared" ca="1" si="666"/>
        <v>1.0000000000001227E-4</v>
      </c>
      <c r="BB244" s="149">
        <f t="shared" ca="1" si="667"/>
        <v>1.0000000000001227E-4</v>
      </c>
      <c r="BC244" s="149">
        <f t="shared" ca="1" si="668"/>
        <v>1.0000000000001227E-4</v>
      </c>
      <c r="BD244" s="143">
        <f t="shared" ca="1" si="602"/>
        <v>0</v>
      </c>
      <c r="BE244" s="144">
        <f t="shared" ca="1" si="603"/>
        <v>0</v>
      </c>
      <c r="BF244" s="40">
        <f t="shared" si="604"/>
        <v>2020</v>
      </c>
      <c r="BG244" s="139">
        <f t="shared" si="605"/>
        <v>1</v>
      </c>
      <c r="BH244" s="140">
        <f t="shared" ca="1" si="606"/>
        <v>6825</v>
      </c>
      <c r="BI244" s="304">
        <f t="shared" ca="1" si="607"/>
        <v>18.729637234770706</v>
      </c>
      <c r="BJ244" s="42">
        <f t="shared" ca="1" si="626"/>
        <v>18.778171862360775</v>
      </c>
      <c r="BK244" s="42">
        <f t="shared" ca="1" si="627"/>
        <v>18.780909713147906</v>
      </c>
      <c r="BL244" s="42">
        <f t="shared" ca="1" si="608"/>
        <v>18.811772758384667</v>
      </c>
      <c r="BM244" s="285">
        <f t="shared" si="609"/>
        <v>22</v>
      </c>
      <c r="BN244" s="41">
        <f t="shared" si="610"/>
        <v>13</v>
      </c>
      <c r="BO244" s="41">
        <f t="shared" si="611"/>
        <v>9</v>
      </c>
      <c r="BP244" s="297" t="str">
        <f t="shared" ca="1" si="628"/>
        <v/>
      </c>
      <c r="BQ244" s="297" t="str">
        <f t="shared" ca="1" si="629"/>
        <v/>
      </c>
      <c r="BR244" s="299" t="str">
        <f t="shared" ca="1" si="630"/>
        <v/>
      </c>
      <c r="BS244" s="153" t="str">
        <f t="shared" ca="1" si="631"/>
        <v/>
      </c>
      <c r="BT244" s="153" t="str">
        <f t="shared" ca="1" si="632"/>
        <v/>
      </c>
      <c r="BU244" s="300" t="str">
        <f t="shared" ca="1" si="633"/>
        <v/>
      </c>
      <c r="BV244" s="301" t="str">
        <f t="shared" ca="1" si="634"/>
        <v/>
      </c>
      <c r="BW244" s="300" t="str">
        <f t="shared" ca="1" si="635"/>
        <v/>
      </c>
      <c r="BX244" s="301" t="str">
        <f t="shared" ca="1" si="636"/>
        <v/>
      </c>
      <c r="BY244" s="146" t="str">
        <f t="shared" ca="1" si="637"/>
        <v/>
      </c>
      <c r="BZ244" s="146" t="str">
        <f t="shared" ca="1" si="638"/>
        <v/>
      </c>
      <c r="CA244" s="146" t="str">
        <f t="shared" ca="1" si="639"/>
        <v/>
      </c>
      <c r="CB244" s="146" t="str">
        <f t="shared" ca="1" si="640"/>
        <v/>
      </c>
      <c r="CC244" s="302">
        <v>1</v>
      </c>
      <c r="CD244" s="154">
        <f ca="1">IF(BD244,_xll.xCrudeAPO(BS244,BT244,BY244,BZ244,S245,S246,BI244,BL244,BN244,BO244,0,Strike1,AO244,CC244,0,BL244,IF(OptControl=4,0,1),0,1),0)</f>
        <v>0</v>
      </c>
      <c r="CE244" s="155">
        <f ca="1">IF(BD244,_xll.xCrudeAPO(BS244,BT244,BY244,BZ244,S245,S246,BI244,BL244,BN244,BO244,0,Strike1,AO244,CC244,0,BL244,IF(OptControl=4,0,1),1,1)+_xll.xCrudeAPO(BS244,BT244,BY244,BZ244,S245,S246,BI244,BL244,BN244,BO244,0,Strike1,AO244,CC244,0,BL244,IF(OptControl=4,0,1),1,2)+IF(OR(VolSkewFlag=2,ABS(BQ244)&lt;0.0001),0,IF(BQ244&gt;0,-1,1)*CF244*Strike1/BP244^2*BW244/10%),0)</f>
        <v>0</v>
      </c>
      <c r="CF244" s="155">
        <f ca="1">IF(BD244,(_xll.xCrudeAPO(BS244,BT244,BY244,BZ244,S245,S246,BI244,BL244,BN244,BO244,0,Strike1,AO244,CC244,0,BL244,IF(OptControl=4,0,1),3,1)+_xll.xCrudeAPO(BS244,BT244,BY244,BZ244,S245,S246,BI244,BL244,BN244,BO244,0,Strike1,AO244,CC244,0,BL244,IF(OptControl=4,0,1),3,2))/100,0)</f>
        <v>0</v>
      </c>
      <c r="CG244" s="155">
        <f ca="1">IF(BD244,_xll.xCrudeAPO(BS244,BT244,BY244,BZ244,S245,S246,BI244-DaysForThetaCalculation/365.25,BL244-DaysForThetaCalculation/365.25,BN244,BO244,0,Strike1,AO244,CC244,0,BL244,IF(OptControl=4,0,1),0,1)-_xll.xCrudeAPO(BS244,BT244,BY244,BZ244,S245,S246,BI244,BL244,BN244,BO244,0,Strike1,AO244,CC244,0,BL244,IF(OptControl=4,0,1),0,1),0)</f>
        <v>0</v>
      </c>
      <c r="CH244" s="303">
        <f ca="1">IF(BD244,_xll.xCrudeAPO(BS244,BT244,CA244,CB244,S245,S246,BI244,BL244,BN244,BO244,0,Strike2,AO244,CC244,0,BL244,IF(OptControl=3,1,0),0,1),0)</f>
        <v>0</v>
      </c>
      <c r="CI244" s="155">
        <f ca="1">IF(BD244,_xll.xCrudeAPO(BS244,BT244,CA244,CB244,S245,S246,BI244,BL244,BN244,BO244,0,Strike2,AO244,CC244,0,BL244,IF(OptControl=3,1,0),1,1)+_xll.xCrudeAPO(BS244,BT244,CA244,CB244,S245,S246,BI244,BL244,BN244,BO244,0,Strike2,AO244,CC244,0,BL244,IF(OptControl=3,1,0),1,2)+IF(OR(VolSkewFlag=2,ABS(BR244)&lt;0.0001),0,IF(BR244&gt;0,-1,1)*CJ244*Strike2/BP244^2*BX244/10%),0)</f>
        <v>0</v>
      </c>
      <c r="CJ244" s="155">
        <f ca="1">IF(BD244,(_xll.xCrudeAPO(BS244,BT244,CA244,CB244,S245,S246,BI244,BL244,BN244,BO244,0,Strike2,AO244,CC244,0,BL244,IF(OptControl=3,1,0),3,1)+_xll.xCrudeAPO(BS244,BT244,CA244,CB244,S245,S246,BI244,BL244,BN244,BO244,0,Strike2,AO244,CC244,0,BL244,IF(OptControl=3,1,0),3,2))/100,0)</f>
        <v>0</v>
      </c>
      <c r="CK244" s="156">
        <f ca="1">IF(BD244,_xll.xCrudeAPO(BS244,BT244,CA244,CB244,S245,S246,BI244-DaysForThetaCalculation/365.25,BL244-DaysForThetaCalculation/365.25,BN244,BO244,0,Strike2,AO244,CC244,0,BL244,IF(OptControl=3,1,0),0,1)-_xll.xCrudeAPO(BS244,BT244,CA244,CB244,S245,S246,BI244,BL244,BN244,BO244,0,Strike2,AO244,CC244,0,BL244,IF(OptControl=3,1,0),0,1),0)</f>
        <v>0</v>
      </c>
      <c r="CL244" s="51"/>
      <c r="CM244" s="779" t="str">
        <f t="shared" ca="1" si="650"/>
        <v/>
      </c>
      <c r="CN244" s="783" t="str">
        <f t="shared" ca="1" si="651"/>
        <v/>
      </c>
      <c r="CO244" s="780" t="str">
        <f t="shared" ca="1" si="652"/>
        <v/>
      </c>
      <c r="CP244" s="780" t="str">
        <f t="shared" ca="1" si="653"/>
        <v/>
      </c>
      <c r="CQ244" s="780" t="str">
        <f t="shared" ca="1" si="654"/>
        <v/>
      </c>
      <c r="CR244" s="780" t="str">
        <f t="shared" ca="1" si="655"/>
        <v/>
      </c>
      <c r="CS244" s="781" t="str">
        <f t="shared" ca="1" si="656"/>
        <v/>
      </c>
      <c r="CT244" s="782" t="str">
        <f t="shared" ca="1" si="657"/>
        <v/>
      </c>
      <c r="CU244" s="782" t="str">
        <f t="shared" ca="1" si="658"/>
        <v/>
      </c>
      <c r="CV244" s="155">
        <f ca="1">IF(BD244,_xll.EURO(CN244,Strike1,AO244,AO244,CT244,CM244,IF(OptControl=4,0,1),0),0)</f>
        <v>0</v>
      </c>
      <c r="CW244" s="155">
        <f ca="1">IF(BD244,_xll.EURO(CN244,Strike1,AO244,AO244,CT244,CM244,IF(OptControl=4,0,1),1)+IF(OR(VolSkewFlag=2,ABS(CO244)&lt;0.0001),0,IF(CO244&gt;0,-1,1)*CX244*100*Strike1/CN244^2*CQ244/10%),0)</f>
        <v>0</v>
      </c>
      <c r="CX244" s="155">
        <f ca="1">IF(BD244,_xll.EURO(CN244,Strike1,AO244,AO244,CT244,CM244,IF(OptControl=4,0,1),3)/100,0)</f>
        <v>0</v>
      </c>
      <c r="CY244" s="155">
        <f ca="1">IF(BD244,_xll.EURO(CN244,Strike1,AO244,AO244,CT244,CM244,IF(OptControl=4,0,1),0)-_xll.EURO(CN244,Strike1,AO244,AO244,CT244,CM244-1,IF(OptControl=4,0,1),0),0)</f>
        <v>0</v>
      </c>
      <c r="CZ244" s="155">
        <f ca="1">IF(BD244,_xll.EURO(CN244,Strike2,AO244,AO244,CU244,CM244,IF(OptControl=3,1,0),0),0)</f>
        <v>0</v>
      </c>
      <c r="DA244" s="155">
        <f ca="1">IF(BD244,_xll.EURO(CN244,Strike2,AO244,AO244,CU244,CM244,IF(OptControl=3,1,0),1)+IF(OR(VolSkewFlag=2,ABS(CP244)&lt;0.0001),0,IF(CP244&gt;0,-1,1)*DB244*100*Strike2/CN244^2*CR244/10%),0)</f>
        <v>0</v>
      </c>
      <c r="DB244" s="155">
        <f ca="1">IF(BD244,_xll.EURO(CN244,Strike2,AO244,AO244,CU244,CM244,IF(OptControl=3,1,0),3)/100,0)</f>
        <v>0</v>
      </c>
      <c r="DC244" s="156">
        <f ca="1">IF(BD244,_xll.EURO(CN244,Strike2,AO244,AO244,CU244,CM244,IF(OptControl=3,1,0),0)-_xll.EURO(CN244,Strike2,AO244,AO244,CU244,CM244-1,IF(OptControl=3,1,0),0),0)</f>
        <v>0</v>
      </c>
      <c r="DE244" s="651">
        <f t="shared" ca="1" si="659"/>
        <v>43739</v>
      </c>
      <c r="DF244" s="465">
        <v>1E-4</v>
      </c>
      <c r="DG244" s="649">
        <v>1E-4</v>
      </c>
      <c r="DH244" s="650">
        <f t="shared" ca="1" si="612"/>
        <v>43739</v>
      </c>
      <c r="DI244" s="465">
        <v>1E-4</v>
      </c>
      <c r="DJ244" s="649">
        <v>1E-4</v>
      </c>
      <c r="DK244" s="651">
        <f t="shared" ca="1" si="613"/>
        <v>43739</v>
      </c>
      <c r="DL244" s="652">
        <f t="shared" si="614"/>
        <v>5.0100000000000006E-2</v>
      </c>
      <c r="DM244" s="651">
        <f t="shared" ca="1" si="615"/>
        <v>43739</v>
      </c>
      <c r="DN244" s="563">
        <f t="shared" si="616"/>
        <v>-0.12990000000000002</v>
      </c>
      <c r="DO244" s="803">
        <v>-0.13</v>
      </c>
      <c r="DP244" s="650">
        <f t="shared" ca="1" si="617"/>
        <v>43739</v>
      </c>
      <c r="DQ244" s="653">
        <v>1E-4</v>
      </c>
      <c r="DR244" s="590">
        <v>1E-4</v>
      </c>
      <c r="DS244" s="650">
        <f t="shared" ca="1" si="618"/>
        <v>43739</v>
      </c>
      <c r="DT244" s="653">
        <v>1E-4</v>
      </c>
      <c r="DU244" s="590">
        <v>1E-4</v>
      </c>
      <c r="DV244" s="651">
        <f t="shared" ca="1" si="619"/>
        <v>43739</v>
      </c>
      <c r="DW244" s="590">
        <v>1E-4</v>
      </c>
      <c r="DX244" s="651">
        <f t="shared" ca="1" si="620"/>
        <v>43739</v>
      </c>
      <c r="DY244" s="590">
        <f t="shared" si="621"/>
        <v>1E-4</v>
      </c>
      <c r="DZ244" s="1"/>
      <c r="EA244" s="857"/>
      <c r="EB244" s="857"/>
      <c r="EC244" s="857"/>
      <c r="ED244" s="868" t="e">
        <f t="shared" ca="1" si="670"/>
        <v>#NAME?</v>
      </c>
      <c r="EE244" s="863" t="e">
        <f t="shared" ca="1" si="641"/>
        <v>#NAME?</v>
      </c>
      <c r="EF244" s="590" t="e">
        <f t="shared" ca="1" si="642"/>
        <v>#NAME?</v>
      </c>
      <c r="EG244" s="862" t="str">
        <f t="shared" ca="1" si="622"/>
        <v/>
      </c>
      <c r="EH244" s="114" t="str">
        <f t="shared" ca="1" si="643"/>
        <v/>
      </c>
      <c r="EI244" s="109" t="str">
        <f t="shared" ca="1" si="644"/>
        <v/>
      </c>
      <c r="EJ244" s="115">
        <f ca="1">IF(BD244,_xll.xASN(BP244,Strike1,AO244,EH244,0,BM244,0,BI244,BL244,IF(OptControl=4,0,1),0),0)</f>
        <v>0</v>
      </c>
      <c r="EK244" s="108">
        <f ca="1">IF(BD244,_xll.xASN(BP244,Strike2,AO244,EI244,0,BM244,0,BI244,BL244,IF(OptControl=3,1,0),0),0)</f>
        <v>0</v>
      </c>
      <c r="EP244" s="53"/>
      <c r="EQ244" s="1"/>
      <c r="ER244" s="103"/>
      <c r="ES244" s="103"/>
      <c r="ET244" s="1"/>
      <c r="EU244" s="667" t="s">
        <v>457</v>
      </c>
      <c r="EW244" s="53"/>
      <c r="EY244" s="104"/>
      <c r="FN244" s="654"/>
      <c r="FO244" s="655">
        <v>72</v>
      </c>
      <c r="FP244" s="655">
        <v>71</v>
      </c>
      <c r="FQ244" s="655">
        <v>70</v>
      </c>
      <c r="FR244" s="655">
        <v>69</v>
      </c>
      <c r="FS244" s="655">
        <v>68</v>
      </c>
      <c r="FT244" s="655">
        <v>67</v>
      </c>
      <c r="FU244" s="655">
        <v>66</v>
      </c>
      <c r="FV244" s="655">
        <v>65</v>
      </c>
      <c r="FW244" s="655">
        <v>64</v>
      </c>
      <c r="FX244" s="655">
        <v>63</v>
      </c>
      <c r="FY244" s="655">
        <v>62</v>
      </c>
      <c r="FZ244" s="655">
        <v>61</v>
      </c>
      <c r="GA244" s="655">
        <v>60</v>
      </c>
      <c r="GB244" s="655">
        <v>59</v>
      </c>
      <c r="GC244" s="655">
        <v>58</v>
      </c>
      <c r="GD244" s="655">
        <v>57</v>
      </c>
      <c r="GE244" s="655">
        <v>56</v>
      </c>
      <c r="GF244" s="655">
        <v>55</v>
      </c>
      <c r="GG244" s="655">
        <v>54</v>
      </c>
      <c r="GH244" s="655">
        <v>53</v>
      </c>
      <c r="GI244" s="655">
        <v>52</v>
      </c>
      <c r="GJ244" s="655">
        <v>51</v>
      </c>
      <c r="GK244" s="655">
        <v>50</v>
      </c>
      <c r="GL244" s="655">
        <v>49</v>
      </c>
      <c r="GM244" s="655">
        <v>48</v>
      </c>
      <c r="GN244" s="655">
        <v>47</v>
      </c>
      <c r="GO244" s="655">
        <v>46</v>
      </c>
      <c r="GP244" s="655">
        <v>45</v>
      </c>
      <c r="GQ244" s="655">
        <v>44</v>
      </c>
      <c r="GR244" s="655">
        <v>43</v>
      </c>
      <c r="GS244" s="655">
        <v>42</v>
      </c>
      <c r="GT244" s="655">
        <v>41</v>
      </c>
      <c r="GU244" s="655">
        <v>40</v>
      </c>
      <c r="GV244" s="655">
        <v>39</v>
      </c>
      <c r="GW244" s="655">
        <v>38</v>
      </c>
      <c r="GX244" s="655">
        <v>37</v>
      </c>
      <c r="GY244" s="655">
        <v>36</v>
      </c>
      <c r="GZ244" s="655">
        <v>35</v>
      </c>
      <c r="HA244" s="655">
        <v>34</v>
      </c>
      <c r="HB244" s="655">
        <v>33</v>
      </c>
      <c r="HC244" s="655">
        <v>32</v>
      </c>
      <c r="HD244" s="655">
        <v>31</v>
      </c>
      <c r="HE244" s="655">
        <v>30</v>
      </c>
      <c r="HF244" s="655">
        <v>29</v>
      </c>
      <c r="HG244" s="655">
        <v>28</v>
      </c>
      <c r="HH244" s="655">
        <v>27</v>
      </c>
      <c r="HI244" s="655">
        <v>26</v>
      </c>
      <c r="HJ244" s="655">
        <v>25</v>
      </c>
      <c r="HK244" s="655">
        <v>24</v>
      </c>
      <c r="HL244" s="655">
        <v>23</v>
      </c>
      <c r="HM244" s="655">
        <v>22</v>
      </c>
      <c r="HN244" s="655">
        <v>21</v>
      </c>
      <c r="HO244" s="655">
        <v>20</v>
      </c>
      <c r="HP244" s="655">
        <v>19</v>
      </c>
      <c r="HQ244" s="655">
        <v>18</v>
      </c>
      <c r="HR244" s="655">
        <v>17</v>
      </c>
      <c r="HS244" s="655">
        <v>16</v>
      </c>
      <c r="HT244" s="655">
        <v>15</v>
      </c>
      <c r="HU244" s="655">
        <v>14</v>
      </c>
      <c r="HV244" s="655">
        <v>13</v>
      </c>
      <c r="HW244" s="655">
        <v>12</v>
      </c>
      <c r="HX244" s="655">
        <v>11</v>
      </c>
      <c r="HY244" s="655">
        <v>10</v>
      </c>
      <c r="HZ244" s="655">
        <v>9</v>
      </c>
      <c r="IA244" s="655">
        <v>8</v>
      </c>
      <c r="IB244" s="655">
        <v>7</v>
      </c>
      <c r="IC244" s="655">
        <v>6</v>
      </c>
      <c r="ID244" s="655">
        <v>5</v>
      </c>
      <c r="IE244" s="655">
        <v>4</v>
      </c>
      <c r="IF244" s="655">
        <v>3</v>
      </c>
      <c r="IG244" s="655">
        <v>2</v>
      </c>
      <c r="IH244" s="656">
        <v>1</v>
      </c>
      <c r="II244" s="242"/>
    </row>
    <row r="245" spans="8:243">
      <c r="H245" s="49" t="e">
        <f t="shared" ca="1" si="645"/>
        <v>#N/A</v>
      </c>
      <c r="I245" s="369">
        <f t="shared" si="646"/>
        <v>43862</v>
      </c>
      <c r="J245" s="367">
        <v>25.009999999999799</v>
      </c>
      <c r="K245" s="101" t="s">
        <v>267</v>
      </c>
      <c r="L245" s="382">
        <f t="shared" si="647"/>
        <v>25.00999999999981</v>
      </c>
      <c r="M245" s="163">
        <v>0.1211</v>
      </c>
      <c r="N245" s="372">
        <v>0</v>
      </c>
      <c r="O245" s="163">
        <f t="shared" si="595"/>
        <v>0.1211</v>
      </c>
      <c r="P245" s="367">
        <v>23.767903199798901</v>
      </c>
      <c r="Q245" s="101" t="s">
        <v>267</v>
      </c>
      <c r="R245" s="367">
        <f t="shared" ca="1" si="596"/>
        <v>23.767903199798926</v>
      </c>
      <c r="S245" s="814">
        <f t="shared" si="594"/>
        <v>0.34526324509241813</v>
      </c>
      <c r="T245" s="813">
        <f t="shared" si="660"/>
        <v>0.99999999999604616</v>
      </c>
      <c r="U245" s="532">
        <f t="shared" si="661"/>
        <v>0.99999999999999978</v>
      </c>
      <c r="V245" s="379">
        <v>0</v>
      </c>
      <c r="W245" s="424">
        <f t="shared" si="597"/>
        <v>25.042499999999798</v>
      </c>
      <c r="X245" s="405">
        <f t="shared" si="598"/>
        <v>25.042499999999809</v>
      </c>
      <c r="Y245" s="313">
        <f t="shared" si="599"/>
        <v>23.826499999999797</v>
      </c>
      <c r="Z245" s="313">
        <f t="shared" ca="1" si="600"/>
        <v>23.826499999999807</v>
      </c>
      <c r="AA245" s="419">
        <f t="shared" si="623"/>
        <v>1.216</v>
      </c>
      <c r="AB245" s="423">
        <f t="shared" ca="1" si="624"/>
        <v>1.216</v>
      </c>
      <c r="AC245" s="221">
        <v>43850</v>
      </c>
      <c r="AD245" s="221">
        <v>43846</v>
      </c>
      <c r="AE245" s="221">
        <v>43845</v>
      </c>
      <c r="AF245" s="221">
        <v>43841</v>
      </c>
      <c r="AG245" s="241" t="s">
        <v>497</v>
      </c>
      <c r="AH245" s="239" t="s">
        <v>497</v>
      </c>
      <c r="AI245" s="141">
        <v>20</v>
      </c>
      <c r="AJ245" s="41">
        <v>14</v>
      </c>
      <c r="AK245" s="41">
        <v>6</v>
      </c>
      <c r="AL245" s="285">
        <v>20</v>
      </c>
      <c r="AM245" s="41">
        <v>10</v>
      </c>
      <c r="AN245" s="142">
        <v>10</v>
      </c>
      <c r="AO245" s="364">
        <v>6.3995882004269408E-2</v>
      </c>
      <c r="AP245" s="145">
        <f t="shared" ca="1" si="648"/>
        <v>0.30421578998154708</v>
      </c>
      <c r="AQ245" s="364">
        <v>6.02953362499523E-2</v>
      </c>
      <c r="AR245" s="145">
        <f t="shared" ca="1" si="662"/>
        <v>0.32789529910734638</v>
      </c>
      <c r="AS245" s="264">
        <f t="shared" si="601"/>
        <v>0.12110000000000001</v>
      </c>
      <c r="AT245" s="149">
        <f t="shared" si="649"/>
        <v>0.1211</v>
      </c>
      <c r="AU245" s="149">
        <f t="shared" si="625"/>
        <v>0.12110000000000001</v>
      </c>
      <c r="AV245" s="263">
        <f t="shared" ca="1" si="669"/>
        <v>0.11912333732058353</v>
      </c>
      <c r="AW245" s="150" t="str">
        <f t="shared" ca="1" si="671"/>
        <v/>
      </c>
      <c r="AX245" s="149">
        <f t="shared" ca="1" si="663"/>
        <v>2.7093848545692019E-3</v>
      </c>
      <c r="AY245" s="149">
        <f t="shared" ca="1" si="664"/>
        <v>7.8621335462155946E-4</v>
      </c>
      <c r="AZ245" s="149">
        <f t="shared" ca="1" si="665"/>
        <v>1.0591446398602439E-3</v>
      </c>
      <c r="BA245" s="149">
        <f t="shared" ca="1" si="666"/>
        <v>1.0000000000001235E-4</v>
      </c>
      <c r="BB245" s="149">
        <f t="shared" ca="1" si="667"/>
        <v>1.0000000000001235E-4</v>
      </c>
      <c r="BC245" s="149">
        <f t="shared" ca="1" si="668"/>
        <v>1.0000000000001235E-4</v>
      </c>
      <c r="BD245" s="143">
        <f t="shared" ca="1" si="602"/>
        <v>0</v>
      </c>
      <c r="BE245" s="144">
        <f t="shared" ca="1" si="603"/>
        <v>0</v>
      </c>
      <c r="BF245" s="40">
        <f t="shared" si="604"/>
        <v>2020</v>
      </c>
      <c r="BG245" s="139">
        <f t="shared" si="605"/>
        <v>2</v>
      </c>
      <c r="BH245" s="140">
        <f t="shared" ca="1" si="606"/>
        <v>6856</v>
      </c>
      <c r="BI245" s="304">
        <f t="shared" ca="1" si="607"/>
        <v>18.814510609171801</v>
      </c>
      <c r="BJ245" s="42">
        <f t="shared" ca="1" si="626"/>
        <v>18.86817248459959</v>
      </c>
      <c r="BK245" s="42">
        <f t="shared" ca="1" si="627"/>
        <v>18.870910335386721</v>
      </c>
      <c r="BL245" s="42">
        <f t="shared" ca="1" si="608"/>
        <v>18.891170431211499</v>
      </c>
      <c r="BM245" s="285">
        <f t="shared" si="609"/>
        <v>20</v>
      </c>
      <c r="BN245" s="41">
        <f t="shared" si="610"/>
        <v>14</v>
      </c>
      <c r="BO245" s="41">
        <f t="shared" si="611"/>
        <v>6</v>
      </c>
      <c r="BP245" s="297" t="str">
        <f t="shared" ca="1" si="628"/>
        <v/>
      </c>
      <c r="BQ245" s="297" t="str">
        <f t="shared" ca="1" si="629"/>
        <v/>
      </c>
      <c r="BR245" s="299" t="str">
        <f t="shared" ca="1" si="630"/>
        <v/>
      </c>
      <c r="BS245" s="153" t="str">
        <f t="shared" ca="1" si="631"/>
        <v/>
      </c>
      <c r="BT245" s="153" t="str">
        <f t="shared" ca="1" si="632"/>
        <v/>
      </c>
      <c r="BU245" s="300" t="str">
        <f t="shared" ca="1" si="633"/>
        <v/>
      </c>
      <c r="BV245" s="301" t="str">
        <f t="shared" ca="1" si="634"/>
        <v/>
      </c>
      <c r="BW245" s="300" t="str">
        <f t="shared" ca="1" si="635"/>
        <v/>
      </c>
      <c r="BX245" s="301" t="str">
        <f t="shared" ca="1" si="636"/>
        <v/>
      </c>
      <c r="BY245" s="146" t="str">
        <f t="shared" ca="1" si="637"/>
        <v/>
      </c>
      <c r="BZ245" s="146" t="str">
        <f t="shared" ca="1" si="638"/>
        <v/>
      </c>
      <c r="CA245" s="146" t="str">
        <f t="shared" ca="1" si="639"/>
        <v/>
      </c>
      <c r="CB245" s="146" t="str">
        <f t="shared" ca="1" si="640"/>
        <v/>
      </c>
      <c r="CC245" s="302">
        <v>1</v>
      </c>
      <c r="CD245" s="154">
        <f ca="1">IF(BD245,_xll.xCrudeAPO(BS245,BT245,BY245,BZ245,S246,S247,BI245,BL245,BN245,BO245,0,Strike1,AO245,CC245,0,BL245,IF(OptControl=4,0,1),0,1),0)</f>
        <v>0</v>
      </c>
      <c r="CE245" s="155">
        <f ca="1">IF(BD245,_xll.xCrudeAPO(BS245,BT245,BY245,BZ245,S246,S247,BI245,BL245,BN245,BO245,0,Strike1,AO245,CC245,0,BL245,IF(OptControl=4,0,1),1,1)+_xll.xCrudeAPO(BS245,BT245,BY245,BZ245,S246,S247,BI245,BL245,BN245,BO245,0,Strike1,AO245,CC245,0,BL245,IF(OptControl=4,0,1),1,2)+IF(OR(VolSkewFlag=2,ABS(BQ245)&lt;0.0001),0,IF(BQ245&gt;0,-1,1)*CF245*Strike1/BP245^2*BW245/10%),0)</f>
        <v>0</v>
      </c>
      <c r="CF245" s="155">
        <f ca="1">IF(BD245,(_xll.xCrudeAPO(BS245,BT245,BY245,BZ245,S246,S247,BI245,BL245,BN245,BO245,0,Strike1,AO245,CC245,0,BL245,IF(OptControl=4,0,1),3,1)+_xll.xCrudeAPO(BS245,BT245,BY245,BZ245,S246,S247,BI245,BL245,BN245,BO245,0,Strike1,AO245,CC245,0,BL245,IF(OptControl=4,0,1),3,2))/100,0)</f>
        <v>0</v>
      </c>
      <c r="CG245" s="155">
        <f ca="1">IF(BD245,_xll.xCrudeAPO(BS245,BT245,BY245,BZ245,S246,S247,BI245-DaysForThetaCalculation/365.25,BL245-DaysForThetaCalculation/365.25,BN245,BO245,0,Strike1,AO245,CC245,0,BL245,IF(OptControl=4,0,1),0,1)-_xll.xCrudeAPO(BS245,BT245,BY245,BZ245,S246,S247,BI245,BL245,BN245,BO245,0,Strike1,AO245,CC245,0,BL245,IF(OptControl=4,0,1),0,1),0)</f>
        <v>0</v>
      </c>
      <c r="CH245" s="303">
        <f ca="1">IF(BD245,_xll.xCrudeAPO(BS245,BT245,CA245,CB245,S246,S247,BI245,BL245,BN245,BO245,0,Strike2,AO245,CC245,0,BL245,IF(OptControl=3,1,0),0,1),0)</f>
        <v>0</v>
      </c>
      <c r="CI245" s="155">
        <f ca="1">IF(BD245,_xll.xCrudeAPO(BS245,BT245,CA245,CB245,S246,S247,BI245,BL245,BN245,BO245,0,Strike2,AO245,CC245,0,BL245,IF(OptControl=3,1,0),1,1)+_xll.xCrudeAPO(BS245,BT245,CA245,CB245,S246,S247,BI245,BL245,BN245,BO245,0,Strike2,AO245,CC245,0,BL245,IF(OptControl=3,1,0),1,2)+IF(OR(VolSkewFlag=2,ABS(BR245)&lt;0.0001),0,IF(BR245&gt;0,-1,1)*CJ245*Strike2/BP245^2*BX245/10%),0)</f>
        <v>0</v>
      </c>
      <c r="CJ245" s="155">
        <f ca="1">IF(BD245,(_xll.xCrudeAPO(BS245,BT245,CA245,CB245,S246,S247,BI245,BL245,BN245,BO245,0,Strike2,AO245,CC245,0,BL245,IF(OptControl=3,1,0),3,1)+_xll.xCrudeAPO(BS245,BT245,CA245,CB245,S246,S247,BI245,BL245,BN245,BO245,0,Strike2,AO245,CC245,0,BL245,IF(OptControl=3,1,0),3,2))/100,0)</f>
        <v>0</v>
      </c>
      <c r="CK245" s="156">
        <f ca="1">IF(BD245,_xll.xCrudeAPO(BS245,BT245,CA245,CB245,S246,S247,BI245-DaysForThetaCalculation/365.25,BL245-DaysForThetaCalculation/365.25,BN245,BO245,0,Strike2,AO245,CC245,0,BL245,IF(OptControl=3,1,0),0,1)-_xll.xCrudeAPO(BS245,BT245,CA245,CB245,S246,S247,BI245,BL245,BN245,BO245,0,Strike2,AO245,CC245,0,BL245,IF(OptControl=3,1,0),0,1),0)</f>
        <v>0</v>
      </c>
      <c r="CL245" s="51"/>
      <c r="CM245" s="779" t="str">
        <f t="shared" ca="1" si="650"/>
        <v/>
      </c>
      <c r="CN245" s="783" t="str">
        <f t="shared" ca="1" si="651"/>
        <v/>
      </c>
      <c r="CO245" s="780" t="str">
        <f t="shared" ca="1" si="652"/>
        <v/>
      </c>
      <c r="CP245" s="780" t="str">
        <f t="shared" ca="1" si="653"/>
        <v/>
      </c>
      <c r="CQ245" s="780" t="str">
        <f t="shared" ca="1" si="654"/>
        <v/>
      </c>
      <c r="CR245" s="780" t="str">
        <f t="shared" ca="1" si="655"/>
        <v/>
      </c>
      <c r="CS245" s="781" t="str">
        <f t="shared" ca="1" si="656"/>
        <v/>
      </c>
      <c r="CT245" s="782" t="str">
        <f t="shared" ca="1" si="657"/>
        <v/>
      </c>
      <c r="CU245" s="782" t="str">
        <f t="shared" ca="1" si="658"/>
        <v/>
      </c>
      <c r="CV245" s="155">
        <f ca="1">IF(BD245,_xll.EURO(CN245,Strike1,AO245,AO245,CT245,CM245,IF(OptControl=4,0,1),0),0)</f>
        <v>0</v>
      </c>
      <c r="CW245" s="155">
        <f ca="1">IF(BD245,_xll.EURO(CN245,Strike1,AO245,AO245,CT245,CM245,IF(OptControl=4,0,1),1)+IF(OR(VolSkewFlag=2,ABS(CO245)&lt;0.0001),0,IF(CO245&gt;0,-1,1)*CX245*100*Strike1/CN245^2*CQ245/10%),0)</f>
        <v>0</v>
      </c>
      <c r="CX245" s="155">
        <f ca="1">IF(BD245,_xll.EURO(CN245,Strike1,AO245,AO245,CT245,CM245,IF(OptControl=4,0,1),3)/100,0)</f>
        <v>0</v>
      </c>
      <c r="CY245" s="155">
        <f ca="1">IF(BD245,_xll.EURO(CN245,Strike1,AO245,AO245,CT245,CM245,IF(OptControl=4,0,1),0)-_xll.EURO(CN245,Strike1,AO245,AO245,CT245,CM245-1,IF(OptControl=4,0,1),0),0)</f>
        <v>0</v>
      </c>
      <c r="CZ245" s="155">
        <f ca="1">IF(BD245,_xll.EURO(CN245,Strike2,AO245,AO245,CU245,CM245,IF(OptControl=3,1,0),0),0)</f>
        <v>0</v>
      </c>
      <c r="DA245" s="155">
        <f ca="1">IF(BD245,_xll.EURO(CN245,Strike2,AO245,AO245,CU245,CM245,IF(OptControl=3,1,0),1)+IF(OR(VolSkewFlag=2,ABS(CP245)&lt;0.0001),0,IF(CP245&gt;0,-1,1)*DB245*100*Strike2/CN245^2*CR245/10%),0)</f>
        <v>0</v>
      </c>
      <c r="DB245" s="155">
        <f ca="1">IF(BD245,_xll.EURO(CN245,Strike2,AO245,AO245,CU245,CM245,IF(OptControl=3,1,0),3)/100,0)</f>
        <v>0</v>
      </c>
      <c r="DC245" s="156">
        <f ca="1">IF(BD245,_xll.EURO(CN245,Strike2,AO245,AO245,CU245,CM245,IF(OptControl=3,1,0),0)-_xll.EURO(CN245,Strike2,AO245,AO245,CU245,CM245-1,IF(OptControl=3,1,0),0),0)</f>
        <v>0</v>
      </c>
      <c r="DE245" s="651">
        <f t="shared" ca="1" si="659"/>
        <v>43770</v>
      </c>
      <c r="DF245" s="465">
        <v>1E-4</v>
      </c>
      <c r="DG245" s="649">
        <v>1E-4</v>
      </c>
      <c r="DH245" s="650">
        <f t="shared" ca="1" si="612"/>
        <v>43770</v>
      </c>
      <c r="DI245" s="465">
        <v>1E-4</v>
      </c>
      <c r="DJ245" s="649">
        <v>1E-4</v>
      </c>
      <c r="DK245" s="651">
        <f t="shared" ca="1" si="613"/>
        <v>43770</v>
      </c>
      <c r="DL245" s="652">
        <f t="shared" si="614"/>
        <v>5.0100000000000006E-2</v>
      </c>
      <c r="DM245" s="651">
        <f t="shared" ca="1" si="615"/>
        <v>43770</v>
      </c>
      <c r="DN245" s="563">
        <f t="shared" si="616"/>
        <v>-0.12990000000000002</v>
      </c>
      <c r="DO245" s="803">
        <v>-0.13</v>
      </c>
      <c r="DP245" s="650">
        <f t="shared" ca="1" si="617"/>
        <v>43770</v>
      </c>
      <c r="DQ245" s="653">
        <v>1E-4</v>
      </c>
      <c r="DR245" s="590">
        <v>1E-4</v>
      </c>
      <c r="DS245" s="650">
        <f t="shared" ca="1" si="618"/>
        <v>43770</v>
      </c>
      <c r="DT245" s="653">
        <v>1E-4</v>
      </c>
      <c r="DU245" s="590">
        <v>1E-4</v>
      </c>
      <c r="DV245" s="651">
        <f t="shared" ca="1" si="619"/>
        <v>43770</v>
      </c>
      <c r="DW245" s="590">
        <v>1E-4</v>
      </c>
      <c r="DX245" s="651">
        <f t="shared" ca="1" si="620"/>
        <v>43770</v>
      </c>
      <c r="DY245" s="590">
        <f t="shared" si="621"/>
        <v>1E-4</v>
      </c>
      <c r="DZ245" s="1"/>
      <c r="EA245" s="857"/>
      <c r="EB245" s="857"/>
      <c r="EC245" s="857"/>
      <c r="ED245" s="868" t="e">
        <f t="shared" ca="1" si="670"/>
        <v>#NAME?</v>
      </c>
      <c r="EE245" s="863" t="e">
        <f t="shared" ca="1" si="641"/>
        <v>#NAME?</v>
      </c>
      <c r="EF245" s="590" t="e">
        <f t="shared" ca="1" si="642"/>
        <v>#NAME?</v>
      </c>
      <c r="EG245" s="862" t="str">
        <f t="shared" ca="1" si="622"/>
        <v/>
      </c>
      <c r="EH245" s="114" t="str">
        <f t="shared" ca="1" si="643"/>
        <v/>
      </c>
      <c r="EI245" s="109" t="str">
        <f t="shared" ca="1" si="644"/>
        <v/>
      </c>
      <c r="EJ245" s="115">
        <f ca="1">IF(BD245,_xll.xASN(BP245,Strike1,AO245,EH245,0,BM245,0,BI245,BL245,IF(OptControl=4,0,1),0),0)</f>
        <v>0</v>
      </c>
      <c r="EK245" s="108">
        <f ca="1">IF(BD245,_xll.xASN(BP245,Strike2,AO245,EI245,0,BM245,0,BI245,BL245,IF(OptControl=3,1,0),0),0)</f>
        <v>0</v>
      </c>
      <c r="EP245" s="53"/>
      <c r="EQ245" s="1"/>
      <c r="ER245" s="103"/>
      <c r="ES245" s="103"/>
      <c r="ET245" s="1"/>
      <c r="EU245" s="667" t="s">
        <v>458</v>
      </c>
      <c r="EW245" s="53"/>
      <c r="EY245" s="104"/>
      <c r="FN245" s="657">
        <v>1</v>
      </c>
      <c r="FO245" s="469">
        <f ca="1">IF($FN245+FO$244&gt;73,"",PRODUCT(INDEX($T$19:$T$93,FO$244):INDEX($T$19:$T$93,FO$244+$FN245-1)))</f>
        <v>0.99995108728597981</v>
      </c>
      <c r="FP245" s="469">
        <f ca="1">IF($FN245+FP$244&gt;73,"",PRODUCT(INDEX($T$19:$T$93,FP$244):INDEX($T$19:$T$93,FP$244+$FN245-1)))</f>
        <v>0.99994565238929434</v>
      </c>
      <c r="FQ245" s="469">
        <f ca="1">IF($FN245+FQ$244&gt;73,"",PRODUCT(INDEX($T$19:$T$93,FQ$244):INDEX($T$19:$T$93,FQ$244+$FN245-1)))</f>
        <v>0.9999396135795563</v>
      </c>
      <c r="FR245" s="469">
        <f ca="1">IF($FN245+FR$244&gt;73,"",PRODUCT(INDEX($T$19:$T$93,FR$244):INDEX($T$19:$T$93,FR$244+$FN245-1)))</f>
        <v>0.99993290374685528</v>
      </c>
      <c r="FS245" s="469">
        <f ca="1">IF($FN245+FS$244&gt;73,"",PRODUCT(INDEX($T$19:$T$93,FS$244):INDEX($T$19:$T$93,FS$244+$FN245-1)))</f>
        <v>0.99992544832260677</v>
      </c>
      <c r="FT245" s="469">
        <f ca="1">IF($FN245+FT$244&gt;73,"",PRODUCT(INDEX($T$19:$T$93,FT$244):INDEX($T$19:$T$93,FT$244+$FN245-1)))</f>
        <v>0.99991716445032608</v>
      </c>
      <c r="FU245" s="469">
        <f ca="1">IF($FN245+FU$244&gt;73,"",PRODUCT(INDEX($T$19:$T$93,FU$244):INDEX($T$19:$T$93,FU$244+$FN245-1)))</f>
        <v>0.99990796006414884</v>
      </c>
      <c r="FV245" s="469">
        <f ca="1">IF($FN245+FV$244&gt;73,"",PRODUCT(INDEX($T$19:$T$93,FV$244):INDEX($T$19:$T$93,FV$244+$FN245-1)))</f>
        <v>0.9998977328648192</v>
      </c>
      <c r="FW245" s="469">
        <f ca="1">IF($FN245+FW$244&gt;73,"",PRODUCT(INDEX($T$19:$T$93,FW$244):INDEX($T$19:$T$93,FW$244+$FN245-1)))</f>
        <v>0.99988636918171658</v>
      </c>
      <c r="FX245" s="469">
        <f ca="1">IF($FN245+FX$244&gt;73,"",PRODUCT(INDEX($T$19:$T$93,FX$244):INDEX($T$19:$T$93,FX$244+$FN245-1)))</f>
        <v>0.9998737427082145</v>
      </c>
      <c r="FY245" s="469">
        <f ca="1">IF($FN245+FY$244&gt;73,"",PRODUCT(INDEX($T$19:$T$93,FY$244):INDEX($T$19:$T$93,FY$244+$FN245-1)))</f>
        <v>0.99985971309624067</v>
      </c>
      <c r="FZ245" s="469">
        <f ca="1">IF($FN245+FZ$244&gt;73,"",PRODUCT(INDEX($T$19:$T$93,FZ$244):INDEX($T$19:$T$93,FZ$244+$FN245-1)))</f>
        <v>0.99984412439432369</v>
      </c>
      <c r="GA245" s="469">
        <f ca="1">IF($FN245+GA$244&gt;73,"",PRODUCT(INDEX($T$19:$T$93,GA$244):INDEX($T$19:$T$93,GA$244+$FN245-1)))</f>
        <v>0.99982680331164908</v>
      </c>
      <c r="GB245" s="469">
        <f ca="1">IF($FN245+GB$244&gt;73,"",PRODUCT(INDEX($T$19:$T$93,GB$244):INDEX($T$19:$T$93,GB$244+$FN245-1)))</f>
        <v>0.99980755728867965</v>
      </c>
      <c r="GC245" s="469">
        <f ca="1">IF($FN245+GC$244&gt;73,"",PRODUCT(INDEX($T$19:$T$93,GC$244):INDEX($T$19:$T$93,GC$244+$FN245-1)))</f>
        <v>0.99978617235271161</v>
      </c>
      <c r="GD245" s="469">
        <f ca="1">IF($FN245+GD$244&gt;73,"",PRODUCT(INDEX($T$19:$T$93,GD$244):INDEX($T$19:$T$93,GD$244+$FN245-1)))</f>
        <v>0.99976241073429384</v>
      </c>
      <c r="GE245" s="469">
        <f ca="1">IF($FN245+GE$244&gt;73,"",PRODUCT(INDEX($T$19:$T$93,GE$244):INDEX($T$19:$T$93,GE$244+$FN245-1)))</f>
        <v>0.99973600821772157</v>
      </c>
      <c r="GF245" s="469">
        <f ca="1">IF($FN245+GF$244&gt;73,"",PRODUCT(INDEX($T$19:$T$93,GF$244):INDEX($T$19:$T$93,GF$244+$FN245-1)))</f>
        <v>0.99970667119578083</v>
      </c>
      <c r="GG245" s="469">
        <f ca="1">IF($FN245+GG$244&gt;73,"",PRODUCT(INDEX($T$19:$T$93,GG$244):INDEX($T$19:$T$93,GG$244+$FN245-1)))</f>
        <v>0.99967407339553482</v>
      </c>
      <c r="GH245" s="469">
        <f ca="1">IF($FN245+GH$244&gt;73,"",PRODUCT(INDEX($T$19:$T$93,GH$244):INDEX($T$19:$T$93,GH$244+$FN245-1)))</f>
        <v>0.99963785223816115</v>
      </c>
      <c r="GI245" s="469">
        <f ca="1">IF($FN245+GI$244&gt;73,"",PRODUCT(INDEX($T$19:$T$93,GI$244):INDEX($T$19:$T$93,GI$244+$FN245-1)))</f>
        <v>0.99959760479162474</v>
      </c>
      <c r="GJ245" s="469">
        <f ca="1">IF($FN245+GJ$244&gt;73,"",PRODUCT(INDEX($T$19:$T$93,GJ$244):INDEX($T$19:$T$93,GJ$244+$FN245-1)))</f>
        <v>0.99955288327024083</v>
      </c>
      <c r="GK245" s="469">
        <f ca="1">IF($FN245+GK$244&gt;73,"",PRODUCT(INDEX($T$19:$T$93,GK$244):INDEX($T$19:$T$93,GK$244+$FN245-1)))</f>
        <v>0.99950319002989363</v>
      </c>
      <c r="GL245" s="469">
        <f ca="1">IF($FN245+GL$244&gt;73,"",PRODUCT(INDEX($T$19:$T$93,GL$244):INDEX($T$19:$T$93,GL$244+$FN245-1)))</f>
        <v>0.99944797200174007</v>
      </c>
      <c r="GM245" s="469">
        <f ca="1">IF($FN245+GM$244&gt;73,"",PRODUCT(INDEX($T$19:$T$93,GM$244):INDEX($T$19:$T$93,GM$244+$FN245-1)))</f>
        <v>0.99938661450057176</v>
      </c>
      <c r="GN245" s="469">
        <f ca="1">IF($FN245+GN$244&gt;73,"",PRODUCT(INDEX($T$19:$T$93,GN$244):INDEX($T$19:$T$93,GN$244+$FN245-1)))</f>
        <v>0.9993184343365239</v>
      </c>
      <c r="GO245" s="469">
        <f ca="1">IF($FN245+GO$244&gt;73,"",PRODUCT(INDEX($T$19:$T$93,GO$244):INDEX($T$19:$T$93,GO$244+$FN245-1)))</f>
        <v>0.99924267215039553</v>
      </c>
      <c r="GP245" s="469">
        <f ca="1">IF($FN245+GP$244&gt;73,"",PRODUCT(INDEX($T$19:$T$93,GP$244):INDEX($T$19:$T$93,GP$244+$FN245-1)))</f>
        <v>0.99915848388334139</v>
      </c>
      <c r="GQ245" s="469">
        <f ca="1">IF($FN245+GQ$244&gt;73,"",PRODUCT(INDEX($T$19:$T$93,GQ$244):INDEX($T$19:$T$93,GQ$244+$FN245-1)))</f>
        <v>0.9990649312809553</v>
      </c>
      <c r="GR245" s="469">
        <f ca="1">IF($FN245+GR$244&gt;73,"",PRODUCT(INDEX($T$19:$T$93,GR$244):INDEX($T$19:$T$93,GR$244+$FN245-1)))</f>
        <v>0.99896097131958983</v>
      </c>
      <c r="GS245" s="469">
        <f ca="1">IF($FN245+GS$244&gt;73,"",PRODUCT(INDEX($T$19:$T$93,GS$244):INDEX($T$19:$T$93,GS$244+$FN245-1)))</f>
        <v>0.99884544442893053</v>
      </c>
      <c r="GT245" s="469">
        <f ca="1">IF($FN245+GT$244&gt;73,"",PRODUCT(INDEX($T$19:$T$93,GT$244):INDEX($T$19:$T$93,GT$244+$FN245-1)))</f>
        <v>0.99871706136907157</v>
      </c>
      <c r="GU245" s="469">
        <f ca="1">IF($FN245+GU$244&gt;73,"",PRODUCT(INDEX($T$19:$T$93,GU$244):INDEX($T$19:$T$93,GU$244+$FN245-1)))</f>
        <v>0.99857438860231351</v>
      </c>
      <c r="GV245" s="469">
        <f ca="1">IF($FN245+GV$244&gt;73,"",PRODUCT(INDEX($T$19:$T$93,GV$244):INDEX($T$19:$T$93,GV$244+$FN245-1)))</f>
        <v>0.99841583197919315</v>
      </c>
      <c r="GW245" s="469">
        <f ca="1">IF($FN245+GW$244&gt;73,"",PRODUCT(INDEX($T$19:$T$93,GW$244):INDEX($T$19:$T$93,GW$244+$FN245-1)))</f>
        <v>0.99823961853438081</v>
      </c>
      <c r="GX245" s="469">
        <f ca="1">IF($FN245+GX$244&gt;73,"",PRODUCT(INDEX($T$19:$T$93,GX$244):INDEX($T$19:$T$93,GX$244+$FN245-1)))</f>
        <v>0.99804377616041584</v>
      </c>
      <c r="GY245" s="469">
        <f ca="1">IF($FN245+GY$244&gt;73,"",PRODUCT(INDEX($T$19:$T$93,GY$244):INDEX($T$19:$T$93,GY$244+$FN245-1)))</f>
        <v>0.99782611089503059</v>
      </c>
      <c r="GZ245" s="469">
        <f ca="1">IF($FN245+GZ$244&gt;73,"",PRODUCT(INDEX($T$19:$T$93,GZ$244):INDEX($T$19:$T$93,GZ$244+$FN245-1)))</f>
        <v>0.99758418152009432</v>
      </c>
      <c r="HA245" s="469">
        <f ca="1">IF($FN245+HA$244&gt;73,"",PRODUCT(INDEX($T$19:$T$93,HA$244):INDEX($T$19:$T$93,HA$244+$FN245-1)))</f>
        <v>0.99731527112576801</v>
      </c>
      <c r="HB245" s="469">
        <f ca="1">IF($FN245+HB$244&gt;73,"",PRODUCT(INDEX($T$19:$T$93,HB$244):INDEX($T$19:$T$93,HB$244+$FN245-1)))</f>
        <v>0.9970163552408029</v>
      </c>
      <c r="HC245" s="469">
        <f ca="1">IF($FN245+HC$244&gt;73,"",PRODUCT(INDEX($T$19:$T$93,HC$244):INDEX($T$19:$T$93,HC$244+$FN245-1)))</f>
        <v>0.99668406606710103</v>
      </c>
      <c r="HD245" s="469">
        <f ca="1">IF($FN245+HD$244&gt;73,"",PRODUCT(INDEX($T$19:$T$93,HD$244):INDEX($T$19:$T$93,HD$244+$FN245-1)))</f>
        <v>0.99631465228123428</v>
      </c>
      <c r="HE245" s="469">
        <f ca="1">IF($FN245+HE$244&gt;73,"",PRODUCT(INDEX($T$19:$T$93,HE$244):INDEX($T$19:$T$93,HE$244+$FN245-1)))</f>
        <v>0.99590393377445274</v>
      </c>
      <c r="HF245" s="469">
        <f ca="1">IF($FN245+HF$244&gt;73,"",PRODUCT(INDEX($T$19:$T$93,HF$244):INDEX($T$19:$T$93,HF$244+$FN245-1)))</f>
        <v>0.99544725059177186</v>
      </c>
      <c r="HG245" s="469">
        <f ca="1">IF($FN245+HG$244&gt;73,"",PRODUCT(INDEX($T$19:$T$93,HG$244):INDEX($T$19:$T$93,HG$244+$FN245-1)))</f>
        <v>0.99493940519482682</v>
      </c>
      <c r="HH245" s="469">
        <f ca="1">IF($FN245+HH$244&gt;73,"",PRODUCT(INDEX($T$19:$T$93,HH$244):INDEX($T$19:$T$93,HH$244+$FN245-1)))</f>
        <v>0.99437459700563902</v>
      </c>
      <c r="HI245" s="469">
        <f ca="1">IF($FN245+HI$244&gt;73,"",PRODUCT(INDEX($T$19:$T$93,HI$244):INDEX($T$19:$T$93,HI$244+$FN245-1)))</f>
        <v>0.99374634798059058</v>
      </c>
      <c r="HJ245" s="469">
        <f ca="1">IF($FN245+HJ$244&gt;73,"",PRODUCT(INDEX($T$19:$T$93,HJ$244):INDEX($T$19:$T$93,HJ$244+$FN245-1)))</f>
        <v>0.99304741770457605</v>
      </c>
      <c r="HK245" s="469">
        <f ca="1">IF($FN245+HK$244&gt;73,"",PRODUCT(INDEX($T$19:$T$93,HK$244):INDEX($T$19:$T$93,HK$244+$FN245-1)))</f>
        <v>0.99226970616996091</v>
      </c>
      <c r="HL245" s="469">
        <f ca="1">IF($FN245+HL$244&gt;73,"",PRODUCT(INDEX($T$19:$T$93,HL$244):INDEX($T$19:$T$93,HL$244+$FN245-1)))</f>
        <v>0.99140414199480897</v>
      </c>
      <c r="HM245" s="469">
        <f ca="1">IF($FN245+HM$244&gt;73,"",PRODUCT(INDEX($T$19:$T$93,HM$244):INDEX($T$19:$T$93,HM$244+$FN245-1)))</f>
        <v>0.99044055331540559</v>
      </c>
      <c r="HN245" s="469">
        <f ca="1">IF($FN245+HN$244&gt;73,"",PRODUCT(INDEX($T$19:$T$93,HN$244):INDEX($T$19:$T$93,HN$244+$FN245-1)))</f>
        <v>0.98936751792766975</v>
      </c>
      <c r="HO245" s="469">
        <f ca="1">IF($FN245+HO$244&gt;73,"",PRODUCT(INDEX($T$19:$T$93,HO$244):INDEX($T$19:$T$93,HO$244+$FN245-1)))</f>
        <v>0.98817218840946786</v>
      </c>
      <c r="HP245" s="469">
        <f ca="1">IF($FN245+HP$244&gt;73,"",PRODUCT(INDEX($T$19:$T$93,HP$244):INDEX($T$19:$T$93,HP$244+$FN245-1)))</f>
        <v>0.98684008687770985</v>
      </c>
      <c r="HQ245" s="469">
        <f ca="1">IF($FN245+HQ$244&gt;73,"",PRODUCT(INDEX($T$19:$T$93,HQ$244):INDEX($T$19:$T$93,HQ$244+$FN245-1)))</f>
        <v>0.98535486265128325</v>
      </c>
      <c r="HR245" s="469">
        <f ca="1">IF($FN245+HR$244&gt;73,"",PRODUCT(INDEX($T$19:$T$93,HR$244):INDEX($T$19:$T$93,HR$244+$FN245-1)))</f>
        <v>0.98369800431385801</v>
      </c>
      <c r="HS245" s="469">
        <f ca="1">IF($FN245+HS$244&gt;73,"",PRODUCT(INDEX($T$19:$T$93,HS$244):INDEX($T$19:$T$93,HS$244+$FN245-1)))</f>
        <v>0.98184849538381136</v>
      </c>
      <c r="HT245" s="469">
        <f ca="1">IF($FN245+HT$244&gt;73,"",PRODUCT(INDEX($T$19:$T$93,HT$244):INDEX($T$19:$T$93,HT$244+$FN245-1)))</f>
        <v>0.97978239985299276</v>
      </c>
      <c r="HU245" s="469">
        <f ca="1">IF($FN245+HU$244&gt;73,"",PRODUCT(INDEX($T$19:$T$93,HU$244):INDEX($T$19:$T$93,HU$244+$FN245-1)))</f>
        <v>0.97747236006020355</v>
      </c>
      <c r="HV245" s="469">
        <f ca="1">IF($FN245+HV$244&gt;73,"",PRODUCT(INDEX($T$19:$T$93,HV$244):INDEX($T$19:$T$93,HV$244+$FN245-1)))</f>
        <v>0.97488698447343047</v>
      </c>
      <c r="HW245" s="469">
        <f ca="1">IF($FN245+HW$244&gt;73,"",PRODUCT(INDEX($T$19:$T$93,HW$244):INDEX($T$19:$T$93,HW$244+$FN245-1)))</f>
        <v>0.97199009665285352</v>
      </c>
      <c r="HX245" s="469">
        <f ca="1">IF($FN245+HX$244&gt;73,"",PRODUCT(INDEX($T$19:$T$93,HX$244):INDEX($T$19:$T$93,HX$244+$FN245-1)))</f>
        <v>0.96873980855388475</v>
      </c>
      <c r="HY245" s="469">
        <f ca="1">IF($FN245+HY$244&gt;73,"",PRODUCT(INDEX($T$19:$T$93,HY$244):INDEX($T$19:$T$93,HY$244+$FN245-1)))</f>
        <v>0.96508737089663732</v>
      </c>
      <c r="HZ245" s="469">
        <f ca="1">IF($FN245+HZ$244&gt;73,"",PRODUCT(INDEX($T$19:$T$93,HZ$244):INDEX($T$19:$T$93,HZ$244+$FN245-1)))</f>
        <v>0.96097573992918128</v>
      </c>
      <c r="IA245" s="469">
        <f ca="1">IF($FN245+IA$244&gt;73,"",PRODUCT(INDEX($T$19:$T$93,IA$244):INDEX($T$19:$T$93,IA$244+$FN245-1)))</f>
        <v>0.95633778272800374</v>
      </c>
      <c r="IB245" s="469">
        <f ca="1">IF($FN245+IB$244&gt;73,"",PRODUCT(INDEX($T$19:$T$93,IB$244):INDEX($T$19:$T$93,IB$244+$FN245-1)))</f>
        <v>0.9510940211719483</v>
      </c>
      <c r="IC245" s="469">
        <f ca="1">IF($FN245+IC$244&gt;73,"",PRODUCT(INDEX($T$19:$T$93,IC$244):INDEX($T$19:$T$93,IC$244+$FN245-1)))</f>
        <v>0.94514978657296045</v>
      </c>
      <c r="ID245" s="469">
        <f ca="1">IF($FN245+ID$244&gt;73,"",PRODUCT(INDEX($T$19:$T$93,ID$244):INDEX($T$19:$T$93,ID$244+$FN245-1)))</f>
        <v>0.93839162094692263</v>
      </c>
      <c r="IE245" s="469">
        <f ca="1">IF($FN245+IE$244&gt;73,"",PRODUCT(INDEX($T$19:$T$93,IE$244):INDEX($T$19:$T$93,IE$244+$FN245-1)))</f>
        <v>0.93068271483292075</v>
      </c>
      <c r="IF245" s="469">
        <f ca="1">IF($FN245+IF$244&gt;73,"",PRODUCT(INDEX($T$19:$T$93,IF$244):INDEX($T$19:$T$93,IF$244+$FN245-1)))</f>
        <v>0.92185711241725843</v>
      </c>
      <c r="IG245" s="469">
        <f ca="1">IF($FN245+IG$244&gt;73,"",PRODUCT(INDEX($T$19:$T$93,IG$244):INDEX($T$19:$T$93,IG$244+$FN245-1)))</f>
        <v>0.91171233827074105</v>
      </c>
      <c r="IH245" s="662">
        <f ca="1">IF($FN245+IH$244&gt;73,"",PRODUCT(INDEX($T$19:$T$93,IH$244):INDEX($T$19:$T$93,IH$244+$FN245-1)))</f>
        <v>0.9</v>
      </c>
      <c r="II245" s="242"/>
    </row>
    <row r="246" spans="8:243">
      <c r="H246" s="49" t="e">
        <f t="shared" ca="1" si="645"/>
        <v>#N/A</v>
      </c>
      <c r="I246" s="369">
        <f t="shared" si="646"/>
        <v>43891</v>
      </c>
      <c r="J246" s="367">
        <v>25.034999999999798</v>
      </c>
      <c r="K246" s="101" t="s">
        <v>267</v>
      </c>
      <c r="L246" s="382">
        <f t="shared" si="647"/>
        <v>25.034999999999808</v>
      </c>
      <c r="M246" s="163">
        <v>0.1211</v>
      </c>
      <c r="N246" s="372">
        <v>0</v>
      </c>
      <c r="O246" s="163">
        <f t="shared" si="595"/>
        <v>0.1211</v>
      </c>
      <c r="P246" s="367">
        <v>23.829374707831199</v>
      </c>
      <c r="Q246" s="101" t="s">
        <v>267</v>
      </c>
      <c r="R246" s="367">
        <f t="shared" ca="1" si="596"/>
        <v>23.829374707831185</v>
      </c>
      <c r="S246" s="814">
        <f t="shared" si="594"/>
        <v>0.34521061264149394</v>
      </c>
      <c r="T246" s="813">
        <f t="shared" si="660"/>
        <v>0.99999999999644151</v>
      </c>
      <c r="U246" s="532">
        <f t="shared" si="661"/>
        <v>0.99999999999999978</v>
      </c>
      <c r="V246" s="379">
        <v>0</v>
      </c>
      <c r="W246" s="424">
        <f t="shared" si="597"/>
        <v>25.067954545454345</v>
      </c>
      <c r="X246" s="405">
        <f t="shared" si="598"/>
        <v>25.067954545454349</v>
      </c>
      <c r="Y246" s="313">
        <f t="shared" si="599"/>
        <v>23.851954545454344</v>
      </c>
      <c r="Z246" s="313">
        <f t="shared" ca="1" si="600"/>
        <v>23.851954545454348</v>
      </c>
      <c r="AA246" s="419">
        <f t="shared" si="623"/>
        <v>1.216</v>
      </c>
      <c r="AB246" s="423">
        <f t="shared" ca="1" si="624"/>
        <v>1.216</v>
      </c>
      <c r="AC246" s="221">
        <v>43881</v>
      </c>
      <c r="AD246" s="221">
        <v>43877</v>
      </c>
      <c r="AE246" s="221">
        <v>43876</v>
      </c>
      <c r="AF246" s="221">
        <v>43872</v>
      </c>
      <c r="AG246" s="241" t="s">
        <v>497</v>
      </c>
      <c r="AH246" s="239" t="s">
        <v>497</v>
      </c>
      <c r="AI246" s="141">
        <v>22</v>
      </c>
      <c r="AJ246" s="41">
        <v>15</v>
      </c>
      <c r="AK246" s="41">
        <v>7</v>
      </c>
      <c r="AL246" s="285">
        <v>22</v>
      </c>
      <c r="AM246" s="41">
        <v>10</v>
      </c>
      <c r="AN246" s="142">
        <v>12</v>
      </c>
      <c r="AO246" s="364">
        <v>6.4038280565727107E-2</v>
      </c>
      <c r="AP246" s="145">
        <f t="shared" ca="1" si="648"/>
        <v>0.30235784235914609</v>
      </c>
      <c r="AQ246" s="364">
        <v>6.0258636113362601E-2</v>
      </c>
      <c r="AR246" s="145">
        <f t="shared" ca="1" si="662"/>
        <v>0.32646549413836851</v>
      </c>
      <c r="AS246" s="264">
        <f t="shared" si="601"/>
        <v>0.1211</v>
      </c>
      <c r="AT246" s="149">
        <f t="shared" si="649"/>
        <v>0.1211</v>
      </c>
      <c r="AU246" s="149">
        <f t="shared" si="625"/>
        <v>0.1211</v>
      </c>
      <c r="AV246" s="263">
        <f t="shared" ca="1" si="669"/>
        <v>0.11913303843815672</v>
      </c>
      <c r="AW246" s="150" t="str">
        <f t="shared" ca="1" si="671"/>
        <v/>
      </c>
      <c r="AX246" s="149">
        <f t="shared" ca="1" si="663"/>
        <v>2.6713228370512506E-3</v>
      </c>
      <c r="AY246" s="149">
        <f t="shared" ca="1" si="664"/>
        <v>7.7268587103749957E-4</v>
      </c>
      <c r="AZ246" s="149">
        <f t="shared" ca="1" si="665"/>
        <v>1.0465218497017334E-3</v>
      </c>
      <c r="BA246" s="149">
        <f t="shared" ca="1" si="666"/>
        <v>1.0000000000001243E-4</v>
      </c>
      <c r="BB246" s="149">
        <f t="shared" ca="1" si="667"/>
        <v>1.0000000000001243E-4</v>
      </c>
      <c r="BC246" s="149">
        <f t="shared" ca="1" si="668"/>
        <v>1.0000000000001243E-4</v>
      </c>
      <c r="BD246" s="143">
        <f t="shared" ca="1" si="602"/>
        <v>0</v>
      </c>
      <c r="BE246" s="144">
        <f t="shared" ca="1" si="603"/>
        <v>0</v>
      </c>
      <c r="BF246" s="40">
        <f t="shared" si="604"/>
        <v>2020</v>
      </c>
      <c r="BG246" s="139">
        <f t="shared" si="605"/>
        <v>3</v>
      </c>
      <c r="BH246" s="140">
        <f t="shared" ca="1" si="606"/>
        <v>6887</v>
      </c>
      <c r="BI246" s="304">
        <f t="shared" ca="1" si="607"/>
        <v>18.89390828199863</v>
      </c>
      <c r="BJ246" s="42">
        <f t="shared" ca="1" si="626"/>
        <v>18.949909775371786</v>
      </c>
      <c r="BK246" s="42">
        <f t="shared" ca="1" si="627"/>
        <v>18.952647626158917</v>
      </c>
      <c r="BL246" s="42">
        <f t="shared" ca="1" si="608"/>
        <v>18.976043805612594</v>
      </c>
      <c r="BM246" s="285">
        <f t="shared" si="609"/>
        <v>22</v>
      </c>
      <c r="BN246" s="41">
        <f t="shared" si="610"/>
        <v>15</v>
      </c>
      <c r="BO246" s="41">
        <f t="shared" si="611"/>
        <v>7</v>
      </c>
      <c r="BP246" s="297" t="str">
        <f t="shared" ca="1" si="628"/>
        <v/>
      </c>
      <c r="BQ246" s="297" t="str">
        <f t="shared" ca="1" si="629"/>
        <v/>
      </c>
      <c r="BR246" s="299" t="str">
        <f t="shared" ca="1" si="630"/>
        <v/>
      </c>
      <c r="BS246" s="153" t="str">
        <f t="shared" ca="1" si="631"/>
        <v/>
      </c>
      <c r="BT246" s="153" t="str">
        <f t="shared" ca="1" si="632"/>
        <v/>
      </c>
      <c r="BU246" s="300" t="str">
        <f t="shared" ca="1" si="633"/>
        <v/>
      </c>
      <c r="BV246" s="301" t="str">
        <f t="shared" ca="1" si="634"/>
        <v/>
      </c>
      <c r="BW246" s="300" t="str">
        <f t="shared" ca="1" si="635"/>
        <v/>
      </c>
      <c r="BX246" s="301" t="str">
        <f t="shared" ca="1" si="636"/>
        <v/>
      </c>
      <c r="BY246" s="146" t="str">
        <f t="shared" ca="1" si="637"/>
        <v/>
      </c>
      <c r="BZ246" s="146" t="str">
        <f t="shared" ca="1" si="638"/>
        <v/>
      </c>
      <c r="CA246" s="146" t="str">
        <f t="shared" ca="1" si="639"/>
        <v/>
      </c>
      <c r="CB246" s="146" t="str">
        <f t="shared" ca="1" si="640"/>
        <v/>
      </c>
      <c r="CC246" s="302">
        <v>1</v>
      </c>
      <c r="CD246" s="154">
        <f ca="1">IF(BD246,_xll.xCrudeAPO(BS246,BT246,BY246,BZ246,S247,S248,BI246,BL246,BN246,BO246,0,Strike1,AO246,CC246,0,BL246,IF(OptControl=4,0,1),0,1),0)</f>
        <v>0</v>
      </c>
      <c r="CE246" s="155">
        <f ca="1">IF(BD246,_xll.xCrudeAPO(BS246,BT246,BY246,BZ246,S247,S248,BI246,BL246,BN246,BO246,0,Strike1,AO246,CC246,0,BL246,IF(OptControl=4,0,1),1,1)+_xll.xCrudeAPO(BS246,BT246,BY246,BZ246,S247,S248,BI246,BL246,BN246,BO246,0,Strike1,AO246,CC246,0,BL246,IF(OptControl=4,0,1),1,2)+IF(OR(VolSkewFlag=2,ABS(BQ246)&lt;0.0001),0,IF(BQ246&gt;0,-1,1)*CF246*Strike1/BP246^2*BW246/10%),0)</f>
        <v>0</v>
      </c>
      <c r="CF246" s="155">
        <f ca="1">IF(BD246,(_xll.xCrudeAPO(BS246,BT246,BY246,BZ246,S247,S248,BI246,BL246,BN246,BO246,0,Strike1,AO246,CC246,0,BL246,IF(OptControl=4,0,1),3,1)+_xll.xCrudeAPO(BS246,BT246,BY246,BZ246,S247,S248,BI246,BL246,BN246,BO246,0,Strike1,AO246,CC246,0,BL246,IF(OptControl=4,0,1),3,2))/100,0)</f>
        <v>0</v>
      </c>
      <c r="CG246" s="155">
        <f ca="1">IF(BD246,_xll.xCrudeAPO(BS246,BT246,BY246,BZ246,S247,S248,BI246-DaysForThetaCalculation/365.25,BL246-DaysForThetaCalculation/365.25,BN246,BO246,0,Strike1,AO246,CC246,0,BL246,IF(OptControl=4,0,1),0,1)-_xll.xCrudeAPO(BS246,BT246,BY246,BZ246,S247,S248,BI246,BL246,BN246,BO246,0,Strike1,AO246,CC246,0,BL246,IF(OptControl=4,0,1),0,1),0)</f>
        <v>0</v>
      </c>
      <c r="CH246" s="303">
        <f ca="1">IF(BD246,_xll.xCrudeAPO(BS246,BT246,CA246,CB246,S247,S248,BI246,BL246,BN246,BO246,0,Strike2,AO246,CC246,0,BL246,IF(OptControl=3,1,0),0,1),0)</f>
        <v>0</v>
      </c>
      <c r="CI246" s="155">
        <f ca="1">IF(BD246,_xll.xCrudeAPO(BS246,BT246,CA246,CB246,S247,S248,BI246,BL246,BN246,BO246,0,Strike2,AO246,CC246,0,BL246,IF(OptControl=3,1,0),1,1)+_xll.xCrudeAPO(BS246,BT246,CA246,CB246,S247,S248,BI246,BL246,BN246,BO246,0,Strike2,AO246,CC246,0,BL246,IF(OptControl=3,1,0),1,2)+IF(OR(VolSkewFlag=2,ABS(BR246)&lt;0.0001),0,IF(BR246&gt;0,-1,1)*CJ246*Strike2/BP246^2*BX246/10%),0)</f>
        <v>0</v>
      </c>
      <c r="CJ246" s="155">
        <f ca="1">IF(BD246,(_xll.xCrudeAPO(BS246,BT246,CA246,CB246,S247,S248,BI246,BL246,BN246,BO246,0,Strike2,AO246,CC246,0,BL246,IF(OptControl=3,1,0),3,1)+_xll.xCrudeAPO(BS246,BT246,CA246,CB246,S247,S248,BI246,BL246,BN246,BO246,0,Strike2,AO246,CC246,0,BL246,IF(OptControl=3,1,0),3,2))/100,0)</f>
        <v>0</v>
      </c>
      <c r="CK246" s="156">
        <f ca="1">IF(BD246,_xll.xCrudeAPO(BS246,BT246,CA246,CB246,S247,S248,BI246-DaysForThetaCalculation/365.25,BL246-DaysForThetaCalculation/365.25,BN246,BO246,0,Strike2,AO246,CC246,0,BL246,IF(OptControl=3,1,0),0,1)-_xll.xCrudeAPO(BS246,BT246,CA246,CB246,S247,S248,BI246,BL246,BN246,BO246,0,Strike2,AO246,CC246,0,BL246,IF(OptControl=3,1,0),0,1),0)</f>
        <v>0</v>
      </c>
      <c r="CL246" s="51"/>
      <c r="CM246" s="779" t="str">
        <f t="shared" ca="1" si="650"/>
        <v/>
      </c>
      <c r="CN246" s="783" t="str">
        <f t="shared" ca="1" si="651"/>
        <v/>
      </c>
      <c r="CO246" s="780" t="str">
        <f t="shared" ca="1" si="652"/>
        <v/>
      </c>
      <c r="CP246" s="780" t="str">
        <f t="shared" ca="1" si="653"/>
        <v/>
      </c>
      <c r="CQ246" s="780" t="str">
        <f t="shared" ca="1" si="654"/>
        <v/>
      </c>
      <c r="CR246" s="780" t="str">
        <f t="shared" ca="1" si="655"/>
        <v/>
      </c>
      <c r="CS246" s="781" t="str">
        <f t="shared" ca="1" si="656"/>
        <v/>
      </c>
      <c r="CT246" s="782" t="str">
        <f t="shared" ca="1" si="657"/>
        <v/>
      </c>
      <c r="CU246" s="782" t="str">
        <f t="shared" ca="1" si="658"/>
        <v/>
      </c>
      <c r="CV246" s="155">
        <f ca="1">IF(BD246,_xll.EURO(CN246,Strike1,AO246,AO246,CT246,CM246,IF(OptControl=4,0,1),0),0)</f>
        <v>0</v>
      </c>
      <c r="CW246" s="155">
        <f ca="1">IF(BD246,_xll.EURO(CN246,Strike1,AO246,AO246,CT246,CM246,IF(OptControl=4,0,1),1)+IF(OR(VolSkewFlag=2,ABS(CO246)&lt;0.0001),0,IF(CO246&gt;0,-1,1)*CX246*100*Strike1/CN246^2*CQ246/10%),0)</f>
        <v>0</v>
      </c>
      <c r="CX246" s="155">
        <f ca="1">IF(BD246,_xll.EURO(CN246,Strike1,AO246,AO246,CT246,CM246,IF(OptControl=4,0,1),3)/100,0)</f>
        <v>0</v>
      </c>
      <c r="CY246" s="155">
        <f ca="1">IF(BD246,_xll.EURO(CN246,Strike1,AO246,AO246,CT246,CM246,IF(OptControl=4,0,1),0)-_xll.EURO(CN246,Strike1,AO246,AO246,CT246,CM246-1,IF(OptControl=4,0,1),0),0)</f>
        <v>0</v>
      </c>
      <c r="CZ246" s="155">
        <f ca="1">IF(BD246,_xll.EURO(CN246,Strike2,AO246,AO246,CU246,CM246,IF(OptControl=3,1,0),0),0)</f>
        <v>0</v>
      </c>
      <c r="DA246" s="155">
        <f ca="1">IF(BD246,_xll.EURO(CN246,Strike2,AO246,AO246,CU246,CM246,IF(OptControl=3,1,0),1)+IF(OR(VolSkewFlag=2,ABS(CP246)&lt;0.0001),0,IF(CP246&gt;0,-1,1)*DB246*100*Strike2/CN246^2*CR246/10%),0)</f>
        <v>0</v>
      </c>
      <c r="DB246" s="155">
        <f ca="1">IF(BD246,_xll.EURO(CN246,Strike2,AO246,AO246,CU246,CM246,IF(OptControl=3,1,0),3)/100,0)</f>
        <v>0</v>
      </c>
      <c r="DC246" s="156">
        <f ca="1">IF(BD246,_xll.EURO(CN246,Strike2,AO246,AO246,CU246,CM246,IF(OptControl=3,1,0),0)-_xll.EURO(CN246,Strike2,AO246,AO246,CU246,CM246-1,IF(OptControl=3,1,0),0),0)</f>
        <v>0</v>
      </c>
      <c r="DE246" s="651">
        <f t="shared" ca="1" si="659"/>
        <v>43800</v>
      </c>
      <c r="DF246" s="465">
        <v>1E-4</v>
      </c>
      <c r="DG246" s="649">
        <v>1E-4</v>
      </c>
      <c r="DH246" s="650">
        <f t="shared" ca="1" si="612"/>
        <v>43800</v>
      </c>
      <c r="DI246" s="465">
        <v>1E-4</v>
      </c>
      <c r="DJ246" s="649">
        <v>1E-4</v>
      </c>
      <c r="DK246" s="651">
        <f t="shared" ca="1" si="613"/>
        <v>43800</v>
      </c>
      <c r="DL246" s="652">
        <f t="shared" si="614"/>
        <v>5.0100000000000006E-2</v>
      </c>
      <c r="DM246" s="651">
        <f t="shared" ca="1" si="615"/>
        <v>43800</v>
      </c>
      <c r="DN246" s="563">
        <f t="shared" si="616"/>
        <v>-0.12990000000000002</v>
      </c>
      <c r="DO246" s="803">
        <v>-0.13</v>
      </c>
      <c r="DP246" s="650">
        <f t="shared" ca="1" si="617"/>
        <v>43800</v>
      </c>
      <c r="DQ246" s="653">
        <v>1E-4</v>
      </c>
      <c r="DR246" s="590">
        <v>1E-4</v>
      </c>
      <c r="DS246" s="650">
        <f t="shared" ca="1" si="618"/>
        <v>43800</v>
      </c>
      <c r="DT246" s="653">
        <v>1E-4</v>
      </c>
      <c r="DU246" s="590">
        <v>1E-4</v>
      </c>
      <c r="DV246" s="651">
        <f t="shared" ca="1" si="619"/>
        <v>43800</v>
      </c>
      <c r="DW246" s="590">
        <v>1E-4</v>
      </c>
      <c r="DX246" s="651">
        <f t="shared" ca="1" si="620"/>
        <v>43800</v>
      </c>
      <c r="DY246" s="590">
        <f t="shared" si="621"/>
        <v>1E-4</v>
      </c>
      <c r="DZ246" s="1"/>
      <c r="EA246" s="857"/>
      <c r="EB246" s="857"/>
      <c r="EC246" s="857"/>
      <c r="ED246" s="868" t="e">
        <f t="shared" ca="1" si="670"/>
        <v>#NAME?</v>
      </c>
      <c r="EE246" s="863" t="e">
        <f t="shared" ca="1" si="641"/>
        <v>#NAME?</v>
      </c>
      <c r="EF246" s="590" t="e">
        <f t="shared" ca="1" si="642"/>
        <v>#NAME?</v>
      </c>
      <c r="EG246" s="862" t="str">
        <f t="shared" ca="1" si="622"/>
        <v/>
      </c>
      <c r="EH246" s="114" t="str">
        <f t="shared" ca="1" si="643"/>
        <v/>
      </c>
      <c r="EI246" s="109" t="str">
        <f t="shared" ca="1" si="644"/>
        <v/>
      </c>
      <c r="EJ246" s="115">
        <f ca="1">IF(BD246,_xll.xASN(BP246,Strike1,AO246,EH246,0,BM246,0,BI246,BL246,IF(OptControl=4,0,1),0),0)</f>
        <v>0</v>
      </c>
      <c r="EK246" s="108">
        <f ca="1">IF(BD246,_xll.xASN(BP246,Strike2,AO246,EI246,0,BM246,0,BI246,BL246,IF(OptControl=3,1,0),0),0)</f>
        <v>0</v>
      </c>
      <c r="EP246" s="53"/>
      <c r="EQ246" s="1"/>
      <c r="ER246" s="103"/>
      <c r="ES246" s="103"/>
      <c r="ET246" s="1"/>
      <c r="EU246" s="667" t="s">
        <v>459</v>
      </c>
      <c r="EW246" s="53"/>
      <c r="EY246" s="104"/>
      <c r="FN246" s="657">
        <v>2</v>
      </c>
      <c r="FO246" s="469" t="str">
        <f ca="1">IF($FN246+FO$244&gt;73,"",PRODUCT(INDEX($T$19:$T$93,FO$244):INDEX($T$19:$T$93,FO$244+$FN246-1)))</f>
        <v/>
      </c>
      <c r="FP246" s="469">
        <f ca="1">IF($FN246+FP$244&gt;73,"",PRODUCT(INDEX($T$19:$T$93,FP$244):INDEX($T$19:$T$93,FP$244+$FN246-1)))</f>
        <v>0.99989674233356329</v>
      </c>
      <c r="FQ246" s="469">
        <f ca="1">IF($FN246+FQ$244&gt;73,"",PRODUCT(INDEX($T$19:$T$93,FQ$244):INDEX($T$19:$T$93,FQ$244+$FN246-1)))</f>
        <v>0.99988526925070831</v>
      </c>
      <c r="FR246" s="469">
        <f ca="1">IF($FN246+FR$244&gt;73,"",PRODUCT(INDEX($T$19:$T$93,FR$244):INDEX($T$19:$T$93,FR$244+$FN246-1)))</f>
        <v>0.99987252137811411</v>
      </c>
      <c r="FS246" s="469">
        <f ca="1">IF($FN246+FS$244&gt;73,"",PRODUCT(INDEX($T$19:$T$93,FS$244):INDEX($T$19:$T$93,FS$244+$FN246-1)))</f>
        <v>0.99985835707160031</v>
      </c>
      <c r="FT246" s="469">
        <f ca="1">IF($FN246+FT$244&gt;73,"",PRODUCT(INDEX($T$19:$T$93,FT$244):INDEX($T$19:$T$93,FT$244+$FN246-1)))</f>
        <v>0.99984261894846205</v>
      </c>
      <c r="FU246" s="469">
        <f ca="1">IF($FN246+FU$244&gt;73,"",PRODUCT(INDEX($T$19:$T$93,FU$244):INDEX($T$19:$T$93,FU$244+$FN246-1)))</f>
        <v>0.99982513213865365</v>
      </c>
      <c r="FV246" s="469">
        <f ca="1">IF($FN246+FV$244&gt;73,"",PRODUCT(INDEX($T$19:$T$93,FV$244):INDEX($T$19:$T$93,FV$244+$FN246-1)))</f>
        <v>0.99980570234162858</v>
      </c>
      <c r="FW246" s="469">
        <f ca="1">IF($FN246+FW$244&gt;73,"",PRODUCT(INDEX($T$19:$T$93,FW$244):INDEX($T$19:$T$93,FW$244+$FN246-1)))</f>
        <v>0.99978411366723408</v>
      </c>
      <c r="FX246" s="469">
        <f ca="1">IF($FN246+FX$244&gt;73,"",PRODUCT(INDEX($T$19:$T$93,FX$244):INDEX($T$19:$T$93,FX$244+$FN246-1)))</f>
        <v>0.99976012623665045</v>
      </c>
      <c r="FY246" s="469">
        <f ca="1">IF($FN246+FY$244&gt;73,"",PRODUCT(INDEX($T$19:$T$93,FY$244):INDEX($T$19:$T$93,FY$244+$FN246-1)))</f>
        <v>0.99973347351669972</v>
      </c>
      <c r="FZ246" s="469">
        <f ca="1">IF($FN246+FZ$244&gt;73,"",PRODUCT(INDEX($T$19:$T$93,FZ$244):INDEX($T$19:$T$93,FZ$244+$FN246-1)))</f>
        <v>0.99970385935787043</v>
      </c>
      <c r="GA246" s="469">
        <f ca="1">IF($FN246+GA$244&gt;73,"",PRODUCT(INDEX($T$19:$T$93,GA$244):INDEX($T$19:$T$93,GA$244+$FN246-1)))</f>
        <v>0.99967095470311151</v>
      </c>
      <c r="GB246" s="469">
        <f ca="1">IF($FN246+GB$244&gt;73,"",PRODUCT(INDEX($T$19:$T$93,GB$244):INDEX($T$19:$T$93,GB$244+$FN246-1)))</f>
        <v>0.99963439393076903</v>
      </c>
      <c r="GC246" s="469">
        <f ca="1">IF($FN246+GC$244&gt;73,"",PRODUCT(INDEX($T$19:$T$93,GC$244):INDEX($T$19:$T$93,GC$244+$FN246-1)))</f>
        <v>0.99959377079096345</v>
      </c>
      <c r="GD246" s="469">
        <f ca="1">IF($FN246+GD$244&gt;73,"",PRODUCT(INDEX($T$19:$T$93,GD$244):INDEX($T$19:$T$93,GD$244+$FN246-1)))</f>
        <v>0.99954863389015913</v>
      </c>
      <c r="GE246" s="469">
        <f ca="1">IF($FN246+GE$244&gt;73,"",PRODUCT(INDEX($T$19:$T$93,GE$244):INDEX($T$19:$T$93,GE$244+$FN246-1)))</f>
        <v>0.99949848167362909</v>
      </c>
      <c r="GF246" s="469">
        <f ca="1">IF($FN246+GF$244&gt;73,"",PRODUCT(INDEX($T$19:$T$93,GF$244):INDEX($T$19:$T$93,GF$244+$FN246-1)))</f>
        <v>0.99944275684989625</v>
      </c>
      <c r="GG246" s="469">
        <f ca="1">IF($FN246+GG$244&gt;73,"",PRODUCT(INDEX($T$19:$T$93,GG$244):INDEX($T$19:$T$93,GG$244+$FN246-1)))</f>
        <v>0.99938084019497675</v>
      </c>
      <c r="GH246" s="469">
        <f ca="1">IF($FN246+GH$244&gt;73,"",PRODUCT(INDEX($T$19:$T$93,GH$244):INDEX($T$19:$T$93,GH$244+$FN246-1)))</f>
        <v>0.99931204366728632</v>
      </c>
      <c r="GI246" s="469">
        <f ca="1">IF($FN246+GI$244&gt;73,"",PRODUCT(INDEX($T$19:$T$93,GI$244):INDEX($T$19:$T$93,GI$244+$FN246-1)))</f>
        <v>0.99923560275630996</v>
      </c>
      <c r="GJ246" s="469">
        <f ca="1">IF($FN246+GJ$244&gt;73,"",PRODUCT(INDEX($T$19:$T$93,GJ$244):INDEX($T$19:$T$93,GJ$244+$FN246-1)))</f>
        <v>0.99915066797949526</v>
      </c>
      <c r="GK246" s="469">
        <f ca="1">IF($FN246+GK$244&gt;73,"",PRODUCT(INDEX($T$19:$T$93,GK$244):INDEX($T$19:$T$93,GK$244+$FN246-1)))</f>
        <v>0.99905629543218366</v>
      </c>
      <c r="GL246" s="469">
        <f ca="1">IF($FN246+GL$244&gt;73,"",PRODUCT(INDEX($T$19:$T$93,GL$244):INDEX($T$19:$T$93,GL$244+$FN246-1)))</f>
        <v>0.998951436284647</v>
      </c>
      <c r="GM246" s="469">
        <f ca="1">IF($FN246+GM$244&gt;73,"",PRODUCT(INDEX($T$19:$T$93,GM$244):INDEX($T$19:$T$93,GM$244+$FN246-1)))</f>
        <v>0.9988349251082812</v>
      </c>
      <c r="GN246" s="469">
        <f ca="1">IF($FN246+GN$244&gt;73,"",PRODUCT(INDEX($T$19:$T$93,GN$244):INDEX($T$19:$T$93,GN$244+$FN246-1)))</f>
        <v>0.9987054668995905</v>
      </c>
      <c r="GO246" s="469">
        <f ca="1">IF($FN246+GO$244&gt;73,"",PRODUCT(INDEX($T$19:$T$93,GO$244):INDEX($T$19:$T$93,GO$244+$FN246-1)))</f>
        <v>0.99856162265557769</v>
      </c>
      <c r="GP246" s="469">
        <f ca="1">IF($FN246+GP$244&gt;73,"",PRODUCT(INDEX($T$19:$T$93,GP$244):INDEX($T$19:$T$93,GP$244+$FN246-1)))</f>
        <v>0.99840179333732793</v>
      </c>
      <c r="GQ246" s="469">
        <f ca="1">IF($FN246+GQ$244&gt;73,"",PRODUCT(INDEX($T$19:$T$93,GQ$244):INDEX($T$19:$T$93,GQ$244+$FN246-1)))</f>
        <v>0.99822420203969398</v>
      </c>
      <c r="GR246" s="469">
        <f ca="1">IF($FN246+GR$244&gt;73,"",PRODUCT(INDEX($T$19:$T$93,GR$244):INDEX($T$19:$T$93,GR$244+$FN246-1)))</f>
        <v>0.99802687416376235</v>
      </c>
      <c r="GS246" s="469">
        <f ca="1">IF($FN246+GS$244&gt;73,"",PRODUCT(INDEX($T$19:$T$93,GS$244):INDEX($T$19:$T$93,GS$244+$FN246-1)))</f>
        <v>0.99780761536487184</v>
      </c>
      <c r="GT246" s="469">
        <f ca="1">IF($FN246+GT$244&gt;73,"",PRODUCT(INDEX($T$19:$T$93,GT$244):INDEX($T$19:$T$93,GT$244+$FN246-1)))</f>
        <v>0.99756398702194582</v>
      </c>
      <c r="GU246" s="469">
        <f ca="1">IF($FN246+GU$244&gt;73,"",PRODUCT(INDEX($T$19:$T$93,GU$244):INDEX($T$19:$T$93,GU$244+$FN246-1)))</f>
        <v>0.99729327894331987</v>
      </c>
      <c r="GV246" s="469">
        <f ca="1">IF($FN246+GV$244&gt;73,"",PRODUCT(INDEX($T$19:$T$93,GV$244):INDEX($T$19:$T$93,GV$244+$FN246-1)))</f>
        <v>0.99699247898949295</v>
      </c>
      <c r="GW246" s="469">
        <f ca="1">IF($FN246+GW$244&gt;73,"",PRODUCT(INDEX($T$19:$T$93,GW$244):INDEX($T$19:$T$93,GW$244+$FN246-1)))</f>
        <v>0.9966582392535962</v>
      </c>
      <c r="GX246" s="469">
        <f ca="1">IF($FN246+GX$244&gt;73,"",PRODUCT(INDEX($T$19:$T$93,GX$244):INDEX($T$19:$T$93,GX$244+$FN246-1)))</f>
        <v>0.99628683839498644</v>
      </c>
      <c r="GY246" s="469">
        <f ca="1">IF($FN246+GY$244&gt;73,"",PRODUCT(INDEX($T$19:$T$93,GY$244):INDEX($T$19:$T$93,GY$244+$FN246-1)))</f>
        <v>0.99587413966913818</v>
      </c>
      <c r="GZ246" s="469">
        <f ca="1">IF($FN246+GZ$244&gt;73,"",PRODUCT(INDEX($T$19:$T$93,GZ$244):INDEX($T$19:$T$93,GZ$244+$FN246-1)))</f>
        <v>0.99541554413659794</v>
      </c>
      <c r="HA246" s="469">
        <f ca="1">IF($FN246+HA$244&gt;73,"",PRODUCT(INDEX($T$19:$T$93,HA$244):INDEX($T$19:$T$93,HA$244+$FN246-1)))</f>
        <v>0.99490593846349018</v>
      </c>
      <c r="HB246" s="469">
        <f ca="1">IF($FN246+HB$244&gt;73,"",PRODUCT(INDEX($T$19:$T$93,HB$244):INDEX($T$19:$T$93,HB$244+$FN246-1)))</f>
        <v>0.99433963664380642</v>
      </c>
      <c r="HC246" s="469">
        <f ca="1">IF($FN246+HC$244&gt;73,"",PRODUCT(INDEX($T$19:$T$93,HC$244):INDEX($T$19:$T$93,HC$244+$FN246-1)))</f>
        <v>0.99371031487680461</v>
      </c>
      <c r="HD246" s="469">
        <f ca="1">IF($FN246+HD$244&gt;73,"",PRODUCT(INDEX($T$19:$T$93,HD$244):INDEX($T$19:$T$93,HD$244+$FN246-1)))</f>
        <v>0.99301093871789048</v>
      </c>
      <c r="HE246" s="469">
        <f ca="1">IF($FN246+HE$244&gt;73,"",PRODUCT(INDEX($T$19:$T$93,HE$244):INDEX($T$19:$T$93,HE$244+$FN246-1)))</f>
        <v>0.99223368148400726</v>
      </c>
      <c r="HF246" s="469">
        <f ca="1">IF($FN246+HF$244&gt;73,"",PRODUCT(INDEX($T$19:$T$93,HF$244):INDEX($T$19:$T$93,HF$244+$FN246-1)))</f>
        <v>0.99136983272930901</v>
      </c>
      <c r="HG246" s="469">
        <f ca="1">IF($FN246+HG$244&gt;73,"",PRODUCT(INDEX($T$19:$T$93,HG$244):INDEX($T$19:$T$93,HG$244+$FN246-1)))</f>
        <v>0.99040969540660317</v>
      </c>
      <c r="HH246" s="469">
        <f ca="1">IF($FN246+HH$244&gt;73,"",PRODUCT(INDEX($T$19:$T$93,HH$244):INDEX($T$19:$T$93,HH$244+$FN246-1)))</f>
        <v>0.98934247008563614</v>
      </c>
      <c r="HI246" s="469">
        <f ca="1">IF($FN246+HI$244&gt;73,"",PRODUCT(INDEX($T$19:$T$93,HI$244):INDEX($T$19:$T$93,HI$244+$FN246-1)))</f>
        <v>0.98815612429902533</v>
      </c>
      <c r="HJ246" s="469">
        <f ca="1">IF($FN246+HJ$244&gt;73,"",PRODUCT(INDEX($T$19:$T$93,HJ$244):INDEX($T$19:$T$93,HJ$244+$FN246-1)))</f>
        <v>0.98683724471547851</v>
      </c>
      <c r="HK246" s="469">
        <f ca="1">IF($FN246+HK$244&gt;73,"",PRODUCT(INDEX($T$19:$T$93,HK$244):INDEX($T$19:$T$93,HK$244+$FN246-1)))</f>
        <v>0.98537086937855811</v>
      </c>
      <c r="HL246" s="469">
        <f ca="1">IF($FN246+HL$244&gt;73,"",PRODUCT(INDEX($T$19:$T$93,HL$244):INDEX($T$19:$T$93,HL$244+$FN246-1)))</f>
        <v>0.98374029667287133</v>
      </c>
      <c r="HM246" s="469">
        <f ca="1">IF($FN246+HM$244&gt;73,"",PRODUCT(INDEX($T$19:$T$93,HM$244):INDEX($T$19:$T$93,HM$244+$FN246-1)))</f>
        <v>0.98192686695652354</v>
      </c>
      <c r="HN246" s="469">
        <f ca="1">IF($FN246+HN$244&gt;73,"",PRODUCT(INDEX($T$19:$T$93,HN$244):INDEX($T$19:$T$93,HN$244+$FN246-1)))</f>
        <v>0.97990971188857068</v>
      </c>
      <c r="HO246" s="469">
        <f ca="1">IF($FN246+HO$244&gt;73,"",PRODUCT(INDEX($T$19:$T$93,HO$244):INDEX($T$19:$T$93,HO$244+$FN246-1)))</f>
        <v>0.97766546533182885</v>
      </c>
      <c r="HP246" s="469">
        <f ca="1">IF($FN246+HP$244&gt;73,"",PRODUCT(INDEX($T$19:$T$93,HP$244):INDEX($T$19:$T$93,HP$244+$FN246-1)))</f>
        <v>0.97516792826013587</v>
      </c>
      <c r="HQ246" s="469">
        <f ca="1">IF($FN246+HQ$244&gt;73,"",PRODUCT(INDEX($T$19:$T$93,HQ$244):INDEX($T$19:$T$93,HQ$244+$FN246-1)))</f>
        <v>0.97238767826416617</v>
      </c>
      <c r="HR246" s="469">
        <f ca="1">IF($FN246+HR$244&gt;73,"",PRODUCT(INDEX($T$19:$T$93,HR$244):INDEX($T$19:$T$93,HR$244+$FN246-1)))</f>
        <v>0.96929161193102298</v>
      </c>
      <c r="HS246" s="469">
        <f ca="1">IF($FN246+HS$244&gt;73,"",PRODUCT(INDEX($T$19:$T$93,HS$244):INDEX($T$19:$T$93,HS$244+$FN246-1)))</f>
        <v>0.96584240544761946</v>
      </c>
      <c r="HT246" s="469">
        <f ca="1">IF($FN246+HT$244&gt;73,"",PRODUCT(INDEX($T$19:$T$93,HT$244):INDEX($T$19:$T$93,HT$244+$FN246-1)))</f>
        <v>0.96199787509920076</v>
      </c>
      <c r="HU246" s="469">
        <f ca="1">IF($FN246+HU$244&gt;73,"",PRODUCT(INDEX($T$19:$T$93,HU$244):INDEX($T$19:$T$93,HU$244+$FN246-1)))</f>
        <v>0.95771021472975482</v>
      </c>
      <c r="HV246" s="469">
        <f ca="1">IF($FN246+HV$244&gt;73,"",PRODUCT(INDEX($T$19:$T$93,HV$244):INDEX($T$19:$T$93,HV$244+$FN246-1)))</f>
        <v>0.95292508150521915</v>
      </c>
      <c r="HW246" s="469">
        <f ca="1">IF($FN246+HW$244&gt;73,"",PRODUCT(INDEX($T$19:$T$93,HW$244):INDEX($T$19:$T$93,HW$244+$FN246-1)))</f>
        <v>0.94758049426393864</v>
      </c>
      <c r="HX246" s="469">
        <f ca="1">IF($FN246+HX$244&gt;73,"",PRODUCT(INDEX($T$19:$T$93,HX$244):INDEX($T$19:$T$93,HX$244+$FN246-1)))</f>
        <v>0.94160550014775724</v>
      </c>
      <c r="HY246" s="469">
        <f ca="1">IF($FN246+HY$244&gt;73,"",PRODUCT(INDEX($T$19:$T$93,HY$244):INDEX($T$19:$T$93,HY$244+$FN246-1)))</f>
        <v>0.93491855492018039</v>
      </c>
      <c r="HZ246" s="469">
        <f ca="1">IF($FN246+HZ$244&gt;73,"",PRODUCT(INDEX($T$19:$T$93,HZ$244):INDEX($T$19:$T$93,HZ$244+$FN246-1)))</f>
        <v>0.92742555034370422</v>
      </c>
      <c r="IA246" s="469">
        <f ca="1">IF($FN246+IA$244&gt;73,"",PRODUCT(INDEX($T$19:$T$93,IA$244):INDEX($T$19:$T$93,IA$244+$FN246-1)))</f>
        <v>0.91901740837927604</v>
      </c>
      <c r="IB246" s="469">
        <f ca="1">IF($FN246+IB$244&gt;73,"",PRODUCT(INDEX($T$19:$T$93,IB$244):INDEX($T$19:$T$93,IB$244+$FN246-1)))</f>
        <v>0.90956714737344213</v>
      </c>
      <c r="IC246" s="469">
        <f ca="1">IF($FN246+IC$244&gt;73,"",PRODUCT(INDEX($T$19:$T$93,IC$244):INDEX($T$19:$T$93,IC$244+$FN246-1)))</f>
        <v>0.89892631112148569</v>
      </c>
      <c r="ID246" s="469">
        <f ca="1">IF($FN246+ID$244&gt;73,"",PRODUCT(INDEX($T$19:$T$93,ID$244):INDEX($T$19:$T$93,ID$244+$FN246-1)))</f>
        <v>0.8869206402598383</v>
      </c>
      <c r="IE246" s="469">
        <f ca="1">IF($FN246+IE$244&gt;73,"",PRODUCT(INDEX($T$19:$T$93,IE$244):INDEX($T$19:$T$93,IE$244+$FN246-1)))</f>
        <v>0.87334486135934708</v>
      </c>
      <c r="IF246" s="469">
        <f ca="1">IF($FN246+IF$244&gt;73,"",PRODUCT(INDEX($T$19:$T$93,IF$244):INDEX($T$19:$T$93,IF$244+$FN246-1)))</f>
        <v>0.85795648007253111</v>
      </c>
      <c r="IG246" s="469">
        <f ca="1">IF($FN246+IG$244&gt;73,"",PRODUCT(INDEX($T$19:$T$93,IG$244):INDEX($T$19:$T$93,IG$244+$FN246-1)))</f>
        <v>0.84046850351345204</v>
      </c>
      <c r="IH246" s="662">
        <f ca="1">IF($FN246+IH$244&gt;73,"",PRODUCT(INDEX($T$19:$T$93,IH$244):INDEX($T$19:$T$93,IH$244+$FN246-1)))</f>
        <v>0.82054110444366701</v>
      </c>
      <c r="II246" s="242"/>
    </row>
    <row r="247" spans="8:243">
      <c r="H247" s="49" t="e">
        <f t="shared" ca="1" si="645"/>
        <v>#N/A</v>
      </c>
      <c r="I247" s="369">
        <f t="shared" si="646"/>
        <v>43922</v>
      </c>
      <c r="J247" s="367">
        <v>25.059999999999796</v>
      </c>
      <c r="K247" s="101" t="s">
        <v>267</v>
      </c>
      <c r="L247" s="382">
        <f t="shared" si="647"/>
        <v>25.059999999999807</v>
      </c>
      <c r="M247" s="163">
        <v>0.1211</v>
      </c>
      <c r="N247" s="372">
        <v>0</v>
      </c>
      <c r="O247" s="163">
        <f t="shared" si="595"/>
        <v>0.1211</v>
      </c>
      <c r="P247" s="367">
        <v>23.823625292168401</v>
      </c>
      <c r="Q247" s="101" t="s">
        <v>267</v>
      </c>
      <c r="R247" s="367">
        <f t="shared" ca="1" si="596"/>
        <v>23.82362529216843</v>
      </c>
      <c r="S247" s="814">
        <f t="shared" si="594"/>
        <v>0.34515850651507901</v>
      </c>
      <c r="T247" s="813">
        <f t="shared" si="660"/>
        <v>0.99999999999679734</v>
      </c>
      <c r="U247" s="532">
        <f t="shared" si="661"/>
        <v>0.99999999999999978</v>
      </c>
      <c r="V247" s="379">
        <v>0</v>
      </c>
      <c r="W247" s="424">
        <f t="shared" si="597"/>
        <v>25.094090909090706</v>
      </c>
      <c r="X247" s="405">
        <f t="shared" si="598"/>
        <v>25.094090909090713</v>
      </c>
      <c r="Y247" s="313">
        <f t="shared" si="599"/>
        <v>23.750090909090705</v>
      </c>
      <c r="Z247" s="313">
        <f t="shared" ca="1" si="600"/>
        <v>23.750090909090712</v>
      </c>
      <c r="AA247" s="419">
        <f t="shared" si="623"/>
        <v>1.3440000000000001</v>
      </c>
      <c r="AB247" s="423">
        <f t="shared" ca="1" si="624"/>
        <v>1.3440000000000001</v>
      </c>
      <c r="AC247" s="221">
        <v>43910</v>
      </c>
      <c r="AD247" s="221">
        <v>43906</v>
      </c>
      <c r="AE247" s="221">
        <v>43905</v>
      </c>
      <c r="AF247" s="221">
        <v>43901</v>
      </c>
      <c r="AG247" s="241" t="s">
        <v>497</v>
      </c>
      <c r="AH247" s="239" t="s">
        <v>497</v>
      </c>
      <c r="AI247" s="141">
        <v>22</v>
      </c>
      <c r="AJ247" s="41">
        <v>14</v>
      </c>
      <c r="AK247" s="41">
        <v>8</v>
      </c>
      <c r="AL247" s="285">
        <v>22</v>
      </c>
      <c r="AM247" s="41">
        <v>10</v>
      </c>
      <c r="AN247" s="142">
        <v>12</v>
      </c>
      <c r="AO247" s="364">
        <v>6.4083603166564806E-2</v>
      </c>
      <c r="AP247" s="145">
        <f t="shared" ca="1" si="648"/>
        <v>0.30054482190631515</v>
      </c>
      <c r="AQ247" s="364">
        <v>6.0219404943261202E-2</v>
      </c>
      <c r="AR247" s="145">
        <f t="shared" ca="1" si="662"/>
        <v>0.32516464189444444</v>
      </c>
      <c r="AS247" s="264">
        <f t="shared" si="601"/>
        <v>0.1211</v>
      </c>
      <c r="AT247" s="149">
        <f t="shared" si="649"/>
        <v>0.1211</v>
      </c>
      <c r="AU247" s="149">
        <f t="shared" si="625"/>
        <v>0.1211</v>
      </c>
      <c r="AV247" s="263">
        <f t="shared" ca="1" si="669"/>
        <v>0.11926989483581626</v>
      </c>
      <c r="AW247" s="150" t="str">
        <f t="shared" ca="1" si="671"/>
        <v/>
      </c>
      <c r="AX247" s="149">
        <f t="shared" ca="1" si="663"/>
        <v>2.6337955228904449E-3</v>
      </c>
      <c r="AY247" s="149">
        <f t="shared" ca="1" si="664"/>
        <v>7.5939113955697665E-4</v>
      </c>
      <c r="AZ247" s="149">
        <f t="shared" ca="1" si="665"/>
        <v>1.0340494968162726E-3</v>
      </c>
      <c r="BA247" s="149">
        <f t="shared" ca="1" si="666"/>
        <v>1.0000000000001251E-4</v>
      </c>
      <c r="BB247" s="149">
        <f t="shared" ca="1" si="667"/>
        <v>1.0000000000001251E-4</v>
      </c>
      <c r="BC247" s="149">
        <f t="shared" ca="1" si="668"/>
        <v>1.0000000000001251E-4</v>
      </c>
      <c r="BD247" s="143">
        <f t="shared" ca="1" si="602"/>
        <v>0</v>
      </c>
      <c r="BE247" s="144">
        <f t="shared" ca="1" si="603"/>
        <v>0</v>
      </c>
      <c r="BF247" s="40">
        <f t="shared" si="604"/>
        <v>2020</v>
      </c>
      <c r="BG247" s="139">
        <f t="shared" si="605"/>
        <v>4</v>
      </c>
      <c r="BH247" s="140">
        <f t="shared" ca="1" si="606"/>
        <v>6916</v>
      </c>
      <c r="BI247" s="304">
        <f t="shared" ca="1" si="607"/>
        <v>18.978781656399725</v>
      </c>
      <c r="BJ247" s="42">
        <f t="shared" ca="1" si="626"/>
        <v>19.029307448198619</v>
      </c>
      <c r="BK247" s="42">
        <f t="shared" ca="1" si="627"/>
        <v>19.03204529898575</v>
      </c>
      <c r="BL247" s="42">
        <f t="shared" ca="1" si="608"/>
        <v>19.058179329226558</v>
      </c>
      <c r="BM247" s="285">
        <f t="shared" si="609"/>
        <v>22</v>
      </c>
      <c r="BN247" s="41">
        <f t="shared" si="610"/>
        <v>14</v>
      </c>
      <c r="BO247" s="41">
        <f t="shared" si="611"/>
        <v>8</v>
      </c>
      <c r="BP247" s="297" t="str">
        <f t="shared" ca="1" si="628"/>
        <v/>
      </c>
      <c r="BQ247" s="297" t="str">
        <f t="shared" ca="1" si="629"/>
        <v/>
      </c>
      <c r="BR247" s="299" t="str">
        <f t="shared" ca="1" si="630"/>
        <v/>
      </c>
      <c r="BS247" s="153" t="str">
        <f t="shared" ca="1" si="631"/>
        <v/>
      </c>
      <c r="BT247" s="153" t="str">
        <f t="shared" ca="1" si="632"/>
        <v/>
      </c>
      <c r="BU247" s="300" t="str">
        <f t="shared" ca="1" si="633"/>
        <v/>
      </c>
      <c r="BV247" s="301" t="str">
        <f t="shared" ca="1" si="634"/>
        <v/>
      </c>
      <c r="BW247" s="300" t="str">
        <f t="shared" ca="1" si="635"/>
        <v/>
      </c>
      <c r="BX247" s="301" t="str">
        <f t="shared" ca="1" si="636"/>
        <v/>
      </c>
      <c r="BY247" s="146" t="str">
        <f t="shared" ca="1" si="637"/>
        <v/>
      </c>
      <c r="BZ247" s="146" t="str">
        <f t="shared" ca="1" si="638"/>
        <v/>
      </c>
      <c r="CA247" s="146" t="str">
        <f t="shared" ca="1" si="639"/>
        <v/>
      </c>
      <c r="CB247" s="146" t="str">
        <f t="shared" ca="1" si="640"/>
        <v/>
      </c>
      <c r="CC247" s="302">
        <v>1</v>
      </c>
      <c r="CD247" s="154">
        <f ca="1">IF(BD247,_xll.xCrudeAPO(BS247,BT247,BY247,BZ247,S248,S249,BI247,BL247,BN247,BO247,0,Strike1,AO247,CC247,0,BL247,IF(OptControl=4,0,1),0,1),0)</f>
        <v>0</v>
      </c>
      <c r="CE247" s="155">
        <f ca="1">IF(BD247,_xll.xCrudeAPO(BS247,BT247,BY247,BZ247,S248,S249,BI247,BL247,BN247,BO247,0,Strike1,AO247,CC247,0,BL247,IF(OptControl=4,0,1),1,1)+_xll.xCrudeAPO(BS247,BT247,BY247,BZ247,S248,S249,BI247,BL247,BN247,BO247,0,Strike1,AO247,CC247,0,BL247,IF(OptControl=4,0,1),1,2)+IF(OR(VolSkewFlag=2,ABS(BQ247)&lt;0.0001),0,IF(BQ247&gt;0,-1,1)*CF247*Strike1/BP247^2*BW247/10%),0)</f>
        <v>0</v>
      </c>
      <c r="CF247" s="155">
        <f ca="1">IF(BD247,(_xll.xCrudeAPO(BS247,BT247,BY247,BZ247,S248,S249,BI247,BL247,BN247,BO247,0,Strike1,AO247,CC247,0,BL247,IF(OptControl=4,0,1),3,1)+_xll.xCrudeAPO(BS247,BT247,BY247,BZ247,S248,S249,BI247,BL247,BN247,BO247,0,Strike1,AO247,CC247,0,BL247,IF(OptControl=4,0,1),3,2))/100,0)</f>
        <v>0</v>
      </c>
      <c r="CG247" s="155">
        <f ca="1">IF(BD247,_xll.xCrudeAPO(BS247,BT247,BY247,BZ247,S248,S249,BI247-DaysForThetaCalculation/365.25,BL247-DaysForThetaCalculation/365.25,BN247,BO247,0,Strike1,AO247,CC247,0,BL247,IF(OptControl=4,0,1),0,1)-_xll.xCrudeAPO(BS247,BT247,BY247,BZ247,S248,S249,BI247,BL247,BN247,BO247,0,Strike1,AO247,CC247,0,BL247,IF(OptControl=4,0,1),0,1),0)</f>
        <v>0</v>
      </c>
      <c r="CH247" s="303">
        <f ca="1">IF(BD247,_xll.xCrudeAPO(BS247,BT247,CA247,CB247,S248,S249,BI247,BL247,BN247,BO247,0,Strike2,AO247,CC247,0,BL247,IF(OptControl=3,1,0),0,1),0)</f>
        <v>0</v>
      </c>
      <c r="CI247" s="155">
        <f ca="1">IF(BD247,_xll.xCrudeAPO(BS247,BT247,CA247,CB247,S248,S249,BI247,BL247,BN247,BO247,0,Strike2,AO247,CC247,0,BL247,IF(OptControl=3,1,0),1,1)+_xll.xCrudeAPO(BS247,BT247,CA247,CB247,S248,S249,BI247,BL247,BN247,BO247,0,Strike2,AO247,CC247,0,BL247,IF(OptControl=3,1,0),1,2)+IF(OR(VolSkewFlag=2,ABS(BR247)&lt;0.0001),0,IF(BR247&gt;0,-1,1)*CJ247*Strike2/BP247^2*BX247/10%),0)</f>
        <v>0</v>
      </c>
      <c r="CJ247" s="155">
        <f ca="1">IF(BD247,(_xll.xCrudeAPO(BS247,BT247,CA247,CB247,S248,S249,BI247,BL247,BN247,BO247,0,Strike2,AO247,CC247,0,BL247,IF(OptControl=3,1,0),3,1)+_xll.xCrudeAPO(BS247,BT247,CA247,CB247,S248,S249,BI247,BL247,BN247,BO247,0,Strike2,AO247,CC247,0,BL247,IF(OptControl=3,1,0),3,2))/100,0)</f>
        <v>0</v>
      </c>
      <c r="CK247" s="156">
        <f ca="1">IF(BD247,_xll.xCrudeAPO(BS247,BT247,CA247,CB247,S248,S249,BI247-DaysForThetaCalculation/365.25,BL247-DaysForThetaCalculation/365.25,BN247,BO247,0,Strike2,AO247,CC247,0,BL247,IF(OptControl=3,1,0),0,1)-_xll.xCrudeAPO(BS247,BT247,CA247,CB247,S248,S249,BI247,BL247,BN247,BO247,0,Strike2,AO247,CC247,0,BL247,IF(OptControl=3,1,0),0,1),0)</f>
        <v>0</v>
      </c>
      <c r="CL247" s="51"/>
      <c r="CM247" s="779" t="str">
        <f t="shared" ca="1" si="650"/>
        <v/>
      </c>
      <c r="CN247" s="783" t="str">
        <f t="shared" ca="1" si="651"/>
        <v/>
      </c>
      <c r="CO247" s="780" t="str">
        <f t="shared" ca="1" si="652"/>
        <v/>
      </c>
      <c r="CP247" s="780" t="str">
        <f t="shared" ca="1" si="653"/>
        <v/>
      </c>
      <c r="CQ247" s="780" t="str">
        <f t="shared" ca="1" si="654"/>
        <v/>
      </c>
      <c r="CR247" s="780" t="str">
        <f t="shared" ca="1" si="655"/>
        <v/>
      </c>
      <c r="CS247" s="781" t="str">
        <f t="shared" ca="1" si="656"/>
        <v/>
      </c>
      <c r="CT247" s="782" t="str">
        <f t="shared" ca="1" si="657"/>
        <v/>
      </c>
      <c r="CU247" s="782" t="str">
        <f t="shared" ca="1" si="658"/>
        <v/>
      </c>
      <c r="CV247" s="155">
        <f ca="1">IF(BD247,_xll.EURO(CN247,Strike1,AO247,AO247,CT247,CM247,IF(OptControl=4,0,1),0),0)</f>
        <v>0</v>
      </c>
      <c r="CW247" s="155">
        <f ca="1">IF(BD247,_xll.EURO(CN247,Strike1,AO247,AO247,CT247,CM247,IF(OptControl=4,0,1),1)+IF(OR(VolSkewFlag=2,ABS(CO247)&lt;0.0001),0,IF(CO247&gt;0,-1,1)*CX247*100*Strike1/CN247^2*CQ247/10%),0)</f>
        <v>0</v>
      </c>
      <c r="CX247" s="155">
        <f ca="1">IF(BD247,_xll.EURO(CN247,Strike1,AO247,AO247,CT247,CM247,IF(OptControl=4,0,1),3)/100,0)</f>
        <v>0</v>
      </c>
      <c r="CY247" s="155">
        <f ca="1">IF(BD247,_xll.EURO(CN247,Strike1,AO247,AO247,CT247,CM247,IF(OptControl=4,0,1),0)-_xll.EURO(CN247,Strike1,AO247,AO247,CT247,CM247-1,IF(OptControl=4,0,1),0),0)</f>
        <v>0</v>
      </c>
      <c r="CZ247" s="155">
        <f ca="1">IF(BD247,_xll.EURO(CN247,Strike2,AO247,AO247,CU247,CM247,IF(OptControl=3,1,0),0),0)</f>
        <v>0</v>
      </c>
      <c r="DA247" s="155">
        <f ca="1">IF(BD247,_xll.EURO(CN247,Strike2,AO247,AO247,CU247,CM247,IF(OptControl=3,1,0),1)+IF(OR(VolSkewFlag=2,ABS(CP247)&lt;0.0001),0,IF(CP247&gt;0,-1,1)*DB247*100*Strike2/CN247^2*CR247/10%),0)</f>
        <v>0</v>
      </c>
      <c r="DB247" s="155">
        <f ca="1">IF(BD247,_xll.EURO(CN247,Strike2,AO247,AO247,CU247,CM247,IF(OptControl=3,1,0),3)/100,0)</f>
        <v>0</v>
      </c>
      <c r="DC247" s="156">
        <f ca="1">IF(BD247,_xll.EURO(CN247,Strike2,AO247,AO247,CU247,CM247,IF(OptControl=3,1,0),0)-_xll.EURO(CN247,Strike2,AO247,AO247,CU247,CM247-1,IF(OptControl=3,1,0),0),0)</f>
        <v>0</v>
      </c>
      <c r="DE247" s="651">
        <f t="shared" ca="1" si="659"/>
        <v>43831</v>
      </c>
      <c r="DF247" s="465">
        <v>1E-4</v>
      </c>
      <c r="DG247" s="649">
        <v>1E-4</v>
      </c>
      <c r="DH247" s="650">
        <f t="shared" ca="1" si="612"/>
        <v>43831</v>
      </c>
      <c r="DI247" s="465">
        <v>1E-4</v>
      </c>
      <c r="DJ247" s="649">
        <v>1E-4</v>
      </c>
      <c r="DK247" s="651">
        <f t="shared" ca="1" si="613"/>
        <v>43831</v>
      </c>
      <c r="DL247" s="652">
        <f t="shared" si="614"/>
        <v>5.0100000000000006E-2</v>
      </c>
      <c r="DM247" s="651">
        <f t="shared" ca="1" si="615"/>
        <v>43831</v>
      </c>
      <c r="DN247" s="563">
        <f t="shared" si="616"/>
        <v>-0.12990000000000002</v>
      </c>
      <c r="DO247" s="803">
        <v>-0.13</v>
      </c>
      <c r="DP247" s="650">
        <f t="shared" ca="1" si="617"/>
        <v>43831</v>
      </c>
      <c r="DQ247" s="653">
        <v>1E-4</v>
      </c>
      <c r="DR247" s="590">
        <v>1E-4</v>
      </c>
      <c r="DS247" s="650">
        <f t="shared" ca="1" si="618"/>
        <v>43831</v>
      </c>
      <c r="DT247" s="653">
        <v>1E-4</v>
      </c>
      <c r="DU247" s="590">
        <v>1E-4</v>
      </c>
      <c r="DV247" s="651">
        <f t="shared" ca="1" si="619"/>
        <v>43831</v>
      </c>
      <c r="DW247" s="590">
        <v>1E-4</v>
      </c>
      <c r="DX247" s="651">
        <f t="shared" ca="1" si="620"/>
        <v>43831</v>
      </c>
      <c r="DY247" s="590">
        <f t="shared" si="621"/>
        <v>1E-4</v>
      </c>
      <c r="DZ247" s="1"/>
      <c r="EA247" s="857"/>
      <c r="EB247" s="857"/>
      <c r="EC247" s="857"/>
      <c r="ED247" s="868" t="e">
        <f t="shared" ca="1" si="670"/>
        <v>#NAME?</v>
      </c>
      <c r="EE247" s="863" t="e">
        <f t="shared" ca="1" si="641"/>
        <v>#NAME?</v>
      </c>
      <c r="EF247" s="590" t="e">
        <f t="shared" ca="1" si="642"/>
        <v>#NAME?</v>
      </c>
      <c r="EG247" s="862" t="str">
        <f t="shared" ca="1" si="622"/>
        <v/>
      </c>
      <c r="EH247" s="114" t="str">
        <f t="shared" ca="1" si="643"/>
        <v/>
      </c>
      <c r="EI247" s="109" t="str">
        <f t="shared" ca="1" si="644"/>
        <v/>
      </c>
      <c r="EJ247" s="115">
        <f ca="1">IF(BD247,_xll.xASN(BP247,Strike1,AO247,EH247,0,BM247,0,BI247,BL247,IF(OptControl=4,0,1),0),0)</f>
        <v>0</v>
      </c>
      <c r="EK247" s="108">
        <f ca="1">IF(BD247,_xll.xASN(BP247,Strike2,AO247,EI247,0,BM247,0,BI247,BL247,IF(OptControl=3,1,0),0),0)</f>
        <v>0</v>
      </c>
      <c r="EP247" s="53"/>
      <c r="EQ247" s="1"/>
      <c r="ER247" s="103"/>
      <c r="ES247" s="103"/>
      <c r="ET247" s="1"/>
      <c r="EU247" s="667" t="s">
        <v>460</v>
      </c>
      <c r="EW247" s="53"/>
      <c r="EY247" s="104"/>
      <c r="FN247" s="657">
        <v>3</v>
      </c>
      <c r="FO247" s="469" t="str">
        <f ca="1">IF($FN247+FO$244&gt;73,"",PRODUCT(INDEX($T$19:$T$93,FO$244):INDEX($T$19:$T$93,FO$244+$FN247-1)))</f>
        <v/>
      </c>
      <c r="FP247" s="469" t="str">
        <f ca="1">IF($FN247+FP$244&gt;73,"",PRODUCT(INDEX($T$19:$T$93,FP$244):INDEX($T$19:$T$93,FP$244+$FN247-1)))</f>
        <v/>
      </c>
      <c r="FQ247" s="469">
        <f ca="1">IF($FN247+FQ$244&gt;73,"",PRODUCT(INDEX($T$19:$T$93,FQ$244):INDEX($T$19:$T$93,FQ$244+$FN247-1)))</f>
        <v>0.99983636214848048</v>
      </c>
      <c r="FR247" s="469">
        <f ca="1">IF($FN247+FR$244&gt;73,"",PRODUCT(INDEX($T$19:$T$93,FR$244):INDEX($T$19:$T$93,FR$244+$FN247-1)))</f>
        <v>0.99981818069556694</v>
      </c>
      <c r="FS247" s="469">
        <f ca="1">IF($FN247+FS$244&gt;73,"",PRODUCT(INDEX($T$19:$T$93,FS$244):INDEX($T$19:$T$93,FS$244+$FN247-1)))</f>
        <v>0.999797979204466</v>
      </c>
      <c r="FT247" s="469">
        <f ca="1">IF($FN247+FT$244&gt;73,"",PRODUCT(INDEX($T$19:$T$93,FT$244):INDEX($T$19:$T$93,FT$244+$FN247-1)))</f>
        <v>0.99977553325499624</v>
      </c>
      <c r="FU247" s="469">
        <f ca="1">IF($FN247+FU$244&gt;73,"",PRODUCT(INDEX($T$19:$T$93,FU$244):INDEX($T$19:$T$93,FU$244+$FN247-1)))</f>
        <v>0.99975059349795281</v>
      </c>
      <c r="FV247" s="469">
        <f ca="1">IF($FN247+FV$244&gt;73,"",PRODUCT(INDEX($T$19:$T$93,FV$244):INDEX($T$19:$T$93,FV$244+$FN247-1)))</f>
        <v>0.99972288288670796</v>
      </c>
      <c r="FW247" s="469">
        <f ca="1">IF($FN247+FW$244&gt;73,"",PRODUCT(INDEX($T$19:$T$93,FW$244):INDEX($T$19:$T$93,FW$244+$FN247-1)))</f>
        <v>0.99969209360154709</v>
      </c>
      <c r="FX247" s="469">
        <f ca="1">IF($FN247+FX$244&gt;73,"",PRODUCT(INDEX($T$19:$T$93,FX$244):INDEX($T$19:$T$93,FX$244+$FN247-1)))</f>
        <v>0.99965788363267227</v>
      </c>
      <c r="FY247" s="469">
        <f ca="1">IF($FN247+FY$244&gt;73,"",PRODUCT(INDEX($T$19:$T$93,FY$244):INDEX($T$19:$T$93,FY$244+$FN247-1)))</f>
        <v>0.99961987298403865</v>
      </c>
      <c r="FZ247" s="469">
        <f ca="1">IF($FN247+FZ$244&gt;73,"",PRODUCT(INDEX($T$19:$T$93,FZ$244):INDEX($T$19:$T$93,FZ$244+$FN247-1)))</f>
        <v>0.99957763945600042</v>
      </c>
      <c r="GA247" s="469">
        <f ca="1">IF($FN247+GA$244&gt;73,"",PRODUCT(INDEX($T$19:$T$93,GA$244):INDEX($T$19:$T$93,GA$244+$FN247-1)))</f>
        <v>0.99953071396009807</v>
      </c>
      <c r="GB247" s="469">
        <f ca="1">IF($FN247+GB$244&gt;73,"",PRODUCT(INDEX($T$19:$T$93,GB$244):INDEX($T$19:$T$93,GB$244+$FN247-1)))</f>
        <v>0.99947857531416018</v>
      </c>
      <c r="GC247" s="469">
        <f ca="1">IF($FN247+GC$244&gt;73,"",PRODUCT(INDEX($T$19:$T$93,GC$244):INDEX($T$19:$T$93,GC$244+$FN247-1)))</f>
        <v>0.99942064446016621</v>
      </c>
      <c r="GD247" s="469">
        <f ca="1">IF($FN247+GD$244&gt;73,"",PRODUCT(INDEX($T$19:$T$93,GD$244):INDEX($T$19:$T$93,GD$244+$FN247-1)))</f>
        <v>0.99935627804095672</v>
      </c>
      <c r="GE247" s="469">
        <f ca="1">IF($FN247+GE$244&gt;73,"",PRODUCT(INDEX($T$19:$T$93,GE$244):INDEX($T$19:$T$93,GE$244+$FN247-1)))</f>
        <v>0.99928476126482446</v>
      </c>
      <c r="GF247" s="469">
        <f ca="1">IF($FN247+GF$244&gt;73,"",PRODUCT(INDEX($T$19:$T$93,GF$244):INDEX($T$19:$T$93,GF$244+$FN247-1)))</f>
        <v>0.99920529997918095</v>
      </c>
      <c r="GG247" s="469">
        <f ca="1">IF($FN247+GG$244&gt;73,"",PRODUCT(INDEX($T$19:$T$93,GG$244):INDEX($T$19:$T$93,GG$244+$FN247-1)))</f>
        <v>0.99911701186579871</v>
      </c>
      <c r="GH247" s="469">
        <f ca="1">IF($FN247+GH$244&gt;73,"",PRODUCT(INDEX($T$19:$T$93,GH$244):INDEX($T$19:$T$93,GH$244+$FN247-1)))</f>
        <v>0.9990189166604756</v>
      </c>
      <c r="GI247" s="469">
        <f ca="1">IF($FN247+GI$244&gt;73,"",PRODUCT(INDEX($T$19:$T$93,GI$244):INDEX($T$19:$T$93,GI$244+$FN247-1)))</f>
        <v>0.99890992528924283</v>
      </c>
      <c r="GJ247" s="469">
        <f ca="1">IF($FN247+GJ$244&gt;73,"",PRODUCT(INDEX($T$19:$T$93,GJ$244):INDEX($T$19:$T$93,GJ$244+$FN247-1)))</f>
        <v>0.9987888278013467</v>
      </c>
      <c r="GK247" s="469">
        <f ca="1">IF($FN247+GK$244&gt;73,"",PRODUCT(INDEX($T$19:$T$93,GK$244):INDEX($T$19:$T$93,GK$244+$FN247-1)))</f>
        <v>0.99865427996600464</v>
      </c>
      <c r="GL247" s="469">
        <f ca="1">IF($FN247+GL$244&gt;73,"",PRODUCT(INDEX($T$19:$T$93,GL$244):INDEX($T$19:$T$93,GL$244+$FN247-1)))</f>
        <v>0.99850478838526724</v>
      </c>
      <c r="GM247" s="469">
        <f ca="1">IF($FN247+GM$244&gt;73,"",PRODUCT(INDEX($T$19:$T$93,GM$244):INDEX($T$19:$T$93,GM$244+$FN247-1)))</f>
        <v>0.99833869395899699</v>
      </c>
      <c r="GN247" s="469">
        <f ca="1">IF($FN247+GN$244&gt;73,"",PRODUCT(INDEX($T$19:$T$93,GN$244):INDEX($T$19:$T$93,GN$244+$FN247-1)))</f>
        <v>0.99815415351984671</v>
      </c>
      <c r="GO247" s="469">
        <f ca="1">IF($FN247+GO$244&gt;73,"",PRODUCT(INDEX($T$19:$T$93,GO$244):INDEX($T$19:$T$93,GO$244+$FN247-1)))</f>
        <v>0.99794911943595521</v>
      </c>
      <c r="GP247" s="469">
        <f ca="1">IF($FN247+GP$244&gt;73,"",PRODUCT(INDEX($T$19:$T$93,GP$244):INDEX($T$19:$T$93,GP$244+$FN247-1)))</f>
        <v>0.99772131695663624</v>
      </c>
      <c r="GQ247" s="469">
        <f ca="1">IF($FN247+GQ$244&gt;73,"",PRODUCT(INDEX($T$19:$T$93,GQ$244):INDEX($T$19:$T$93,GQ$244+$FN247-1)))</f>
        <v>0.99746821905134009</v>
      </c>
      <c r="GR247" s="469">
        <f ca="1">IF($FN247+GR$244&gt;73,"",PRODUCT(INDEX($T$19:$T$93,GR$244):INDEX($T$19:$T$93,GR$244+$FN247-1)))</f>
        <v>0.99718701846429514</v>
      </c>
      <c r="GS247" s="469">
        <f ca="1">IF($FN247+GS$244&gt;73,"",PRODUCT(INDEX($T$19:$T$93,GS$244):INDEX($T$19:$T$93,GS$244+$FN247-1)))</f>
        <v>0.99687459667611955</v>
      </c>
      <c r="GT247" s="469">
        <f ca="1">IF($FN247+GT$244&gt;73,"",PRODUCT(INDEX($T$19:$T$93,GT$244):INDEX($T$19:$T$93,GT$244+$FN247-1)))</f>
        <v>0.99652748942888569</v>
      </c>
      <c r="GU247" s="469">
        <f ca="1">IF($FN247+GU$244&gt;73,"",PRODUCT(INDEX($T$19:$T$93,GU$244):INDEX($T$19:$T$93,GU$244+$FN247-1)))</f>
        <v>0.99614184843212572</v>
      </c>
      <c r="GV247" s="469">
        <f ca="1">IF($FN247+GV$244&gt;73,"",PRODUCT(INDEX($T$19:$T$93,GV$244):INDEX($T$19:$T$93,GV$244+$FN247-1)))</f>
        <v>0.99571339882345222</v>
      </c>
      <c r="GW247" s="469">
        <f ca="1">IF($FN247+GW$244&gt;73,"",PRODUCT(INDEX($T$19:$T$93,GW$244):INDEX($T$19:$T$93,GW$244+$FN247-1)))</f>
        <v>0.99523739190811811</v>
      </c>
      <c r="GX247" s="469">
        <f ca="1">IF($FN247+GX$244&gt;73,"",PRODUCT(INDEX($T$19:$T$93,GX$244):INDEX($T$19:$T$93,GX$244+$FN247-1)))</f>
        <v>0.99470855264605029</v>
      </c>
      <c r="GY247" s="469">
        <f ca="1">IF($FN247+GY$244&gt;73,"",PRODUCT(INDEX($T$19:$T$93,GY$244):INDEX($T$19:$T$93,GY$244+$FN247-1)))</f>
        <v>0.9941210212915752</v>
      </c>
      <c r="GZ247" s="469">
        <f ca="1">IF($FN247+GZ$244&gt;73,"",PRODUCT(INDEX($T$19:$T$93,GZ$244):INDEX($T$19:$T$93,GZ$244+$FN247-1)))</f>
        <v>0.99346828851886526</v>
      </c>
      <c r="HA247" s="469">
        <f ca="1">IF($FN247+HA$244&gt;73,"",PRODUCT(INDEX($T$19:$T$93,HA$244):INDEX($T$19:$T$93,HA$244+$FN247-1)))</f>
        <v>0.99274312328339509</v>
      </c>
      <c r="HB247" s="469">
        <f ca="1">IF($FN247+HB$244&gt;73,"",PRODUCT(INDEX($T$19:$T$93,HB$244):INDEX($T$19:$T$93,HB$244+$FN247-1)))</f>
        <v>0.99193749257429964</v>
      </c>
      <c r="HC247" s="469">
        <f ca="1">IF($FN247+HC$244&gt;73,"",PRODUCT(INDEX($T$19:$T$93,HC$244):INDEX($T$19:$T$93,HC$244+$FN247-1)))</f>
        <v>0.99104247210183272</v>
      </c>
      <c r="HD247" s="469">
        <f ca="1">IF($FN247+HD$244&gt;73,"",PRODUCT(INDEX($T$19:$T$93,HD$244):INDEX($T$19:$T$93,HD$244+$FN247-1)))</f>
        <v>0.9900481468347595</v>
      </c>
      <c r="HE247" s="469">
        <f ca="1">IF($FN247+HE$244&gt;73,"",PRODUCT(INDEX($T$19:$T$93,HE$244):INDEX($T$19:$T$93,HE$244+$FN247-1)))</f>
        <v>0.98894350015020915</v>
      </c>
      <c r="HF247" s="469">
        <f ca="1">IF($FN247+HF$244&gt;73,"",PRODUCT(INDEX($T$19:$T$93,HF$244):INDEX($T$19:$T$93,HF$244+$FN247-1)))</f>
        <v>0.98771629017780693</v>
      </c>
      <c r="HG247" s="469">
        <f ca="1">IF($FN247+HG$244&gt;73,"",PRODUCT(INDEX($T$19:$T$93,HG$244):INDEX($T$19:$T$93,HG$244+$FN247-1)))</f>
        <v>0.98635291170379369</v>
      </c>
      <c r="HH247" s="469">
        <f ca="1">IF($FN247+HH$244&gt;73,"",PRODUCT(INDEX($T$19:$T$93,HH$244):INDEX($T$19:$T$93,HH$244+$FN247-1)))</f>
        <v>0.98483824174041878</v>
      </c>
      <c r="HI247" s="469">
        <f ca="1">IF($FN247+HI$244&gt;73,"",PRODUCT(INDEX($T$19:$T$93,HI$244):INDEX($T$19:$T$93,HI$244+$FN247-1)))</f>
        <v>0.98315546654969765</v>
      </c>
      <c r="HJ247" s="469">
        <f ca="1">IF($FN247+HJ$244&gt;73,"",PRODUCT(INDEX($T$19:$T$93,HJ$244):INDEX($T$19:$T$93,HJ$244+$FN247-1)))</f>
        <v>0.98128588752410917</v>
      </c>
      <c r="HK247" s="469">
        <f ca="1">IF($FN247+HK$244&gt;73,"",PRODUCT(INDEX($T$19:$T$93,HK$244):INDEX($T$19:$T$93,HK$244+$FN247-1)))</f>
        <v>0.97920870285140171</v>
      </c>
      <c r="HL247" s="469">
        <f ca="1">IF($FN247+HL$244&gt;73,"",PRODUCT(INDEX($T$19:$T$93,HL$244):INDEX($T$19:$T$93,HL$244+$FN247-1)))</f>
        <v>0.97690076130292847</v>
      </c>
      <c r="HM247" s="469">
        <f ca="1">IF($FN247+HM$244&gt;73,"",PRODUCT(INDEX($T$19:$T$93,HM$244):INDEX($T$19:$T$93,HM$244+$FN247-1)))</f>
        <v>0.97433628375533987</v>
      </c>
      <c r="HN247" s="469">
        <f ca="1">IF($FN247+HN$244&gt;73,"",PRODUCT(INDEX($T$19:$T$93,HN$244):INDEX($T$19:$T$93,HN$244+$FN247-1)))</f>
        <v>0.9714865471472689</v>
      </c>
      <c r="HO247" s="469">
        <f ca="1">IF($FN247+HO$244&gt;73,"",PRODUCT(INDEX($T$19:$T$93,HO$244):INDEX($T$19:$T$93,HO$244+$FN247-1)))</f>
        <v>0.96831952444062008</v>
      </c>
      <c r="HP247" s="469">
        <f ca="1">IF($FN247+HP$244&gt;73,"",PRODUCT(INDEX($T$19:$T$93,HP$244):INDEX($T$19:$T$93,HP$244+$FN247-1)))</f>
        <v>0.96479947274539857</v>
      </c>
      <c r="HQ247" s="469">
        <f ca="1">IF($FN247+HQ$244&gt;73,"",PRODUCT(INDEX($T$19:$T$93,HQ$244):INDEX($T$19:$T$93,HQ$244+$FN247-1)))</f>
        <v>0.96088646001270261</v>
      </c>
      <c r="HR247" s="469">
        <f ca="1">IF($FN247+HR$244&gt;73,"",PRODUCT(INDEX($T$19:$T$93,HR$244):INDEX($T$19:$T$93,HR$244+$FN247-1)))</f>
        <v>0.95653581852784619</v>
      </c>
      <c r="HS247" s="469">
        <f ca="1">IF($FN247+HS$244&gt;73,"",PRODUCT(INDEX($T$19:$T$93,HS$244):INDEX($T$19:$T$93,HS$244+$FN247-1)))</f>
        <v>0.9516975107626241</v>
      </c>
      <c r="HT247" s="469">
        <f ca="1">IF($FN247+HT$244&gt;73,"",PRODUCT(INDEX($T$19:$T$93,HT$244):INDEX($T$19:$T$93,HT$244+$FN247-1)))</f>
        <v>0.94631538988925579</v>
      </c>
      <c r="HU247" s="469">
        <f ca="1">IF($FN247+HU$244&gt;73,"",PRODUCT(INDEX($T$19:$T$93,HU$244):INDEX($T$19:$T$93,HU$244+$FN247-1)))</f>
        <v>0.94032633334611671</v>
      </c>
      <c r="HV247" s="469">
        <f ca="1">IF($FN247+HV$244&gt;73,"",PRODUCT(INDEX($T$19:$T$93,HV$244):INDEX($T$19:$T$93,HV$244+$FN247-1)))</f>
        <v>0.93365922323729234</v>
      </c>
      <c r="HW247" s="469">
        <f ca="1">IF($FN247+HW$244&gt;73,"",PRODUCT(INDEX($T$19:$T$93,HW$244):INDEX($T$19:$T$93,HW$244+$FN247-1)))</f>
        <v>0.92623374207518627</v>
      </c>
      <c r="HX247" s="469">
        <f ca="1">IF($FN247+HX$244&gt;73,"",PRODUCT(INDEX($T$19:$T$93,HX$244):INDEX($T$19:$T$93,HX$244+$FN247-1)))</f>
        <v>0.91795894660264332</v>
      </c>
      <c r="HY247" s="469">
        <f ca="1">IF($FN247+HY$244&gt;73,"",PRODUCT(INDEX($T$19:$T$93,HY$244):INDEX($T$19:$T$93,HY$244+$FN247-1)))</f>
        <v>0.90873157655941228</v>
      </c>
      <c r="HZ247" s="469">
        <f ca="1">IF($FN247+HZ$244&gt;73,"",PRODUCT(INDEX($T$19:$T$93,HZ$244):INDEX($T$19:$T$93,HZ$244+$FN247-1)))</f>
        <v>0.89843405008794119</v>
      </c>
      <c r="IA247" s="469">
        <f ca="1">IF($FN247+IA$244&gt;73,"",PRODUCT(INDEX($T$19:$T$93,IA$244):INDEX($T$19:$T$93,IA$244+$FN247-1)))</f>
        <v>0.88693209446099674</v>
      </c>
      <c r="IB247" s="469">
        <f ca="1">IF($FN247+IB$244&gt;73,"",PRODUCT(INDEX($T$19:$T$93,IB$244):INDEX($T$19:$T$93,IB$244+$FN247-1)))</f>
        <v>0.87407196246246821</v>
      </c>
      <c r="IC247" s="469">
        <f ca="1">IF($FN247+IC$244&gt;73,"",PRODUCT(INDEX($T$19:$T$93,IC$244):INDEX($T$19:$T$93,IC$244+$FN247-1)))</f>
        <v>0.85967719521378527</v>
      </c>
      <c r="ID247" s="469">
        <f ca="1">IF($FN247+ID$244&gt;73,"",PRODUCT(INDEX($T$19:$T$93,ID$244):INDEX($T$19:$T$93,ID$244+$FN247-1)))</f>
        <v>0.84354491820512856</v>
      </c>
      <c r="IE247" s="469">
        <f ca="1">IF($FN247+IE$244&gt;73,"",PRODUCT(INDEX($T$19:$T$93,IE$244):INDEX($T$19:$T$93,IE$244+$FN247-1)))</f>
        <v>0.82544170931837868</v>
      </c>
      <c r="IF247" s="469">
        <f ca="1">IF($FN247+IF$244&gt;73,"",PRODUCT(INDEX($T$19:$T$93,IF$244):INDEX($T$19:$T$93,IF$244+$FN247-1)))</f>
        <v>0.80509917203717862</v>
      </c>
      <c r="IG247" s="469">
        <f ca="1">IF($FN247+IG$244&gt;73,"",PRODUCT(INDEX($T$19:$T$93,IG$244):INDEX($T$19:$T$93,IG$244+$FN247-1)))</f>
        <v>0.78220950858146177</v>
      </c>
      <c r="IH247" s="662">
        <f ca="1">IF($FN247+IH$244&gt;73,"",PRODUCT(INDEX($T$19:$T$93,IH$244):INDEX($T$19:$T$93,IH$244+$FN247-1)))</f>
        <v>0.75642165316210697</v>
      </c>
      <c r="II247" s="242"/>
    </row>
    <row r="248" spans="8:243">
      <c r="H248" s="49" t="e">
        <f t="shared" ca="1" si="645"/>
        <v>#N/A</v>
      </c>
      <c r="I248" s="369">
        <f t="shared" si="646"/>
        <v>43952</v>
      </c>
      <c r="J248" s="367">
        <v>25.084999999999798</v>
      </c>
      <c r="K248" s="101" t="s">
        <v>267</v>
      </c>
      <c r="L248" s="382">
        <f t="shared" si="647"/>
        <v>25.084999999999805</v>
      </c>
      <c r="M248" s="163">
        <v>0.1211</v>
      </c>
      <c r="N248" s="372">
        <v>0</v>
      </c>
      <c r="O248" s="163">
        <f t="shared" si="595"/>
        <v>0.1211</v>
      </c>
      <c r="P248" s="367">
        <v>23.8755622565259</v>
      </c>
      <c r="Q248" s="101" t="s">
        <v>267</v>
      </c>
      <c r="R248" s="367">
        <f t="shared" ca="1" si="596"/>
        <v>23.875562256525942</v>
      </c>
      <c r="S248" s="814">
        <f t="shared" si="594"/>
        <v>0.34510692144992822</v>
      </c>
      <c r="T248" s="813">
        <f t="shared" si="660"/>
        <v>0.99999999999711764</v>
      </c>
      <c r="U248" s="532">
        <f t="shared" si="661"/>
        <v>0.99999999999999978</v>
      </c>
      <c r="V248" s="379">
        <v>0</v>
      </c>
      <c r="W248" s="424">
        <f t="shared" si="597"/>
        <v>25.118333333333133</v>
      </c>
      <c r="X248" s="405">
        <f t="shared" si="598"/>
        <v>25.118333333333133</v>
      </c>
      <c r="Y248" s="313">
        <f t="shared" si="599"/>
        <v>23.774333333333132</v>
      </c>
      <c r="Z248" s="313">
        <f t="shared" ca="1" si="600"/>
        <v>23.774333333333132</v>
      </c>
      <c r="AA248" s="419">
        <f t="shared" si="623"/>
        <v>1.3440000000000001</v>
      </c>
      <c r="AB248" s="423">
        <f t="shared" ca="1" si="624"/>
        <v>1.3440000000000001</v>
      </c>
      <c r="AC248" s="221">
        <v>43941</v>
      </c>
      <c r="AD248" s="221">
        <v>43937</v>
      </c>
      <c r="AE248" s="221">
        <v>43936</v>
      </c>
      <c r="AF248" s="221">
        <v>43932</v>
      </c>
      <c r="AG248" s="241" t="s">
        <v>497</v>
      </c>
      <c r="AH248" s="239" t="s">
        <v>497</v>
      </c>
      <c r="AI248" s="141">
        <v>21</v>
      </c>
      <c r="AJ248" s="41">
        <v>14</v>
      </c>
      <c r="AK248" s="41">
        <v>7</v>
      </c>
      <c r="AL248" s="285">
        <v>21</v>
      </c>
      <c r="AM248" s="41">
        <v>10</v>
      </c>
      <c r="AN248" s="142">
        <v>11</v>
      </c>
      <c r="AO248" s="364">
        <v>6.4127463748669691E-2</v>
      </c>
      <c r="AP248" s="145">
        <f t="shared" ca="1" si="648"/>
        <v>0.29869699945426181</v>
      </c>
      <c r="AQ248" s="364">
        <v>6.0181439305000001E-2</v>
      </c>
      <c r="AR248" s="145">
        <f t="shared" ca="1" si="662"/>
        <v>0.32375823729916803</v>
      </c>
      <c r="AS248" s="264">
        <f t="shared" si="601"/>
        <v>0.1211</v>
      </c>
      <c r="AT248" s="149">
        <f t="shared" si="649"/>
        <v>0.1211</v>
      </c>
      <c r="AU248" s="149">
        <f t="shared" si="625"/>
        <v>0.1211</v>
      </c>
      <c r="AV248" s="263">
        <f t="shared" ca="1" si="669"/>
        <v>0.11915158889973719</v>
      </c>
      <c r="AW248" s="150" t="str">
        <f t="shared" ca="1" si="671"/>
        <v/>
      </c>
      <c r="AX248" s="149">
        <f t="shared" ca="1" si="663"/>
        <v>2.5967954004597403E-3</v>
      </c>
      <c r="AY248" s="149">
        <f t="shared" ca="1" si="664"/>
        <v>7.4632515547790664E-4</v>
      </c>
      <c r="AZ248" s="149">
        <f t="shared" ca="1" si="665"/>
        <v>1.0217257883060283E-3</v>
      </c>
      <c r="BA248" s="149">
        <f t="shared" ca="1" si="666"/>
        <v>1.000000000000126E-4</v>
      </c>
      <c r="BB248" s="149">
        <f t="shared" ca="1" si="667"/>
        <v>1.000000000000126E-4</v>
      </c>
      <c r="BC248" s="149">
        <f t="shared" ca="1" si="668"/>
        <v>1.000000000000126E-4</v>
      </c>
      <c r="BD248" s="143">
        <f t="shared" ca="1" si="602"/>
        <v>0</v>
      </c>
      <c r="BE248" s="144">
        <f t="shared" ca="1" si="603"/>
        <v>0</v>
      </c>
      <c r="BF248" s="40">
        <f t="shared" si="604"/>
        <v>2020</v>
      </c>
      <c r="BG248" s="139">
        <f t="shared" si="605"/>
        <v>5</v>
      </c>
      <c r="BH248" s="140">
        <f t="shared" ca="1" si="606"/>
        <v>6947</v>
      </c>
      <c r="BI248" s="304">
        <f t="shared" ca="1" si="607"/>
        <v>19.060917180013689</v>
      </c>
      <c r="BJ248" s="42">
        <f t="shared" ca="1" si="626"/>
        <v>19.115674195756331</v>
      </c>
      <c r="BK248" s="42">
        <f t="shared" ca="1" si="627"/>
        <v>19.118412046543462</v>
      </c>
      <c r="BL248" s="42">
        <f t="shared" ca="1" si="608"/>
        <v>19.143052703627653</v>
      </c>
      <c r="BM248" s="285">
        <f t="shared" si="609"/>
        <v>21</v>
      </c>
      <c r="BN248" s="41">
        <f t="shared" si="610"/>
        <v>14</v>
      </c>
      <c r="BO248" s="41">
        <f t="shared" si="611"/>
        <v>7</v>
      </c>
      <c r="BP248" s="297" t="str">
        <f t="shared" ca="1" si="628"/>
        <v/>
      </c>
      <c r="BQ248" s="297" t="str">
        <f t="shared" ca="1" si="629"/>
        <v/>
      </c>
      <c r="BR248" s="299" t="str">
        <f t="shared" ca="1" si="630"/>
        <v/>
      </c>
      <c r="BS248" s="153" t="str">
        <f t="shared" ca="1" si="631"/>
        <v/>
      </c>
      <c r="BT248" s="153" t="str">
        <f t="shared" ca="1" si="632"/>
        <v/>
      </c>
      <c r="BU248" s="300" t="str">
        <f t="shared" ca="1" si="633"/>
        <v/>
      </c>
      <c r="BV248" s="301" t="str">
        <f t="shared" ca="1" si="634"/>
        <v/>
      </c>
      <c r="BW248" s="300" t="str">
        <f t="shared" ca="1" si="635"/>
        <v/>
      </c>
      <c r="BX248" s="301" t="str">
        <f t="shared" ca="1" si="636"/>
        <v/>
      </c>
      <c r="BY248" s="146" t="str">
        <f t="shared" ca="1" si="637"/>
        <v/>
      </c>
      <c r="BZ248" s="146" t="str">
        <f t="shared" ca="1" si="638"/>
        <v/>
      </c>
      <c r="CA248" s="146" t="str">
        <f t="shared" ca="1" si="639"/>
        <v/>
      </c>
      <c r="CB248" s="146" t="str">
        <f t="shared" ca="1" si="640"/>
        <v/>
      </c>
      <c r="CC248" s="302">
        <v>1</v>
      </c>
      <c r="CD248" s="154">
        <f ca="1">IF(BD248,_xll.xCrudeAPO(BS248,BT248,BY248,BZ248,S249,S250,BI248,BL248,BN248,BO248,0,Strike1,AO248,CC248,0,BL248,IF(OptControl=4,0,1),0,1),0)</f>
        <v>0</v>
      </c>
      <c r="CE248" s="155">
        <f ca="1">IF(BD248,_xll.xCrudeAPO(BS248,BT248,BY248,BZ248,S249,S250,BI248,BL248,BN248,BO248,0,Strike1,AO248,CC248,0,BL248,IF(OptControl=4,0,1),1,1)+_xll.xCrudeAPO(BS248,BT248,BY248,BZ248,S249,S250,BI248,BL248,BN248,BO248,0,Strike1,AO248,CC248,0,BL248,IF(OptControl=4,0,1),1,2)+IF(OR(VolSkewFlag=2,ABS(BQ248)&lt;0.0001),0,IF(BQ248&gt;0,-1,1)*CF248*Strike1/BP248^2*BW248/10%),0)</f>
        <v>0</v>
      </c>
      <c r="CF248" s="155">
        <f ca="1">IF(BD248,(_xll.xCrudeAPO(BS248,BT248,BY248,BZ248,S249,S250,BI248,BL248,BN248,BO248,0,Strike1,AO248,CC248,0,BL248,IF(OptControl=4,0,1),3,1)+_xll.xCrudeAPO(BS248,BT248,BY248,BZ248,S249,S250,BI248,BL248,BN248,BO248,0,Strike1,AO248,CC248,0,BL248,IF(OptControl=4,0,1),3,2))/100,0)</f>
        <v>0</v>
      </c>
      <c r="CG248" s="155">
        <f ca="1">IF(BD248,_xll.xCrudeAPO(BS248,BT248,BY248,BZ248,S249,S250,BI248-DaysForThetaCalculation/365.25,BL248-DaysForThetaCalculation/365.25,BN248,BO248,0,Strike1,AO248,CC248,0,BL248,IF(OptControl=4,0,1),0,1)-_xll.xCrudeAPO(BS248,BT248,BY248,BZ248,S249,S250,BI248,BL248,BN248,BO248,0,Strike1,AO248,CC248,0,BL248,IF(OptControl=4,0,1),0,1),0)</f>
        <v>0</v>
      </c>
      <c r="CH248" s="303">
        <f ca="1">IF(BD248,_xll.xCrudeAPO(BS248,BT248,CA248,CB248,S249,S250,BI248,BL248,BN248,BO248,0,Strike2,AO248,CC248,0,BL248,IF(OptControl=3,1,0),0,1),0)</f>
        <v>0</v>
      </c>
      <c r="CI248" s="155">
        <f ca="1">IF(BD248,_xll.xCrudeAPO(BS248,BT248,CA248,CB248,S249,S250,BI248,BL248,BN248,BO248,0,Strike2,AO248,CC248,0,BL248,IF(OptControl=3,1,0),1,1)+_xll.xCrudeAPO(BS248,BT248,CA248,CB248,S249,S250,BI248,BL248,BN248,BO248,0,Strike2,AO248,CC248,0,BL248,IF(OptControl=3,1,0),1,2)+IF(OR(VolSkewFlag=2,ABS(BR248)&lt;0.0001),0,IF(BR248&gt;0,-1,1)*CJ248*Strike2/BP248^2*BX248/10%),0)</f>
        <v>0</v>
      </c>
      <c r="CJ248" s="155">
        <f ca="1">IF(BD248,(_xll.xCrudeAPO(BS248,BT248,CA248,CB248,S249,S250,BI248,BL248,BN248,BO248,0,Strike2,AO248,CC248,0,BL248,IF(OptControl=3,1,0),3,1)+_xll.xCrudeAPO(BS248,BT248,CA248,CB248,S249,S250,BI248,BL248,BN248,BO248,0,Strike2,AO248,CC248,0,BL248,IF(OptControl=3,1,0),3,2))/100,0)</f>
        <v>0</v>
      </c>
      <c r="CK248" s="156">
        <f ca="1">IF(BD248,_xll.xCrudeAPO(BS248,BT248,CA248,CB248,S249,S250,BI248-DaysForThetaCalculation/365.25,BL248-DaysForThetaCalculation/365.25,BN248,BO248,0,Strike2,AO248,CC248,0,BL248,IF(OptControl=3,1,0),0,1)-_xll.xCrudeAPO(BS248,BT248,CA248,CB248,S249,S250,BI248,BL248,BN248,BO248,0,Strike2,AO248,CC248,0,BL248,IF(OptControl=3,1,0),0,1),0)</f>
        <v>0</v>
      </c>
      <c r="CL248" s="51"/>
      <c r="CM248" s="779" t="str">
        <f t="shared" ca="1" si="650"/>
        <v/>
      </c>
      <c r="CN248" s="783" t="str">
        <f t="shared" ca="1" si="651"/>
        <v/>
      </c>
      <c r="CO248" s="780" t="str">
        <f t="shared" ca="1" si="652"/>
        <v/>
      </c>
      <c r="CP248" s="780" t="str">
        <f t="shared" ca="1" si="653"/>
        <v/>
      </c>
      <c r="CQ248" s="780" t="str">
        <f t="shared" ca="1" si="654"/>
        <v/>
      </c>
      <c r="CR248" s="780" t="str">
        <f t="shared" ca="1" si="655"/>
        <v/>
      </c>
      <c r="CS248" s="781" t="str">
        <f t="shared" ca="1" si="656"/>
        <v/>
      </c>
      <c r="CT248" s="782" t="str">
        <f t="shared" ca="1" si="657"/>
        <v/>
      </c>
      <c r="CU248" s="782" t="str">
        <f t="shared" ca="1" si="658"/>
        <v/>
      </c>
      <c r="CV248" s="155">
        <f ca="1">IF(BD248,_xll.EURO(CN248,Strike1,AO248,AO248,CT248,CM248,IF(OptControl=4,0,1),0),0)</f>
        <v>0</v>
      </c>
      <c r="CW248" s="155">
        <f ca="1">IF(BD248,_xll.EURO(CN248,Strike1,AO248,AO248,CT248,CM248,IF(OptControl=4,0,1),1)+IF(OR(VolSkewFlag=2,ABS(CO248)&lt;0.0001),0,IF(CO248&gt;0,-1,1)*CX248*100*Strike1/CN248^2*CQ248/10%),0)</f>
        <v>0</v>
      </c>
      <c r="CX248" s="155">
        <f ca="1">IF(BD248,_xll.EURO(CN248,Strike1,AO248,AO248,CT248,CM248,IF(OptControl=4,0,1),3)/100,0)</f>
        <v>0</v>
      </c>
      <c r="CY248" s="155">
        <f ca="1">IF(BD248,_xll.EURO(CN248,Strike1,AO248,AO248,CT248,CM248,IF(OptControl=4,0,1),0)-_xll.EURO(CN248,Strike1,AO248,AO248,CT248,CM248-1,IF(OptControl=4,0,1),0),0)</f>
        <v>0</v>
      </c>
      <c r="CZ248" s="155">
        <f ca="1">IF(BD248,_xll.EURO(CN248,Strike2,AO248,AO248,CU248,CM248,IF(OptControl=3,1,0),0),0)</f>
        <v>0</v>
      </c>
      <c r="DA248" s="155">
        <f ca="1">IF(BD248,_xll.EURO(CN248,Strike2,AO248,AO248,CU248,CM248,IF(OptControl=3,1,0),1)+IF(OR(VolSkewFlag=2,ABS(CP248)&lt;0.0001),0,IF(CP248&gt;0,-1,1)*DB248*100*Strike2/CN248^2*CR248/10%),0)</f>
        <v>0</v>
      </c>
      <c r="DB248" s="155">
        <f ca="1">IF(BD248,_xll.EURO(CN248,Strike2,AO248,AO248,CU248,CM248,IF(OptControl=3,1,0),3)/100,0)</f>
        <v>0</v>
      </c>
      <c r="DC248" s="156">
        <f ca="1">IF(BD248,_xll.EURO(CN248,Strike2,AO248,AO248,CU248,CM248,IF(OptControl=3,1,0),0)-_xll.EURO(CN248,Strike2,AO248,AO248,CU248,CM248-1,IF(OptControl=3,1,0),0),0)</f>
        <v>0</v>
      </c>
      <c r="DE248" s="651">
        <f t="shared" ca="1" si="659"/>
        <v>43862</v>
      </c>
      <c r="DF248" s="465">
        <v>1E-4</v>
      </c>
      <c r="DG248" s="649">
        <v>1E-4</v>
      </c>
      <c r="DH248" s="650">
        <f t="shared" ca="1" si="612"/>
        <v>43862</v>
      </c>
      <c r="DI248" s="465">
        <v>1E-4</v>
      </c>
      <c r="DJ248" s="649">
        <v>1E-4</v>
      </c>
      <c r="DK248" s="651">
        <f t="shared" ca="1" si="613"/>
        <v>43862</v>
      </c>
      <c r="DL248" s="652">
        <f t="shared" si="614"/>
        <v>5.0100000000000006E-2</v>
      </c>
      <c r="DM248" s="651">
        <f t="shared" ca="1" si="615"/>
        <v>43862</v>
      </c>
      <c r="DN248" s="563">
        <f t="shared" si="616"/>
        <v>-0.12990000000000002</v>
      </c>
      <c r="DO248" s="803">
        <v>-0.13</v>
      </c>
      <c r="DP248" s="650">
        <f t="shared" ca="1" si="617"/>
        <v>43862</v>
      </c>
      <c r="DQ248" s="653">
        <v>1E-4</v>
      </c>
      <c r="DR248" s="590">
        <v>1E-4</v>
      </c>
      <c r="DS248" s="650">
        <f t="shared" ca="1" si="618"/>
        <v>43862</v>
      </c>
      <c r="DT248" s="653">
        <v>1E-4</v>
      </c>
      <c r="DU248" s="590">
        <v>1E-4</v>
      </c>
      <c r="DV248" s="651">
        <f t="shared" ca="1" si="619"/>
        <v>43862</v>
      </c>
      <c r="DW248" s="590">
        <v>1E-4</v>
      </c>
      <c r="DX248" s="651">
        <f t="shared" ca="1" si="620"/>
        <v>43862</v>
      </c>
      <c r="DY248" s="590">
        <f t="shared" si="621"/>
        <v>1E-4</v>
      </c>
      <c r="DZ248" s="1"/>
      <c r="EA248" s="857"/>
      <c r="EB248" s="857"/>
      <c r="EC248" s="857"/>
      <c r="ED248" s="868" t="e">
        <f t="shared" ca="1" si="670"/>
        <v>#NAME?</v>
      </c>
      <c r="EE248" s="863" t="e">
        <f t="shared" ca="1" si="641"/>
        <v>#NAME?</v>
      </c>
      <c r="EF248" s="590" t="e">
        <f t="shared" ca="1" si="642"/>
        <v>#NAME?</v>
      </c>
      <c r="EG248" s="862" t="str">
        <f t="shared" ca="1" si="622"/>
        <v/>
      </c>
      <c r="EH248" s="114" t="str">
        <f t="shared" ca="1" si="643"/>
        <v/>
      </c>
      <c r="EI248" s="109" t="str">
        <f t="shared" ca="1" si="644"/>
        <v/>
      </c>
      <c r="EJ248" s="115">
        <f ca="1">IF(BD248,_xll.xASN(BP248,Strike1,AO248,EH248,0,BM248,0,BI248,BL248,IF(OptControl=4,0,1),0),0)</f>
        <v>0</v>
      </c>
      <c r="EK248" s="108">
        <f ca="1">IF(BD248,_xll.xASN(BP248,Strike2,AO248,EI248,0,BM248,0,BI248,BL248,IF(OptControl=3,1,0),0),0)</f>
        <v>0</v>
      </c>
      <c r="EP248" s="53"/>
      <c r="EQ248" s="1"/>
      <c r="ER248" s="103"/>
      <c r="ES248" s="103"/>
      <c r="ET248" s="1"/>
      <c r="EU248" s="667" t="s">
        <v>461</v>
      </c>
      <c r="EW248" s="53"/>
      <c r="EY248" s="104"/>
      <c r="FN248" s="657">
        <v>4</v>
      </c>
      <c r="FO248" s="469" t="str">
        <f ca="1">IF($FN248+FO$244&gt;73,"",PRODUCT(INDEX($T$19:$T$93,FO$244):INDEX($T$19:$T$93,FO$244+$FN248-1)))</f>
        <v/>
      </c>
      <c r="FP248" s="469" t="str">
        <f ca="1">IF($FN248+FP$244&gt;73,"",PRODUCT(INDEX($T$19:$T$93,FP$244):INDEX($T$19:$T$93,FP$244+$FN248-1)))</f>
        <v/>
      </c>
      <c r="FQ248" s="469" t="str">
        <f ca="1">IF($FN248+FQ$244&gt;73,"",PRODUCT(INDEX($T$19:$T$93,FQ$244):INDEX($T$19:$T$93,FQ$244+$FN248-1)))</f>
        <v/>
      </c>
      <c r="FR248" s="469">
        <f ca="1">IF($FN248+FR$244&gt;73,"",PRODUCT(INDEX($T$19:$T$93,FR$244):INDEX($T$19:$T$93,FR$244+$FN248-1)))</f>
        <v>0.99976927687482242</v>
      </c>
      <c r="FS248" s="469">
        <f ca="1">IF($FN248+FS$244&gt;73,"",PRODUCT(INDEX($T$19:$T$93,FS$244):INDEX($T$19:$T$93,FS$244+$FN248-1)))</f>
        <v>0.99974364257310788</v>
      </c>
      <c r="FT248" s="469">
        <f ca="1">IF($FN248+FT$244&gt;73,"",PRODUCT(INDEX($T$19:$T$93,FT$244):INDEX($T$19:$T$93,FT$244+$FN248-1)))</f>
        <v>0.99971516038929575</v>
      </c>
      <c r="FU248" s="469">
        <f ca="1">IF($FN248+FU$244&gt;73,"",PRODUCT(INDEX($T$19:$T$93,FU$244):INDEX($T$19:$T$93,FU$244+$FN248-1)))</f>
        <v>0.99968351397904986</v>
      </c>
      <c r="FV248" s="469">
        <f ca="1">IF($FN248+FV$244&gt;73,"",PRODUCT(INDEX($T$19:$T$93,FV$244):INDEX($T$19:$T$93,FV$244+$FN248-1)))</f>
        <v>0.99964835186886036</v>
      </c>
      <c r="FW248" s="469">
        <f ca="1">IF($FN248+FW$244&gt;73,"",PRODUCT(INDEX($T$19:$T$93,FW$244):INDEX($T$19:$T$93,FW$244+$FN248-1)))</f>
        <v>0.99960928355746892</v>
      </c>
      <c r="FX248" s="469">
        <f ca="1">IF($FN248+FX$244&gt;73,"",PRODUCT(INDEX($T$19:$T$93,FX$244):INDEX($T$19:$T$93,FX$244+$FN248-1)))</f>
        <v>0.99956587518518958</v>
      </c>
      <c r="FY248" s="469">
        <f ca="1">IF($FN248+FY$244&gt;73,"",PRODUCT(INDEX($T$19:$T$93,FY$244):INDEX($T$19:$T$93,FY$244+$FN248-1)))</f>
        <v>0.9995176447233588</v>
      </c>
      <c r="FZ248" s="469">
        <f ca="1">IF($FN248+FZ$244&gt;73,"",PRODUCT(INDEX($T$19:$T$93,FZ$244):INDEX($T$19:$T$93,FZ$244+$FN248-1)))</f>
        <v>0.99946405663089122</v>
      </c>
      <c r="GA248" s="469">
        <f ca="1">IF($FN248+GA$244&gt;73,"",PRODUCT(INDEX($T$19:$T$93,GA$244):INDEX($T$19:$T$93,GA$244+$FN248-1)))</f>
        <v>0.99940451591909707</v>
      </c>
      <c r="GB248" s="469">
        <f ca="1">IF($FN248+GB$244&gt;73,"",PRODUCT(INDEX($T$19:$T$93,GB$244):INDEX($T$19:$T$93,GB$244+$FN248-1)))</f>
        <v>0.99933836155945555</v>
      </c>
      <c r="GC248" s="469">
        <f ca="1">IF($FN248+GC$244&gt;73,"",PRODUCT(INDEX($T$19:$T$93,GC$244):INDEX($T$19:$T$93,GC$244+$FN248-1)))</f>
        <v>0.99926485916188557</v>
      </c>
      <c r="GD248" s="469">
        <f ca="1">IF($FN248+GD$244&gt;73,"",PRODUCT(INDEX($T$19:$T$93,GD$244):INDEX($T$19:$T$93,GD$244+$FN248-1)))</f>
        <v>0.9991831928431173</v>
      </c>
      <c r="GE248" s="469">
        <f ca="1">IF($FN248+GE$244&gt;73,"",PRODUCT(INDEX($T$19:$T$93,GE$244):INDEX($T$19:$T$93,GE$244+$FN248-1)))</f>
        <v>0.99909245619598552</v>
      </c>
      <c r="GF248" s="469">
        <f ca="1">IF($FN248+GF$244&gt;73,"",PRODUCT(INDEX($T$19:$T$93,GF$244):INDEX($T$19:$T$93,GF$244+$FN248-1)))</f>
        <v>0.99899164226072834</v>
      </c>
      <c r="GG248" s="469">
        <f ca="1">IF($FN248+GG$244&gt;73,"",PRODUCT(INDEX($T$19:$T$93,GG$244):INDEX($T$19:$T$93,GG$244+$FN248-1)))</f>
        <v>0.99887963238859501</v>
      </c>
      <c r="GH248" s="469">
        <f ca="1">IF($FN248+GH$244&gt;73,"",PRODUCT(INDEX($T$19:$T$93,GH$244):INDEX($T$19:$T$93,GH$244+$FN248-1)))</f>
        <v>0.99875518387613649</v>
      </c>
      <c r="GI248" s="469">
        <f ca="1">IF($FN248+GI$244&gt;73,"",PRODUCT(INDEX($T$19:$T$93,GI$244):INDEX($T$19:$T$93,GI$244+$FN248-1)))</f>
        <v>0.99861691623533511</v>
      </c>
      <c r="GJ248" s="469">
        <f ca="1">IF($FN248+GJ$244&gt;73,"",PRODUCT(INDEX($T$19:$T$93,GJ$244):INDEX($T$19:$T$93,GJ$244+$FN248-1)))</f>
        <v>0.99846329595012362</v>
      </c>
      <c r="GK248" s="469">
        <f ca="1">IF($FN248+GK$244&gt;73,"",PRODUCT(INDEX($T$19:$T$93,GK$244):INDEX($T$19:$T$93,GK$244+$FN248-1)))</f>
        <v>0.99829261955366422</v>
      </c>
      <c r="GL248" s="469">
        <f ca="1">IF($FN248+GL$244&gt;73,"",PRODUCT(INDEX($T$19:$T$93,GL$244):INDEX($T$19:$T$93,GL$244+$FN248-1)))</f>
        <v>0.99810299484288123</v>
      </c>
      <c r="GM248" s="469">
        <f ca="1">IF($FN248+GM$244&gt;73,"",PRODUCT(INDEX($T$19:$T$93,GM$244):INDEX($T$19:$T$93,GM$244+$FN248-1)))</f>
        <v>0.99789232002696204</v>
      </c>
      <c r="GN248" s="469">
        <f ca="1">IF($FN248+GN$244&gt;73,"",PRODUCT(INDEX($T$19:$T$93,GN$244):INDEX($T$19:$T$93,GN$244+$FN248-1)))</f>
        <v>0.99765826058467499</v>
      </c>
      <c r="GO248" s="469">
        <f ca="1">IF($FN248+GO$244&gt;73,"",PRODUCT(INDEX($T$19:$T$93,GO$244):INDEX($T$19:$T$93,GO$244+$FN248-1)))</f>
        <v>0.99739822358118768</v>
      </c>
      <c r="GP248" s="469">
        <f ca="1">IF($FN248+GP$244&gt;73,"",PRODUCT(INDEX($T$19:$T$93,GP$244):INDEX($T$19:$T$93,GP$244+$FN248-1)))</f>
        <v>0.9971093291683446</v>
      </c>
      <c r="GQ248" s="469">
        <f ca="1">IF($FN248+GQ$244&gt;73,"",PRODUCT(INDEX($T$19:$T$93,GQ$244):INDEX($T$19:$T$93,GQ$244+$FN248-1)))</f>
        <v>0.99678837896282602</v>
      </c>
      <c r="GR248" s="469">
        <f ca="1">IF($FN248+GR$244&gt;73,"",PRODUCT(INDEX($T$19:$T$93,GR$244):INDEX($T$19:$T$93,GR$244+$FN248-1)))</f>
        <v>0.99643182096394811</v>
      </c>
      <c r="GS248" s="469">
        <f ca="1">IF($FN248+GS$244&gt;73,"",PRODUCT(INDEX($T$19:$T$93,GS$244):INDEX($T$19:$T$93,GS$244+$FN248-1)))</f>
        <v>0.99603571063672902</v>
      </c>
      <c r="GT248" s="469">
        <f ca="1">IF($FN248+GT$244&gt;73,"",PRODUCT(INDEX($T$19:$T$93,GT$244):INDEX($T$19:$T$93,GT$244+$FN248-1)))</f>
        <v>0.99559566774585262</v>
      </c>
      <c r="GU248" s="469">
        <f ca="1">IF($FN248+GU$244&gt;73,"",PRODUCT(INDEX($T$19:$T$93,GU$244):INDEX($T$19:$T$93,GU$244+$FN248-1)))</f>
        <v>0.99510682848184795</v>
      </c>
      <c r="GV248" s="469">
        <f ca="1">IF($FN248+GV$244&gt;73,"",PRODUCT(INDEX($T$19:$T$93,GV$244):INDEX($T$19:$T$93,GV$244+$FN248-1)))</f>
        <v>0.99456379237165204</v>
      </c>
      <c r="GW248" s="469">
        <f ca="1">IF($FN248+GW$244&gt;73,"",PRODUCT(INDEX($T$19:$T$93,GW$244):INDEX($T$19:$T$93,GW$244+$FN248-1)))</f>
        <v>0.99396056341109473</v>
      </c>
      <c r="GX248" s="469">
        <f ca="1">IF($FN248+GX$244&gt;73,"",PRODUCT(INDEX($T$19:$T$93,GX$244):INDEX($T$19:$T$93,GX$244+$FN248-1)))</f>
        <v>0.99329048479602189</v>
      </c>
      <c r="GY248" s="469">
        <f ca="1">IF($FN248+GY$244&gt;73,"",PRODUCT(INDEX($T$19:$T$93,GY$244):INDEX($T$19:$T$93,GY$244+$FN248-1)))</f>
        <v>0.99254616656083328</v>
      </c>
      <c r="GZ248" s="469">
        <f ca="1">IF($FN248+GZ$244&gt;73,"",PRODUCT(INDEX($T$19:$T$93,GZ$244):INDEX($T$19:$T$93,GZ$244+$FN248-1)))</f>
        <v>0.99171940535707626</v>
      </c>
      <c r="HA248" s="469">
        <f ca="1">IF($FN248+HA$244&gt;73,"",PRODUCT(INDEX($T$19:$T$93,HA$244):INDEX($T$19:$T$93,HA$244+$FN248-1)))</f>
        <v>0.99080109551904483</v>
      </c>
      <c r="HB248" s="469">
        <f ca="1">IF($FN248+HB$244&gt;73,"",PRODUCT(INDEX($T$19:$T$93,HB$244):INDEX($T$19:$T$93,HB$244+$FN248-1)))</f>
        <v>0.98978113046638172</v>
      </c>
      <c r="HC248" s="469">
        <f ca="1">IF($FN248+HC$244&gt;73,"",PRODUCT(INDEX($T$19:$T$93,HC$244):INDEX($T$19:$T$93,HC$244+$FN248-1)))</f>
        <v>0.98864829338335769</v>
      </c>
      <c r="HD248" s="469">
        <f ca="1">IF($FN248+HD$244&gt;73,"",PRODUCT(INDEX($T$19:$T$93,HD$244):INDEX($T$19:$T$93,HD$244+$FN248-1)))</f>
        <v>0.98739013598807235</v>
      </c>
      <c r="HE248" s="469">
        <f ca="1">IF($FN248+HE$244&gt;73,"",PRODUCT(INDEX($T$19:$T$93,HE$244):INDEX($T$19:$T$93,HE$244+$FN248-1)))</f>
        <v>0.98599284405884391</v>
      </c>
      <c r="HF248" s="469">
        <f ca="1">IF($FN248+HF$244&gt;73,"",PRODUCT(INDEX($T$19:$T$93,HF$244):INDEX($T$19:$T$93,HF$244+$FN248-1)))</f>
        <v>0.98444108821512921</v>
      </c>
      <c r="HG248" s="469">
        <f ca="1">IF($FN248+HG$244&gt;73,"",PRODUCT(INDEX($T$19:$T$93,HG$244):INDEX($T$19:$T$93,HG$244+$FN248-1)))</f>
        <v>0.9827178582507482</v>
      </c>
      <c r="HH248" s="469">
        <f ca="1">IF($FN248+HH$244&gt;73,"",PRODUCT(INDEX($T$19:$T$93,HH$244):INDEX($T$19:$T$93,HH$244+$FN248-1)))</f>
        <v>0.98080427908079848</v>
      </c>
      <c r="HI248" s="469">
        <f ca="1">IF($FN248+HI$244&gt;73,"",PRODUCT(INDEX($T$19:$T$93,HI$244):INDEX($T$19:$T$93,HI$244+$FN248-1)))</f>
        <v>0.97867940608116721</v>
      </c>
      <c r="HJ248" s="469">
        <f ca="1">IF($FN248+HJ$244&gt;73,"",PRODUCT(INDEX($T$19:$T$93,HJ$244):INDEX($T$19:$T$93,HJ$244+$FN248-1)))</f>
        <v>0.97631999725931495</v>
      </c>
      <c r="HK248" s="469">
        <f ca="1">IF($FN248+HK$244&gt;73,"",PRODUCT(INDEX($T$19:$T$93,HK$244):INDEX($T$19:$T$93,HK$244+$FN248-1)))</f>
        <v>0.9737002592822771</v>
      </c>
      <c r="HL248" s="469">
        <f ca="1">IF($FN248+HL$244&gt;73,"",PRODUCT(INDEX($T$19:$T$93,HL$244):INDEX($T$19:$T$93,HL$244+$FN248-1)))</f>
        <v>0.97079156388424381</v>
      </c>
      <c r="HM248" s="469">
        <f ca="1">IF($FN248+HM$244&gt;73,"",PRODUCT(INDEX($T$19:$T$93,HM$244):INDEX($T$19:$T$93,HM$244+$FN248-1)))</f>
        <v>0.96756213055911333</v>
      </c>
      <c r="HN248" s="469">
        <f ca="1">IF($FN248+HN$244&gt;73,"",PRODUCT(INDEX($T$19:$T$93,HN$244):INDEX($T$19:$T$93,HN$244+$FN248-1)))</f>
        <v>0.96397667068589044</v>
      </c>
      <c r="HO248" s="469">
        <f ca="1">IF($FN248+HO$244&gt;73,"",PRODUCT(INDEX($T$19:$T$93,HO$244):INDEX($T$19:$T$93,HO$244+$FN248-1)))</f>
        <v>0.95999598730487445</v>
      </c>
      <c r="HP248" s="469">
        <f ca="1">IF($FN248+HP$244&gt;73,"",PRODUCT(INDEX($T$19:$T$93,HP$244):INDEX($T$19:$T$93,HP$244+$FN248-1)))</f>
        <v>0.95557652362436418</v>
      </c>
      <c r="HQ248" s="469">
        <f ca="1">IF($FN248+HQ$244&gt;73,"",PRODUCT(INDEX($T$19:$T$93,HQ$244):INDEX($T$19:$T$93,HQ$244+$FN248-1)))</f>
        <v>0.95066985195307263</v>
      </c>
      <c r="HR248" s="469">
        <f ca="1">IF($FN248+HR$244&gt;73,"",PRODUCT(INDEX($T$19:$T$93,HR$244):INDEX($T$19:$T$93,HR$244+$FN248-1)))</f>
        <v>0.94522209308670335</v>
      </c>
      <c r="HS248" s="469">
        <f ca="1">IF($FN248+HS$244&gt;73,"",PRODUCT(INDEX($T$19:$T$93,HS$244):INDEX($T$19:$T$93,HS$244+$FN248-1)))</f>
        <v>0.93917325420228814</v>
      </c>
      <c r="HT248" s="469">
        <f ca="1">IF($FN248+HT$244&gt;73,"",PRODUCT(INDEX($T$19:$T$93,HT$244):INDEX($T$19:$T$93,HT$244+$FN248-1)))</f>
        <v>0.93245647102912321</v>
      </c>
      <c r="HU248" s="469">
        <f ca="1">IF($FN248+HU$244&gt;73,"",PRODUCT(INDEX($T$19:$T$93,HU$244):INDEX($T$19:$T$93,HU$244+$FN248-1)))</f>
        <v>0.9249971375163426</v>
      </c>
      <c r="HV248" s="469">
        <f ca="1">IF($FN248+HV$244&gt;73,"",PRODUCT(INDEX($T$19:$T$93,HV$244):INDEX($T$19:$T$93,HV$244+$FN248-1)))</f>
        <v>0.91671190353675347</v>
      </c>
      <c r="HW248" s="469">
        <f ca="1">IF($FN248+HW$244&gt;73,"",PRODUCT(INDEX($T$19:$T$93,HW$244):INDEX($T$19:$T$93,HW$244+$FN248-1)))</f>
        <v>0.90750751863524393</v>
      </c>
      <c r="HX248" s="469">
        <f ca="1">IF($FN248+HX$244&gt;73,"",PRODUCT(INDEX($T$19:$T$93,HX$244):INDEX($T$19:$T$93,HX$244+$FN248-1)))</f>
        <v>0.89727949797406414</v>
      </c>
      <c r="HY248" s="469">
        <f ca="1">IF($FN248+HY$244&gt;73,"",PRODUCT(INDEX($T$19:$T$93,HY$244):INDEX($T$19:$T$93,HY$244+$FN248-1)))</f>
        <v>0.88591058636779174</v>
      </c>
      <c r="HZ248" s="469">
        <f ca="1">IF($FN248+HZ$244&gt;73,"",PRODUCT(INDEX($T$19:$T$93,HZ$244):INDEX($T$19:$T$93,HZ$244+$FN248-1)))</f>
        <v>0.87326899918119261</v>
      </c>
      <c r="IA248" s="469">
        <f ca="1">IF($FN248+IA$244&gt;73,"",PRODUCT(INDEX($T$19:$T$93,IA$244):INDEX($T$19:$T$93,IA$244+$FN248-1)))</f>
        <v>0.859206427388442</v>
      </c>
      <c r="IB248" s="469">
        <f ca="1">IF($FN248+IB$244&gt;73,"",PRODUCT(INDEX($T$19:$T$93,IB$244):INDEX($T$19:$T$93,IB$244+$FN248-1)))</f>
        <v>0.84355581222736775</v>
      </c>
      <c r="IC248" s="469">
        <f ca="1">IF($FN248+IC$244&gt;73,"",PRODUCT(INDEX($T$19:$T$93,IC$244):INDEX($T$19:$T$93,IC$244+$FN248-1)))</f>
        <v>0.82612892877081057</v>
      </c>
      <c r="ID248" s="469">
        <f ca="1">IF($FN248+ID$244&gt;73,"",PRODUCT(INDEX($T$19:$T$93,ID$244):INDEX($T$19:$T$93,ID$244+$FN248-1)))</f>
        <v>0.80671387670776795</v>
      </c>
      <c r="IE248" s="469">
        <f ca="1">IF($FN248+IE$244&gt;73,"",PRODUCT(INDEX($T$19:$T$93,IE$244):INDEX($T$19:$T$93,IE$244+$FN248-1)))</f>
        <v>0.78507267455866325</v>
      </c>
      <c r="IF248" s="469">
        <f ca="1">IF($FN248+IF$244&gt;73,"",PRODUCT(INDEX($T$19:$T$93,IF$244):INDEX($T$19:$T$93,IF$244+$FN248-1)))</f>
        <v>0.7609393106210065</v>
      </c>
      <c r="IG248" s="469">
        <f ca="1">IF($FN248+IG$244&gt;73,"",PRODUCT(INDEX($T$19:$T$93,IG$244):INDEX($T$19:$T$93,IG$244+$FN248-1)))</f>
        <v>0.73401884867785372</v>
      </c>
      <c r="IH248" s="662">
        <f ca="1">IF($FN248+IH$244&gt;73,"",PRODUCT(INDEX($T$19:$T$93,IH$244):INDEX($T$19:$T$93,IH$244+$FN248-1)))</f>
        <v>0.7039885577233157</v>
      </c>
      <c r="II248" s="242"/>
    </row>
    <row r="249" spans="8:243">
      <c r="H249" s="49" t="e">
        <f t="shared" ca="1" si="645"/>
        <v>#N/A</v>
      </c>
      <c r="I249" s="369">
        <f t="shared" si="646"/>
        <v>43983</v>
      </c>
      <c r="J249" s="367">
        <v>25.109999999999797</v>
      </c>
      <c r="K249" s="101" t="s">
        <v>267</v>
      </c>
      <c r="L249" s="382">
        <f t="shared" si="647"/>
        <v>25.109999999999804</v>
      </c>
      <c r="M249" s="163">
        <v>0.1211</v>
      </c>
      <c r="N249" s="372">
        <v>0</v>
      </c>
      <c r="O249" s="163">
        <f t="shared" si="595"/>
        <v>0.1211</v>
      </c>
      <c r="P249" s="367">
        <v>23.645531452894698</v>
      </c>
      <c r="Q249" s="101" t="s">
        <v>267</v>
      </c>
      <c r="R249" s="367">
        <f t="shared" ca="1" si="596"/>
        <v>23.645531452894687</v>
      </c>
      <c r="S249" s="814">
        <f t="shared" si="594"/>
        <v>0.34505585223542895</v>
      </c>
      <c r="T249" s="813">
        <f t="shared" si="660"/>
        <v>0.99999999999740585</v>
      </c>
      <c r="U249" s="532">
        <f t="shared" si="661"/>
        <v>0.99999999999999978</v>
      </c>
      <c r="V249" s="379">
        <v>0</v>
      </c>
      <c r="W249" s="424">
        <f t="shared" si="597"/>
        <v>25.142954545454344</v>
      </c>
      <c r="X249" s="405">
        <f t="shared" si="598"/>
        <v>25.142954545454348</v>
      </c>
      <c r="Y249" s="313">
        <f t="shared" si="599"/>
        <v>23.798954545454343</v>
      </c>
      <c r="Z249" s="313">
        <f t="shared" ca="1" si="600"/>
        <v>23.798954545454347</v>
      </c>
      <c r="AA249" s="419">
        <f t="shared" si="623"/>
        <v>1.3440000000000001</v>
      </c>
      <c r="AB249" s="423">
        <f t="shared" ca="1" si="624"/>
        <v>1.3440000000000001</v>
      </c>
      <c r="AC249" s="221">
        <v>43971</v>
      </c>
      <c r="AD249" s="221">
        <v>43967</v>
      </c>
      <c r="AE249" s="221">
        <v>43966</v>
      </c>
      <c r="AF249" s="221">
        <v>43962</v>
      </c>
      <c r="AG249" s="241" t="s">
        <v>497</v>
      </c>
      <c r="AH249" s="239" t="s">
        <v>497</v>
      </c>
      <c r="AI249" s="141">
        <v>22</v>
      </c>
      <c r="AJ249" s="41">
        <v>15</v>
      </c>
      <c r="AK249" s="41">
        <v>7</v>
      </c>
      <c r="AL249" s="285">
        <v>22</v>
      </c>
      <c r="AM249" s="41">
        <v>10</v>
      </c>
      <c r="AN249" s="142">
        <v>12</v>
      </c>
      <c r="AO249" s="364">
        <v>6.4172786350848596E-2</v>
      </c>
      <c r="AP249" s="145">
        <f t="shared" ca="1" si="648"/>
        <v>0.29690165631344329</v>
      </c>
      <c r="AQ249" s="364">
        <v>6.0142208156027901E-2</v>
      </c>
      <c r="AR249" s="145">
        <f t="shared" ca="1" si="662"/>
        <v>0.32241980590705088</v>
      </c>
      <c r="AS249" s="264">
        <f t="shared" si="601"/>
        <v>0.1211</v>
      </c>
      <c r="AT249" s="149">
        <f t="shared" si="649"/>
        <v>0.1211</v>
      </c>
      <c r="AU249" s="149">
        <f t="shared" si="625"/>
        <v>0.1211</v>
      </c>
      <c r="AV249" s="263">
        <f t="shared" ca="1" si="669"/>
        <v>0.11922405427017485</v>
      </c>
      <c r="AW249" s="150" t="str">
        <f t="shared" ca="1" si="671"/>
        <v/>
      </c>
      <c r="AX249" s="149">
        <f t="shared" ca="1" si="663"/>
        <v>2.560315063657035E-3</v>
      </c>
      <c r="AY249" s="149">
        <f t="shared" ca="1" si="664"/>
        <v>7.3348398300258281E-4</v>
      </c>
      <c r="AZ249" s="149">
        <f t="shared" ca="1" si="665"/>
        <v>1.0095489526407619E-3</v>
      </c>
      <c r="BA249" s="149">
        <f t="shared" ca="1" si="666"/>
        <v>1.0000000000001269E-4</v>
      </c>
      <c r="BB249" s="149">
        <f t="shared" ca="1" si="667"/>
        <v>1.0000000000001269E-4</v>
      </c>
      <c r="BC249" s="149">
        <f t="shared" ca="1" si="668"/>
        <v>1.0000000000001269E-4</v>
      </c>
      <c r="BD249" s="143">
        <f t="shared" ca="1" si="602"/>
        <v>0</v>
      </c>
      <c r="BE249" s="144">
        <f t="shared" ca="1" si="603"/>
        <v>0</v>
      </c>
      <c r="BF249" s="40">
        <f t="shared" si="604"/>
        <v>2020</v>
      </c>
      <c r="BG249" s="139">
        <f t="shared" si="605"/>
        <v>6</v>
      </c>
      <c r="BH249" s="140">
        <f t="shared" ca="1" si="606"/>
        <v>6977</v>
      </c>
      <c r="BI249" s="304">
        <f t="shared" ca="1" si="607"/>
        <v>19.145790554414784</v>
      </c>
      <c r="BJ249" s="42">
        <f t="shared" ca="1" si="626"/>
        <v>19.199925331342168</v>
      </c>
      <c r="BK249" s="42">
        <f t="shared" ca="1" si="627"/>
        <v>19.202663182129299</v>
      </c>
      <c r="BL249" s="42">
        <f t="shared" ca="1" si="608"/>
        <v>19.225188227241617</v>
      </c>
      <c r="BM249" s="285">
        <f t="shared" si="609"/>
        <v>22</v>
      </c>
      <c r="BN249" s="41">
        <f t="shared" si="610"/>
        <v>15</v>
      </c>
      <c r="BO249" s="41">
        <f t="shared" si="611"/>
        <v>7</v>
      </c>
      <c r="BP249" s="297" t="str">
        <f t="shared" ca="1" si="628"/>
        <v/>
      </c>
      <c r="BQ249" s="297" t="str">
        <f t="shared" ca="1" si="629"/>
        <v/>
      </c>
      <c r="BR249" s="299" t="str">
        <f t="shared" ca="1" si="630"/>
        <v/>
      </c>
      <c r="BS249" s="153" t="str">
        <f t="shared" ca="1" si="631"/>
        <v/>
      </c>
      <c r="BT249" s="153" t="str">
        <f t="shared" ca="1" si="632"/>
        <v/>
      </c>
      <c r="BU249" s="300" t="str">
        <f t="shared" ca="1" si="633"/>
        <v/>
      </c>
      <c r="BV249" s="301" t="str">
        <f t="shared" ca="1" si="634"/>
        <v/>
      </c>
      <c r="BW249" s="300" t="str">
        <f t="shared" ca="1" si="635"/>
        <v/>
      </c>
      <c r="BX249" s="301" t="str">
        <f t="shared" ca="1" si="636"/>
        <v/>
      </c>
      <c r="BY249" s="146" t="str">
        <f t="shared" ca="1" si="637"/>
        <v/>
      </c>
      <c r="BZ249" s="146" t="str">
        <f t="shared" ca="1" si="638"/>
        <v/>
      </c>
      <c r="CA249" s="146" t="str">
        <f t="shared" ca="1" si="639"/>
        <v/>
      </c>
      <c r="CB249" s="146" t="str">
        <f t="shared" ca="1" si="640"/>
        <v/>
      </c>
      <c r="CC249" s="302">
        <v>1</v>
      </c>
      <c r="CD249" s="154">
        <f ca="1">IF(BD249,_xll.xCrudeAPO(BS249,BT249,BY249,BZ249,S250,S251,BI249,BL249,BN249,BO249,0,Strike1,AO249,CC249,0,BL249,IF(OptControl=4,0,1),0,1),0)</f>
        <v>0</v>
      </c>
      <c r="CE249" s="155">
        <f ca="1">IF(BD249,_xll.xCrudeAPO(BS249,BT249,BY249,BZ249,S250,S251,BI249,BL249,BN249,BO249,0,Strike1,AO249,CC249,0,BL249,IF(OptControl=4,0,1),1,1)+_xll.xCrudeAPO(BS249,BT249,BY249,BZ249,S250,S251,BI249,BL249,BN249,BO249,0,Strike1,AO249,CC249,0,BL249,IF(OptControl=4,0,1),1,2)+IF(OR(VolSkewFlag=2,ABS(BQ249)&lt;0.0001),0,IF(BQ249&gt;0,-1,1)*CF249*Strike1/BP249^2*BW249/10%),0)</f>
        <v>0</v>
      </c>
      <c r="CF249" s="155">
        <f ca="1">IF(BD249,(_xll.xCrudeAPO(BS249,BT249,BY249,BZ249,S250,S251,BI249,BL249,BN249,BO249,0,Strike1,AO249,CC249,0,BL249,IF(OptControl=4,0,1),3,1)+_xll.xCrudeAPO(BS249,BT249,BY249,BZ249,S250,S251,BI249,BL249,BN249,BO249,0,Strike1,AO249,CC249,0,BL249,IF(OptControl=4,0,1),3,2))/100,0)</f>
        <v>0</v>
      </c>
      <c r="CG249" s="155">
        <f ca="1">IF(BD249,_xll.xCrudeAPO(BS249,BT249,BY249,BZ249,S250,S251,BI249-DaysForThetaCalculation/365.25,BL249-DaysForThetaCalculation/365.25,BN249,BO249,0,Strike1,AO249,CC249,0,BL249,IF(OptControl=4,0,1),0,1)-_xll.xCrudeAPO(BS249,BT249,BY249,BZ249,S250,S251,BI249,BL249,BN249,BO249,0,Strike1,AO249,CC249,0,BL249,IF(OptControl=4,0,1),0,1),0)</f>
        <v>0</v>
      </c>
      <c r="CH249" s="303">
        <f ca="1">IF(BD249,_xll.xCrudeAPO(BS249,BT249,CA249,CB249,S250,S251,BI249,BL249,BN249,BO249,0,Strike2,AO249,CC249,0,BL249,IF(OptControl=3,1,0),0,1),0)</f>
        <v>0</v>
      </c>
      <c r="CI249" s="155">
        <f ca="1">IF(BD249,_xll.xCrudeAPO(BS249,BT249,CA249,CB249,S250,S251,BI249,BL249,BN249,BO249,0,Strike2,AO249,CC249,0,BL249,IF(OptControl=3,1,0),1,1)+_xll.xCrudeAPO(BS249,BT249,CA249,CB249,S250,S251,BI249,BL249,BN249,BO249,0,Strike2,AO249,CC249,0,BL249,IF(OptControl=3,1,0),1,2)+IF(OR(VolSkewFlag=2,ABS(BR249)&lt;0.0001),0,IF(BR249&gt;0,-1,1)*CJ249*Strike2/BP249^2*BX249/10%),0)</f>
        <v>0</v>
      </c>
      <c r="CJ249" s="155">
        <f ca="1">IF(BD249,(_xll.xCrudeAPO(BS249,BT249,CA249,CB249,S250,S251,BI249,BL249,BN249,BO249,0,Strike2,AO249,CC249,0,BL249,IF(OptControl=3,1,0),3,1)+_xll.xCrudeAPO(BS249,BT249,CA249,CB249,S250,S251,BI249,BL249,BN249,BO249,0,Strike2,AO249,CC249,0,BL249,IF(OptControl=3,1,0),3,2))/100,0)</f>
        <v>0</v>
      </c>
      <c r="CK249" s="156">
        <f ca="1">IF(BD249,_xll.xCrudeAPO(BS249,BT249,CA249,CB249,S250,S251,BI249-DaysForThetaCalculation/365.25,BL249-DaysForThetaCalculation/365.25,BN249,BO249,0,Strike2,AO249,CC249,0,BL249,IF(OptControl=3,1,0),0,1)-_xll.xCrudeAPO(BS249,BT249,CA249,CB249,S250,S251,BI249,BL249,BN249,BO249,0,Strike2,AO249,CC249,0,BL249,IF(OptControl=3,1,0),0,1),0)</f>
        <v>0</v>
      </c>
      <c r="CL249" s="51"/>
      <c r="CM249" s="779" t="str">
        <f t="shared" ca="1" si="650"/>
        <v/>
      </c>
      <c r="CN249" s="783" t="str">
        <f t="shared" ca="1" si="651"/>
        <v/>
      </c>
      <c r="CO249" s="780" t="str">
        <f t="shared" ca="1" si="652"/>
        <v/>
      </c>
      <c r="CP249" s="780" t="str">
        <f t="shared" ca="1" si="653"/>
        <v/>
      </c>
      <c r="CQ249" s="780" t="str">
        <f t="shared" ca="1" si="654"/>
        <v/>
      </c>
      <c r="CR249" s="780" t="str">
        <f t="shared" ca="1" si="655"/>
        <v/>
      </c>
      <c r="CS249" s="781" t="str">
        <f t="shared" ca="1" si="656"/>
        <v/>
      </c>
      <c r="CT249" s="782" t="str">
        <f t="shared" ca="1" si="657"/>
        <v/>
      </c>
      <c r="CU249" s="782" t="str">
        <f t="shared" ca="1" si="658"/>
        <v/>
      </c>
      <c r="CV249" s="155">
        <f ca="1">IF(BD249,_xll.EURO(CN249,Strike1,AO249,AO249,CT249,CM249,IF(OptControl=4,0,1),0),0)</f>
        <v>0</v>
      </c>
      <c r="CW249" s="155">
        <f ca="1">IF(BD249,_xll.EURO(CN249,Strike1,AO249,AO249,CT249,CM249,IF(OptControl=4,0,1),1)+IF(OR(VolSkewFlag=2,ABS(CO249)&lt;0.0001),0,IF(CO249&gt;0,-1,1)*CX249*100*Strike1/CN249^2*CQ249/10%),0)</f>
        <v>0</v>
      </c>
      <c r="CX249" s="155">
        <f ca="1">IF(BD249,_xll.EURO(CN249,Strike1,AO249,AO249,CT249,CM249,IF(OptControl=4,0,1),3)/100,0)</f>
        <v>0</v>
      </c>
      <c r="CY249" s="155">
        <f ca="1">IF(BD249,_xll.EURO(CN249,Strike1,AO249,AO249,CT249,CM249,IF(OptControl=4,0,1),0)-_xll.EURO(CN249,Strike1,AO249,AO249,CT249,CM249-1,IF(OptControl=4,0,1),0),0)</f>
        <v>0</v>
      </c>
      <c r="CZ249" s="155">
        <f ca="1">IF(BD249,_xll.EURO(CN249,Strike2,AO249,AO249,CU249,CM249,IF(OptControl=3,1,0),0),0)</f>
        <v>0</v>
      </c>
      <c r="DA249" s="155">
        <f ca="1">IF(BD249,_xll.EURO(CN249,Strike2,AO249,AO249,CU249,CM249,IF(OptControl=3,1,0),1)+IF(OR(VolSkewFlag=2,ABS(CP249)&lt;0.0001),0,IF(CP249&gt;0,-1,1)*DB249*100*Strike2/CN249^2*CR249/10%),0)</f>
        <v>0</v>
      </c>
      <c r="DB249" s="155">
        <f ca="1">IF(BD249,_xll.EURO(CN249,Strike2,AO249,AO249,CU249,CM249,IF(OptControl=3,1,0),3)/100,0)</f>
        <v>0</v>
      </c>
      <c r="DC249" s="156">
        <f ca="1">IF(BD249,_xll.EURO(CN249,Strike2,AO249,AO249,CU249,CM249,IF(OptControl=3,1,0),0)-_xll.EURO(CN249,Strike2,AO249,AO249,CU249,CM249-1,IF(OptControl=3,1,0),0),0)</f>
        <v>0</v>
      </c>
      <c r="DE249" s="651">
        <f t="shared" ca="1" si="659"/>
        <v>43891</v>
      </c>
      <c r="DF249" s="465">
        <v>1E-4</v>
      </c>
      <c r="DG249" s="649">
        <v>1E-4</v>
      </c>
      <c r="DH249" s="650">
        <f t="shared" ca="1" si="612"/>
        <v>43891</v>
      </c>
      <c r="DI249" s="465">
        <v>1E-4</v>
      </c>
      <c r="DJ249" s="649">
        <v>1E-4</v>
      </c>
      <c r="DK249" s="651">
        <f t="shared" ca="1" si="613"/>
        <v>43891</v>
      </c>
      <c r="DL249" s="652">
        <f t="shared" si="614"/>
        <v>5.0100000000000006E-2</v>
      </c>
      <c r="DM249" s="651">
        <f t="shared" ca="1" si="615"/>
        <v>43891</v>
      </c>
      <c r="DN249" s="563">
        <f t="shared" si="616"/>
        <v>-0.12990000000000002</v>
      </c>
      <c r="DO249" s="803">
        <v>-0.13</v>
      </c>
      <c r="DP249" s="650">
        <f t="shared" ca="1" si="617"/>
        <v>43891</v>
      </c>
      <c r="DQ249" s="653">
        <v>1E-4</v>
      </c>
      <c r="DR249" s="590">
        <v>1E-4</v>
      </c>
      <c r="DS249" s="650">
        <f t="shared" ca="1" si="618"/>
        <v>43891</v>
      </c>
      <c r="DT249" s="653">
        <v>1E-4</v>
      </c>
      <c r="DU249" s="590">
        <v>1E-4</v>
      </c>
      <c r="DV249" s="651">
        <f t="shared" ca="1" si="619"/>
        <v>43891</v>
      </c>
      <c r="DW249" s="590">
        <v>1E-4</v>
      </c>
      <c r="DX249" s="651">
        <f t="shared" ca="1" si="620"/>
        <v>43891</v>
      </c>
      <c r="DY249" s="590">
        <f t="shared" si="621"/>
        <v>1E-4</v>
      </c>
      <c r="DZ249" s="1"/>
      <c r="EA249" s="857"/>
      <c r="EB249" s="857"/>
      <c r="EC249" s="857"/>
      <c r="ED249" s="868" t="e">
        <f t="shared" ca="1" si="670"/>
        <v>#NAME?</v>
      </c>
      <c r="EE249" s="863" t="e">
        <f t="shared" ca="1" si="641"/>
        <v>#NAME?</v>
      </c>
      <c r="EF249" s="590" t="e">
        <f t="shared" ca="1" si="642"/>
        <v>#NAME?</v>
      </c>
      <c r="EG249" s="862" t="str">
        <f t="shared" ca="1" si="622"/>
        <v/>
      </c>
      <c r="EH249" s="114" t="str">
        <f t="shared" ca="1" si="643"/>
        <v/>
      </c>
      <c r="EI249" s="109" t="str">
        <f t="shared" ca="1" si="644"/>
        <v/>
      </c>
      <c r="EJ249" s="115">
        <f ca="1">IF(BD249,_xll.xASN(BP249,Strike1,AO249,EH249,0,BM249,0,BI249,BL249,IF(OptControl=4,0,1),0),0)</f>
        <v>0</v>
      </c>
      <c r="EK249" s="108">
        <f ca="1">IF(BD249,_xll.xASN(BP249,Strike2,AO249,EI249,0,BM249,0,BI249,BL249,IF(OptControl=3,1,0),0),0)</f>
        <v>0</v>
      </c>
      <c r="EP249" s="53"/>
      <c r="EQ249" s="1"/>
      <c r="ER249" s="103"/>
      <c r="ES249" s="103"/>
      <c r="ET249" s="1"/>
      <c r="EU249" s="667" t="s">
        <v>462</v>
      </c>
      <c r="EW249" s="53"/>
      <c r="EY249" s="104"/>
      <c r="FN249" s="657">
        <v>5</v>
      </c>
      <c r="FO249" s="469" t="str">
        <f ca="1">IF($FN249+FO$244&gt;73,"",PRODUCT(INDEX($T$19:$T$93,FO$244):INDEX($T$19:$T$93,FO$244+$FN249-1)))</f>
        <v/>
      </c>
      <c r="FP249" s="469" t="str">
        <f ca="1">IF($FN249+FP$244&gt;73,"",PRODUCT(INDEX($T$19:$T$93,FP$244):INDEX($T$19:$T$93,FP$244+$FN249-1)))</f>
        <v/>
      </c>
      <c r="FQ249" s="469" t="str">
        <f ca="1">IF($FN249+FQ$244&gt;73,"",PRODUCT(INDEX($T$19:$T$93,FQ$244):INDEX($T$19:$T$93,FQ$244+$FN249-1)))</f>
        <v/>
      </c>
      <c r="FR249" s="469" t="str">
        <f ca="1">IF($FN249+FR$244&gt;73,"",PRODUCT(INDEX($T$19:$T$93,FR$244):INDEX($T$19:$T$93,FR$244+$FN249-1)))</f>
        <v/>
      </c>
      <c r="FS249" s="469">
        <f ca="1">IF($FN249+FS$244&gt;73,"",PRODUCT(INDEX($T$19:$T$93,FS$244):INDEX($T$19:$T$93,FS$244+$FN249-1)))</f>
        <v>0.9996947423982252</v>
      </c>
      <c r="FT249" s="469">
        <f ca="1">IF($FN249+FT$244&gt;73,"",PRODUCT(INDEX($T$19:$T$93,FT$244):INDEX($T$19:$T$93,FT$244+$FN249-1)))</f>
        <v>0.99966082825894231</v>
      </c>
      <c r="FU249" s="469">
        <f ca="1">IF($FN249+FU$244&gt;73,"",PRODUCT(INDEX($T$19:$T$93,FU$244):INDEX($T$19:$T$93,FU$244+$FN249-1)))</f>
        <v>0.99962314667006413</v>
      </c>
      <c r="FV249" s="469">
        <f ca="1">IF($FN249+FV$244&gt;73,"",PRODUCT(INDEX($T$19:$T$93,FV$244):INDEX($T$19:$T$93,FV$244+$FN249-1)))</f>
        <v>0.99958127920998763</v>
      </c>
      <c r="FW249" s="469">
        <f ca="1">IF($FN249+FW$244&gt;73,"",PRODUCT(INDEX($T$19:$T$93,FW$244):INDEX($T$19:$T$93,FW$244+$FN249-1)))</f>
        <v>0.99953476100864191</v>
      </c>
      <c r="FX249" s="469">
        <f ca="1">IF($FN249+FX$244&gt;73,"",PRODUCT(INDEX($T$19:$T$93,FX$244):INDEX($T$19:$T$93,FX$244+$FN249-1)))</f>
        <v>0.99948307559648331</v>
      </c>
      <c r="FY249" s="469">
        <f ca="1">IF($FN249+FY$244&gt;73,"",PRODUCT(INDEX($T$19:$T$93,FY$244):INDEX($T$19:$T$93,FY$244+$FN249-1)))</f>
        <v>0.99942564918345633</v>
      </c>
      <c r="FZ249" s="469">
        <f ca="1">IF($FN249+FZ$244&gt;73,"",PRODUCT(INDEX($T$19:$T$93,FZ$244):INDEX($T$19:$T$93,FZ$244+$FN249-1)))</f>
        <v>0.99936184430510344</v>
      </c>
      <c r="GA249" s="469">
        <f ca="1">IF($FN249+GA$244&gt;73,"",PRODUCT(INDEX($T$19:$T$93,GA$244):INDEX($T$19:$T$93,GA$244+$FN249-1)))</f>
        <v>0.99929095276615709</v>
      </c>
      <c r="GB249" s="469">
        <f ca="1">IF($FN249+GB$244&gt;73,"",PRODUCT(INDEX($T$19:$T$93,GB$244):INDEX($T$19:$T$93,GB$244+$FN249-1)))</f>
        <v>0.99921218780434773</v>
      </c>
      <c r="GC249" s="469">
        <f ca="1">IF($FN249+GC$244&gt;73,"",PRODUCT(INDEX($T$19:$T$93,GC$244):INDEX($T$19:$T$93,GC$244+$FN249-1)))</f>
        <v>0.99912467538875827</v>
      </c>
      <c r="GD249" s="469">
        <f ca="1">IF($FN249+GD$244&gt;73,"",PRODUCT(INDEX($T$19:$T$93,GD$244):INDEX($T$19:$T$93,GD$244+$FN249-1)))</f>
        <v>0.99902744455775128</v>
      </c>
      <c r="GE249" s="469">
        <f ca="1">IF($FN249+GE$244&gt;73,"",PRODUCT(INDEX($T$19:$T$93,GE$244):INDEX($T$19:$T$93,GE$244+$FN249-1)))</f>
        <v>0.99891941669121598</v>
      </c>
      <c r="GF249" s="469">
        <f ca="1">IF($FN249+GF$244&gt;73,"",PRODUCT(INDEX($T$19:$T$93,GF$244):INDEX($T$19:$T$93,GF$244+$FN249-1)))</f>
        <v>0.99879939360050529</v>
      </c>
      <c r="GG249" s="469">
        <f ca="1">IF($FN249+GG$244&gt;73,"",PRODUCT(INDEX($T$19:$T$93,GG$244):INDEX($T$19:$T$93,GG$244+$FN249-1)))</f>
        <v>0.99866604430687711</v>
      </c>
      <c r="GH249" s="469">
        <f ca="1">IF($FN249+GH$244&gt;73,"",PRODUCT(INDEX($T$19:$T$93,GH$244):INDEX($T$19:$T$93,GH$244+$FN249-1)))</f>
        <v>0.99851789036537908</v>
      </c>
      <c r="GI249" s="469">
        <f ca="1">IF($FN249+GI$244&gt;73,"",PRODUCT(INDEX($T$19:$T$93,GI$244):INDEX($T$19:$T$93,GI$244+$FN249-1)))</f>
        <v>0.99835328957580471</v>
      </c>
      <c r="GJ249" s="469">
        <f ca="1">IF($FN249+GJ$244&gt;73,"",PRODUCT(INDEX($T$19:$T$93,GJ$244):INDEX($T$19:$T$93,GJ$244+$FN249-1)))</f>
        <v>0.99817041790546579</v>
      </c>
      <c r="GK249" s="469">
        <f ca="1">IF($FN249+GK$244&gt;73,"",PRODUCT(INDEX($T$19:$T$93,GK$244):INDEX($T$19:$T$93,GK$244+$FN249-1)))</f>
        <v>0.99796724942991044</v>
      </c>
      <c r="GL249" s="469">
        <f ca="1">IF($FN249+GL$244&gt;73,"",PRODUCT(INDEX($T$19:$T$93,GL$244):INDEX($T$19:$T$93,GL$244+$FN249-1)))</f>
        <v>0.99774153407721422</v>
      </c>
      <c r="GM249" s="469">
        <f ca="1">IF($FN249+GM$244&gt;73,"",PRODUCT(INDEX($T$19:$T$93,GM$244):INDEX($T$19:$T$93,GM$244+$FN249-1)))</f>
        <v>0.99749077293890875</v>
      </c>
      <c r="GN249" s="469">
        <f ca="1">IF($FN249+GN$244&gt;73,"",PRODUCT(INDEX($T$19:$T$93,GN$244):INDEX($T$19:$T$93,GN$244+$FN249-1)))</f>
        <v>0.99721219088578517</v>
      </c>
      <c r="GO249" s="469">
        <f ca="1">IF($FN249+GO$244&gt;73,"",PRODUCT(INDEX($T$19:$T$93,GO$244):INDEX($T$19:$T$93,GO$244+$FN249-1)))</f>
        <v>0.99690270619954613</v>
      </c>
      <c r="GP249" s="469">
        <f ca="1">IF($FN249+GP$244&gt;73,"",PRODUCT(INDEX($T$19:$T$93,GP$244):INDEX($T$19:$T$93,GP$244+$FN249-1)))</f>
        <v>0.99655889690131749</v>
      </c>
      <c r="GQ249" s="469">
        <f ca="1">IF($FN249+GQ$244&gt;73,"",PRODUCT(INDEX($T$19:$T$93,GQ$244):INDEX($T$19:$T$93,GQ$244+$FN249-1)))</f>
        <v>0.99617696342517159</v>
      </c>
      <c r="GR249" s="469">
        <f ca="1">IF($FN249+GR$244&gt;73,"",PRODUCT(INDEX($T$19:$T$93,GR$244):INDEX($T$19:$T$93,GR$244+$FN249-1)))</f>
        <v>0.99575268724878407</v>
      </c>
      <c r="GS249" s="469">
        <f ca="1">IF($FN249+GS$244&gt;73,"",PRODUCT(INDEX($T$19:$T$93,GS$244):INDEX($T$19:$T$93,GS$244+$FN249-1)))</f>
        <v>0.99528138505386321</v>
      </c>
      <c r="GT249" s="469">
        <f ca="1">IF($FN249+GT$244&gt;73,"",PRODUCT(INDEX($T$19:$T$93,GT$244):INDEX($T$19:$T$93,GT$244+$FN249-1)))</f>
        <v>0.99475785794576899</v>
      </c>
      <c r="GU249" s="469">
        <f ca="1">IF($FN249+GU$244&gt;73,"",PRODUCT(INDEX($T$19:$T$93,GU$244):INDEX($T$19:$T$93,GU$244+$FN249-1)))</f>
        <v>0.99417633521442683</v>
      </c>
      <c r="GV249" s="469">
        <f ca="1">IF($FN249+GV$244&gt;73,"",PRODUCT(INDEX($T$19:$T$93,GV$244):INDEX($T$19:$T$93,GV$244+$FN249-1)))</f>
        <v>0.99353041206688042</v>
      </c>
      <c r="GW249" s="469">
        <f ca="1">IF($FN249+GW$244&gt;73,"",PRODUCT(INDEX($T$19:$T$93,GW$244):INDEX($T$19:$T$93,GW$244+$FN249-1)))</f>
        <v>0.99281298070518509</v>
      </c>
      <c r="GX249" s="469">
        <f ca="1">IF($FN249+GX$244&gt;73,"",PRODUCT(INDEX($T$19:$T$93,GX$244):INDEX($T$19:$T$93,GX$244+$FN249-1)))</f>
        <v>0.99201615406134347</v>
      </c>
      <c r="GY249" s="469">
        <f ca="1">IF($FN249+GY$244&gt;73,"",PRODUCT(INDEX($T$19:$T$93,GY$244):INDEX($T$19:$T$93,GY$244+$FN249-1)))</f>
        <v>0.99113118143305412</v>
      </c>
      <c r="GZ249" s="469">
        <f ca="1">IF($FN249+GZ$244&gt;73,"",PRODUCT(INDEX($T$19:$T$93,GZ$244):INDEX($T$19:$T$93,GZ$244+$FN249-1)))</f>
        <v>0.99014835518949595</v>
      </c>
      <c r="HA249" s="469">
        <f ca="1">IF($FN249+HA$244&gt;73,"",PRODUCT(INDEX($T$19:$T$93,HA$244):INDEX($T$19:$T$93,HA$244+$FN249-1)))</f>
        <v>0.98905690763437792</v>
      </c>
      <c r="HB249" s="469">
        <f ca="1">IF($FN249+HB$244&gt;73,"",PRODUCT(INDEX($T$19:$T$93,HB$244):INDEX($T$19:$T$93,HB$244+$FN249-1)))</f>
        <v>0.98784489702299283</v>
      </c>
      <c r="HC249" s="469">
        <f ca="1">IF($FN249+HC$244&gt;73,"",PRODUCT(INDEX($T$19:$T$93,HC$244):INDEX($T$19:$T$93,HC$244+$FN249-1)))</f>
        <v>0.98649908162972499</v>
      </c>
      <c r="HD249" s="469">
        <f ca="1">IF($FN249+HD$244&gt;73,"",PRODUCT(INDEX($T$19:$T$93,HD$244):INDEX($T$19:$T$93,HD$244+$FN249-1)))</f>
        <v>0.98500478065067576</v>
      </c>
      <c r="HE249" s="469">
        <f ca="1">IF($FN249+HE$244&gt;73,"",PRODUCT(INDEX($T$19:$T$93,HE$244):INDEX($T$19:$T$93,HE$244+$FN249-1)))</f>
        <v>0.98334572060061298</v>
      </c>
      <c r="HF249" s="469">
        <f ca="1">IF($FN249+HF$244&gt;73,"",PRODUCT(INDEX($T$19:$T$93,HF$244):INDEX($T$19:$T$93,HF$244+$FN249-1)))</f>
        <v>0.9815038657215378</v>
      </c>
      <c r="HG249" s="469">
        <f ca="1">IF($FN249+HG$244&gt;73,"",PRODUCT(INDEX($T$19:$T$93,HG$244):INDEX($T$19:$T$93,HG$244+$FN249-1)))</f>
        <v>0.9794592307581087</v>
      </c>
      <c r="HH249" s="469">
        <f ca="1">IF($FN249+HH$244&gt;73,"",PRODUCT(INDEX($T$19:$T$93,HH$244):INDEX($T$19:$T$93,HH$244+$FN249-1)))</f>
        <v>0.97718967426833236</v>
      </c>
      <c r="HI249" s="469">
        <f ca="1">IF($FN249+HI$244&gt;73,"",PRODUCT(INDEX($T$19:$T$93,HI$244):INDEX($T$19:$T$93,HI$244+$FN249-1)))</f>
        <v>0.97467067042027955</v>
      </c>
      <c r="HJ249" s="469">
        <f ca="1">IF($FN249+HJ$244&gt;73,"",PRODUCT(INDEX($T$19:$T$93,HJ$244):INDEX($T$19:$T$93,HJ$244+$FN249-1)))</f>
        <v>0.97187505696955134</v>
      </c>
      <c r="HK249" s="469">
        <f ca="1">IF($FN249+HK$244&gt;73,"",PRODUCT(INDEX($T$19:$T$93,HK$244):INDEX($T$19:$T$93,HK$244+$FN249-1)))</f>
        <v>0.96877275680835739</v>
      </c>
      <c r="HL249" s="469">
        <f ca="1">IF($FN249+HL$244&gt;73,"",PRODUCT(INDEX($T$19:$T$93,HL$244):INDEX($T$19:$T$93,HL$244+$FN249-1)))</f>
        <v>0.96533047011386897</v>
      </c>
      <c r="HM249" s="469">
        <f ca="1">IF($FN249+HM$244&gt;73,"",PRODUCT(INDEX($T$19:$T$93,HM$244):INDEX($T$19:$T$93,HM$244+$FN249-1)))</f>
        <v>0.96151133368743824</v>
      </c>
      <c r="HN249" s="469">
        <f ca="1">IF($FN249+HN$244&gt;73,"",PRODUCT(INDEX($T$19:$T$93,HN$244):INDEX($T$19:$T$93,HN$244+$FN249-1)))</f>
        <v>0.95727454355207797</v>
      </c>
      <c r="HO249" s="469">
        <f ca="1">IF($FN249+HO$244&gt;73,"",PRODUCT(INDEX($T$19:$T$93,HO$244):INDEX($T$19:$T$93,HO$244+$FN249-1)))</f>
        <v>0.95257493624734935</v>
      </c>
      <c r="HP249" s="469">
        <f ca="1">IF($FN249+HP$244&gt;73,"",PRODUCT(INDEX($T$19:$T$93,HP$244):INDEX($T$19:$T$93,HP$244+$FN249-1)))</f>
        <v>0.94736252351419503</v>
      </c>
      <c r="HQ249" s="469">
        <f ca="1">IF($FN249+HQ$244&gt;73,"",PRODUCT(INDEX($T$19:$T$93,HQ$244):INDEX($T$19:$T$93,HQ$244+$FN249-1)))</f>
        <v>0.94158197418867595</v>
      </c>
      <c r="HR249" s="469">
        <f ca="1">IF($FN249+HR$244&gt;73,"",PRODUCT(INDEX($T$19:$T$93,HR$244):INDEX($T$19:$T$93,HR$244+$FN249-1)))</f>
        <v>0.93517203612758848</v>
      </c>
      <c r="HS249" s="469">
        <f ca="1">IF($FN249+HS$244&gt;73,"",PRODUCT(INDEX($T$19:$T$93,HS$244):INDEX($T$19:$T$93,HS$244+$FN249-1)))</f>
        <v>0.92806488990071656</v>
      </c>
      <c r="HT249" s="469">
        <f ca="1">IF($FN249+HT$244&gt;73,"",PRODUCT(INDEX($T$19:$T$93,HT$244):INDEX($T$19:$T$93,HT$244+$FN249-1)))</f>
        <v>0.92018542488006272</v>
      </c>
      <c r="HU249" s="469">
        <f ca="1">IF($FN249+HU$244&gt;73,"",PRODUCT(INDEX($T$19:$T$93,HU$244):INDEX($T$19:$T$93,HU$244+$FN249-1)))</f>
        <v>0.91145042739024595</v>
      </c>
      <c r="HV249" s="469">
        <f ca="1">IF($FN249+HV$244&gt;73,"",PRODUCT(INDEX($T$19:$T$93,HV$244):INDEX($T$19:$T$93,HV$244+$FN249-1)))</f>
        <v>0.90176767003986236</v>
      </c>
      <c r="HW249" s="469">
        <f ca="1">IF($FN249+HW$244&gt;73,"",PRODUCT(INDEX($T$19:$T$93,HW$244):INDEX($T$19:$T$93,HW$244+$FN249-1)))</f>
        <v>0.8910348917215104</v>
      </c>
      <c r="HX249" s="469">
        <f ca="1">IF($FN249+HX$244&gt;73,"",PRODUCT(INDEX($T$19:$T$93,HX$244):INDEX($T$19:$T$93,HX$244+$FN249-1)))</f>
        <v>0.87913865986391715</v>
      </c>
      <c r="HY249" s="469">
        <f ca="1">IF($FN249+HY$244&gt;73,"",PRODUCT(INDEX($T$19:$T$93,HY$244):INDEX($T$19:$T$93,HY$244+$FN249-1)))</f>
        <v>0.86595311165924416</v>
      </c>
      <c r="HZ249" s="469">
        <f ca="1">IF($FN249+HZ$244&gt;73,"",PRODUCT(INDEX($T$19:$T$93,HZ$244):INDEX($T$19:$T$93,HZ$244+$FN249-1)))</f>
        <v>0.85133858124588346</v>
      </c>
      <c r="IA249" s="469">
        <f ca="1">IF($FN249+IA$244&gt;73,"",PRODUCT(INDEX($T$19:$T$93,IA$244):INDEX($T$19:$T$93,IA$244+$FN249-1)))</f>
        <v>0.83514013840204471</v>
      </c>
      <c r="IB249" s="469">
        <f ca="1">IF($FN249+IB$244&gt;73,"",PRODUCT(INDEX($T$19:$T$93,IB$244):INDEX($T$19:$T$93,IB$244+$FN249-1)))</f>
        <v>0.81718609604165704</v>
      </c>
      <c r="IC249" s="469">
        <f ca="1">IF($FN249+IC$244&gt;73,"",PRODUCT(INDEX($T$19:$T$93,IC$244):INDEX($T$19:$T$93,IC$244+$FN249-1)))</f>
        <v>0.79728659588907691</v>
      </c>
      <c r="ID249" s="469">
        <f ca="1">IF($FN249+ID$244&gt;73,"",PRODUCT(INDEX($T$19:$T$93,ID$244):INDEX($T$19:$T$93,ID$244+$FN249-1)))</f>
        <v>0.77523246458038564</v>
      </c>
      <c r="IE249" s="469">
        <f ca="1">IF($FN249+IE$244&gt;73,"",PRODUCT(INDEX($T$19:$T$93,IE$244):INDEX($T$19:$T$93,IE$244+$FN249-1)))</f>
        <v>0.75079466086777569</v>
      </c>
      <c r="IF249" s="469">
        <f ca="1">IF($FN249+IF$244&gt;73,"",PRODUCT(INDEX($T$19:$T$93,IF$244):INDEX($T$19:$T$93,IF$244+$FN249-1)))</f>
        <v>0.72372482880634326</v>
      </c>
      <c r="IG249" s="469">
        <f ca="1">IF($FN249+IG$244&gt;73,"",PRODUCT(INDEX($T$19:$T$93,IG$244):INDEX($T$19:$T$93,IG$244+$FN249-1)))</f>
        <v>0.69375775816840357</v>
      </c>
      <c r="IH249" s="662">
        <f ca="1">IF($FN249+IH$244&gt;73,"",PRODUCT(INDEX($T$19:$T$93,IH$244):INDEX($T$19:$T$93,IH$244+$FN249-1)))</f>
        <v>0.6606169638100684</v>
      </c>
      <c r="II249" s="242"/>
    </row>
    <row r="250" spans="8:243">
      <c r="H250" s="49" t="e">
        <f t="shared" ca="1" si="645"/>
        <v>#N/A</v>
      </c>
      <c r="I250" s="369">
        <f t="shared" si="646"/>
        <v>44013</v>
      </c>
      <c r="J250" s="367">
        <v>25.134999999999799</v>
      </c>
      <c r="K250" s="101" t="s">
        <v>267</v>
      </c>
      <c r="L250" s="382">
        <f t="shared" si="647"/>
        <v>25.134999999999803</v>
      </c>
      <c r="M250" s="163">
        <v>0.1211</v>
      </c>
      <c r="N250" s="372">
        <v>0</v>
      </c>
      <c r="O250" s="163">
        <f t="shared" si="595"/>
        <v>0.1211</v>
      </c>
      <c r="P250" s="367">
        <v>23.891425951913497</v>
      </c>
      <c r="Q250" s="101" t="s">
        <v>267</v>
      </c>
      <c r="R250" s="367">
        <f t="shared" ca="1" si="596"/>
        <v>23.891425951913536</v>
      </c>
      <c r="S250" s="814">
        <f t="shared" si="594"/>
        <v>0.34500529371307465</v>
      </c>
      <c r="T250" s="813">
        <f t="shared" si="660"/>
        <v>0.9999999999976652</v>
      </c>
      <c r="U250" s="532">
        <f t="shared" si="661"/>
        <v>0.99999999999999978</v>
      </c>
      <c r="V250" s="379">
        <v>0</v>
      </c>
      <c r="W250" s="424">
        <f t="shared" si="597"/>
        <v>25.169782608695449</v>
      </c>
      <c r="X250" s="405">
        <f t="shared" si="598"/>
        <v>25.169782608695453</v>
      </c>
      <c r="Y250" s="313">
        <f t="shared" si="599"/>
        <v>23.851382608695449</v>
      </c>
      <c r="Z250" s="313">
        <f t="shared" ca="1" si="600"/>
        <v>23.851382608695452</v>
      </c>
      <c r="AA250" s="419">
        <f t="shared" si="623"/>
        <v>1.3184</v>
      </c>
      <c r="AB250" s="423">
        <f t="shared" ca="1" si="624"/>
        <v>1.3184</v>
      </c>
      <c r="AC250" s="221">
        <v>44002</v>
      </c>
      <c r="AD250" s="221">
        <v>43998</v>
      </c>
      <c r="AE250" s="221">
        <v>43997</v>
      </c>
      <c r="AF250" s="221">
        <v>43993</v>
      </c>
      <c r="AG250" s="241" t="s">
        <v>497</v>
      </c>
      <c r="AH250" s="239" t="s">
        <v>497</v>
      </c>
      <c r="AI250" s="141">
        <v>23</v>
      </c>
      <c r="AJ250" s="41">
        <v>14</v>
      </c>
      <c r="AK250" s="41">
        <v>9</v>
      </c>
      <c r="AL250" s="285">
        <v>23</v>
      </c>
      <c r="AM250" s="41">
        <v>10</v>
      </c>
      <c r="AN250" s="142">
        <v>13</v>
      </c>
      <c r="AO250" s="364">
        <v>6.4216646934250207E-2</v>
      </c>
      <c r="AP250" s="145">
        <f t="shared" ca="1" si="648"/>
        <v>0.29507198495341308</v>
      </c>
      <c r="AQ250" s="364">
        <v>6.0104242538214801E-2</v>
      </c>
      <c r="AR250" s="145">
        <f t="shared" ca="1" si="662"/>
        <v>0.3210292996217618</v>
      </c>
      <c r="AS250" s="264">
        <f t="shared" si="601"/>
        <v>0.12110000000000001</v>
      </c>
      <c r="AT250" s="149">
        <f t="shared" si="649"/>
        <v>0.1211</v>
      </c>
      <c r="AU250" s="149">
        <f t="shared" si="625"/>
        <v>0.12110000000000001</v>
      </c>
      <c r="AV250" s="263">
        <f t="shared" ca="1" si="669"/>
        <v>0.11917006939166595</v>
      </c>
      <c r="AW250" s="150" t="str">
        <f t="shared" ca="1" si="671"/>
        <v/>
      </c>
      <c r="AX250" s="149">
        <f t="shared" ca="1" si="663"/>
        <v>2.5243472104227323E-3</v>
      </c>
      <c r="AY250" s="149">
        <f t="shared" ca="1" si="664"/>
        <v>7.2086375405211629E-4</v>
      </c>
      <c r="AZ250" s="149">
        <f t="shared" ca="1" si="665"/>
        <v>9.9751723940317226E-4</v>
      </c>
      <c r="BA250" s="149">
        <f t="shared" ca="1" si="666"/>
        <v>1.0000000000001278E-4</v>
      </c>
      <c r="BB250" s="149">
        <f t="shared" ca="1" si="667"/>
        <v>1.0000000000001278E-4</v>
      </c>
      <c r="BC250" s="149">
        <f t="shared" ca="1" si="668"/>
        <v>1.0000000000001278E-4</v>
      </c>
      <c r="BD250" s="143">
        <f t="shared" ca="1" si="602"/>
        <v>0</v>
      </c>
      <c r="BE250" s="144">
        <f t="shared" ca="1" si="603"/>
        <v>0</v>
      </c>
      <c r="BF250" s="40">
        <f t="shared" si="604"/>
        <v>2020</v>
      </c>
      <c r="BG250" s="139">
        <f t="shared" si="605"/>
        <v>7</v>
      </c>
      <c r="BH250" s="140">
        <f t="shared" ca="1" si="606"/>
        <v>7008</v>
      </c>
      <c r="BI250" s="304">
        <f t="shared" ca="1" si="607"/>
        <v>19.227926078028748</v>
      </c>
      <c r="BJ250" s="42">
        <f t="shared" ca="1" si="626"/>
        <v>19.277921614141597</v>
      </c>
      <c r="BK250" s="42">
        <f t="shared" ca="1" si="627"/>
        <v>19.280659464928728</v>
      </c>
      <c r="BL250" s="42">
        <f t="shared" ca="1" si="608"/>
        <v>19.310061601642712</v>
      </c>
      <c r="BM250" s="285">
        <f t="shared" si="609"/>
        <v>23</v>
      </c>
      <c r="BN250" s="41">
        <f t="shared" si="610"/>
        <v>14</v>
      </c>
      <c r="BO250" s="41">
        <f t="shared" si="611"/>
        <v>9</v>
      </c>
      <c r="BP250" s="297" t="str">
        <f t="shared" ca="1" si="628"/>
        <v/>
      </c>
      <c r="BQ250" s="297" t="str">
        <f t="shared" ca="1" si="629"/>
        <v/>
      </c>
      <c r="BR250" s="299" t="str">
        <f t="shared" ca="1" si="630"/>
        <v/>
      </c>
      <c r="BS250" s="153" t="str">
        <f t="shared" ca="1" si="631"/>
        <v/>
      </c>
      <c r="BT250" s="153" t="str">
        <f t="shared" ca="1" si="632"/>
        <v/>
      </c>
      <c r="BU250" s="300" t="str">
        <f t="shared" ca="1" si="633"/>
        <v/>
      </c>
      <c r="BV250" s="301" t="str">
        <f t="shared" ca="1" si="634"/>
        <v/>
      </c>
      <c r="BW250" s="300" t="str">
        <f t="shared" ca="1" si="635"/>
        <v/>
      </c>
      <c r="BX250" s="301" t="str">
        <f t="shared" ca="1" si="636"/>
        <v/>
      </c>
      <c r="BY250" s="146" t="str">
        <f t="shared" ca="1" si="637"/>
        <v/>
      </c>
      <c r="BZ250" s="146" t="str">
        <f t="shared" ca="1" si="638"/>
        <v/>
      </c>
      <c r="CA250" s="146" t="str">
        <f t="shared" ca="1" si="639"/>
        <v/>
      </c>
      <c r="CB250" s="146" t="str">
        <f t="shared" ca="1" si="640"/>
        <v/>
      </c>
      <c r="CC250" s="302">
        <v>1</v>
      </c>
      <c r="CD250" s="154">
        <f ca="1">IF(BD250,_xll.xCrudeAPO(BS250,BT250,BY250,BZ250,S251,S252,BI250,BL250,BN250,BO250,0,Strike1,AO250,CC250,0,BL250,IF(OptControl=4,0,1),0,1),0)</f>
        <v>0</v>
      </c>
      <c r="CE250" s="155">
        <f ca="1">IF(BD250,_xll.xCrudeAPO(BS250,BT250,BY250,BZ250,S251,S252,BI250,BL250,BN250,BO250,0,Strike1,AO250,CC250,0,BL250,IF(OptControl=4,0,1),1,1)+_xll.xCrudeAPO(BS250,BT250,BY250,BZ250,S251,S252,BI250,BL250,BN250,BO250,0,Strike1,AO250,CC250,0,BL250,IF(OptControl=4,0,1),1,2)+IF(OR(VolSkewFlag=2,ABS(BQ250)&lt;0.0001),0,IF(BQ250&gt;0,-1,1)*CF250*Strike1/BP250^2*BW250/10%),0)</f>
        <v>0</v>
      </c>
      <c r="CF250" s="155">
        <f ca="1">IF(BD250,(_xll.xCrudeAPO(BS250,BT250,BY250,BZ250,S251,S252,BI250,BL250,BN250,BO250,0,Strike1,AO250,CC250,0,BL250,IF(OptControl=4,0,1),3,1)+_xll.xCrudeAPO(BS250,BT250,BY250,BZ250,S251,S252,BI250,BL250,BN250,BO250,0,Strike1,AO250,CC250,0,BL250,IF(OptControl=4,0,1),3,2))/100,0)</f>
        <v>0</v>
      </c>
      <c r="CG250" s="155">
        <f ca="1">IF(BD250,_xll.xCrudeAPO(BS250,BT250,BY250,BZ250,S251,S252,BI250-DaysForThetaCalculation/365.25,BL250-DaysForThetaCalculation/365.25,BN250,BO250,0,Strike1,AO250,CC250,0,BL250,IF(OptControl=4,0,1),0,1)-_xll.xCrudeAPO(BS250,BT250,BY250,BZ250,S251,S252,BI250,BL250,BN250,BO250,0,Strike1,AO250,CC250,0,BL250,IF(OptControl=4,0,1),0,1),0)</f>
        <v>0</v>
      </c>
      <c r="CH250" s="303">
        <f ca="1">IF(BD250,_xll.xCrudeAPO(BS250,BT250,CA250,CB250,S251,S252,BI250,BL250,BN250,BO250,0,Strike2,AO250,CC250,0,BL250,IF(OptControl=3,1,0),0,1),0)</f>
        <v>0</v>
      </c>
      <c r="CI250" s="155">
        <f ca="1">IF(BD250,_xll.xCrudeAPO(BS250,BT250,CA250,CB250,S251,S252,BI250,BL250,BN250,BO250,0,Strike2,AO250,CC250,0,BL250,IF(OptControl=3,1,0),1,1)+_xll.xCrudeAPO(BS250,BT250,CA250,CB250,S251,S252,BI250,BL250,BN250,BO250,0,Strike2,AO250,CC250,0,BL250,IF(OptControl=3,1,0),1,2)+IF(OR(VolSkewFlag=2,ABS(BR250)&lt;0.0001),0,IF(BR250&gt;0,-1,1)*CJ250*Strike2/BP250^2*BX250/10%),0)</f>
        <v>0</v>
      </c>
      <c r="CJ250" s="155">
        <f ca="1">IF(BD250,(_xll.xCrudeAPO(BS250,BT250,CA250,CB250,S251,S252,BI250,BL250,BN250,BO250,0,Strike2,AO250,CC250,0,BL250,IF(OptControl=3,1,0),3,1)+_xll.xCrudeAPO(BS250,BT250,CA250,CB250,S251,S252,BI250,BL250,BN250,BO250,0,Strike2,AO250,CC250,0,BL250,IF(OptControl=3,1,0),3,2))/100,0)</f>
        <v>0</v>
      </c>
      <c r="CK250" s="156">
        <f ca="1">IF(BD250,_xll.xCrudeAPO(BS250,BT250,CA250,CB250,S251,S252,BI250-DaysForThetaCalculation/365.25,BL250-DaysForThetaCalculation/365.25,BN250,BO250,0,Strike2,AO250,CC250,0,BL250,IF(OptControl=3,1,0),0,1)-_xll.xCrudeAPO(BS250,BT250,CA250,CB250,S251,S252,BI250,BL250,BN250,BO250,0,Strike2,AO250,CC250,0,BL250,IF(OptControl=3,1,0),0,1),0)</f>
        <v>0</v>
      </c>
      <c r="CL250" s="51"/>
      <c r="CM250" s="779" t="str">
        <f t="shared" ca="1" si="650"/>
        <v/>
      </c>
      <c r="CN250" s="783" t="str">
        <f t="shared" ca="1" si="651"/>
        <v/>
      </c>
      <c r="CO250" s="780" t="str">
        <f t="shared" ca="1" si="652"/>
        <v/>
      </c>
      <c r="CP250" s="780" t="str">
        <f t="shared" ca="1" si="653"/>
        <v/>
      </c>
      <c r="CQ250" s="780" t="str">
        <f t="shared" ca="1" si="654"/>
        <v/>
      </c>
      <c r="CR250" s="780" t="str">
        <f t="shared" ca="1" si="655"/>
        <v/>
      </c>
      <c r="CS250" s="781" t="str">
        <f t="shared" ca="1" si="656"/>
        <v/>
      </c>
      <c r="CT250" s="782" t="str">
        <f t="shared" ca="1" si="657"/>
        <v/>
      </c>
      <c r="CU250" s="782" t="str">
        <f t="shared" ca="1" si="658"/>
        <v/>
      </c>
      <c r="CV250" s="155">
        <f ca="1">IF(BD250,_xll.EURO(CN250,Strike1,AO250,AO250,CT250,CM250,IF(OptControl=4,0,1),0),0)</f>
        <v>0</v>
      </c>
      <c r="CW250" s="155">
        <f ca="1">IF(BD250,_xll.EURO(CN250,Strike1,AO250,AO250,CT250,CM250,IF(OptControl=4,0,1),1)+IF(OR(VolSkewFlag=2,ABS(CO250)&lt;0.0001),0,IF(CO250&gt;0,-1,1)*CX250*100*Strike1/CN250^2*CQ250/10%),0)</f>
        <v>0</v>
      </c>
      <c r="CX250" s="155">
        <f ca="1">IF(BD250,_xll.EURO(CN250,Strike1,AO250,AO250,CT250,CM250,IF(OptControl=4,0,1),3)/100,0)</f>
        <v>0</v>
      </c>
      <c r="CY250" s="155">
        <f ca="1">IF(BD250,_xll.EURO(CN250,Strike1,AO250,AO250,CT250,CM250,IF(OptControl=4,0,1),0)-_xll.EURO(CN250,Strike1,AO250,AO250,CT250,CM250-1,IF(OptControl=4,0,1),0),0)</f>
        <v>0</v>
      </c>
      <c r="CZ250" s="155">
        <f ca="1">IF(BD250,_xll.EURO(CN250,Strike2,AO250,AO250,CU250,CM250,IF(OptControl=3,1,0),0),0)</f>
        <v>0</v>
      </c>
      <c r="DA250" s="155">
        <f ca="1">IF(BD250,_xll.EURO(CN250,Strike2,AO250,AO250,CU250,CM250,IF(OptControl=3,1,0),1)+IF(OR(VolSkewFlag=2,ABS(CP250)&lt;0.0001),0,IF(CP250&gt;0,-1,1)*DB250*100*Strike2/CN250^2*CR250/10%),0)</f>
        <v>0</v>
      </c>
      <c r="DB250" s="155">
        <f ca="1">IF(BD250,_xll.EURO(CN250,Strike2,AO250,AO250,CU250,CM250,IF(OptControl=3,1,0),3)/100,0)</f>
        <v>0</v>
      </c>
      <c r="DC250" s="156">
        <f ca="1">IF(BD250,_xll.EURO(CN250,Strike2,AO250,AO250,CU250,CM250,IF(OptControl=3,1,0),0)-_xll.EURO(CN250,Strike2,AO250,AO250,CU250,CM250-1,IF(OptControl=3,1,0),0),0)</f>
        <v>0</v>
      </c>
      <c r="DE250" s="651">
        <f t="shared" ca="1" si="659"/>
        <v>43922</v>
      </c>
      <c r="DF250" s="465">
        <v>1E-4</v>
      </c>
      <c r="DG250" s="649">
        <v>1E-4</v>
      </c>
      <c r="DH250" s="650">
        <f t="shared" ca="1" si="612"/>
        <v>43922</v>
      </c>
      <c r="DI250" s="465">
        <v>1E-4</v>
      </c>
      <c r="DJ250" s="649">
        <v>1E-4</v>
      </c>
      <c r="DK250" s="651">
        <f t="shared" ca="1" si="613"/>
        <v>43922</v>
      </c>
      <c r="DL250" s="652">
        <f t="shared" si="614"/>
        <v>5.0100000000000006E-2</v>
      </c>
      <c r="DM250" s="651">
        <f t="shared" ca="1" si="615"/>
        <v>43922</v>
      </c>
      <c r="DN250" s="563">
        <f t="shared" si="616"/>
        <v>-0.12990000000000002</v>
      </c>
      <c r="DO250" s="803">
        <v>-0.13</v>
      </c>
      <c r="DP250" s="650">
        <f t="shared" ca="1" si="617"/>
        <v>43922</v>
      </c>
      <c r="DQ250" s="653">
        <v>1E-4</v>
      </c>
      <c r="DR250" s="590">
        <v>1E-4</v>
      </c>
      <c r="DS250" s="650">
        <f t="shared" ca="1" si="618"/>
        <v>43922</v>
      </c>
      <c r="DT250" s="653">
        <v>1E-4</v>
      </c>
      <c r="DU250" s="590">
        <v>1E-4</v>
      </c>
      <c r="DV250" s="651">
        <f t="shared" ca="1" si="619"/>
        <v>43922</v>
      </c>
      <c r="DW250" s="590">
        <v>1E-4</v>
      </c>
      <c r="DX250" s="651">
        <f t="shared" ca="1" si="620"/>
        <v>43922</v>
      </c>
      <c r="DY250" s="590">
        <f t="shared" si="621"/>
        <v>1E-4</v>
      </c>
      <c r="DZ250" s="1"/>
      <c r="EA250" s="857"/>
      <c r="EB250" s="857"/>
      <c r="EC250" s="857"/>
      <c r="ED250" s="868" t="e">
        <f t="shared" ca="1" si="670"/>
        <v>#NAME?</v>
      </c>
      <c r="EE250" s="863" t="e">
        <f t="shared" ca="1" si="641"/>
        <v>#NAME?</v>
      </c>
      <c r="EF250" s="590" t="e">
        <f t="shared" ca="1" si="642"/>
        <v>#NAME?</v>
      </c>
      <c r="EG250" s="862" t="str">
        <f t="shared" ca="1" si="622"/>
        <v/>
      </c>
      <c r="EH250" s="114" t="str">
        <f t="shared" ca="1" si="643"/>
        <v/>
      </c>
      <c r="EI250" s="109" t="str">
        <f t="shared" ca="1" si="644"/>
        <v/>
      </c>
      <c r="EJ250" s="115">
        <f ca="1">IF(BD250,_xll.xASN(BP250,Strike1,AO250,EH250,0,BM250,0,BI250,BL250,IF(OptControl=4,0,1),0),0)</f>
        <v>0</v>
      </c>
      <c r="EK250" s="108">
        <f ca="1">IF(BD250,_xll.xASN(BP250,Strike2,AO250,EI250,0,BM250,0,BI250,BL250,IF(OptControl=3,1,0),0),0)</f>
        <v>0</v>
      </c>
      <c r="EP250" s="53"/>
      <c r="EQ250" s="1"/>
      <c r="ER250" s="103"/>
      <c r="ES250" s="103"/>
      <c r="ET250" s="1"/>
      <c r="EU250" s="667" t="s">
        <v>463</v>
      </c>
      <c r="EW250" s="53"/>
      <c r="EY250" s="104"/>
      <c r="FN250" s="657">
        <v>6</v>
      </c>
      <c r="FO250" s="469" t="str">
        <f ca="1">IF($FN250+FO$244&gt;73,"",PRODUCT(INDEX($T$19:$T$93,FO$244):INDEX($T$19:$T$93,FO$244+$FN250-1)))</f>
        <v/>
      </c>
      <c r="FP250" s="469" t="str">
        <f ca="1">IF($FN250+FP$244&gt;73,"",PRODUCT(INDEX($T$19:$T$93,FP$244):INDEX($T$19:$T$93,FP$244+$FN250-1)))</f>
        <v/>
      </c>
      <c r="FQ250" s="469" t="str">
        <f ca="1">IF($FN250+FQ$244&gt;73,"",PRODUCT(INDEX($T$19:$T$93,FQ$244):INDEX($T$19:$T$93,FQ$244+$FN250-1)))</f>
        <v/>
      </c>
      <c r="FR250" s="469" t="str">
        <f ca="1">IF($FN250+FR$244&gt;73,"",PRODUCT(INDEX($T$19:$T$93,FR$244):INDEX($T$19:$T$93,FR$244+$FN250-1)))</f>
        <v/>
      </c>
      <c r="FS250" s="469" t="str">
        <f ca="1">IF($FN250+FS$244&gt;73,"",PRODUCT(INDEX($T$19:$T$93,FS$244):INDEX($T$19:$T$93,FS$244+$FN250-1)))</f>
        <v/>
      </c>
      <c r="FT250" s="469">
        <f ca="1">IF($FN250+FT$244&gt;73,"",PRODUCT(INDEX($T$19:$T$93,FT$244):INDEX($T$19:$T$93,FT$244+$FN250-1)))</f>
        <v>0.99961193213473254</v>
      </c>
      <c r="FU250" s="469">
        <f ca="1">IF($FN250+FU$244&gt;73,"",PRODUCT(INDEX($T$19:$T$93,FU$244):INDEX($T$19:$T$93,FU$244+$FN250-1)))</f>
        <v>0.99956881954043653</v>
      </c>
      <c r="FV250" s="469">
        <f ca="1">IF($FN250+FV$244&gt;73,"",PRODUCT(INDEX($T$19:$T$93,FV$244):INDEX($T$19:$T$93,FV$244+$FN250-1)))</f>
        <v>0.99952091807459365</v>
      </c>
      <c r="FW250" s="469">
        <f ca="1">IF($FN250+FW$244&gt;73,"",PRODUCT(INDEX($T$19:$T$93,FW$244):INDEX($T$19:$T$93,FW$244+$FN250-1)))</f>
        <v>0.99946769597129037</v>
      </c>
      <c r="FX250" s="469">
        <f ca="1">IF($FN250+FX$244&gt;73,"",PRODUCT(INDEX($T$19:$T$93,FX$244):INDEX($T$19:$T$93,FX$244+$FN250-1)))</f>
        <v>0.99940856245667142</v>
      </c>
      <c r="FY250" s="469">
        <f ca="1">IF($FN250+FY$244&gt;73,"",PRODUCT(INDEX($T$19:$T$93,FY$244):INDEX($T$19:$T$93,FY$244+$FN250-1)))</f>
        <v>0.99934286121044802</v>
      </c>
      <c r="FZ250" s="469">
        <f ca="1">IF($FN250+FZ$244&gt;73,"",PRODUCT(INDEX($T$19:$T$93,FZ$244):INDEX($T$19:$T$93,FZ$244+$FN250-1)))</f>
        <v>0.9992698631050615</v>
      </c>
      <c r="GA250" s="469">
        <f ca="1">IF($FN250+GA$244&gt;73,"",PRODUCT(INDEX($T$19:$T$93,GA$244):INDEX($T$19:$T$93,GA$244+$FN250-1)))</f>
        <v>0.99918875814320562</v>
      </c>
      <c r="GB250" s="469">
        <f ca="1">IF($FN250+GB$244&gt;73,"",PRODUCT(INDEX($T$19:$T$93,GB$244):INDEX($T$19:$T$93,GB$244+$FN250-1)))</f>
        <v>0.99909864650580871</v>
      </c>
      <c r="GC250" s="469">
        <f ca="1">IF($FN250+GC$244&gt;73,"",PRODUCT(INDEX($T$19:$T$93,GC$244):INDEX($T$19:$T$93,GC$244+$FN250-1)))</f>
        <v>0.99899852861308758</v>
      </c>
      <c r="GD250" s="469">
        <f ca="1">IF($FN250+GD$244&gt;73,"",PRODUCT(INDEX($T$19:$T$93,GD$244):INDEX($T$19:$T$93,GD$244+$FN250-1)))</f>
        <v>0.9988872940907837</v>
      </c>
      <c r="GE250" s="469">
        <f ca="1">IF($FN250+GE$244&gt;73,"",PRODUCT(INDEX($T$19:$T$93,GE$244):INDEX($T$19:$T$93,GE$244+$FN250-1)))</f>
        <v>0.99876370952211735</v>
      </c>
      <c r="GF250" s="469">
        <f ca="1">IF($FN250+GF$244&gt;73,"",PRODUCT(INDEX($T$19:$T$93,GF$244):INDEX($T$19:$T$93,GF$244+$FN250-1)))</f>
        <v>0.99862640485320675</v>
      </c>
      <c r="GG250" s="469">
        <f ca="1">IF($FN250+GG$244&gt;73,"",PRODUCT(INDEX($T$19:$T$93,GG$244):INDEX($T$19:$T$93,GG$244+$FN250-1)))</f>
        <v>0.99847385830560709</v>
      </c>
      <c r="GH250" s="469">
        <f ca="1">IF($FN250+GH$244&gt;73,"",PRODUCT(INDEX($T$19:$T$93,GH$244):INDEX($T$19:$T$93,GH$244+$FN250-1)))</f>
        <v>0.9983043796341069</v>
      </c>
      <c r="GI250" s="469">
        <f ca="1">IF($FN250+GI$244&gt;73,"",PRODUCT(INDEX($T$19:$T$93,GI$244):INDEX($T$19:$T$93,GI$244+$FN250-1)))</f>
        <v>0.99811609155081904</v>
      </c>
      <c r="GJ250" s="469">
        <f ca="1">IF($FN250+GJ$244&gt;73,"",PRODUCT(INDEX($T$19:$T$93,GJ$244):INDEX($T$19:$T$93,GJ$244+$FN250-1)))</f>
        <v>0.99790690911782531</v>
      </c>
      <c r="GK250" s="469">
        <f ca="1">IF($FN250+GK$244&gt;73,"",PRODUCT(INDEX($T$19:$T$93,GK$244):INDEX($T$19:$T$93,GK$244+$FN250-1)))</f>
        <v>0.99767451688998532</v>
      </c>
      <c r="GL250" s="469">
        <f ca="1">IF($FN250+GL$244&gt;73,"",PRODUCT(INDEX($T$19:$T$93,GL$244):INDEX($T$19:$T$93,GL$244+$FN250-1)))</f>
        <v>0.99741634356687858</v>
      </c>
      <c r="GM250" s="469">
        <f ca="1">IF($FN250+GM$244&gt;73,"",PRODUCT(INDEX($T$19:$T$93,GM$244):INDEX($T$19:$T$93,GM$244+$FN250-1)))</f>
        <v>0.99712953388803405</v>
      </c>
      <c r="GN250" s="469">
        <f ca="1">IF($FN250+GN$244&gt;73,"",PRODUCT(INDEX($T$19:$T$93,GN$244):INDEX($T$19:$T$93,GN$244+$FN250-1)))</f>
        <v>0.99681091747843931</v>
      </c>
      <c r="GO250" s="469">
        <f ca="1">IF($FN250+GO$244&gt;73,"",PRODUCT(INDEX($T$19:$T$93,GO$244):INDEX($T$19:$T$93,GO$244+$FN250-1)))</f>
        <v>0.99645697432166214</v>
      </c>
      <c r="GP250" s="469">
        <f ca="1">IF($FN250+GP$244&gt;73,"",PRODUCT(INDEX($T$19:$T$93,GP$244):INDEX($T$19:$T$93,GP$244+$FN250-1)))</f>
        <v>0.99606379650553867</v>
      </c>
      <c r="GQ250" s="469">
        <f ca="1">IF($FN250+GQ$244&gt;73,"",PRODUCT(INDEX($T$19:$T$93,GQ$244):INDEX($T$19:$T$93,GQ$244+$FN250-1)))</f>
        <v>0.99562704585013939</v>
      </c>
      <c r="GR250" s="469">
        <f ca="1">IF($FN250+GR$244&gt;73,"",PRODUCT(INDEX($T$19:$T$93,GR$244):INDEX($T$19:$T$93,GR$244+$FN250-1)))</f>
        <v>0.99514190698940896</v>
      </c>
      <c r="GS250" s="469">
        <f ca="1">IF($FN250+GS$244&gt;73,"",PRODUCT(INDEX($T$19:$T$93,GS$244):INDEX($T$19:$T$93,GS$244+$FN250-1)))</f>
        <v>0.99460303543631357</v>
      </c>
      <c r="GT250" s="469">
        <f ca="1">IF($FN250+GT$244&gt;73,"",PRODUCT(INDEX($T$19:$T$93,GT$244):INDEX($T$19:$T$93,GT$244+$FN250-1)))</f>
        <v>0.99400450011633379</v>
      </c>
      <c r="GU250" s="469">
        <f ca="1">IF($FN250+GU$244&gt;73,"",PRODUCT(INDEX($T$19:$T$93,GU$244):INDEX($T$19:$T$93,GU$244+$FN250-1)))</f>
        <v>0.99333971980554325</v>
      </c>
      <c r="GV250" s="469">
        <f ca="1">IF($FN250+GV$244&gt;73,"",PRODUCT(INDEX($T$19:$T$93,GV$244):INDEX($T$19:$T$93,GV$244+$FN250-1)))</f>
        <v>0.99260139285713711</v>
      </c>
      <c r="GW250" s="469">
        <f ca="1">IF($FN250+GW$244&gt;73,"",PRODUCT(INDEX($T$19:$T$93,GW$244):INDEX($T$19:$T$93,GW$244+$FN250-1)))</f>
        <v>0.99178141954394894</v>
      </c>
      <c r="GX250" s="469">
        <f ca="1">IF($FN250+GX$244&gt;73,"",PRODUCT(INDEX($T$19:$T$93,GX$244):INDEX($T$19:$T$93,GX$244+$FN250-1)))</f>
        <v>0.99087081628408102</v>
      </c>
      <c r="GY250" s="469">
        <f ca="1">IF($FN250+GY$244&gt;73,"",PRODUCT(INDEX($T$19:$T$93,GY$244):INDEX($T$19:$T$93,GY$244+$FN250-1)))</f>
        <v>0.98985962095207591</v>
      </c>
      <c r="GZ250" s="469">
        <f ca="1">IF($FN250+GZ$244&gt;73,"",PRODUCT(INDEX($T$19:$T$93,GZ$244):INDEX($T$19:$T$93,GZ$244+$FN250-1)))</f>
        <v>0.98873678840893731</v>
      </c>
      <c r="HA250" s="469">
        <f ca="1">IF($FN250+HA$244&gt;73,"",PRODUCT(INDEX($T$19:$T$93,HA$244):INDEX($T$19:$T$93,HA$244+$FN250-1)))</f>
        <v>0.98749007531054545</v>
      </c>
      <c r="HB250" s="469">
        <f ca="1">IF($FN250+HB$244&gt;73,"",PRODUCT(INDEX($T$19:$T$93,HB$244):INDEX($T$19:$T$93,HB$244+$FN250-1)))</f>
        <v>0.98610591317536711</v>
      </c>
      <c r="HC250" s="469">
        <f ca="1">IF($FN250+HC$244&gt;73,"",PRODUCT(INDEX($T$19:$T$93,HC$244):INDEX($T$19:$T$93,HC$244+$FN250-1)))</f>
        <v>0.98456926860851302</v>
      </c>
      <c r="HD250" s="469">
        <f ca="1">IF($FN250+HD$244&gt;73,"",PRODUCT(INDEX($T$19:$T$93,HD$244):INDEX($T$19:$T$93,HD$244+$FN250-1)))</f>
        <v>0.9828634894896765</v>
      </c>
      <c r="HE250" s="469">
        <f ca="1">IF($FN250+HE$244&gt;73,"",PRODUCT(INDEX($T$19:$T$93,HE$244):INDEX($T$19:$T$93,HE$244+$FN250-1)))</f>
        <v>0.98097013583664983</v>
      </c>
      <c r="HF250" s="469">
        <f ca="1">IF($FN250+HF$244&gt;73,"",PRODUCT(INDEX($T$19:$T$93,HF$244):INDEX($T$19:$T$93,HF$244+$FN250-1)))</f>
        <v>0.97886879395306492</v>
      </c>
      <c r="HG250" s="469">
        <f ca="1">IF($FN250+HG$244&gt;73,"",PRODUCT(INDEX($T$19:$T$93,HG$244):INDEX($T$19:$T$93,HG$244+$FN250-1)))</f>
        <v>0.97653687235741005</v>
      </c>
      <c r="HH250" s="469">
        <f ca="1">IF($FN250+HH$244&gt;73,"",PRODUCT(INDEX($T$19:$T$93,HH$244):INDEX($T$19:$T$93,HH$244+$FN250-1)))</f>
        <v>0.97394937786854752</v>
      </c>
      <c r="HI250" s="469">
        <f ca="1">IF($FN250+HI$244&gt;73,"",PRODUCT(INDEX($T$19:$T$93,HI$244):INDEX($T$19:$T$93,HI$244+$FN250-1)))</f>
        <v>0.97107867008849835</v>
      </c>
      <c r="HJ250" s="469">
        <f ca="1">IF($FN250+HJ$244&gt;73,"",PRODUCT(INDEX($T$19:$T$93,HJ$244):INDEX($T$19:$T$93,HJ$244+$FN250-1)))</f>
        <v>0.96789419237324659</v>
      </c>
      <c r="HK250" s="469">
        <f ca="1">IF($FN250+HK$244&gt;73,"",PRODUCT(INDEX($T$19:$T$93,HK$244):INDEX($T$19:$T$93,HK$244+$FN250-1)))</f>
        <v>0.96436217721309059</v>
      </c>
      <c r="HL250" s="469">
        <f ca="1">IF($FN250+HL$244&gt;73,"",PRODUCT(INDEX($T$19:$T$93,HL$244):INDEX($T$19:$T$93,HL$244+$FN250-1)))</f>
        <v>0.96044532375153535</v>
      </c>
      <c r="HM250" s="469">
        <f ca="1">IF($FN250+HM$244&gt;73,"",PRODUCT(INDEX($T$19:$T$93,HM$244):INDEX($T$19:$T$93,HM$244+$FN250-1)))</f>
        <v>0.95610244495180086</v>
      </c>
      <c r="HN250" s="469">
        <f ca="1">IF($FN250+HN$244&gt;73,"",PRODUCT(INDEX($T$19:$T$93,HN$244):INDEX($T$19:$T$93,HN$244+$FN250-1)))</f>
        <v>0.95128808166966428</v>
      </c>
      <c r="HO250" s="469">
        <f ca="1">IF($FN250+HO$244&gt;73,"",PRODUCT(INDEX($T$19:$T$93,HO$244):INDEX($T$19:$T$93,HO$244+$FN250-1)))</f>
        <v>0.94595208061053138</v>
      </c>
      <c r="HP250" s="469">
        <f ca="1">IF($FN250+HP$244&gt;73,"",PRODUCT(INDEX($T$19:$T$93,HP$244):INDEX($T$19:$T$93,HP$244+$FN250-1)))</f>
        <v>0.94003913284386298</v>
      </c>
      <c r="HQ250" s="469">
        <f ca="1">IF($FN250+HQ$244&gt;73,"",PRODUCT(INDEX($T$19:$T$93,HQ$244):INDEX($T$19:$T$93,HQ$244+$FN250-1)))</f>
        <v>0.93348826923830264</v>
      </c>
      <c r="HR250" s="469">
        <f ca="1">IF($FN250+HR$244&gt;73,"",PRODUCT(INDEX($T$19:$T$93,HR$244):INDEX($T$19:$T$93,HR$244+$FN250-1)))</f>
        <v>0.92623230890730324</v>
      </c>
      <c r="HS250" s="469">
        <f ca="1">IF($FN250+HS$244&gt;73,"",PRODUCT(INDEX($T$19:$T$93,HS$244):INDEX($T$19:$T$93,HS$244+$FN250-1)))</f>
        <v>0.918197256596888</v>
      </c>
      <c r="HT250" s="469">
        <f ca="1">IF($FN250+HT$244&gt;73,"",PRODUCT(INDEX($T$19:$T$93,HT$244):INDEX($T$19:$T$93,HT$244+$FN250-1)))</f>
        <v>0.90930164504622757</v>
      </c>
      <c r="HU250" s="469">
        <f ca="1">IF($FN250+HU$244&gt;73,"",PRODUCT(INDEX($T$19:$T$93,HU$244):INDEX($T$19:$T$93,HU$244+$FN250-1)))</f>
        <v>0.89945581895051607</v>
      </c>
      <c r="HV250" s="469">
        <f ca="1">IF($FN250+HV$244&gt;73,"",PRODUCT(INDEX($T$19:$T$93,HV$244):INDEX($T$19:$T$93,HV$244+$FN250-1)))</f>
        <v>0.88856115865549623</v>
      </c>
      <c r="HW250" s="469">
        <f ca="1">IF($FN250+HW$244&gt;73,"",PRODUCT(INDEX($T$19:$T$93,HW$244):INDEX($T$19:$T$93,HW$244+$FN250-1)))</f>
        <v>0.87650924476046432</v>
      </c>
      <c r="HX250" s="469">
        <f ca="1">IF($FN250+HX$244&gt;73,"",PRODUCT(INDEX($T$19:$T$93,HX$244):INDEX($T$19:$T$93,HX$244+$FN250-1)))</f>
        <v>0.8631809704211274</v>
      </c>
      <c r="HY250" s="469">
        <f ca="1">IF($FN250+HY$244&gt;73,"",PRODUCT(INDEX($T$19:$T$93,HY$244):INDEX($T$19:$T$93,HY$244+$FN250-1)))</f>
        <v>0.84844561790166084</v>
      </c>
      <c r="HZ250" s="469">
        <f ca="1">IF($FN250+HZ$244&gt;73,"",PRODUCT(INDEX($T$19:$T$93,HZ$244):INDEX($T$19:$T$93,HZ$244+$FN250-1)))</f>
        <v>0.83215993222071905</v>
      </c>
      <c r="IA250" s="469">
        <f ca="1">IF($FN250+IA$244&gt;73,"",PRODUCT(INDEX($T$19:$T$93,IA$244):INDEX($T$19:$T$93,IA$244+$FN250-1)))</f>
        <v>0.81416725113949273</v>
      </c>
      <c r="IB250" s="469">
        <f ca="1">IF($FN250+IB$244&gt;73,"",PRODUCT(INDEX($T$19:$T$93,IB$244):INDEX($T$19:$T$93,IB$244+$FN250-1)))</f>
        <v>0.79429679247489826</v>
      </c>
      <c r="IC250" s="469">
        <f ca="1">IF($FN250+IC$244&gt;73,"",PRODUCT(INDEX($T$19:$T$93,IC$244):INDEX($T$19:$T$93,IC$244+$FN250-1)))</f>
        <v>0.7723632642641628</v>
      </c>
      <c r="ID250" s="469">
        <f ca="1">IF($FN250+ID$244&gt;73,"",PRODUCT(INDEX($T$19:$T$93,ID$244):INDEX($T$19:$T$93,ID$244+$FN250-1)))</f>
        <v>0.74816706107560493</v>
      </c>
      <c r="IE250" s="469">
        <f ca="1">IF($FN250+IE$244&gt;73,"",PRODUCT(INDEX($T$19:$T$93,IE$244):INDEX($T$19:$T$93,IE$244+$FN250-1)))</f>
        <v>0.72149545476228949</v>
      </c>
      <c r="IF250" s="469">
        <f ca="1">IF($FN250+IF$244&gt;73,"",PRODUCT(INDEX($T$19:$T$93,IF$244):INDEX($T$19:$T$93,IF$244+$FN250-1)))</f>
        <v>0.69212539808586238</v>
      </c>
      <c r="IG250" s="469">
        <f ca="1">IF($FN250+IG$244&gt;73,"",PRODUCT(INDEX($T$19:$T$93,IG$244):INDEX($T$19:$T$93,IG$244+$FN250-1)))</f>
        <v>0.65982885593562302</v>
      </c>
      <c r="IH250" s="662">
        <f ca="1">IF($FN250+IH$244&gt;73,"",PRODUCT(INDEX($T$19:$T$93,IH$244):INDEX($T$19:$T$93,IH$244+$FN250-1)))</f>
        <v>0.62438198235156328</v>
      </c>
      <c r="II250" s="242"/>
    </row>
    <row r="251" spans="8:243">
      <c r="H251" s="49" t="e">
        <f t="shared" ca="1" si="645"/>
        <v>#N/A</v>
      </c>
      <c r="I251" s="369">
        <f t="shared" si="646"/>
        <v>44044</v>
      </c>
      <c r="J251" s="367">
        <v>25.159999999999798</v>
      </c>
      <c r="K251" s="101" t="s">
        <v>267</v>
      </c>
      <c r="L251" s="382">
        <f t="shared" si="647"/>
        <v>25.159999999999801</v>
      </c>
      <c r="M251" s="163">
        <v>0.1211</v>
      </c>
      <c r="N251" s="372">
        <v>0</v>
      </c>
      <c r="O251" s="163">
        <f t="shared" si="595"/>
        <v>0.1211</v>
      </c>
      <c r="P251" s="367">
        <v>23.721895040071701</v>
      </c>
      <c r="Q251" s="101" t="s">
        <v>267</v>
      </c>
      <c r="R251" s="367">
        <f t="shared" ca="1" si="596"/>
        <v>23.72189504007169</v>
      </c>
      <c r="S251" s="814">
        <f t="shared" si="594"/>
        <v>0.34495524077594392</v>
      </c>
      <c r="T251" s="813">
        <f t="shared" si="660"/>
        <v>0.99999999999789868</v>
      </c>
      <c r="U251" s="532">
        <f t="shared" si="661"/>
        <v>0.99999999999999978</v>
      </c>
      <c r="V251" s="379">
        <v>0</v>
      </c>
      <c r="W251" s="424">
        <f t="shared" si="597"/>
        <v>25.193333333333129</v>
      </c>
      <c r="X251" s="405">
        <f t="shared" si="598"/>
        <v>25.193333333333129</v>
      </c>
      <c r="Y251" s="313">
        <f t="shared" si="599"/>
        <v>23.874933333333129</v>
      </c>
      <c r="Z251" s="313">
        <f t="shared" ca="1" si="600"/>
        <v>23.874933333333129</v>
      </c>
      <c r="AA251" s="419">
        <f t="shared" si="623"/>
        <v>1.3184</v>
      </c>
      <c r="AB251" s="423">
        <f t="shared" ca="1" si="624"/>
        <v>1.3184</v>
      </c>
      <c r="AC251" s="221">
        <v>44032</v>
      </c>
      <c r="AD251" s="221">
        <v>44028</v>
      </c>
      <c r="AE251" s="221">
        <v>44027</v>
      </c>
      <c r="AF251" s="221">
        <v>44023</v>
      </c>
      <c r="AG251" s="241" t="s">
        <v>497</v>
      </c>
      <c r="AH251" s="239" t="s">
        <v>497</v>
      </c>
      <c r="AI251" s="141">
        <v>21</v>
      </c>
      <c r="AJ251" s="41">
        <v>14</v>
      </c>
      <c r="AK251" s="41">
        <v>7</v>
      </c>
      <c r="AL251" s="285">
        <v>21</v>
      </c>
      <c r="AM251" s="41">
        <v>10</v>
      </c>
      <c r="AN251" s="142">
        <v>11</v>
      </c>
      <c r="AO251" s="364">
        <v>6.4261969537769303E-2</v>
      </c>
      <c r="AP251" s="145">
        <f t="shared" ca="1" si="648"/>
        <v>0.29324342234443468</v>
      </c>
      <c r="AQ251" s="364">
        <v>6.0065011410373799E-2</v>
      </c>
      <c r="AR251" s="145">
        <f t="shared" ca="1" si="662"/>
        <v>0.31970615990101164</v>
      </c>
      <c r="AS251" s="264">
        <f t="shared" si="601"/>
        <v>0.1211</v>
      </c>
      <c r="AT251" s="149">
        <f t="shared" si="649"/>
        <v>0.1211</v>
      </c>
      <c r="AU251" s="149">
        <f t="shared" si="625"/>
        <v>0.1211</v>
      </c>
      <c r="AV251" s="263">
        <f t="shared" ca="1" si="669"/>
        <v>0.11924175662652102</v>
      </c>
      <c r="AW251" s="150" t="str">
        <f t="shared" ca="1" si="671"/>
        <v/>
      </c>
      <c r="AX251" s="149">
        <f t="shared" ca="1" si="663"/>
        <v>2.4888846412781294E-3</v>
      </c>
      <c r="AY251" s="149">
        <f t="shared" ca="1" si="664"/>
        <v>7.0846066710127489E-4</v>
      </c>
      <c r="AZ251" s="149">
        <f t="shared" ca="1" si="665"/>
        <v>9.8562891903727326E-4</v>
      </c>
      <c r="BA251" s="149">
        <f t="shared" ca="1" si="666"/>
        <v>1.0000000000001287E-4</v>
      </c>
      <c r="BB251" s="149">
        <f t="shared" ca="1" si="667"/>
        <v>1.0000000000001287E-4</v>
      </c>
      <c r="BC251" s="149">
        <f t="shared" ca="1" si="668"/>
        <v>1.0000000000001287E-4</v>
      </c>
      <c r="BD251" s="143">
        <f t="shared" ca="1" si="602"/>
        <v>0</v>
      </c>
      <c r="BE251" s="144">
        <f t="shared" ca="1" si="603"/>
        <v>0</v>
      </c>
      <c r="BF251" s="40">
        <f t="shared" si="604"/>
        <v>2020</v>
      </c>
      <c r="BG251" s="139">
        <f t="shared" si="605"/>
        <v>8</v>
      </c>
      <c r="BH251" s="140">
        <f t="shared" ca="1" si="606"/>
        <v>7038</v>
      </c>
      <c r="BI251" s="304">
        <f t="shared" ca="1" si="607"/>
        <v>19.312799452429843</v>
      </c>
      <c r="BJ251" s="42">
        <f t="shared" ca="1" si="626"/>
        <v>19.367556468172484</v>
      </c>
      <c r="BK251" s="42">
        <f t="shared" ca="1" si="627"/>
        <v>19.370294318959616</v>
      </c>
      <c r="BL251" s="42">
        <f t="shared" ca="1" si="608"/>
        <v>19.394934976043807</v>
      </c>
      <c r="BM251" s="285">
        <f t="shared" si="609"/>
        <v>21</v>
      </c>
      <c r="BN251" s="41">
        <f t="shared" si="610"/>
        <v>14</v>
      </c>
      <c r="BO251" s="41">
        <f t="shared" si="611"/>
        <v>7</v>
      </c>
      <c r="BP251" s="297" t="str">
        <f t="shared" ca="1" si="628"/>
        <v/>
      </c>
      <c r="BQ251" s="297" t="str">
        <f t="shared" ca="1" si="629"/>
        <v/>
      </c>
      <c r="BR251" s="299" t="str">
        <f t="shared" ca="1" si="630"/>
        <v/>
      </c>
      <c r="BS251" s="153" t="str">
        <f t="shared" ca="1" si="631"/>
        <v/>
      </c>
      <c r="BT251" s="153" t="str">
        <f t="shared" ca="1" si="632"/>
        <v/>
      </c>
      <c r="BU251" s="300" t="str">
        <f t="shared" ca="1" si="633"/>
        <v/>
      </c>
      <c r="BV251" s="301" t="str">
        <f t="shared" ca="1" si="634"/>
        <v/>
      </c>
      <c r="BW251" s="300" t="str">
        <f t="shared" ca="1" si="635"/>
        <v/>
      </c>
      <c r="BX251" s="301" t="str">
        <f t="shared" ca="1" si="636"/>
        <v/>
      </c>
      <c r="BY251" s="146" t="str">
        <f t="shared" ca="1" si="637"/>
        <v/>
      </c>
      <c r="BZ251" s="146" t="str">
        <f t="shared" ca="1" si="638"/>
        <v/>
      </c>
      <c r="CA251" s="146" t="str">
        <f t="shared" ca="1" si="639"/>
        <v/>
      </c>
      <c r="CB251" s="146" t="str">
        <f t="shared" ca="1" si="640"/>
        <v/>
      </c>
      <c r="CC251" s="302">
        <v>1</v>
      </c>
      <c r="CD251" s="154">
        <f ca="1">IF(BD251,_xll.xCrudeAPO(BS251,BT251,BY251,BZ251,S252,S253,BI251,BL251,BN251,BO251,0,Strike1,AO251,CC251,0,BL251,IF(OptControl=4,0,1),0,1),0)</f>
        <v>0</v>
      </c>
      <c r="CE251" s="155">
        <f ca="1">IF(BD251,_xll.xCrudeAPO(BS251,BT251,BY251,BZ251,S252,S253,BI251,BL251,BN251,BO251,0,Strike1,AO251,CC251,0,BL251,IF(OptControl=4,0,1),1,1)+_xll.xCrudeAPO(BS251,BT251,BY251,BZ251,S252,S253,BI251,BL251,BN251,BO251,0,Strike1,AO251,CC251,0,BL251,IF(OptControl=4,0,1),1,2)+IF(OR(VolSkewFlag=2,ABS(BQ251)&lt;0.0001),0,IF(BQ251&gt;0,-1,1)*CF251*Strike1/BP251^2*BW251/10%),0)</f>
        <v>0</v>
      </c>
      <c r="CF251" s="155">
        <f ca="1">IF(BD251,(_xll.xCrudeAPO(BS251,BT251,BY251,BZ251,S252,S253,BI251,BL251,BN251,BO251,0,Strike1,AO251,CC251,0,BL251,IF(OptControl=4,0,1),3,1)+_xll.xCrudeAPO(BS251,BT251,BY251,BZ251,S252,S253,BI251,BL251,BN251,BO251,0,Strike1,AO251,CC251,0,BL251,IF(OptControl=4,0,1),3,2))/100,0)</f>
        <v>0</v>
      </c>
      <c r="CG251" s="155">
        <f ca="1">IF(BD251,_xll.xCrudeAPO(BS251,BT251,BY251,BZ251,S252,S253,BI251-DaysForThetaCalculation/365.25,BL251-DaysForThetaCalculation/365.25,BN251,BO251,0,Strike1,AO251,CC251,0,BL251,IF(OptControl=4,0,1),0,1)-_xll.xCrudeAPO(BS251,BT251,BY251,BZ251,S252,S253,BI251,BL251,BN251,BO251,0,Strike1,AO251,CC251,0,BL251,IF(OptControl=4,0,1),0,1),0)</f>
        <v>0</v>
      </c>
      <c r="CH251" s="303">
        <f ca="1">IF(BD251,_xll.xCrudeAPO(BS251,BT251,CA251,CB251,S252,S253,BI251,BL251,BN251,BO251,0,Strike2,AO251,CC251,0,BL251,IF(OptControl=3,1,0),0,1),0)</f>
        <v>0</v>
      </c>
      <c r="CI251" s="155">
        <f ca="1">IF(BD251,_xll.xCrudeAPO(BS251,BT251,CA251,CB251,S252,S253,BI251,BL251,BN251,BO251,0,Strike2,AO251,CC251,0,BL251,IF(OptControl=3,1,0),1,1)+_xll.xCrudeAPO(BS251,BT251,CA251,CB251,S252,S253,BI251,BL251,BN251,BO251,0,Strike2,AO251,CC251,0,BL251,IF(OptControl=3,1,0),1,2)+IF(OR(VolSkewFlag=2,ABS(BR251)&lt;0.0001),0,IF(BR251&gt;0,-1,1)*CJ251*Strike2/BP251^2*BX251/10%),0)</f>
        <v>0</v>
      </c>
      <c r="CJ251" s="155">
        <f ca="1">IF(BD251,(_xll.xCrudeAPO(BS251,BT251,CA251,CB251,S252,S253,BI251,BL251,BN251,BO251,0,Strike2,AO251,CC251,0,BL251,IF(OptControl=3,1,0),3,1)+_xll.xCrudeAPO(BS251,BT251,CA251,CB251,S252,S253,BI251,BL251,BN251,BO251,0,Strike2,AO251,CC251,0,BL251,IF(OptControl=3,1,0),3,2))/100,0)</f>
        <v>0</v>
      </c>
      <c r="CK251" s="156">
        <f ca="1">IF(BD251,_xll.xCrudeAPO(BS251,BT251,CA251,CB251,S252,S253,BI251-DaysForThetaCalculation/365.25,BL251-DaysForThetaCalculation/365.25,BN251,BO251,0,Strike2,AO251,CC251,0,BL251,IF(OptControl=3,1,0),0,1)-_xll.xCrudeAPO(BS251,BT251,CA251,CB251,S252,S253,BI251,BL251,BN251,BO251,0,Strike2,AO251,CC251,0,BL251,IF(OptControl=3,1,0),0,1),0)</f>
        <v>0</v>
      </c>
      <c r="CL251" s="51"/>
      <c r="CM251" s="779" t="str">
        <f t="shared" ca="1" si="650"/>
        <v/>
      </c>
      <c r="CN251" s="783" t="str">
        <f t="shared" ca="1" si="651"/>
        <v/>
      </c>
      <c r="CO251" s="780" t="str">
        <f t="shared" ca="1" si="652"/>
        <v/>
      </c>
      <c r="CP251" s="780" t="str">
        <f t="shared" ca="1" si="653"/>
        <v/>
      </c>
      <c r="CQ251" s="780" t="str">
        <f t="shared" ca="1" si="654"/>
        <v/>
      </c>
      <c r="CR251" s="780" t="str">
        <f t="shared" ca="1" si="655"/>
        <v/>
      </c>
      <c r="CS251" s="781" t="str">
        <f t="shared" ca="1" si="656"/>
        <v/>
      </c>
      <c r="CT251" s="782" t="str">
        <f t="shared" ca="1" si="657"/>
        <v/>
      </c>
      <c r="CU251" s="782" t="str">
        <f t="shared" ca="1" si="658"/>
        <v/>
      </c>
      <c r="CV251" s="155">
        <f ca="1">IF(BD251,_xll.EURO(CN251,Strike1,AO251,AO251,CT251,CM251,IF(OptControl=4,0,1),0),0)</f>
        <v>0</v>
      </c>
      <c r="CW251" s="155">
        <f ca="1">IF(BD251,_xll.EURO(CN251,Strike1,AO251,AO251,CT251,CM251,IF(OptControl=4,0,1),1)+IF(OR(VolSkewFlag=2,ABS(CO251)&lt;0.0001),0,IF(CO251&gt;0,-1,1)*CX251*100*Strike1/CN251^2*CQ251/10%),0)</f>
        <v>0</v>
      </c>
      <c r="CX251" s="155">
        <f ca="1">IF(BD251,_xll.EURO(CN251,Strike1,AO251,AO251,CT251,CM251,IF(OptControl=4,0,1),3)/100,0)</f>
        <v>0</v>
      </c>
      <c r="CY251" s="155">
        <f ca="1">IF(BD251,_xll.EURO(CN251,Strike1,AO251,AO251,CT251,CM251,IF(OptControl=4,0,1),0)-_xll.EURO(CN251,Strike1,AO251,AO251,CT251,CM251-1,IF(OptControl=4,0,1),0),0)</f>
        <v>0</v>
      </c>
      <c r="CZ251" s="155">
        <f ca="1">IF(BD251,_xll.EURO(CN251,Strike2,AO251,AO251,CU251,CM251,IF(OptControl=3,1,0),0),0)</f>
        <v>0</v>
      </c>
      <c r="DA251" s="155">
        <f ca="1">IF(BD251,_xll.EURO(CN251,Strike2,AO251,AO251,CU251,CM251,IF(OptControl=3,1,0),1)+IF(OR(VolSkewFlag=2,ABS(CP251)&lt;0.0001),0,IF(CP251&gt;0,-1,1)*DB251*100*Strike2/CN251^2*CR251/10%),0)</f>
        <v>0</v>
      </c>
      <c r="DB251" s="155">
        <f ca="1">IF(BD251,_xll.EURO(CN251,Strike2,AO251,AO251,CU251,CM251,IF(OptControl=3,1,0),3)/100,0)</f>
        <v>0</v>
      </c>
      <c r="DC251" s="156">
        <f ca="1">IF(BD251,_xll.EURO(CN251,Strike2,AO251,AO251,CU251,CM251,IF(OptControl=3,1,0),0)-_xll.EURO(CN251,Strike2,AO251,AO251,CU251,CM251-1,IF(OptControl=3,1,0),0),0)</f>
        <v>0</v>
      </c>
      <c r="DE251" s="651">
        <f t="shared" ca="1" si="659"/>
        <v>43952</v>
      </c>
      <c r="DF251" s="465">
        <v>1E-4</v>
      </c>
      <c r="DG251" s="649">
        <v>1E-4</v>
      </c>
      <c r="DH251" s="650">
        <f t="shared" ca="1" si="612"/>
        <v>43952</v>
      </c>
      <c r="DI251" s="465">
        <v>1E-4</v>
      </c>
      <c r="DJ251" s="649">
        <v>1E-4</v>
      </c>
      <c r="DK251" s="651">
        <f t="shared" ca="1" si="613"/>
        <v>43952</v>
      </c>
      <c r="DL251" s="652">
        <f t="shared" si="614"/>
        <v>5.0100000000000006E-2</v>
      </c>
      <c r="DM251" s="651">
        <f t="shared" ca="1" si="615"/>
        <v>43952</v>
      </c>
      <c r="DN251" s="563">
        <f t="shared" si="616"/>
        <v>-0.12990000000000002</v>
      </c>
      <c r="DO251" s="803">
        <v>-0.13</v>
      </c>
      <c r="DP251" s="650">
        <f t="shared" ca="1" si="617"/>
        <v>43952</v>
      </c>
      <c r="DQ251" s="653">
        <v>1E-4</v>
      </c>
      <c r="DR251" s="590">
        <v>1E-4</v>
      </c>
      <c r="DS251" s="650">
        <f t="shared" ca="1" si="618"/>
        <v>43952</v>
      </c>
      <c r="DT251" s="653">
        <v>1E-4</v>
      </c>
      <c r="DU251" s="590">
        <v>1E-4</v>
      </c>
      <c r="DV251" s="651">
        <f t="shared" ca="1" si="619"/>
        <v>43952</v>
      </c>
      <c r="DW251" s="590">
        <v>1E-4</v>
      </c>
      <c r="DX251" s="651">
        <f t="shared" ca="1" si="620"/>
        <v>43952</v>
      </c>
      <c r="DY251" s="590">
        <f t="shared" si="621"/>
        <v>1E-4</v>
      </c>
      <c r="DZ251" s="1"/>
      <c r="EA251" s="857"/>
      <c r="EB251" s="857"/>
      <c r="EC251" s="857"/>
      <c r="ED251" s="868" t="e">
        <f t="shared" ca="1" si="670"/>
        <v>#NAME?</v>
      </c>
      <c r="EE251" s="863" t="e">
        <f t="shared" ca="1" si="641"/>
        <v>#NAME?</v>
      </c>
      <c r="EF251" s="590" t="e">
        <f t="shared" ca="1" si="642"/>
        <v>#NAME?</v>
      </c>
      <c r="EG251" s="862" t="str">
        <f t="shared" ca="1" si="622"/>
        <v/>
      </c>
      <c r="EH251" s="114" t="str">
        <f t="shared" ca="1" si="643"/>
        <v/>
      </c>
      <c r="EI251" s="109" t="str">
        <f t="shared" ca="1" si="644"/>
        <v/>
      </c>
      <c r="EJ251" s="115">
        <f ca="1">IF(BD251,_xll.xASN(BP251,Strike1,AO251,EH251,0,BM251,0,BI251,BL251,IF(OptControl=4,0,1),0),0)</f>
        <v>0</v>
      </c>
      <c r="EK251" s="108">
        <f ca="1">IF(BD251,_xll.xASN(BP251,Strike2,AO251,EI251,0,BM251,0,BI251,BL251,IF(OptControl=3,1,0),0),0)</f>
        <v>0</v>
      </c>
      <c r="EP251" s="53"/>
      <c r="EQ251" s="1"/>
      <c r="ER251" s="103"/>
      <c r="ES251" s="103"/>
      <c r="ET251" s="1"/>
      <c r="EU251" s="667" t="s">
        <v>464</v>
      </c>
      <c r="EW251" s="53"/>
      <c r="EY251" s="104"/>
      <c r="FN251" s="657">
        <v>7</v>
      </c>
      <c r="FO251" s="469" t="str">
        <f ca="1">IF($FN251+FO$244&gt;73,"",PRODUCT(INDEX($T$19:$T$93,FO$244):INDEX($T$19:$T$93,FO$244+$FN251-1)))</f>
        <v/>
      </c>
      <c r="FP251" s="469" t="str">
        <f ca="1">IF($FN251+FP$244&gt;73,"",PRODUCT(INDEX($T$19:$T$93,FP$244):INDEX($T$19:$T$93,FP$244+$FN251-1)))</f>
        <v/>
      </c>
      <c r="FQ251" s="469" t="str">
        <f ca="1">IF($FN251+FQ$244&gt;73,"",PRODUCT(INDEX($T$19:$T$93,FQ$244):INDEX($T$19:$T$93,FQ$244+$FN251-1)))</f>
        <v/>
      </c>
      <c r="FR251" s="469" t="str">
        <f ca="1">IF($FN251+FR$244&gt;73,"",PRODUCT(INDEX($T$19:$T$93,FR$244):INDEX($T$19:$T$93,FR$244+$FN251-1)))</f>
        <v/>
      </c>
      <c r="FS251" s="469" t="str">
        <f ca="1">IF($FN251+FS$244&gt;73,"",PRODUCT(INDEX($T$19:$T$93,FS$244):INDEX($T$19:$T$93,FS$244+$FN251-1)))</f>
        <v/>
      </c>
      <c r="FT251" s="469" t="str">
        <f ca="1">IF($FN251+FT$244&gt;73,"",PRODUCT(INDEX($T$19:$T$93,FT$244):INDEX($T$19:$T$93,FT$244+$FN251-1)))</f>
        <v/>
      </c>
      <c r="FU251" s="469">
        <f ca="1">IF($FN251+FU$244&gt;73,"",PRODUCT(INDEX($T$19:$T$93,FU$244):INDEX($T$19:$T$93,FU$244+$FN251-1)))</f>
        <v>0.99951992791662281</v>
      </c>
      <c r="FV251" s="469">
        <f ca="1">IF($FN251+FV$244&gt;73,"",PRODUCT(INDEX($T$19:$T$93,FV$244):INDEX($T$19:$T$93,FV$244+$FN251-1)))</f>
        <v>0.99946659650084591</v>
      </c>
      <c r="FW251" s="469">
        <f ca="1">IF($FN251+FW$244&gt;73,"",PRODUCT(INDEX($T$19:$T$93,FW$244):INDEX($T$19:$T$93,FW$244+$FN251-1)))</f>
        <v>0.99940734169478151</v>
      </c>
      <c r="FX251" s="469">
        <f ca="1">IF($FN251+FX$244&gt;73,"",PRODUCT(INDEX($T$19:$T$93,FX$244):INDEX($T$19:$T$93,FX$244+$FN251-1)))</f>
        <v>0.99934150588676984</v>
      </c>
      <c r="FY251" s="469">
        <f ca="1">IF($FN251+FY$244&gt;73,"",PRODUCT(INDEX($T$19:$T$93,FY$244):INDEX($T$19:$T$93,FY$244+$FN251-1)))</f>
        <v>0.99926835852385387</v>
      </c>
      <c r="FZ251" s="469">
        <f ca="1">IF($FN251+FZ$244&gt;73,"",PRODUCT(INDEX($T$19:$T$93,FZ$244):INDEX($T$19:$T$93,FZ$244+$FN251-1)))</f>
        <v>0.99918708803667855</v>
      </c>
      <c r="GA251" s="469">
        <f ca="1">IF($FN251+GA$244&gt;73,"",PRODUCT(INDEX($T$19:$T$93,GA$244):INDEX($T$19:$T$93,GA$244+$FN251-1)))</f>
        <v>0.99909679287400288</v>
      </c>
      <c r="GB251" s="469">
        <f ca="1">IF($FN251+GB$244&gt;73,"",PRODUCT(INDEX($T$19:$T$93,GB$244):INDEX($T$19:$T$93,GB$244+$FN251-1)))</f>
        <v>0.99899647154946758</v>
      </c>
      <c r="GC251" s="469">
        <f ca="1">IF($FN251+GC$244&gt;73,"",PRODUCT(INDEX($T$19:$T$93,GC$244):INDEX($T$19:$T$93,GC$244+$FN251-1)))</f>
        <v>0.9988850115928174</v>
      </c>
      <c r="GD251" s="469">
        <f ca="1">IF($FN251+GD$244&gt;73,"",PRODUCT(INDEX($T$19:$T$93,GD$244):INDEX($T$19:$T$93,GD$244+$FN251-1)))</f>
        <v>0.99876117728623282</v>
      </c>
      <c r="GE251" s="469">
        <f ca="1">IF($FN251+GE$244&gt;73,"",PRODUCT(INDEX($T$19:$T$93,GE$244):INDEX($T$19:$T$93,GE$244+$FN251-1)))</f>
        <v>0.99862359605372131</v>
      </c>
      <c r="GF251" s="469">
        <f ca="1">IF($FN251+GF$244&gt;73,"",PRODUCT(INDEX($T$19:$T$93,GF$244):INDEX($T$19:$T$93,GF$244+$FN251-1)))</f>
        <v>0.99847074335750585</v>
      </c>
      <c r="GG251" s="469">
        <f ca="1">IF($FN251+GG$244&gt;73,"",PRODUCT(INDEX($T$19:$T$93,GG$244):INDEX($T$19:$T$93,GG$244+$FN251-1)))</f>
        <v>0.99830092593994357</v>
      </c>
      <c r="GH251" s="469">
        <f ca="1">IF($FN251+GH$244&gt;73,"",PRODUCT(INDEX($T$19:$T$93,GH$244):INDEX($T$19:$T$93,GH$244+$FN251-1)))</f>
        <v>0.99811226323256708</v>
      </c>
      <c r="GI251" s="469">
        <f ca="1">IF($FN251+GI$244&gt;73,"",PRODUCT(INDEX($T$19:$T$93,GI$244):INDEX($T$19:$T$93,GI$244+$FN251-1)))</f>
        <v>0.99790266673524208</v>
      </c>
      <c r="GJ251" s="469">
        <f ca="1">IF($FN251+GJ$244&gt;73,"",PRODUCT(INDEX($T$19:$T$93,GJ$244):INDEX($T$19:$T$93,GJ$244+$FN251-1)))</f>
        <v>0.99766981714804492</v>
      </c>
      <c r="GK251" s="469">
        <f ca="1">IF($FN251+GK$244&gt;73,"",PRODUCT(INDEX($T$19:$T$93,GK$244):INDEX($T$19:$T$93,GK$244+$FN251-1)))</f>
        <v>0.99741113901613776</v>
      </c>
      <c r="GL251" s="469">
        <f ca="1">IF($FN251+GL$244&gt;73,"",PRODUCT(INDEX($T$19:$T$93,GL$244):INDEX($T$19:$T$93,GL$244+$FN251-1)))</f>
        <v>0.99712377262351148</v>
      </c>
      <c r="GM251" s="469">
        <f ca="1">IF($FN251+GM$244&gt;73,"",PRODUCT(INDEX($T$19:$T$93,GM$244):INDEX($T$19:$T$93,GM$244+$FN251-1)))</f>
        <v>0.99680454284484199</v>
      </c>
      <c r="GN251" s="469">
        <f ca="1">IF($FN251+GN$244&gt;73,"",PRODUCT(INDEX($T$19:$T$93,GN$244):INDEX($T$19:$T$93,GN$244+$FN251-1)))</f>
        <v>0.99644992463569793</v>
      </c>
      <c r="GO251" s="469">
        <f ca="1">IF($FN251+GO$244&gt;73,"",PRODUCT(INDEX($T$19:$T$93,GO$244):INDEX($T$19:$T$93,GO$244+$FN251-1)))</f>
        <v>0.99605600480984302</v>
      </c>
      <c r="GP251" s="469">
        <f ca="1">IF($FN251+GP$244&gt;73,"",PRODUCT(INDEX($T$19:$T$93,GP$244):INDEX($T$19:$T$93,GP$244+$FN251-1)))</f>
        <v>0.99561843971821362</v>
      </c>
      <c r="GQ251" s="469">
        <f ca="1">IF($FN251+GQ$244&gt;73,"",PRODUCT(INDEX($T$19:$T$93,GQ$244):INDEX($T$19:$T$93,GQ$244+$FN251-1)))</f>
        <v>0.99513240840725348</v>
      </c>
      <c r="GR251" s="469">
        <f ca="1">IF($FN251+GR$244&gt;73,"",PRODUCT(INDEX($T$19:$T$93,GR$244):INDEX($T$19:$T$93,GR$244+$FN251-1)))</f>
        <v>0.99459256079450908</v>
      </c>
      <c r="GS251" s="469">
        <f ca="1">IF($FN251+GS$244&gt;73,"",PRODUCT(INDEX($T$19:$T$93,GS$244):INDEX($T$19:$T$93,GS$244+$FN251-1)))</f>
        <v>0.9939929603566896</v>
      </c>
      <c r="GT251" s="469">
        <f ca="1">IF($FN251+GT$244&gt;73,"",PRODUCT(INDEX($T$19:$T$93,GT$244):INDEX($T$19:$T$93,GT$244+$FN251-1)))</f>
        <v>0.9933270207797138</v>
      </c>
      <c r="GU251" s="469">
        <f ca="1">IF($FN251+GU$244&gt;73,"",PRODUCT(INDEX($T$19:$T$93,GU$244):INDEX($T$19:$T$93,GU$244+$FN251-1)))</f>
        <v>0.99258743597161625</v>
      </c>
      <c r="GV251" s="469">
        <f ca="1">IF($FN251+GV$244&gt;73,"",PRODUCT(INDEX($T$19:$T$93,GV$244):INDEX($T$19:$T$93,GV$244+$FN251-1)))</f>
        <v>0.99176610278763</v>
      </c>
      <c r="GW251" s="469">
        <f ca="1">IF($FN251+GW$244&gt;73,"",PRODUCT(INDEX($T$19:$T$93,GW$244):INDEX($T$19:$T$93,GW$244+$FN251-1)))</f>
        <v>0.99085403576240361</v>
      </c>
      <c r="GX251" s="469">
        <f ca="1">IF($FN251+GX$244&gt;73,"",PRODUCT(INDEX($T$19:$T$93,GX$244):INDEX($T$19:$T$93,GX$244+$FN251-1)))</f>
        <v>0.98984127308738046</v>
      </c>
      <c r="GY251" s="469">
        <f ca="1">IF($FN251+GY$244&gt;73,"",PRODUCT(INDEX($T$19:$T$93,GY$244):INDEX($T$19:$T$93,GY$244+$FN251-1)))</f>
        <v>0.98871677301212901</v>
      </c>
      <c r="GZ251" s="469">
        <f ca="1">IF($FN251+GZ$244&gt;73,"",PRODUCT(INDEX($T$19:$T$93,GZ$244):INDEX($T$19:$T$93,GZ$244+$FN251-1)))</f>
        <v>0.98746829978726736</v>
      </c>
      <c r="HA251" s="469">
        <f ca="1">IF($FN251+HA$244&gt;73,"",PRODUCT(INDEX($T$19:$T$93,HA$244):INDEX($T$19:$T$93,HA$244+$FN251-1)))</f>
        <v>0.98608229820408044</v>
      </c>
      <c r="HB251" s="469">
        <f ca="1">IF($FN251+HB$244&gt;73,"",PRODUCT(INDEX($T$19:$T$93,HB$244):INDEX($T$19:$T$93,HB$244+$FN251-1)))</f>
        <v>0.98454375572258612</v>
      </c>
      <c r="HC251" s="469">
        <f ca="1">IF($FN251+HC$244&gt;73,"",PRODUCT(INDEX($T$19:$T$93,HC$244):INDEX($T$19:$T$93,HC$244+$FN251-1)))</f>
        <v>0.98283605111643635</v>
      </c>
      <c r="HD251" s="469">
        <f ca="1">IF($FN251+HD$244&gt;73,"",PRODUCT(INDEX($T$19:$T$93,HD$244):INDEX($T$19:$T$93,HD$244+$FN251-1)))</f>
        <v>0.98094078850047994</v>
      </c>
      <c r="HE251" s="469">
        <f ca="1">IF($FN251+HE$244&gt;73,"",PRODUCT(INDEX($T$19:$T$93,HE$244):INDEX($T$19:$T$93,HE$244+$FN251-1)))</f>
        <v>0.9788376155460542</v>
      </c>
      <c r="HF251" s="469">
        <f ca="1">IF($FN251+HF$244&gt;73,"",PRODUCT(INDEX($T$19:$T$93,HF$244):INDEX($T$19:$T$93,HF$244+$FN251-1)))</f>
        <v>0.97650402463123009</v>
      </c>
      <c r="HG251" s="469">
        <f ca="1">IF($FN251+HG$244&gt;73,"",PRODUCT(INDEX($T$19:$T$93,HG$244):INDEX($T$19:$T$93,HG$244+$FN251-1)))</f>
        <v>0.97391513561943988</v>
      </c>
      <c r="HH251" s="469">
        <f ca="1">IF($FN251+HH$244&gt;73,"",PRODUCT(INDEX($T$19:$T$93,HH$244):INDEX($T$19:$T$93,HH$244+$FN251-1)))</f>
        <v>0.97104345891154675</v>
      </c>
      <c r="HI251" s="469">
        <f ca="1">IF($FN251+HI$244&gt;73,"",PRODUCT(INDEX($T$19:$T$93,HI$244):INDEX($T$19:$T$93,HI$244+$FN251-1)))</f>
        <v>0.96785863737483746</v>
      </c>
      <c r="HJ251" s="469">
        <f ca="1">IF($FN251+HJ$244&gt;73,"",PRODUCT(INDEX($T$19:$T$93,HJ$244):INDEX($T$19:$T$93,HJ$244+$FN251-1)))</f>
        <v>0.96432716571937727</v>
      </c>
      <c r="HK251" s="469">
        <f ca="1">IF($FN251+HK$244&gt;73,"",PRODUCT(INDEX($T$19:$T$93,HK$244):INDEX($T$19:$T$93,HK$244+$FN251-1)))</f>
        <v>0.96041208586981286</v>
      </c>
      <c r="HL251" s="469">
        <f ca="1">IF($FN251+HL$244&gt;73,"",PRODUCT(INDEX($T$19:$T$93,HL$244):INDEX($T$19:$T$93,HL$244+$FN251-1)))</f>
        <v>0.95607265687219012</v>
      </c>
      <c r="HM251" s="469">
        <f ca="1">IF($FN251+HM$244&gt;73,"",PRODUCT(INDEX($T$19:$T$93,HM$244):INDEX($T$19:$T$93,HM$244+$FN251-1)))</f>
        <v>0.9512639978856644</v>
      </c>
      <c r="HN251" s="469">
        <f ca="1">IF($FN251+HN$244&gt;73,"",PRODUCT(INDEX($T$19:$T$93,HN$244):INDEX($T$19:$T$93,HN$244+$FN251-1)))</f>
        <v>0.94593670284653986</v>
      </c>
      <c r="HO251" s="469">
        <f ca="1">IF($FN251+HO$244&gt;73,"",PRODUCT(INDEX($T$19:$T$93,HO$244):INDEX($T$19:$T$93,HO$244+$FN251-1)))</f>
        <v>0.9400364254713568</v>
      </c>
      <c r="HP251" s="469">
        <f ca="1">IF($FN251+HP$244&gt;73,"",PRODUCT(INDEX($T$19:$T$93,HP$244):INDEX($T$19:$T$93,HP$244+$FN251-1)))</f>
        <v>0.93350343341184705</v>
      </c>
      <c r="HQ251" s="469">
        <f ca="1">IF($FN251+HQ$244&gt;73,"",PRODUCT(INDEX($T$19:$T$93,HQ$244):INDEX($T$19:$T$93,HQ$244+$FN251-1)))</f>
        <v>0.92627213063019587</v>
      </c>
      <c r="HR251" s="469">
        <f ca="1">IF($FN251+HR$244&gt;73,"",PRODUCT(INDEX($T$19:$T$93,HR$244):INDEX($T$19:$T$93,HR$244+$FN251-1)))</f>
        <v>0.91827054750011583</v>
      </c>
      <c r="HS251" s="469">
        <f ca="1">IF($FN251+HS$244&gt;73,"",PRODUCT(INDEX($T$19:$T$93,HS$244):INDEX($T$19:$T$93,HS$244+$FN251-1)))</f>
        <v>0.90941979887650914</v>
      </c>
      <c r="HT251" s="469">
        <f ca="1">IF($FN251+HT$244&gt;73,"",PRODUCT(INDEX($T$19:$T$93,HT$244):INDEX($T$19:$T$93,HT$244+$FN251-1)))</f>
        <v>0.89963351160693317</v>
      </c>
      <c r="HU251" s="469">
        <f ca="1">IF($FN251+HU$244&gt;73,"",PRODUCT(INDEX($T$19:$T$93,HU$244):INDEX($T$19:$T$93,HU$244+$FN251-1)))</f>
        <v>0.88881722498996163</v>
      </c>
      <c r="HV251" s="469">
        <f ca="1">IF($FN251+HV$244&gt;73,"",PRODUCT(INDEX($T$19:$T$93,HV$244):INDEX($T$19:$T$93,HV$244+$FN251-1)))</f>
        <v>0.87686777100374846</v>
      </c>
      <c r="HW251" s="469">
        <f ca="1">IF($FN251+HW$244&gt;73,"",PRODUCT(INDEX($T$19:$T$93,HW$244):INDEX($T$19:$T$93,HW$244+$FN251-1)))</f>
        <v>0.86367264648352737</v>
      </c>
      <c r="HX251" s="469">
        <f ca="1">IF($FN251+HX$244&gt;73,"",PRODUCT(INDEX($T$19:$T$93,HX$244):INDEX($T$19:$T$93,HX$244+$FN251-1)))</f>
        <v>0.84910939796496232</v>
      </c>
      <c r="HY251" s="469">
        <f ca="1">IF($FN251+HY$244&gt;73,"",PRODUCT(INDEX($T$19:$T$93,HY$244):INDEX($T$19:$T$93,HY$244+$FN251-1)))</f>
        <v>0.83304505335173384</v>
      </c>
      <c r="HZ251" s="469">
        <f ca="1">IF($FN251+HZ$244&gt;73,"",PRODUCT(INDEX($T$19:$T$93,HZ$244):INDEX($T$19:$T$93,HZ$244+$FN251-1)))</f>
        <v>0.81533565545271991</v>
      </c>
      <c r="IA251" s="469">
        <f ca="1">IF($FN251+IA$244&gt;73,"",PRODUCT(INDEX($T$19:$T$93,IA$244):INDEX($T$19:$T$93,IA$244+$FN251-1)))</f>
        <v>0.79582598445504837</v>
      </c>
      <c r="IB251" s="469">
        <f ca="1">IF($FN251+IB$244&gt;73,"",PRODUCT(INDEX($T$19:$T$93,IB$244):INDEX($T$19:$T$93,IB$244+$FN251-1)))</f>
        <v>0.77434960479277182</v>
      </c>
      <c r="IC251" s="469">
        <f ca="1">IF($FN251+IC$244&gt;73,"",PRODUCT(INDEX($T$19:$T$93,IC$244):INDEX($T$19:$T$93,IC$244+$FN251-1)))</f>
        <v>0.75072944388323704</v>
      </c>
      <c r="ID251" s="469">
        <f ca="1">IF($FN251+ID$244&gt;73,"",PRODUCT(INDEX($T$19:$T$93,ID$244):INDEX($T$19:$T$93,ID$244+$FN251-1)))</f>
        <v>0.72477921551270408</v>
      </c>
      <c r="IE251" s="469">
        <f ca="1">IF($FN251+IE$244&gt;73,"",PRODUCT(INDEX($T$19:$T$93,IE$244):INDEX($T$19:$T$93,IE$244+$FN251-1)))</f>
        <v>0.69630615155041164</v>
      </c>
      <c r="IF251" s="469">
        <f ca="1">IF($FN251+IF$244&gt;73,"",PRODUCT(INDEX($T$19:$T$93,IF$244):INDEX($T$19:$T$93,IF$244+$FN251-1)))</f>
        <v>0.66511571654934076</v>
      </c>
      <c r="IG251" s="469">
        <f ca="1">IF($FN251+IG$244&gt;73,"",PRODUCT(INDEX($T$19:$T$93,IG$244):INDEX($T$19:$T$93,IG$244+$FN251-1)))</f>
        <v>0.63101926506542916</v>
      </c>
      <c r="IH251" s="662">
        <f ca="1">IF($FN251+IH$244&gt;73,"",PRODUCT(INDEX($T$19:$T$93,IH$244):INDEX($T$19:$T$93,IH$244+$FN251-1)))</f>
        <v>0.59384597034206077</v>
      </c>
      <c r="II251" s="242"/>
    </row>
    <row r="252" spans="8:243">
      <c r="H252" s="49" t="e">
        <f t="shared" ca="1" si="645"/>
        <v>#N/A</v>
      </c>
      <c r="I252" s="369">
        <f t="shared" si="646"/>
        <v>44075</v>
      </c>
      <c r="J252" s="367">
        <v>25.184999999999796</v>
      </c>
      <c r="K252" s="101" t="s">
        <v>267</v>
      </c>
      <c r="L252" s="382">
        <f t="shared" si="647"/>
        <v>25.1849999999998</v>
      </c>
      <c r="M252" s="163">
        <v>0.1211</v>
      </c>
      <c r="N252" s="372">
        <v>0</v>
      </c>
      <c r="O252" s="163">
        <f t="shared" si="595"/>
        <v>0.1211</v>
      </c>
      <c r="P252" s="367">
        <v>23.9509884307137</v>
      </c>
      <c r="Q252" s="101" t="s">
        <v>267</v>
      </c>
      <c r="R252" s="367">
        <f t="shared" ca="1" si="596"/>
        <v>23.950988430713728</v>
      </c>
      <c r="S252" s="814">
        <f t="shared" si="594"/>
        <v>0.34490568836818447</v>
      </c>
      <c r="T252" s="813">
        <f t="shared" si="660"/>
        <v>0.99999999999810885</v>
      </c>
      <c r="U252" s="532">
        <f t="shared" si="661"/>
        <v>0.99999999999999978</v>
      </c>
      <c r="V252" s="379">
        <v>0</v>
      </c>
      <c r="W252" s="424">
        <f t="shared" si="597"/>
        <v>25.219090909090706</v>
      </c>
      <c r="X252" s="405">
        <f t="shared" si="598"/>
        <v>25.219090909090706</v>
      </c>
      <c r="Y252" s="313">
        <f t="shared" si="599"/>
        <v>23.900690909090706</v>
      </c>
      <c r="Z252" s="313">
        <f t="shared" ca="1" si="600"/>
        <v>23.900690909090706</v>
      </c>
      <c r="AA252" s="419">
        <f t="shared" si="623"/>
        <v>1.3184</v>
      </c>
      <c r="AB252" s="423">
        <f t="shared" ca="1" si="624"/>
        <v>1.3184</v>
      </c>
      <c r="AC252" s="221">
        <v>44063</v>
      </c>
      <c r="AD252" s="221">
        <v>44059</v>
      </c>
      <c r="AE252" s="221">
        <v>44058</v>
      </c>
      <c r="AF252" s="221">
        <v>44054</v>
      </c>
      <c r="AG252" s="241" t="s">
        <v>497</v>
      </c>
      <c r="AH252" s="239" t="s">
        <v>497</v>
      </c>
      <c r="AI252" s="141">
        <v>22</v>
      </c>
      <c r="AJ252" s="41">
        <v>14</v>
      </c>
      <c r="AK252" s="41">
        <v>8</v>
      </c>
      <c r="AL252" s="285">
        <v>22</v>
      </c>
      <c r="AM252" s="41">
        <v>10</v>
      </c>
      <c r="AN252" s="142">
        <v>12</v>
      </c>
      <c r="AO252" s="364">
        <v>6.4307292141968703E-2</v>
      </c>
      <c r="AP252" s="145">
        <f t="shared" ca="1" si="648"/>
        <v>0.29147453051552497</v>
      </c>
      <c r="AQ252" s="364">
        <v>6.0025780293270901E-2</v>
      </c>
      <c r="AR252" s="145">
        <f t="shared" ca="1" si="662"/>
        <v>0.31833891921405982</v>
      </c>
      <c r="AS252" s="264">
        <f t="shared" si="601"/>
        <v>0.1211</v>
      </c>
      <c r="AT252" s="149">
        <f t="shared" si="649"/>
        <v>0.1211</v>
      </c>
      <c r="AU252" s="149">
        <f t="shared" si="625"/>
        <v>0.1211</v>
      </c>
      <c r="AV252" s="263">
        <f t="shared" ca="1" si="669"/>
        <v>0.11918820058333565</v>
      </c>
      <c r="AW252" s="150" t="str">
        <f t="shared" ca="1" si="671"/>
        <v/>
      </c>
      <c r="AX252" s="149">
        <f t="shared" ca="1" si="663"/>
        <v>2.4539202578843389E-3</v>
      </c>
      <c r="AY252" s="149">
        <f t="shared" ca="1" si="664"/>
        <v>6.9627098603336956E-4</v>
      </c>
      <c r="AZ252" s="149">
        <f t="shared" ca="1" si="665"/>
        <v>9.7388228259977119E-4</v>
      </c>
      <c r="BA252" s="149">
        <f t="shared" ca="1" si="666"/>
        <v>1.0000000000001295E-4</v>
      </c>
      <c r="BB252" s="149">
        <f t="shared" ca="1" si="667"/>
        <v>1.0000000000001295E-4</v>
      </c>
      <c r="BC252" s="149">
        <f t="shared" ca="1" si="668"/>
        <v>1.0000000000001295E-4</v>
      </c>
      <c r="BD252" s="143">
        <f t="shared" ca="1" si="602"/>
        <v>0</v>
      </c>
      <c r="BE252" s="144">
        <f t="shared" ca="1" si="603"/>
        <v>0</v>
      </c>
      <c r="BF252" s="40">
        <f t="shared" si="604"/>
        <v>2020</v>
      </c>
      <c r="BG252" s="139">
        <f t="shared" si="605"/>
        <v>9</v>
      </c>
      <c r="BH252" s="140">
        <f t="shared" ca="1" si="606"/>
        <v>7069</v>
      </c>
      <c r="BI252" s="304">
        <f t="shared" ca="1" si="607"/>
        <v>19.397672826830938</v>
      </c>
      <c r="BJ252" s="42">
        <f t="shared" ca="1" si="626"/>
        <v>19.448198618629828</v>
      </c>
      <c r="BK252" s="42">
        <f t="shared" ca="1" si="627"/>
        <v>19.450936469416959</v>
      </c>
      <c r="BL252" s="42">
        <f t="shared" ca="1" si="608"/>
        <v>19.477070499657767</v>
      </c>
      <c r="BM252" s="285">
        <f t="shared" si="609"/>
        <v>22</v>
      </c>
      <c r="BN252" s="41">
        <f t="shared" si="610"/>
        <v>14</v>
      </c>
      <c r="BO252" s="41">
        <f t="shared" si="611"/>
        <v>8</v>
      </c>
      <c r="BP252" s="297" t="str">
        <f t="shared" ca="1" si="628"/>
        <v/>
      </c>
      <c r="BQ252" s="297" t="str">
        <f t="shared" ca="1" si="629"/>
        <v/>
      </c>
      <c r="BR252" s="299" t="str">
        <f t="shared" ca="1" si="630"/>
        <v/>
      </c>
      <c r="BS252" s="153" t="str">
        <f t="shared" ca="1" si="631"/>
        <v/>
      </c>
      <c r="BT252" s="153" t="str">
        <f t="shared" ca="1" si="632"/>
        <v/>
      </c>
      <c r="BU252" s="300" t="str">
        <f t="shared" ca="1" si="633"/>
        <v/>
      </c>
      <c r="BV252" s="301" t="str">
        <f t="shared" ca="1" si="634"/>
        <v/>
      </c>
      <c r="BW252" s="300" t="str">
        <f t="shared" ca="1" si="635"/>
        <v/>
      </c>
      <c r="BX252" s="301" t="str">
        <f t="shared" ca="1" si="636"/>
        <v/>
      </c>
      <c r="BY252" s="146" t="str">
        <f t="shared" ca="1" si="637"/>
        <v/>
      </c>
      <c r="BZ252" s="146" t="str">
        <f t="shared" ca="1" si="638"/>
        <v/>
      </c>
      <c r="CA252" s="146" t="str">
        <f t="shared" ca="1" si="639"/>
        <v/>
      </c>
      <c r="CB252" s="146" t="str">
        <f t="shared" ca="1" si="640"/>
        <v/>
      </c>
      <c r="CC252" s="302">
        <v>1</v>
      </c>
      <c r="CD252" s="154">
        <f ca="1">IF(BD252,_xll.xCrudeAPO(BS252,BT252,BY252,BZ252,S253,S254,BI252,BL252,BN252,BO252,0,Strike1,AO252,CC252,0,BL252,IF(OptControl=4,0,1),0,1),0)</f>
        <v>0</v>
      </c>
      <c r="CE252" s="155">
        <f ca="1">IF(BD252,_xll.xCrudeAPO(BS252,BT252,BY252,BZ252,S253,S254,BI252,BL252,BN252,BO252,0,Strike1,AO252,CC252,0,BL252,IF(OptControl=4,0,1),1,1)+_xll.xCrudeAPO(BS252,BT252,BY252,BZ252,S253,S254,BI252,BL252,BN252,BO252,0,Strike1,AO252,CC252,0,BL252,IF(OptControl=4,0,1),1,2)+IF(OR(VolSkewFlag=2,ABS(BQ252)&lt;0.0001),0,IF(BQ252&gt;0,-1,1)*CF252*Strike1/BP252^2*BW252/10%),0)</f>
        <v>0</v>
      </c>
      <c r="CF252" s="155">
        <f ca="1">IF(BD252,(_xll.xCrudeAPO(BS252,BT252,BY252,BZ252,S253,S254,BI252,BL252,BN252,BO252,0,Strike1,AO252,CC252,0,BL252,IF(OptControl=4,0,1),3,1)+_xll.xCrudeAPO(BS252,BT252,BY252,BZ252,S253,S254,BI252,BL252,BN252,BO252,0,Strike1,AO252,CC252,0,BL252,IF(OptControl=4,0,1),3,2))/100,0)</f>
        <v>0</v>
      </c>
      <c r="CG252" s="155">
        <f ca="1">IF(BD252,_xll.xCrudeAPO(BS252,BT252,BY252,BZ252,S253,S254,BI252-DaysForThetaCalculation/365.25,BL252-DaysForThetaCalculation/365.25,BN252,BO252,0,Strike1,AO252,CC252,0,BL252,IF(OptControl=4,0,1),0,1)-_xll.xCrudeAPO(BS252,BT252,BY252,BZ252,S253,S254,BI252,BL252,BN252,BO252,0,Strike1,AO252,CC252,0,BL252,IF(OptControl=4,0,1),0,1),0)</f>
        <v>0</v>
      </c>
      <c r="CH252" s="303">
        <f ca="1">IF(BD252,_xll.xCrudeAPO(BS252,BT252,CA252,CB252,S253,S254,BI252,BL252,BN252,BO252,0,Strike2,AO252,CC252,0,BL252,IF(OptControl=3,1,0),0,1),0)</f>
        <v>0</v>
      </c>
      <c r="CI252" s="155">
        <f ca="1">IF(BD252,_xll.xCrudeAPO(BS252,BT252,CA252,CB252,S253,S254,BI252,BL252,BN252,BO252,0,Strike2,AO252,CC252,0,BL252,IF(OptControl=3,1,0),1,1)+_xll.xCrudeAPO(BS252,BT252,CA252,CB252,S253,S254,BI252,BL252,BN252,BO252,0,Strike2,AO252,CC252,0,BL252,IF(OptControl=3,1,0),1,2)+IF(OR(VolSkewFlag=2,ABS(BR252)&lt;0.0001),0,IF(BR252&gt;0,-1,1)*CJ252*Strike2/BP252^2*BX252/10%),0)</f>
        <v>0</v>
      </c>
      <c r="CJ252" s="155">
        <f ca="1">IF(BD252,(_xll.xCrudeAPO(BS252,BT252,CA252,CB252,S253,S254,BI252,BL252,BN252,BO252,0,Strike2,AO252,CC252,0,BL252,IF(OptControl=3,1,0),3,1)+_xll.xCrudeAPO(BS252,BT252,CA252,CB252,S253,S254,BI252,BL252,BN252,BO252,0,Strike2,AO252,CC252,0,BL252,IF(OptControl=3,1,0),3,2))/100,0)</f>
        <v>0</v>
      </c>
      <c r="CK252" s="156">
        <f ca="1">IF(BD252,_xll.xCrudeAPO(BS252,BT252,CA252,CB252,S253,S254,BI252-DaysForThetaCalculation/365.25,BL252-DaysForThetaCalculation/365.25,BN252,BO252,0,Strike2,AO252,CC252,0,BL252,IF(OptControl=3,1,0),0,1)-_xll.xCrudeAPO(BS252,BT252,CA252,CB252,S253,S254,BI252,BL252,BN252,BO252,0,Strike2,AO252,CC252,0,BL252,IF(OptControl=3,1,0),0,1),0)</f>
        <v>0</v>
      </c>
      <c r="CL252" s="51"/>
      <c r="CM252" s="779" t="str">
        <f t="shared" ca="1" si="650"/>
        <v/>
      </c>
      <c r="CN252" s="783" t="str">
        <f t="shared" ca="1" si="651"/>
        <v/>
      </c>
      <c r="CO252" s="780" t="str">
        <f t="shared" ca="1" si="652"/>
        <v/>
      </c>
      <c r="CP252" s="780" t="str">
        <f t="shared" ca="1" si="653"/>
        <v/>
      </c>
      <c r="CQ252" s="780" t="str">
        <f t="shared" ca="1" si="654"/>
        <v/>
      </c>
      <c r="CR252" s="780" t="str">
        <f t="shared" ca="1" si="655"/>
        <v/>
      </c>
      <c r="CS252" s="781" t="str">
        <f t="shared" ca="1" si="656"/>
        <v/>
      </c>
      <c r="CT252" s="782" t="str">
        <f t="shared" ca="1" si="657"/>
        <v/>
      </c>
      <c r="CU252" s="782" t="str">
        <f t="shared" ca="1" si="658"/>
        <v/>
      </c>
      <c r="CV252" s="155">
        <f ca="1">IF(BD252,_xll.EURO(CN252,Strike1,AO252,AO252,CT252,CM252,IF(OptControl=4,0,1),0),0)</f>
        <v>0</v>
      </c>
      <c r="CW252" s="155">
        <f ca="1">IF(BD252,_xll.EURO(CN252,Strike1,AO252,AO252,CT252,CM252,IF(OptControl=4,0,1),1)+IF(OR(VolSkewFlag=2,ABS(CO252)&lt;0.0001),0,IF(CO252&gt;0,-1,1)*CX252*100*Strike1/CN252^2*CQ252/10%),0)</f>
        <v>0</v>
      </c>
      <c r="CX252" s="155">
        <f ca="1">IF(BD252,_xll.EURO(CN252,Strike1,AO252,AO252,CT252,CM252,IF(OptControl=4,0,1),3)/100,0)</f>
        <v>0</v>
      </c>
      <c r="CY252" s="155">
        <f ca="1">IF(BD252,_xll.EURO(CN252,Strike1,AO252,AO252,CT252,CM252,IF(OptControl=4,0,1),0)-_xll.EURO(CN252,Strike1,AO252,AO252,CT252,CM252-1,IF(OptControl=4,0,1),0),0)</f>
        <v>0</v>
      </c>
      <c r="CZ252" s="155">
        <f ca="1">IF(BD252,_xll.EURO(CN252,Strike2,AO252,AO252,CU252,CM252,IF(OptControl=3,1,0),0),0)</f>
        <v>0</v>
      </c>
      <c r="DA252" s="155">
        <f ca="1">IF(BD252,_xll.EURO(CN252,Strike2,AO252,AO252,CU252,CM252,IF(OptControl=3,1,0),1)+IF(OR(VolSkewFlag=2,ABS(CP252)&lt;0.0001),0,IF(CP252&gt;0,-1,1)*DB252*100*Strike2/CN252^2*CR252/10%),0)</f>
        <v>0</v>
      </c>
      <c r="DB252" s="155">
        <f ca="1">IF(BD252,_xll.EURO(CN252,Strike2,AO252,AO252,CU252,CM252,IF(OptControl=3,1,0),3)/100,0)</f>
        <v>0</v>
      </c>
      <c r="DC252" s="156">
        <f ca="1">IF(BD252,_xll.EURO(CN252,Strike2,AO252,AO252,CU252,CM252,IF(OptControl=3,1,0),0)-_xll.EURO(CN252,Strike2,AO252,AO252,CU252,CM252-1,IF(OptControl=3,1,0),0),0)</f>
        <v>0</v>
      </c>
      <c r="DE252" s="651">
        <f t="shared" ca="1" si="659"/>
        <v>43983</v>
      </c>
      <c r="DF252" s="465">
        <v>1E-4</v>
      </c>
      <c r="DG252" s="649">
        <v>1E-4</v>
      </c>
      <c r="DH252" s="650">
        <f t="shared" ca="1" si="612"/>
        <v>43983</v>
      </c>
      <c r="DI252" s="465">
        <v>1E-4</v>
      </c>
      <c r="DJ252" s="649">
        <v>1E-4</v>
      </c>
      <c r="DK252" s="651">
        <f t="shared" ca="1" si="613"/>
        <v>43983</v>
      </c>
      <c r="DL252" s="652">
        <f t="shared" si="614"/>
        <v>5.0100000000000006E-2</v>
      </c>
      <c r="DM252" s="651">
        <f t="shared" ca="1" si="615"/>
        <v>43983</v>
      </c>
      <c r="DN252" s="563">
        <f t="shared" si="616"/>
        <v>-0.12990000000000002</v>
      </c>
      <c r="DO252" s="803">
        <v>-0.13</v>
      </c>
      <c r="DP252" s="650">
        <f t="shared" ca="1" si="617"/>
        <v>43983</v>
      </c>
      <c r="DQ252" s="653">
        <v>1E-4</v>
      </c>
      <c r="DR252" s="590">
        <v>1E-4</v>
      </c>
      <c r="DS252" s="650">
        <f t="shared" ca="1" si="618"/>
        <v>43983</v>
      </c>
      <c r="DT252" s="653">
        <v>1E-4</v>
      </c>
      <c r="DU252" s="590">
        <v>1E-4</v>
      </c>
      <c r="DV252" s="651">
        <f t="shared" ca="1" si="619"/>
        <v>43983</v>
      </c>
      <c r="DW252" s="590">
        <v>1E-4</v>
      </c>
      <c r="DX252" s="651">
        <f t="shared" ca="1" si="620"/>
        <v>43983</v>
      </c>
      <c r="DY252" s="590">
        <f t="shared" si="621"/>
        <v>1E-4</v>
      </c>
      <c r="DZ252" s="1"/>
      <c r="EA252" s="857"/>
      <c r="EB252" s="857"/>
      <c r="EC252" s="857"/>
      <c r="ED252" s="868" t="e">
        <f t="shared" ca="1" si="670"/>
        <v>#NAME?</v>
      </c>
      <c r="EE252" s="863" t="e">
        <f t="shared" ca="1" si="641"/>
        <v>#NAME?</v>
      </c>
      <c r="EF252" s="590" t="e">
        <f t="shared" ca="1" si="642"/>
        <v>#NAME?</v>
      </c>
      <c r="EG252" s="862" t="str">
        <f t="shared" ca="1" si="622"/>
        <v/>
      </c>
      <c r="EH252" s="114" t="str">
        <f t="shared" ca="1" si="643"/>
        <v/>
      </c>
      <c r="EI252" s="109" t="str">
        <f t="shared" ca="1" si="644"/>
        <v/>
      </c>
      <c r="EJ252" s="115">
        <f ca="1">IF(BD252,_xll.xASN(BP252,Strike1,AO252,EH252,0,BM252,0,BI252,BL252,IF(OptControl=4,0,1),0),0)</f>
        <v>0</v>
      </c>
      <c r="EK252" s="108">
        <f ca="1">IF(BD252,_xll.xASN(BP252,Strike2,AO252,EI252,0,BM252,0,BI252,BL252,IF(OptControl=3,1,0),0),0)</f>
        <v>0</v>
      </c>
      <c r="EP252" s="53"/>
      <c r="EQ252" s="1"/>
      <c r="ER252" s="103"/>
      <c r="ES252" s="103"/>
      <c r="ET252" s="1"/>
      <c r="EU252" s="667" t="s">
        <v>465</v>
      </c>
      <c r="EW252" s="53"/>
      <c r="EY252" s="104"/>
      <c r="FN252" s="657">
        <v>8</v>
      </c>
      <c r="FO252" s="469" t="str">
        <f ca="1">IF($FN252+FO$244&gt;73,"",PRODUCT(INDEX($T$19:$T$93,FO$244):INDEX($T$19:$T$93,FO$244+$FN252-1)))</f>
        <v/>
      </c>
      <c r="FP252" s="469" t="str">
        <f ca="1">IF($FN252+FP$244&gt;73,"",PRODUCT(INDEX($T$19:$T$93,FP$244):INDEX($T$19:$T$93,FP$244+$FN252-1)))</f>
        <v/>
      </c>
      <c r="FQ252" s="469" t="str">
        <f ca="1">IF($FN252+FQ$244&gt;73,"",PRODUCT(INDEX($T$19:$T$93,FQ$244):INDEX($T$19:$T$93,FQ$244+$FN252-1)))</f>
        <v/>
      </c>
      <c r="FR252" s="469" t="str">
        <f ca="1">IF($FN252+FR$244&gt;73,"",PRODUCT(INDEX($T$19:$T$93,FR$244):INDEX($T$19:$T$93,FR$244+$FN252-1)))</f>
        <v/>
      </c>
      <c r="FS252" s="469" t="str">
        <f ca="1">IF($FN252+FS$244&gt;73,"",PRODUCT(INDEX($T$19:$T$93,FS$244):INDEX($T$19:$T$93,FS$244+$FN252-1)))</f>
        <v/>
      </c>
      <c r="FT252" s="469" t="str">
        <f ca="1">IF($FN252+FT$244&gt;73,"",PRODUCT(INDEX($T$19:$T$93,FT$244):INDEX($T$19:$T$93,FT$244+$FN252-1)))</f>
        <v/>
      </c>
      <c r="FU252" s="469" t="str">
        <f ca="1">IF($FN252+FU$244&gt;73,"",PRODUCT(INDEX($T$19:$T$93,FU$244):INDEX($T$19:$T$93,FU$244+$FN252-1)))</f>
        <v/>
      </c>
      <c r="FV252" s="469">
        <f ca="1">IF($FN252+FV$244&gt;73,"",PRODUCT(INDEX($T$19:$T$93,FV$244):INDEX($T$19:$T$93,FV$244+$FN252-1)))</f>
        <v>0.99941770987703848</v>
      </c>
      <c r="FW252" s="469">
        <f ca="1">IF($FN252+FW$244&gt;73,"",PRODUCT(INDEX($T$19:$T$93,FW$244):INDEX($T$19:$T$93,FW$244+$FN252-1)))</f>
        <v>0.99935302629363876</v>
      </c>
      <c r="FX252" s="469">
        <f ca="1">IF($FN252+FX$244&gt;73,"",PRODUCT(INDEX($T$19:$T$93,FX$244):INDEX($T$19:$T$93,FX$244+$FN252-1)))</f>
        <v>0.99928115923042848</v>
      </c>
      <c r="FY252" s="469">
        <f ca="1">IF($FN252+FY$244&gt;73,"",PRODUCT(INDEX($T$19:$T$93,FY$244):INDEX($T$19:$T$93,FY$244+$FN252-1)))</f>
        <v>0.9992013113611109</v>
      </c>
      <c r="FZ252" s="469">
        <f ca="1">IF($FN252+FZ$244&gt;73,"",PRODUCT(INDEX($T$19:$T$93,FZ$244):INDEX($T$19:$T$93,FZ$244+$FN252-1)))</f>
        <v>0.99911259696323573</v>
      </c>
      <c r="GA252" s="469">
        <f ca="1">IF($FN252+GA$244&gt;73,"",PRODUCT(INDEX($T$19:$T$93,GA$244):INDEX($T$19:$T$93,GA$244+$FN252-1)))</f>
        <v>0.9990140321419877</v>
      </c>
      <c r="GB252" s="469">
        <f ca="1">IF($FN252+GB$244&gt;73,"",PRODUCT(INDEX($T$19:$T$93,GB$244):INDEX($T$19:$T$93,GB$244+$FN252-1)))</f>
        <v>0.99890452397831064</v>
      </c>
      <c r="GC252" s="469">
        <f ca="1">IF($FN252+GC$244&gt;73,"",PRODUCT(INDEX($T$19:$T$93,GC$244):INDEX($T$19:$T$93,GC$244+$FN252-1)))</f>
        <v>0.99878285848430681</v>
      </c>
      <c r="GD252" s="469">
        <f ca="1">IF($FN252+GD$244&gt;73,"",PRODUCT(INDEX($T$19:$T$93,GD$244):INDEX($T$19:$T$93,GD$244+$FN252-1)))</f>
        <v>0.99864768723638808</v>
      </c>
      <c r="GE252" s="469">
        <f ca="1">IF($FN252+GE$244&gt;73,"",PRODUCT(INDEX($T$19:$T$93,GE$244):INDEX($T$19:$T$93,GE$244+$FN252-1)))</f>
        <v>0.99849751254297048</v>
      </c>
      <c r="GF252" s="469">
        <f ca="1">IF($FN252+GF$244&gt;73,"",PRODUCT(INDEX($T$19:$T$93,GF$244):INDEX($T$19:$T$93,GF$244+$FN252-1)))</f>
        <v>0.99833067098842598</v>
      </c>
      <c r="GG252" s="469">
        <f ca="1">IF($FN252+GG$244&gt;73,"",PRODUCT(INDEX($T$19:$T$93,GG$244):INDEX($T$19:$T$93,GG$244+$FN252-1)))</f>
        <v>0.9981453151784655</v>
      </c>
      <c r="GH252" s="469">
        <f ca="1">IF($FN252+GH$244&gt;73,"",PRODUCT(INDEX($T$19:$T$93,GH$244):INDEX($T$19:$T$93,GH$244+$FN252-1)))</f>
        <v>0.99793939349397276</v>
      </c>
      <c r="GI252" s="469">
        <f ca="1">IF($FN252+GI$244&gt;73,"",PRODUCT(INDEX($T$19:$T$93,GI$244):INDEX($T$19:$T$93,GI$244+$FN252-1)))</f>
        <v>0.99771062764042173</v>
      </c>
      <c r="GJ252" s="469">
        <f ca="1">IF($FN252+GJ$244&gt;73,"",PRODUCT(INDEX($T$19:$T$93,GJ$244):INDEX($T$19:$T$93,GJ$244+$FN252-1)))</f>
        <v>0.99745648775827356</v>
      </c>
      <c r="GK252" s="469">
        <f ca="1">IF($FN252+GK$244&gt;73,"",PRODUCT(INDEX($T$19:$T$93,GK$244):INDEX($T$19:$T$93,GK$244+$FN252-1)))</f>
        <v>0.99717416483601173</v>
      </c>
      <c r="GL252" s="469">
        <f ca="1">IF($FN252+GL$244&gt;73,"",PRODUCT(INDEX($T$19:$T$93,GL$244):INDEX($T$19:$T$93,GL$244+$FN252-1)))</f>
        <v>0.9968605401416244</v>
      </c>
      <c r="GM252" s="469">
        <f ca="1">IF($FN252+GM$244&gt;73,"",PRODUCT(INDEX($T$19:$T$93,GM$244):INDEX($T$19:$T$93,GM$244+$FN252-1)))</f>
        <v>0.99651215136024907</v>
      </c>
      <c r="GN252" s="469">
        <f ca="1">IF($FN252+GN$244&gt;73,"",PRODUCT(INDEX($T$19:$T$93,GN$244):INDEX($T$19:$T$93,GN$244+$FN252-1)))</f>
        <v>0.9961251550952418</v>
      </c>
      <c r="GO252" s="469">
        <f ca="1">IF($FN252+GO$244&gt;73,"",PRODUCT(INDEX($T$19:$T$93,GO$244):INDEX($T$19:$T$93,GO$244+$FN252-1)))</f>
        <v>0.995695285357035</v>
      </c>
      <c r="GP252" s="469">
        <f ca="1">IF($FN252+GP$244&gt;73,"",PRODUCT(INDEX($T$19:$T$93,GP$244):INDEX($T$19:$T$93,GP$244+$FN252-1)))</f>
        <v>0.99521780762870093</v>
      </c>
      <c r="GQ252" s="469">
        <f ca="1">IF($FN252+GQ$244&gt;73,"",PRODUCT(INDEX($T$19:$T$93,GQ$244):INDEX($T$19:$T$93,GQ$244+$FN252-1)))</f>
        <v>0.99468746805912911</v>
      </c>
      <c r="GR252" s="469">
        <f ca="1">IF($FN252+GR$244&gt;73,"",PRODUCT(INDEX($T$19:$T$93,GR$244):INDEX($T$19:$T$93,GR$244+$FN252-1)))</f>
        <v>0.99409843729411274</v>
      </c>
      <c r="GS252" s="469">
        <f ca="1">IF($FN252+GS$244&gt;73,"",PRODUCT(INDEX($T$19:$T$93,GS$244):INDEX($T$19:$T$93,GS$244+$FN252-1)))</f>
        <v>0.99344424841249945</v>
      </c>
      <c r="GT252" s="469">
        <f ca="1">IF($FN252+GT$244&gt;73,"",PRODUCT(INDEX($T$19:$T$93,GT$244):INDEX($T$19:$T$93,GT$244+$FN252-1)))</f>
        <v>0.99271772838897732</v>
      </c>
      <c r="GU252" s="469">
        <f ca="1">IF($FN252+GU$244&gt;73,"",PRODUCT(INDEX($T$19:$T$93,GU$244):INDEX($T$19:$T$93,GU$244+$FN252-1)))</f>
        <v>0.9919109224572602</v>
      </c>
      <c r="GV252" s="469">
        <f ca="1">IF($FN252+GV$244&gt;73,"",PRODUCT(INDEX($T$19:$T$93,GV$244):INDEX($T$19:$T$93,GV$244+$FN252-1)))</f>
        <v>0.99101501069769526</v>
      </c>
      <c r="GW252" s="469">
        <f ca="1">IF($FN252+GW$244&gt;73,"",PRODUCT(INDEX($T$19:$T$93,GW$244):INDEX($T$19:$T$93,GW$244+$FN252-1)))</f>
        <v>0.99002021612205326</v>
      </c>
      <c r="GX252" s="469">
        <f ca="1">IF($FN252+GX$244&gt;73,"",PRODUCT(INDEX($T$19:$T$93,GX$244):INDEX($T$19:$T$93,GX$244+$FN252-1)))</f>
        <v>0.98891570347609703</v>
      </c>
      <c r="GY252" s="469">
        <f ca="1">IF($FN252+GY$244&gt;73,"",PRODUCT(INDEX($T$19:$T$93,GY$244):INDEX($T$19:$T$93,GY$244+$FN252-1)))</f>
        <v>0.98768946792816681</v>
      </c>
      <c r="GZ252" s="469">
        <f ca="1">IF($FN252+GZ$244&gt;73,"",PRODUCT(INDEX($T$19:$T$93,GZ$244):INDEX($T$19:$T$93,GZ$244+$FN252-1)))</f>
        <v>0.98632821276049343</v>
      </c>
      <c r="HA252" s="469">
        <f ca="1">IF($FN252+HA$244&gt;73,"",PRODUCT(INDEX($T$19:$T$93,HA$244):INDEX($T$19:$T$93,HA$244+$FN252-1)))</f>
        <v>0.98481721513043974</v>
      </c>
      <c r="HB252" s="469">
        <f ca="1">IF($FN252+HB$244&gt;73,"",PRODUCT(INDEX($T$19:$T$93,HB$244):INDEX($T$19:$T$93,HB$244+$FN252-1)))</f>
        <v>0.98314017892290695</v>
      </c>
      <c r="HC252" s="469">
        <f ca="1">IF($FN252+HC$244&gt;73,"",PRODUCT(INDEX($T$19:$T$93,HC$244):INDEX($T$19:$T$93,HC$244+$FN252-1)))</f>
        <v>0.98127907367456157</v>
      </c>
      <c r="HD252" s="469">
        <f ca="1">IF($FN252+HD$244&gt;73,"",PRODUCT(INDEX($T$19:$T$93,HD$244):INDEX($T$19:$T$93,HD$244+$FN252-1)))</f>
        <v>0.97921395851753379</v>
      </c>
      <c r="HE252" s="469">
        <f ca="1">IF($FN252+HE$244&gt;73,"",PRODUCT(INDEX($T$19:$T$93,HE$244):INDEX($T$19:$T$93,HE$244+$FN252-1)))</f>
        <v>0.97692279006744132</v>
      </c>
      <c r="HF252" s="469">
        <f ca="1">IF($FN252+HF$244&gt;73,"",PRODUCT(INDEX($T$19:$T$93,HF$244):INDEX($T$19:$T$93,HF$244+$FN252-1)))</f>
        <v>0.97438121317112547</v>
      </c>
      <c r="HG252" s="469">
        <f ca="1">IF($FN252+HG$244&gt;73,"",PRODUCT(INDEX($T$19:$T$93,HG$244):INDEX($T$19:$T$93,HG$244+$FN252-1)))</f>
        <v>0.97156233343695053</v>
      </c>
      <c r="HH252" s="469">
        <f ca="1">IF($FN252+HH$244&gt;73,"",PRODUCT(INDEX($T$19:$T$93,HH$244):INDEX($T$19:$T$93,HH$244+$FN252-1)))</f>
        <v>0.96843647049927284</v>
      </c>
      <c r="HI252" s="469">
        <f ca="1">IF($FN252+HI$244&gt;73,"",PRODUCT(INDEX($T$19:$T$93,HI$244):INDEX($T$19:$T$93,HI$244+$FN252-1)))</f>
        <v>0.96497089102379041</v>
      </c>
      <c r="HJ252" s="469">
        <f ca="1">IF($FN252+HJ$244&gt;73,"",PRODUCT(INDEX($T$19:$T$93,HJ$244):INDEX($T$19:$T$93,HJ$244+$FN252-1)))</f>
        <v>0.96112952054815204</v>
      </c>
      <c r="HK252" s="469">
        <f ca="1">IF($FN252+HK$244&gt;73,"",PRODUCT(INDEX($T$19:$T$93,HK$244):INDEX($T$19:$T$93,HK$244+$FN252-1)))</f>
        <v>0.95687263338007755</v>
      </c>
      <c r="HL252" s="469">
        <f ca="1">IF($FN252+HL$244&gt;73,"",PRODUCT(INDEX($T$19:$T$93,HL$244):INDEX($T$19:$T$93,HL$244+$FN252-1)))</f>
        <v>0.95215651995320671</v>
      </c>
      <c r="HM252" s="469">
        <f ca="1">IF($FN252+HM$244&gt;73,"",PRODUCT(INDEX($T$19:$T$93,HM$244):INDEX($T$19:$T$93,HM$244+$FN252-1)))</f>
        <v>0.94693313128222167</v>
      </c>
      <c r="HN252" s="469">
        <f ca="1">IF($FN252+HN$244&gt;73,"",PRODUCT(INDEX($T$19:$T$93,HN$244):INDEX($T$19:$T$93,HN$244+$FN252-1)))</f>
        <v>0.94114970048209201</v>
      </c>
      <c r="HO252" s="469">
        <f ca="1">IF($FN252+HO$244&gt;73,"",PRODUCT(INDEX($T$19:$T$93,HO$244):INDEX($T$19:$T$93,HO$244+$FN252-1)))</f>
        <v>0.93474834174870181</v>
      </c>
      <c r="HP252" s="469">
        <f ca="1">IF($FN252+HP$244&gt;73,"",PRODUCT(INDEX($T$19:$T$93,HP$244):INDEX($T$19:$T$93,HP$244+$FN252-1)))</f>
        <v>0.92766562778036543</v>
      </c>
      <c r="HQ252" s="469">
        <f ca="1">IF($FN252+HQ$244&gt;73,"",PRODUCT(INDEX($T$19:$T$93,HQ$244):INDEX($T$19:$T$93,HQ$244+$FN252-1)))</f>
        <v>0.91983214741403174</v>
      </c>
      <c r="HR252" s="469">
        <f ca="1">IF($FN252+HR$244&gt;73,"",PRODUCT(INDEX($T$19:$T$93,HR$244):INDEX($T$19:$T$93,HR$244+$FN252-1)))</f>
        <v>0.91117204635246907</v>
      </c>
      <c r="HS252" s="469">
        <f ca="1">IF($FN252+HS$244&gt;73,"",PRODUCT(INDEX($T$19:$T$93,HS$244):INDEX($T$19:$T$93,HS$244+$FN252-1)))</f>
        <v>0.90160255541825729</v>
      </c>
      <c r="HT252" s="469">
        <f ca="1">IF($FN252+HT$244&gt;73,"",PRODUCT(INDEX($T$19:$T$93,HT$244):INDEX($T$19:$T$93,HT$244+$FN252-1)))</f>
        <v>0.89103351301705225</v>
      </c>
      <c r="HU252" s="469">
        <f ca="1">IF($FN252+HU$244&gt;73,"",PRODUCT(INDEX($T$19:$T$93,HU$244):INDEX($T$19:$T$93,HU$244+$FN252-1)))</f>
        <v>0.87936689177967753</v>
      </c>
      <c r="HV252" s="469">
        <f ca="1">IF($FN252+HV$244&gt;73,"",PRODUCT(INDEX($T$19:$T$93,HV$244):INDEX($T$19:$T$93,HV$244+$FN252-1)))</f>
        <v>0.86649634421850619</v>
      </c>
      <c r="HW252" s="469">
        <f ca="1">IF($FN252+HW$244&gt;73,"",PRODUCT(INDEX($T$19:$T$93,HW$244):INDEX($T$19:$T$93,HW$244+$FN252-1)))</f>
        <v>0.85230678948970573</v>
      </c>
      <c r="HX252" s="469">
        <f ca="1">IF($FN252+HX$244&gt;73,"",PRODUCT(INDEX($T$19:$T$93,HX$244):INDEX($T$19:$T$93,HX$244+$FN252-1)))</f>
        <v>0.83667407420767925</v>
      </c>
      <c r="HY252" s="469">
        <f ca="1">IF($FN252+HY$244&gt;73,"",PRODUCT(INDEX($T$19:$T$93,HY$244):INDEX($T$19:$T$93,HY$244+$FN252-1)))</f>
        <v>0.819464756485632</v>
      </c>
      <c r="HZ252" s="469">
        <f ca="1">IF($FN252+HZ$244&gt;73,"",PRODUCT(INDEX($T$19:$T$93,HZ$244):INDEX($T$19:$T$93,HZ$244+$FN252-1)))</f>
        <v>0.80053608653902664</v>
      </c>
      <c r="IA252" s="469">
        <f ca="1">IF($FN252+IA$244&gt;73,"",PRODUCT(INDEX($T$19:$T$93,IA$244):INDEX($T$19:$T$93,IA$244+$FN252-1)))</f>
        <v>0.77973629291473778</v>
      </c>
      <c r="IB252" s="469">
        <f ca="1">IF($FN252+IB$244&gt;73,"",PRODUCT(INDEX($T$19:$T$93,IB$244):INDEX($T$19:$T$93,IB$244+$FN252-1)))</f>
        <v>0.75690533570847662</v>
      </c>
      <c r="IC252" s="469">
        <f ca="1">IF($FN252+IC$244&gt;73,"",PRODUCT(INDEX($T$19:$T$93,IC$244):INDEX($T$19:$T$93,IC$244+$FN252-1)))</f>
        <v>0.73187636370274445</v>
      </c>
      <c r="ID252" s="469">
        <f ca="1">IF($FN252+ID$244&gt;73,"",PRODUCT(INDEX($T$19:$T$93,ID$244):INDEX($T$19:$T$93,ID$244+$FN252-1)))</f>
        <v>0.7044782197381726</v>
      </c>
      <c r="IE252" s="469">
        <f ca="1">IF($FN252+IE$244&gt;73,"",PRODUCT(INDEX($T$19:$T$93,IE$244):INDEX($T$19:$T$93,IE$244+$FN252-1)))</f>
        <v>0.67453948794783802</v>
      </c>
      <c r="IF252" s="469">
        <f ca="1">IF($FN252+IF$244&gt;73,"",PRODUCT(INDEX($T$19:$T$93,IF$244):INDEX($T$19:$T$93,IF$244+$FN252-1)))</f>
        <v>0.64189477822663632</v>
      </c>
      <c r="IG252" s="469">
        <f ca="1">IF($FN252+IG$244&gt;73,"",PRODUCT(INDEX($T$19:$T$93,IG$244):INDEX($T$19:$T$93,IG$244+$FN252-1)))</f>
        <v>0.60639420515581899</v>
      </c>
      <c r="IH252" s="662">
        <f ca="1">IF($FN252+IH$244&gt;73,"",PRODUCT(INDEX($T$19:$T$93,IH$244):INDEX($T$19:$T$93,IH$244+$FN252-1)))</f>
        <v>0.56791733855888626</v>
      </c>
      <c r="II252" s="242"/>
    </row>
    <row r="253" spans="8:243">
      <c r="H253" s="49" t="e">
        <f t="shared" ca="1" si="645"/>
        <v>#N/A</v>
      </c>
      <c r="I253" s="369">
        <f t="shared" si="646"/>
        <v>44105</v>
      </c>
      <c r="J253" s="367">
        <v>25.209999999999798</v>
      </c>
      <c r="K253" s="101" t="s">
        <v>267</v>
      </c>
      <c r="L253" s="382">
        <f t="shared" si="647"/>
        <v>25.209999999999798</v>
      </c>
      <c r="M253" s="163">
        <v>0.1211</v>
      </c>
      <c r="N253" s="372">
        <v>0</v>
      </c>
      <c r="O253" s="163">
        <f t="shared" si="595"/>
        <v>0.1211</v>
      </c>
      <c r="P253" s="367">
        <v>23.805792335714401</v>
      </c>
      <c r="Q253" s="101" t="s">
        <v>267</v>
      </c>
      <c r="R253" s="367">
        <f t="shared" ca="1" si="596"/>
        <v>23.805792335714401</v>
      </c>
      <c r="S253" s="814">
        <f t="shared" si="594"/>
        <v>0.34485663148450263</v>
      </c>
      <c r="T253" s="813">
        <f t="shared" si="660"/>
        <v>0.99999999999829803</v>
      </c>
      <c r="U253" s="532">
        <f t="shared" si="661"/>
        <v>0.99999999999999978</v>
      </c>
      <c r="V253" s="379">
        <v>0</v>
      </c>
      <c r="W253" s="424">
        <f t="shared" si="597"/>
        <v>25.244090909090708</v>
      </c>
      <c r="X253" s="405">
        <f t="shared" si="598"/>
        <v>25.244090909090708</v>
      </c>
      <c r="Y253" s="313">
        <f t="shared" si="599"/>
        <v>24.00249090909071</v>
      </c>
      <c r="Z253" s="313">
        <f t="shared" ca="1" si="600"/>
        <v>24.00249090909071</v>
      </c>
      <c r="AA253" s="419">
        <f t="shared" si="623"/>
        <v>1.2416</v>
      </c>
      <c r="AB253" s="423">
        <f t="shared" ca="1" si="624"/>
        <v>1.2416</v>
      </c>
      <c r="AC253" s="221">
        <v>44094</v>
      </c>
      <c r="AD253" s="221">
        <v>44090</v>
      </c>
      <c r="AE253" s="221">
        <v>44089</v>
      </c>
      <c r="AF253" s="221">
        <v>44085</v>
      </c>
      <c r="AG253" s="241" t="s">
        <v>497</v>
      </c>
      <c r="AH253" s="239" t="s">
        <v>497</v>
      </c>
      <c r="AI253" s="141">
        <v>22</v>
      </c>
      <c r="AJ253" s="41">
        <v>14</v>
      </c>
      <c r="AK253" s="41">
        <v>8</v>
      </c>
      <c r="AL253" s="285">
        <v>22</v>
      </c>
      <c r="AM253" s="41">
        <v>10</v>
      </c>
      <c r="AN253" s="142">
        <v>12</v>
      </c>
      <c r="AO253" s="364">
        <v>6.4351152727326999E-2</v>
      </c>
      <c r="AP253" s="145">
        <f t="shared" ca="1" si="648"/>
        <v>0.28967201504279627</v>
      </c>
      <c r="AQ253" s="364">
        <v>5.9987814706299304E-2</v>
      </c>
      <c r="AR253" s="145">
        <f t="shared" ca="1" si="662"/>
        <v>0.31697200878795939</v>
      </c>
      <c r="AS253" s="264">
        <f t="shared" si="601"/>
        <v>0.1211</v>
      </c>
      <c r="AT253" s="149">
        <f t="shared" si="649"/>
        <v>0.1211</v>
      </c>
      <c r="AU253" s="149">
        <f t="shared" si="625"/>
        <v>0.1211</v>
      </c>
      <c r="AV253" s="263">
        <f t="shared" ca="1" si="669"/>
        <v>0.11919727387730637</v>
      </c>
      <c r="AW253" s="150" t="str">
        <f t="shared" ca="1" si="671"/>
        <v/>
      </c>
      <c r="AX253" s="149">
        <f t="shared" ca="1" si="663"/>
        <v>2.4194470616214557E-3</v>
      </c>
      <c r="AY253" s="149">
        <f t="shared" ca="1" si="664"/>
        <v>6.8429103901484383E-4</v>
      </c>
      <c r="AZ253" s="149">
        <f t="shared" ca="1" si="665"/>
        <v>9.6227564151440384E-4</v>
      </c>
      <c r="BA253" s="149">
        <f t="shared" ca="1" si="666"/>
        <v>1.0000000000001303E-4</v>
      </c>
      <c r="BB253" s="149">
        <f t="shared" ca="1" si="667"/>
        <v>1.0000000000001303E-4</v>
      </c>
      <c r="BC253" s="149">
        <f t="shared" ca="1" si="668"/>
        <v>1.0000000000001303E-4</v>
      </c>
      <c r="BD253" s="143">
        <f t="shared" ca="1" si="602"/>
        <v>0</v>
      </c>
      <c r="BE253" s="144">
        <f t="shared" ca="1" si="603"/>
        <v>0</v>
      </c>
      <c r="BF253" s="40">
        <f t="shared" si="604"/>
        <v>2020</v>
      </c>
      <c r="BG253" s="139">
        <f t="shared" si="605"/>
        <v>10</v>
      </c>
      <c r="BH253" s="140">
        <f t="shared" ca="1" si="606"/>
        <v>7100</v>
      </c>
      <c r="BI253" s="304">
        <f t="shared" ca="1" si="607"/>
        <v>19.479808350444902</v>
      </c>
      <c r="BJ253" s="42">
        <f t="shared" ca="1" si="626"/>
        <v>19.532076410926514</v>
      </c>
      <c r="BK253" s="42">
        <f t="shared" ca="1" si="627"/>
        <v>19.534814261713645</v>
      </c>
      <c r="BL253" s="42">
        <f t="shared" ca="1" si="608"/>
        <v>19.561943874058862</v>
      </c>
      <c r="BM253" s="285">
        <f t="shared" si="609"/>
        <v>22</v>
      </c>
      <c r="BN253" s="41">
        <f t="shared" si="610"/>
        <v>14</v>
      </c>
      <c r="BO253" s="41">
        <f t="shared" si="611"/>
        <v>8</v>
      </c>
      <c r="BP253" s="297" t="str">
        <f t="shared" ca="1" si="628"/>
        <v/>
      </c>
      <c r="BQ253" s="297" t="str">
        <f t="shared" ca="1" si="629"/>
        <v/>
      </c>
      <c r="BR253" s="299" t="str">
        <f t="shared" ca="1" si="630"/>
        <v/>
      </c>
      <c r="BS253" s="153" t="str">
        <f t="shared" ca="1" si="631"/>
        <v/>
      </c>
      <c r="BT253" s="153" t="str">
        <f t="shared" ca="1" si="632"/>
        <v/>
      </c>
      <c r="BU253" s="300" t="str">
        <f t="shared" ca="1" si="633"/>
        <v/>
      </c>
      <c r="BV253" s="301" t="str">
        <f t="shared" ca="1" si="634"/>
        <v/>
      </c>
      <c r="BW253" s="300" t="str">
        <f t="shared" ca="1" si="635"/>
        <v/>
      </c>
      <c r="BX253" s="301" t="str">
        <f t="shared" ca="1" si="636"/>
        <v/>
      </c>
      <c r="BY253" s="146" t="str">
        <f t="shared" ca="1" si="637"/>
        <v/>
      </c>
      <c r="BZ253" s="146" t="str">
        <f t="shared" ca="1" si="638"/>
        <v/>
      </c>
      <c r="CA253" s="146" t="str">
        <f t="shared" ca="1" si="639"/>
        <v/>
      </c>
      <c r="CB253" s="146" t="str">
        <f t="shared" ca="1" si="640"/>
        <v/>
      </c>
      <c r="CC253" s="302">
        <v>1</v>
      </c>
      <c r="CD253" s="154">
        <f ca="1">IF(BD253,_xll.xCrudeAPO(BS253,BT253,BY253,BZ253,S254,S255,BI253,BL253,BN253,BO253,0,Strike1,AO253,CC253,0,BL253,IF(OptControl=4,0,1),0,1),0)</f>
        <v>0</v>
      </c>
      <c r="CE253" s="155">
        <f ca="1">IF(BD253,_xll.xCrudeAPO(BS253,BT253,BY253,BZ253,S254,S255,BI253,BL253,BN253,BO253,0,Strike1,AO253,CC253,0,BL253,IF(OptControl=4,0,1),1,1)+_xll.xCrudeAPO(BS253,BT253,BY253,BZ253,S254,S255,BI253,BL253,BN253,BO253,0,Strike1,AO253,CC253,0,BL253,IF(OptControl=4,0,1),1,2)+IF(OR(VolSkewFlag=2,ABS(BQ253)&lt;0.0001),0,IF(BQ253&gt;0,-1,1)*CF253*Strike1/BP253^2*BW253/10%),0)</f>
        <v>0</v>
      </c>
      <c r="CF253" s="155">
        <f ca="1">IF(BD253,(_xll.xCrudeAPO(BS253,BT253,BY253,BZ253,S254,S255,BI253,BL253,BN253,BO253,0,Strike1,AO253,CC253,0,BL253,IF(OptControl=4,0,1),3,1)+_xll.xCrudeAPO(BS253,BT253,BY253,BZ253,S254,S255,BI253,BL253,BN253,BO253,0,Strike1,AO253,CC253,0,BL253,IF(OptControl=4,0,1),3,2))/100,0)</f>
        <v>0</v>
      </c>
      <c r="CG253" s="155">
        <f ca="1">IF(BD253,_xll.xCrudeAPO(BS253,BT253,BY253,BZ253,S254,S255,BI253-DaysForThetaCalculation/365.25,BL253-DaysForThetaCalculation/365.25,BN253,BO253,0,Strike1,AO253,CC253,0,BL253,IF(OptControl=4,0,1),0,1)-_xll.xCrudeAPO(BS253,BT253,BY253,BZ253,S254,S255,BI253,BL253,BN253,BO253,0,Strike1,AO253,CC253,0,BL253,IF(OptControl=4,0,1),0,1),0)</f>
        <v>0</v>
      </c>
      <c r="CH253" s="303">
        <f ca="1">IF(BD253,_xll.xCrudeAPO(BS253,BT253,CA253,CB253,S254,S255,BI253,BL253,BN253,BO253,0,Strike2,AO253,CC253,0,BL253,IF(OptControl=3,1,0),0,1),0)</f>
        <v>0</v>
      </c>
      <c r="CI253" s="155">
        <f ca="1">IF(BD253,_xll.xCrudeAPO(BS253,BT253,CA253,CB253,S254,S255,BI253,BL253,BN253,BO253,0,Strike2,AO253,CC253,0,BL253,IF(OptControl=3,1,0),1,1)+_xll.xCrudeAPO(BS253,BT253,CA253,CB253,S254,S255,BI253,BL253,BN253,BO253,0,Strike2,AO253,CC253,0,BL253,IF(OptControl=3,1,0),1,2)+IF(OR(VolSkewFlag=2,ABS(BR253)&lt;0.0001),0,IF(BR253&gt;0,-1,1)*CJ253*Strike2/BP253^2*BX253/10%),0)</f>
        <v>0</v>
      </c>
      <c r="CJ253" s="155">
        <f ca="1">IF(BD253,(_xll.xCrudeAPO(BS253,BT253,CA253,CB253,S254,S255,BI253,BL253,BN253,BO253,0,Strike2,AO253,CC253,0,BL253,IF(OptControl=3,1,0),3,1)+_xll.xCrudeAPO(BS253,BT253,CA253,CB253,S254,S255,BI253,BL253,BN253,BO253,0,Strike2,AO253,CC253,0,BL253,IF(OptControl=3,1,0),3,2))/100,0)</f>
        <v>0</v>
      </c>
      <c r="CK253" s="156">
        <f ca="1">IF(BD253,_xll.xCrudeAPO(BS253,BT253,CA253,CB253,S254,S255,BI253-DaysForThetaCalculation/365.25,BL253-DaysForThetaCalculation/365.25,BN253,BO253,0,Strike2,AO253,CC253,0,BL253,IF(OptControl=3,1,0),0,1)-_xll.xCrudeAPO(BS253,BT253,CA253,CB253,S254,S255,BI253,BL253,BN253,BO253,0,Strike2,AO253,CC253,0,BL253,IF(OptControl=3,1,0),0,1),0)</f>
        <v>0</v>
      </c>
      <c r="CL253" s="51"/>
      <c r="CM253" s="779" t="str">
        <f t="shared" ca="1" si="650"/>
        <v/>
      </c>
      <c r="CN253" s="783" t="str">
        <f t="shared" ca="1" si="651"/>
        <v/>
      </c>
      <c r="CO253" s="780" t="str">
        <f t="shared" ca="1" si="652"/>
        <v/>
      </c>
      <c r="CP253" s="780" t="str">
        <f t="shared" ca="1" si="653"/>
        <v/>
      </c>
      <c r="CQ253" s="780" t="str">
        <f t="shared" ca="1" si="654"/>
        <v/>
      </c>
      <c r="CR253" s="780" t="str">
        <f t="shared" ca="1" si="655"/>
        <v/>
      </c>
      <c r="CS253" s="781" t="str">
        <f t="shared" ca="1" si="656"/>
        <v/>
      </c>
      <c r="CT253" s="782" t="str">
        <f t="shared" ca="1" si="657"/>
        <v/>
      </c>
      <c r="CU253" s="782" t="str">
        <f t="shared" ca="1" si="658"/>
        <v/>
      </c>
      <c r="CV253" s="155">
        <f ca="1">IF(BD253,_xll.EURO(CN253,Strike1,AO253,AO253,CT253,CM253,IF(OptControl=4,0,1),0),0)</f>
        <v>0</v>
      </c>
      <c r="CW253" s="155">
        <f ca="1">IF(BD253,_xll.EURO(CN253,Strike1,AO253,AO253,CT253,CM253,IF(OptControl=4,0,1),1)+IF(OR(VolSkewFlag=2,ABS(CO253)&lt;0.0001),0,IF(CO253&gt;0,-1,1)*CX253*100*Strike1/CN253^2*CQ253/10%),0)</f>
        <v>0</v>
      </c>
      <c r="CX253" s="155">
        <f ca="1">IF(BD253,_xll.EURO(CN253,Strike1,AO253,AO253,CT253,CM253,IF(OptControl=4,0,1),3)/100,0)</f>
        <v>0</v>
      </c>
      <c r="CY253" s="155">
        <f ca="1">IF(BD253,_xll.EURO(CN253,Strike1,AO253,AO253,CT253,CM253,IF(OptControl=4,0,1),0)-_xll.EURO(CN253,Strike1,AO253,AO253,CT253,CM253-1,IF(OptControl=4,0,1),0),0)</f>
        <v>0</v>
      </c>
      <c r="CZ253" s="155">
        <f ca="1">IF(BD253,_xll.EURO(CN253,Strike2,AO253,AO253,CU253,CM253,IF(OptControl=3,1,0),0),0)</f>
        <v>0</v>
      </c>
      <c r="DA253" s="155">
        <f ca="1">IF(BD253,_xll.EURO(CN253,Strike2,AO253,AO253,CU253,CM253,IF(OptControl=3,1,0),1)+IF(OR(VolSkewFlag=2,ABS(CP253)&lt;0.0001),0,IF(CP253&gt;0,-1,1)*DB253*100*Strike2/CN253^2*CR253/10%),0)</f>
        <v>0</v>
      </c>
      <c r="DB253" s="155">
        <f ca="1">IF(BD253,_xll.EURO(CN253,Strike2,AO253,AO253,CU253,CM253,IF(OptControl=3,1,0),3)/100,0)</f>
        <v>0</v>
      </c>
      <c r="DC253" s="156">
        <f ca="1">IF(BD253,_xll.EURO(CN253,Strike2,AO253,AO253,CU253,CM253,IF(OptControl=3,1,0),0)-_xll.EURO(CN253,Strike2,AO253,AO253,CU253,CM253-1,IF(OptControl=3,1,0),0),0)</f>
        <v>0</v>
      </c>
      <c r="DE253" s="651">
        <f t="shared" ca="1" si="659"/>
        <v>44013</v>
      </c>
      <c r="DF253" s="465">
        <v>1E-4</v>
      </c>
      <c r="DG253" s="649">
        <v>1E-4</v>
      </c>
      <c r="DH253" s="650">
        <f t="shared" ca="1" si="612"/>
        <v>44013</v>
      </c>
      <c r="DI253" s="465">
        <v>1E-4</v>
      </c>
      <c r="DJ253" s="649">
        <v>1E-4</v>
      </c>
      <c r="DK253" s="651">
        <f t="shared" ca="1" si="613"/>
        <v>44013</v>
      </c>
      <c r="DL253" s="652">
        <f t="shared" si="614"/>
        <v>5.0100000000000006E-2</v>
      </c>
      <c r="DM253" s="651">
        <f t="shared" ca="1" si="615"/>
        <v>44013</v>
      </c>
      <c r="DN253" s="563">
        <f t="shared" si="616"/>
        <v>-0.12990000000000002</v>
      </c>
      <c r="DO253" s="803">
        <v>-0.13</v>
      </c>
      <c r="DP253" s="650">
        <f t="shared" ca="1" si="617"/>
        <v>44013</v>
      </c>
      <c r="DQ253" s="653">
        <v>1E-4</v>
      </c>
      <c r="DR253" s="590">
        <v>1E-4</v>
      </c>
      <c r="DS253" s="650">
        <f t="shared" ca="1" si="618"/>
        <v>44013</v>
      </c>
      <c r="DT253" s="653">
        <v>1E-4</v>
      </c>
      <c r="DU253" s="590">
        <v>1E-4</v>
      </c>
      <c r="DV253" s="651">
        <f t="shared" ca="1" si="619"/>
        <v>44013</v>
      </c>
      <c r="DW253" s="590">
        <v>1E-4</v>
      </c>
      <c r="DX253" s="651">
        <f t="shared" ca="1" si="620"/>
        <v>44013</v>
      </c>
      <c r="DY253" s="590">
        <f t="shared" si="621"/>
        <v>1E-4</v>
      </c>
      <c r="DZ253" s="1"/>
      <c r="EA253" s="857"/>
      <c r="EB253" s="857"/>
      <c r="EC253" s="857"/>
      <c r="ED253" s="868" t="e">
        <f t="shared" ca="1" si="670"/>
        <v>#NAME?</v>
      </c>
      <c r="EE253" s="863" t="e">
        <f t="shared" ca="1" si="641"/>
        <v>#NAME?</v>
      </c>
      <c r="EF253" s="590" t="e">
        <f t="shared" ca="1" si="642"/>
        <v>#NAME?</v>
      </c>
      <c r="EG253" s="862" t="str">
        <f t="shared" ca="1" si="622"/>
        <v/>
      </c>
      <c r="EH253" s="114" t="str">
        <f t="shared" ca="1" si="643"/>
        <v/>
      </c>
      <c r="EI253" s="109" t="str">
        <f t="shared" ca="1" si="644"/>
        <v/>
      </c>
      <c r="EJ253" s="115">
        <f ca="1">IF(BD253,_xll.xASN(BP253,Strike1,AO253,EH253,0,BM253,0,BI253,BL253,IF(OptControl=4,0,1),0),0)</f>
        <v>0</v>
      </c>
      <c r="EK253" s="108">
        <f ca="1">IF(BD253,_xll.xASN(BP253,Strike2,AO253,EI253,0,BM253,0,BI253,BL253,IF(OptControl=3,1,0),0),0)</f>
        <v>0</v>
      </c>
      <c r="EP253" s="53"/>
      <c r="EQ253" s="1"/>
      <c r="ER253" s="103"/>
      <c r="ES253" s="103"/>
      <c r="ET253" s="1"/>
      <c r="EU253" s="667" t="s">
        <v>466</v>
      </c>
      <c r="EW253" s="53"/>
      <c r="EY253" s="104"/>
      <c r="FN253" s="657">
        <v>9</v>
      </c>
      <c r="FO253" s="469" t="str">
        <f ca="1">IF($FN253+FO$244&gt;73,"",PRODUCT(INDEX($T$19:$T$93,FO$244):INDEX($T$19:$T$93,FO$244+$FN253-1)))</f>
        <v/>
      </c>
      <c r="FP253" s="469" t="str">
        <f ca="1">IF($FN253+FP$244&gt;73,"",PRODUCT(INDEX($T$19:$T$93,FP$244):INDEX($T$19:$T$93,FP$244+$FN253-1)))</f>
        <v/>
      </c>
      <c r="FQ253" s="469" t="str">
        <f ca="1">IF($FN253+FQ$244&gt;73,"",PRODUCT(INDEX($T$19:$T$93,FQ$244):INDEX($T$19:$T$93,FQ$244+$FN253-1)))</f>
        <v/>
      </c>
      <c r="FR253" s="469" t="str">
        <f ca="1">IF($FN253+FR$244&gt;73,"",PRODUCT(INDEX($T$19:$T$93,FR$244):INDEX($T$19:$T$93,FR$244+$FN253-1)))</f>
        <v/>
      </c>
      <c r="FS253" s="469" t="str">
        <f ca="1">IF($FN253+FS$244&gt;73,"",PRODUCT(INDEX($T$19:$T$93,FS$244):INDEX($T$19:$T$93,FS$244+$FN253-1)))</f>
        <v/>
      </c>
      <c r="FT253" s="469" t="str">
        <f ca="1">IF($FN253+FT$244&gt;73,"",PRODUCT(INDEX($T$19:$T$93,FT$244):INDEX($T$19:$T$93,FT$244+$FN253-1)))</f>
        <v/>
      </c>
      <c r="FU253" s="469" t="str">
        <f ca="1">IF($FN253+FU$244&gt;73,"",PRODUCT(INDEX($T$19:$T$93,FU$244):INDEX($T$19:$T$93,FU$244+$FN253-1)))</f>
        <v/>
      </c>
      <c r="FV253" s="469" t="str">
        <f ca="1">IF($FN253+FV$244&gt;73,"",PRODUCT(INDEX($T$19:$T$93,FV$244):INDEX($T$19:$T$93,FV$244+$FN253-1)))</f>
        <v/>
      </c>
      <c r="FW253" s="469">
        <f ca="1">IF($FN253+FW$244&gt;73,"",PRODUCT(INDEX($T$19:$T$93,FW$244):INDEX($T$19:$T$93,FW$244+$FN253-1)))</f>
        <v>0.99930414522485844</v>
      </c>
      <c r="FX253" s="469">
        <f ca="1">IF($FN253+FX$244&gt;73,"",PRODUCT(INDEX($T$19:$T$93,FX$244):INDEX($T$19:$T$93,FX$244+$FN253-1)))</f>
        <v>0.99922685068700112</v>
      </c>
      <c r="FY253" s="469">
        <f ca="1">IF($FN253+FY$244&gt;73,"",PRODUCT(INDEX($T$19:$T$93,FY$244):INDEX($T$19:$T$93,FY$244+$FN253-1)))</f>
        <v>0.99914097317061512</v>
      </c>
      <c r="FZ253" s="469">
        <f ca="1">IF($FN253+FZ$244&gt;73,"",PRODUCT(INDEX($T$19:$T$93,FZ$244):INDEX($T$19:$T$93,FZ$244+$FN253-1)))</f>
        <v>0.99904556025150981</v>
      </c>
      <c r="GA253" s="469">
        <f ca="1">IF($FN253+GA$244&gt;73,"",PRODUCT(INDEX($T$19:$T$93,GA$244):INDEX($T$19:$T$93,GA$244+$FN253-1)))</f>
        <v>0.99893955397015211</v>
      </c>
      <c r="GB253" s="469">
        <f ca="1">IF($FN253+GB$244&gt;73,"",PRODUCT(INDEX($T$19:$T$93,GB$244):INDEX($T$19:$T$93,GB$244+$FN253-1)))</f>
        <v>0.99882177917299508</v>
      </c>
      <c r="GC253" s="469">
        <f ca="1">IF($FN253+GC$244&gt;73,"",PRODUCT(INDEX($T$19:$T$93,GC$244):INDEX($T$19:$T$93,GC$244+$FN253-1)))</f>
        <v>0.99869093057408265</v>
      </c>
      <c r="GD253" s="469">
        <f ca="1">IF($FN253+GD$244&gt;73,"",PRODUCT(INDEX($T$19:$T$93,GD$244):INDEX($T$19:$T$93,GD$244+$FN253-1)))</f>
        <v>0.99854555839835946</v>
      </c>
      <c r="GE253" s="469">
        <f ca="1">IF($FN253+GE$244&gt;73,"",PRODUCT(INDEX($T$19:$T$93,GE$244):INDEX($T$19:$T$93,GE$244+$FN253-1)))</f>
        <v>0.99838405245356632</v>
      </c>
      <c r="GF253" s="469">
        <f ca="1">IF($FN253+GF$244&gt;73,"",PRODUCT(INDEX($T$19:$T$93,GF$244):INDEX($T$19:$T$93,GF$244+$FN253-1)))</f>
        <v>0.99820462446160063</v>
      </c>
      <c r="GG253" s="469">
        <f ca="1">IF($FN253+GG$244&gt;73,"",PRODUCT(INDEX($T$19:$T$93,GG$244):INDEX($T$19:$T$93,GG$244+$FN253-1)))</f>
        <v>0.9980052884626972</v>
      </c>
      <c r="GH253" s="469">
        <f ca="1">IF($FN253+GH$244&gt;73,"",PRODUCT(INDEX($T$19:$T$93,GH$244):INDEX($T$19:$T$93,GH$244+$FN253-1)))</f>
        <v>0.99778383908658363</v>
      </c>
      <c r="GI253" s="469">
        <f ca="1">IF($FN253+GI$244&gt;73,"",PRODUCT(INDEX($T$19:$T$93,GI$244):INDEX($T$19:$T$93,GI$244+$FN253-1)))</f>
        <v>0.99753782746378195</v>
      </c>
      <c r="GJ253" s="469">
        <f ca="1">IF($FN253+GJ$244&gt;73,"",PRODUCT(INDEX($T$19:$T$93,GJ$244):INDEX($T$19:$T$93,GJ$244+$FN253-1)))</f>
        <v>0.99726453452734531</v>
      </c>
      <c r="GK253" s="469">
        <f ca="1">IF($FN253+GK$244&gt;73,"",PRODUCT(INDEX($T$19:$T$93,GK$244):INDEX($T$19:$T$93,GK$244+$FN253-1)))</f>
        <v>0.99696094143040803</v>
      </c>
      <c r="GL253" s="469">
        <f ca="1">IF($FN253+GL$244&gt;73,"",PRODUCT(INDEX($T$19:$T$93,GL$244):INDEX($T$19:$T$93,GL$244+$FN253-1)))</f>
        <v>0.99662369677788065</v>
      </c>
      <c r="GM253" s="469">
        <f ca="1">IF($FN253+GM$244&gt;73,"",PRODUCT(INDEX($T$19:$T$93,GM$244):INDEX($T$19:$T$93,GM$244+$FN253-1)))</f>
        <v>0.9962490803413494</v>
      </c>
      <c r="GN253" s="469">
        <f ca="1">IF($FN253+GN$244&gt;73,"",PRODUCT(INDEX($T$19:$T$93,GN$244):INDEX($T$19:$T$93,GN$244+$FN253-1)))</f>
        <v>0.99583296289464507</v>
      </c>
      <c r="GO253" s="469">
        <f ca="1">IF($FN253+GO$244&gt;73,"",PRODUCT(INDEX($T$19:$T$93,GO$244):INDEX($T$19:$T$93,GO$244+$FN253-1)))</f>
        <v>0.99537076177359662</v>
      </c>
      <c r="GP253" s="469">
        <f ca="1">IF($FN253+GP$244&gt;73,"",PRODUCT(INDEX($T$19:$T$93,GP$244):INDEX($T$19:$T$93,GP$244+$FN253-1)))</f>
        <v>0.99485739172712606</v>
      </c>
      <c r="GQ253" s="469">
        <f ca="1">IF($FN253+GQ$244&gt;73,"",PRODUCT(INDEX($T$19:$T$93,GQ$244):INDEX($T$19:$T$93,GQ$244+$FN253-1)))</f>
        <v>0.99428721058815117</v>
      </c>
      <c r="GR253" s="469">
        <f ca="1">IF($FN253+GR$244&gt;73,"",PRODUCT(INDEX($T$19:$T$93,GR$244):INDEX($T$19:$T$93,GR$244+$FN253-1)))</f>
        <v>0.99365395925177114</v>
      </c>
      <c r="GS253" s="469">
        <f ca="1">IF($FN253+GS$244&gt;73,"",PRODUCT(INDEX($T$19:$T$93,GS$244):INDEX($T$19:$T$93,GS$244+$FN253-1)))</f>
        <v>0.99295069540514325</v>
      </c>
      <c r="GT253" s="469">
        <f ca="1">IF($FN253+GT$244&gt;73,"",PRODUCT(INDEX($T$19:$T$93,GT$244):INDEX($T$19:$T$93,GT$244+$FN253-1)))</f>
        <v>0.99216972040853757</v>
      </c>
      <c r="GU253" s="469">
        <f ca="1">IF($FN253+GU$244&gt;73,"",PRODUCT(INDEX($T$19:$T$93,GU$244):INDEX($T$19:$T$93,GU$244+$FN253-1)))</f>
        <v>0.99130249868070042</v>
      </c>
      <c r="GV253" s="469">
        <f ca="1">IF($FN253+GV$244&gt;73,"",PRODUCT(INDEX($T$19:$T$93,GV$244):INDEX($T$19:$T$93,GV$244+$FN253-1)))</f>
        <v>0.99033956889441432</v>
      </c>
      <c r="GW253" s="469">
        <f ca="1">IF($FN253+GW$244&gt;73,"",PRODUCT(INDEX($T$19:$T$93,GW$244):INDEX($T$19:$T$93,GW$244+$FN253-1)))</f>
        <v>0.98927044624071259</v>
      </c>
      <c r="GX253" s="469">
        <f ca="1">IF($FN253+GX$244&gt;73,"",PRODUCT(INDEX($T$19:$T$93,GX$244):INDEX($T$19:$T$93,GX$244+$FN253-1)))</f>
        <v>0.98808351497360514</v>
      </c>
      <c r="GY253" s="469">
        <f ca="1">IF($FN253+GY$244&gt;73,"",PRODUCT(INDEX($T$19:$T$93,GY$244):INDEX($T$19:$T$93,GY$244+$FN253-1)))</f>
        <v>0.98676591040257733</v>
      </c>
      <c r="GZ253" s="469">
        <f ca="1">IF($FN253+GZ$244&gt;73,"",PRODUCT(INDEX($T$19:$T$93,GZ$244):INDEX($T$19:$T$93,GZ$244+$FN253-1)))</f>
        <v>0.98530338945913754</v>
      </c>
      <c r="HA253" s="469">
        <f ca="1">IF($FN253+HA$244&gt;73,"",PRODUCT(INDEX($T$19:$T$93,HA$244):INDEX($T$19:$T$93,HA$244+$FN253-1)))</f>
        <v>0.98368018892822573</v>
      </c>
      <c r="HB253" s="469">
        <f ca="1">IF($FN253+HB$244&gt;73,"",PRODUCT(INDEX($T$19:$T$93,HB$244):INDEX($T$19:$T$93,HB$244+$FN253-1)))</f>
        <v>0.9818788704077489</v>
      </c>
      <c r="HC253" s="469">
        <f ca="1">IF($FN253+HC$244&gt;73,"",PRODUCT(INDEX($T$19:$T$93,HC$244):INDEX($T$19:$T$93,HC$244+$FN253-1)))</f>
        <v>0.97988015104281989</v>
      </c>
      <c r="HD253" s="469">
        <f ca="1">IF($FN253+HD$244&gt;73,"",PRODUCT(INDEX($T$19:$T$93,HD$244):INDEX($T$19:$T$93,HD$244+$FN253-1)))</f>
        <v>0.97766271907892266</v>
      </c>
      <c r="HE253" s="469">
        <f ca="1">IF($FN253+HE$244&gt;73,"",PRODUCT(INDEX($T$19:$T$93,HE$244):INDEX($T$19:$T$93,HE$244+$FN253-1)))</f>
        <v>0.97520303329446556</v>
      </c>
      <c r="HF253" s="469">
        <f ca="1">IF($FN253+HF$244&gt;73,"",PRODUCT(INDEX($T$19:$T$93,HF$244):INDEX($T$19:$T$93,HF$244+$FN253-1)))</f>
        <v>0.97247510541307713</v>
      </c>
      <c r="HG253" s="469">
        <f ca="1">IF($FN253+HG$244&gt;73,"",PRODUCT(INDEX($T$19:$T$93,HG$244):INDEX($T$19:$T$93,HG$244+$FN253-1)))</f>
        <v>0.96945026466549333</v>
      </c>
      <c r="HH253" s="469">
        <f ca="1">IF($FN253+HH$244&gt;73,"",PRODUCT(INDEX($T$19:$T$93,HH$244):INDEX($T$19:$T$93,HH$244+$FN253-1)))</f>
        <v>0.96609690377722601</v>
      </c>
      <c r="HI253" s="469">
        <f ca="1">IF($FN253+HI$244&gt;73,"",PRODUCT(INDEX($T$19:$T$93,HI$244):INDEX($T$19:$T$93,HI$244+$FN253-1)))</f>
        <v>0.9623802058098655</v>
      </c>
      <c r="HJ253" s="469">
        <f ca="1">IF($FN253+HJ$244&gt;73,"",PRODUCT(INDEX($T$19:$T$93,HJ$244):INDEX($T$19:$T$93,HJ$244+$FN253-1)))</f>
        <v>0.95826185149125898</v>
      </c>
      <c r="HK253" s="469">
        <f ca="1">IF($FN253+HK$244&gt;73,"",PRODUCT(INDEX($T$19:$T$93,HK$244):INDEX($T$19:$T$93,HK$244+$FN253-1)))</f>
        <v>0.95369970694559014</v>
      </c>
      <c r="HL253" s="469">
        <f ca="1">IF($FN253+HL$244&gt;73,"",PRODUCT(INDEX($T$19:$T$93,HL$244):INDEX($T$19:$T$93,HL$244+$FN253-1)))</f>
        <v>0.94864749209448929</v>
      </c>
      <c r="HM253" s="469">
        <f ca="1">IF($FN253+HM$244&gt;73,"",PRODUCT(INDEX($T$19:$T$93,HM$244):INDEX($T$19:$T$93,HM$244+$FN253-1)))</f>
        <v>0.94305443046532489</v>
      </c>
      <c r="HN253" s="469">
        <f ca="1">IF($FN253+HN$244&gt;73,"",PRODUCT(INDEX($T$19:$T$93,HN$244):INDEX($T$19:$T$93,HN$244+$FN253-1)))</f>
        <v>0.93686488174016802</v>
      </c>
      <c r="HO253" s="469">
        <f ca="1">IF($FN253+HO$244&gt;73,"",PRODUCT(INDEX($T$19:$T$93,HO$244):INDEX($T$19:$T$93,HO$244+$FN253-1)))</f>
        <v>0.93001795914630403</v>
      </c>
      <c r="HP253" s="469">
        <f ca="1">IF($FN253+HP$244&gt;73,"",PRODUCT(INDEX($T$19:$T$93,HP$244):INDEX($T$19:$T$93,HP$244+$FN253-1)))</f>
        <v>0.922447134780084</v>
      </c>
      <c r="HQ253" s="469">
        <f ca="1">IF($FN253+HQ$244&gt;73,"",PRODUCT(INDEX($T$19:$T$93,HQ$244):INDEX($T$19:$T$93,HQ$244+$FN253-1)))</f>
        <v>0.91407983724783826</v>
      </c>
      <c r="HR253" s="469">
        <f ca="1">IF($FN253+HR$244&gt;73,"",PRODUCT(INDEX($T$19:$T$93,HR$244):INDEX($T$19:$T$93,HR$244+$FN253-1)))</f>
        <v>0.90483704771491369</v>
      </c>
      <c r="HS253" s="469">
        <f ca="1">IF($FN253+HS$244&gt;73,"",PRODUCT(INDEX($T$19:$T$93,HS$244):INDEX($T$19:$T$93,HS$244+$FN253-1)))</f>
        <v>0.89463290274696006</v>
      </c>
      <c r="HT253" s="469">
        <f ca="1">IF($FN253+HT$244&gt;73,"",PRODUCT(INDEX($T$19:$T$93,HT$244):INDEX($T$19:$T$93,HT$244+$FN253-1)))</f>
        <v>0.88337431546129108</v>
      </c>
      <c r="HU253" s="469">
        <f ca="1">IF($FN253+HU$244&gt;73,"",PRODUCT(INDEX($T$19:$T$93,HU$244):INDEX($T$19:$T$93,HU$244+$FN253-1)))</f>
        <v>0.87096063086151221</v>
      </c>
      <c r="HV253" s="469">
        <f ca="1">IF($FN253+HV$244&gt;73,"",PRODUCT(INDEX($T$19:$T$93,HV$244):INDEX($T$19:$T$93,HV$244+$FN253-1)))</f>
        <v>0.85728333737286322</v>
      </c>
      <c r="HW253" s="469">
        <f ca="1">IF($FN253+HW$244&gt;73,"",PRODUCT(INDEX($T$19:$T$93,HW$244):INDEX($T$19:$T$93,HW$244+$FN253-1)))</f>
        <v>0.84222586536629018</v>
      </c>
      <c r="HX253" s="469">
        <f ca="1">IF($FN253+HX$244&gt;73,"",PRODUCT(INDEX($T$19:$T$93,HX$244):INDEX($T$19:$T$93,HX$244+$FN253-1)))</f>
        <v>0.82566351607943367</v>
      </c>
      <c r="HY253" s="469">
        <f ca="1">IF($FN253+HY$244&gt;73,"",PRODUCT(INDEX($T$19:$T$93,HY$244):INDEX($T$19:$T$93,HY$244+$FN253-1)))</f>
        <v>0.80746358257446715</v>
      </c>
      <c r="HZ253" s="469">
        <f ca="1">IF($FN253+HZ$244&gt;73,"",PRODUCT(INDEX($T$19:$T$93,HZ$244):INDEX($T$19:$T$93,HZ$244+$FN253-1)))</f>
        <v>0.78748575070966642</v>
      </c>
      <c r="IA253" s="469">
        <f ca="1">IF($FN253+IA$244&gt;73,"",PRODUCT(INDEX($T$19:$T$93,IA$244):INDEX($T$19:$T$93,IA$244+$FN253-1)))</f>
        <v>0.76558290599448608</v>
      </c>
      <c r="IB253" s="469">
        <f ca="1">IF($FN253+IB$244&gt;73,"",PRODUCT(INDEX($T$19:$T$93,IB$244):INDEX($T$19:$T$93,IB$244+$FN253-1)))</f>
        <v>0.74160252628198631</v>
      </c>
      <c r="IC253" s="469">
        <f ca="1">IF($FN253+IC$244&gt;73,"",PRODUCT(INDEX($T$19:$T$93,IC$244):INDEX($T$19:$T$93,IC$244+$FN253-1)))</f>
        <v>0.7153889165008015</v>
      </c>
      <c r="ID253" s="469">
        <f ca="1">IF($FN253+ID$244&gt;73,"",PRODUCT(INDEX($T$19:$T$93,ID$244):INDEX($T$19:$T$93,ID$244+$FN253-1)))</f>
        <v>0.68678664726775784</v>
      </c>
      <c r="IE253" s="469">
        <f ca="1">IF($FN253+IE$244&gt;73,"",PRODUCT(INDEX($T$19:$T$93,IE$244):INDEX($T$19:$T$93,IE$244+$FN253-1)))</f>
        <v>0.65564570208658535</v>
      </c>
      <c r="IF253" s="469">
        <f ca="1">IF($FN253+IF$244&gt;73,"",PRODUCT(INDEX($T$19:$T$93,IF$244):INDEX($T$19:$T$93,IF$244+$FN253-1)))</f>
        <v>0.62182902457100997</v>
      </c>
      <c r="IG253" s="469">
        <f ca="1">IF($FN253+IG$244&gt;73,"",PRODUCT(INDEX($T$19:$T$93,IG$244):INDEX($T$19:$T$93,IG$244+$FN253-1)))</f>
        <v>0.58522338918078542</v>
      </c>
      <c r="IH253" s="662">
        <f ca="1">IF($FN253+IH$244&gt;73,"",PRODUCT(INDEX($T$19:$T$93,IH$244):INDEX($T$19:$T$93,IH$244+$FN253-1)))</f>
        <v>0.54575478464023708</v>
      </c>
      <c r="II253" s="242"/>
    </row>
    <row r="254" spans="8:243">
      <c r="H254" s="49" t="e">
        <f t="shared" ca="1" si="645"/>
        <v>#N/A</v>
      </c>
      <c r="I254" s="369">
        <f t="shared" si="646"/>
        <v>44136</v>
      </c>
      <c r="J254" s="367">
        <v>25.234999999999797</v>
      </c>
      <c r="K254" s="101" t="s">
        <v>267</v>
      </c>
      <c r="L254" s="382">
        <f t="shared" si="647"/>
        <v>25.234999999999797</v>
      </c>
      <c r="M254" s="163">
        <v>0.1211</v>
      </c>
      <c r="N254" s="372">
        <v>0</v>
      </c>
      <c r="O254" s="163">
        <f t="shared" si="595"/>
        <v>0.1211</v>
      </c>
      <c r="P254" s="367">
        <v>23.979773053571002</v>
      </c>
      <c r="Q254" s="101" t="s">
        <v>267</v>
      </c>
      <c r="R254" s="367">
        <f t="shared" ca="1" si="596"/>
        <v>23.979773053570966</v>
      </c>
      <c r="S254" s="814">
        <f t="shared" si="594"/>
        <v>0.34480806516965762</v>
      </c>
      <c r="T254" s="813">
        <f t="shared" si="660"/>
        <v>0.99999999999846823</v>
      </c>
      <c r="U254" s="532">
        <f t="shared" si="661"/>
        <v>0.99999999999999978</v>
      </c>
      <c r="V254" s="379">
        <v>0</v>
      </c>
      <c r="W254" s="424">
        <f t="shared" si="597"/>
        <v>25.267142857142659</v>
      </c>
      <c r="X254" s="405">
        <f t="shared" si="598"/>
        <v>25.267142857142652</v>
      </c>
      <c r="Y254" s="313">
        <f t="shared" si="599"/>
        <v>24.025542857142661</v>
      </c>
      <c r="Z254" s="313">
        <f t="shared" ca="1" si="600"/>
        <v>24.025542857142653</v>
      </c>
      <c r="AA254" s="419">
        <f t="shared" si="623"/>
        <v>1.2416</v>
      </c>
      <c r="AB254" s="423">
        <f t="shared" ca="1" si="624"/>
        <v>1.2416</v>
      </c>
      <c r="AC254" s="221">
        <v>44124</v>
      </c>
      <c r="AD254" s="221">
        <v>44120</v>
      </c>
      <c r="AE254" s="221">
        <v>44119</v>
      </c>
      <c r="AF254" s="221">
        <v>44115</v>
      </c>
      <c r="AG254" s="241" t="s">
        <v>497</v>
      </c>
      <c r="AH254" s="239" t="s">
        <v>497</v>
      </c>
      <c r="AI254" s="141">
        <v>21</v>
      </c>
      <c r="AJ254" s="41">
        <v>15</v>
      </c>
      <c r="AK254" s="41">
        <v>6</v>
      </c>
      <c r="AL254" s="285">
        <v>21</v>
      </c>
      <c r="AM254" s="41">
        <v>10</v>
      </c>
      <c r="AN254" s="142">
        <v>11</v>
      </c>
      <c r="AO254" s="364">
        <v>6.4396475332866701E-2</v>
      </c>
      <c r="AP254" s="145">
        <f t="shared" ca="1" si="648"/>
        <v>0.28792052238235549</v>
      </c>
      <c r="AQ254" s="364">
        <v>5.9948583610327504E-2</v>
      </c>
      <c r="AR254" s="145">
        <f t="shared" ca="1" si="662"/>
        <v>0.31567156353270454</v>
      </c>
      <c r="AS254" s="264">
        <f t="shared" si="601"/>
        <v>0.1211</v>
      </c>
      <c r="AT254" s="149">
        <f t="shared" si="649"/>
        <v>0.1211</v>
      </c>
      <c r="AU254" s="149">
        <f t="shared" si="625"/>
        <v>0.1211</v>
      </c>
      <c r="AV254" s="263">
        <f t="shared" ca="1" si="669"/>
        <v>0.11926781866804483</v>
      </c>
      <c r="AW254" s="150" t="str">
        <f t="shared" ca="1" si="671"/>
        <v/>
      </c>
      <c r="AX254" s="149">
        <f t="shared" ca="1" si="663"/>
        <v>2.3854581521876822E-3</v>
      </c>
      <c r="AY254" s="149">
        <f t="shared" ca="1" si="664"/>
        <v>6.7251721738922627E-4</v>
      </c>
      <c r="AZ254" s="149">
        <f t="shared" ca="1" si="665"/>
        <v>9.5080732732920846E-4</v>
      </c>
      <c r="BA254" s="149">
        <f t="shared" ca="1" si="666"/>
        <v>1.0000000000001311E-4</v>
      </c>
      <c r="BB254" s="149">
        <f t="shared" ca="1" si="667"/>
        <v>1.0000000000001311E-4</v>
      </c>
      <c r="BC254" s="149">
        <f t="shared" ca="1" si="668"/>
        <v>1.0000000000001311E-4</v>
      </c>
      <c r="BD254" s="143">
        <f t="shared" ca="1" si="602"/>
        <v>0</v>
      </c>
      <c r="BE254" s="144">
        <f t="shared" ca="1" si="603"/>
        <v>0</v>
      </c>
      <c r="BF254" s="40">
        <f t="shared" si="604"/>
        <v>2020</v>
      </c>
      <c r="BG254" s="139">
        <f t="shared" si="605"/>
        <v>11</v>
      </c>
      <c r="BH254" s="140">
        <f t="shared" ca="1" si="606"/>
        <v>7130</v>
      </c>
      <c r="BI254" s="304">
        <f t="shared" ca="1" si="607"/>
        <v>19.564681724845997</v>
      </c>
      <c r="BJ254" s="42">
        <f t="shared" ca="1" si="626"/>
        <v>19.62139434829373</v>
      </c>
      <c r="BK254" s="42">
        <f t="shared" ca="1" si="627"/>
        <v>19.624132199080861</v>
      </c>
      <c r="BL254" s="42">
        <f t="shared" ca="1" si="608"/>
        <v>19.644079397672826</v>
      </c>
      <c r="BM254" s="285">
        <f t="shared" si="609"/>
        <v>21</v>
      </c>
      <c r="BN254" s="41">
        <f t="shared" si="610"/>
        <v>15</v>
      </c>
      <c r="BO254" s="41">
        <f t="shared" si="611"/>
        <v>6</v>
      </c>
      <c r="BP254" s="297" t="str">
        <f t="shared" ca="1" si="628"/>
        <v/>
      </c>
      <c r="BQ254" s="297" t="str">
        <f t="shared" ca="1" si="629"/>
        <v/>
      </c>
      <c r="BR254" s="299" t="str">
        <f t="shared" ca="1" si="630"/>
        <v/>
      </c>
      <c r="BS254" s="153" t="str">
        <f t="shared" ca="1" si="631"/>
        <v/>
      </c>
      <c r="BT254" s="153" t="str">
        <f t="shared" ca="1" si="632"/>
        <v/>
      </c>
      <c r="BU254" s="300" t="str">
        <f t="shared" ca="1" si="633"/>
        <v/>
      </c>
      <c r="BV254" s="301" t="str">
        <f t="shared" ca="1" si="634"/>
        <v/>
      </c>
      <c r="BW254" s="300" t="str">
        <f t="shared" ca="1" si="635"/>
        <v/>
      </c>
      <c r="BX254" s="301" t="str">
        <f t="shared" ca="1" si="636"/>
        <v/>
      </c>
      <c r="BY254" s="146" t="str">
        <f t="shared" ca="1" si="637"/>
        <v/>
      </c>
      <c r="BZ254" s="146" t="str">
        <f t="shared" ca="1" si="638"/>
        <v/>
      </c>
      <c r="CA254" s="146" t="str">
        <f t="shared" ca="1" si="639"/>
        <v/>
      </c>
      <c r="CB254" s="146" t="str">
        <f t="shared" ca="1" si="640"/>
        <v/>
      </c>
      <c r="CC254" s="302">
        <v>1</v>
      </c>
      <c r="CD254" s="154">
        <f ca="1">IF(BD254,_xll.xCrudeAPO(BS254,BT254,BY254,BZ254,S255,S256,BI254,BL254,BN254,BO254,0,Strike1,AO254,CC254,0,BL254,IF(OptControl=4,0,1),0,1),0)</f>
        <v>0</v>
      </c>
      <c r="CE254" s="155">
        <f ca="1">IF(BD254,_xll.xCrudeAPO(BS254,BT254,BY254,BZ254,S255,S256,BI254,BL254,BN254,BO254,0,Strike1,AO254,CC254,0,BL254,IF(OptControl=4,0,1),1,1)+_xll.xCrudeAPO(BS254,BT254,BY254,BZ254,S255,S256,BI254,BL254,BN254,BO254,0,Strike1,AO254,CC254,0,BL254,IF(OptControl=4,0,1),1,2)+IF(OR(VolSkewFlag=2,ABS(BQ254)&lt;0.0001),0,IF(BQ254&gt;0,-1,1)*CF254*Strike1/BP254^2*BW254/10%),0)</f>
        <v>0</v>
      </c>
      <c r="CF254" s="155">
        <f ca="1">IF(BD254,(_xll.xCrudeAPO(BS254,BT254,BY254,BZ254,S255,S256,BI254,BL254,BN254,BO254,0,Strike1,AO254,CC254,0,BL254,IF(OptControl=4,0,1),3,1)+_xll.xCrudeAPO(BS254,BT254,BY254,BZ254,S255,S256,BI254,BL254,BN254,BO254,0,Strike1,AO254,CC254,0,BL254,IF(OptControl=4,0,1),3,2))/100,0)</f>
        <v>0</v>
      </c>
      <c r="CG254" s="155">
        <f ca="1">IF(BD254,_xll.xCrudeAPO(BS254,BT254,BY254,BZ254,S255,S256,BI254-DaysForThetaCalculation/365.25,BL254-DaysForThetaCalculation/365.25,BN254,BO254,0,Strike1,AO254,CC254,0,BL254,IF(OptControl=4,0,1),0,1)-_xll.xCrudeAPO(BS254,BT254,BY254,BZ254,S255,S256,BI254,BL254,BN254,BO254,0,Strike1,AO254,CC254,0,BL254,IF(OptControl=4,0,1),0,1),0)</f>
        <v>0</v>
      </c>
      <c r="CH254" s="303">
        <f ca="1">IF(BD254,_xll.xCrudeAPO(BS254,BT254,CA254,CB254,S255,S256,BI254,BL254,BN254,BO254,0,Strike2,AO254,CC254,0,BL254,IF(OptControl=3,1,0),0,1),0)</f>
        <v>0</v>
      </c>
      <c r="CI254" s="155">
        <f ca="1">IF(BD254,_xll.xCrudeAPO(BS254,BT254,CA254,CB254,S255,S256,BI254,BL254,BN254,BO254,0,Strike2,AO254,CC254,0,BL254,IF(OptControl=3,1,0),1,1)+_xll.xCrudeAPO(BS254,BT254,CA254,CB254,S255,S256,BI254,BL254,BN254,BO254,0,Strike2,AO254,CC254,0,BL254,IF(OptControl=3,1,0),1,2)+IF(OR(VolSkewFlag=2,ABS(BR254)&lt;0.0001),0,IF(BR254&gt;0,-1,1)*CJ254*Strike2/BP254^2*BX254/10%),0)</f>
        <v>0</v>
      </c>
      <c r="CJ254" s="155">
        <f ca="1">IF(BD254,(_xll.xCrudeAPO(BS254,BT254,CA254,CB254,S255,S256,BI254,BL254,BN254,BO254,0,Strike2,AO254,CC254,0,BL254,IF(OptControl=3,1,0),3,1)+_xll.xCrudeAPO(BS254,BT254,CA254,CB254,S255,S256,BI254,BL254,BN254,BO254,0,Strike2,AO254,CC254,0,BL254,IF(OptControl=3,1,0),3,2))/100,0)</f>
        <v>0</v>
      </c>
      <c r="CK254" s="156">
        <f ca="1">IF(BD254,_xll.xCrudeAPO(BS254,BT254,CA254,CB254,S255,S256,BI254-DaysForThetaCalculation/365.25,BL254-DaysForThetaCalculation/365.25,BN254,BO254,0,Strike2,AO254,CC254,0,BL254,IF(OptControl=3,1,0),0,1)-_xll.xCrudeAPO(BS254,BT254,CA254,CB254,S255,S256,BI254,BL254,BN254,BO254,0,Strike2,AO254,CC254,0,BL254,IF(OptControl=3,1,0),0,1),0)</f>
        <v>0</v>
      </c>
      <c r="CL254" s="51"/>
      <c r="CM254" s="779" t="str">
        <f t="shared" ca="1" si="650"/>
        <v/>
      </c>
      <c r="CN254" s="783" t="str">
        <f t="shared" ca="1" si="651"/>
        <v/>
      </c>
      <c r="CO254" s="780" t="str">
        <f t="shared" ca="1" si="652"/>
        <v/>
      </c>
      <c r="CP254" s="780" t="str">
        <f t="shared" ca="1" si="653"/>
        <v/>
      </c>
      <c r="CQ254" s="780" t="str">
        <f t="shared" ca="1" si="654"/>
        <v/>
      </c>
      <c r="CR254" s="780" t="str">
        <f t="shared" ca="1" si="655"/>
        <v/>
      </c>
      <c r="CS254" s="781" t="str">
        <f t="shared" ca="1" si="656"/>
        <v/>
      </c>
      <c r="CT254" s="782" t="str">
        <f t="shared" ca="1" si="657"/>
        <v/>
      </c>
      <c r="CU254" s="782" t="str">
        <f t="shared" ca="1" si="658"/>
        <v/>
      </c>
      <c r="CV254" s="155">
        <f ca="1">IF(BD254,_xll.EURO(CN254,Strike1,AO254,AO254,CT254,CM254,IF(OptControl=4,0,1),0),0)</f>
        <v>0</v>
      </c>
      <c r="CW254" s="155">
        <f ca="1">IF(BD254,_xll.EURO(CN254,Strike1,AO254,AO254,CT254,CM254,IF(OptControl=4,0,1),1)+IF(OR(VolSkewFlag=2,ABS(CO254)&lt;0.0001),0,IF(CO254&gt;0,-1,1)*CX254*100*Strike1/CN254^2*CQ254/10%),0)</f>
        <v>0</v>
      </c>
      <c r="CX254" s="155">
        <f ca="1">IF(BD254,_xll.EURO(CN254,Strike1,AO254,AO254,CT254,CM254,IF(OptControl=4,0,1),3)/100,0)</f>
        <v>0</v>
      </c>
      <c r="CY254" s="155">
        <f ca="1">IF(BD254,_xll.EURO(CN254,Strike1,AO254,AO254,CT254,CM254,IF(OptControl=4,0,1),0)-_xll.EURO(CN254,Strike1,AO254,AO254,CT254,CM254-1,IF(OptControl=4,0,1),0),0)</f>
        <v>0</v>
      </c>
      <c r="CZ254" s="155">
        <f ca="1">IF(BD254,_xll.EURO(CN254,Strike2,AO254,AO254,CU254,CM254,IF(OptControl=3,1,0),0),0)</f>
        <v>0</v>
      </c>
      <c r="DA254" s="155">
        <f ca="1">IF(BD254,_xll.EURO(CN254,Strike2,AO254,AO254,CU254,CM254,IF(OptControl=3,1,0),1)+IF(OR(VolSkewFlag=2,ABS(CP254)&lt;0.0001),0,IF(CP254&gt;0,-1,1)*DB254*100*Strike2/CN254^2*CR254/10%),0)</f>
        <v>0</v>
      </c>
      <c r="DB254" s="155">
        <f ca="1">IF(BD254,_xll.EURO(CN254,Strike2,AO254,AO254,CU254,CM254,IF(OptControl=3,1,0),3)/100,0)</f>
        <v>0</v>
      </c>
      <c r="DC254" s="156">
        <f ca="1">IF(BD254,_xll.EURO(CN254,Strike2,AO254,AO254,CU254,CM254,IF(OptControl=3,1,0),0)-_xll.EURO(CN254,Strike2,AO254,AO254,CU254,CM254-1,IF(OptControl=3,1,0),0),0)</f>
        <v>0</v>
      </c>
      <c r="DE254" s="651">
        <f t="shared" ca="1" si="659"/>
        <v>44044</v>
      </c>
      <c r="DF254" s="465">
        <v>1E-4</v>
      </c>
      <c r="DG254" s="649">
        <v>1E-4</v>
      </c>
      <c r="DH254" s="650">
        <f t="shared" ca="1" si="612"/>
        <v>44044</v>
      </c>
      <c r="DI254" s="465">
        <v>1E-4</v>
      </c>
      <c r="DJ254" s="649">
        <v>1E-4</v>
      </c>
      <c r="DK254" s="651">
        <f t="shared" ca="1" si="613"/>
        <v>44044</v>
      </c>
      <c r="DL254" s="652">
        <f t="shared" si="614"/>
        <v>5.0100000000000006E-2</v>
      </c>
      <c r="DM254" s="651">
        <f t="shared" ca="1" si="615"/>
        <v>44044</v>
      </c>
      <c r="DN254" s="563">
        <f t="shared" si="616"/>
        <v>-0.12990000000000002</v>
      </c>
      <c r="DO254" s="803">
        <v>-0.13</v>
      </c>
      <c r="DP254" s="650">
        <f t="shared" ca="1" si="617"/>
        <v>44044</v>
      </c>
      <c r="DQ254" s="653">
        <v>1E-4</v>
      </c>
      <c r="DR254" s="590">
        <v>1E-4</v>
      </c>
      <c r="DS254" s="650">
        <f t="shared" ca="1" si="618"/>
        <v>44044</v>
      </c>
      <c r="DT254" s="653">
        <v>1E-4</v>
      </c>
      <c r="DU254" s="590">
        <v>1E-4</v>
      </c>
      <c r="DV254" s="651">
        <f t="shared" ca="1" si="619"/>
        <v>44044</v>
      </c>
      <c r="DW254" s="590">
        <v>1E-4</v>
      </c>
      <c r="DX254" s="651">
        <f t="shared" ca="1" si="620"/>
        <v>44044</v>
      </c>
      <c r="DY254" s="590">
        <f t="shared" si="621"/>
        <v>1E-4</v>
      </c>
      <c r="DZ254" s="1"/>
      <c r="EA254" s="857"/>
      <c r="EB254" s="857"/>
      <c r="EC254" s="857"/>
      <c r="ED254" s="868" t="e">
        <f t="shared" ca="1" si="670"/>
        <v>#NAME?</v>
      </c>
      <c r="EE254" s="863" t="e">
        <f t="shared" ca="1" si="641"/>
        <v>#NAME?</v>
      </c>
      <c r="EF254" s="590" t="e">
        <f t="shared" ca="1" si="642"/>
        <v>#NAME?</v>
      </c>
      <c r="EG254" s="862" t="str">
        <f t="shared" ca="1" si="622"/>
        <v/>
      </c>
      <c r="EH254" s="114" t="str">
        <f t="shared" ca="1" si="643"/>
        <v/>
      </c>
      <c r="EI254" s="109" t="str">
        <f t="shared" ca="1" si="644"/>
        <v/>
      </c>
      <c r="EJ254" s="115">
        <f ca="1">IF(BD254,_xll.xASN(BP254,Strike1,AO254,EH254,0,BM254,0,BI254,BL254,IF(OptControl=4,0,1),0),0)</f>
        <v>0</v>
      </c>
      <c r="EK254" s="108">
        <f ca="1">IF(BD254,_xll.xASN(BP254,Strike2,AO254,EI254,0,BM254,0,BI254,BL254,IF(OptControl=3,1,0),0),0)</f>
        <v>0</v>
      </c>
      <c r="EP254" s="53"/>
      <c r="EQ254" s="1"/>
      <c r="ER254" s="103"/>
      <c r="ES254" s="103"/>
      <c r="ET254" s="1"/>
      <c r="EU254" s="667" t="s">
        <v>467</v>
      </c>
      <c r="EW254" s="53"/>
      <c r="EY254" s="104"/>
      <c r="FN254" s="657">
        <v>10</v>
      </c>
      <c r="FO254" s="469" t="str">
        <f ca="1">IF($FN254+FO$244&gt;73,"",PRODUCT(INDEX($T$19:$T$93,FO$244):INDEX($T$19:$T$93,FO$244+$FN254-1)))</f>
        <v/>
      </c>
      <c r="FP254" s="469" t="str">
        <f ca="1">IF($FN254+FP$244&gt;73,"",PRODUCT(INDEX($T$19:$T$93,FP$244):INDEX($T$19:$T$93,FP$244+$FN254-1)))</f>
        <v/>
      </c>
      <c r="FQ254" s="469" t="str">
        <f ca="1">IF($FN254+FQ$244&gt;73,"",PRODUCT(INDEX($T$19:$T$93,FQ$244):INDEX($T$19:$T$93,FQ$244+$FN254-1)))</f>
        <v/>
      </c>
      <c r="FR254" s="469" t="str">
        <f ca="1">IF($FN254+FR$244&gt;73,"",PRODUCT(INDEX($T$19:$T$93,FR$244):INDEX($T$19:$T$93,FR$244+$FN254-1)))</f>
        <v/>
      </c>
      <c r="FS254" s="469" t="str">
        <f ca="1">IF($FN254+FS$244&gt;73,"",PRODUCT(INDEX($T$19:$T$93,FS$244):INDEX($T$19:$T$93,FS$244+$FN254-1)))</f>
        <v/>
      </c>
      <c r="FT254" s="469" t="str">
        <f ca="1">IF($FN254+FT$244&gt;73,"",PRODUCT(INDEX($T$19:$T$93,FT$244):INDEX($T$19:$T$93,FT$244+$FN254-1)))</f>
        <v/>
      </c>
      <c r="FU254" s="469" t="str">
        <f ca="1">IF($FN254+FU$244&gt;73,"",PRODUCT(INDEX($T$19:$T$93,FU$244):INDEX($T$19:$T$93,FU$244+$FN254-1)))</f>
        <v/>
      </c>
      <c r="FV254" s="469" t="str">
        <f ca="1">IF($FN254+FV$244&gt;73,"",PRODUCT(INDEX($T$19:$T$93,FV$244):INDEX($T$19:$T$93,FV$244+$FN254-1)))</f>
        <v/>
      </c>
      <c r="FW254" s="469" t="str">
        <f ca="1">IF($FN254+FW$244&gt;73,"",PRODUCT(INDEX($T$19:$T$93,FW$244):INDEX($T$19:$T$93,FW$244+$FN254-1)))</f>
        <v/>
      </c>
      <c r="FX254" s="469">
        <f ca="1">IF($FN254+FX$244&gt;73,"",PRODUCT(INDEX($T$19:$T$93,FX$244):INDEX($T$19:$T$93,FX$244+$FN254-1)))</f>
        <v>0.99917797578981216</v>
      </c>
      <c r="FY254" s="469">
        <f ca="1">IF($FN254+FY$244&gt;73,"",PRODUCT(INDEX($T$19:$T$93,FY$244):INDEX($T$19:$T$93,FY$244+$FN254-1)))</f>
        <v>0.99908667224596515</v>
      </c>
      <c r="FZ254" s="469">
        <f ca="1">IF($FN254+FZ$244&gt;73,"",PRODUCT(INDEX($T$19:$T$93,FZ$244):INDEX($T$19:$T$93,FZ$244+$FN254-1)))</f>
        <v>0.99898523146626605</v>
      </c>
      <c r="GA254" s="469">
        <f ca="1">IF($FN254+GA$244&gt;73,"",PRODUCT(INDEX($T$19:$T$93,GA$244):INDEX($T$19:$T$93,GA$244+$FN254-1)))</f>
        <v>0.99887252886896261</v>
      </c>
      <c r="GB254" s="469">
        <f ca="1">IF($FN254+GB$244&gt;73,"",PRODUCT(INDEX($T$19:$T$93,GB$244):INDEX($T$19:$T$93,GB$244+$FN254-1)))</f>
        <v>0.9987473153339409</v>
      </c>
      <c r="GC254" s="469">
        <f ca="1">IF($FN254+GC$244&gt;73,"",PRODUCT(INDEX($T$19:$T$93,GC$244):INDEX($T$19:$T$93,GC$244+$FN254-1)))</f>
        <v>0.99860820346189416</v>
      </c>
      <c r="GD254" s="469">
        <f ca="1">IF($FN254+GD$244&gt;73,"",PRODUCT(INDEX($T$19:$T$93,GD$244):INDEX($T$19:$T$93,GD$244+$FN254-1)))</f>
        <v>0.99845365232922001</v>
      </c>
      <c r="GE254" s="469">
        <f ca="1">IF($FN254+GE$244&gt;73,"",PRODUCT(INDEX($T$19:$T$93,GE$244):INDEX($T$19:$T$93,GE$244+$FN254-1)))</f>
        <v>0.99828195057671165</v>
      </c>
      <c r="GF254" s="469">
        <f ca="1">IF($FN254+GF$244&gt;73,"",PRODUCT(INDEX($T$19:$T$93,GF$244):INDEX($T$19:$T$93,GF$244+$FN254-1)))</f>
        <v>0.99809119765330878</v>
      </c>
      <c r="GG254" s="469">
        <f ca="1">IF($FN254+GG$244&gt;73,"",PRODUCT(INDEX($T$19:$T$93,GG$244):INDEX($T$19:$T$93,GG$244+$FN254-1)))</f>
        <v>0.99787928301778828</v>
      </c>
      <c r="GH254" s="469">
        <f ca="1">IF($FN254+GH$244&gt;73,"",PRODUCT(INDEX($T$19:$T$93,GH$244):INDEX($T$19:$T$93,GH$244+$FN254-1)))</f>
        <v>0.99764386308117703</v>
      </c>
      <c r="GI254" s="469">
        <f ca="1">IF($FN254+GI$244&gt;73,"",PRODUCT(INDEX($T$19:$T$93,GI$244):INDEX($T$19:$T$93,GI$244+$FN254-1)))</f>
        <v>0.99738233565074097</v>
      </c>
      <c r="GJ254" s="469">
        <f ca="1">IF($FN254+GJ$244&gt;73,"",PRODUCT(INDEX($T$19:$T$93,GJ$244):INDEX($T$19:$T$93,GJ$244+$FN254-1)))</f>
        <v>0.99709181161255533</v>
      </c>
      <c r="GK254" s="469">
        <f ca="1">IF($FN254+GK$244&gt;73,"",PRODUCT(INDEX($T$19:$T$93,GK$244):INDEX($T$19:$T$93,GK$244+$FN254-1)))</f>
        <v>0.99676908356375871</v>
      </c>
      <c r="GL254" s="469">
        <f ca="1">IF($FN254+GL$244&gt;73,"",PRODUCT(INDEX($T$19:$T$93,GL$244):INDEX($T$19:$T$93,GL$244+$FN254-1)))</f>
        <v>0.9964105910775668</v>
      </c>
      <c r="GM254" s="469">
        <f ca="1">IF($FN254+GM$244&gt;73,"",PRODUCT(INDEX($T$19:$T$93,GM$244):INDEX($T$19:$T$93,GM$244+$FN254-1)))</f>
        <v>0.99601238225389066</v>
      </c>
      <c r="GN254" s="469">
        <f ca="1">IF($FN254+GN$244&gt;73,"",PRODUCT(INDEX($T$19:$T$93,GN$244):INDEX($T$19:$T$93,GN$244+$FN254-1)))</f>
        <v>0.99557007117591889</v>
      </c>
      <c r="GO254" s="469">
        <f ca="1">IF($FN254+GO$244&gt;73,"",PRODUCT(INDEX($T$19:$T$93,GO$244):INDEX($T$19:$T$93,GO$244+$FN254-1)))</f>
        <v>0.99507879085829087</v>
      </c>
      <c r="GP254" s="469">
        <f ca="1">IF($FN254+GP$244&gt;73,"",PRODUCT(INDEX($T$19:$T$93,GP$244):INDEX($T$19:$T$93,GP$244+$FN254-1)))</f>
        <v>0.9945331412355134</v>
      </c>
      <c r="GQ254" s="469">
        <f ca="1">IF($FN254+GQ$244&gt;73,"",PRODUCT(INDEX($T$19:$T$93,GQ$244):INDEX($T$19:$T$93,GQ$244+$FN254-1)))</f>
        <v>0.99392713170021163</v>
      </c>
      <c r="GR254" s="469">
        <f ca="1">IF($FN254+GR$244&gt;73,"",PRODUCT(INDEX($T$19:$T$93,GR$244):INDEX($T$19:$T$93,GR$244+$FN254-1)))</f>
        <v>0.99325411765978511</v>
      </c>
      <c r="GS254" s="469">
        <f ca="1">IF($FN254+GS$244&gt;73,"",PRODUCT(INDEX($T$19:$T$93,GS$244):INDEX($T$19:$T$93,GS$244+$FN254-1)))</f>
        <v>0.99250673053740157</v>
      </c>
      <c r="GT254" s="469">
        <f ca="1">IF($FN254+GT$244&gt;73,"",PRODUCT(INDEX($T$19:$T$93,GT$244):INDEX($T$19:$T$93,GT$244+$FN254-1)))</f>
        <v>0.991676800599401</v>
      </c>
      <c r="GU254" s="469">
        <f ca="1">IF($FN254+GU$244&gt;73,"",PRODUCT(INDEX($T$19:$T$93,GU$244):INDEX($T$19:$T$93,GU$244+$FN254-1)))</f>
        <v>0.99075527194668367</v>
      </c>
      <c r="GV254" s="469">
        <f ca="1">IF($FN254+GV$244&gt;73,"",PRODUCT(INDEX($T$19:$T$93,GV$244):INDEX($T$19:$T$93,GV$244+$FN254-1)))</f>
        <v>0.98973210896334451</v>
      </c>
      <c r="GW254" s="469">
        <f ca="1">IF($FN254+GW$244&gt;73,"",PRODUCT(INDEX($T$19:$T$93,GW$244):INDEX($T$19:$T$93,GW$244+$FN254-1)))</f>
        <v>0.98859619347266325</v>
      </c>
      <c r="GX254" s="469">
        <f ca="1">IF($FN254+GX$244&gt;73,"",PRODUCT(INDEX($T$19:$T$93,GX$244):INDEX($T$19:$T$93,GX$244+$FN254-1)))</f>
        <v>0.98733521180998052</v>
      </c>
      <c r="GY254" s="469">
        <f ca="1">IF($FN254+GY$244&gt;73,"",PRODUCT(INDEX($T$19:$T$93,GY$244):INDEX($T$19:$T$93,GY$244+$FN254-1)))</f>
        <v>0.98593553098560427</v>
      </c>
      <c r="GZ254" s="469">
        <f ca="1">IF($FN254+GZ$244&gt;73,"",PRODUCT(INDEX($T$19:$T$93,GZ$244):INDEX($T$19:$T$93,GZ$244+$FN254-1)))</f>
        <v>0.98438206308088561</v>
      </c>
      <c r="HA254" s="469">
        <f ca="1">IF($FN254+HA$244&gt;73,"",PRODUCT(INDEX($T$19:$T$93,HA$244):INDEX($T$19:$T$93,HA$244+$FN254-1)))</f>
        <v>0.98265811699957806</v>
      </c>
      <c r="HB254" s="469">
        <f ca="1">IF($FN254+HB$244&gt;73,"",PRODUCT(INDEX($T$19:$T$93,HB$244):INDEX($T$19:$T$93,HB$244+$FN254-1)))</f>
        <v>0.98074523668780422</v>
      </c>
      <c r="HC254" s="469">
        <f ca="1">IF($FN254+HC$244&gt;73,"",PRODUCT(INDEX($T$19:$T$93,HC$244):INDEX($T$19:$T$93,HC$244+$FN254-1)))</f>
        <v>0.97862302494336706</v>
      </c>
      <c r="HD254" s="469">
        <f ca="1">IF($FN254+HD$244&gt;73,"",PRODUCT(INDEX($T$19:$T$93,HD$244):INDEX($T$19:$T$93,HD$244+$FN254-1)))</f>
        <v>0.9762689519635106</v>
      </c>
      <c r="HE254" s="469">
        <f ca="1">IF($FN254+HE$244&gt;73,"",PRODUCT(INDEX($T$19:$T$93,HE$244):INDEX($T$19:$T$93,HE$244+$FN254-1)))</f>
        <v>0.97365814783532667</v>
      </c>
      <c r="HF254" s="469">
        <f ca="1">IF($FN254+HF$244&gt;73,"",PRODUCT(INDEX($T$19:$T$93,HF$244):INDEX($T$19:$T$93,HF$244+$FN254-1)))</f>
        <v>0.97076317826173186</v>
      </c>
      <c r="HG254" s="469">
        <f ca="1">IF($FN254+HG$244&gt;73,"",PRODUCT(INDEX($T$19:$T$93,HG$244):INDEX($T$19:$T$93,HG$244+$FN254-1)))</f>
        <v>0.96755380294646354</v>
      </c>
      <c r="HH254" s="469">
        <f ca="1">IF($FN254+HH$244&gt;73,"",PRODUCT(INDEX($T$19:$T$93,HH$244):INDEX($T$19:$T$93,HH$244+$FN254-1)))</f>
        <v>0.96399671624376004</v>
      </c>
      <c r="HI254" s="469">
        <f ca="1">IF($FN254+HI$244&gt;73,"",PRODUCT(INDEX($T$19:$T$93,HI$244):INDEX($T$19:$T$93,HI$244+$FN254-1)))</f>
        <v>0.96005526992397461</v>
      </c>
      <c r="HJ254" s="469">
        <f ca="1">IF($FN254+HJ$244&gt;73,"",PRODUCT(INDEX($T$19:$T$93,HJ$244):INDEX($T$19:$T$93,HJ$244+$FN254-1)))</f>
        <v>0.9556891782294854</v>
      </c>
      <c r="HK254" s="469">
        <f ca="1">IF($FN254+HK$244&gt;73,"",PRODUCT(INDEX($T$19:$T$93,HK$244):INDEX($T$19:$T$93,HK$244+$FN254-1)))</f>
        <v>0.95085420581311408</v>
      </c>
      <c r="HL254" s="469">
        <f ca="1">IF($FN254+HL$244&gt;73,"",PRODUCT(INDEX($T$19:$T$93,HL$244):INDEX($T$19:$T$93,HL$244+$FN254-1)))</f>
        <v>0.9455018396850936</v>
      </c>
      <c r="HM254" s="469">
        <f ca="1">IF($FN254+HM$244&gt;73,"",PRODUCT(INDEX($T$19:$T$93,HM$244):INDEX($T$19:$T$93,HM$244+$FN254-1)))</f>
        <v>0.93957894697133759</v>
      </c>
      <c r="HN254" s="469">
        <f ca="1">IF($FN254+HN$244&gt;73,"",PRODUCT(INDEX($T$19:$T$93,HN$244):INDEX($T$19:$T$93,HN$244+$FN254-1)))</f>
        <v>0.93302742114017079</v>
      </c>
      <c r="HO254" s="469">
        <f ca="1">IF($FN254+HO$244&gt;73,"",PRODUCT(INDEX($T$19:$T$93,HO$244):INDEX($T$19:$T$93,HO$244+$FN254-1)))</f>
        <v>0.9257838204331591</v>
      </c>
      <c r="HP254" s="469">
        <f ca="1">IF($FN254+HP$244&gt;73,"",PRODUCT(INDEX($T$19:$T$93,HP$244):INDEX($T$19:$T$93,HP$244+$FN254-1)))</f>
        <v>0.91777900360176901</v>
      </c>
      <c r="HQ254" s="469">
        <f ca="1">IF($FN254+HQ$244&gt;73,"",PRODUCT(INDEX($T$19:$T$93,HQ$244):INDEX($T$19:$T$93,HQ$244+$FN254-1)))</f>
        <v>0.9089377697942993</v>
      </c>
      <c r="HR254" s="469">
        <f ca="1">IF($FN254+HR$244&gt;73,"",PRODUCT(INDEX($T$19:$T$93,HR$244):INDEX($T$19:$T$93,HR$244+$FN254-1)))</f>
        <v>0.8991785116842349</v>
      </c>
      <c r="HS254" s="469">
        <f ca="1">IF($FN254+HS$244&gt;73,"",PRODUCT(INDEX($T$19:$T$93,HS$244):INDEX($T$19:$T$93,HS$244+$FN254-1)))</f>
        <v>0.88841289386641786</v>
      </c>
      <c r="HT254" s="469">
        <f ca="1">IF($FN254+HT$244&gt;73,"",PRODUCT(INDEX($T$19:$T$93,HT$244):INDEX($T$19:$T$93,HT$244+$FN254-1)))</f>
        <v>0.87654557244086562</v>
      </c>
      <c r="HU254" s="469">
        <f ca="1">IF($FN254+HU$244&gt;73,"",PRODUCT(INDEX($T$19:$T$93,HU$244):INDEX($T$19:$T$93,HU$244+$FN254-1)))</f>
        <v>0.86347397695051509</v>
      </c>
      <c r="HV254" s="469">
        <f ca="1">IF($FN254+HV$244&gt;73,"",PRODUCT(INDEX($T$19:$T$93,HV$244):INDEX($T$19:$T$93,HV$244+$FN254-1)))</f>
        <v>0.84908818301565614</v>
      </c>
      <c r="HW254" s="469">
        <f ca="1">IF($FN254+HW$244&gt;73,"",PRODUCT(INDEX($T$19:$T$93,HW$244):INDEX($T$19:$T$93,HW$244+$FN254-1)))</f>
        <v>0.83327091395193031</v>
      </c>
      <c r="HX254" s="469">
        <f ca="1">IF($FN254+HX$244&gt;73,"",PRODUCT(INDEX($T$19:$T$93,HX$244):INDEX($T$19:$T$93,HX$244+$FN254-1)))</f>
        <v>0.81589772357406987</v>
      </c>
      <c r="HY254" s="469">
        <f ca="1">IF($FN254+HY$244&gt;73,"",PRODUCT(INDEX($T$19:$T$93,HY$244):INDEX($T$19:$T$93,HY$244+$FN254-1)))</f>
        <v>0.79683743197837398</v>
      </c>
      <c r="HZ254" s="469">
        <f ca="1">IF($FN254+HZ$244&gt;73,"",PRODUCT(INDEX($T$19:$T$93,HZ$244):INDEX($T$19:$T$93,HZ$244+$FN254-1)))</f>
        <v>0.77595291373036601</v>
      </c>
      <c r="IA254" s="469">
        <f ca="1">IF($FN254+IA$244&gt;73,"",PRODUCT(INDEX($T$19:$T$93,IA$244):INDEX($T$19:$T$93,IA$244+$FN254-1)))</f>
        <v>0.75310237676357994</v>
      </c>
      <c r="IB254" s="469">
        <f ca="1">IF($FN254+IB$244&gt;73,"",PRODUCT(INDEX($T$19:$T$93,IB$244):INDEX($T$19:$T$93,IB$244+$FN254-1)))</f>
        <v>0.72814132460280168</v>
      </c>
      <c r="IC254" s="469">
        <f ca="1">IF($FN254+IC$244&gt;73,"",PRODUCT(INDEX($T$19:$T$93,IC$244):INDEX($T$19:$T$93,IC$244+$FN254-1)))</f>
        <v>0.70092546943738754</v>
      </c>
      <c r="ID254" s="469">
        <f ca="1">IF($FN254+ID$244&gt;73,"",PRODUCT(INDEX($T$19:$T$93,ID$244):INDEX($T$19:$T$93,ID$244+$FN254-1)))</f>
        <v>0.67131496496264975</v>
      </c>
      <c r="IE254" s="469">
        <f ca="1">IF($FN254+IE$244&gt;73,"",PRODUCT(INDEX($T$19:$T$93,IE$244):INDEX($T$19:$T$93,IE$244+$FN254-1)))</f>
        <v>0.63918046139015638</v>
      </c>
      <c r="IF254" s="469">
        <f ca="1">IF($FN254+IF$244&gt;73,"",PRODUCT(INDEX($T$19:$T$93,IF$244):INDEX($T$19:$T$93,IF$244+$FN254-1)))</f>
        <v>0.60441165369432559</v>
      </c>
      <c r="IG254" s="469">
        <f ca="1">IF($FN254+IG$244&gt;73,"",PRODUCT(INDEX($T$19:$T$93,IG$244):INDEX($T$19:$T$93,IG$244+$FN254-1)))</f>
        <v>0.56692919399624964</v>
      </c>
      <c r="IH254" s="662">
        <f ca="1">IF($FN254+IH$244&gt;73,"",PRODUCT(INDEX($T$19:$T$93,IH$244):INDEX($T$19:$T$93,IH$244+$FN254-1)))</f>
        <v>0.52670105026270686</v>
      </c>
      <c r="II254" s="242"/>
    </row>
    <row r="255" spans="8:243">
      <c r="H255" s="49" t="e">
        <f t="shared" ca="1" si="645"/>
        <v>#N/A</v>
      </c>
      <c r="I255" s="369">
        <f t="shared" si="646"/>
        <v>44166</v>
      </c>
      <c r="J255" s="367">
        <v>25.259999999999799</v>
      </c>
      <c r="K255" s="101" t="s">
        <v>267</v>
      </c>
      <c r="L255" s="382">
        <f t="shared" si="647"/>
        <v>25.259999999999796</v>
      </c>
      <c r="M255" s="163">
        <v>0.1211</v>
      </c>
      <c r="N255" s="372">
        <v>0</v>
      </c>
      <c r="O255" s="163">
        <f t="shared" si="595"/>
        <v>0.1211</v>
      </c>
      <c r="P255" s="367">
        <v>24.021422455357197</v>
      </c>
      <c r="Q255" s="101" t="s">
        <v>267</v>
      </c>
      <c r="R255" s="367">
        <f t="shared" ca="1" si="596"/>
        <v>24.021422455357158</v>
      </c>
      <c r="S255" s="814">
        <f t="shared" si="594"/>
        <v>0.34475998451796103</v>
      </c>
      <c r="T255" s="813">
        <f t="shared" si="660"/>
        <v>0.99999999999862133</v>
      </c>
      <c r="U255" s="532">
        <f t="shared" si="661"/>
        <v>0.99999999999999978</v>
      </c>
      <c r="V255" s="379">
        <v>0</v>
      </c>
      <c r="W255" s="424">
        <f t="shared" si="597"/>
        <v>25.294090909090702</v>
      </c>
      <c r="X255" s="405">
        <f t="shared" si="598"/>
        <v>25.294090909090702</v>
      </c>
      <c r="Y255" s="313">
        <f t="shared" si="599"/>
        <v>24.0524909090907</v>
      </c>
      <c r="Z255" s="313">
        <f t="shared" ca="1" si="600"/>
        <v>24.0524909090907</v>
      </c>
      <c r="AA255" s="419">
        <f t="shared" si="623"/>
        <v>1.2416</v>
      </c>
      <c r="AB255" s="423">
        <f t="shared" ca="1" si="624"/>
        <v>1.2416</v>
      </c>
      <c r="AC255" s="221">
        <v>44155</v>
      </c>
      <c r="AD255" s="221">
        <v>44151</v>
      </c>
      <c r="AE255" s="221">
        <v>44150</v>
      </c>
      <c r="AF255" s="221">
        <v>44146</v>
      </c>
      <c r="AG255" s="241" t="s">
        <v>497</v>
      </c>
      <c r="AH255" s="239" t="s">
        <v>497</v>
      </c>
      <c r="AI255" s="141">
        <v>22</v>
      </c>
      <c r="AJ255" s="41">
        <v>14</v>
      </c>
      <c r="AK255" s="41">
        <v>8</v>
      </c>
      <c r="AL255" s="285">
        <v>22</v>
      </c>
      <c r="AM255" s="41">
        <v>10</v>
      </c>
      <c r="AN255" s="142">
        <v>12</v>
      </c>
      <c r="AO255" s="364">
        <v>6.4440335919521807E-2</v>
      </c>
      <c r="AP255" s="145">
        <f t="shared" ca="1" si="648"/>
        <v>0.28613586668596763</v>
      </c>
      <c r="AQ255" s="364">
        <v>5.9910618043806305E-2</v>
      </c>
      <c r="AR255" s="145">
        <f t="shared" ca="1" si="662"/>
        <v>0.31432004914549055</v>
      </c>
      <c r="AS255" s="264">
        <f t="shared" si="601"/>
        <v>0.1211</v>
      </c>
      <c r="AT255" s="149">
        <f t="shared" si="649"/>
        <v>0.1211</v>
      </c>
      <c r="AU255" s="149">
        <f t="shared" si="625"/>
        <v>0.1211</v>
      </c>
      <c r="AV255" s="263">
        <f t="shared" ca="1" si="669"/>
        <v>0.11921489663036125</v>
      </c>
      <c r="AW255" s="150" t="str">
        <f t="shared" ca="1" si="671"/>
        <v/>
      </c>
      <c r="AX255" s="149">
        <f t="shared" ca="1" si="663"/>
        <v>2.3519467262181357E-3</v>
      </c>
      <c r="AY255" s="149">
        <f t="shared" ca="1" si="664"/>
        <v>6.6094597459011425E-4</v>
      </c>
      <c r="AZ255" s="149">
        <f t="shared" ca="1" si="665"/>
        <v>9.3947569147668228E-4</v>
      </c>
      <c r="BA255" s="149">
        <f t="shared" ca="1" si="666"/>
        <v>1.0000000000001319E-4</v>
      </c>
      <c r="BB255" s="149">
        <f t="shared" ca="1" si="667"/>
        <v>1.0000000000001319E-4</v>
      </c>
      <c r="BC255" s="149">
        <f t="shared" ca="1" si="668"/>
        <v>1.0000000000001319E-4</v>
      </c>
      <c r="BD255" s="143">
        <f t="shared" ca="1" si="602"/>
        <v>0</v>
      </c>
      <c r="BE255" s="144">
        <f t="shared" ca="1" si="603"/>
        <v>0</v>
      </c>
      <c r="BF255" s="40">
        <f t="shared" si="604"/>
        <v>2020</v>
      </c>
      <c r="BG255" s="139">
        <f t="shared" si="605"/>
        <v>12</v>
      </c>
      <c r="BH255" s="140">
        <f t="shared" ca="1" si="606"/>
        <v>7161</v>
      </c>
      <c r="BI255" s="304">
        <f t="shared" ca="1" si="607"/>
        <v>19.646817248459961</v>
      </c>
      <c r="BJ255" s="42">
        <f t="shared" ca="1" si="626"/>
        <v>19.699085308941573</v>
      </c>
      <c r="BK255" s="42">
        <f t="shared" ca="1" si="627"/>
        <v>19.701823159728704</v>
      </c>
      <c r="BL255" s="42">
        <f t="shared" ca="1" si="608"/>
        <v>19.728952772073921</v>
      </c>
      <c r="BM255" s="285">
        <f t="shared" si="609"/>
        <v>22</v>
      </c>
      <c r="BN255" s="41">
        <f t="shared" si="610"/>
        <v>14</v>
      </c>
      <c r="BO255" s="41">
        <f t="shared" si="611"/>
        <v>8</v>
      </c>
      <c r="BP255" s="297" t="str">
        <f t="shared" ca="1" si="628"/>
        <v/>
      </c>
      <c r="BQ255" s="297" t="str">
        <f t="shared" ca="1" si="629"/>
        <v/>
      </c>
      <c r="BR255" s="299" t="str">
        <f t="shared" ca="1" si="630"/>
        <v/>
      </c>
      <c r="BS255" s="153" t="str">
        <f t="shared" ca="1" si="631"/>
        <v/>
      </c>
      <c r="BT255" s="153" t="str">
        <f t="shared" ca="1" si="632"/>
        <v/>
      </c>
      <c r="BU255" s="300" t="str">
        <f t="shared" ca="1" si="633"/>
        <v/>
      </c>
      <c r="BV255" s="301" t="str">
        <f t="shared" ca="1" si="634"/>
        <v/>
      </c>
      <c r="BW255" s="300" t="str">
        <f t="shared" ca="1" si="635"/>
        <v/>
      </c>
      <c r="BX255" s="301" t="str">
        <f t="shared" ca="1" si="636"/>
        <v/>
      </c>
      <c r="BY255" s="146" t="str">
        <f t="shared" ca="1" si="637"/>
        <v/>
      </c>
      <c r="BZ255" s="146" t="str">
        <f t="shared" ca="1" si="638"/>
        <v/>
      </c>
      <c r="CA255" s="146" t="str">
        <f t="shared" ca="1" si="639"/>
        <v/>
      </c>
      <c r="CB255" s="146" t="str">
        <f t="shared" ca="1" si="640"/>
        <v/>
      </c>
      <c r="CC255" s="302">
        <v>1</v>
      </c>
      <c r="CD255" s="154">
        <f ca="1">IF(BD255,_xll.xCrudeAPO(BS255,BT255,BY255,BZ255,S256,S257,BI255,BL255,BN255,BO255,0,Strike1,AO255,CC255,0,BL255,IF(OptControl=4,0,1),0,1),0)</f>
        <v>0</v>
      </c>
      <c r="CE255" s="155">
        <f ca="1">IF(BD255,_xll.xCrudeAPO(BS255,BT255,BY255,BZ255,S256,S257,BI255,BL255,BN255,BO255,0,Strike1,AO255,CC255,0,BL255,IF(OptControl=4,0,1),1,1)+_xll.xCrudeAPO(BS255,BT255,BY255,BZ255,S256,S257,BI255,BL255,BN255,BO255,0,Strike1,AO255,CC255,0,BL255,IF(OptControl=4,0,1),1,2)+IF(OR(VolSkewFlag=2,ABS(BQ255)&lt;0.0001),0,IF(BQ255&gt;0,-1,1)*CF255*Strike1/BP255^2*BW255/10%),0)</f>
        <v>0</v>
      </c>
      <c r="CF255" s="155">
        <f ca="1">IF(BD255,(_xll.xCrudeAPO(BS255,BT255,BY255,BZ255,S256,S257,BI255,BL255,BN255,BO255,0,Strike1,AO255,CC255,0,BL255,IF(OptControl=4,0,1),3,1)+_xll.xCrudeAPO(BS255,BT255,BY255,BZ255,S256,S257,BI255,BL255,BN255,BO255,0,Strike1,AO255,CC255,0,BL255,IF(OptControl=4,0,1),3,2))/100,0)</f>
        <v>0</v>
      </c>
      <c r="CG255" s="155">
        <f ca="1">IF(BD255,_xll.xCrudeAPO(BS255,BT255,BY255,BZ255,S256,S257,BI255-DaysForThetaCalculation/365.25,BL255-DaysForThetaCalculation/365.25,BN255,BO255,0,Strike1,AO255,CC255,0,BL255,IF(OptControl=4,0,1),0,1)-_xll.xCrudeAPO(BS255,BT255,BY255,BZ255,S256,S257,BI255,BL255,BN255,BO255,0,Strike1,AO255,CC255,0,BL255,IF(OptControl=4,0,1),0,1),0)</f>
        <v>0</v>
      </c>
      <c r="CH255" s="303">
        <f ca="1">IF(BD255,_xll.xCrudeAPO(BS255,BT255,CA255,CB255,S256,S257,BI255,BL255,BN255,BO255,0,Strike2,AO255,CC255,0,BL255,IF(OptControl=3,1,0),0,1),0)</f>
        <v>0</v>
      </c>
      <c r="CI255" s="155">
        <f ca="1">IF(BD255,_xll.xCrudeAPO(BS255,BT255,CA255,CB255,S256,S257,BI255,BL255,BN255,BO255,0,Strike2,AO255,CC255,0,BL255,IF(OptControl=3,1,0),1,1)+_xll.xCrudeAPO(BS255,BT255,CA255,CB255,S256,S257,BI255,BL255,BN255,BO255,0,Strike2,AO255,CC255,0,BL255,IF(OptControl=3,1,0),1,2)+IF(OR(VolSkewFlag=2,ABS(BR255)&lt;0.0001),0,IF(BR255&gt;0,-1,1)*CJ255*Strike2/BP255^2*BX255/10%),0)</f>
        <v>0</v>
      </c>
      <c r="CJ255" s="155">
        <f ca="1">IF(BD255,(_xll.xCrudeAPO(BS255,BT255,CA255,CB255,S256,S257,BI255,BL255,BN255,BO255,0,Strike2,AO255,CC255,0,BL255,IF(OptControl=3,1,0),3,1)+_xll.xCrudeAPO(BS255,BT255,CA255,CB255,S256,S257,BI255,BL255,BN255,BO255,0,Strike2,AO255,CC255,0,BL255,IF(OptControl=3,1,0),3,2))/100,0)</f>
        <v>0</v>
      </c>
      <c r="CK255" s="156">
        <f ca="1">IF(BD255,_xll.xCrudeAPO(BS255,BT255,CA255,CB255,S256,S257,BI255-DaysForThetaCalculation/365.25,BL255-DaysForThetaCalculation/365.25,BN255,BO255,0,Strike2,AO255,CC255,0,BL255,IF(OptControl=3,1,0),0,1)-_xll.xCrudeAPO(BS255,BT255,CA255,CB255,S256,S257,BI255,BL255,BN255,BO255,0,Strike2,AO255,CC255,0,BL255,IF(OptControl=3,1,0),0,1),0)</f>
        <v>0</v>
      </c>
      <c r="CL255" s="51"/>
      <c r="CM255" s="779" t="str">
        <f t="shared" ca="1" si="650"/>
        <v/>
      </c>
      <c r="CN255" s="783" t="str">
        <f t="shared" ca="1" si="651"/>
        <v/>
      </c>
      <c r="CO255" s="780" t="str">
        <f t="shared" ca="1" si="652"/>
        <v/>
      </c>
      <c r="CP255" s="780" t="str">
        <f t="shared" ca="1" si="653"/>
        <v/>
      </c>
      <c r="CQ255" s="780" t="str">
        <f t="shared" ca="1" si="654"/>
        <v/>
      </c>
      <c r="CR255" s="780" t="str">
        <f t="shared" ca="1" si="655"/>
        <v/>
      </c>
      <c r="CS255" s="781" t="str">
        <f t="shared" ca="1" si="656"/>
        <v/>
      </c>
      <c r="CT255" s="782" t="str">
        <f t="shared" ca="1" si="657"/>
        <v/>
      </c>
      <c r="CU255" s="782" t="str">
        <f t="shared" ca="1" si="658"/>
        <v/>
      </c>
      <c r="CV255" s="155">
        <f ca="1">IF(BD255,_xll.EURO(CN255,Strike1,AO255,AO255,CT255,CM255,IF(OptControl=4,0,1),0),0)</f>
        <v>0</v>
      </c>
      <c r="CW255" s="155">
        <f ca="1">IF(BD255,_xll.EURO(CN255,Strike1,AO255,AO255,CT255,CM255,IF(OptControl=4,0,1),1)+IF(OR(VolSkewFlag=2,ABS(CO255)&lt;0.0001),0,IF(CO255&gt;0,-1,1)*CX255*100*Strike1/CN255^2*CQ255/10%),0)</f>
        <v>0</v>
      </c>
      <c r="CX255" s="155">
        <f ca="1">IF(BD255,_xll.EURO(CN255,Strike1,AO255,AO255,CT255,CM255,IF(OptControl=4,0,1),3)/100,0)</f>
        <v>0</v>
      </c>
      <c r="CY255" s="155">
        <f ca="1">IF(BD255,_xll.EURO(CN255,Strike1,AO255,AO255,CT255,CM255,IF(OptControl=4,0,1),0)-_xll.EURO(CN255,Strike1,AO255,AO255,CT255,CM255-1,IF(OptControl=4,0,1),0),0)</f>
        <v>0</v>
      </c>
      <c r="CZ255" s="155">
        <f ca="1">IF(BD255,_xll.EURO(CN255,Strike2,AO255,AO255,CU255,CM255,IF(OptControl=3,1,0),0),0)</f>
        <v>0</v>
      </c>
      <c r="DA255" s="155">
        <f ca="1">IF(BD255,_xll.EURO(CN255,Strike2,AO255,AO255,CU255,CM255,IF(OptControl=3,1,0),1)+IF(OR(VolSkewFlag=2,ABS(CP255)&lt;0.0001),0,IF(CP255&gt;0,-1,1)*DB255*100*Strike2/CN255^2*CR255/10%),0)</f>
        <v>0</v>
      </c>
      <c r="DB255" s="155">
        <f ca="1">IF(BD255,_xll.EURO(CN255,Strike2,AO255,AO255,CU255,CM255,IF(OptControl=3,1,0),3)/100,0)</f>
        <v>0</v>
      </c>
      <c r="DC255" s="156">
        <f ca="1">IF(BD255,_xll.EURO(CN255,Strike2,AO255,AO255,CU255,CM255,IF(OptControl=3,1,0),0)-_xll.EURO(CN255,Strike2,AO255,AO255,CU255,CM255-1,IF(OptControl=3,1,0),0),0)</f>
        <v>0</v>
      </c>
      <c r="DE255" s="651">
        <f t="shared" ca="1" si="659"/>
        <v>44075</v>
      </c>
      <c r="DF255" s="465">
        <v>1E-4</v>
      </c>
      <c r="DG255" s="649">
        <v>1E-4</v>
      </c>
      <c r="DH255" s="650">
        <f t="shared" ca="1" si="612"/>
        <v>44075</v>
      </c>
      <c r="DI255" s="465">
        <v>1E-4</v>
      </c>
      <c r="DJ255" s="649">
        <v>1E-4</v>
      </c>
      <c r="DK255" s="651">
        <f t="shared" ca="1" si="613"/>
        <v>44075</v>
      </c>
      <c r="DL255" s="652">
        <f t="shared" si="614"/>
        <v>5.0100000000000006E-2</v>
      </c>
      <c r="DM255" s="651">
        <f t="shared" ca="1" si="615"/>
        <v>44075</v>
      </c>
      <c r="DN255" s="563">
        <f t="shared" si="616"/>
        <v>-0.12990000000000002</v>
      </c>
      <c r="DO255" s="803">
        <v>-0.13</v>
      </c>
      <c r="DP255" s="650">
        <f t="shared" ca="1" si="617"/>
        <v>44075</v>
      </c>
      <c r="DQ255" s="653">
        <v>1E-4</v>
      </c>
      <c r="DR255" s="590">
        <v>1E-4</v>
      </c>
      <c r="DS255" s="650">
        <f t="shared" ca="1" si="618"/>
        <v>44075</v>
      </c>
      <c r="DT255" s="653">
        <v>1E-4</v>
      </c>
      <c r="DU255" s="590">
        <v>1E-4</v>
      </c>
      <c r="DV255" s="651">
        <f t="shared" ca="1" si="619"/>
        <v>44075</v>
      </c>
      <c r="DW255" s="590">
        <v>1E-4</v>
      </c>
      <c r="DX255" s="651">
        <f t="shared" ca="1" si="620"/>
        <v>44075</v>
      </c>
      <c r="DY255" s="590">
        <f t="shared" si="621"/>
        <v>1E-4</v>
      </c>
      <c r="DZ255" s="1"/>
      <c r="EA255" s="857"/>
      <c r="EB255" s="857"/>
      <c r="EC255" s="857"/>
      <c r="ED255" s="868" t="e">
        <f t="shared" ca="1" si="670"/>
        <v>#NAME?</v>
      </c>
      <c r="EE255" s="863" t="e">
        <f t="shared" ca="1" si="641"/>
        <v>#NAME?</v>
      </c>
      <c r="EF255" s="590" t="e">
        <f t="shared" ca="1" si="642"/>
        <v>#NAME?</v>
      </c>
      <c r="EG255" s="862" t="str">
        <f t="shared" ca="1" si="622"/>
        <v/>
      </c>
      <c r="EH255" s="114" t="str">
        <f t="shared" ca="1" si="643"/>
        <v/>
      </c>
      <c r="EI255" s="109" t="str">
        <f t="shared" ca="1" si="644"/>
        <v/>
      </c>
      <c r="EJ255" s="115">
        <f ca="1">IF(BD255,_xll.xASN(BP255,Strike1,AO255,EH255,0,BM255,0,BI255,BL255,IF(OptControl=4,0,1),0),0)</f>
        <v>0</v>
      </c>
      <c r="EK255" s="108">
        <f ca="1">IF(BD255,_xll.xASN(BP255,Strike2,AO255,EI255,0,BM255,0,BI255,BL255,IF(OptControl=3,1,0),0),0)</f>
        <v>0</v>
      </c>
      <c r="EP255" s="53"/>
      <c r="EQ255" s="1"/>
      <c r="ER255" s="103"/>
      <c r="ES255" s="103"/>
      <c r="ET255" s="1"/>
      <c r="EU255" s="667" t="s">
        <v>468</v>
      </c>
      <c r="EW255" s="53"/>
      <c r="EY255" s="104"/>
      <c r="FN255" s="657">
        <v>11</v>
      </c>
      <c r="FO255" s="469" t="str">
        <f ca="1">IF($FN255+FO$244&gt;73,"",PRODUCT(INDEX($T$19:$T$93,FO$244):INDEX($T$19:$T$93,FO$244+$FN255-1)))</f>
        <v/>
      </c>
      <c r="FP255" s="469" t="str">
        <f ca="1">IF($FN255+FP$244&gt;73,"",PRODUCT(INDEX($T$19:$T$93,FP$244):INDEX($T$19:$T$93,FP$244+$FN255-1)))</f>
        <v/>
      </c>
      <c r="FQ255" s="469" t="str">
        <f ca="1">IF($FN255+FQ$244&gt;73,"",PRODUCT(INDEX($T$19:$T$93,FQ$244):INDEX($T$19:$T$93,FQ$244+$FN255-1)))</f>
        <v/>
      </c>
      <c r="FR255" s="469" t="str">
        <f ca="1">IF($FN255+FR$244&gt;73,"",PRODUCT(INDEX($T$19:$T$93,FR$244):INDEX($T$19:$T$93,FR$244+$FN255-1)))</f>
        <v/>
      </c>
      <c r="FS255" s="469" t="str">
        <f ca="1">IF($FN255+FS$244&gt;73,"",PRODUCT(INDEX($T$19:$T$93,FS$244):INDEX($T$19:$T$93,FS$244+$FN255-1)))</f>
        <v/>
      </c>
      <c r="FT255" s="469" t="str">
        <f ca="1">IF($FN255+FT$244&gt;73,"",PRODUCT(INDEX($T$19:$T$93,FT$244):INDEX($T$19:$T$93,FT$244+$FN255-1)))</f>
        <v/>
      </c>
      <c r="FU255" s="469" t="str">
        <f ca="1">IF($FN255+FU$244&gt;73,"",PRODUCT(INDEX($T$19:$T$93,FU$244):INDEX($T$19:$T$93,FU$244+$FN255-1)))</f>
        <v/>
      </c>
      <c r="FV255" s="469" t="str">
        <f ca="1">IF($FN255+FV$244&gt;73,"",PRODUCT(INDEX($T$19:$T$93,FV$244):INDEX($T$19:$T$93,FV$244+$FN255-1)))</f>
        <v/>
      </c>
      <c r="FW255" s="469" t="str">
        <f ca="1">IF($FN255+FW$244&gt;73,"",PRODUCT(INDEX($T$19:$T$93,FW$244):INDEX($T$19:$T$93,FW$244+$FN255-1)))</f>
        <v/>
      </c>
      <c r="FX255" s="469" t="str">
        <f ca="1">IF($FN255+FX$244&gt;73,"",PRODUCT(INDEX($T$19:$T$93,FX$244):INDEX($T$19:$T$93,FX$244+$FN255-1)))</f>
        <v/>
      </c>
      <c r="FY255" s="469">
        <f ca="1">IF($FN255+FY$244&gt;73,"",PRODUCT(INDEX($T$19:$T$93,FY$244):INDEX($T$19:$T$93,FY$244+$FN255-1)))</f>
        <v>0.99903780420528421</v>
      </c>
      <c r="FZ255" s="469">
        <f ca="1">IF($FN255+FZ$244&gt;73,"",PRODUCT(INDEX($T$19:$T$93,FZ$244):INDEX($T$19:$T$93,FZ$244+$FN255-1)))</f>
        <v>0.99893093900580565</v>
      </c>
      <c r="GA255" s="469">
        <f ca="1">IF($FN255+GA$244&gt;73,"",PRODUCT(INDEX($T$19:$T$93,GA$244):INDEX($T$19:$T$93,GA$244+$FN255-1)))</f>
        <v>0.99881221053246461</v>
      </c>
      <c r="GB255" s="469">
        <f ca="1">IF($FN255+GB$244&gt;73,"",PRODUCT(INDEX($T$19:$T$93,GB$244):INDEX($T$19:$T$93,GB$244+$FN255-1)))</f>
        <v>0.99868030313124367</v>
      </c>
      <c r="GC255" s="469">
        <f ca="1">IF($FN255+GC$244&gt;73,"",PRODUCT(INDEX($T$19:$T$93,GC$244):INDEX($T$19:$T$93,GC$244+$FN255-1)))</f>
        <v>0.99853375554526747</v>
      </c>
      <c r="GD255" s="469">
        <f ca="1">IF($FN255+GD$244&gt;73,"",PRODUCT(INDEX($T$19:$T$93,GD$244):INDEX($T$19:$T$93,GD$244+$FN255-1)))</f>
        <v>0.99837094487210543</v>
      </c>
      <c r="GE255" s="469">
        <f ca="1">IF($FN255+GE$244&gt;73,"",PRODUCT(INDEX($T$19:$T$93,GE$244):INDEX($T$19:$T$93,GE$244+$FN255-1)))</f>
        <v>0.99819006877001915</v>
      </c>
      <c r="GF255" s="469">
        <f ca="1">IF($FN255+GF$244&gt;73,"",PRODUCT(INDEX($T$19:$T$93,GF$244):INDEX($T$19:$T$93,GF$244+$FN255-1)))</f>
        <v>0.99798912572587561</v>
      </c>
      <c r="GG255" s="469">
        <f ca="1">IF($FN255+GG$244&gt;73,"",PRODUCT(INDEX($T$19:$T$93,GG$244):INDEX($T$19:$T$93,GG$244+$FN255-1)))</f>
        <v>0.99776589317831088</v>
      </c>
      <c r="GH255" s="469">
        <f ca="1">IF($FN255+GH$244&gt;73,"",PRODUCT(INDEX($T$19:$T$93,GH$244):INDEX($T$19:$T$93,GH$244+$FN255-1)))</f>
        <v>0.99751790326885792</v>
      </c>
      <c r="GI255" s="469">
        <f ca="1">IF($FN255+GI$244&gt;73,"",PRODUCT(INDEX($T$19:$T$93,GI$244):INDEX($T$19:$T$93,GI$244+$FN255-1)))</f>
        <v>0.99724241597100827</v>
      </c>
      <c r="GJ255" s="469">
        <f ca="1">IF($FN255+GJ$244&gt;73,"",PRODUCT(INDEX($T$19:$T$93,GJ$244):INDEX($T$19:$T$93,GJ$244+$FN255-1)))</f>
        <v>0.99693638932250528</v>
      </c>
      <c r="GK255" s="469">
        <f ca="1">IF($FN255+GK$244&gt;73,"",PRODUCT(INDEX($T$19:$T$93,GK$244):INDEX($T$19:$T$93,GK$244+$FN255-1)))</f>
        <v>0.9965964464594349</v>
      </c>
      <c r="GL255" s="469">
        <f ca="1">IF($FN255+GL$244&gt;73,"",PRODUCT(INDEX($T$19:$T$93,GL$244):INDEX($T$19:$T$93,GL$244+$FN255-1)))</f>
        <v>0.99621883912183151</v>
      </c>
      <c r="GM255" s="469">
        <f ca="1">IF($FN255+GM$244&gt;73,"",PRODUCT(INDEX($T$19:$T$93,GM$244):INDEX($T$19:$T$93,GM$244+$FN255-1)))</f>
        <v>0.99579940726952321</v>
      </c>
      <c r="GN255" s="469">
        <f ca="1">IF($FN255+GN$244&gt;73,"",PRODUCT(INDEX($T$19:$T$93,GN$244):INDEX($T$19:$T$93,GN$244+$FN255-1)))</f>
        <v>0.99533353441374917</v>
      </c>
      <c r="GO255" s="469">
        <f ca="1">IF($FN255+GO$244&gt;73,"",PRODUCT(INDEX($T$19:$T$93,GO$244):INDEX($T$19:$T$93,GO$244+$FN255-1)))</f>
        <v>0.99481609823478478</v>
      </c>
      <c r="GP255" s="469">
        <f ca="1">IF($FN255+GP$244&gt;73,"",PRODUCT(INDEX($T$19:$T$93,GP$244):INDEX($T$19:$T$93,GP$244+$FN255-1)))</f>
        <v>0.99424141601843841</v>
      </c>
      <c r="GQ255" s="469">
        <f ca="1">IF($FN255+GQ$244&gt;73,"",PRODUCT(INDEX($T$19:$T$93,GQ$244):INDEX($T$19:$T$93,GQ$244+$FN255-1)))</f>
        <v>0.99360318440509077</v>
      </c>
      <c r="GR255" s="469">
        <f ca="1">IF($FN255+GR$244&gt;73,"",PRODUCT(INDEX($T$19:$T$93,GR$244):INDEX($T$19:$T$93,GR$244+$FN255-1)))</f>
        <v>0.99289441290413738</v>
      </c>
      <c r="GS255" s="469">
        <f ca="1">IF($FN255+GS$244&gt;73,"",PRODUCT(INDEX($T$19:$T$93,GS$244):INDEX($T$19:$T$93,GS$244+$FN255-1)))</f>
        <v>0.99210735058475308</v>
      </c>
      <c r="GT255" s="469">
        <f ca="1">IF($FN255+GT$244&gt;73,"",PRODUCT(INDEX($T$19:$T$93,GT$244):INDEX($T$19:$T$93,GT$244+$FN255-1)))</f>
        <v>0.99123340531133897</v>
      </c>
      <c r="GU255" s="469">
        <f ca="1">IF($FN255+GU$244&gt;73,"",PRODUCT(INDEX($T$19:$T$93,GU$244):INDEX($T$19:$T$93,GU$244+$FN255-1)))</f>
        <v>0.99026305484964505</v>
      </c>
      <c r="GV255" s="469">
        <f ca="1">IF($FN255+GV$244&gt;73,"",PRODUCT(INDEX($T$19:$T$93,GV$244):INDEX($T$19:$T$93,GV$244+$FN255-1)))</f>
        <v>0.98918574912841994</v>
      </c>
      <c r="GW255" s="469">
        <f ca="1">IF($FN255+GW$244&gt;73,"",PRODUCT(INDEX($T$19:$T$93,GW$244):INDEX($T$19:$T$93,GW$244+$FN255-1)))</f>
        <v>0.98798980290279714</v>
      </c>
      <c r="GX255" s="469">
        <f ca="1">IF($FN255+GX$244&gt;73,"",PRODUCT(INDEX($T$19:$T$93,GX$244):INDEX($T$19:$T$93,GX$244+$FN255-1)))</f>
        <v>0.98666227803126993</v>
      </c>
      <c r="GY255" s="469">
        <f ca="1">IF($FN255+GY$244&gt;73,"",PRODUCT(INDEX($T$19:$T$93,GY$244):INDEX($T$19:$T$93,GY$244+$FN255-1)))</f>
        <v>0.98518885455007432</v>
      </c>
      <c r="GZ255" s="469">
        <f ca="1">IF($FN255+GZ$244&gt;73,"",PRODUCT(INDEX($T$19:$T$93,GZ$244):INDEX($T$19:$T$93,GZ$244+$FN255-1)))</f>
        <v>0.98355368970985335</v>
      </c>
      <c r="HA255" s="469">
        <f ca="1">IF($FN255+HA$244&gt;73,"",PRODUCT(INDEX($T$19:$T$93,HA$244):INDEX($T$19:$T$93,HA$244+$FN255-1)))</f>
        <v>0.98173926413285639</v>
      </c>
      <c r="HB255" s="469">
        <f ca="1">IF($FN255+HB$244&gt;73,"",PRODUCT(INDEX($T$19:$T$93,HB$244):INDEX($T$19:$T$93,HB$244+$FN255-1)))</f>
        <v>0.97972621425870998</v>
      </c>
      <c r="HC255" s="469">
        <f ca="1">IF($FN255+HC$244&gt;73,"",PRODUCT(INDEX($T$19:$T$93,HC$244):INDEX($T$19:$T$93,HC$244+$FN255-1)))</f>
        <v>0.97749315027794181</v>
      </c>
      <c r="HD255" s="469">
        <f ca="1">IF($FN255+HD$244&gt;73,"",PRODUCT(INDEX($T$19:$T$93,HD$244):INDEX($T$19:$T$93,HD$244+$FN255-1)))</f>
        <v>0.97501645881086063</v>
      </c>
      <c r="HE255" s="469">
        <f ca="1">IF($FN255+HE$244&gt;73,"",PRODUCT(INDEX($T$19:$T$93,HE$244):INDEX($T$19:$T$93,HE$244+$FN255-1)))</f>
        <v>0.97227008968232231</v>
      </c>
      <c r="HF255" s="469">
        <f ca="1">IF($FN255+HF$244&gt;73,"",PRODUCT(INDEX($T$19:$T$93,HF$244):INDEX($T$19:$T$93,HF$244+$FN255-1)))</f>
        <v>0.96922532627895286</v>
      </c>
      <c r="HG255" s="469">
        <f ca="1">IF($FN255+HG$244&gt;73,"",PRODUCT(INDEX($T$19:$T$93,HG$244):INDEX($T$19:$T$93,HG$244+$FN255-1)))</f>
        <v>0.96585053916476726</v>
      </c>
      <c r="HH255" s="469">
        <f ca="1">IF($FN255+HH$244&gt;73,"",PRODUCT(INDEX($T$19:$T$93,HH$244):INDEX($T$19:$T$93,HH$244+$FN255-1)))</f>
        <v>0.96211092288616318</v>
      </c>
      <c r="HI255" s="469">
        <f ca="1">IF($FN255+HI$244&gt;73,"",PRODUCT(INDEX($T$19:$T$93,HI$244):INDEX($T$19:$T$93,HI$244+$FN255-1)))</f>
        <v>0.95796821623251838</v>
      </c>
      <c r="HJ255" s="469">
        <f ca="1">IF($FN255+HJ$244&gt;73,"",PRODUCT(INDEX($T$19:$T$93,HJ$244):INDEX($T$19:$T$93,HJ$244+$FN255-1)))</f>
        <v>0.95338040665167278</v>
      </c>
      <c r="HK255" s="469">
        <f ca="1">IF($FN255+HK$244&gt;73,"",PRODUCT(INDEX($T$19:$T$93,HK$244):INDEX($T$19:$T$93,HK$244+$FN255-1)))</f>
        <v>0.94830142007158269</v>
      </c>
      <c r="HL255" s="469">
        <f ca="1">IF($FN255+HL$244&gt;73,"",PRODUCT(INDEX($T$19:$T$93,HL$244):INDEX($T$19:$T$93,HL$244+$FN255-1)))</f>
        <v>0.942680798076306</v>
      </c>
      <c r="HM255" s="469">
        <f ca="1">IF($FN255+HM$244&gt;73,"",PRODUCT(INDEX($T$19:$T$93,HM$244):INDEX($T$19:$T$93,HM$244+$FN255-1)))</f>
        <v>0.93646336525843787</v>
      </c>
      <c r="HN255" s="469">
        <f ca="1">IF($FN255+HN$244&gt;73,"",PRODUCT(INDEX($T$19:$T$93,HN$244):INDEX($T$19:$T$93,HN$244+$FN255-1)))</f>
        <v>0.92958889066212602</v>
      </c>
      <c r="HO255" s="469">
        <f ca="1">IF($FN255+HO$244&gt;73,"",PRODUCT(INDEX($T$19:$T$93,HO$244):INDEX($T$19:$T$93,HO$244+$FN255-1)))</f>
        <v>0.92199174859412469</v>
      </c>
      <c r="HP255" s="469">
        <f ca="1">IF($FN255+HP$244&gt;73,"",PRODUCT(INDEX($T$19:$T$93,HP$244):INDEX($T$19:$T$93,HP$244+$FN255-1)))</f>
        <v>0.91360058578623682</v>
      </c>
      <c r="HQ255" s="469">
        <f ca="1">IF($FN255+HQ$244&gt;73,"",PRODUCT(INDEX($T$19:$T$93,HQ$244):INDEX($T$19:$T$93,HQ$244+$FN255-1)))</f>
        <v>0.9043380040382526</v>
      </c>
      <c r="HR255" s="469">
        <f ca="1">IF($FN255+HR$244&gt;73,"",PRODUCT(INDEX($T$19:$T$93,HR$244):INDEX($T$19:$T$93,HR$244+$FN255-1)))</f>
        <v>0.89412027019214135</v>
      </c>
      <c r="HS255" s="469">
        <f ca="1">IF($FN255+HS$244&gt;73,"",PRODUCT(INDEX($T$19:$T$93,HS$244):INDEX($T$19:$T$93,HS$244+$FN255-1)))</f>
        <v>0.8828570687786208</v>
      </c>
      <c r="HT255" s="469">
        <f ca="1">IF($FN255+HT$244&gt;73,"",PRODUCT(INDEX($T$19:$T$93,HT$244):INDEX($T$19:$T$93,HT$244+$FN255-1)))</f>
        <v>0.87045131721278102</v>
      </c>
      <c r="HU255" s="469">
        <f ca="1">IF($FN255+HU$244&gt;73,"",PRODUCT(INDEX($T$19:$T$93,HU$244):INDEX($T$19:$T$93,HU$244+$FN255-1)))</f>
        <v>0.85679906939409523</v>
      </c>
      <c r="HV255" s="469">
        <f ca="1">IF($FN255+HV$244&gt;73,"",PRODUCT(INDEX($T$19:$T$93,HV$244):INDEX($T$19:$T$93,HV$244+$FN255-1)))</f>
        <v>0.84178954156056796</v>
      </c>
      <c r="HW255" s="469">
        <f ca="1">IF($FN255+HW$244&gt;73,"",PRODUCT(INDEX($T$19:$T$93,HW$244):INDEX($T$19:$T$93,HW$244+$FN255-1)))</f>
        <v>0.8253053050761836</v>
      </c>
      <c r="HX255" s="469">
        <f ca="1">IF($FN255+HX$244&gt;73,"",PRODUCT(INDEX($T$19:$T$93,HX$244):INDEX($T$19:$T$93,HX$244+$FN255-1)))</f>
        <v>0.80722270565531351</v>
      </c>
      <c r="HY255" s="469">
        <f ca="1">IF($FN255+HY$244&gt;73,"",PRODUCT(INDEX($T$19:$T$93,HY$244):INDEX($T$19:$T$93,HY$244+$FN255-1)))</f>
        <v>0.78741258896465027</v>
      </c>
      <c r="HZ255" s="469">
        <f ca="1">IF($FN255+HZ$244&gt;73,"",PRODUCT(INDEX($T$19:$T$93,HZ$244):INDEX($T$19:$T$93,HZ$244+$FN255-1)))</f>
        <v>0.76574144079868645</v>
      </c>
      <c r="IA255" s="469">
        <f ca="1">IF($FN255+IA$244&gt;73,"",PRODUCT(INDEX($T$19:$T$93,IA$244):INDEX($T$19:$T$93,IA$244+$FN255-1)))</f>
        <v>0.74207308901823232</v>
      </c>
      <c r="IB255" s="469">
        <f ca="1">IF($FN255+IB$244&gt;73,"",PRODUCT(INDEX($T$19:$T$93,IB$244):INDEX($T$19:$T$93,IB$244+$FN255-1)))</f>
        <v>0.71627116787022505</v>
      </c>
      <c r="IC255" s="469">
        <f ca="1">IF($FN255+IC$244&gt;73,"",PRODUCT(INDEX($T$19:$T$93,IC$244):INDEX($T$19:$T$93,IC$244+$FN255-1)))</f>
        <v>0.6882026175432906</v>
      </c>
      <c r="ID255" s="469">
        <f ca="1">IF($FN255+ID$244&gt;73,"",PRODUCT(INDEX($T$19:$T$93,ID$244):INDEX($T$19:$T$93,ID$244+$FN255-1)))</f>
        <v>0.65774258742833269</v>
      </c>
      <c r="IE255" s="469">
        <f ca="1">IF($FN255+IE$244&gt;73,"",PRODUCT(INDEX($T$19:$T$93,IE$244):INDEX($T$19:$T$93,IE$244+$FN255-1)))</f>
        <v>0.624781234099406</v>
      </c>
      <c r="IF255" s="469">
        <f ca="1">IF($FN255+IF$244&gt;73,"",PRODUCT(INDEX($T$19:$T$93,IF$244):INDEX($T$19:$T$93,IF$244+$FN255-1)))</f>
        <v>0.58923305445066043</v>
      </c>
      <c r="IG255" s="469">
        <f ca="1">IF($FN255+IG$244&gt;73,"",PRODUCT(INDEX($T$19:$T$93,IG$244):INDEX($T$19:$T$93,IG$244+$FN255-1)))</f>
        <v>0.55104956206773903</v>
      </c>
      <c r="IH255" s="662">
        <f ca="1">IF($FN255+IH$244&gt;73,"",PRODUCT(INDEX($T$19:$T$93,IH$244):INDEX($T$19:$T$93,IH$244+$FN255-1)))</f>
        <v>0.51023627459662468</v>
      </c>
      <c r="II255" s="242"/>
    </row>
    <row r="256" spans="8:243">
      <c r="H256" s="49" t="e">
        <f t="shared" ca="1" si="645"/>
        <v>#N/A</v>
      </c>
      <c r="I256" s="369">
        <f t="shared" si="646"/>
        <v>44197</v>
      </c>
      <c r="J256" s="367">
        <v>25.284999999999798</v>
      </c>
      <c r="K256" s="101" t="s">
        <v>267</v>
      </c>
      <c r="L256" s="382">
        <f t="shared" si="647"/>
        <v>25.284999999999794</v>
      </c>
      <c r="M256" s="163">
        <v>0.1211</v>
      </c>
      <c r="N256" s="372">
        <v>0</v>
      </c>
      <c r="O256" s="163">
        <f t="shared" si="595"/>
        <v>0.1211</v>
      </c>
      <c r="P256" s="367">
        <v>24.029288676947697</v>
      </c>
      <c r="Q256" s="101" t="s">
        <v>267</v>
      </c>
      <c r="R256" s="367">
        <f t="shared" ca="1" si="596"/>
        <v>24.029288676947655</v>
      </c>
      <c r="S256" s="814">
        <f t="shared" si="594"/>
        <v>0.34471238467278142</v>
      </c>
      <c r="T256" s="813">
        <f t="shared" si="660"/>
        <v>0.99999999999875921</v>
      </c>
      <c r="U256" s="532">
        <f t="shared" si="661"/>
        <v>0.99999999999999978</v>
      </c>
      <c r="V256" s="379">
        <v>0</v>
      </c>
      <c r="W256" s="424">
        <f t="shared" si="597"/>
        <v>16.451499999999868</v>
      </c>
      <c r="X256" s="405">
        <f t="shared" si="598"/>
        <v>25.318749999999792</v>
      </c>
      <c r="Y256" s="313">
        <f t="shared" si="599"/>
        <v>15.235499999999869</v>
      </c>
      <c r="Z256" s="313">
        <f t="shared" ca="1" si="600"/>
        <v>24.102749999999791</v>
      </c>
      <c r="AA256" s="419">
        <f t="shared" si="623"/>
        <v>1.216</v>
      </c>
      <c r="AB256" s="423">
        <f t="shared" ca="1" si="624"/>
        <v>1.216</v>
      </c>
      <c r="AC256" s="221">
        <v>44185</v>
      </c>
      <c r="AD256" s="221">
        <v>44181</v>
      </c>
      <c r="AE256" s="221">
        <v>44180</v>
      </c>
      <c r="AF256" s="221">
        <v>44176</v>
      </c>
      <c r="AG256" s="241" t="s">
        <v>497</v>
      </c>
      <c r="AH256" s="239" t="s">
        <v>497</v>
      </c>
      <c r="AI256" s="141">
        <v>20</v>
      </c>
      <c r="AJ256" s="41">
        <v>13</v>
      </c>
      <c r="AK256" s="41">
        <v>7</v>
      </c>
      <c r="AL256" s="285">
        <v>20</v>
      </c>
      <c r="AM256" s="41">
        <v>9</v>
      </c>
      <c r="AN256" s="142">
        <v>11</v>
      </c>
      <c r="AO256" s="364">
        <v>6.4485658526402201E-2</v>
      </c>
      <c r="AP256" s="145">
        <f t="shared" ca="1" si="648"/>
        <v>0.28435224708371099</v>
      </c>
      <c r="AQ256" s="364">
        <v>5.9871386968967301E-2</v>
      </c>
      <c r="AR256" s="145">
        <f t="shared" ca="1" si="662"/>
        <v>0.31303441110245744</v>
      </c>
      <c r="AS256" s="264">
        <f t="shared" si="601"/>
        <v>7.8715000000000007E-2</v>
      </c>
      <c r="AT256" s="149">
        <f t="shared" si="649"/>
        <v>0.1211</v>
      </c>
      <c r="AU256" s="149">
        <f t="shared" si="625"/>
        <v>5.4495000000000002E-2</v>
      </c>
      <c r="AV256" s="263">
        <f t="shared" ca="1" si="669"/>
        <v>0.11928470322095068</v>
      </c>
      <c r="AW256" s="150" t="str">
        <f t="shared" ca="1" si="671"/>
        <v/>
      </c>
      <c r="AX256" s="149">
        <f t="shared" ca="1" si="663"/>
        <v>2.3189060759230577E-3</v>
      </c>
      <c r="AY256" s="149">
        <f t="shared" ca="1" si="664"/>
        <v>6.4957382507286015E-4</v>
      </c>
      <c r="AZ256" s="149">
        <f t="shared" ca="1" si="665"/>
        <v>9.2827910503680093E-4</v>
      </c>
      <c r="BA256" s="149">
        <f t="shared" ca="1" si="666"/>
        <v>1.0000000000001327E-4</v>
      </c>
      <c r="BB256" s="149">
        <f t="shared" ca="1" si="667"/>
        <v>1.0000000000001327E-4</v>
      </c>
      <c r="BC256" s="149">
        <f t="shared" ca="1" si="668"/>
        <v>1.0000000000001327E-4</v>
      </c>
      <c r="BD256" s="143">
        <f t="shared" ca="1" si="602"/>
        <v>0</v>
      </c>
      <c r="BE256" s="144">
        <f t="shared" ca="1" si="603"/>
        <v>0</v>
      </c>
      <c r="BF256" s="40">
        <f t="shared" si="604"/>
        <v>2021</v>
      </c>
      <c r="BG256" s="139">
        <f t="shared" si="605"/>
        <v>1</v>
      </c>
      <c r="BH256" s="140">
        <f t="shared" ca="1" si="606"/>
        <v>7191</v>
      </c>
      <c r="BI256" s="304">
        <f t="shared" ca="1" si="607"/>
        <v>19.731690622861056</v>
      </c>
      <c r="BJ256" s="42">
        <f t="shared" ca="1" si="626"/>
        <v>19.78507871321013</v>
      </c>
      <c r="BK256" s="42">
        <f t="shared" ca="1" si="627"/>
        <v>19.787816563997261</v>
      </c>
      <c r="BL256" s="42">
        <f t="shared" ca="1" si="608"/>
        <v>19.813826146475016</v>
      </c>
      <c r="BM256" s="285">
        <f t="shared" si="609"/>
        <v>20</v>
      </c>
      <c r="BN256" s="41">
        <f t="shared" si="610"/>
        <v>13</v>
      </c>
      <c r="BO256" s="41">
        <f t="shared" si="611"/>
        <v>7</v>
      </c>
      <c r="BP256" s="297" t="str">
        <f t="shared" ca="1" si="628"/>
        <v/>
      </c>
      <c r="BQ256" s="297" t="str">
        <f t="shared" ca="1" si="629"/>
        <v/>
      </c>
      <c r="BR256" s="299" t="str">
        <f t="shared" ca="1" si="630"/>
        <v/>
      </c>
      <c r="BS256" s="153" t="str">
        <f t="shared" ca="1" si="631"/>
        <v/>
      </c>
      <c r="BT256" s="153" t="str">
        <f t="shared" ca="1" si="632"/>
        <v/>
      </c>
      <c r="BU256" s="300" t="str">
        <f t="shared" ca="1" si="633"/>
        <v/>
      </c>
      <c r="BV256" s="301" t="str">
        <f t="shared" ca="1" si="634"/>
        <v/>
      </c>
      <c r="BW256" s="300" t="str">
        <f t="shared" ca="1" si="635"/>
        <v/>
      </c>
      <c r="BX256" s="301" t="str">
        <f t="shared" ca="1" si="636"/>
        <v/>
      </c>
      <c r="BY256" s="146" t="str">
        <f t="shared" ca="1" si="637"/>
        <v/>
      </c>
      <c r="BZ256" s="146" t="str">
        <f t="shared" ca="1" si="638"/>
        <v/>
      </c>
      <c r="CA256" s="146" t="str">
        <f t="shared" ca="1" si="639"/>
        <v/>
      </c>
      <c r="CB256" s="146" t="str">
        <f t="shared" ca="1" si="640"/>
        <v/>
      </c>
      <c r="CC256" s="302">
        <v>1</v>
      </c>
      <c r="CD256" s="154">
        <f ca="1">IF(BD256,_xll.xCrudeAPO(BS256,BT256,BY256,BZ256,S257,S258,BI256,BL256,BN256,BO256,0,Strike1,AO256,CC256,0,BL256,IF(OptControl=4,0,1),0,1),0)</f>
        <v>0</v>
      </c>
      <c r="CE256" s="155">
        <f ca="1">IF(BD256,_xll.xCrudeAPO(BS256,BT256,BY256,BZ256,S257,S258,BI256,BL256,BN256,BO256,0,Strike1,AO256,CC256,0,BL256,IF(OptControl=4,0,1),1,1)+_xll.xCrudeAPO(BS256,BT256,BY256,BZ256,S257,S258,BI256,BL256,BN256,BO256,0,Strike1,AO256,CC256,0,BL256,IF(OptControl=4,0,1),1,2)+IF(OR(VolSkewFlag=2,ABS(BQ256)&lt;0.0001),0,IF(BQ256&gt;0,-1,1)*CF256*Strike1/BP256^2*BW256/10%),0)</f>
        <v>0</v>
      </c>
      <c r="CF256" s="155">
        <f ca="1">IF(BD256,(_xll.xCrudeAPO(BS256,BT256,BY256,BZ256,S257,S258,BI256,BL256,BN256,BO256,0,Strike1,AO256,CC256,0,BL256,IF(OptControl=4,0,1),3,1)+_xll.xCrudeAPO(BS256,BT256,BY256,BZ256,S257,S258,BI256,BL256,BN256,BO256,0,Strike1,AO256,CC256,0,BL256,IF(OptControl=4,0,1),3,2))/100,0)</f>
        <v>0</v>
      </c>
      <c r="CG256" s="155">
        <f ca="1">IF(BD256,_xll.xCrudeAPO(BS256,BT256,BY256,BZ256,S257,S258,BI256-DaysForThetaCalculation/365.25,BL256-DaysForThetaCalculation/365.25,BN256,BO256,0,Strike1,AO256,CC256,0,BL256,IF(OptControl=4,0,1),0,1)-_xll.xCrudeAPO(BS256,BT256,BY256,BZ256,S257,S258,BI256,BL256,BN256,BO256,0,Strike1,AO256,CC256,0,BL256,IF(OptControl=4,0,1),0,1),0)</f>
        <v>0</v>
      </c>
      <c r="CH256" s="303">
        <f ca="1">IF(BD256,_xll.xCrudeAPO(BS256,BT256,CA256,CB256,S257,S258,BI256,BL256,BN256,BO256,0,Strike2,AO256,CC256,0,BL256,IF(OptControl=3,1,0),0,1),0)</f>
        <v>0</v>
      </c>
      <c r="CI256" s="155">
        <f ca="1">IF(BD256,_xll.xCrudeAPO(BS256,BT256,CA256,CB256,S257,S258,BI256,BL256,BN256,BO256,0,Strike2,AO256,CC256,0,BL256,IF(OptControl=3,1,0),1,1)+_xll.xCrudeAPO(BS256,BT256,CA256,CB256,S257,S258,BI256,BL256,BN256,BO256,0,Strike2,AO256,CC256,0,BL256,IF(OptControl=3,1,0),1,2)+IF(OR(VolSkewFlag=2,ABS(BR256)&lt;0.0001),0,IF(BR256&gt;0,-1,1)*CJ256*Strike2/BP256^2*BX256/10%),0)</f>
        <v>0</v>
      </c>
      <c r="CJ256" s="155">
        <f ca="1">IF(BD256,(_xll.xCrudeAPO(BS256,BT256,CA256,CB256,S257,S258,BI256,BL256,BN256,BO256,0,Strike2,AO256,CC256,0,BL256,IF(OptControl=3,1,0),3,1)+_xll.xCrudeAPO(BS256,BT256,CA256,CB256,S257,S258,BI256,BL256,BN256,BO256,0,Strike2,AO256,CC256,0,BL256,IF(OptControl=3,1,0),3,2))/100,0)</f>
        <v>0</v>
      </c>
      <c r="CK256" s="156">
        <f ca="1">IF(BD256,_xll.xCrudeAPO(BS256,BT256,CA256,CB256,S257,S258,BI256-DaysForThetaCalculation/365.25,BL256-DaysForThetaCalculation/365.25,BN256,BO256,0,Strike2,AO256,CC256,0,BL256,IF(OptControl=3,1,0),0,1)-_xll.xCrudeAPO(BS256,BT256,CA256,CB256,S257,S258,BI256,BL256,BN256,BO256,0,Strike2,AO256,CC256,0,BL256,IF(OptControl=3,1,0),0,1),0)</f>
        <v>0</v>
      </c>
      <c r="CL256" s="51"/>
      <c r="CM256" s="779" t="str">
        <f t="shared" ca="1" si="650"/>
        <v/>
      </c>
      <c r="CN256" s="783" t="str">
        <f t="shared" ca="1" si="651"/>
        <v/>
      </c>
      <c r="CO256" s="780" t="str">
        <f t="shared" ca="1" si="652"/>
        <v/>
      </c>
      <c r="CP256" s="780" t="str">
        <f t="shared" ca="1" si="653"/>
        <v/>
      </c>
      <c r="CQ256" s="780" t="str">
        <f t="shared" ca="1" si="654"/>
        <v/>
      </c>
      <c r="CR256" s="780" t="str">
        <f t="shared" ca="1" si="655"/>
        <v/>
      </c>
      <c r="CS256" s="781" t="str">
        <f t="shared" ca="1" si="656"/>
        <v/>
      </c>
      <c r="CT256" s="782" t="str">
        <f t="shared" ca="1" si="657"/>
        <v/>
      </c>
      <c r="CU256" s="782" t="str">
        <f t="shared" ca="1" si="658"/>
        <v/>
      </c>
      <c r="CV256" s="155">
        <f ca="1">IF(BD256,_xll.EURO(CN256,Strike1,AO256,AO256,CT256,CM256,IF(OptControl=4,0,1),0),0)</f>
        <v>0</v>
      </c>
      <c r="CW256" s="155">
        <f ca="1">IF(BD256,_xll.EURO(CN256,Strike1,AO256,AO256,CT256,CM256,IF(OptControl=4,0,1),1)+IF(OR(VolSkewFlag=2,ABS(CO256)&lt;0.0001),0,IF(CO256&gt;0,-1,1)*CX256*100*Strike1/CN256^2*CQ256/10%),0)</f>
        <v>0</v>
      </c>
      <c r="CX256" s="155">
        <f ca="1">IF(BD256,_xll.EURO(CN256,Strike1,AO256,AO256,CT256,CM256,IF(OptControl=4,0,1),3)/100,0)</f>
        <v>0</v>
      </c>
      <c r="CY256" s="155">
        <f ca="1">IF(BD256,_xll.EURO(CN256,Strike1,AO256,AO256,CT256,CM256,IF(OptControl=4,0,1),0)-_xll.EURO(CN256,Strike1,AO256,AO256,CT256,CM256-1,IF(OptControl=4,0,1),0),0)</f>
        <v>0</v>
      </c>
      <c r="CZ256" s="155">
        <f ca="1">IF(BD256,_xll.EURO(CN256,Strike2,AO256,AO256,CU256,CM256,IF(OptControl=3,1,0),0),0)</f>
        <v>0</v>
      </c>
      <c r="DA256" s="155">
        <f ca="1">IF(BD256,_xll.EURO(CN256,Strike2,AO256,AO256,CU256,CM256,IF(OptControl=3,1,0),1)+IF(OR(VolSkewFlag=2,ABS(CP256)&lt;0.0001),0,IF(CP256&gt;0,-1,1)*DB256*100*Strike2/CN256^2*CR256/10%),0)</f>
        <v>0</v>
      </c>
      <c r="DB256" s="155">
        <f ca="1">IF(BD256,_xll.EURO(CN256,Strike2,AO256,AO256,CU256,CM256,IF(OptControl=3,1,0),3)/100,0)</f>
        <v>0</v>
      </c>
      <c r="DC256" s="156">
        <f ca="1">IF(BD256,_xll.EURO(CN256,Strike2,AO256,AO256,CU256,CM256,IF(OptControl=3,1,0),0)-_xll.EURO(CN256,Strike2,AO256,AO256,CU256,CM256-1,IF(OptControl=3,1,0),0),0)</f>
        <v>0</v>
      </c>
      <c r="DE256" s="651">
        <f t="shared" ca="1" si="659"/>
        <v>44105</v>
      </c>
      <c r="DF256" s="465">
        <v>1E-4</v>
      </c>
      <c r="DG256" s="649">
        <v>1E-4</v>
      </c>
      <c r="DH256" s="650">
        <f t="shared" ca="1" si="612"/>
        <v>44105</v>
      </c>
      <c r="DI256" s="465">
        <v>1E-4</v>
      </c>
      <c r="DJ256" s="649">
        <v>1E-4</v>
      </c>
      <c r="DK256" s="651">
        <f t="shared" ca="1" si="613"/>
        <v>44105</v>
      </c>
      <c r="DL256" s="652">
        <f t="shared" si="614"/>
        <v>5.0100000000000006E-2</v>
      </c>
      <c r="DM256" s="651">
        <f t="shared" ca="1" si="615"/>
        <v>44105</v>
      </c>
      <c r="DN256" s="563">
        <f t="shared" si="616"/>
        <v>-0.12990000000000002</v>
      </c>
      <c r="DO256" s="803">
        <v>-0.13</v>
      </c>
      <c r="DP256" s="650">
        <f t="shared" ca="1" si="617"/>
        <v>44105</v>
      </c>
      <c r="DQ256" s="653">
        <v>1E-4</v>
      </c>
      <c r="DR256" s="590">
        <v>1E-4</v>
      </c>
      <c r="DS256" s="650">
        <f t="shared" ca="1" si="618"/>
        <v>44105</v>
      </c>
      <c r="DT256" s="653">
        <v>1E-4</v>
      </c>
      <c r="DU256" s="590">
        <v>1E-4</v>
      </c>
      <c r="DV256" s="651">
        <f t="shared" ca="1" si="619"/>
        <v>44105</v>
      </c>
      <c r="DW256" s="590">
        <v>1E-4</v>
      </c>
      <c r="DX256" s="651">
        <f t="shared" ca="1" si="620"/>
        <v>44105</v>
      </c>
      <c r="DY256" s="590">
        <f t="shared" si="621"/>
        <v>1E-4</v>
      </c>
      <c r="DZ256" s="1"/>
      <c r="EA256" s="857"/>
      <c r="EB256" s="857"/>
      <c r="EC256" s="857"/>
      <c r="ED256" s="868" t="e">
        <f t="shared" ca="1" si="670"/>
        <v>#NAME?</v>
      </c>
      <c r="EE256" s="863" t="e">
        <f t="shared" ca="1" si="641"/>
        <v>#NAME?</v>
      </c>
      <c r="EF256" s="590" t="e">
        <f t="shared" ca="1" si="642"/>
        <v>#NAME?</v>
      </c>
      <c r="EG256" s="862" t="str">
        <f t="shared" ca="1" si="622"/>
        <v/>
      </c>
      <c r="EH256" s="114" t="str">
        <f t="shared" ca="1" si="643"/>
        <v/>
      </c>
      <c r="EI256" s="109" t="str">
        <f t="shared" ca="1" si="644"/>
        <v/>
      </c>
      <c r="EJ256" s="115">
        <f ca="1">IF(BD256,_xll.xASN(BP256,Strike1,AO256,EH256,0,BM256,0,BI256,BL256,IF(OptControl=4,0,1),0),0)</f>
        <v>0</v>
      </c>
      <c r="EK256" s="108">
        <f ca="1">IF(BD256,_xll.xASN(BP256,Strike2,AO256,EI256,0,BM256,0,BI256,BL256,IF(OptControl=3,1,0),0),0)</f>
        <v>0</v>
      </c>
      <c r="EP256" s="53"/>
      <c r="EQ256" s="1"/>
      <c r="ER256" s="103"/>
      <c r="ES256" s="103"/>
      <c r="ET256" s="1"/>
      <c r="EU256" s="667" t="s">
        <v>469</v>
      </c>
      <c r="EW256" s="53"/>
      <c r="EY256" s="103"/>
      <c r="FN256" s="657">
        <v>12</v>
      </c>
      <c r="FO256" s="469" t="str">
        <f ca="1">IF($FN256+FO$244&gt;73,"",PRODUCT(INDEX($T$19:$T$93,FO$244):INDEX($T$19:$T$93,FO$244+$FN256-1)))</f>
        <v/>
      </c>
      <c r="FP256" s="469" t="str">
        <f ca="1">IF($FN256+FP$244&gt;73,"",PRODUCT(INDEX($T$19:$T$93,FP$244):INDEX($T$19:$T$93,FP$244+$FN256-1)))</f>
        <v/>
      </c>
      <c r="FQ256" s="469" t="str">
        <f ca="1">IF($FN256+FQ$244&gt;73,"",PRODUCT(INDEX($T$19:$T$93,FQ$244):INDEX($T$19:$T$93,FQ$244+$FN256-1)))</f>
        <v/>
      </c>
      <c r="FR256" s="469" t="str">
        <f ca="1">IF($FN256+FR$244&gt;73,"",PRODUCT(INDEX($T$19:$T$93,FR$244):INDEX($T$19:$T$93,FR$244+$FN256-1)))</f>
        <v/>
      </c>
      <c r="FS256" s="469" t="str">
        <f ca="1">IF($FN256+FS$244&gt;73,"",PRODUCT(INDEX($T$19:$T$93,FS$244):INDEX($T$19:$T$93,FS$244+$FN256-1)))</f>
        <v/>
      </c>
      <c r="FT256" s="469" t="str">
        <f ca="1">IF($FN256+FT$244&gt;73,"",PRODUCT(INDEX($T$19:$T$93,FT$244):INDEX($T$19:$T$93,FT$244+$FN256-1)))</f>
        <v/>
      </c>
      <c r="FU256" s="469" t="str">
        <f ca="1">IF($FN256+FU$244&gt;73,"",PRODUCT(INDEX($T$19:$T$93,FU$244):INDEX($T$19:$T$93,FU$244+$FN256-1)))</f>
        <v/>
      </c>
      <c r="FV256" s="469" t="str">
        <f ca="1">IF($FN256+FV$244&gt;73,"",PRODUCT(INDEX($T$19:$T$93,FV$244):INDEX($T$19:$T$93,FV$244+$FN256-1)))</f>
        <v/>
      </c>
      <c r="FW256" s="469" t="str">
        <f ca="1">IF($FN256+FW$244&gt;73,"",PRODUCT(INDEX($T$19:$T$93,FW$244):INDEX($T$19:$T$93,FW$244+$FN256-1)))</f>
        <v/>
      </c>
      <c r="FX256" s="469" t="str">
        <f ca="1">IF($FN256+FX$244&gt;73,"",PRODUCT(INDEX($T$19:$T$93,FX$244):INDEX($T$19:$T$93,FX$244+$FN256-1)))</f>
        <v/>
      </c>
      <c r="FY256" s="469" t="str">
        <f ca="1">IF($FN256+FY$244&gt;73,"",PRODUCT(INDEX($T$19:$T$93,FY$244):INDEX($T$19:$T$93,FY$244+$FN256-1)))</f>
        <v/>
      </c>
      <c r="FZ256" s="469">
        <f ca="1">IF($FN256+FZ$244&gt;73,"",PRODUCT(INDEX($T$19:$T$93,FZ$244):INDEX($T$19:$T$93,FZ$244+$FN256-1)))</f>
        <v>0.99888207858246014</v>
      </c>
      <c r="GA256" s="469">
        <f ca="1">IF($FN256+GA$244&gt;73,"",PRODUCT(INDEX($T$19:$T$93,GA$244):INDEX($T$19:$T$93,GA$244+$FN256-1)))</f>
        <v>0.99875792747527847</v>
      </c>
      <c r="GB256" s="469">
        <f ca="1">IF($FN256+GB$244&gt;73,"",PRODUCT(INDEX($T$19:$T$93,GB$244):INDEX($T$19:$T$93,GB$244+$FN256-1)))</f>
        <v>0.99861999640256993</v>
      </c>
      <c r="GC256" s="469">
        <f ca="1">IF($FN256+GC$244&gt;73,"",PRODUCT(INDEX($T$19:$T$93,GC$244):INDEX($T$19:$T$93,GC$244+$FN256-1)))</f>
        <v>0.99846675767163184</v>
      </c>
      <c r="GD256" s="469">
        <f ca="1">IF($FN256+GD$244&gt;73,"",PRODUCT(INDEX($T$19:$T$93,GD$244):INDEX($T$19:$T$93,GD$244+$FN256-1)))</f>
        <v>0.99829651464350455</v>
      </c>
      <c r="GE256" s="469">
        <f ca="1">IF($FN256+GE$244&gt;73,"",PRODUCT(INDEX($T$19:$T$93,GE$244):INDEX($T$19:$T$93,GE$244+$FN256-1)))</f>
        <v>0.99810738314699354</v>
      </c>
      <c r="GF256" s="469">
        <f ca="1">IF($FN256+GF$244&gt;73,"",PRODUCT(INDEX($T$19:$T$93,GF$244):INDEX($T$19:$T$93,GF$244+$FN256-1)))</f>
        <v>0.99789727087076363</v>
      </c>
      <c r="GG256" s="469">
        <f ca="1">IF($FN256+GG$244&gt;73,"",PRODUCT(INDEX($T$19:$T$93,GG$244):INDEX($T$19:$T$93,GG$244+$FN256-1)))</f>
        <v>0.99766385451883444</v>
      </c>
      <c r="GH256" s="469">
        <f ca="1">IF($FN256+GH$244&gt;73,"",PRODUCT(INDEX($T$19:$T$93,GH$244):INDEX($T$19:$T$93,GH$244+$FN256-1)))</f>
        <v>0.99740455449325716</v>
      </c>
      <c r="GI256" s="469">
        <f ca="1">IF($FN256+GI$244&gt;73,"",PRODUCT(INDEX($T$19:$T$93,GI$244):INDEX($T$19:$T$93,GI$244+$FN256-1)))</f>
        <v>0.99711650684431419</v>
      </c>
      <c r="GJ256" s="469">
        <f ca="1">IF($FN256+GJ$244&gt;73,"",PRODUCT(INDEX($T$19:$T$93,GJ$244):INDEX($T$19:$T$93,GJ$244+$FN256-1)))</f>
        <v>0.99679653220320219</v>
      </c>
      <c r="GK256" s="469">
        <f ca="1">IF($FN256+GK$244&gt;73,"",PRODUCT(INDEX($T$19:$T$93,GK$244):INDEX($T$19:$T$93,GK$244+$FN256-1)))</f>
        <v>0.99644110138472819</v>
      </c>
      <c r="GL256" s="469">
        <f ca="1">IF($FN256+GL$244&gt;73,"",PRODUCT(INDEX($T$19:$T$93,GL$244):INDEX($T$19:$T$93,GL$244+$FN256-1)))</f>
        <v>0.99604629731802286</v>
      </c>
      <c r="GM256" s="469">
        <f ca="1">IF($FN256+GM$244&gt;73,"",PRODUCT(INDEX($T$19:$T$93,GM$244):INDEX($T$19:$T$93,GM$244+$FN256-1)))</f>
        <v>0.99560777293165703</v>
      </c>
      <c r="GN256" s="469">
        <f ca="1">IF($FN256+GN$244&gt;73,"",PRODUCT(INDEX($T$19:$T$93,GN$244):INDEX($T$19:$T$93,GN$244+$FN256-1)))</f>
        <v>0.99512070458581825</v>
      </c>
      <c r="GO256" s="469">
        <f ca="1">IF($FN256+GO$244&gt;73,"",PRODUCT(INDEX($T$19:$T$93,GO$244):INDEX($T$19:$T$93,GO$244+$FN256-1)))</f>
        <v>0.99457974060849252</v>
      </c>
      <c r="GP256" s="469">
        <f ca="1">IF($FN256+GP$244&gt;73,"",PRODUCT(INDEX($T$19:$T$93,GP$244):INDEX($T$19:$T$93,GP$244+$FN256-1)))</f>
        <v>0.99397894445500867</v>
      </c>
      <c r="GQ256" s="469">
        <f ca="1">IF($FN256+GQ$244&gt;73,"",PRODUCT(INDEX($T$19:$T$93,GQ$244):INDEX($T$19:$T$93,GQ$244+$FN256-1)))</f>
        <v>0.99331173197114087</v>
      </c>
      <c r="GR256" s="469">
        <f ca="1">IF($FN256+GR$244&gt;73,"",PRODUCT(INDEX($T$19:$T$93,GR$244):INDEX($T$19:$T$93,GR$244+$FN256-1)))</f>
        <v>0.99257080219954708</v>
      </c>
      <c r="GS256" s="469">
        <f ca="1">IF($FN256+GS$244&gt;73,"",PRODUCT(INDEX($T$19:$T$93,GS$244):INDEX($T$19:$T$93,GS$244+$FN256-1)))</f>
        <v>0.99174806112823499</v>
      </c>
      <c r="GT256" s="469">
        <f ca="1">IF($FN256+GT$244&gt;73,"",PRODUCT(INDEX($T$19:$T$93,GT$244):INDEX($T$19:$T$93,GT$244+$FN256-1)))</f>
        <v>0.99083453773866015</v>
      </c>
      <c r="GU256" s="469">
        <f ca="1">IF($FN256+GU$244&gt;73,"",PRODUCT(INDEX($T$19:$T$93,GU$244):INDEX($T$19:$T$93,GU$244+$FN256-1)))</f>
        <v>0.98982029167095931</v>
      </c>
      <c r="GV256" s="469">
        <f ca="1">IF($FN256+GV$244&gt;73,"",PRODUCT(INDEX($T$19:$T$93,GV$244):INDEX($T$19:$T$93,GV$244+$FN256-1)))</f>
        <v>0.98869431178596578</v>
      </c>
      <c r="GW256" s="469">
        <f ca="1">IF($FN256+GW$244&gt;73,"",PRODUCT(INDEX($T$19:$T$93,GW$244):INDEX($T$19:$T$93,GW$244+$FN256-1)))</f>
        <v>0.9874444048695995</v>
      </c>
      <c r="GX256" s="469">
        <f ca="1">IF($FN256+GX$244&gt;73,"",PRODUCT(INDEX($T$19:$T$93,GX$244):INDEX($T$19:$T$93,GX$244+$FN256-1)))</f>
        <v>0.98605707369709272</v>
      </c>
      <c r="GY256" s="469">
        <f ca="1">IF($FN256+GY$244&gt;73,"",PRODUCT(INDEX($T$19:$T$93,GY$244):INDEX($T$19:$T$93,GY$244+$FN256-1)))</f>
        <v>0.98451738365477359</v>
      </c>
      <c r="GZ256" s="469">
        <f ca="1">IF($FN256+GZ$244&gt;73,"",PRODUCT(INDEX($T$19:$T$93,GZ$244):INDEX($T$19:$T$93,GZ$244+$FN256-1)))</f>
        <v>0.98280881710905488</v>
      </c>
      <c r="HA256" s="469">
        <f ca="1">IF($FN256+HA$244&gt;73,"",PRODUCT(INDEX($T$19:$T$93,HA$244):INDEX($T$19:$T$93,HA$244+$FN256-1)))</f>
        <v>0.98091311471973197</v>
      </c>
      <c r="HB256" s="469">
        <f ca="1">IF($FN256+HB$244&gt;73,"",PRODUCT(INDEX($T$19:$T$93,HB$244):INDEX($T$19:$T$93,HB$244+$FN256-1)))</f>
        <v>0.97881010292252857</v>
      </c>
      <c r="HC256" s="469">
        <f ca="1">IF($FN256+HC$244&gt;73,"",PRODUCT(INDEX($T$19:$T$93,HC$244):INDEX($T$19:$T$93,HC$244+$FN256-1)))</f>
        <v>0.97647750685989854</v>
      </c>
      <c r="HD256" s="469">
        <f ca="1">IF($FN256+HD$244&gt;73,"",PRODUCT(INDEX($T$19:$T$93,HD$244):INDEX($T$19:$T$93,HD$244+$FN256-1)))</f>
        <v>0.97389074812645615</v>
      </c>
      <c r="HE256" s="469">
        <f ca="1">IF($FN256+HE$244&gt;73,"",PRODUCT(INDEX($T$19:$T$93,HE$244):INDEX($T$19:$T$93,HE$244+$FN256-1)))</f>
        <v>0.97102272682457258</v>
      </c>
      <c r="HF256" s="469">
        <f ca="1">IF($FN256+HF$244&gt;73,"",PRODUCT(INDEX($T$19:$T$93,HF$244):INDEX($T$19:$T$93,HF$244+$FN256-1)))</f>
        <v>0.96784358760688316</v>
      </c>
      <c r="HG256" s="469">
        <f ca="1">IF($FN256+HG$244&gt;73,"",PRODUCT(INDEX($T$19:$T$93,HG$244):INDEX($T$19:$T$93,HG$244+$FN256-1)))</f>
        <v>0.96432046962774343</v>
      </c>
      <c r="HH256" s="469">
        <f ca="1">IF($FN256+HH$244&gt;73,"",PRODUCT(INDEX($T$19:$T$93,HH$244):INDEX($T$19:$T$93,HH$244+$FN256-1)))</f>
        <v>0.96041724064964462</v>
      </c>
      <c r="HI256" s="469">
        <f ca="1">IF($FN256+HI$244&gt;73,"",PRODUCT(INDEX($T$19:$T$93,HI$244):INDEX($T$19:$T$93,HI$244+$FN256-1)))</f>
        <v>0.95609421597036037</v>
      </c>
      <c r="HJ256" s="469">
        <f ca="1">IF($FN256+HJ$244&gt;73,"",PRODUCT(INDEX($T$19:$T$93,HJ$244):INDEX($T$19:$T$93,HJ$244+$FN256-1)))</f>
        <v>0.95130786337276141</v>
      </c>
      <c r="HK256" s="469">
        <f ca="1">IF($FN256+HK$244&gt;73,"",PRODUCT(INDEX($T$19:$T$93,HK$244):INDEX($T$19:$T$93,HK$244+$FN256-1)))</f>
        <v>0.94601049597645293</v>
      </c>
      <c r="HL256" s="469">
        <f ca="1">IF($FN256+HL$244&gt;73,"",PRODUCT(INDEX($T$19:$T$93,HL$244):INDEX($T$19:$T$93,HL$244+$FN256-1)))</f>
        <v>0.94014995571852644</v>
      </c>
      <c r="HM256" s="469">
        <f ca="1">IF($FN256+HM$244&gt;73,"",PRODUCT(INDEX($T$19:$T$93,HM$244):INDEX($T$19:$T$93,HM$244+$FN256-1)))</f>
        <v>0.93366929124650444</v>
      </c>
      <c r="HN256" s="469">
        <f ca="1">IF($FN256+HN$244&gt;73,"",PRODUCT(INDEX($T$19:$T$93,HN$244):INDEX($T$19:$T$93,HN$244+$FN256-1)))</f>
        <v>0.92650643531593357</v>
      </c>
      <c r="HO256" s="469">
        <f ca="1">IF($FN256+HO$244&gt;73,"",PRODUCT(INDEX($T$19:$T$93,HO$244):INDEX($T$19:$T$93,HO$244+$FN256-1)))</f>
        <v>0.91859388840672251</v>
      </c>
      <c r="HP256" s="469">
        <f ca="1">IF($FN256+HP$244&gt;73,"",PRODUCT(INDEX($T$19:$T$93,HP$244):INDEX($T$19:$T$93,HP$244+$FN256-1)))</f>
        <v>0.90985841728315764</v>
      </c>
      <c r="HQ256" s="469">
        <f ca="1">IF($FN256+HQ$244&gt;73,"",PRODUCT(INDEX($T$19:$T$93,HQ$244):INDEX($T$19:$T$93,HQ$244+$FN256-1)))</f>
        <v>0.90022077972552927</v>
      </c>
      <c r="HR256" s="469">
        <f ca="1">IF($FN256+HR$244&gt;73,"",PRODUCT(INDEX($T$19:$T$93,HR$244):INDEX($T$19:$T$93,HR$244+$FN256-1)))</f>
        <v>0.88959548979760694</v>
      </c>
      <c r="HS256" s="469">
        <f ca="1">IF($FN256+HS$244&gt;73,"",PRODUCT(INDEX($T$19:$T$93,HS$244):INDEX($T$19:$T$93,HS$244+$FN256-1)))</f>
        <v>0.87789064198032074</v>
      </c>
      <c r="HT256" s="469">
        <f ca="1">IF($FN256+HT$244&gt;73,"",PRODUCT(INDEX($T$19:$T$93,HT$244):INDEX($T$19:$T$93,HT$244+$FN256-1)))</f>
        <v>0.86500781757509571</v>
      </c>
      <c r="HU256" s="469">
        <f ca="1">IF($FN256+HU$244&gt;73,"",PRODUCT(INDEX($T$19:$T$93,HU$244):INDEX($T$19:$T$93,HU$244+$FN256-1)))</f>
        <v>0.85084210335349009</v>
      </c>
      <c r="HV256" s="469">
        <f ca="1">IF($FN256+HV$244&gt;73,"",PRODUCT(INDEX($T$19:$T$93,HV$244):INDEX($T$19:$T$93,HV$244+$FN256-1)))</f>
        <v>0.83528226106125081</v>
      </c>
      <c r="HW256" s="469">
        <f ca="1">IF($FN256+HW$244&gt;73,"",PRODUCT(INDEX($T$19:$T$93,HW$244):INDEX($T$19:$T$93,HW$244+$FN256-1)))</f>
        <v>0.81821109786281787</v>
      </c>
      <c r="HX256" s="469">
        <f ca="1">IF($FN256+HX$244&gt;73,"",PRODUCT(INDEX($T$19:$T$93,HX$244):INDEX($T$19:$T$93,HX$244+$FN256-1)))</f>
        <v>0.79950610323800753</v>
      </c>
      <c r="HY256" s="469">
        <f ca="1">IF($FN256+HY$244&gt;73,"",PRODUCT(INDEX($T$19:$T$93,HY$244):INDEX($T$19:$T$93,HY$244+$FN256-1)))</f>
        <v>0.77904043872895645</v>
      </c>
      <c r="HZ256" s="469">
        <f ca="1">IF($FN256+HZ$244&gt;73,"",PRODUCT(INDEX($T$19:$T$93,HZ$244):INDEX($T$19:$T$93,HZ$244+$FN256-1)))</f>
        <v>0.75668439530985698</v>
      </c>
      <c r="IA256" s="469">
        <f ca="1">IF($FN256+IA$244&gt;73,"",PRODUCT(INDEX($T$19:$T$93,IA$244):INDEX($T$19:$T$93,IA$244+$FN256-1)))</f>
        <v>0.73230747163636289</v>
      </c>
      <c r="IB256" s="469">
        <f ca="1">IF($FN256+IB$244&gt;73,"",PRODUCT(INDEX($T$19:$T$93,IB$244):INDEX($T$19:$T$93,IB$244+$FN256-1)))</f>
        <v>0.70578127823783987</v>
      </c>
      <c r="IC256" s="469">
        <f ca="1">IF($FN256+IC$244&gt;73,"",PRODUCT(INDEX($T$19:$T$93,IC$244):INDEX($T$19:$T$93,IC$244+$FN256-1)))</f>
        <v>0.67698354144090822</v>
      </c>
      <c r="ID256" s="469">
        <f ca="1">IF($FN256+ID$244&gt;73,"",PRODUCT(INDEX($T$19:$T$93,ID$244):INDEX($T$19:$T$93,ID$244+$FN256-1)))</f>
        <v>0.64580356981636344</v>
      </c>
      <c r="IE256" s="469">
        <f ca="1">IF($FN256+IE$244&gt;73,"",PRODUCT(INDEX($T$19:$T$93,IE$244):INDEX($T$19:$T$93,IE$244+$FN256-1)))</f>
        <v>0.61214965692903045</v>
      </c>
      <c r="IF256" s="469">
        <f ca="1">IF($FN256+IF$244&gt;73,"",PRODUCT(INDEX($T$19:$T$93,IF$244):INDEX($T$19:$T$93,IF$244+$FN256-1)))</f>
        <v>0.57595902435936952</v>
      </c>
      <c r="IG256" s="469">
        <f ca="1">IF($FN256+IG$244&gt;73,"",PRODUCT(INDEX($T$19:$T$93,IG$244):INDEX($T$19:$T$93,IG$244+$FN256-1)))</f>
        <v>0.53721104585962254</v>
      </c>
      <c r="IH256" s="662">
        <f ca="1">IF($FN256+IH$244&gt;73,"",PRODUCT(INDEX($T$19:$T$93,IH$244):INDEX($T$19:$T$93,IH$244+$FN256-1)))</f>
        <v>0.49594460586096512</v>
      </c>
      <c r="II256" s="242"/>
    </row>
    <row r="257" spans="8:243">
      <c r="H257" s="49" t="e">
        <f t="shared" ca="1" si="645"/>
        <v>#N/A</v>
      </c>
      <c r="I257" s="369">
        <f t="shared" si="646"/>
        <v>44228</v>
      </c>
      <c r="J257" s="367">
        <v>25.309999999999796</v>
      </c>
      <c r="K257" s="101" t="s">
        <v>267</v>
      </c>
      <c r="L257" s="382">
        <f t="shared" si="647"/>
        <v>25.309999999999793</v>
      </c>
      <c r="M257" s="163">
        <v>0.1211</v>
      </c>
      <c r="N257" s="372">
        <v>0</v>
      </c>
      <c r="O257" s="163">
        <f t="shared" si="595"/>
        <v>0.1211</v>
      </c>
      <c r="P257" s="367">
        <v>24.071826102543199</v>
      </c>
      <c r="Q257" s="101" t="s">
        <v>267</v>
      </c>
      <c r="R257" s="367">
        <f t="shared" ca="1" si="596"/>
        <v>24.071826102543231</v>
      </c>
      <c r="S257" s="814">
        <f>S$19+(S256-S$19)*S$18</f>
        <v>0.34466526082605359</v>
      </c>
      <c r="T257" s="813">
        <f t="shared" si="660"/>
        <v>0.99999999999888334</v>
      </c>
      <c r="U257" s="532">
        <f t="shared" si="661"/>
        <v>0.99999999999999978</v>
      </c>
      <c r="V257" s="379">
        <v>0</v>
      </c>
      <c r="W257" s="424">
        <f t="shared" si="597"/>
        <v>0</v>
      </c>
      <c r="X257" s="405">
        <f t="shared" si="598"/>
        <v>25.341249999999789</v>
      </c>
      <c r="Y257" s="313">
        <f t="shared" si="599"/>
        <v>-1.216</v>
      </c>
      <c r="Z257" s="313">
        <f t="shared" ca="1" si="600"/>
        <v>24.125249999999788</v>
      </c>
      <c r="AA257" s="419">
        <f t="shared" si="623"/>
        <v>1.216</v>
      </c>
      <c r="AB257" s="423">
        <f t="shared" ca="1" si="624"/>
        <v>1.216</v>
      </c>
      <c r="AC257" s="221">
        <v>44216</v>
      </c>
      <c r="AD257" s="221">
        <v>44212</v>
      </c>
      <c r="AE257" s="221">
        <v>44211</v>
      </c>
      <c r="AF257" s="221">
        <v>44207</v>
      </c>
      <c r="AG257" s="241" t="s">
        <v>497</v>
      </c>
      <c r="AH257" s="239" t="s">
        <v>497</v>
      </c>
      <c r="AI257" s="141">
        <v>20</v>
      </c>
      <c r="AJ257" s="41">
        <v>15</v>
      </c>
      <c r="AK257" s="41">
        <v>5</v>
      </c>
      <c r="AL257" s="285">
        <v>20</v>
      </c>
      <c r="AM257" s="41">
        <v>10</v>
      </c>
      <c r="AN257" s="142">
        <v>10</v>
      </c>
      <c r="AO257" s="364">
        <v>6.4530981133963397E-2</v>
      </c>
      <c r="AP257" s="145">
        <f t="shared" ca="1" si="648"/>
        <v>0.2827250921058983</v>
      </c>
      <c r="AQ257" s="364">
        <v>5.9832155904867804E-2</v>
      </c>
      <c r="AR257" s="145">
        <f t="shared" ca="1" si="662"/>
        <v>0.31170567054255216</v>
      </c>
      <c r="AS257" s="264">
        <f t="shared" si="601"/>
        <v>0</v>
      </c>
      <c r="AT257" s="149">
        <f t="shared" si="649"/>
        <v>0.1211</v>
      </c>
      <c r="AU257" s="149">
        <f t="shared" si="625"/>
        <v>0</v>
      </c>
      <c r="AV257" s="263">
        <f t="shared" ca="1" si="669"/>
        <v>0.11923219355829143</v>
      </c>
      <c r="AW257" s="150" t="str">
        <f t="shared" ca="1" si="671"/>
        <v/>
      </c>
      <c r="AX257" s="149">
        <f t="shared" ca="1" si="663"/>
        <v>2.2863295877451535E-3</v>
      </c>
      <c r="AY257" s="149">
        <f t="shared" ca="1" si="664"/>
        <v>6.3839734326463934E-4</v>
      </c>
      <c r="AZ257" s="149">
        <f t="shared" ca="1" si="665"/>
        <v>9.172159585028618E-4</v>
      </c>
      <c r="BA257" s="149">
        <f t="shared" ca="1" si="666"/>
        <v>1.0000000000001334E-4</v>
      </c>
      <c r="BB257" s="149">
        <f t="shared" ca="1" si="667"/>
        <v>1.0000000000001334E-4</v>
      </c>
      <c r="BC257" s="149">
        <f t="shared" ca="1" si="668"/>
        <v>1.0000000000001334E-4</v>
      </c>
      <c r="BD257" s="143">
        <f t="shared" ca="1" si="602"/>
        <v>0</v>
      </c>
      <c r="BE257" s="144">
        <f t="shared" ca="1" si="603"/>
        <v>0</v>
      </c>
      <c r="BF257" s="40">
        <f t="shared" si="604"/>
        <v>2021</v>
      </c>
      <c r="BG257" s="139">
        <f t="shared" si="605"/>
        <v>2</v>
      </c>
      <c r="BH257" s="140">
        <f t="shared" ca="1" si="606"/>
        <v>7222</v>
      </c>
      <c r="BI257" s="304">
        <f t="shared" ca="1" si="607"/>
        <v>19.816563997262151</v>
      </c>
      <c r="BJ257" s="42">
        <f t="shared" ca="1" si="626"/>
        <v>19.872005475701577</v>
      </c>
      <c r="BK257" s="42">
        <f t="shared" ca="1" si="627"/>
        <v>19.874743326488709</v>
      </c>
      <c r="BL257" s="42">
        <f t="shared" ca="1" si="608"/>
        <v>19.890485968514717</v>
      </c>
      <c r="BM257" s="285">
        <f t="shared" si="609"/>
        <v>20</v>
      </c>
      <c r="BN257" s="41">
        <f t="shared" si="610"/>
        <v>15</v>
      </c>
      <c r="BO257" s="41">
        <f t="shared" si="611"/>
        <v>5</v>
      </c>
      <c r="BP257" s="297" t="str">
        <f t="shared" ca="1" si="628"/>
        <v/>
      </c>
      <c r="BQ257" s="297" t="str">
        <f t="shared" ca="1" si="629"/>
        <v/>
      </c>
      <c r="BR257" s="299" t="str">
        <f t="shared" ca="1" si="630"/>
        <v/>
      </c>
      <c r="BS257" s="153" t="str">
        <f t="shared" ca="1" si="631"/>
        <v/>
      </c>
      <c r="BT257" s="153" t="str">
        <f t="shared" ca="1" si="632"/>
        <v/>
      </c>
      <c r="BU257" s="300" t="str">
        <f t="shared" ca="1" si="633"/>
        <v/>
      </c>
      <c r="BV257" s="301" t="str">
        <f t="shared" ca="1" si="634"/>
        <v/>
      </c>
      <c r="BW257" s="300" t="str">
        <f t="shared" ca="1" si="635"/>
        <v/>
      </c>
      <c r="BX257" s="301" t="str">
        <f t="shared" ca="1" si="636"/>
        <v/>
      </c>
      <c r="BY257" s="146" t="str">
        <f t="shared" ca="1" si="637"/>
        <v/>
      </c>
      <c r="BZ257" s="146" t="str">
        <f t="shared" ca="1" si="638"/>
        <v/>
      </c>
      <c r="CA257" s="146" t="str">
        <f t="shared" ca="1" si="639"/>
        <v/>
      </c>
      <c r="CB257" s="146" t="str">
        <f t="shared" ca="1" si="640"/>
        <v/>
      </c>
      <c r="CC257" s="302">
        <v>1</v>
      </c>
      <c r="CD257" s="154">
        <f ca="1">IF(BD257,_xll.xCrudeAPO(BS257,BT257,BY257,BZ257,S258,S259,BI257,BL257,BN257,BO257,0,Strike1,AO257,CC257,0,BL257,IF(OptControl=4,0,1),0,1),0)</f>
        <v>0</v>
      </c>
      <c r="CE257" s="155">
        <f ca="1">IF(BD257,_xll.xCrudeAPO(BS257,BT257,BY257,BZ257,S258,S259,BI257,BL257,BN257,BO257,0,Strike1,AO257,CC257,0,BL257,IF(OptControl=4,0,1),1,1)+_xll.xCrudeAPO(BS257,BT257,BY257,BZ257,S258,S259,BI257,BL257,BN257,BO257,0,Strike1,AO257,CC257,0,BL257,IF(OptControl=4,0,1),1,2)+IF(OR(VolSkewFlag=2,ABS(BQ257)&lt;0.0001),0,IF(BQ257&gt;0,-1,1)*CF257*Strike1/BP257^2*BW257/10%),0)</f>
        <v>0</v>
      </c>
      <c r="CF257" s="155">
        <f ca="1">IF(BD257,(_xll.xCrudeAPO(BS257,BT257,BY257,BZ257,S258,S259,BI257,BL257,BN257,BO257,0,Strike1,AO257,CC257,0,BL257,IF(OptControl=4,0,1),3,1)+_xll.xCrudeAPO(BS257,BT257,BY257,BZ257,S258,S259,BI257,BL257,BN257,BO257,0,Strike1,AO257,CC257,0,BL257,IF(OptControl=4,0,1),3,2))/100,0)</f>
        <v>0</v>
      </c>
      <c r="CG257" s="155">
        <f ca="1">IF(BD257,_xll.xCrudeAPO(BS257,BT257,BY257,BZ257,S258,S259,BI257-DaysForThetaCalculation/365.25,BL257-DaysForThetaCalculation/365.25,BN257,BO257,0,Strike1,AO257,CC257,0,BL257,IF(OptControl=4,0,1),0,1)-_xll.xCrudeAPO(BS257,BT257,BY257,BZ257,S258,S259,BI257,BL257,BN257,BO257,0,Strike1,AO257,CC257,0,BL257,IF(OptControl=4,0,1),0,1),0)</f>
        <v>0</v>
      </c>
      <c r="CH257" s="303">
        <f ca="1">IF(BD257,_xll.xCrudeAPO(BS257,BT257,CA257,CB257,S258,S259,BI257,BL257,BN257,BO257,0,Strike2,AO257,CC257,0,BL257,IF(OptControl=3,1,0),0,1),0)</f>
        <v>0</v>
      </c>
      <c r="CI257" s="155">
        <f ca="1">IF(BD257,_xll.xCrudeAPO(BS257,BT257,CA257,CB257,S258,S259,BI257,BL257,BN257,BO257,0,Strike2,AO257,CC257,0,BL257,IF(OptControl=3,1,0),1,1)+_xll.xCrudeAPO(BS257,BT257,CA257,CB257,S258,S259,BI257,BL257,BN257,BO257,0,Strike2,AO257,CC257,0,BL257,IF(OptControl=3,1,0),1,2)+IF(OR(VolSkewFlag=2,ABS(BR257)&lt;0.0001),0,IF(BR257&gt;0,-1,1)*CJ257*Strike2/BP257^2*BX257/10%),0)</f>
        <v>0</v>
      </c>
      <c r="CJ257" s="155">
        <f ca="1">IF(BD257,(_xll.xCrudeAPO(BS257,BT257,CA257,CB257,S258,S259,BI257,BL257,BN257,BO257,0,Strike2,AO257,CC257,0,BL257,IF(OptControl=3,1,0),3,1)+_xll.xCrudeAPO(BS257,BT257,CA257,CB257,S258,S259,BI257,BL257,BN257,BO257,0,Strike2,AO257,CC257,0,BL257,IF(OptControl=3,1,0),3,2))/100,0)</f>
        <v>0</v>
      </c>
      <c r="CK257" s="156">
        <f ca="1">IF(BD257,_xll.xCrudeAPO(BS257,BT257,CA257,CB257,S258,S259,BI257-DaysForThetaCalculation/365.25,BL257-DaysForThetaCalculation/365.25,BN257,BO257,0,Strike2,AO257,CC257,0,BL257,IF(OptControl=3,1,0),0,1)-_xll.xCrudeAPO(BS257,BT257,CA257,CB257,S258,S259,BI257,BL257,BN257,BO257,0,Strike2,AO257,CC257,0,BL257,IF(OptControl=3,1,0),0,1),0)</f>
        <v>0</v>
      </c>
      <c r="CL257" s="51"/>
      <c r="CM257" s="779" t="str">
        <f t="shared" ca="1" si="650"/>
        <v/>
      </c>
      <c r="CN257" s="783" t="str">
        <f t="shared" ca="1" si="651"/>
        <v/>
      </c>
      <c r="CO257" s="780" t="str">
        <f t="shared" ca="1" si="652"/>
        <v/>
      </c>
      <c r="CP257" s="780" t="str">
        <f t="shared" ca="1" si="653"/>
        <v/>
      </c>
      <c r="CQ257" s="780" t="str">
        <f t="shared" ca="1" si="654"/>
        <v/>
      </c>
      <c r="CR257" s="780" t="str">
        <f t="shared" ca="1" si="655"/>
        <v/>
      </c>
      <c r="CS257" s="781" t="str">
        <f t="shared" ca="1" si="656"/>
        <v/>
      </c>
      <c r="CT257" s="782" t="str">
        <f t="shared" ca="1" si="657"/>
        <v/>
      </c>
      <c r="CU257" s="782" t="str">
        <f t="shared" ca="1" si="658"/>
        <v/>
      </c>
      <c r="CV257" s="155">
        <f ca="1">IF(BD257,_xll.EURO(CN257,Strike1,AO257,AO257,CT257,CM257,IF(OptControl=4,0,1),0),0)</f>
        <v>0</v>
      </c>
      <c r="CW257" s="155">
        <f ca="1">IF(BD257,_xll.EURO(CN257,Strike1,AO257,AO257,CT257,CM257,IF(OptControl=4,0,1),1)+IF(OR(VolSkewFlag=2,ABS(CO257)&lt;0.0001),0,IF(CO257&gt;0,-1,1)*CX257*100*Strike1/CN257^2*CQ257/10%),0)</f>
        <v>0</v>
      </c>
      <c r="CX257" s="155">
        <f ca="1">IF(BD257,_xll.EURO(CN257,Strike1,AO257,AO257,CT257,CM257,IF(OptControl=4,0,1),3)/100,0)</f>
        <v>0</v>
      </c>
      <c r="CY257" s="155">
        <f ca="1">IF(BD257,_xll.EURO(CN257,Strike1,AO257,AO257,CT257,CM257,IF(OptControl=4,0,1),0)-_xll.EURO(CN257,Strike1,AO257,AO257,CT257,CM257-1,IF(OptControl=4,0,1),0),0)</f>
        <v>0</v>
      </c>
      <c r="CZ257" s="155">
        <f ca="1">IF(BD257,_xll.EURO(CN257,Strike2,AO257,AO257,CU257,CM257,IF(OptControl=3,1,0),0),0)</f>
        <v>0</v>
      </c>
      <c r="DA257" s="155">
        <f ca="1">IF(BD257,_xll.EURO(CN257,Strike2,AO257,AO257,CU257,CM257,IF(OptControl=3,1,0),1)+IF(OR(VolSkewFlag=2,ABS(CP257)&lt;0.0001),0,IF(CP257&gt;0,-1,1)*DB257*100*Strike2/CN257^2*CR257/10%),0)</f>
        <v>0</v>
      </c>
      <c r="DB257" s="155">
        <f ca="1">IF(BD257,_xll.EURO(CN257,Strike2,AO257,AO257,CU257,CM257,IF(OptControl=3,1,0),3)/100,0)</f>
        <v>0</v>
      </c>
      <c r="DC257" s="156">
        <f ca="1">IF(BD257,_xll.EURO(CN257,Strike2,AO257,AO257,CU257,CM257,IF(OptControl=3,1,0),0)-_xll.EURO(CN257,Strike2,AO257,AO257,CU257,CM257-1,IF(OptControl=3,1,0),0),0)</f>
        <v>0</v>
      </c>
      <c r="DE257" s="651">
        <f t="shared" ca="1" si="659"/>
        <v>44136</v>
      </c>
      <c r="DF257" s="465">
        <v>1E-4</v>
      </c>
      <c r="DG257" s="649">
        <v>1E-4</v>
      </c>
      <c r="DH257" s="650">
        <f t="shared" ca="1" si="612"/>
        <v>44136</v>
      </c>
      <c r="DI257" s="465">
        <v>1E-4</v>
      </c>
      <c r="DJ257" s="649">
        <v>1E-4</v>
      </c>
      <c r="DK257" s="651">
        <f t="shared" ca="1" si="613"/>
        <v>44136</v>
      </c>
      <c r="DL257" s="652">
        <f t="shared" si="614"/>
        <v>5.0100000000000006E-2</v>
      </c>
      <c r="DM257" s="651">
        <f t="shared" ca="1" si="615"/>
        <v>44136</v>
      </c>
      <c r="DN257" s="563">
        <f t="shared" si="616"/>
        <v>-0.12990000000000002</v>
      </c>
      <c r="DO257" s="803">
        <v>-0.13</v>
      </c>
      <c r="DP257" s="650">
        <f t="shared" ca="1" si="617"/>
        <v>44136</v>
      </c>
      <c r="DQ257" s="653">
        <v>1E-4</v>
      </c>
      <c r="DR257" s="590">
        <v>1E-4</v>
      </c>
      <c r="DS257" s="650">
        <f t="shared" ca="1" si="618"/>
        <v>44136</v>
      </c>
      <c r="DT257" s="653">
        <v>1E-4</v>
      </c>
      <c r="DU257" s="590">
        <v>1E-4</v>
      </c>
      <c r="DV257" s="651">
        <f t="shared" ca="1" si="619"/>
        <v>44136</v>
      </c>
      <c r="DW257" s="590">
        <v>1E-4</v>
      </c>
      <c r="DX257" s="651">
        <f t="shared" ca="1" si="620"/>
        <v>44136</v>
      </c>
      <c r="DY257" s="590">
        <f t="shared" si="621"/>
        <v>1E-4</v>
      </c>
      <c r="DZ257" s="1"/>
      <c r="EA257" s="857"/>
      <c r="EB257" s="857"/>
      <c r="EC257" s="857"/>
      <c r="ED257" s="868" t="e">
        <f t="shared" ca="1" si="670"/>
        <v>#NAME?</v>
      </c>
      <c r="EE257" s="863" t="e">
        <f t="shared" ca="1" si="641"/>
        <v>#NAME?</v>
      </c>
      <c r="EF257" s="590" t="e">
        <f t="shared" ca="1" si="642"/>
        <v>#NAME?</v>
      </c>
      <c r="EG257" s="862" t="str">
        <f t="shared" ca="1" si="622"/>
        <v/>
      </c>
      <c r="EH257" s="114" t="str">
        <f t="shared" ca="1" si="643"/>
        <v/>
      </c>
      <c r="EI257" s="109" t="str">
        <f t="shared" ca="1" si="644"/>
        <v/>
      </c>
      <c r="EJ257" s="115">
        <f ca="1">IF(BD257,_xll.xASN(BP257,Strike1,AO257,EH257,0,BM257,0,BI257,BL257,IF(OptControl=4,0,1),0),0)</f>
        <v>0</v>
      </c>
      <c r="EK257" s="108">
        <f ca="1">IF(BD257,_xll.xASN(BP257,Strike2,AO257,EI257,0,BM257,0,BI257,BL257,IF(OptControl=3,1,0),0),0)</f>
        <v>0</v>
      </c>
      <c r="EP257" s="53"/>
      <c r="EQ257" s="1"/>
      <c r="ER257" s="103"/>
      <c r="ES257" s="103"/>
      <c r="ET257" s="1"/>
      <c r="EU257" s="667" t="s">
        <v>470</v>
      </c>
      <c r="EV257" s="1"/>
      <c r="EW257" s="1"/>
      <c r="EX257" s="1"/>
      <c r="EY257" s="103"/>
      <c r="FN257" s="657">
        <v>13</v>
      </c>
      <c r="FO257" s="469" t="str">
        <f ca="1">IF($FN257+FO$244&gt;73,"",PRODUCT(INDEX($T$19:$T$93,FO$244):INDEX($T$19:$T$93,FO$244+$FN257-1)))</f>
        <v/>
      </c>
      <c r="FP257" s="469" t="str">
        <f ca="1">IF($FN257+FP$244&gt;73,"",PRODUCT(INDEX($T$19:$T$93,FP$244):INDEX($T$19:$T$93,FP$244+$FN257-1)))</f>
        <v/>
      </c>
      <c r="FQ257" s="469" t="str">
        <f ca="1">IF($FN257+FQ$244&gt;73,"",PRODUCT(INDEX($T$19:$T$93,FQ$244):INDEX($T$19:$T$93,FQ$244+$FN257-1)))</f>
        <v/>
      </c>
      <c r="FR257" s="469" t="str">
        <f ca="1">IF($FN257+FR$244&gt;73,"",PRODUCT(INDEX($T$19:$T$93,FR$244):INDEX($T$19:$T$93,FR$244+$FN257-1)))</f>
        <v/>
      </c>
      <c r="FS257" s="469" t="str">
        <f ca="1">IF($FN257+FS$244&gt;73,"",PRODUCT(INDEX($T$19:$T$93,FS$244):INDEX($T$19:$T$93,FS$244+$FN257-1)))</f>
        <v/>
      </c>
      <c r="FT257" s="469" t="str">
        <f ca="1">IF($FN257+FT$244&gt;73,"",PRODUCT(INDEX($T$19:$T$93,FT$244):INDEX($T$19:$T$93,FT$244+$FN257-1)))</f>
        <v/>
      </c>
      <c r="FU257" s="469" t="str">
        <f ca="1">IF($FN257+FU$244&gt;73,"",PRODUCT(INDEX($T$19:$T$93,FU$244):INDEX($T$19:$T$93,FU$244+$FN257-1)))</f>
        <v/>
      </c>
      <c r="FV257" s="469" t="str">
        <f ca="1">IF($FN257+FV$244&gt;73,"",PRODUCT(INDEX($T$19:$T$93,FV$244):INDEX($T$19:$T$93,FV$244+$FN257-1)))</f>
        <v/>
      </c>
      <c r="FW257" s="469" t="str">
        <f ca="1">IF($FN257+FW$244&gt;73,"",PRODUCT(INDEX($T$19:$T$93,FW$244):INDEX($T$19:$T$93,FW$244+$FN257-1)))</f>
        <v/>
      </c>
      <c r="FX257" s="469" t="str">
        <f ca="1">IF($FN257+FX$244&gt;73,"",PRODUCT(INDEX($T$19:$T$93,FX$244):INDEX($T$19:$T$93,FX$244+$FN257-1)))</f>
        <v/>
      </c>
      <c r="FY257" s="469" t="str">
        <f ca="1">IF($FN257+FY$244&gt;73,"",PRODUCT(INDEX($T$19:$T$93,FY$244):INDEX($T$19:$T$93,FY$244+$FN257-1)))</f>
        <v/>
      </c>
      <c r="FZ257" s="469" t="str">
        <f ca="1">IF($FN257+FZ$244&gt;73,"",PRODUCT(INDEX($T$19:$T$93,FZ$244):INDEX($T$19:$T$93,FZ$244+$FN257-1)))</f>
        <v/>
      </c>
      <c r="GA257" s="469">
        <f ca="1">IF($FN257+GA$244&gt;73,"",PRODUCT(INDEX($T$19:$T$93,GA$244):INDEX($T$19:$T$93,GA$244+$FN257-1)))</f>
        <v>0.99870907551439647</v>
      </c>
      <c r="GB257" s="469">
        <f ca="1">IF($FN257+GB$244&gt;73,"",PRODUCT(INDEX($T$19:$T$93,GB$244):INDEX($T$19:$T$93,GB$244+$FN257-1)))</f>
        <v>0.99856572379176256</v>
      </c>
      <c r="GC257" s="469">
        <f ca="1">IF($FN257+GC$244&gt;73,"",PRODUCT(INDEX($T$19:$T$93,GC$244):INDEX($T$19:$T$93,GC$244+$FN257-1)))</f>
        <v>0.99840646383820397</v>
      </c>
      <c r="GD257" s="469">
        <f ca="1">IF($FN257+GD$244&gt;73,"",PRODUCT(INDEX($T$19:$T$93,GD$244):INDEX($T$19:$T$93,GD$244+$FN257-1)))</f>
        <v>0.99822953268784453</v>
      </c>
      <c r="GE257" s="469">
        <f ca="1">IF($FN257+GE$244&gt;73,"",PRODUCT(INDEX($T$19:$T$93,GE$244):INDEX($T$19:$T$93,GE$244+$FN257-1)))</f>
        <v>0.99803297256736134</v>
      </c>
      <c r="GF257" s="469">
        <f ca="1">IF($FN257+GF$244&gt;73,"",PRODUCT(INDEX($T$19:$T$93,GF$244):INDEX($T$19:$T$93,GF$244+$FN257-1)))</f>
        <v>0.997814609501813</v>
      </c>
      <c r="GG257" s="469">
        <f ca="1">IF($FN257+GG$244&gt;73,"",PRODUCT(INDEX($T$19:$T$93,GG$244):INDEX($T$19:$T$93,GG$244+$FN257-1)))</f>
        <v>0.99757202960166347</v>
      </c>
      <c r="GH257" s="469">
        <f ca="1">IF($FN257+GH$244&gt;73,"",PRODUCT(INDEX($T$19:$T$93,GH$244):INDEX($T$19:$T$93,GH$244+$FN257-1)))</f>
        <v>0.99730255278685287</v>
      </c>
      <c r="GI257" s="469">
        <f ca="1">IF($FN257+GI$244&gt;73,"",PRODUCT(INDEX($T$19:$T$93,GI$244):INDEX($T$19:$T$93,GI$244+$FN257-1)))</f>
        <v>0.99700320367971762</v>
      </c>
      <c r="GJ257" s="469">
        <f ca="1">IF($FN257+GJ$244&gt;73,"",PRODUCT(INDEX($T$19:$T$93,GJ$244):INDEX($T$19:$T$93,GJ$244+$FN257-1)))</f>
        <v>0.99667067937258502</v>
      </c>
      <c r="GK257" s="469">
        <f ca="1">IF($FN257+GK$244&gt;73,"",PRODUCT(INDEX($T$19:$T$93,GK$244):INDEX($T$19:$T$93,GK$244+$FN257-1)))</f>
        <v>0.99630131374783637</v>
      </c>
      <c r="GL257" s="469">
        <f ca="1">IF($FN257+GL$244&gt;73,"",PRODUCT(INDEX($T$19:$T$93,GL$244):INDEX($T$19:$T$93,GL$244+$FN257-1)))</f>
        <v>0.99589103799814671</v>
      </c>
      <c r="GM257" s="469">
        <f ca="1">IF($FN257+GM$244&gt;73,"",PRODUCT(INDEX($T$19:$T$93,GM$244):INDEX($T$19:$T$93,GM$244+$FN257-1)))</f>
        <v>0.99543533696248887</v>
      </c>
      <c r="GN257" s="469">
        <f ca="1">IF($FN257+GN$244&gt;73,"",PRODUCT(INDEX($T$19:$T$93,GN$244):INDEX($T$19:$T$93,GN$244+$FN257-1)))</f>
        <v>0.99492920085933678</v>
      </c>
      <c r="GO257" s="469">
        <f ca="1">IF($FN257+GO$244&gt;73,"",PRODUCT(INDEX($T$19:$T$93,GO$244):INDEX($T$19:$T$93,GO$244+$FN257-1)))</f>
        <v>0.9943670719625175</v>
      </c>
      <c r="GP257" s="469">
        <f ca="1">IF($FN257+GP$244&gt;73,"",PRODUCT(INDEX($T$19:$T$93,GP$244):INDEX($T$19:$T$93,GP$244+$FN257-1)))</f>
        <v>0.99374278572746821</v>
      </c>
      <c r="GQ257" s="469">
        <f ca="1">IF($FN257+GQ$244&gt;73,"",PRODUCT(INDEX($T$19:$T$93,GQ$244):INDEX($T$19:$T$93,GQ$244+$FN257-1)))</f>
        <v>0.99304950583665974</v>
      </c>
      <c r="GR257" s="469">
        <f ca="1">IF($FN257+GR$244&gt;73,"",PRODUCT(INDEX($T$19:$T$93,GR$244):INDEX($T$19:$T$93,GR$244+$FN257-1)))</f>
        <v>0.99227965259303497</v>
      </c>
      <c r="GS257" s="469">
        <f ca="1">IF($FN257+GS$244&gt;73,"",PRODUCT(INDEX($T$19:$T$93,GS$244):INDEX($T$19:$T$93,GS$244+$FN257-1)))</f>
        <v>0.9914248240501865</v>
      </c>
      <c r="GT257" s="469">
        <f ca="1">IF($FN257+GT$244&gt;73,"",PRODUCT(INDEX($T$19:$T$93,GT$244):INDEX($T$19:$T$93,GT$244+$FN257-1)))</f>
        <v>0.99047570922846551</v>
      </c>
      <c r="GU257" s="469">
        <f ca="1">IF($FN257+GU$244&gt;73,"",PRODUCT(INDEX($T$19:$T$93,GU$244):INDEX($T$19:$T$93,GU$244+$FN257-1)))</f>
        <v>0.98942199272843834</v>
      </c>
      <c r="GV257" s="469">
        <f ca="1">IF($FN257+GV$244&gt;73,"",PRODUCT(INDEX($T$19:$T$93,GV$244):INDEX($T$19:$T$93,GV$244+$FN257-1)))</f>
        <v>0.98825225001854855</v>
      </c>
      <c r="GW257" s="469">
        <f ca="1">IF($FN257+GW$244&gt;73,"",PRODUCT(INDEX($T$19:$T$93,GW$244):INDEX($T$19:$T$93,GW$244+$FN257-1)))</f>
        <v>0.98695383264433456</v>
      </c>
      <c r="GX257" s="469">
        <f ca="1">IF($FN257+GX$244&gt;73,"",PRODUCT(INDEX($T$19:$T$93,GX$244):INDEX($T$19:$T$93,GX$244+$FN257-1)))</f>
        <v>0.9855127425845297</v>
      </c>
      <c r="GY257" s="469">
        <f ca="1">IF($FN257+GY$244&gt;73,"",PRODUCT(INDEX($T$19:$T$93,GY$244):INDEX($T$19:$T$93,GY$244+$FN257-1)))</f>
        <v>0.98391349496770475</v>
      </c>
      <c r="GZ257" s="469">
        <f ca="1">IF($FN257+GZ$244&gt;73,"",PRODUCT(INDEX($T$19:$T$93,GZ$244):INDEX($T$19:$T$93,GZ$244+$FN257-1)))</f>
        <v>0.98213896836555181</v>
      </c>
      <c r="HA257" s="469">
        <f ca="1">IF($FN257+HA$244&gt;73,"",PRODUCT(INDEX($T$19:$T$93,HA$244):INDEX($T$19:$T$93,HA$244+$FN257-1)))</f>
        <v>0.98017024189991242</v>
      </c>
      <c r="HB257" s="469">
        <f ca="1">IF($FN257+HB$244&gt;73,"",PRODUCT(INDEX($T$19:$T$93,HB$244):INDEX($T$19:$T$93,HB$244+$FN257-1)))</f>
        <v>0.97798641844577094</v>
      </c>
      <c r="HC257" s="469">
        <f ca="1">IF($FN257+HC$244&gt;73,"",PRODUCT(INDEX($T$19:$T$93,HC$244):INDEX($T$19:$T$93,HC$244+$FN257-1)))</f>
        <v>0.97556443328838305</v>
      </c>
      <c r="HD257" s="469">
        <f ca="1">IF($FN257+HD$244&gt;73,"",PRODUCT(INDEX($T$19:$T$93,HD$244):INDEX($T$19:$T$93,HD$244+$FN257-1)))</f>
        <v>0.97287884770756661</v>
      </c>
      <c r="HE257" s="469">
        <f ca="1">IF($FN257+HE$244&gt;73,"",PRODUCT(INDEX($T$19:$T$93,HE$244):INDEX($T$19:$T$93,HE$244+$FN257-1)))</f>
        <v>0.96990162712568218</v>
      </c>
      <c r="HF257" s="469">
        <f ca="1">IF($FN257+HF$244&gt;73,"",PRODUCT(INDEX($T$19:$T$93,HF$244):INDEX($T$19:$T$93,HF$244+$FN257-1)))</f>
        <v>0.96660190367964594</v>
      </c>
      <c r="HG257" s="469">
        <f ca="1">IF($FN257+HG$244&gt;73,"",PRODUCT(INDEX($T$19:$T$93,HG$244):INDEX($T$19:$T$93,HG$244+$FN257-1)))</f>
        <v>0.96294572337521978</v>
      </c>
      <c r="HH257" s="469">
        <f ca="1">IF($FN257+HH$244&gt;73,"",PRODUCT(INDEX($T$19:$T$93,HH$244):INDEX($T$19:$T$93,HH$244+$FN257-1)))</f>
        <v>0.95889577837037587</v>
      </c>
      <c r="HI257" s="469">
        <f ca="1">IF($FN257+HI$244&gt;73,"",PRODUCT(INDEX($T$19:$T$93,HI$244):INDEX($T$19:$T$93,HI$244+$FN257-1)))</f>
        <v>0.95441112543318041</v>
      </c>
      <c r="HJ257" s="469">
        <f ca="1">IF($FN257+HJ$244&gt;73,"",PRODUCT(INDEX($T$19:$T$93,HJ$244):INDEX($T$19:$T$93,HJ$244+$FN257-1)))</f>
        <v>0.94944689225164769</v>
      </c>
      <c r="HK257" s="469">
        <f ca="1">IF($FN257+HK$244&gt;73,"",PRODUCT(INDEX($T$19:$T$93,HK$244):INDEX($T$19:$T$93,HK$244+$FN257-1)))</f>
        <v>0.94395397406606296</v>
      </c>
      <c r="HL257" s="469">
        <f ca="1">IF($FN257+HL$244&gt;73,"",PRODUCT(INDEX($T$19:$T$93,HL$244):INDEX($T$19:$T$93,HL$244+$FN257-1)))</f>
        <v>0.9378787240816191</v>
      </c>
      <c r="HM257" s="469">
        <f ca="1">IF($FN257+HM$244&gt;73,"",PRODUCT(INDEX($T$19:$T$93,HM$244):INDEX($T$19:$T$93,HM$244+$FN257-1)))</f>
        <v>0.93116264234131119</v>
      </c>
      <c r="HN257" s="469">
        <f ca="1">IF($FN257+HN$244&gt;73,"",PRODUCT(INDEX($T$19:$T$93,HN$244):INDEX($T$19:$T$93,HN$244+$FN257-1)))</f>
        <v>0.92374206924584079</v>
      </c>
      <c r="HO257" s="469">
        <f ca="1">IF($FN257+HO$244&gt;73,"",PRODUCT(INDEX($T$19:$T$93,HO$244):INDEX($T$19:$T$93,HO$244+$FN257-1)))</f>
        <v>0.91554789176160101</v>
      </c>
      <c r="HP257" s="469">
        <f ca="1">IF($FN257+HP$244&gt;73,"",PRODUCT(INDEX($T$19:$T$93,HP$244):INDEX($T$19:$T$93,HP$244+$FN257-1)))</f>
        <v>0.90650527264062342</v>
      </c>
      <c r="HQ257" s="469">
        <f ca="1">IF($FN257+HQ$244&gt;73,"",PRODUCT(INDEX($T$19:$T$93,HQ$244):INDEX($T$19:$T$93,HQ$244+$FN257-1)))</f>
        <v>0.89653341579415968</v>
      </c>
      <c r="HR257" s="469">
        <f ca="1">IF($FN257+HR$244&gt;73,"",PRODUCT(INDEX($T$19:$T$93,HR$244):INDEX($T$19:$T$93,HR$244+$FN257-1)))</f>
        <v>0.88554538445786846</v>
      </c>
      <c r="HS257" s="469">
        <f ca="1">IF($FN257+HS$244&gt;73,"",PRODUCT(INDEX($T$19:$T$93,HS$244):INDEX($T$19:$T$93,HS$244+$FN257-1)))</f>
        <v>0.87344799315800503</v>
      </c>
      <c r="HT257" s="469">
        <f ca="1">IF($FN257+HT$244&gt;73,"",PRODUCT(INDEX($T$19:$T$93,HT$244):INDEX($T$19:$T$93,HT$244+$FN257-1)))</f>
        <v>0.86014180000796314</v>
      </c>
      <c r="HU257" s="469">
        <f ca="1">IF($FN257+HU$244&gt;73,"",PRODUCT(INDEX($T$19:$T$93,HU$244):INDEX($T$19:$T$93,HU$244+$FN257-1)))</f>
        <v>0.84552123291565495</v>
      </c>
      <c r="HV257" s="469">
        <f ca="1">IF($FN257+HV$244&gt;73,"",PRODUCT(INDEX($T$19:$T$93,HV$244):INDEX($T$19:$T$93,HV$244+$FN257-1)))</f>
        <v>0.82947489240131467</v>
      </c>
      <c r="HW257" s="469">
        <f ca="1">IF($FN257+HW$244&gt;73,"",PRODUCT(INDEX($T$19:$T$93,HW$244):INDEX($T$19:$T$93,HW$244+$FN257-1)))</f>
        <v>0.81188608566133946</v>
      </c>
      <c r="HX257" s="469">
        <f ca="1">IF($FN257+HX$244&gt;73,"",PRODUCT(INDEX($T$19:$T$93,HX$244):INDEX($T$19:$T$93,HX$244+$FN257-1)))</f>
        <v>0.79263366230028998</v>
      </c>
      <c r="HY257" s="469">
        <f ca="1">IF($FN257+HY$244&gt;73,"",PRODUCT(INDEX($T$19:$T$93,HY$244):INDEX($T$19:$T$93,HY$244+$FN257-1)))</f>
        <v>0.77159324318978395</v>
      </c>
      <c r="HZ257" s="469">
        <f ca="1">IF($FN257+HZ$244&gt;73,"",PRODUCT(INDEX($T$19:$T$93,HZ$244):INDEX($T$19:$T$93,HZ$244+$FN257-1)))</f>
        <v>0.74863896204231284</v>
      </c>
      <c r="IA257" s="469">
        <f ca="1">IF($FN257+IA$244&gt;73,"",PRODUCT(INDEX($T$19:$T$93,IA$244):INDEX($T$19:$T$93,IA$244+$FN257-1)))</f>
        <v>0.72364587683550907</v>
      </c>
      <c r="IB257" s="469">
        <f ca="1">IF($FN257+IB$244&gt;73,"",PRODUCT(INDEX($T$19:$T$93,IB$244):INDEX($T$19:$T$93,IB$244+$FN257-1)))</f>
        <v>0.69649325793289096</v>
      </c>
      <c r="IC257" s="469">
        <f ca="1">IF($FN257+IC$244&gt;73,"",PRODUCT(INDEX($T$19:$T$93,IC$244):INDEX($T$19:$T$93,IC$244+$FN257-1)))</f>
        <v>0.66706902449368544</v>
      </c>
      <c r="ID257" s="469">
        <f ca="1">IF($FN257+ID$244&gt;73,"",PRODUCT(INDEX($T$19:$T$93,ID$244):INDEX($T$19:$T$93,ID$244+$FN257-1)))</f>
        <v>0.63527568280712199</v>
      </c>
      <c r="IE257" s="469">
        <f ca="1">IF($FN257+IE$244&gt;73,"",PRODUCT(INDEX($T$19:$T$93,IE$244):INDEX($T$19:$T$93,IE$244+$FN257-1)))</f>
        <v>0.60103821960548487</v>
      </c>
      <c r="IF257" s="469">
        <f ca="1">IF($FN257+IF$244&gt;73,"",PRODUCT(INDEX($T$19:$T$93,IF$244):INDEX($T$19:$T$93,IF$244+$FN257-1)))</f>
        <v>0.56431451510381136</v>
      </c>
      <c r="IG257" s="469">
        <f ca="1">IF($FN257+IG$244&gt;73,"",PRODUCT(INDEX($T$19:$T$93,IG$244):INDEX($T$19:$T$93,IG$244+$FN257-1)))</f>
        <v>0.52510894884681547</v>
      </c>
      <c r="IH257" s="662">
        <f ca="1">IF($FN257+IH$244&gt;73,"",PRODUCT(INDEX($T$19:$T$93,IH$244):INDEX($T$19:$T$93,IH$244+$FN257-1)))</f>
        <v>0.4834899412736603</v>
      </c>
      <c r="II257" s="242"/>
    </row>
    <row r="258" spans="8:243">
      <c r="H258" s="49" t="e">
        <f t="shared" ca="1" si="645"/>
        <v>#N/A</v>
      </c>
      <c r="I258" s="369">
        <f t="shared" si="646"/>
        <v>44256</v>
      </c>
      <c r="J258" s="367"/>
      <c r="K258" s="101" t="s">
        <v>267</v>
      </c>
      <c r="L258" s="382">
        <f t="shared" si="647"/>
        <v>25.334999999999791</v>
      </c>
      <c r="M258" s="163"/>
      <c r="N258" s="372">
        <v>0</v>
      </c>
      <c r="O258" s="163">
        <f t="shared" si="595"/>
        <v>0</v>
      </c>
      <c r="P258" s="367"/>
      <c r="Q258" s="101" t="s">
        <v>267</v>
      </c>
      <c r="R258" s="367">
        <f t="shared" ca="1" si="596"/>
        <v>24.128051370646062</v>
      </c>
      <c r="S258" s="814">
        <f>S$19+(S257-S$19)*S$18</f>
        <v>0.34461860821779305</v>
      </c>
      <c r="T258" s="813">
        <f t="shared" si="660"/>
        <v>0.99999999999899503</v>
      </c>
      <c r="U258" s="532">
        <f t="shared" si="661"/>
        <v>0.99999999999999978</v>
      </c>
      <c r="V258" s="379">
        <v>0</v>
      </c>
      <c r="W258" s="424">
        <f t="shared" si="597"/>
        <v>0</v>
      </c>
      <c r="X258" s="405">
        <f t="shared" si="598"/>
        <v>25.368695652173702</v>
      </c>
      <c r="Y258" s="313">
        <f t="shared" si="599"/>
        <v>-1.216</v>
      </c>
      <c r="Z258" s="313">
        <f t="shared" ca="1" si="600"/>
        <v>24.152695652173701</v>
      </c>
      <c r="AA258" s="419">
        <f t="shared" si="623"/>
        <v>1.216</v>
      </c>
      <c r="AB258" s="423">
        <f t="shared" ca="1" si="624"/>
        <v>1.216</v>
      </c>
      <c r="AC258" s="221">
        <v>44247</v>
      </c>
      <c r="AD258" s="221">
        <v>44243</v>
      </c>
      <c r="AE258" s="221">
        <v>44242</v>
      </c>
      <c r="AF258" s="221">
        <v>44238</v>
      </c>
      <c r="AG258" s="241" t="s">
        <v>497</v>
      </c>
      <c r="AH258" s="239" t="s">
        <v>497</v>
      </c>
      <c r="AI258" s="141">
        <v>23</v>
      </c>
      <c r="AJ258" s="41">
        <v>15</v>
      </c>
      <c r="AK258" s="41">
        <v>8</v>
      </c>
      <c r="AL258" s="285">
        <v>23</v>
      </c>
      <c r="AM258" s="41">
        <v>10</v>
      </c>
      <c r="AN258" s="142">
        <v>13</v>
      </c>
      <c r="AO258" s="364">
        <v>6.457191768331369E-2</v>
      </c>
      <c r="AP258" s="145">
        <f t="shared" ca="1" si="648"/>
        <v>0.28098250431118738</v>
      </c>
      <c r="AQ258" s="364">
        <v>5.9796721404589803E-2</v>
      </c>
      <c r="AR258" s="145">
        <f t="shared" ca="1" si="662"/>
        <v>0.31036186146139699</v>
      </c>
      <c r="AS258" s="264">
        <f t="shared" si="601"/>
        <v>0</v>
      </c>
      <c r="AT258" s="149">
        <f t="shared" si="649"/>
        <v>0</v>
      </c>
      <c r="AU258" s="149">
        <f t="shared" si="625"/>
        <v>0</v>
      </c>
      <c r="AV258" s="263">
        <f t="shared" ca="1" si="669"/>
        <v>9.9999999999999995E-7</v>
      </c>
      <c r="AW258" s="150" t="str">
        <f t="shared" ca="1" si="671"/>
        <v/>
      </c>
      <c r="AX258" s="149">
        <f t="shared" ca="1" si="663"/>
        <v>2.2542107410357952E-3</v>
      </c>
      <c r="AY258" s="149">
        <f t="shared" ca="1" si="664"/>
        <v>6.274131625325825E-4</v>
      </c>
      <c r="AZ258" s="149">
        <f t="shared" ca="1" si="665"/>
        <v>9.0628466155011789E-4</v>
      </c>
      <c r="BA258" s="149">
        <f t="shared" ca="1" si="666"/>
        <v>1.0000000000001341E-4</v>
      </c>
      <c r="BB258" s="149">
        <f t="shared" ca="1" si="667"/>
        <v>1.0000000000001341E-4</v>
      </c>
      <c r="BC258" s="149">
        <f t="shared" ca="1" si="668"/>
        <v>1.0000000000001341E-4</v>
      </c>
      <c r="BD258" s="143">
        <f t="shared" ca="1" si="602"/>
        <v>0</v>
      </c>
      <c r="BE258" s="144">
        <f t="shared" ca="1" si="603"/>
        <v>0</v>
      </c>
      <c r="BF258" s="40">
        <f t="shared" si="604"/>
        <v>2021</v>
      </c>
      <c r="BG258" s="139">
        <f t="shared" si="605"/>
        <v>3</v>
      </c>
      <c r="BH258" s="140">
        <f t="shared" ca="1" si="606"/>
        <v>7253</v>
      </c>
      <c r="BI258" s="304">
        <f t="shared" ca="1" si="607"/>
        <v>19.893223819301848</v>
      </c>
      <c r="BJ258" s="42">
        <f t="shared" ca="1" si="626"/>
        <v>19.946790465137042</v>
      </c>
      <c r="BK258" s="42">
        <f t="shared" ca="1" si="627"/>
        <v>19.949528315924173</v>
      </c>
      <c r="BL258" s="42">
        <f t="shared" ca="1" si="608"/>
        <v>19.975359342915812</v>
      </c>
      <c r="BM258" s="285">
        <f t="shared" si="609"/>
        <v>23</v>
      </c>
      <c r="BN258" s="41">
        <f t="shared" si="610"/>
        <v>15</v>
      </c>
      <c r="BO258" s="41">
        <f t="shared" si="611"/>
        <v>8</v>
      </c>
      <c r="BP258" s="297" t="str">
        <f t="shared" ca="1" si="628"/>
        <v/>
      </c>
      <c r="BQ258" s="297" t="str">
        <f t="shared" ca="1" si="629"/>
        <v/>
      </c>
      <c r="BR258" s="299" t="str">
        <f t="shared" ca="1" si="630"/>
        <v/>
      </c>
      <c r="BS258" s="153" t="str">
        <f t="shared" ca="1" si="631"/>
        <v/>
      </c>
      <c r="BT258" s="153" t="str">
        <f t="shared" ca="1" si="632"/>
        <v/>
      </c>
      <c r="BU258" s="300" t="str">
        <f t="shared" ca="1" si="633"/>
        <v/>
      </c>
      <c r="BV258" s="301" t="str">
        <f t="shared" ca="1" si="634"/>
        <v/>
      </c>
      <c r="BW258" s="300" t="str">
        <f t="shared" ca="1" si="635"/>
        <v/>
      </c>
      <c r="BX258" s="301" t="str">
        <f t="shared" ca="1" si="636"/>
        <v/>
      </c>
      <c r="BY258" s="146" t="str">
        <f t="shared" ca="1" si="637"/>
        <v/>
      </c>
      <c r="BZ258" s="146" t="str">
        <f t="shared" ca="1" si="638"/>
        <v/>
      </c>
      <c r="CA258" s="146" t="str">
        <f t="shared" ca="1" si="639"/>
        <v/>
      </c>
      <c r="CB258" s="146" t="str">
        <f t="shared" ca="1" si="640"/>
        <v/>
      </c>
      <c r="CC258" s="302">
        <v>1</v>
      </c>
      <c r="CD258" s="154">
        <f ca="1">IF(BD258,_xll.xCrudeAPO(BS258,BT258,BY258,BZ258,S259,S260,BI258,BL258,BN258,BO258,0,Strike1,AO258,CC258,0,BL258,IF(OptControl=4,0,1),0,1),0)</f>
        <v>0</v>
      </c>
      <c r="CE258" s="155">
        <f ca="1">IF(BD258,_xll.xCrudeAPO(BS258,BT258,BY258,BZ258,S259,S260,BI258,BL258,BN258,BO258,0,Strike1,AO258,CC258,0,BL258,IF(OptControl=4,0,1),1,1)+_xll.xCrudeAPO(BS258,BT258,BY258,BZ258,S259,S260,BI258,BL258,BN258,BO258,0,Strike1,AO258,CC258,0,BL258,IF(OptControl=4,0,1),1,2)+IF(OR(VolSkewFlag=2,ABS(BQ258)&lt;0.0001),0,IF(BQ258&gt;0,-1,1)*CF258*Strike1/BP258^2*BW258/10%),0)</f>
        <v>0</v>
      </c>
      <c r="CF258" s="155">
        <f ca="1">IF(BD258,(_xll.xCrudeAPO(BS258,BT258,BY258,BZ258,S259,S260,BI258,BL258,BN258,BO258,0,Strike1,AO258,CC258,0,BL258,IF(OptControl=4,0,1),3,1)+_xll.xCrudeAPO(BS258,BT258,BY258,BZ258,S259,S260,BI258,BL258,BN258,BO258,0,Strike1,AO258,CC258,0,BL258,IF(OptControl=4,0,1),3,2))/100,0)</f>
        <v>0</v>
      </c>
      <c r="CG258" s="155">
        <f ca="1">IF(BD258,_xll.xCrudeAPO(BS258,BT258,BY258,BZ258,S259,S260,BI258-DaysForThetaCalculation/365.25,BL258-DaysForThetaCalculation/365.25,BN258,BO258,0,Strike1,AO258,CC258,0,BL258,IF(OptControl=4,0,1),0,1)-_xll.xCrudeAPO(BS258,BT258,BY258,BZ258,S259,S260,BI258,BL258,BN258,BO258,0,Strike1,AO258,CC258,0,BL258,IF(OptControl=4,0,1),0,1),0)</f>
        <v>0</v>
      </c>
      <c r="CH258" s="303">
        <f ca="1">IF(BD258,_xll.xCrudeAPO(BS258,BT258,CA258,CB258,S259,S260,BI258,BL258,BN258,BO258,0,Strike2,AO258,CC258,0,BL258,IF(OptControl=3,1,0),0,1),0)</f>
        <v>0</v>
      </c>
      <c r="CI258" s="155">
        <f ca="1">IF(BD258,_xll.xCrudeAPO(BS258,BT258,CA258,CB258,S259,S260,BI258,BL258,BN258,BO258,0,Strike2,AO258,CC258,0,BL258,IF(OptControl=3,1,0),1,1)+_xll.xCrudeAPO(BS258,BT258,CA258,CB258,S259,S260,BI258,BL258,BN258,BO258,0,Strike2,AO258,CC258,0,BL258,IF(OptControl=3,1,0),1,2)+IF(OR(VolSkewFlag=2,ABS(BR258)&lt;0.0001),0,IF(BR258&gt;0,-1,1)*CJ258*Strike2/BP258^2*BX258/10%),0)</f>
        <v>0</v>
      </c>
      <c r="CJ258" s="155">
        <f ca="1">IF(BD258,(_xll.xCrudeAPO(BS258,BT258,CA258,CB258,S259,S260,BI258,BL258,BN258,BO258,0,Strike2,AO258,CC258,0,BL258,IF(OptControl=3,1,0),3,1)+_xll.xCrudeAPO(BS258,BT258,CA258,CB258,S259,S260,BI258,BL258,BN258,BO258,0,Strike2,AO258,CC258,0,BL258,IF(OptControl=3,1,0),3,2))/100,0)</f>
        <v>0</v>
      </c>
      <c r="CK258" s="156">
        <f ca="1">IF(BD258,_xll.xCrudeAPO(BS258,BT258,CA258,CB258,S259,S260,BI258-DaysForThetaCalculation/365.25,BL258-DaysForThetaCalculation/365.25,BN258,BO258,0,Strike2,AO258,CC258,0,BL258,IF(OptControl=3,1,0),0,1)-_xll.xCrudeAPO(BS258,BT258,CA258,CB258,S259,S260,BI258,BL258,BN258,BO258,0,Strike2,AO258,CC258,0,BL258,IF(OptControl=3,1,0),0,1),0)</f>
        <v>0</v>
      </c>
      <c r="CL258" s="51"/>
      <c r="CM258" s="779" t="str">
        <f t="shared" ca="1" si="650"/>
        <v/>
      </c>
      <c r="CN258" s="783" t="str">
        <f t="shared" ca="1" si="651"/>
        <v/>
      </c>
      <c r="CO258" s="780" t="str">
        <f t="shared" ca="1" si="652"/>
        <v/>
      </c>
      <c r="CP258" s="780" t="str">
        <f t="shared" ca="1" si="653"/>
        <v/>
      </c>
      <c r="CQ258" s="780" t="str">
        <f t="shared" ca="1" si="654"/>
        <v/>
      </c>
      <c r="CR258" s="780" t="str">
        <f t="shared" ca="1" si="655"/>
        <v/>
      </c>
      <c r="CS258" s="781" t="str">
        <f t="shared" ca="1" si="656"/>
        <v/>
      </c>
      <c r="CT258" s="782" t="str">
        <f t="shared" ca="1" si="657"/>
        <v/>
      </c>
      <c r="CU258" s="782" t="str">
        <f t="shared" ca="1" si="658"/>
        <v/>
      </c>
      <c r="CV258" s="155">
        <f ca="1">IF(BD258,_xll.EURO(CN258,Strike1,AO258,AO258,CT258,CM258,IF(OptControl=4,0,1),0),0)</f>
        <v>0</v>
      </c>
      <c r="CW258" s="155">
        <f ca="1">IF(BD258,_xll.EURO(CN258,Strike1,AO258,AO258,CT258,CM258,IF(OptControl=4,0,1),1)+IF(OR(VolSkewFlag=2,ABS(CO258)&lt;0.0001),0,IF(CO258&gt;0,-1,1)*CX258*100*Strike1/CN258^2*CQ258/10%),0)</f>
        <v>0</v>
      </c>
      <c r="CX258" s="155">
        <f ca="1">IF(BD258,_xll.EURO(CN258,Strike1,AO258,AO258,CT258,CM258,IF(OptControl=4,0,1),3)/100,0)</f>
        <v>0</v>
      </c>
      <c r="CY258" s="155">
        <f ca="1">IF(BD258,_xll.EURO(CN258,Strike1,AO258,AO258,CT258,CM258,IF(OptControl=4,0,1),0)-_xll.EURO(CN258,Strike1,AO258,AO258,CT258,CM258-1,IF(OptControl=4,0,1),0),0)</f>
        <v>0</v>
      </c>
      <c r="CZ258" s="155">
        <f ca="1">IF(BD258,_xll.EURO(CN258,Strike2,AO258,AO258,CU258,CM258,IF(OptControl=3,1,0),0),0)</f>
        <v>0</v>
      </c>
      <c r="DA258" s="155">
        <f ca="1">IF(BD258,_xll.EURO(CN258,Strike2,AO258,AO258,CU258,CM258,IF(OptControl=3,1,0),1)+IF(OR(VolSkewFlag=2,ABS(CP258)&lt;0.0001),0,IF(CP258&gt;0,-1,1)*DB258*100*Strike2/CN258^2*CR258/10%),0)</f>
        <v>0</v>
      </c>
      <c r="DB258" s="155">
        <f ca="1">IF(BD258,_xll.EURO(CN258,Strike2,AO258,AO258,CU258,CM258,IF(OptControl=3,1,0),3)/100,0)</f>
        <v>0</v>
      </c>
      <c r="DC258" s="156">
        <f ca="1">IF(BD258,_xll.EURO(CN258,Strike2,AO258,AO258,CU258,CM258,IF(OptControl=3,1,0),0)-_xll.EURO(CN258,Strike2,AO258,AO258,CU258,CM258-1,IF(OptControl=3,1,0),0),0)</f>
        <v>0</v>
      </c>
      <c r="DE258" s="651">
        <f t="shared" ca="1" si="659"/>
        <v>44166</v>
      </c>
      <c r="DF258" s="465">
        <v>1E-4</v>
      </c>
      <c r="DG258" s="649">
        <v>1E-4</v>
      </c>
      <c r="DH258" s="650">
        <f t="shared" ca="1" si="612"/>
        <v>44166</v>
      </c>
      <c r="DI258" s="465">
        <v>1E-4</v>
      </c>
      <c r="DJ258" s="649">
        <v>1E-4</v>
      </c>
      <c r="DK258" s="651">
        <f t="shared" ca="1" si="613"/>
        <v>44166</v>
      </c>
      <c r="DL258" s="652">
        <f t="shared" si="614"/>
        <v>5.0100000000000006E-2</v>
      </c>
      <c r="DM258" s="651">
        <f t="shared" ca="1" si="615"/>
        <v>44166</v>
      </c>
      <c r="DN258" s="563">
        <f t="shared" si="616"/>
        <v>-0.12990000000000002</v>
      </c>
      <c r="DO258" s="803">
        <v>-0.13</v>
      </c>
      <c r="DP258" s="650">
        <f t="shared" ca="1" si="617"/>
        <v>44166</v>
      </c>
      <c r="DQ258" s="653">
        <v>1E-4</v>
      </c>
      <c r="DR258" s="590">
        <v>1E-4</v>
      </c>
      <c r="DS258" s="650">
        <f t="shared" ca="1" si="618"/>
        <v>44166</v>
      </c>
      <c r="DT258" s="653">
        <v>1E-4</v>
      </c>
      <c r="DU258" s="590">
        <v>1E-4</v>
      </c>
      <c r="DV258" s="651">
        <f t="shared" ca="1" si="619"/>
        <v>44166</v>
      </c>
      <c r="DW258" s="590">
        <v>1E-4</v>
      </c>
      <c r="DX258" s="651">
        <f t="shared" ca="1" si="620"/>
        <v>44166</v>
      </c>
      <c r="DY258" s="590">
        <f t="shared" si="621"/>
        <v>1E-4</v>
      </c>
      <c r="DZ258" s="1"/>
      <c r="EA258" s="857"/>
      <c r="EB258" s="857"/>
      <c r="EC258" s="857"/>
      <c r="ED258" s="868" t="e">
        <f t="shared" ca="1" si="670"/>
        <v>#NAME?</v>
      </c>
      <c r="EE258" s="863" t="e">
        <f t="shared" ca="1" si="641"/>
        <v>#NAME?</v>
      </c>
      <c r="EF258" s="590" t="e">
        <f t="shared" ca="1" si="642"/>
        <v>#NAME?</v>
      </c>
      <c r="EG258" s="862" t="str">
        <f t="shared" ca="1" si="622"/>
        <v/>
      </c>
      <c r="EH258" s="114" t="str">
        <f t="shared" ca="1" si="643"/>
        <v/>
      </c>
      <c r="EI258" s="109" t="str">
        <f t="shared" ca="1" si="644"/>
        <v/>
      </c>
      <c r="EJ258" s="115">
        <f ca="1">IF(BD258,_xll.xASN(BP258,Strike1,AO258,EH258,0,BM258,0,BI258,BL258,IF(OptControl=4,0,1),0),0)</f>
        <v>0</v>
      </c>
      <c r="EK258" s="108">
        <f ca="1">IF(BD258,_xll.xASN(BP258,Strike2,AO258,EI258,0,BM258,0,BI258,BL258,IF(OptControl=3,1,0),0),0)</f>
        <v>0</v>
      </c>
      <c r="EP258" s="53"/>
      <c r="EQ258" s="1"/>
      <c r="ER258" s="103"/>
      <c r="ES258" s="103"/>
      <c r="ET258" s="1"/>
      <c r="EU258" s="667" t="s">
        <v>471</v>
      </c>
      <c r="EV258" s="1"/>
      <c r="EW258" s="1"/>
      <c r="EX258" s="1"/>
      <c r="EY258" s="103"/>
      <c r="FN258" s="657">
        <v>14</v>
      </c>
      <c r="FO258" s="469" t="str">
        <f ca="1">IF($FN258+FO$244&gt;73,"",PRODUCT(INDEX($T$19:$T$93,FO$244):INDEX($T$19:$T$93,FO$244+$FN258-1)))</f>
        <v/>
      </c>
      <c r="FP258" s="469" t="str">
        <f ca="1">IF($FN258+FP$244&gt;73,"",PRODUCT(INDEX($T$19:$T$93,FP$244):INDEX($T$19:$T$93,FP$244+$FN258-1)))</f>
        <v/>
      </c>
      <c r="FQ258" s="469" t="str">
        <f ca="1">IF($FN258+FQ$244&gt;73,"",PRODUCT(INDEX($T$19:$T$93,FQ$244):INDEX($T$19:$T$93,FQ$244+$FN258-1)))</f>
        <v/>
      </c>
      <c r="FR258" s="469" t="str">
        <f ca="1">IF($FN258+FR$244&gt;73,"",PRODUCT(INDEX($T$19:$T$93,FR$244):INDEX($T$19:$T$93,FR$244+$FN258-1)))</f>
        <v/>
      </c>
      <c r="FS258" s="469" t="str">
        <f ca="1">IF($FN258+FS$244&gt;73,"",PRODUCT(INDEX($T$19:$T$93,FS$244):INDEX($T$19:$T$93,FS$244+$FN258-1)))</f>
        <v/>
      </c>
      <c r="FT258" s="469" t="str">
        <f ca="1">IF($FN258+FT$244&gt;73,"",PRODUCT(INDEX($T$19:$T$93,FT$244):INDEX($T$19:$T$93,FT$244+$FN258-1)))</f>
        <v/>
      </c>
      <c r="FU258" s="469" t="str">
        <f ca="1">IF($FN258+FU$244&gt;73,"",PRODUCT(INDEX($T$19:$T$93,FU$244):INDEX($T$19:$T$93,FU$244+$FN258-1)))</f>
        <v/>
      </c>
      <c r="FV258" s="469" t="str">
        <f ca="1">IF($FN258+FV$244&gt;73,"",PRODUCT(INDEX($T$19:$T$93,FV$244):INDEX($T$19:$T$93,FV$244+$FN258-1)))</f>
        <v/>
      </c>
      <c r="FW258" s="469" t="str">
        <f ca="1">IF($FN258+FW$244&gt;73,"",PRODUCT(INDEX($T$19:$T$93,FW$244):INDEX($T$19:$T$93,FW$244+$FN258-1)))</f>
        <v/>
      </c>
      <c r="FX258" s="469" t="str">
        <f ca="1">IF($FN258+FX$244&gt;73,"",PRODUCT(INDEX($T$19:$T$93,FX$244):INDEX($T$19:$T$93,FX$244+$FN258-1)))</f>
        <v/>
      </c>
      <c r="FY258" s="469" t="str">
        <f ca="1">IF($FN258+FY$244&gt;73,"",PRODUCT(INDEX($T$19:$T$93,FY$244):INDEX($T$19:$T$93,FY$244+$FN258-1)))</f>
        <v/>
      </c>
      <c r="FZ258" s="469" t="str">
        <f ca="1">IF($FN258+FZ$244&gt;73,"",PRODUCT(INDEX($T$19:$T$93,FZ$244):INDEX($T$19:$T$93,FZ$244+$FN258-1)))</f>
        <v/>
      </c>
      <c r="GA258" s="469" t="str">
        <f ca="1">IF($FN258+GA$244&gt;73,"",PRODUCT(INDEX($T$19:$T$93,GA$244):INDEX($T$19:$T$93,GA$244+$FN258-1)))</f>
        <v/>
      </c>
      <c r="GB258" s="469">
        <f ca="1">IF($FN258+GB$244&gt;73,"",PRODUCT(INDEX($T$19:$T$93,GB$244):INDEX($T$19:$T$93,GB$244+$FN258-1)))</f>
        <v>0.99851688123208437</v>
      </c>
      <c r="GC258" s="469">
        <f ca="1">IF($FN258+GC$244&gt;73,"",PRODUCT(INDEX($T$19:$T$93,GC$244):INDEX($T$19:$T$93,GC$244+$FN258-1)))</f>
        <v>0.99835220283238124</v>
      </c>
      <c r="GD258" s="469">
        <f ca="1">IF($FN258+GD$244&gt;73,"",PRODUCT(INDEX($T$19:$T$93,GD$244):INDEX($T$19:$T$93,GD$244+$FN258-1)))</f>
        <v>0.99816925317958427</v>
      </c>
      <c r="GE258" s="469">
        <f ca="1">IF($FN258+GE$244&gt;73,"",PRODUCT(INDEX($T$19:$T$93,GE$244):INDEX($T$19:$T$93,GE$244+$FN258-1)))</f>
        <v>0.9979660082943872</v>
      </c>
      <c r="GF258" s="469">
        <f ca="1">IF($FN258+GF$244&gt;73,"",PRODUCT(INDEX($T$19:$T$93,GF$244):INDEX($T$19:$T$93,GF$244+$FN258-1)))</f>
        <v>0.99774022074894719</v>
      </c>
      <c r="GG258" s="469">
        <f ca="1">IF($FN258+GG$244&gt;73,"",PRODUCT(INDEX($T$19:$T$93,GG$244):INDEX($T$19:$T$93,GG$244+$FN258-1)))</f>
        <v>0.99748939517425206</v>
      </c>
      <c r="GH258" s="469">
        <f ca="1">IF($FN258+GH$244&gt;73,"",PRODUCT(INDEX($T$19:$T$93,GH$244):INDEX($T$19:$T$93,GH$244+$FN258-1)))</f>
        <v>0.99721076112387019</v>
      </c>
      <c r="GI258" s="469">
        <f ca="1">IF($FN258+GI$244&gt;73,"",PRODUCT(INDEX($T$19:$T$93,GI$244):INDEX($T$19:$T$93,GI$244+$FN258-1)))</f>
        <v>0.99690124301831118</v>
      </c>
      <c r="GJ258" s="469">
        <f ca="1">IF($FN258+GJ$244&gt;73,"",PRODUCT(INDEX($T$19:$T$93,GJ$244):INDEX($T$19:$T$93,GJ$244+$FN258-1)))</f>
        <v>0.99655742686772886</v>
      </c>
      <c r="GK258" s="469">
        <f ca="1">IF($FN258+GK$244&gt;73,"",PRODUCT(INDEX($T$19:$T$93,GK$244):INDEX($T$19:$T$93,GK$244+$FN258-1)))</f>
        <v>0.9961755234421602</v>
      </c>
      <c r="GL258" s="469">
        <f ca="1">IF($FN258+GL$244&gt;73,"",PRODUCT(INDEX($T$19:$T$93,GL$244):INDEX($T$19:$T$93,GL$244+$FN258-1)))</f>
        <v>0.99575132752794426</v>
      </c>
      <c r="GM258" s="469">
        <f ca="1">IF($FN258+GM$244&gt;73,"",PRODUCT(INDEX($T$19:$T$93,GM$244):INDEX($T$19:$T$93,GM$244+$FN258-1)))</f>
        <v>0.99528017287642823</v>
      </c>
      <c r="GN258" s="469">
        <f ca="1">IF($FN258+GN$244&gt;73,"",PRODUCT(INDEX($T$19:$T$93,GN$244):INDEX($T$19:$T$93,GN$244+$FN258-1)))</f>
        <v>0.99475688241660432</v>
      </c>
      <c r="GO258" s="469">
        <f ca="1">IF($FN258+GO$244&gt;73,"",PRODUCT(INDEX($T$19:$T$93,GO$244):INDEX($T$19:$T$93,GO$244+$FN258-1)))</f>
        <v>0.99417571326714138</v>
      </c>
      <c r="GP258" s="469">
        <f ca="1">IF($FN258+GP$244&gt;73,"",PRODUCT(INDEX($T$19:$T$93,GP$244):INDEX($T$19:$T$93,GP$244+$FN258-1)))</f>
        <v>0.99353029604558629</v>
      </c>
      <c r="GQ258" s="469">
        <f ca="1">IF($FN258+GQ$244&gt;73,"",PRODUCT(INDEX($T$19:$T$93,GQ$244):INDEX($T$19:$T$93,GQ$244+$FN258-1)))</f>
        <v>0.99281356793375819</v>
      </c>
      <c r="GR258" s="469">
        <f ca="1">IF($FN258+GR$244&gt;73,"",PRODUCT(INDEX($T$19:$T$93,GR$244):INDEX($T$19:$T$93,GR$244+$FN258-1)))</f>
        <v>0.99201769891902836</v>
      </c>
      <c r="GS258" s="469">
        <f ca="1">IF($FN258+GS$244&gt;73,"",PRODUCT(INDEX($T$19:$T$93,GS$244):INDEX($T$19:$T$93,GS$244+$FN258-1)))</f>
        <v>0.99113401059207462</v>
      </c>
      <c r="GT258" s="469">
        <f ca="1">IF($FN258+GT$244&gt;73,"",PRODUCT(INDEX($T$19:$T$93,GT$244):INDEX($T$19:$T$93,GT$244+$FN258-1)))</f>
        <v>0.99015288684375147</v>
      </c>
      <c r="GU258" s="469">
        <f ca="1">IF($FN258+GU$244&gt;73,"",PRODUCT(INDEX($T$19:$T$93,GU$244):INDEX($T$19:$T$93,GU$244+$FN258-1)))</f>
        <v>0.9890636757682576</v>
      </c>
      <c r="GV258" s="469">
        <f ca="1">IF($FN258+GV$244&gt;73,"",PRODUCT(INDEX($T$19:$T$93,GV$244):INDEX($T$19:$T$93,GV$244+$FN258-1)))</f>
        <v>0.98785458204847498</v>
      </c>
      <c r="GW258" s="469">
        <f ca="1">IF($FN258+GW$244&gt;73,"",PRODUCT(INDEX($T$19:$T$93,GW$244):INDEX($T$19:$T$93,GW$244+$FN258-1)))</f>
        <v>0.98651254907425934</v>
      </c>
      <c r="GX258" s="469">
        <f ca="1">IF($FN258+GX$244&gt;73,"",PRODUCT(INDEX($T$19:$T$93,GX$244):INDEX($T$19:$T$93,GX$244+$FN258-1)))</f>
        <v>0.98502313002834685</v>
      </c>
      <c r="GY258" s="469">
        <f ca="1">IF($FN258+GY$244&gt;73,"",PRODUCT(INDEX($T$19:$T$93,GY$244):INDEX($T$19:$T$93,GY$244+$FN258-1)))</f>
        <v>0.98337034717061678</v>
      </c>
      <c r="GZ258" s="469">
        <f ca="1">IF($FN258+GZ$244&gt;73,"",PRODUCT(INDEX($T$19:$T$93,GZ$244):INDEX($T$19:$T$93,GZ$244+$FN258-1)))</f>
        <v>0.98153653856393297</v>
      </c>
      <c r="HA258" s="469">
        <f ca="1">IF($FN258+HA$244&gt;73,"",PRODUCT(INDEX($T$19:$T$93,HA$244):INDEX($T$19:$T$93,HA$244+$FN258-1)))</f>
        <v>0.97950219151867235</v>
      </c>
      <c r="HB258" s="469">
        <f ca="1">IF($FN258+HB$244&gt;73,"",PRODUCT(INDEX($T$19:$T$93,HB$244):INDEX($T$19:$T$93,HB$244+$FN258-1)))</f>
        <v>0.97724576209454705</v>
      </c>
      <c r="HC258" s="469">
        <f ca="1">IF($FN258+HC$244&gt;73,"",PRODUCT(INDEX($T$19:$T$93,HC$244):INDEX($T$19:$T$93,HC$244+$FN258-1)))</f>
        <v>0.97474348009493195</v>
      </c>
      <c r="HD258" s="469">
        <f ca="1">IF($FN258+HD$244&gt;73,"",PRODUCT(INDEX($T$19:$T$93,HD$244):INDEX($T$19:$T$93,HD$244+$FN258-1)))</f>
        <v>0.97196913912965499</v>
      </c>
      <c r="HE258" s="469">
        <f ca="1">IF($FN258+HE$244&gt;73,"",PRODUCT(INDEX($T$19:$T$93,HE$244):INDEX($T$19:$T$93,HE$244+$FN258-1)))</f>
        <v>0.96889387151792206</v>
      </c>
      <c r="HF258" s="469">
        <f ca="1">IF($FN258+HF$244&gt;73,"",PRODUCT(INDEX($T$19:$T$93,HF$244):INDEX($T$19:$T$93,HF$244+$FN258-1)))</f>
        <v>0.96548590806674628</v>
      </c>
      <c r="HG258" s="469">
        <f ca="1">IF($FN258+HG$244&gt;73,"",PRODUCT(INDEX($T$19:$T$93,HG$244):INDEX($T$19:$T$93,HG$244+$FN258-1)))</f>
        <v>0.96171032310721438</v>
      </c>
      <c r="HH258" s="469">
        <f ca="1">IF($FN258+HH$244&gt;73,"",PRODUCT(INDEX($T$19:$T$93,HH$244):INDEX($T$19:$T$93,HH$244+$FN258-1)))</f>
        <v>0.95752876561953759</v>
      </c>
      <c r="HI258" s="469">
        <f ca="1">IF($FN258+HI$244&gt;73,"",PRODUCT(INDEX($T$19:$T$93,HI$244):INDEX($T$19:$T$93,HI$244+$FN258-1)))</f>
        <v>0.9528991778495669</v>
      </c>
      <c r="HJ258" s="469">
        <f ca="1">IF($FN258+HJ$244&gt;73,"",PRODUCT(INDEX($T$19:$T$93,HJ$244):INDEX($T$19:$T$93,HJ$244+$FN258-1)))</f>
        <v>0.94777550353993811</v>
      </c>
      <c r="HK258" s="469">
        <f ca="1">IF($FN258+HK$244&gt;73,"",PRODUCT(INDEX($T$19:$T$93,HK$244):INDEX($T$19:$T$93,HK$244+$FN258-1)))</f>
        <v>0.94210738879852474</v>
      </c>
      <c r="HL258" s="469">
        <f ca="1">IF($FN258+HL$244&gt;73,"",PRODUCT(INDEX($T$19:$T$93,HL$244):INDEX($T$19:$T$93,HL$244+$FN258-1)))</f>
        <v>0.93583987974155547</v>
      </c>
      <c r="HM258" s="469">
        <f ca="1">IF($FN258+HM$244&gt;73,"",PRODUCT(INDEX($T$19:$T$93,HM$244):INDEX($T$19:$T$93,HM$244+$FN258-1)))</f>
        <v>0.92891312242214519</v>
      </c>
      <c r="HN258" s="469">
        <f ca="1">IF($FN258+HN$244&gt;73,"",PRODUCT(INDEX($T$19:$T$93,HN$244):INDEX($T$19:$T$93,HN$244+$FN258-1)))</f>
        <v>0.92126207224019363</v>
      </c>
      <c r="HO258" s="469">
        <f ca="1">IF($FN258+HO$244&gt;73,"",PRODUCT(INDEX($T$19:$T$93,HO$244):INDEX($T$19:$T$93,HO$244+$FN258-1)))</f>
        <v>0.91281622209255253</v>
      </c>
      <c r="HP258" s="469">
        <f ca="1">IF($FN258+HP$244&gt;73,"",PRODUCT(INDEX($T$19:$T$93,HP$244):INDEX($T$19:$T$93,HP$244+$FN258-1)))</f>
        <v>0.90349936104672257</v>
      </c>
      <c r="HQ258" s="469">
        <f ca="1">IF($FN258+HQ$244&gt;73,"",PRODUCT(INDEX($T$19:$T$93,HQ$244):INDEX($T$19:$T$93,HQ$244+$FN258-1)))</f>
        <v>0.89322937841546546</v>
      </c>
      <c r="HR258" s="469">
        <f ca="1">IF($FN258+HR$244&gt;73,"",PRODUCT(INDEX($T$19:$T$93,HR$244):INDEX($T$19:$T$93,HR$244+$FN258-1)))</f>
        <v>0.88191813191740132</v>
      </c>
      <c r="HS258" s="469">
        <f ca="1">IF($FN258+HS$244&gt;73,"",PRODUCT(INDEX($T$19:$T$93,HS$244):INDEX($T$19:$T$93,HS$244+$FN258-1)))</f>
        <v>0.86947140332403683</v>
      </c>
      <c r="HT258" s="469">
        <f ca="1">IF($FN258+HT$244&gt;73,"",PRODUCT(INDEX($T$19:$T$93,HT$244):INDEX($T$19:$T$93,HT$244+$FN258-1)))</f>
        <v>0.85578897088313055</v>
      </c>
      <c r="HU258" s="469">
        <f ca="1">IF($FN258+HU$244&gt;73,"",PRODUCT(INDEX($T$19:$T$93,HU$244):INDEX($T$19:$T$93,HU$244+$FN258-1)))</f>
        <v>0.84076483524021539</v>
      </c>
      <c r="HV258" s="469">
        <f ca="1">IF($FN258+HV$244&gt;73,"",PRODUCT(INDEX($T$19:$T$93,HV$244):INDEX($T$19:$T$93,HV$244+$FN258-1)))</f>
        <v>0.82428764506539975</v>
      </c>
      <c r="HW258" s="469">
        <f ca="1">IF($FN258+HW$244&gt;73,"",PRODUCT(INDEX($T$19:$T$93,HW$244):INDEX($T$19:$T$93,HW$244+$FN258-1)))</f>
        <v>0.80624138083626939</v>
      </c>
      <c r="HX258" s="469">
        <f ca="1">IF($FN258+HX$244&gt;73,"",PRODUCT(INDEX($T$19:$T$93,HX$244):INDEX($T$19:$T$93,HX$244+$FN258-1)))</f>
        <v>0.78650637119112876</v>
      </c>
      <c r="HY258" s="469">
        <f ca="1">IF($FN258+HY$244&gt;73,"",PRODUCT(INDEX($T$19:$T$93,HY$244):INDEX($T$19:$T$93,HY$244+$FN258-1)))</f>
        <v>0.76496073723355973</v>
      </c>
      <c r="HZ258" s="469">
        <f ca="1">IF($FN258+HZ$244&gt;73,"",PRODUCT(INDEX($T$19:$T$93,HZ$244):INDEX($T$19:$T$93,HZ$244+$FN258-1)))</f>
        <v>0.74148238779865927</v>
      </c>
      <c r="IA258" s="469">
        <f ca="1">IF($FN258+IA$244&gt;73,"",PRODUCT(INDEX($T$19:$T$93,IA$244):INDEX($T$19:$T$93,IA$244+$FN258-1)))</f>
        <v>0.71595172502333981</v>
      </c>
      <c r="IB258" s="469">
        <f ca="1">IF($FN258+IB$244&gt;73,"",PRODUCT(INDEX($T$19:$T$93,IB$244):INDEX($T$19:$T$93,IB$244+$FN258-1)))</f>
        <v>0.68825526690398486</v>
      </c>
      <c r="IC258" s="469">
        <f ca="1">IF($FN258+IC$244&gt;73,"",PRODUCT(INDEX($T$19:$T$93,IC$244):INDEX($T$19:$T$93,IC$244+$FN258-1)))</f>
        <v>0.65829045408477771</v>
      </c>
      <c r="ID258" s="469">
        <f ca="1">IF($FN258+ID$244&gt;73,"",PRODUCT(INDEX($T$19:$T$93,ID$244):INDEX($T$19:$T$93,ID$244+$FN258-1)))</f>
        <v>0.62597198317811187</v>
      </c>
      <c r="IE258" s="469">
        <f ca="1">IF($FN258+IE$244&gt;73,"",PRODUCT(INDEX($T$19:$T$93,IE$244):INDEX($T$19:$T$93,IE$244+$FN258-1)))</f>
        <v>0.59124009714226977</v>
      </c>
      <c r="IF258" s="469">
        <f ca="1">IF($FN258+IF$244&gt;73,"",PRODUCT(INDEX($T$19:$T$93,IF$244):INDEX($T$19:$T$93,IF$244+$FN258-1)))</f>
        <v>0.55407135757792225</v>
      </c>
      <c r="IG258" s="469">
        <f ca="1">IF($FN258+IG$244&gt;73,"",PRODUCT(INDEX($T$19:$T$93,IG$244):INDEX($T$19:$T$93,IG$244+$FN258-1)))</f>
        <v>0.5144925060854153</v>
      </c>
      <c r="IH258" s="662">
        <f ca="1">IF($FN258+IH$244&gt;73,"",PRODUCT(INDEX($T$19:$T$93,IH$244):INDEX($T$19:$T$93,IH$244+$FN258-1)))</f>
        <v>0.47259805396213395</v>
      </c>
      <c r="II258" s="242"/>
    </row>
    <row r="259" spans="8:243">
      <c r="H259" s="49" t="e">
        <f t="shared" ca="1" si="645"/>
        <v>#N/A</v>
      </c>
      <c r="I259" s="369">
        <f t="shared" si="646"/>
        <v>44287</v>
      </c>
      <c r="J259" s="367"/>
      <c r="K259" s="101" t="s">
        <v>267</v>
      </c>
      <c r="L259" s="382">
        <f t="shared" si="647"/>
        <v>25.35999999999979</v>
      </c>
      <c r="M259" s="163"/>
      <c r="N259" s="372">
        <v>0</v>
      </c>
      <c r="O259" s="163">
        <f t="shared" si="595"/>
        <v>0</v>
      </c>
      <c r="P259" s="367"/>
      <c r="Q259" s="101" t="s">
        <v>267</v>
      </c>
      <c r="R259" s="367">
        <f t="shared" ca="1" si="596"/>
        <v>24.122448629353517</v>
      </c>
      <c r="S259" s="814">
        <f>S$19+(S258-S$19)*S$18</f>
        <v>0.34457242213561512</v>
      </c>
      <c r="T259" s="813">
        <f t="shared" si="660"/>
        <v>0.9999999999990955</v>
      </c>
      <c r="U259" s="532">
        <f t="shared" si="661"/>
        <v>0.99999999999999978</v>
      </c>
      <c r="V259" s="379">
        <v>0</v>
      </c>
      <c r="W259" s="424"/>
      <c r="X259" s="405"/>
      <c r="Y259" s="313"/>
      <c r="Z259" s="313"/>
      <c r="AA259" s="419"/>
      <c r="AB259" s="423"/>
      <c r="AC259" s="221">
        <v>44275</v>
      </c>
      <c r="AD259" s="221">
        <v>44271</v>
      </c>
      <c r="AE259" s="221">
        <v>44270</v>
      </c>
      <c r="AF259" s="221">
        <v>44266</v>
      </c>
      <c r="AG259" s="241" t="s">
        <v>497</v>
      </c>
      <c r="AH259" s="239" t="s">
        <v>497</v>
      </c>
      <c r="AI259" s="141">
        <v>22</v>
      </c>
      <c r="AJ259" s="41">
        <v>14</v>
      </c>
      <c r="AK259" s="41">
        <v>8</v>
      </c>
      <c r="AL259" s="285">
        <v>22</v>
      </c>
      <c r="AM259" s="41">
        <v>10</v>
      </c>
      <c r="AN259" s="142">
        <v>12</v>
      </c>
      <c r="AO259" s="364">
        <v>6.4617240292170808E-2</v>
      </c>
      <c r="AP259" s="145">
        <f t="shared" ca="1" si="648"/>
        <v>0.27927360316365579</v>
      </c>
      <c r="AQ259" s="364">
        <v>5.9757490360930803E-2</v>
      </c>
      <c r="AR259" s="145">
        <f t="shared" ca="1" si="662"/>
        <v>0.30919787501224305</v>
      </c>
      <c r="AS259" s="264">
        <f t="shared" si="601"/>
        <v>0</v>
      </c>
      <c r="AT259" s="149">
        <f t="shared" si="649"/>
        <v>0</v>
      </c>
      <c r="AU259" s="149">
        <f t="shared" si="625"/>
        <v>0</v>
      </c>
      <c r="AV259" s="263">
        <f t="shared" ca="1" si="669"/>
        <v>9.9999999999999995E-7</v>
      </c>
      <c r="AW259" s="150" t="str">
        <f t="shared" ca="1" si="671"/>
        <v/>
      </c>
      <c r="AX259" s="149">
        <f t="shared" ca="1" si="663"/>
        <v>2.2225431067498204E-3</v>
      </c>
      <c r="AY259" s="149">
        <f t="shared" ca="1" si="664"/>
        <v>6.1661797416966287E-4</v>
      </c>
      <c r="AZ259" s="149">
        <f t="shared" ca="1" si="665"/>
        <v>8.9548364280716891E-4</v>
      </c>
      <c r="BA259" s="149">
        <f t="shared" ca="1" si="666"/>
        <v>1.0000000000001348E-4</v>
      </c>
      <c r="BB259" s="149">
        <f t="shared" ca="1" si="667"/>
        <v>1.0000000000001348E-4</v>
      </c>
      <c r="BC259" s="149">
        <f t="shared" ca="1" si="668"/>
        <v>1.0000000000001348E-4</v>
      </c>
      <c r="BD259" s="143">
        <f t="shared" ca="1" si="602"/>
        <v>0</v>
      </c>
      <c r="BE259" s="144">
        <f t="shared" ca="1" si="603"/>
        <v>0</v>
      </c>
      <c r="BF259" s="40">
        <f t="shared" si="604"/>
        <v>2021</v>
      </c>
      <c r="BG259" s="139">
        <f t="shared" si="605"/>
        <v>4</v>
      </c>
      <c r="BH259" s="140">
        <f t="shared" ca="1" si="606"/>
        <v>7281</v>
      </c>
      <c r="BI259" s="304">
        <f t="shared" ca="1" si="607"/>
        <v>19.978097193702943</v>
      </c>
      <c r="BJ259" s="42">
        <f t="shared" ca="1" si="626"/>
        <v>20.028622985501833</v>
      </c>
      <c r="BK259" s="42">
        <f t="shared" ca="1" si="627"/>
        <v>20.031360836288965</v>
      </c>
      <c r="BL259" s="42">
        <f t="shared" ca="1" si="608"/>
        <v>20.057494866529773</v>
      </c>
      <c r="BM259" s="285">
        <f t="shared" si="609"/>
        <v>22</v>
      </c>
      <c r="BN259" s="41">
        <f t="shared" si="610"/>
        <v>14</v>
      </c>
      <c r="BO259" s="41">
        <f t="shared" si="611"/>
        <v>8</v>
      </c>
      <c r="BP259" s="297" t="str">
        <f t="shared" ca="1" si="628"/>
        <v/>
      </c>
      <c r="BQ259" s="297" t="str">
        <f t="shared" ca="1" si="629"/>
        <v/>
      </c>
      <c r="BR259" s="299" t="str">
        <f t="shared" ca="1" si="630"/>
        <v/>
      </c>
      <c r="BS259" s="153" t="str">
        <f t="shared" ca="1" si="631"/>
        <v/>
      </c>
      <c r="BT259" s="153" t="str">
        <f t="shared" ca="1" si="632"/>
        <v/>
      </c>
      <c r="BU259" s="300" t="str">
        <f t="shared" ca="1" si="633"/>
        <v/>
      </c>
      <c r="BV259" s="301" t="str">
        <f t="shared" ca="1" si="634"/>
        <v/>
      </c>
      <c r="BW259" s="300" t="str">
        <f t="shared" ca="1" si="635"/>
        <v/>
      </c>
      <c r="BX259" s="301" t="str">
        <f t="shared" ca="1" si="636"/>
        <v/>
      </c>
      <c r="BY259" s="146" t="str">
        <f t="shared" ca="1" si="637"/>
        <v/>
      </c>
      <c r="BZ259" s="146" t="str">
        <f t="shared" ca="1" si="638"/>
        <v/>
      </c>
      <c r="CA259" s="146" t="str">
        <f t="shared" ca="1" si="639"/>
        <v/>
      </c>
      <c r="CB259" s="146" t="str">
        <f t="shared" ca="1" si="640"/>
        <v/>
      </c>
      <c r="CC259" s="302">
        <v>1</v>
      </c>
      <c r="CD259" s="154">
        <f ca="1">IF(BD259,_xll.xCrudeAPO(BS259,BT259,BY259,BZ259,S260,S261,BI259,BL259,BN259,BO259,0,Strike1,AO259,CC259,0,BL259,IF(OptControl=4,0,1),0,1),0)</f>
        <v>0</v>
      </c>
      <c r="CE259" s="155">
        <f ca="1">IF(BD259,_xll.xCrudeAPO(BS259,BT259,BY259,BZ259,S260,S261,BI259,BL259,BN259,BO259,0,Strike1,AO259,CC259,0,BL259,IF(OptControl=4,0,1),1,1)+_xll.xCrudeAPO(BS259,BT259,BY259,BZ259,S260,S261,BI259,BL259,BN259,BO259,0,Strike1,AO259,CC259,0,BL259,IF(OptControl=4,0,1),1,2)+IF(OR(VolSkewFlag=2,ABS(BQ259)&lt;0.0001),0,IF(BQ259&gt;0,-1,1)*CF259*Strike1/BP259^2*BW259/10%),0)</f>
        <v>0</v>
      </c>
      <c r="CF259" s="155">
        <f ca="1">IF(BD259,(_xll.xCrudeAPO(BS259,BT259,BY259,BZ259,S260,S261,BI259,BL259,BN259,BO259,0,Strike1,AO259,CC259,0,BL259,IF(OptControl=4,0,1),3,1)+_xll.xCrudeAPO(BS259,BT259,BY259,BZ259,S260,S261,BI259,BL259,BN259,BO259,0,Strike1,AO259,CC259,0,BL259,IF(OptControl=4,0,1),3,2))/100,0)</f>
        <v>0</v>
      </c>
      <c r="CG259" s="155">
        <f ca="1">IF(BD259,_xll.xCrudeAPO(BS259,BT259,BY259,BZ259,S260,S261,BI259-DaysForThetaCalculation/365.25,BL259-DaysForThetaCalculation/365.25,BN259,BO259,0,Strike1,AO259,CC259,0,BL259,IF(OptControl=4,0,1),0,1)-_xll.xCrudeAPO(BS259,BT259,BY259,BZ259,S260,S261,BI259,BL259,BN259,BO259,0,Strike1,AO259,CC259,0,BL259,IF(OptControl=4,0,1),0,1),0)</f>
        <v>0</v>
      </c>
      <c r="CH259" s="303">
        <f ca="1">IF(BD259,_xll.xCrudeAPO(BS259,BT259,CA259,CB259,S260,S261,BI259,BL259,BN259,BO259,0,Strike2,AO259,CC259,0,BL259,IF(OptControl=3,1,0),0,1),0)</f>
        <v>0</v>
      </c>
      <c r="CI259" s="155">
        <f ca="1">IF(BD259,_xll.xCrudeAPO(BS259,BT259,CA259,CB259,S260,S261,BI259,BL259,BN259,BO259,0,Strike2,AO259,CC259,0,BL259,IF(OptControl=3,1,0),1,1)+_xll.xCrudeAPO(BS259,BT259,CA259,CB259,S260,S261,BI259,BL259,BN259,BO259,0,Strike2,AO259,CC259,0,BL259,IF(OptControl=3,1,0),1,2)+IF(OR(VolSkewFlag=2,ABS(BR259)&lt;0.0001),0,IF(BR259&gt;0,-1,1)*CJ259*Strike2/BP259^2*BX259/10%),0)</f>
        <v>0</v>
      </c>
      <c r="CJ259" s="155">
        <f ca="1">IF(BD259,(_xll.xCrudeAPO(BS259,BT259,CA259,CB259,S260,S261,BI259,BL259,BN259,BO259,0,Strike2,AO259,CC259,0,BL259,IF(OptControl=3,1,0),3,1)+_xll.xCrudeAPO(BS259,BT259,CA259,CB259,S260,S261,BI259,BL259,BN259,BO259,0,Strike2,AO259,CC259,0,BL259,IF(OptControl=3,1,0),3,2))/100,0)</f>
        <v>0</v>
      </c>
      <c r="CK259" s="156">
        <f ca="1">IF(BD259,_xll.xCrudeAPO(BS259,BT259,CA259,CB259,S260,S261,BI259-DaysForThetaCalculation/365.25,BL259-DaysForThetaCalculation/365.25,BN259,BO259,0,Strike2,AO259,CC259,0,BL259,IF(OptControl=3,1,0),0,1)-_xll.xCrudeAPO(BS259,BT259,CA259,CB259,S260,S261,BI259,BL259,BN259,BO259,0,Strike2,AO259,CC259,0,BL259,IF(OptControl=3,1,0),0,1),0)</f>
        <v>0</v>
      </c>
      <c r="CL259" s="51"/>
      <c r="CM259" s="779" t="str">
        <f t="shared" ca="1" si="650"/>
        <v/>
      </c>
      <c r="CN259" s="783" t="str">
        <f t="shared" ca="1" si="651"/>
        <v/>
      </c>
      <c r="CO259" s="780" t="str">
        <f t="shared" ca="1" si="652"/>
        <v/>
      </c>
      <c r="CP259" s="780" t="str">
        <f t="shared" ca="1" si="653"/>
        <v/>
      </c>
      <c r="CQ259" s="780" t="str">
        <f t="shared" ca="1" si="654"/>
        <v/>
      </c>
      <c r="CR259" s="780" t="str">
        <f t="shared" ca="1" si="655"/>
        <v/>
      </c>
      <c r="CS259" s="781" t="str">
        <f t="shared" ca="1" si="656"/>
        <v/>
      </c>
      <c r="CT259" s="782" t="str">
        <f t="shared" ca="1" si="657"/>
        <v/>
      </c>
      <c r="CU259" s="782" t="str">
        <f t="shared" ca="1" si="658"/>
        <v/>
      </c>
      <c r="CV259" s="155">
        <f ca="1">IF(BD259,_xll.EURO(CN259,Strike1,AO259,AO259,CT259,CM259,IF(OptControl=4,0,1),0),0)</f>
        <v>0</v>
      </c>
      <c r="CW259" s="155">
        <f ca="1">IF(BD259,_xll.EURO(CN259,Strike1,AO259,AO259,CT259,CM259,IF(OptControl=4,0,1),1)+IF(OR(VolSkewFlag=2,ABS(CO259)&lt;0.0001),0,IF(CO259&gt;0,-1,1)*CX259*100*Strike1/CN259^2*CQ259/10%),0)</f>
        <v>0</v>
      </c>
      <c r="CX259" s="155">
        <f ca="1">IF(BD259,_xll.EURO(CN259,Strike1,AO259,AO259,CT259,CM259,IF(OptControl=4,0,1),3)/100,0)</f>
        <v>0</v>
      </c>
      <c r="CY259" s="155">
        <f ca="1">IF(BD259,_xll.EURO(CN259,Strike1,AO259,AO259,CT259,CM259,IF(OptControl=4,0,1),0)-_xll.EURO(CN259,Strike1,AO259,AO259,CT259,CM259-1,IF(OptControl=4,0,1),0),0)</f>
        <v>0</v>
      </c>
      <c r="CZ259" s="155">
        <f ca="1">IF(BD259,_xll.EURO(CN259,Strike2,AO259,AO259,CU259,CM259,IF(OptControl=3,1,0),0),0)</f>
        <v>0</v>
      </c>
      <c r="DA259" s="155">
        <f ca="1">IF(BD259,_xll.EURO(CN259,Strike2,AO259,AO259,CU259,CM259,IF(OptControl=3,1,0),1)+IF(OR(VolSkewFlag=2,ABS(CP259)&lt;0.0001),0,IF(CP259&gt;0,-1,1)*DB259*100*Strike2/CN259^2*CR259/10%),0)</f>
        <v>0</v>
      </c>
      <c r="DB259" s="155">
        <f ca="1">IF(BD259,_xll.EURO(CN259,Strike2,AO259,AO259,CU259,CM259,IF(OptControl=3,1,0),3)/100,0)</f>
        <v>0</v>
      </c>
      <c r="DC259" s="156">
        <f ca="1">IF(BD259,_xll.EURO(CN259,Strike2,AO259,AO259,CU259,CM259,IF(OptControl=3,1,0),0)-_xll.EURO(CN259,Strike2,AO259,AO259,CU259,CM259-1,IF(OptControl=3,1,0),0),0)</f>
        <v>0</v>
      </c>
      <c r="DE259" s="651">
        <f t="shared" ca="1" si="659"/>
        <v>44197</v>
      </c>
      <c r="DF259" s="465">
        <v>1E-4</v>
      </c>
      <c r="DG259" s="649">
        <v>1E-4</v>
      </c>
      <c r="DH259" s="650">
        <f t="shared" ca="1" si="612"/>
        <v>44197</v>
      </c>
      <c r="DI259" s="465">
        <v>1E-4</v>
      </c>
      <c r="DJ259" s="649">
        <v>1E-4</v>
      </c>
      <c r="DK259" s="651">
        <f t="shared" ca="1" si="613"/>
        <v>44197</v>
      </c>
      <c r="DL259" s="652">
        <f t="shared" si="614"/>
        <v>5.0100000000000006E-2</v>
      </c>
      <c r="DM259" s="651">
        <f t="shared" ca="1" si="615"/>
        <v>44197</v>
      </c>
      <c r="DN259" s="563">
        <f t="shared" si="616"/>
        <v>-0.12990000000000002</v>
      </c>
      <c r="DO259" s="803">
        <v>-0.13</v>
      </c>
      <c r="DP259" s="650">
        <f t="shared" ca="1" si="617"/>
        <v>44197</v>
      </c>
      <c r="DQ259" s="653">
        <v>1E-4</v>
      </c>
      <c r="DR259" s="590">
        <v>1E-4</v>
      </c>
      <c r="DS259" s="650">
        <f t="shared" ca="1" si="618"/>
        <v>44197</v>
      </c>
      <c r="DT259" s="653">
        <v>1E-4</v>
      </c>
      <c r="DU259" s="590">
        <v>1E-4</v>
      </c>
      <c r="DV259" s="651">
        <f t="shared" ca="1" si="619"/>
        <v>44197</v>
      </c>
      <c r="DW259" s="590">
        <v>1E-4</v>
      </c>
      <c r="DX259" s="651">
        <f t="shared" ca="1" si="620"/>
        <v>44197</v>
      </c>
      <c r="DY259" s="590">
        <f t="shared" si="621"/>
        <v>1E-4</v>
      </c>
      <c r="DZ259" s="1"/>
      <c r="EA259" s="857"/>
      <c r="EB259" s="857"/>
      <c r="EC259" s="857"/>
      <c r="ED259" s="868" t="e">
        <f t="shared" ca="1" si="670"/>
        <v>#NAME?</v>
      </c>
      <c r="EE259" s="863" t="e">
        <f t="shared" ca="1" si="641"/>
        <v>#NAME?</v>
      </c>
      <c r="EF259" s="590" t="e">
        <f t="shared" ca="1" si="642"/>
        <v>#NAME?</v>
      </c>
      <c r="EG259" s="862" t="str">
        <f t="shared" ca="1" si="622"/>
        <v/>
      </c>
      <c r="EH259" s="114" t="str">
        <f t="shared" ca="1" si="643"/>
        <v/>
      </c>
      <c r="EI259" s="109" t="str">
        <f t="shared" ca="1" si="644"/>
        <v/>
      </c>
      <c r="EJ259" s="115">
        <f ca="1">IF(BD259,_xll.xASN(BP259,Strike1,AO259,EH259,0,BM259,0,BI259,BL259,IF(OptControl=4,0,1),0),0)</f>
        <v>0</v>
      </c>
      <c r="EK259" s="108">
        <f ca="1">IF(BD259,_xll.xASN(BP259,Strike2,AO259,EI259,0,BM259,0,BI259,BL259,IF(OptControl=3,1,0),0),0)</f>
        <v>0</v>
      </c>
      <c r="EP259" s="53"/>
      <c r="EQ259" s="1"/>
      <c r="ER259" s="103"/>
      <c r="ES259" s="103"/>
      <c r="ET259" s="1"/>
      <c r="EU259" s="667" t="s">
        <v>472</v>
      </c>
      <c r="EV259" s="1"/>
      <c r="EW259" s="1"/>
      <c r="EX259" s="1"/>
      <c r="EY259" s="103"/>
      <c r="FN259" s="657">
        <v>15</v>
      </c>
      <c r="FO259" s="469" t="str">
        <f ca="1">IF($FN259+FO$244&gt;73,"",PRODUCT(INDEX($T$19:$T$93,FO$244):INDEX($T$19:$T$93,FO$244+$FN259-1)))</f>
        <v/>
      </c>
      <c r="FP259" s="469" t="str">
        <f ca="1">IF($FN259+FP$244&gt;73,"",PRODUCT(INDEX($T$19:$T$93,FP$244):INDEX($T$19:$T$93,FP$244+$FN259-1)))</f>
        <v/>
      </c>
      <c r="FQ259" s="469" t="str">
        <f ca="1">IF($FN259+FQ$244&gt;73,"",PRODUCT(INDEX($T$19:$T$93,FQ$244):INDEX($T$19:$T$93,FQ$244+$FN259-1)))</f>
        <v/>
      </c>
      <c r="FR259" s="469" t="str">
        <f ca="1">IF($FN259+FR$244&gt;73,"",PRODUCT(INDEX($T$19:$T$93,FR$244):INDEX($T$19:$T$93,FR$244+$FN259-1)))</f>
        <v/>
      </c>
      <c r="FS259" s="469" t="str">
        <f ca="1">IF($FN259+FS$244&gt;73,"",PRODUCT(INDEX($T$19:$T$93,FS$244):INDEX($T$19:$T$93,FS$244+$FN259-1)))</f>
        <v/>
      </c>
      <c r="FT259" s="469" t="str">
        <f ca="1">IF($FN259+FT$244&gt;73,"",PRODUCT(INDEX($T$19:$T$93,FT$244):INDEX($T$19:$T$93,FT$244+$FN259-1)))</f>
        <v/>
      </c>
      <c r="FU259" s="469" t="str">
        <f ca="1">IF($FN259+FU$244&gt;73,"",PRODUCT(INDEX($T$19:$T$93,FU$244):INDEX($T$19:$T$93,FU$244+$FN259-1)))</f>
        <v/>
      </c>
      <c r="FV259" s="469" t="str">
        <f ca="1">IF($FN259+FV$244&gt;73,"",PRODUCT(INDEX($T$19:$T$93,FV$244):INDEX($T$19:$T$93,FV$244+$FN259-1)))</f>
        <v/>
      </c>
      <c r="FW259" s="469" t="str">
        <f ca="1">IF($FN259+FW$244&gt;73,"",PRODUCT(INDEX($T$19:$T$93,FW$244):INDEX($T$19:$T$93,FW$244+$FN259-1)))</f>
        <v/>
      </c>
      <c r="FX259" s="469" t="str">
        <f ca="1">IF($FN259+FX$244&gt;73,"",PRODUCT(INDEX($T$19:$T$93,FX$244):INDEX($T$19:$T$93,FX$244+$FN259-1)))</f>
        <v/>
      </c>
      <c r="FY259" s="469" t="str">
        <f ca="1">IF($FN259+FY$244&gt;73,"",PRODUCT(INDEX($T$19:$T$93,FY$244):INDEX($T$19:$T$93,FY$244+$FN259-1)))</f>
        <v/>
      </c>
      <c r="FZ259" s="469" t="str">
        <f ca="1">IF($FN259+FZ$244&gt;73,"",PRODUCT(INDEX($T$19:$T$93,FZ$244):INDEX($T$19:$T$93,FZ$244+$FN259-1)))</f>
        <v/>
      </c>
      <c r="GA259" s="469" t="str">
        <f ca="1">IF($FN259+GA$244&gt;73,"",PRODUCT(INDEX($T$19:$T$93,GA$244):INDEX($T$19:$T$93,GA$244+$FN259-1)))</f>
        <v/>
      </c>
      <c r="GB259" s="469" t="str">
        <f ca="1">IF($FN259+GB$244&gt;73,"",PRODUCT(INDEX($T$19:$T$93,GB$244):INDEX($T$19:$T$93,GB$244+$FN259-1)))</f>
        <v/>
      </c>
      <c r="GC259" s="469">
        <f ca="1">IF($FN259+GC$244&gt;73,"",PRODUCT(INDEX($T$19:$T$93,GC$244):INDEX($T$19:$T$93,GC$244+$FN259-1)))</f>
        <v>0.9983033707165927</v>
      </c>
      <c r="GD259" s="469">
        <f ca="1">IF($FN259+GD$244&gt;73,"",PRODUCT(INDEX($T$19:$T$93,GD$244):INDEX($T$19:$T$93,GD$244+$FN259-1)))</f>
        <v>0.99811500506559414</v>
      </c>
      <c r="GE259" s="469">
        <f ca="1">IF($FN259+GE$244&gt;73,"",PRODUCT(INDEX($T$19:$T$93,GE$244):INDEX($T$19:$T$93,GE$244+$FN259-1)))</f>
        <v>0.99790574469942184</v>
      </c>
      <c r="GF259" s="469">
        <f ca="1">IF($FN259+GF$244&gt;73,"",PRODUCT(INDEX($T$19:$T$93,GF$244):INDEX($T$19:$T$93,GF$244+$FN259-1)))</f>
        <v>0.99767327611852319</v>
      </c>
      <c r="GG259" s="469">
        <f ca="1">IF($FN259+GG$244&gt;73,"",PRODUCT(INDEX($T$19:$T$93,GG$244):INDEX($T$19:$T$93,GG$244+$FN259-1)))</f>
        <v>0.99741503066665982</v>
      </c>
      <c r="GH259" s="469">
        <f ca="1">IF($FN259+GH$244&gt;73,"",PRODUCT(INDEX($T$19:$T$93,GH$244):INDEX($T$19:$T$93,GH$244+$FN259-1)))</f>
        <v>0.99712815662233178</v>
      </c>
      <c r="GI259" s="469">
        <f ca="1">IF($FN259+GI$244&gt;73,"",PRODUCT(INDEX($T$19:$T$93,GI$244):INDEX($T$19:$T$93,GI$244+$FN259-1)))</f>
        <v>0.99680948829185378</v>
      </c>
      <c r="GJ259" s="469">
        <f ca="1">IF($FN259+GJ$244&gt;73,"",PRODUCT(INDEX($T$19:$T$93,GJ$244):INDEX($T$19:$T$93,GJ$244+$FN259-1)))</f>
        <v>0.99645551179463998</v>
      </c>
      <c r="GK259" s="469">
        <f ca="1">IF($FN259+GK$244&gt;73,"",PRODUCT(INDEX($T$19:$T$93,GK$244):INDEX($T$19:$T$93,GK$244+$FN259-1)))</f>
        <v>0.99606232720227761</v>
      </c>
      <c r="GL259" s="469">
        <f ca="1">IF($FN259+GL$244&gt;73,"",PRODUCT(INDEX($T$19:$T$93,GL$244):INDEX($T$19:$T$93,GL$244+$FN259-1)))</f>
        <v>0.99562560666203881</v>
      </c>
      <c r="GM259" s="469">
        <f ca="1">IF($FN259+GM$244&gt;73,"",PRODUCT(INDEX($T$19:$T$93,GM$244):INDEX($T$19:$T$93,GM$244+$FN259-1)))</f>
        <v>0.99514054810260233</v>
      </c>
      <c r="GN259" s="469">
        <f ca="1">IF($FN259+GN$244&gt;73,"",PRODUCT(INDEX($T$19:$T$93,GN$244):INDEX($T$19:$T$93,GN$244+$FN259-1)))</f>
        <v>0.99460182408505693</v>
      </c>
      <c r="GO259" s="469">
        <f ca="1">IF($FN259+GO$244&gt;73,"",PRODUCT(INDEX($T$19:$T$93,GO$244):INDEX($T$19:$T$93,GO$244+$FN259-1)))</f>
        <v>0.99400352532596459</v>
      </c>
      <c r="GP259" s="469">
        <f ca="1">IF($FN259+GP$244&gt;73,"",PRODUCT(INDEX($T$19:$T$93,GP$244):INDEX($T$19:$T$93,GP$244+$FN259-1)))</f>
        <v>0.99333909838163637</v>
      </c>
      <c r="GQ259" s="469">
        <f ca="1">IF($FN259+GQ$244&gt;73,"",PRODUCT(INDEX($T$19:$T$93,GQ$244):INDEX($T$19:$T$93,GQ$244+$FN259-1)))</f>
        <v>0.99260127694433087</v>
      </c>
      <c r="GR259" s="469">
        <f ca="1">IF($FN259+GR$244&gt;73,"",PRODUCT(INDEX($T$19:$T$93,GR$244):INDEX($T$19:$T$93,GR$244+$FN259-1)))</f>
        <v>0.99178200616237466</v>
      </c>
      <c r="GS259" s="469">
        <f ca="1">IF($FN259+GS$244&gt;73,"",PRODUCT(INDEX($T$19:$T$93,GS$244):INDEX($T$19:$T$93,GS$244+$FN259-1)))</f>
        <v>0.99087235935814166</v>
      </c>
      <c r="GT259" s="469">
        <f ca="1">IF($FN259+GT$244&gt;73,"",PRODUCT(INDEX($T$19:$T$93,GT$244):INDEX($T$19:$T$93,GT$244+$FN259-1)))</f>
        <v>0.98986244648145938</v>
      </c>
      <c r="GU259" s="469">
        <f ca="1">IF($FN259+GU$244&gt;73,"",PRODUCT(INDEX($T$19:$T$93,GU$244):INDEX($T$19:$T$93,GU$244+$FN259-1)))</f>
        <v>0.98874131360281459</v>
      </c>
      <c r="GV259" s="469">
        <f ca="1">IF($FN259+GV$244&gt;73,"",PRODUCT(INDEX($T$19:$T$93,GV$244):INDEX($T$19:$T$93,GV$244+$FN259-1)))</f>
        <v>0.98749683272256383</v>
      </c>
      <c r="GW259" s="469">
        <f ca="1">IF($FN259+GW$244&gt;73,"",PRODUCT(INDEX($T$19:$T$93,GW$244):INDEX($T$19:$T$93,GW$244+$FN259-1)))</f>
        <v>0.98611558115150977</v>
      </c>
      <c r="GX259" s="469">
        <f ca="1">IF($FN259+GX$244&gt;73,"",PRODUCT(INDEX($T$19:$T$93,GX$244):INDEX($T$19:$T$93,GX$244+$FN259-1)))</f>
        <v>0.98458270970771145</v>
      </c>
      <c r="GY259" s="469">
        <f ca="1">IF($FN259+GY$244&gt;73,"",PRODUCT(INDEX($T$19:$T$93,GY$244):INDEX($T$19:$T$93,GY$244+$FN259-1)))</f>
        <v>0.98288179897783545</v>
      </c>
      <c r="GZ259" s="469">
        <f ca="1">IF($FN259+GZ$244&gt;73,"",PRODUCT(INDEX($T$19:$T$93,GZ$244):INDEX($T$19:$T$93,GZ$244+$FN259-1)))</f>
        <v>0.98099470291333057</v>
      </c>
      <c r="HA259" s="469">
        <f ca="1">IF($FN259+HA$244&gt;73,"",PRODUCT(INDEX($T$19:$T$93,HA$244):INDEX($T$19:$T$93,HA$244+$FN259-1)))</f>
        <v>0.97890137907773656</v>
      </c>
      <c r="HB259" s="469">
        <f ca="1">IF($FN259+HB$244&gt;73,"",PRODUCT(INDEX($T$19:$T$93,HB$244):INDEX($T$19:$T$93,HB$244+$FN259-1)))</f>
        <v>0.97657970493832591</v>
      </c>
      <c r="HC259" s="469">
        <f ca="1">IF($FN259+HC$244&gt;73,"",PRODUCT(INDEX($T$19:$T$93,HC$244):INDEX($T$19:$T$93,HC$244+$FN259-1)))</f>
        <v>0.97400527971123563</v>
      </c>
      <c r="HD259" s="469">
        <f ca="1">IF($FN259+HD$244&gt;73,"",PRODUCT(INDEX($T$19:$T$93,HD$244):INDEX($T$19:$T$93,HD$244+$FN259-1)))</f>
        <v>0.97115121143418259</v>
      </c>
      <c r="HE259" s="469">
        <f ca="1">IF($FN259+HE$244&gt;73,"",PRODUCT(INDEX($T$19:$T$93,HE$244):INDEX($T$19:$T$93,HE$244+$FN259-1)))</f>
        <v>0.96798788916659151</v>
      </c>
      <c r="HF259" s="469">
        <f ca="1">IF($FN259+HF$244&gt;73,"",PRODUCT(INDEX($T$19:$T$93,HF$244):INDEX($T$19:$T$93,HF$244+$FN259-1)))</f>
        <v>0.96448274051773308</v>
      </c>
      <c r="HG259" s="469">
        <f ca="1">IF($FN259+HG$244&gt;73,"",PRODUCT(INDEX($T$19:$T$93,HG$244):INDEX($T$19:$T$93,HG$244+$FN259-1)))</f>
        <v>0.96059997509591588</v>
      </c>
      <c r="HH259" s="469">
        <f ca="1">IF($FN259+HH$244&gt;73,"",PRODUCT(INDEX($T$19:$T$93,HH$244):INDEX($T$19:$T$93,HH$244+$FN259-1)))</f>
        <v>0.95630031497589907</v>
      </c>
      <c r="HI259" s="469">
        <f ca="1">IF($FN259+HI$244&gt;73,"",PRODUCT(INDEX($T$19:$T$93,HI$244):INDEX($T$19:$T$93,HI$244+$FN259-1)))</f>
        <v>0.95154071392077844</v>
      </c>
      <c r="HJ259" s="469">
        <f ca="1">IF($FN259+HJ$244&gt;73,"",PRODUCT(INDEX($T$19:$T$93,HJ$244):INDEX($T$19:$T$93,HJ$244+$FN259-1)))</f>
        <v>0.94627406789632607</v>
      </c>
      <c r="HK259" s="469">
        <f ca="1">IF($FN259+HK$244&gt;73,"",PRODUCT(INDEX($T$19:$T$93,HK$244):INDEX($T$19:$T$93,HK$244+$FN259-1)))</f>
        <v>0.94044892041266093</v>
      </c>
      <c r="HL259" s="469">
        <f ca="1">IF($FN259+HL$244&gt;73,"",PRODUCT(INDEX($T$19:$T$93,HL$244):INDEX($T$19:$T$93,HL$244+$FN259-1)))</f>
        <v>0.93400916745877149</v>
      </c>
      <c r="HM259" s="469">
        <f ca="1">IF($FN259+HM$244&gt;73,"",PRODUCT(INDEX($T$19:$T$93,HM$244):INDEX($T$19:$T$93,HM$244+$FN259-1)))</f>
        <v>0.92689376830584858</v>
      </c>
      <c r="HN259" s="469">
        <f ca="1">IF($FN259+HN$244&gt;73,"",PRODUCT(INDEX($T$19:$T$93,HN$244):INDEX($T$19:$T$93,HN$244+$FN259-1)))</f>
        <v>0.91903647030123958</v>
      </c>
      <c r="HO259" s="469">
        <f ca="1">IF($FN259+HO$244&gt;73,"",PRODUCT(INDEX($T$19:$T$93,HO$244):INDEX($T$19:$T$93,HO$244+$FN259-1)))</f>
        <v>0.91036555802423325</v>
      </c>
      <c r="HP259" s="469">
        <f ca="1">IF($FN259+HP$244&gt;73,"",PRODUCT(INDEX($T$19:$T$93,HP$244):INDEX($T$19:$T$93,HP$244+$FN259-1)))</f>
        <v>0.90080363991319756</v>
      </c>
      <c r="HQ259" s="469">
        <f ca="1">IF($FN259+HQ$244&gt;73,"",PRODUCT(INDEX($T$19:$T$93,HQ$244):INDEX($T$19:$T$93,HQ$244+$FN259-1)))</f>
        <v>0.8902674888097154</v>
      </c>
      <c r="HR259" s="469">
        <f ca="1">IF($FN259+HR$244&gt;73,"",PRODUCT(INDEX($T$19:$T$93,HR$244):INDEX($T$19:$T$93,HR$244+$FN259-1)))</f>
        <v>0.87866795694180144</v>
      </c>
      <c r="HS259" s="469">
        <f ca="1">IF($FN259+HS$244&gt;73,"",PRODUCT(INDEX($T$19:$T$93,HS$244):INDEX($T$19:$T$93,HS$244+$FN259-1)))</f>
        <v>0.86590999087480203</v>
      </c>
      <c r="HT259" s="469">
        <f ca="1">IF($FN259+HT$244&gt;73,"",PRODUCT(INDEX($T$19:$T$93,HT$244):INDEX($T$19:$T$93,HT$244+$FN259-1)))</f>
        <v>0.85189277815237419</v>
      </c>
      <c r="HU259" s="469">
        <f ca="1">IF($FN259+HU$244&gt;73,"",PRODUCT(INDEX($T$19:$T$93,HU$244):INDEX($T$19:$T$93,HU$244+$FN259-1)))</f>
        <v>0.83651006508262649</v>
      </c>
      <c r="HV259" s="469">
        <f ca="1">IF($FN259+HV$244&gt;73,"",PRODUCT(INDEX($T$19:$T$93,HV$244):INDEX($T$19:$T$93,HV$244+$FN259-1)))</f>
        <v>0.81965069487863407</v>
      </c>
      <c r="HW259" s="469">
        <f ca="1">IF($FN259+HW$244&gt;73,"",PRODUCT(INDEX($T$19:$T$93,HW$244):INDEX($T$19:$T$93,HW$244+$FN259-1)))</f>
        <v>0.80119942779687126</v>
      </c>
      <c r="HX259" s="469">
        <f ca="1">IF($FN259+HX$244&gt;73,"",PRODUCT(INDEX($T$19:$T$93,HX$244):INDEX($T$19:$T$93,HX$244+$FN259-1)))</f>
        <v>0.78103812091954716</v>
      </c>
      <c r="HY259" s="469">
        <f ca="1">IF($FN259+HY$244&gt;73,"",PRODUCT(INDEX($T$19:$T$93,HY$244):INDEX($T$19:$T$93,HY$244+$FN259-1)))</f>
        <v>0.75904736596630096</v>
      </c>
      <c r="HZ259" s="469">
        <f ca="1">IF($FN259+HZ$244&gt;73,"",PRODUCT(INDEX($T$19:$T$93,HZ$244):INDEX($T$19:$T$93,HZ$244+$FN259-1)))</f>
        <v>0.73510871047979198</v>
      </c>
      <c r="IA259" s="469">
        <f ca="1">IF($FN259+IA$244&gt;73,"",PRODUCT(INDEX($T$19:$T$93,IA$244):INDEX($T$19:$T$93,IA$244+$FN259-1)))</f>
        <v>0.70910762267923577</v>
      </c>
      <c r="IB259" s="469">
        <f ca="1">IF($FN259+IB$244&gt;73,"",PRODUCT(INDEX($T$19:$T$93,IB$244):INDEX($T$19:$T$93,IB$244+$FN259-1)))</f>
        <v>0.68093740511744139</v>
      </c>
      <c r="IC259" s="469">
        <f ca="1">IF($FN259+IC$244&gt;73,"",PRODUCT(INDEX($T$19:$T$93,IC$244):INDEX($T$19:$T$93,IC$244+$FN259-1)))</f>
        <v>0.65050431862201707</v>
      </c>
      <c r="ID259" s="469">
        <f ca="1">IF($FN259+ID$244&gt;73,"",PRODUCT(INDEX($T$19:$T$93,ID$244):INDEX($T$19:$T$93,ID$244+$FN259-1)))</f>
        <v>0.61773424626250029</v>
      </c>
      <c r="IE259" s="469">
        <f ca="1">IF($FN259+IE$244&gt;73,"",PRODUCT(INDEX($T$19:$T$93,IE$244):INDEX($T$19:$T$93,IE$244+$FN259-1)))</f>
        <v>0.58258130471355263</v>
      </c>
      <c r="IF259" s="469">
        <f ca="1">IF($FN259+IF$244&gt;73,"",PRODUCT(INDEX($T$19:$T$93,IF$244):INDEX($T$19:$T$93,IF$244+$FN259-1)))</f>
        <v>0.54503888869687211</v>
      </c>
      <c r="IG259" s="469">
        <f ca="1">IF($FN259+IG$244&gt;73,"",PRODUCT(INDEX($T$19:$T$93,IG$244):INDEX($T$19:$T$93,IG$244+$FN259-1)))</f>
        <v>0.50515369298621138</v>
      </c>
      <c r="IH259" s="662">
        <f ca="1">IF($FN259+IH$244&gt;73,"",PRODUCT(INDEX($T$19:$T$93,IH$244):INDEX($T$19:$T$93,IH$244+$FN259-1)))</f>
        <v>0.46304325547687375</v>
      </c>
      <c r="II259" s="242"/>
    </row>
    <row r="260" spans="8:243" ht="13.8" thickBot="1">
      <c r="H260" s="49" t="e">
        <f t="shared" ca="1" si="645"/>
        <v>#N/A</v>
      </c>
      <c r="I260" s="729">
        <f t="shared" si="646"/>
        <v>44317</v>
      </c>
      <c r="J260" s="730"/>
      <c r="K260" s="731" t="s">
        <v>267</v>
      </c>
      <c r="L260" s="732">
        <f t="shared" si="647"/>
        <v>25.384999999999788</v>
      </c>
      <c r="M260" s="733"/>
      <c r="N260" s="734">
        <v>0</v>
      </c>
      <c r="O260" s="733">
        <f>M260+N260</f>
        <v>0</v>
      </c>
      <c r="P260" s="730"/>
      <c r="Q260" s="731" t="s">
        <v>267</v>
      </c>
      <c r="R260" s="730">
        <f ca="1">IF(ISNUMBER(Q260),P260+Q260/100,IF(Q260="extra",(Z258*AL258-R259*AM258)/AN258,IF(Q260="inter",interpolateprices($Q$19:$R$260,ROW(Q260)-ROW(FirstPricingMonth)+1),interpolatechanges($P$19:$Q$260,ROW(Q260)-ROW(FirstPricingMonth)+1))))</f>
        <v>24.175962592804616</v>
      </c>
      <c r="S260" s="815">
        <f>S$19+(S259-S$19)*S$18</f>
        <v>0.34452669791425899</v>
      </c>
      <c r="T260" s="816">
        <f t="shared" si="660"/>
        <v>0.99999999999918598</v>
      </c>
      <c r="U260" s="817">
        <f t="shared" si="661"/>
        <v>0.99999999999999978</v>
      </c>
      <c r="V260" s="735">
        <v>0</v>
      </c>
      <c r="W260" s="736"/>
      <c r="X260" s="737"/>
      <c r="Y260" s="738"/>
      <c r="Z260" s="738"/>
      <c r="AA260" s="739"/>
      <c r="AB260" s="740"/>
      <c r="AC260" s="741">
        <v>44306</v>
      </c>
      <c r="AD260" s="741">
        <v>44302</v>
      </c>
      <c r="AE260" s="741">
        <v>44301</v>
      </c>
      <c r="AF260" s="741">
        <v>44297</v>
      </c>
      <c r="AG260" s="742" t="s">
        <v>497</v>
      </c>
      <c r="AH260" s="743" t="s">
        <v>497</v>
      </c>
      <c r="AI260" s="744">
        <v>21</v>
      </c>
      <c r="AJ260" s="745">
        <v>14</v>
      </c>
      <c r="AK260" s="745">
        <v>7</v>
      </c>
      <c r="AL260" s="746">
        <v>21</v>
      </c>
      <c r="AM260" s="745">
        <v>10</v>
      </c>
      <c r="AN260" s="747">
        <v>11</v>
      </c>
      <c r="AO260" s="364">
        <v>6.4639848563751809E-2</v>
      </c>
      <c r="AP260" s="748">
        <f t="shared" ca="1" si="648"/>
        <v>0.27764776469225588</v>
      </c>
      <c r="AQ260" s="364">
        <v>5.9719524845035295E-2</v>
      </c>
      <c r="AR260" s="844">
        <f t="shared" ca="1" si="662"/>
        <v>0.30788363786443668</v>
      </c>
      <c r="AS260" s="749">
        <f t="shared" si="601"/>
        <v>0</v>
      </c>
      <c r="AT260" s="750">
        <f t="shared" si="649"/>
        <v>0</v>
      </c>
      <c r="AU260" s="750">
        <f t="shared" si="625"/>
        <v>0</v>
      </c>
      <c r="AV260" s="751">
        <f t="shared" ca="1" si="669"/>
        <v>9.9999999999999995E-7</v>
      </c>
      <c r="AW260" s="752" t="str">
        <f t="shared" ca="1" si="671"/>
        <v/>
      </c>
      <c r="AX260" s="750">
        <f t="shared" ca="1" si="663"/>
        <v>2.1913203461586669E-3</v>
      </c>
      <c r="AY260" s="750">
        <f t="shared" ca="1" si="664"/>
        <v>6.0600852639803161E-4</v>
      </c>
      <c r="AZ260" s="750">
        <f t="shared" ca="1" si="665"/>
        <v>8.8481134963007684E-4</v>
      </c>
      <c r="BA260" s="750">
        <f t="shared" ca="1" si="666"/>
        <v>1.0000000000001354E-4</v>
      </c>
      <c r="BB260" s="750">
        <f t="shared" ca="1" si="667"/>
        <v>1.0000000000001354E-4</v>
      </c>
      <c r="BC260" s="750">
        <f t="shared" ca="1" si="668"/>
        <v>1.0000000000001354E-4</v>
      </c>
      <c r="BD260" s="753">
        <f t="shared" ca="1" si="602"/>
        <v>0</v>
      </c>
      <c r="BE260" s="754">
        <f t="shared" ca="1" si="603"/>
        <v>0</v>
      </c>
      <c r="BF260" s="755">
        <f t="shared" si="604"/>
        <v>2021</v>
      </c>
      <c r="BG260" s="756">
        <f t="shared" si="605"/>
        <v>5</v>
      </c>
      <c r="BH260" s="757">
        <f t="shared" ca="1" si="606"/>
        <v>7312</v>
      </c>
      <c r="BI260" s="758">
        <f t="shared" ca="1" si="607"/>
        <v>20.060232717316907</v>
      </c>
      <c r="BJ260" s="759">
        <f t="shared" ca="1" si="626"/>
        <v>20.114989733059549</v>
      </c>
      <c r="BK260" s="759">
        <f t="shared" ca="1" si="627"/>
        <v>20.11772758384668</v>
      </c>
      <c r="BL260" s="759">
        <f t="shared" ca="1" si="608"/>
        <v>20.142368240930868</v>
      </c>
      <c r="BM260" s="746">
        <f t="shared" si="609"/>
        <v>21</v>
      </c>
      <c r="BN260" s="745">
        <f t="shared" si="610"/>
        <v>14</v>
      </c>
      <c r="BO260" s="745">
        <f t="shared" si="611"/>
        <v>7</v>
      </c>
      <c r="BP260" s="760" t="str">
        <f t="shared" ca="1" si="628"/>
        <v/>
      </c>
      <c r="BQ260" s="760" t="str">
        <f t="shared" ca="1" si="629"/>
        <v/>
      </c>
      <c r="BR260" s="761" t="str">
        <f t="shared" ca="1" si="630"/>
        <v/>
      </c>
      <c r="BS260" s="762" t="str">
        <f t="shared" ca="1" si="631"/>
        <v/>
      </c>
      <c r="BT260" s="762" t="str">
        <f t="shared" ca="1" si="632"/>
        <v/>
      </c>
      <c r="BU260" s="763" t="str">
        <f t="shared" ca="1" si="633"/>
        <v/>
      </c>
      <c r="BV260" s="764" t="str">
        <f t="shared" ca="1" si="634"/>
        <v/>
      </c>
      <c r="BW260" s="763" t="str">
        <f t="shared" ca="1" si="635"/>
        <v/>
      </c>
      <c r="BX260" s="764" t="str">
        <f t="shared" ca="1" si="636"/>
        <v/>
      </c>
      <c r="BY260" s="765" t="str">
        <f t="shared" ca="1" si="637"/>
        <v/>
      </c>
      <c r="BZ260" s="765" t="str">
        <f t="shared" ca="1" si="638"/>
        <v/>
      </c>
      <c r="CA260" s="765" t="str">
        <f t="shared" ca="1" si="639"/>
        <v/>
      </c>
      <c r="CB260" s="765" t="str">
        <f t="shared" ca="1" si="640"/>
        <v/>
      </c>
      <c r="CC260" s="766">
        <v>1</v>
      </c>
      <c r="CD260" s="767">
        <f ca="1">IF(BD260,_xll.xCrudeAPO(BS260,BT260,BY260,BZ260,S261,S262,BI260,BL260,BN260,BO260,0,Strike1,AO260,CC260,0,BL260,IF(OptControl=4,0,1),0,1),0)</f>
        <v>0</v>
      </c>
      <c r="CE260" s="768">
        <f ca="1">IF(BD260,_xll.xCrudeAPO(BS260,BT260,BY260,BZ260,S261,S262,BI260,BL260,BN260,BO260,0,Strike1,AO260,CC260,0,BL260,IF(OptControl=4,0,1),1,1)+_xll.xCrudeAPO(BS260,BT260,BY260,BZ260,S261,S262,BI260,BL260,BN260,BO260,0,Strike1,AO260,CC260,0,BL260,IF(OptControl=4,0,1),1,2)+IF(OR(VolSkewFlag=2,ABS(BQ260)&lt;0.0001),0,IF(BQ260&gt;0,-1,1)*CF260*Strike1/BP260^2*BW260/10%),0)</f>
        <v>0</v>
      </c>
      <c r="CF260" s="768">
        <f ca="1">IF(BD260,(_xll.xCrudeAPO(BS260,BT260,BY260,BZ260,S261,S262,BI260,BL260,BN260,BO260,0,Strike1,AO260,CC260,0,BL260,IF(OptControl=4,0,1),3,1)+_xll.xCrudeAPO(BS260,BT260,BY260,BZ260,S261,S262,BI260,BL260,BN260,BO260,0,Strike1,AO260,CC260,0,BL260,IF(OptControl=4,0,1),3,2))/100,0)</f>
        <v>0</v>
      </c>
      <c r="CG260" s="768">
        <f ca="1">IF(BD260,_xll.xCrudeAPO(BS260,BT260,BY260,BZ260,S261,S262,BI260-DaysForThetaCalculation/365.25,BL260-DaysForThetaCalculation/365.25,BN260,BO260,0,Strike1,AO260,CC260,0,BL260,IF(OptControl=4,0,1),0,1)-_xll.xCrudeAPO(BS260,BT260,BY260,BZ260,S261,S262,BI260,BL260,BN260,BO260,0,Strike1,AO260,CC260,0,BL260,IF(OptControl=4,0,1),0,1),0)</f>
        <v>0</v>
      </c>
      <c r="CH260" s="769">
        <f ca="1">IF(BD260,_xll.xCrudeAPO(BS260,BT260,CA260,CB260,S261,S262,BI260,BL260,BN260,BO260,0,Strike2,AO260,CC260,0,BL260,IF(OptControl=3,1,0),0,1),0)</f>
        <v>0</v>
      </c>
      <c r="CI260" s="768">
        <f ca="1">IF(BD260,_xll.xCrudeAPO(BS260,BT260,CA260,CB260,S261,S262,BI260,BL260,BN260,BO260,0,Strike2,AO260,CC260,0,BL260,IF(OptControl=3,1,0),1,1)+_xll.xCrudeAPO(BS260,BT260,CA260,CB260,S261,S262,BI260,BL260,BN260,BO260,0,Strike2,AO260,CC260,0,BL260,IF(OptControl=3,1,0),1,2)+IF(OR(VolSkewFlag=2,ABS(BR260)&lt;0.0001),0,IF(BR260&gt;0,-1,1)*CJ260*Strike2/BP260^2*BX260/10%),0)</f>
        <v>0</v>
      </c>
      <c r="CJ260" s="768">
        <f ca="1">IF(BD260,(_xll.xCrudeAPO(BS260,BT260,CA260,CB260,S261,S262,BI260,BL260,BN260,BO260,0,Strike2,AO260,CC260,0,BL260,IF(OptControl=3,1,0),3,1)+_xll.xCrudeAPO(BS260,BT260,CA260,CB260,S261,S262,BI260,BL260,BN260,BO260,0,Strike2,AO260,CC260,0,BL260,IF(OptControl=3,1,0),3,2))/100,0)</f>
        <v>0</v>
      </c>
      <c r="CK260" s="770">
        <f ca="1">IF(BD260,_xll.xCrudeAPO(BS260,BT260,CA260,CB260,S261,S262,BI260-DaysForThetaCalculation/365.25,BL260-DaysForThetaCalculation/365.25,BN260,BO260,0,Strike2,AO260,CC260,0,BL260,IF(OptControl=3,1,0),0,1)-_xll.xCrudeAPO(BS260,BT260,CA260,CB260,S261,S262,BI260,BL260,BN260,BO260,0,Strike2,AO260,CC260,0,BL260,IF(OptControl=3,1,0),0,1),0)</f>
        <v>0</v>
      </c>
      <c r="CL260" s="51"/>
      <c r="CM260" s="784" t="str">
        <f t="shared" ca="1" si="650"/>
        <v/>
      </c>
      <c r="CN260" s="785" t="str">
        <f t="shared" ca="1" si="651"/>
        <v/>
      </c>
      <c r="CO260" s="786" t="str">
        <f t="shared" ca="1" si="652"/>
        <v/>
      </c>
      <c r="CP260" s="786" t="str">
        <f t="shared" ca="1" si="653"/>
        <v/>
      </c>
      <c r="CQ260" s="786" t="str">
        <f t="shared" ca="1" si="654"/>
        <v/>
      </c>
      <c r="CR260" s="786" t="str">
        <f t="shared" ca="1" si="655"/>
        <v/>
      </c>
      <c r="CS260" s="787" t="str">
        <f t="shared" ca="1" si="656"/>
        <v/>
      </c>
      <c r="CT260" s="788" t="str">
        <f t="shared" ca="1" si="657"/>
        <v/>
      </c>
      <c r="CU260" s="788" t="str">
        <f t="shared" ca="1" si="658"/>
        <v/>
      </c>
      <c r="CV260" s="768">
        <f ca="1">IF(BD260,_xll.EURO(CN260,Strike1,AO260,AO260,CT260,CM260,IF(OptControl=4,0,1),0),0)</f>
        <v>0</v>
      </c>
      <c r="CW260" s="768">
        <f ca="1">IF(BD260,_xll.EURO(CN260,Strike1,AO260,AO260,CT260,CM260,IF(OptControl=4,0,1),1)+IF(OR(VolSkewFlag=2,ABS(CO260)&lt;0.0001),0,IF(CO260&gt;0,-1,1)*CX260*100*Strike1/CN260^2*CQ260/10%),0)</f>
        <v>0</v>
      </c>
      <c r="CX260" s="768">
        <f ca="1">IF(BD260,_xll.EURO(CN260,Strike1,AO260,AO260,CT260,CM260,IF(OptControl=4,0,1),3)/100,0)</f>
        <v>0</v>
      </c>
      <c r="CY260" s="768">
        <f ca="1">IF(BD260,_xll.EURO(CN260,Strike1,AO260,AO260,CT260,CM260,IF(OptControl=4,0,1),0)-_xll.EURO(CN260,Strike1,AO260,AO260,CT260,CM260-1,IF(OptControl=4,0,1),0),0)</f>
        <v>0</v>
      </c>
      <c r="CZ260" s="768">
        <f ca="1">IF(BD260,_xll.EURO(CN260,Strike2,AO260,AO260,CU260,CM260,IF(OptControl=3,1,0),0),0)</f>
        <v>0</v>
      </c>
      <c r="DA260" s="768">
        <f ca="1">IF(BD260,_xll.EURO(CN260,Strike2,AO260,AO260,CU260,CM260,IF(OptControl=3,1,0),1)+IF(OR(VolSkewFlag=2,ABS(CP260)&lt;0.0001),0,IF(CP260&gt;0,-1,1)*DB260*100*Strike2/CN260^2*CR260/10%),0)</f>
        <v>0</v>
      </c>
      <c r="DB260" s="768">
        <f ca="1">IF(BD260,_xll.EURO(CN260,Strike2,AO260,AO260,CU260,CM260,IF(OptControl=3,1,0),3)/100,0)</f>
        <v>0</v>
      </c>
      <c r="DC260" s="770">
        <f ca="1">IF(BD260,_xll.EURO(CN260,Strike2,AO260,AO260,CU260,CM260,IF(OptControl=3,1,0),0)-_xll.EURO(CN260,Strike2,AO260,AO260,CU260,CM260-1,IF(OptControl=3,1,0),0),0)</f>
        <v>0</v>
      </c>
      <c r="DE260" s="651">
        <f t="shared" ca="1" si="659"/>
        <v>44228</v>
      </c>
      <c r="DF260" s="465">
        <v>1E-4</v>
      </c>
      <c r="DG260" s="649">
        <v>1E-4</v>
      </c>
      <c r="DH260" s="650">
        <f t="shared" ca="1" si="612"/>
        <v>44228</v>
      </c>
      <c r="DI260" s="465">
        <v>1E-4</v>
      </c>
      <c r="DJ260" s="649">
        <v>1E-4</v>
      </c>
      <c r="DK260" s="651">
        <f t="shared" ca="1" si="613"/>
        <v>44228</v>
      </c>
      <c r="DL260" s="652">
        <f t="shared" si="614"/>
        <v>5.0100000000000006E-2</v>
      </c>
      <c r="DM260" s="651">
        <f t="shared" ca="1" si="615"/>
        <v>44228</v>
      </c>
      <c r="DN260" s="563">
        <f t="shared" si="616"/>
        <v>-0.12990000000000002</v>
      </c>
      <c r="DO260" s="804">
        <v>-0.13</v>
      </c>
      <c r="DP260" s="650">
        <f t="shared" ca="1" si="617"/>
        <v>44228</v>
      </c>
      <c r="DQ260" s="653">
        <v>1E-4</v>
      </c>
      <c r="DR260" s="590">
        <v>1E-4</v>
      </c>
      <c r="DS260" s="650">
        <f t="shared" ca="1" si="618"/>
        <v>44228</v>
      </c>
      <c r="DT260" s="653">
        <v>1E-4</v>
      </c>
      <c r="DU260" s="590">
        <v>1E-4</v>
      </c>
      <c r="DV260" s="651">
        <f t="shared" ca="1" si="619"/>
        <v>44228</v>
      </c>
      <c r="DW260" s="590">
        <v>1E-4</v>
      </c>
      <c r="DX260" s="651">
        <f t="shared" ca="1" si="620"/>
        <v>44228</v>
      </c>
      <c r="DY260" s="590">
        <f t="shared" si="621"/>
        <v>1E-4</v>
      </c>
      <c r="DZ260" s="1"/>
      <c r="EA260" s="857"/>
      <c r="EB260" s="857"/>
      <c r="EC260" s="857"/>
      <c r="ED260" s="868" t="e">
        <f t="shared" ca="1" si="670"/>
        <v>#NAME?</v>
      </c>
      <c r="EE260" s="864" t="e">
        <f t="shared" ca="1" si="641"/>
        <v>#NAME?</v>
      </c>
      <c r="EF260" s="866" t="e">
        <f t="shared" ca="1" si="642"/>
        <v>#NAME?</v>
      </c>
      <c r="EG260" s="862" t="str">
        <f t="shared" ca="1" si="622"/>
        <v/>
      </c>
      <c r="EH260" s="114" t="str">
        <f t="shared" ca="1" si="643"/>
        <v/>
      </c>
      <c r="EI260" s="109" t="str">
        <f t="shared" ca="1" si="644"/>
        <v/>
      </c>
      <c r="EJ260" s="115">
        <f ca="1">IF(BD260,_xll.xASN(BP260,Strike1,AO260,EH260,0,BM260,0,BI260,BL260,IF(OptControl=4,0,1),0),0)</f>
        <v>0</v>
      </c>
      <c r="EK260" s="108">
        <f ca="1">IF(BD260,_xll.xASN(BP260,Strike2,AO260,EI260,0,BM260,0,BI260,BL260,IF(OptControl=3,1,0),0),0)</f>
        <v>0</v>
      </c>
      <c r="EP260" s="53"/>
      <c r="EQ260" s="1"/>
      <c r="ER260" s="103"/>
      <c r="ES260" s="103"/>
      <c r="ET260" s="1"/>
      <c r="EU260" s="667" t="s">
        <v>473</v>
      </c>
      <c r="EV260" s="1"/>
      <c r="EW260" s="1"/>
      <c r="EX260" s="1"/>
      <c r="EY260" s="103"/>
      <c r="FN260" s="657">
        <v>16</v>
      </c>
      <c r="FO260" s="469" t="str">
        <f ca="1">IF($FN260+FO$244&gt;73,"",PRODUCT(INDEX($T$19:$T$93,FO$244):INDEX($T$19:$T$93,FO$244+$FN260-1)))</f>
        <v/>
      </c>
      <c r="FP260" s="469" t="str">
        <f ca="1">IF($FN260+FP$244&gt;73,"",PRODUCT(INDEX($T$19:$T$93,FP$244):INDEX($T$19:$T$93,FP$244+$FN260-1)))</f>
        <v/>
      </c>
      <c r="FQ260" s="469" t="str">
        <f ca="1">IF($FN260+FQ$244&gt;73,"",PRODUCT(INDEX($T$19:$T$93,FQ$244):INDEX($T$19:$T$93,FQ$244+$FN260-1)))</f>
        <v/>
      </c>
      <c r="FR260" s="469" t="str">
        <f ca="1">IF($FN260+FR$244&gt;73,"",PRODUCT(INDEX($T$19:$T$93,FR$244):INDEX($T$19:$T$93,FR$244+$FN260-1)))</f>
        <v/>
      </c>
      <c r="FS260" s="469" t="str">
        <f ca="1">IF($FN260+FS$244&gt;73,"",PRODUCT(INDEX($T$19:$T$93,FS$244):INDEX($T$19:$T$93,FS$244+$FN260-1)))</f>
        <v/>
      </c>
      <c r="FT260" s="469" t="str">
        <f ca="1">IF($FN260+FT$244&gt;73,"",PRODUCT(INDEX($T$19:$T$93,FT$244):INDEX($T$19:$T$93,FT$244+$FN260-1)))</f>
        <v/>
      </c>
      <c r="FU260" s="469" t="str">
        <f ca="1">IF($FN260+FU$244&gt;73,"",PRODUCT(INDEX($T$19:$T$93,FU$244):INDEX($T$19:$T$93,FU$244+$FN260-1)))</f>
        <v/>
      </c>
      <c r="FV260" s="469" t="str">
        <f ca="1">IF($FN260+FV$244&gt;73,"",PRODUCT(INDEX($T$19:$T$93,FV$244):INDEX($T$19:$T$93,FV$244+$FN260-1)))</f>
        <v/>
      </c>
      <c r="FW260" s="469" t="str">
        <f ca="1">IF($FN260+FW$244&gt;73,"",PRODUCT(INDEX($T$19:$T$93,FW$244):INDEX($T$19:$T$93,FW$244+$FN260-1)))</f>
        <v/>
      </c>
      <c r="FX260" s="469" t="str">
        <f ca="1">IF($FN260+FX$244&gt;73,"",PRODUCT(INDEX($T$19:$T$93,FX$244):INDEX($T$19:$T$93,FX$244+$FN260-1)))</f>
        <v/>
      </c>
      <c r="FY260" s="469" t="str">
        <f ca="1">IF($FN260+FY$244&gt;73,"",PRODUCT(INDEX($T$19:$T$93,FY$244):INDEX($T$19:$T$93,FY$244+$FN260-1)))</f>
        <v/>
      </c>
      <c r="FZ260" s="469" t="str">
        <f ca="1">IF($FN260+FZ$244&gt;73,"",PRODUCT(INDEX($T$19:$T$93,FZ$244):INDEX($T$19:$T$93,FZ$244+$FN260-1)))</f>
        <v/>
      </c>
      <c r="GA260" s="469" t="str">
        <f ca="1">IF($FN260+GA$244&gt;73,"",PRODUCT(INDEX($T$19:$T$93,GA$244):INDEX($T$19:$T$93,GA$244+$FN260-1)))</f>
        <v/>
      </c>
      <c r="GB260" s="469" t="str">
        <f ca="1">IF($FN260+GB$244&gt;73,"",PRODUCT(INDEX($T$19:$T$93,GB$244):INDEX($T$19:$T$93,GB$244+$FN260-1)))</f>
        <v/>
      </c>
      <c r="GC260" s="469" t="str">
        <f ca="1">IF($FN260+GC$244&gt;73,"",PRODUCT(INDEX($T$19:$T$93,GC$244):INDEX($T$19:$T$93,GC$244+$FN260-1)))</f>
        <v/>
      </c>
      <c r="GD260" s="469">
        <f ca="1">IF($FN260+GD$244&gt;73,"",PRODUCT(INDEX($T$19:$T$93,GD$244):INDEX($T$19:$T$93,GD$244+$FN260-1)))</f>
        <v>0.99806618455179208</v>
      </c>
      <c r="GE260" s="469">
        <f ca="1">IF($FN260+GE$244&gt;73,"",PRODUCT(INDEX($T$19:$T$93,GE$244):INDEX($T$19:$T$93,GE$244+$FN260-1)))</f>
        <v>0.99785151090648794</v>
      </c>
      <c r="GF260" s="469">
        <f ca="1">IF($FN260+GF$244&gt;73,"",PRODUCT(INDEX($T$19:$T$93,GF$244):INDEX($T$19:$T$93,GF$244+$FN260-1)))</f>
        <v>0.9976130302006061</v>
      </c>
      <c r="GG260" s="469">
        <f ca="1">IF($FN260+GG$244&gt;73,"",PRODUCT(INDEX($T$19:$T$93,GG$244):INDEX($T$19:$T$93,GG$244+$FN260-1)))</f>
        <v>0.99734810785527184</v>
      </c>
      <c r="GH260" s="469">
        <f ca="1">IF($FN260+GH$244&gt;73,"",PRODUCT(INDEX($T$19:$T$93,GH$244):INDEX($T$19:$T$93,GH$244+$FN260-1)))</f>
        <v>0.99705381904567958</v>
      </c>
      <c r="GI260" s="469">
        <f ca="1">IF($FN260+GI$244&gt;73,"",PRODUCT(INDEX($T$19:$T$93,GI$244):INDEX($T$19:$T$93,GI$244+$FN260-1)))</f>
        <v>0.99672691702997096</v>
      </c>
      <c r="GJ260" s="469">
        <f ca="1">IF($FN260+GJ$244&gt;73,"",PRODUCT(INDEX($T$19:$T$93,GJ$244):INDEX($T$19:$T$93,GJ$244+$FN260-1)))</f>
        <v>0.99636379809325581</v>
      </c>
      <c r="GK260" s="469">
        <f ca="1">IF($FN260+GK$244&gt;73,"",PRODUCT(INDEX($T$19:$T$93,GK$244):INDEX($T$19:$T$93,GK$244+$FN260-1)))</f>
        <v>0.9959604627616131</v>
      </c>
      <c r="GL260" s="469">
        <f ca="1">IF($FN260+GL$244&gt;73,"",PRODUCT(INDEX($T$19:$T$93,GL$244):INDEX($T$19:$T$93,GL$244+$FN260-1)))</f>
        <v>0.99551247290964984</v>
      </c>
      <c r="GM260" s="469">
        <f ca="1">IF($FN260+GM$244&gt;73,"",PRODUCT(INDEX($T$19:$T$93,GM$244):INDEX($T$19:$T$93,GM$244+$FN260-1)))</f>
        <v>0.99501490435205298</v>
      </c>
      <c r="GN260" s="469">
        <f ca="1">IF($FN260+GN$244&gt;73,"",PRODUCT(INDEX($T$19:$T$93,GN$244):INDEX($T$19:$T$93,GN$244+$FN260-1)))</f>
        <v>0.9944622944746826</v>
      </c>
      <c r="GO260" s="469">
        <f ca="1">IF($FN260+GO$244&gt;73,"",PRODUCT(INDEX($T$19:$T$93,GO$244):INDEX($T$19:$T$93,GO$244+$FN260-1)))</f>
        <v>0.99384858442441004</v>
      </c>
      <c r="GP260" s="469">
        <f ca="1">IF($FN260+GP$244&gt;73,"",PRODUCT(INDEX($T$19:$T$93,GP$244):INDEX($T$19:$T$93,GP$244+$FN260-1)))</f>
        <v>0.99316705533938721</v>
      </c>
      <c r="GQ260" s="469">
        <f ca="1">IF($FN260+GQ$244&gt;73,"",PRODUCT(INDEX($T$19:$T$93,GQ$244):INDEX($T$19:$T$93,GQ$244+$FN260-1)))</f>
        <v>0.9924102580633356</v>
      </c>
      <c r="GR260" s="469">
        <f ca="1">IF($FN260+GR$244&gt;73,"",PRODUCT(INDEX($T$19:$T$93,GR$244):INDEX($T$19:$T$93,GR$244+$FN260-1)))</f>
        <v>0.99156993574937402</v>
      </c>
      <c r="GS260" s="469">
        <f ca="1">IF($FN260+GS$244&gt;73,"",PRODUCT(INDEX($T$19:$T$93,GS$244):INDEX($T$19:$T$93,GS$244+$FN260-1)))</f>
        <v>0.99063693872187319</v>
      </c>
      <c r="GT260" s="469">
        <f ca="1">IF($FN260+GT$244&gt;73,"",PRODUCT(INDEX($T$19:$T$93,GT$244):INDEX($T$19:$T$93,GT$244+$FN260-1)))</f>
        <v>0.98960113093000224</v>
      </c>
      <c r="GU260" s="469">
        <f ca="1">IF($FN260+GU$244&gt;73,"",PRODUCT(INDEX($T$19:$T$93,GU$244):INDEX($T$19:$T$93,GU$244+$FN260-1)))</f>
        <v>0.98845128729561338</v>
      </c>
      <c r="GV260" s="469">
        <f ca="1">IF($FN260+GV$244&gt;73,"",PRODUCT(INDEX($T$19:$T$93,GV$244):INDEX($T$19:$T$93,GV$244+$FN260-1)))</f>
        <v>0.98717498123295444</v>
      </c>
      <c r="GW260" s="469">
        <f ca="1">IF($FN260+GW$244&gt;73,"",PRODUCT(INDEX($T$19:$T$93,GW$244):INDEX($T$19:$T$93,GW$244+$FN260-1)))</f>
        <v>0.98575846160088132</v>
      </c>
      <c r="GX260" s="469">
        <f ca="1">IF($FN260+GX$244&gt;73,"",PRODUCT(INDEX($T$19:$T$93,GX$244):INDEX($T$19:$T$93,GX$244+$FN260-1)))</f>
        <v>0.98418651834307591</v>
      </c>
      <c r="GY260" s="469">
        <f ca="1">IF($FN260+GY$244&gt;73,"",PRODUCT(INDEX($T$19:$T$93,GY$244):INDEX($T$19:$T$93,GY$244+$FN260-1)))</f>
        <v>0.98244233608213671</v>
      </c>
      <c r="GZ260" s="469">
        <f ca="1">IF($FN260+GZ$244&gt;73,"",PRODUCT(INDEX($T$19:$T$93,GZ$244):INDEX($T$19:$T$93,GZ$244+$FN260-1)))</f>
        <v>0.98050733496430165</v>
      </c>
      <c r="HA260" s="469">
        <f ca="1">IF($FN260+HA$244&gt;73,"",PRODUCT(INDEX($T$19:$T$93,HA$244):INDEX($T$19:$T$93,HA$244+$FN260-1)))</f>
        <v>0.97836099810895039</v>
      </c>
      <c r="HB260" s="469">
        <f ca="1">IF($FN260+HB$244&gt;73,"",PRODUCT(INDEX($T$19:$T$93,HB$244):INDEX($T$19:$T$93,HB$244+$FN260-1)))</f>
        <v>0.97598068510828084</v>
      </c>
      <c r="HC260" s="469">
        <f ca="1">IF($FN260+HC$244&gt;73,"",PRODUCT(INDEX($T$19:$T$93,HC$244):INDEX($T$19:$T$93,HC$244+$FN260-1)))</f>
        <v>0.97334143115654004</v>
      </c>
      <c r="HD260" s="469">
        <f ca="1">IF($FN260+HD$244&gt;73,"",PRODUCT(INDEX($T$19:$T$93,HD$244):INDEX($T$19:$T$93,HD$244+$FN260-1)))</f>
        <v>0.97041573157558636</v>
      </c>
      <c r="HE260" s="469">
        <f ca="1">IF($FN260+HE$244&gt;73,"",PRODUCT(INDEX($T$19:$T$93,HE$244):INDEX($T$19:$T$93,HE$244+$FN260-1)))</f>
        <v>0.96717331175712751</v>
      </c>
      <c r="HF260" s="469">
        <f ca="1">IF($FN260+HF$244&gt;73,"",PRODUCT(INDEX($T$19:$T$93,HF$244):INDEX($T$19:$T$93,HF$244+$FN260-1)))</f>
        <v>0.96358088287701649</v>
      </c>
      <c r="HG260" s="469">
        <f ca="1">IF($FN260+HG$244&gt;73,"",PRODUCT(INDEX($T$19:$T$93,HG$244):INDEX($T$19:$T$93,HG$244+$FN260-1)))</f>
        <v>0.95960188417138992</v>
      </c>
      <c r="HH260" s="469">
        <f ca="1">IF($FN260+HH$244&gt;73,"",PRODUCT(INDEX($T$19:$T$93,HH$244):INDEX($T$19:$T$93,HH$244+$FN260-1)))</f>
        <v>0.9551962131196281</v>
      </c>
      <c r="HI260" s="469">
        <f ca="1">IF($FN260+HI$244&gt;73,"",PRODUCT(INDEX($T$19:$T$93,HI$244):INDEX($T$19:$T$93,HI$244+$FN260-1)))</f>
        <v>0.95031994557998822</v>
      </c>
      <c r="HJ260" s="469">
        <f ca="1">IF($FN260+HJ$244&gt;73,"",PRODUCT(INDEX($T$19:$T$93,HJ$244):INDEX($T$19:$T$93,HJ$244+$FN260-1)))</f>
        <v>0.94492504879979788</v>
      </c>
      <c r="HK260" s="469">
        <f ca="1">IF($FN260+HK$244&gt;73,"",PRODUCT(INDEX($T$19:$T$93,HK$244):INDEX($T$19:$T$93,HK$244+$FN260-1)))</f>
        <v>0.93895909130774091</v>
      </c>
      <c r="HL260" s="469">
        <f ca="1">IF($FN260+HL$244&gt;73,"",PRODUCT(INDEX($T$19:$T$93,HL$244):INDEX($T$19:$T$93,HL$244+$FN260-1)))</f>
        <v>0.93236495503165862</v>
      </c>
      <c r="HM260" s="469">
        <f ca="1">IF($FN260+HM$244&gt;73,"",PRODUCT(INDEX($T$19:$T$93,HM$244):INDEX($T$19:$T$93,HM$244+$FN260-1)))</f>
        <v>0.92508055661952671</v>
      </c>
      <c r="HN260" s="469">
        <f ca="1">IF($FN260+HN$244&gt;73,"",PRODUCT(INDEX($T$19:$T$93,HN$244):INDEX($T$19:$T$93,HN$244+$FN260-1)))</f>
        <v>0.91703858693138218</v>
      </c>
      <c r="HO260" s="469">
        <f ca="1">IF($FN260+HO$244&gt;73,"",PRODUCT(INDEX($T$19:$T$93,HO$244):INDEX($T$19:$T$93,HO$244+$FN260-1)))</f>
        <v>0.90816628008568867</v>
      </c>
      <c r="HP260" s="469">
        <f ca="1">IF($FN260+HP$244&gt;73,"",PRODUCT(INDEX($T$19:$T$93,HP$244):INDEX($T$19:$T$93,HP$244+$FN260-1)))</f>
        <v>0.89838522637110929</v>
      </c>
      <c r="HQ260" s="469">
        <f ca="1">IF($FN260+HQ$244&gt;73,"",PRODUCT(INDEX($T$19:$T$93,HQ$244):INDEX($T$19:$T$93,HQ$244+$FN260-1)))</f>
        <v>0.88761124688244475</v>
      </c>
      <c r="HR260" s="469">
        <f ca="1">IF($FN260+HR$244&gt;73,"",PRODUCT(INDEX($T$19:$T$93,HR$244):INDEX($T$19:$T$93,HR$244+$FN260-1)))</f>
        <v>0.87575435204762708</v>
      </c>
      <c r="HS260" s="469">
        <f ca="1">IF($FN260+HS$244&gt;73,"",PRODUCT(INDEX($T$19:$T$93,HS$244):INDEX($T$19:$T$93,HS$244+$FN260-1)))</f>
        <v>0.86271881146527518</v>
      </c>
      <c r="HT260" s="469">
        <f ca="1">IF($FN260+HT$244&gt;73,"",PRODUCT(INDEX($T$19:$T$93,HT$244):INDEX($T$19:$T$93,HT$244+$FN260-1)))</f>
        <v>0.84840336891599666</v>
      </c>
      <c r="HU260" s="469">
        <f ca="1">IF($FN260+HU$244&gt;73,"",PRODUCT(INDEX($T$19:$T$93,HU$244):INDEX($T$19:$T$93,HU$244+$FN260-1)))</f>
        <v>0.83270164437884464</v>
      </c>
      <c r="HV260" s="469">
        <f ca="1">IF($FN260+HV$244&gt;73,"",PRODUCT(INDEX($T$19:$T$93,HV$244):INDEX($T$19:$T$93,HV$244+$FN260-1)))</f>
        <v>0.81550277483007472</v>
      </c>
      <c r="HW260" s="469">
        <f ca="1">IF($FN260+HW$244&gt;73,"",PRODUCT(INDEX($T$19:$T$93,HW$244):INDEX($T$19:$T$93,HW$244+$FN260-1)))</f>
        <v>0.79669235813666239</v>
      </c>
      <c r="HX260" s="469">
        <f ca="1">IF($FN260+HX$244&gt;73,"",PRODUCT(INDEX($T$19:$T$93,HX$244):INDEX($T$19:$T$93,HX$244+$FN260-1)))</f>
        <v>0.77615378029742288</v>
      </c>
      <c r="HY260" s="469">
        <f ca="1">IF($FN260+HY$244&gt;73,"",PRODUCT(INDEX($T$19:$T$93,HY$244):INDEX($T$19:$T$93,HY$244+$FN260-1)))</f>
        <v>0.75377002668829551</v>
      </c>
      <c r="HZ260" s="469">
        <f ca="1">IF($FN260+HZ$244&gt;73,"",PRODUCT(INDEX($T$19:$T$93,HZ$244):INDEX($T$19:$T$93,HZ$244+$FN260-1)))</f>
        <v>0.72942610415076203</v>
      </c>
      <c r="IA260" s="469">
        <f ca="1">IF($FN260+IA$244&gt;73,"",PRODUCT(INDEX($T$19:$T$93,IA$244):INDEX($T$19:$T$93,IA$244+$FN260-1)))</f>
        <v>0.70301223424428649</v>
      </c>
      <c r="IB260" s="469">
        <f ca="1">IF($FN260+IB$244&gt;73,"",PRODUCT(INDEX($T$19:$T$93,IB$244):INDEX($T$19:$T$93,IB$244+$FN260-1)))</f>
        <v>0.67442802029767512</v>
      </c>
      <c r="IC260" s="469">
        <f ca="1">IF($FN260+IC$244&gt;73,"",PRODUCT(INDEX($T$19:$T$93,IC$244):INDEX($T$19:$T$93,IC$244+$FN260-1)))</f>
        <v>0.64358784311629502</v>
      </c>
      <c r="ID260" s="469">
        <f ca="1">IF($FN260+ID$244&gt;73,"",PRODUCT(INDEX($T$19:$T$93,ID$244):INDEX($T$19:$T$93,ID$244+$FN260-1)))</f>
        <v>0.61042780198468805</v>
      </c>
      <c r="IE260" s="469">
        <f ca="1">IF($FN260+IE$244&gt;73,"",PRODUCT(INDEX($T$19:$T$93,IE$244):INDEX($T$19:$T$93,IE$244+$FN260-1)))</f>
        <v>0.5749145853568518</v>
      </c>
      <c r="IF260" s="469">
        <f ca="1">IF($FN260+IF$244&gt;73,"",PRODUCT(INDEX($T$19:$T$93,IF$244):INDEX($T$19:$T$93,IF$244+$FN260-1)))</f>
        <v>0.53705671931151444</v>
      </c>
      <c r="IG260" s="469">
        <f ca="1">IF($FN260+IG$244&gt;73,"",PRODUCT(INDEX($T$19:$T$93,IG$244):INDEX($T$19:$T$93,IG$244+$FN260-1)))</f>
        <v>0.49691867966231146</v>
      </c>
      <c r="IH260" s="662">
        <f ca="1">IF($FN260+IH$244&gt;73,"",PRODUCT(INDEX($T$19:$T$93,IH$244):INDEX($T$19:$T$93,IH$244+$FN260-1)))</f>
        <v>0.45463832368759027</v>
      </c>
      <c r="II260" s="242"/>
    </row>
    <row r="261" spans="8:243">
      <c r="I261" s="728">
        <f t="shared" si="646"/>
        <v>44348</v>
      </c>
      <c r="J261" s="365"/>
      <c r="K261" s="133"/>
      <c r="L261" s="1"/>
      <c r="M261" s="366"/>
      <c r="P261" s="365"/>
      <c r="S261" s="53"/>
      <c r="T261" s="365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03"/>
      <c r="AM261" s="103"/>
      <c r="AN261" s="103"/>
      <c r="AO261" s="364">
        <v>6.4650496338334806E-2</v>
      </c>
      <c r="AP261" s="31"/>
      <c r="AQ261" s="364">
        <v>5.9680293822510506E-2</v>
      </c>
      <c r="AR261" s="31"/>
      <c r="AS261" s="31"/>
      <c r="AT261" s="31"/>
      <c r="AU261" s="31"/>
      <c r="AV261" s="146"/>
      <c r="AW261" s="103"/>
      <c r="AX261" s="103"/>
      <c r="AY261" s="103"/>
      <c r="AZ261" s="103"/>
      <c r="BA261" s="103"/>
      <c r="BB261" s="103"/>
      <c r="BC261" s="104"/>
      <c r="BD261" s="104"/>
      <c r="BE261" s="104"/>
      <c r="BF261" s="102"/>
      <c r="BG261" s="104"/>
      <c r="BH261" s="104"/>
      <c r="BI261" s="152"/>
      <c r="BJ261" s="103"/>
      <c r="BK261" s="103"/>
      <c r="BL261" s="103"/>
      <c r="BM261" s="103"/>
      <c r="BN261" s="103"/>
      <c r="BO261" s="103"/>
      <c r="BP261" s="103"/>
      <c r="BQ261" s="103"/>
      <c r="BR261" s="103"/>
      <c r="BS261" s="103"/>
      <c r="BT261" s="104"/>
      <c r="BU261" s="104"/>
      <c r="BV261" s="104"/>
      <c r="BW261" s="104"/>
      <c r="BX261" s="104"/>
      <c r="BY261" s="104"/>
      <c r="BZ261" s="104"/>
      <c r="CA261" s="104"/>
      <c r="CB261" s="104"/>
      <c r="CC261" s="104"/>
      <c r="CD261" s="103"/>
      <c r="CE261" s="103"/>
      <c r="CF261" s="103"/>
      <c r="CG261" s="103"/>
      <c r="CH261" s="103"/>
      <c r="CI261" s="103"/>
      <c r="CJ261" s="107"/>
      <c r="CK261" s="1"/>
      <c r="CL261" s="51"/>
      <c r="CM261" s="51"/>
      <c r="CN261" s="51"/>
      <c r="CO261" s="51"/>
      <c r="CP261" s="51"/>
      <c r="CQ261" s="51"/>
      <c r="CR261" s="51"/>
      <c r="CS261" s="51"/>
      <c r="CT261" s="51"/>
      <c r="CU261" s="51"/>
      <c r="CV261" s="51"/>
      <c r="CW261" s="51"/>
      <c r="CX261" s="51"/>
      <c r="CY261" s="51"/>
      <c r="CZ261" s="51"/>
      <c r="DA261" s="51"/>
      <c r="DB261" s="51"/>
      <c r="DC261" s="51"/>
      <c r="DF261" s="465"/>
      <c r="DI261" s="465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3"/>
      <c r="EP261" s="53"/>
      <c r="EQ261" s="1"/>
      <c r="ER261" s="103"/>
      <c r="ES261" s="103"/>
      <c r="ET261" s="1"/>
      <c r="EU261" s="103"/>
      <c r="EV261" s="1"/>
      <c r="EW261" s="1"/>
      <c r="EX261" s="1"/>
      <c r="EY261" s="103"/>
      <c r="FN261" s="657">
        <v>17</v>
      </c>
      <c r="FO261" s="469" t="str">
        <f ca="1">IF($FN261+FO$244&gt;73,"",PRODUCT(INDEX($T$19:$T$93,FO$244):INDEX($T$19:$T$93,FO$244+$FN261-1)))</f>
        <v/>
      </c>
      <c r="FP261" s="469" t="str">
        <f ca="1">IF($FN261+FP$244&gt;73,"",PRODUCT(INDEX($T$19:$T$93,FP$244):INDEX($T$19:$T$93,FP$244+$FN261-1)))</f>
        <v/>
      </c>
      <c r="FQ261" s="469" t="str">
        <f ca="1">IF($FN261+FQ$244&gt;73,"",PRODUCT(INDEX($T$19:$T$93,FQ$244):INDEX($T$19:$T$93,FQ$244+$FN261-1)))</f>
        <v/>
      </c>
      <c r="FR261" s="469" t="str">
        <f ca="1">IF($FN261+FR$244&gt;73,"",PRODUCT(INDEX($T$19:$T$93,FR$244):INDEX($T$19:$T$93,FR$244+$FN261-1)))</f>
        <v/>
      </c>
      <c r="FS261" s="469" t="str">
        <f ca="1">IF($FN261+FS$244&gt;73,"",PRODUCT(INDEX($T$19:$T$93,FS$244):INDEX($T$19:$T$93,FS$244+$FN261-1)))</f>
        <v/>
      </c>
      <c r="FT261" s="469" t="str">
        <f ca="1">IF($FN261+FT$244&gt;73,"",PRODUCT(INDEX($T$19:$T$93,FT$244):INDEX($T$19:$T$93,FT$244+$FN261-1)))</f>
        <v/>
      </c>
      <c r="FU261" s="469" t="str">
        <f ca="1">IF($FN261+FU$244&gt;73,"",PRODUCT(INDEX($T$19:$T$93,FU$244):INDEX($T$19:$T$93,FU$244+$FN261-1)))</f>
        <v/>
      </c>
      <c r="FV261" s="469" t="str">
        <f ca="1">IF($FN261+FV$244&gt;73,"",PRODUCT(INDEX($T$19:$T$93,FV$244):INDEX($T$19:$T$93,FV$244+$FN261-1)))</f>
        <v/>
      </c>
      <c r="FW261" s="469" t="str">
        <f ca="1">IF($FN261+FW$244&gt;73,"",PRODUCT(INDEX($T$19:$T$93,FW$244):INDEX($T$19:$T$93,FW$244+$FN261-1)))</f>
        <v/>
      </c>
      <c r="FX261" s="469" t="str">
        <f ca="1">IF($FN261+FX$244&gt;73,"",PRODUCT(INDEX($T$19:$T$93,FX$244):INDEX($T$19:$T$93,FX$244+$FN261-1)))</f>
        <v/>
      </c>
      <c r="FY261" s="469" t="str">
        <f ca="1">IF($FN261+FY$244&gt;73,"",PRODUCT(INDEX($T$19:$T$93,FY$244):INDEX($T$19:$T$93,FY$244+$FN261-1)))</f>
        <v/>
      </c>
      <c r="FZ261" s="469" t="str">
        <f ca="1">IF($FN261+FZ$244&gt;73,"",PRODUCT(INDEX($T$19:$T$93,FZ$244):INDEX($T$19:$T$93,FZ$244+$FN261-1)))</f>
        <v/>
      </c>
      <c r="GA261" s="469" t="str">
        <f ca="1">IF($FN261+GA$244&gt;73,"",PRODUCT(INDEX($T$19:$T$93,GA$244):INDEX($T$19:$T$93,GA$244+$FN261-1)))</f>
        <v/>
      </c>
      <c r="GB261" s="469" t="str">
        <f ca="1">IF($FN261+GB$244&gt;73,"",PRODUCT(INDEX($T$19:$T$93,GB$244):INDEX($T$19:$T$93,GB$244+$FN261-1)))</f>
        <v/>
      </c>
      <c r="GC261" s="469" t="str">
        <f ca="1">IF($FN261+GC$244&gt;73,"",PRODUCT(INDEX($T$19:$T$93,GC$244):INDEX($T$19:$T$93,GC$244+$FN261-1)))</f>
        <v/>
      </c>
      <c r="GD261" s="469" t="str">
        <f ca="1">IF($FN261+GD$244&gt;73,"",PRODUCT(INDEX($T$19:$T$93,GD$244):INDEX($T$19:$T$93,GD$244+$FN261-1)))</f>
        <v/>
      </c>
      <c r="GE261" s="469">
        <f ca="1">IF($FN261+GE$244&gt;73,"",PRODUCT(INDEX($T$19:$T$93,GE$244):INDEX($T$19:$T$93,GE$244+$FN261-1)))</f>
        <v>0.99780270328090037</v>
      </c>
      <c r="GF261" s="469">
        <f ca="1">IF($FN261+GF$244&gt;73,"",PRODUCT(INDEX($T$19:$T$93,GF$244):INDEX($T$19:$T$93,GF$244+$FN261-1)))</f>
        <v>0.99755881231600585</v>
      </c>
      <c r="GG261" s="469">
        <f ca="1">IF($FN261+GG$244&gt;73,"",PRODUCT(INDEX($T$19:$T$93,GG$244):INDEX($T$19:$T$93,GG$244+$FN261-1)))</f>
        <v>0.99728788157310211</v>
      </c>
      <c r="GH261" s="469">
        <f ca="1">IF($FN261+GH$244&gt;73,"",PRODUCT(INDEX($T$19:$T$93,GH$244):INDEX($T$19:$T$93,GH$244+$FN261-1)))</f>
        <v>0.99698692047023796</v>
      </c>
      <c r="GI261" s="469">
        <f ca="1">IF($FN261+GI$244&gt;73,"",PRODUCT(INDEX($T$19:$T$93,GI$244):INDEX($T$19:$T$93,GI$244+$FN261-1)))</f>
        <v>0.99665260936640343</v>
      </c>
      <c r="GJ261" s="469">
        <f ca="1">IF($FN261+GJ$244&gt;73,"",PRODUCT(INDEX($T$19:$T$93,GJ$244):INDEX($T$19:$T$93,GJ$244+$FN261-1)))</f>
        <v>0.99628126375036552</v>
      </c>
      <c r="GK261" s="469">
        <f ca="1">IF($FN261+GK$244&gt;73,"",PRODUCT(INDEX($T$19:$T$93,GK$244):INDEX($T$19:$T$93,GK$244+$FN261-1)))</f>
        <v>0.99586879462451028</v>
      </c>
      <c r="GL261" s="469">
        <f ca="1">IF($FN261+GL$244&gt;73,"",PRODUCT(INDEX($T$19:$T$93,GL$244):INDEX($T$19:$T$93,GL$244+$FN261-1)))</f>
        <v>0.99541066470100859</v>
      </c>
      <c r="GM261" s="469">
        <f ca="1">IF($FN261+GM$244&gt;73,"",PRODUCT(INDEX($T$19:$T$93,GM$244):INDEX($T$19:$T$93,GM$244+$FN261-1)))</f>
        <v>0.99490183999426729</v>
      </c>
      <c r="GN261" s="469">
        <f ca="1">IF($FN261+GN$244&gt;73,"",PRODUCT(INDEX($T$19:$T$93,GN$244):INDEX($T$19:$T$93,GN$244+$FN261-1)))</f>
        <v>0.99433673635859943</v>
      </c>
      <c r="GO261" s="469">
        <f ca="1">IF($FN261+GO$244&gt;73,"",PRODUCT(INDEX($T$19:$T$93,GO$244):INDEX($T$19:$T$93,GO$244+$FN261-1)))</f>
        <v>0.99370916048369551</v>
      </c>
      <c r="GP261" s="469">
        <f ca="1">IF($FN261+GP$244&gt;73,"",PRODUCT(INDEX($T$19:$T$93,GP$244):INDEX($T$19:$T$93,GP$244+$FN261-1)))</f>
        <v>0.99301224482309847</v>
      </c>
      <c r="GQ261" s="469">
        <f ca="1">IF($FN261+GQ$244&gt;73,"",PRODUCT(INDEX($T$19:$T$93,GQ$244):INDEX($T$19:$T$93,GQ$244+$FN261-1)))</f>
        <v>0.99223837589315356</v>
      </c>
      <c r="GR261" s="469">
        <f ca="1">IF($FN261+GR$244&gt;73,"",PRODUCT(INDEX($T$19:$T$93,GR$244):INDEX($T$19:$T$93,GR$244+$FN261-1)))</f>
        <v>0.99137911534247469</v>
      </c>
      <c r="GS261" s="469">
        <f ca="1">IF($FN261+GS$244&gt;73,"",PRODUCT(INDEX($T$19:$T$93,GS$244):INDEX($T$19:$T$93,GS$244+$FN261-1)))</f>
        <v>0.99042511315594928</v>
      </c>
      <c r="GT261" s="469">
        <f ca="1">IF($FN261+GT$244&gt;73,"",PRODUCT(INDEX($T$19:$T$93,GT$244):INDEX($T$19:$T$93,GT$244+$FN261-1)))</f>
        <v>0.9893660123239626</v>
      </c>
      <c r="GU261" s="469">
        <f ca="1">IF($FN261+GU$244&gt;73,"",PRODUCT(INDEX($T$19:$T$93,GU$244):INDEX($T$19:$T$93,GU$244+$FN261-1)))</f>
        <v>0.98819034427858476</v>
      </c>
      <c r="GV261" s="469">
        <f ca="1">IF($FN261+GV$244&gt;73,"",PRODUCT(INDEX($T$19:$T$93,GV$244):INDEX($T$19:$T$93,GV$244+$FN261-1)))</f>
        <v>0.98688541437615429</v>
      </c>
      <c r="GW261" s="469">
        <f ca="1">IF($FN261+GW$244&gt;73,"",PRODUCT(INDEX($T$19:$T$93,GW$244):INDEX($T$19:$T$93,GW$244+$FN261-1)))</f>
        <v>0.98543717669266895</v>
      </c>
      <c r="GX261" s="469">
        <f ca="1">IF($FN261+GX$244&gt;73,"",PRODUCT(INDEX($T$19:$T$93,GX$244):INDEX($T$19:$T$93,GX$244+$FN261-1)))</f>
        <v>0.98383009739822602</v>
      </c>
      <c r="GY261" s="469">
        <f ca="1">IF($FN261+GY$244&gt;73,"",PRODUCT(INDEX($T$19:$T$93,GY$244):INDEX($T$19:$T$93,GY$244+$FN261-1)))</f>
        <v>0.98204700599359229</v>
      </c>
      <c r="GZ261" s="469">
        <f ca="1">IF($FN261+GZ$244&gt;73,"",PRODUCT(INDEX($T$19:$T$93,GZ$244):INDEX($T$19:$T$93,GZ$244+$FN261-1)))</f>
        <v>0.98006893373118753</v>
      </c>
      <c r="HA261" s="469">
        <f ca="1">IF($FN261+HA$244&gt;73,"",PRODUCT(INDEX($T$19:$T$93,HA$244):INDEX($T$19:$T$93,HA$244+$FN261-1)))</f>
        <v>0.97787493861072661</v>
      </c>
      <c r="HB261" s="469">
        <f ca="1">IF($FN261+HB$244&gt;73,"",PRODUCT(INDEX($T$19:$T$93,HB$244):INDEX($T$19:$T$93,HB$244+$FN261-1)))</f>
        <v>0.9754419164443402</v>
      </c>
      <c r="HC261" s="469">
        <f ca="1">IF($FN261+HC$244&gt;73,"",PRODUCT(INDEX($T$19:$T$93,HC$244):INDEX($T$19:$T$93,HC$244+$FN261-1)))</f>
        <v>0.97274439763667586</v>
      </c>
      <c r="HD261" s="469">
        <f ca="1">IF($FN261+HD$244&gt;73,"",PRODUCT(INDEX($T$19:$T$93,HD$244):INDEX($T$19:$T$93,HD$244+$FN261-1)))</f>
        <v>0.96975432953364737</v>
      </c>
      <c r="HE261" s="469">
        <f ca="1">IF($FN261+HE$244&gt;73,"",PRODUCT(INDEX($T$19:$T$93,HE$244):INDEX($T$19:$T$93,HE$244+$FN261-1)))</f>
        <v>0.96644084447273959</v>
      </c>
      <c r="HF261" s="469">
        <f ca="1">IF($FN261+HF$244&gt;73,"",PRODUCT(INDEX($T$19:$T$93,HF$244):INDEX($T$19:$T$93,HF$244+$FN261-1)))</f>
        <v>0.96277001403437135</v>
      </c>
      <c r="HG261" s="469">
        <f ca="1">IF($FN261+HG$244&gt;73,"",PRODUCT(INDEX($T$19:$T$93,HG$244):INDEX($T$19:$T$93,HG$244+$FN261-1)))</f>
        <v>0.95870459046676493</v>
      </c>
      <c r="HH261" s="469">
        <f ca="1">IF($FN261+HH$244&gt;73,"",PRODUCT(INDEX($T$19:$T$93,HH$244):INDEX($T$19:$T$93,HH$244+$FN261-1)))</f>
        <v>0.95420373685877757</v>
      </c>
      <c r="HI261" s="469">
        <f ca="1">IF($FN261+HI$244&gt;73,"",PRODUCT(INDEX($T$19:$T$93,HI$244):INDEX($T$19:$T$93,HI$244+$FN261-1)))</f>
        <v>0.94922274839252041</v>
      </c>
      <c r="HJ261" s="469">
        <f ca="1">IF($FN261+HJ$244&gt;73,"",PRODUCT(INDEX($T$19:$T$93,HJ$244):INDEX($T$19:$T$93,HJ$244+$FN261-1)))</f>
        <v>0.94371276795136072</v>
      </c>
      <c r="HK261" s="469">
        <f ca="1">IF($FN261+HK$244&gt;73,"",PRODUCT(INDEX($T$19:$T$93,HK$244):INDEX($T$19:$T$93,HK$244+$FN261-1)))</f>
        <v>0.93762050052521129</v>
      </c>
      <c r="HL261" s="469">
        <f ca="1">IF($FN261+HL$244&gt;73,"",PRODUCT(INDEX($T$19:$T$93,HL$244):INDEX($T$19:$T$93,HL$244+$FN261-1)))</f>
        <v>0.93088793228617639</v>
      </c>
      <c r="HM261" s="469">
        <f ca="1">IF($FN261+HM$244&gt;73,"",PRODUCT(INDEX($T$19:$T$93,HM$244):INDEX($T$19:$T$93,HM$244+$FN261-1)))</f>
        <v>0.92345206195344898</v>
      </c>
      <c r="HN261" s="469">
        <f ca="1">IF($FN261+HN$244&gt;73,"",PRODUCT(INDEX($T$19:$T$93,HN$244):INDEX($T$19:$T$93,HN$244+$FN261-1)))</f>
        <v>0.91524465418580847</v>
      </c>
      <c r="HO261" s="469">
        <f ca="1">IF($FN261+HO$244&gt;73,"",PRODUCT(INDEX($T$19:$T$93,HO$244):INDEX($T$19:$T$93,HO$244+$FN261-1)))</f>
        <v>0.9061920273039098</v>
      </c>
      <c r="HP261" s="469">
        <f ca="1">IF($FN261+HP$244&gt;73,"",PRODUCT(INDEX($T$19:$T$93,HP$244):INDEX($T$19:$T$93,HP$244+$FN261-1)))</f>
        <v>0.89621489073916771</v>
      </c>
      <c r="HQ261" s="469">
        <f ca="1">IF($FN261+HQ$244&gt;73,"",PRODUCT(INDEX($T$19:$T$93,HQ$244):INDEX($T$19:$T$93,HQ$244+$FN261-1)))</f>
        <v>0.88522825133884642</v>
      </c>
      <c r="HR261" s="469">
        <f ca="1">IF($FN261+HR$244&gt;73,"",PRODUCT(INDEX($T$19:$T$93,HR$244):INDEX($T$19:$T$93,HR$244+$FN261-1)))</f>
        <v>0.87314141216479613</v>
      </c>
      <c r="HS261" s="469">
        <f ca="1">IF($FN261+HS$244&gt;73,"",PRODUCT(INDEX($T$19:$T$93,HS$244):INDEX($T$19:$T$93,HS$244+$FN261-1)))</f>
        <v>0.85985809288378723</v>
      </c>
      <c r="HT261" s="469">
        <f ca="1">IF($FN261+HT$244&gt;73,"",PRODUCT(INDEX($T$19:$T$93,HT$244):INDEX($T$19:$T$93,HT$244+$FN261-1)))</f>
        <v>0.84527670749576889</v>
      </c>
      <c r="HU261" s="469">
        <f ca="1">IF($FN261+HU$244&gt;73,"",PRODUCT(INDEX($T$19:$T$93,HU$244):INDEX($T$19:$T$93,HU$244+$FN261-1)))</f>
        <v>0.82929084329734681</v>
      </c>
      <c r="HV261" s="469">
        <f ca="1">IF($FN261+HV$244&gt;73,"",PRODUCT(INDEX($T$19:$T$93,HV$244):INDEX($T$19:$T$93,HV$244+$FN261-1)))</f>
        <v>0.81178999505455873</v>
      </c>
      <c r="HW261" s="469">
        <f ca="1">IF($FN261+HW$244&gt;73,"",PRODUCT(INDEX($T$19:$T$93,HW$244):INDEX($T$19:$T$93,HW$244+$FN261-1)))</f>
        <v>0.7926606209277548</v>
      </c>
      <c r="HX261" s="469">
        <f ca="1">IF($FN261+HX$244&gt;73,"",PRODUCT(INDEX($T$19:$T$93,HX$244):INDEX($T$19:$T$93,HX$244+$FN261-1)))</f>
        <v>0.77178760249765321</v>
      </c>
      <c r="HY261" s="469">
        <f ca="1">IF($FN261+HY$244&gt;73,"",PRODUCT(INDEX($T$19:$T$93,HY$244):INDEX($T$19:$T$93,HY$244+$FN261-1)))</f>
        <v>0.74905621123872601</v>
      </c>
      <c r="HZ261" s="469">
        <f ca="1">IF($FN261+HZ$244&gt;73,"",PRODUCT(INDEX($T$19:$T$93,HZ$244):INDEX($T$19:$T$93,HZ$244+$FN261-1)))</f>
        <v>0.72435470913322342</v>
      </c>
      <c r="IA261" s="469">
        <f ca="1">IF($FN261+IA$244&gt;73,"",PRODUCT(INDEX($T$19:$T$93,IA$244):INDEX($T$19:$T$93,IA$244+$FN261-1)))</f>
        <v>0.6975777431074659</v>
      </c>
      <c r="IB261" s="469">
        <f ca="1">IF($FN261+IB$244&gt;73,"",PRODUCT(INDEX($T$19:$T$93,IB$244):INDEX($T$19:$T$93,IB$244+$FN261-1)))</f>
        <v>0.66863073280047425</v>
      </c>
      <c r="IC261" s="469">
        <f ca="1">IF($FN261+IC$244&gt;73,"",PRODUCT(INDEX($T$19:$T$93,IC$244):INDEX($T$19:$T$93,IC$244+$FN261-1)))</f>
        <v>0.63743549944317168</v>
      </c>
      <c r="ID261" s="469">
        <f ca="1">IF($FN261+ID$244&gt;73,"",PRODUCT(INDEX($T$19:$T$93,ID$244):INDEX($T$19:$T$93,ID$244+$FN261-1)))</f>
        <v>0.60393743932363386</v>
      </c>
      <c r="IE261" s="469">
        <f ca="1">IF($FN261+IE$244&gt;73,"",PRODUCT(INDEX($T$19:$T$93,IE$244):INDEX($T$19:$T$93,IE$244+$FN261-1)))</f>
        <v>0.56811460396060209</v>
      </c>
      <c r="IF261" s="469">
        <f ca="1">IF($FN261+IF$244&gt;73,"",PRODUCT(INDEX($T$19:$T$93,IF$244):INDEX($T$19:$T$93,IF$244+$FN261-1)))</f>
        <v>0.52998909954363271</v>
      </c>
      <c r="IG261" s="469">
        <f ca="1">IF($FN261+IG$244&gt;73,"",PRODUCT(INDEX($T$19:$T$93,IG$244):INDEX($T$19:$T$93,IG$244+$FN261-1)))</f>
        <v>0.48964123734751391</v>
      </c>
      <c r="IH261" s="662">
        <f ca="1">IF($FN261+IH$244&gt;73,"",PRODUCT(INDEX($T$19:$T$93,IH$244):INDEX($T$19:$T$93,IH$244+$FN261-1)))</f>
        <v>0.44722681169608036</v>
      </c>
      <c r="II261" s="242"/>
    </row>
    <row r="262" spans="8:243">
      <c r="I262" s="132"/>
      <c r="J262" s="365"/>
      <c r="K262" s="133"/>
      <c r="L262" s="1"/>
      <c r="M262" s="366"/>
      <c r="P262" s="365"/>
      <c r="S262" s="53"/>
      <c r="T262" s="365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03"/>
      <c r="AM262" s="103"/>
      <c r="AN262" s="103"/>
      <c r="AO262" s="364">
        <v>6.4660800636354002E-2</v>
      </c>
      <c r="AP262" s="31"/>
      <c r="AQ262" s="364">
        <v>5.9642328327067999E-2</v>
      </c>
      <c r="AR262" s="31"/>
      <c r="AS262" s="31"/>
      <c r="AT262" s="31"/>
      <c r="AU262" s="31"/>
      <c r="AV262" s="146"/>
      <c r="AW262" s="103"/>
      <c r="AX262" s="103"/>
      <c r="AY262" s="103"/>
      <c r="AZ262" s="103"/>
      <c r="BA262" s="103"/>
      <c r="BB262" s="103"/>
      <c r="BC262" s="104"/>
      <c r="BD262" s="104"/>
      <c r="BE262" s="104"/>
      <c r="BF262" s="102"/>
      <c r="BG262" s="104"/>
      <c r="BH262" s="104"/>
      <c r="BI262" s="152"/>
      <c r="BJ262" s="103"/>
      <c r="BK262" s="103"/>
      <c r="BL262" s="103"/>
      <c r="BM262" s="103"/>
      <c r="BN262" s="103"/>
      <c r="BO262" s="103"/>
      <c r="BP262" s="103"/>
      <c r="BQ262" s="103"/>
      <c r="BR262" s="103"/>
      <c r="BS262" s="103"/>
      <c r="BT262" s="104"/>
      <c r="BU262" s="104"/>
      <c r="BV262" s="104"/>
      <c r="BW262" s="104"/>
      <c r="BX262" s="104"/>
      <c r="BY262" s="104"/>
      <c r="BZ262" s="104"/>
      <c r="CA262" s="104"/>
      <c r="CB262" s="104"/>
      <c r="CC262" s="104"/>
      <c r="CD262" s="103"/>
      <c r="CE262" s="103"/>
      <c r="CF262" s="103"/>
      <c r="CG262" s="103"/>
      <c r="CH262" s="103"/>
      <c r="CI262" s="103"/>
      <c r="CJ262" s="107"/>
      <c r="CK262" s="1"/>
      <c r="CL262" s="51"/>
      <c r="CM262" s="51"/>
      <c r="CN262" s="51"/>
      <c r="CO262" s="51"/>
      <c r="CP262" s="51"/>
      <c r="CQ262" s="51"/>
      <c r="CR262" s="51"/>
      <c r="CS262" s="51"/>
      <c r="CT262" s="51"/>
      <c r="CU262" s="51"/>
      <c r="CV262" s="51"/>
      <c r="CW262" s="51"/>
      <c r="CX262" s="51"/>
      <c r="CY262" s="51"/>
      <c r="CZ262" s="51"/>
      <c r="DA262" s="51"/>
      <c r="DB262" s="51"/>
      <c r="DC262" s="51"/>
      <c r="DF262" s="465"/>
      <c r="DI262" s="465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3"/>
      <c r="EP262" s="53"/>
      <c r="EQ262" s="1"/>
      <c r="ER262" s="103"/>
      <c r="ES262" s="103"/>
      <c r="ET262" s="1"/>
      <c r="EU262" s="103"/>
      <c r="EV262" s="1"/>
      <c r="EW262" s="1"/>
      <c r="EX262" s="1"/>
      <c r="EY262" s="103"/>
      <c r="FN262" s="657">
        <v>18</v>
      </c>
      <c r="FO262" s="469" t="str">
        <f ca="1">IF($FN262+FO$244&gt;73,"",PRODUCT(INDEX($T$19:$T$93,FO$244):INDEX($T$19:$T$93,FO$244+$FN262-1)))</f>
        <v/>
      </c>
      <c r="FP262" s="469" t="str">
        <f ca="1">IF($FN262+FP$244&gt;73,"",PRODUCT(INDEX($T$19:$T$93,FP$244):INDEX($T$19:$T$93,FP$244+$FN262-1)))</f>
        <v/>
      </c>
      <c r="FQ262" s="469" t="str">
        <f ca="1">IF($FN262+FQ$244&gt;73,"",PRODUCT(INDEX($T$19:$T$93,FQ$244):INDEX($T$19:$T$93,FQ$244+$FN262-1)))</f>
        <v/>
      </c>
      <c r="FR262" s="469" t="str">
        <f ca="1">IF($FN262+FR$244&gt;73,"",PRODUCT(INDEX($T$19:$T$93,FR$244):INDEX($T$19:$T$93,FR$244+$FN262-1)))</f>
        <v/>
      </c>
      <c r="FS262" s="469" t="str">
        <f ca="1">IF($FN262+FS$244&gt;73,"",PRODUCT(INDEX($T$19:$T$93,FS$244):INDEX($T$19:$T$93,FS$244+$FN262-1)))</f>
        <v/>
      </c>
      <c r="FT262" s="469" t="str">
        <f ca="1">IF($FN262+FT$244&gt;73,"",PRODUCT(INDEX($T$19:$T$93,FT$244):INDEX($T$19:$T$93,FT$244+$FN262-1)))</f>
        <v/>
      </c>
      <c r="FU262" s="469" t="str">
        <f ca="1">IF($FN262+FU$244&gt;73,"",PRODUCT(INDEX($T$19:$T$93,FU$244):INDEX($T$19:$T$93,FU$244+$FN262-1)))</f>
        <v/>
      </c>
      <c r="FV262" s="469" t="str">
        <f ca="1">IF($FN262+FV$244&gt;73,"",PRODUCT(INDEX($T$19:$T$93,FV$244):INDEX($T$19:$T$93,FV$244+$FN262-1)))</f>
        <v/>
      </c>
      <c r="FW262" s="469" t="str">
        <f ca="1">IF($FN262+FW$244&gt;73,"",PRODUCT(INDEX($T$19:$T$93,FW$244):INDEX($T$19:$T$93,FW$244+$FN262-1)))</f>
        <v/>
      </c>
      <c r="FX262" s="469" t="str">
        <f ca="1">IF($FN262+FX$244&gt;73,"",PRODUCT(INDEX($T$19:$T$93,FX$244):INDEX($T$19:$T$93,FX$244+$FN262-1)))</f>
        <v/>
      </c>
      <c r="FY262" s="469" t="str">
        <f ca="1">IF($FN262+FY$244&gt;73,"",PRODUCT(INDEX($T$19:$T$93,FY$244):INDEX($T$19:$T$93,FY$244+$FN262-1)))</f>
        <v/>
      </c>
      <c r="FZ262" s="469" t="str">
        <f ca="1">IF($FN262+FZ$244&gt;73,"",PRODUCT(INDEX($T$19:$T$93,FZ$244):INDEX($T$19:$T$93,FZ$244+$FN262-1)))</f>
        <v/>
      </c>
      <c r="GA262" s="469" t="str">
        <f ca="1">IF($FN262+GA$244&gt;73,"",PRODUCT(INDEX($T$19:$T$93,GA$244):INDEX($T$19:$T$93,GA$244+$FN262-1)))</f>
        <v/>
      </c>
      <c r="GB262" s="469" t="str">
        <f ca="1">IF($FN262+GB$244&gt;73,"",PRODUCT(INDEX($T$19:$T$93,GB$244):INDEX($T$19:$T$93,GB$244+$FN262-1)))</f>
        <v/>
      </c>
      <c r="GC262" s="469" t="str">
        <f ca="1">IF($FN262+GC$244&gt;73,"",PRODUCT(INDEX($T$19:$T$93,GC$244):INDEX($T$19:$T$93,GC$244+$FN262-1)))</f>
        <v/>
      </c>
      <c r="GD262" s="469" t="str">
        <f ca="1">IF($FN262+GD$244&gt;73,"",PRODUCT(INDEX($T$19:$T$93,GD$244):INDEX($T$19:$T$93,GD$244+$FN262-1)))</f>
        <v/>
      </c>
      <c r="GE262" s="469" t="str">
        <f ca="1">IF($FN262+GE$244&gt;73,"",PRODUCT(INDEX($T$19:$T$93,GE$244):INDEX($T$19:$T$93,GE$244+$FN262-1)))</f>
        <v/>
      </c>
      <c r="GF262" s="469">
        <f ca="1">IF($FN262+GF$244&gt;73,"",PRODUCT(INDEX($T$19:$T$93,GF$244):INDEX($T$19:$T$93,GF$244+$FN262-1)))</f>
        <v>0.99751001900710068</v>
      </c>
      <c r="GG262" s="469">
        <f ca="1">IF($FN262+GG$244&gt;73,"",PRODUCT(INDEX($T$19:$T$93,GG$244):INDEX($T$19:$T$93,GG$244+$FN262-1)))</f>
        <v>0.99723368135955293</v>
      </c>
      <c r="GH262" s="469">
        <f ca="1">IF($FN262+GH$244&gt;73,"",PRODUCT(INDEX($T$19:$T$93,GH$244):INDEX($T$19:$T$93,GH$244+$FN262-1)))</f>
        <v>0.99692671599888161</v>
      </c>
      <c r="GI262" s="469">
        <f ca="1">IF($FN262+GI$244&gt;73,"",PRODUCT(INDEX($T$19:$T$93,GI$244):INDEX($T$19:$T$93,GI$244+$FN262-1)))</f>
        <v>0.99658573771062808</v>
      </c>
      <c r="GJ262" s="469">
        <f ca="1">IF($FN262+GJ$244&gt;73,"",PRODUCT(INDEX($T$19:$T$93,GJ$244):INDEX($T$19:$T$93,GJ$244+$FN262-1)))</f>
        <v>0.99620698931099749</v>
      </c>
      <c r="GK262" s="469">
        <f ca="1">IF($FN262+GK$244&gt;73,"",PRODUCT(INDEX($T$19:$T$93,GK$244):INDEX($T$19:$T$93,GK$244+$FN262-1)))</f>
        <v>0.99578630128550449</v>
      </c>
      <c r="GL262" s="469">
        <f ca="1">IF($FN262+GL$244&gt;73,"",PRODUCT(INDEX($T$19:$T$93,GL$244):INDEX($T$19:$T$93,GL$244+$FN262-1)))</f>
        <v>0.99531904716728392</v>
      </c>
      <c r="GM262" s="469">
        <f ca="1">IF($FN262+GM$244&gt;73,"",PRODUCT(INDEX($T$19:$T$93,GM$244):INDEX($T$19:$T$93,GM$244+$FN262-1)))</f>
        <v>0.99480009423330495</v>
      </c>
      <c r="GN262" s="469">
        <f ca="1">IF($FN262+GN$244&gt;73,"",PRODUCT(INDEX($T$19:$T$93,GN$244):INDEX($T$19:$T$93,GN$244+$FN262-1)))</f>
        <v>0.99422374906159772</v>
      </c>
      <c r="GO262" s="469">
        <f ca="1">IF($FN262+GO$244&gt;73,"",PRODUCT(INDEX($T$19:$T$93,GO$244):INDEX($T$19:$T$93,GO$244+$FN262-1)))</f>
        <v>0.9935836974562704</v>
      </c>
      <c r="GP262" s="469">
        <f ca="1">IF($FN262+GP$244&gt;73,"",PRODUCT(INDEX($T$19:$T$93,GP$244):INDEX($T$19:$T$93,GP$244+$FN262-1)))</f>
        <v>0.9928729382098771</v>
      </c>
      <c r="GQ262" s="469">
        <f ca="1">IF($FN262+GQ$244&gt;73,"",PRODUCT(INDEX($T$19:$T$93,GQ$244):INDEX($T$19:$T$93,GQ$244+$FN262-1)))</f>
        <v>0.99208371013533592</v>
      </c>
      <c r="GR262" s="469">
        <f ca="1">IF($FN262+GR$244&gt;73,"",PRODUCT(INDEX($T$19:$T$93,GR$244):INDEX($T$19:$T$93,GR$244+$FN262-1)))</f>
        <v>0.99120741176279714</v>
      </c>
      <c r="GS262" s="469">
        <f ca="1">IF($FN262+GS$244&gt;73,"",PRODUCT(INDEX($T$19:$T$93,GS$244):INDEX($T$19:$T$93,GS$244+$FN262-1)))</f>
        <v>0.99023451306181376</v>
      </c>
      <c r="GT262" s="469">
        <f ca="1">IF($FN262+GT$244&gt;73,"",PRODUCT(INDEX($T$19:$T$93,GT$244):INDEX($T$19:$T$93,GT$244+$FN262-1)))</f>
        <v>0.98915445851724026</v>
      </c>
      <c r="GU262" s="469">
        <f ca="1">IF($FN262+GU$244&gt;73,"",PRODUCT(INDEX($T$19:$T$93,GU$244):INDEX($T$19:$T$93,GU$244+$FN262-1)))</f>
        <v>0.98795556086030967</v>
      </c>
      <c r="GV262" s="469">
        <f ca="1">IF($FN262+GV$244&gt;73,"",PRODUCT(INDEX($T$19:$T$93,GV$244):INDEX($T$19:$T$93,GV$244+$FN262-1)))</f>
        <v>0.98662488473670851</v>
      </c>
      <c r="GW262" s="469">
        <f ca="1">IF($FN262+GW$244&gt;73,"",PRODUCT(INDEX($T$19:$T$93,GW$244):INDEX($T$19:$T$93,GW$244+$FN262-1)))</f>
        <v>0.98514811958399662</v>
      </c>
      <c r="GX262" s="469">
        <f ca="1">IF($FN262+GX$244&gt;73,"",PRODUCT(INDEX($T$19:$T$93,GX$244):INDEX($T$19:$T$93,GX$244+$FN262-1)))</f>
        <v>0.98350944099521043</v>
      </c>
      <c r="GY262" s="469">
        <f ca="1">IF($FN262+GY$244&gt;73,"",PRODUCT(INDEX($T$19:$T$93,GY$244):INDEX($T$19:$T$93,GY$244+$FN262-1)))</f>
        <v>0.98169135986835121</v>
      </c>
      <c r="GZ262" s="469">
        <f ca="1">IF($FN262+GZ$244&gt;73,"",PRODUCT(INDEX($T$19:$T$93,GZ$244):INDEX($T$19:$T$93,GZ$244+$FN262-1)))</f>
        <v>0.97967455868837661</v>
      </c>
      <c r="HA262" s="469">
        <f ca="1">IF($FN262+HA$244&gt;73,"",PRODUCT(INDEX($T$19:$T$93,HA$244):INDEX($T$19:$T$93,HA$244+$FN262-1)))</f>
        <v>0.97743771436606153</v>
      </c>
      <c r="HB262" s="469">
        <f ca="1">IF($FN262+HB$244&gt;73,"",PRODUCT(INDEX($T$19:$T$93,HB$244):INDEX($T$19:$T$93,HB$244+$FN262-1)))</f>
        <v>0.97495730717499096</v>
      </c>
      <c r="HC262" s="469">
        <f ca="1">IF($FN262+HC$244&gt;73,"",PRODUCT(INDEX($T$19:$T$93,HC$244):INDEX($T$19:$T$93,HC$244+$FN262-1)))</f>
        <v>0.97220741549402989</v>
      </c>
      <c r="HD262" s="469">
        <f ca="1">IF($FN262+HD$244&gt;73,"",PRODUCT(INDEX($T$19:$T$93,HD$244):INDEX($T$19:$T$93,HD$244+$FN262-1)))</f>
        <v>0.96915949628990372</v>
      </c>
      <c r="HE262" s="469">
        <f ca="1">IF($FN262+HE$244&gt;73,"",PRODUCT(INDEX($T$19:$T$93,HE$244):INDEX($T$19:$T$93,HE$244+$FN262-1)))</f>
        <v>0.96578215157736613</v>
      </c>
      <c r="HF262" s="469">
        <f ca="1">IF($FN262+HF$244&gt;73,"",PRODUCT(INDEX($T$19:$T$93,HF$244):INDEX($T$19:$T$93,HF$244+$FN262-1)))</f>
        <v>0.96204088148997902</v>
      </c>
      <c r="HG262" s="469">
        <f ca="1">IF($FN262+HG$244&gt;73,"",PRODUCT(INDEX($T$19:$T$93,HG$244):INDEX($T$19:$T$93,HG$244+$FN262-1)))</f>
        <v>0.95789782510277255</v>
      </c>
      <c r="HH262" s="469">
        <f ca="1">IF($FN262+HH$244&gt;73,"",PRODUCT(INDEX($T$19:$T$93,HH$244):INDEX($T$19:$T$93,HH$244+$FN262-1)))</f>
        <v>0.95331149079284538</v>
      </c>
      <c r="HI262" s="469">
        <f ca="1">IF($FN262+HI$244&gt;73,"",PRODUCT(INDEX($T$19:$T$93,HI$244):INDEX($T$19:$T$93,HI$244+$FN262-1)))</f>
        <v>0.94823647873284278</v>
      </c>
      <c r="HJ262" s="469">
        <f ca="1">IF($FN262+HJ$244&gt;73,"",PRODUCT(INDEX($T$19:$T$93,HJ$244):INDEX($T$19:$T$93,HJ$244+$FN262-1)))</f>
        <v>0.94262319911763304</v>
      </c>
      <c r="HK262" s="469">
        <f ca="1">IF($FN262+HK$244&gt;73,"",PRODUCT(INDEX($T$19:$T$93,HK$244):INDEX($T$19:$T$93,HK$244+$FN262-1)))</f>
        <v>0.93641759096393706</v>
      </c>
      <c r="HL262" s="469">
        <f ca="1">IF($FN262+HL$244&gt;73,"",PRODUCT(INDEX($T$19:$T$93,HL$244):INDEX($T$19:$T$93,HL$244+$FN262-1)))</f>
        <v>0.92956084783994042</v>
      </c>
      <c r="HM262" s="469">
        <f ca="1">IF($FN262+HM$244&gt;73,"",PRODUCT(INDEX($T$19:$T$93,HM$244):INDEX($T$19:$T$93,HM$244+$FN262-1)))</f>
        <v>0.92198915872815412</v>
      </c>
      <c r="HN262" s="469">
        <f ca="1">IF($FN262+HN$244&gt;73,"",PRODUCT(INDEX($T$19:$T$93,HN$244):INDEX($T$19:$T$93,HN$244+$FN262-1)))</f>
        <v>0.9136334744600727</v>
      </c>
      <c r="HO262" s="469">
        <f ca="1">IF($FN262+HO$244&gt;73,"",PRODUCT(INDEX($T$19:$T$93,HO$244):INDEX($T$19:$T$93,HO$244+$FN262-1)))</f>
        <v>0.90441931285685684</v>
      </c>
      <c r="HP262" s="469">
        <f ca="1">IF($FN262+HP$244&gt;73,"",PRODUCT(INDEX($T$19:$T$93,HP$244):INDEX($T$19:$T$93,HP$244+$FN262-1)))</f>
        <v>0.8942666189524785</v>
      </c>
      <c r="HQ262" s="469">
        <f ca="1">IF($FN262+HQ$244&gt;73,"",PRODUCT(INDEX($T$19:$T$93,HQ$244):INDEX($T$19:$T$93,HQ$244+$FN262-1)))</f>
        <v>0.88308970057032743</v>
      </c>
      <c r="HR262" s="469">
        <f ca="1">IF($FN262+HR$244&gt;73,"",PRODUCT(INDEX($T$19:$T$93,HR$244):INDEX($T$19:$T$93,HR$244+$FN262-1)))</f>
        <v>0.87079726420426962</v>
      </c>
      <c r="HS262" s="469">
        <f ca="1">IF($FN262+HS$244&gt;73,"",PRODUCT(INDEX($T$19:$T$93,HS$244):INDEX($T$19:$T$93,HS$244+$FN262-1)))</f>
        <v>0.8572925817913013</v>
      </c>
      <c r="HT262" s="469">
        <f ca="1">IF($FN262+HT$244&gt;73,"",PRODUCT(INDEX($T$19:$T$93,HT$244):INDEX($T$19:$T$93,HT$244+$FN262-1)))</f>
        <v>0.84247382577869456</v>
      </c>
      <c r="HU262" s="469">
        <f ca="1">IF($FN262+HU$244&gt;73,"",PRODUCT(INDEX($T$19:$T$93,HU$244):INDEX($T$19:$T$93,HU$244+$FN262-1)))</f>
        <v>0.82623461817980759</v>
      </c>
      <c r="HV262" s="469">
        <f ca="1">IF($FN262+HV$244&gt;73,"",PRODUCT(INDEX($T$19:$T$93,HV$244):INDEX($T$19:$T$93,HV$244+$FN262-1)))</f>
        <v>0.80846484947357855</v>
      </c>
      <c r="HW262" s="469">
        <f ca="1">IF($FN262+HW$244&gt;73,"",PRODUCT(INDEX($T$19:$T$93,HW$244):INDEX($T$19:$T$93,HW$244+$FN262-1)))</f>
        <v>0.78905183575490023</v>
      </c>
      <c r="HX262" s="469">
        <f ca="1">IF($FN262+HX$244&gt;73,"",PRODUCT(INDEX($T$19:$T$93,HX$244):INDEX($T$19:$T$93,HX$244+$FN262-1)))</f>
        <v>0.76788189816575647</v>
      </c>
      <c r="HY262" s="469">
        <f ca="1">IF($FN262+HY$244&gt;73,"",PRODUCT(INDEX($T$19:$T$93,HY$244):INDEX($T$19:$T$93,HY$244+$FN262-1)))</f>
        <v>0.74484246818507904</v>
      </c>
      <c r="HZ262" s="469">
        <f ca="1">IF($FN262+HZ$244&gt;73,"",PRODUCT(INDEX($T$19:$T$93,HZ$244):INDEX($T$19:$T$93,HZ$244+$FN262-1)))</f>
        <v>0.71982484684368375</v>
      </c>
      <c r="IA262" s="469">
        <f ca="1">IF($FN262+IA$244&gt;73,"",PRODUCT(INDEX($T$19:$T$93,IA$244):INDEX($T$19:$T$93,IA$244+$FN262-1)))</f>
        <v>0.6927277764410551</v>
      </c>
      <c r="IB262" s="469">
        <f ca="1">IF($FN262+IB$244&gt;73,"",PRODUCT(INDEX($T$19:$T$93,IB$244):INDEX($T$19:$T$93,IB$244+$FN262-1)))</f>
        <v>0.66346202077213223</v>
      </c>
      <c r="IC262" s="469">
        <f ca="1">IF($FN262+IC$244&gt;73,"",PRODUCT(INDEX($T$19:$T$93,IC$244):INDEX($T$19:$T$93,IC$244+$FN262-1)))</f>
        <v>0.63195619440249018</v>
      </c>
      <c r="ID262" s="469">
        <f ca="1">IF($FN262+ID$244&gt;73,"",PRODUCT(INDEX($T$19:$T$93,ID$244):INDEX($T$19:$T$93,ID$244+$FN262-1)))</f>
        <v>0.5981641315715891</v>
      </c>
      <c r="IE262" s="469">
        <f ca="1">IF($FN262+IE$244&gt;73,"",PRODUCT(INDEX($T$19:$T$93,IE$244):INDEX($T$19:$T$93,IE$244+$FN262-1)))</f>
        <v>0.56207413561896202</v>
      </c>
      <c r="IF262" s="469">
        <f ca="1">IF($FN262+IF$244&gt;73,"",PRODUCT(INDEX($T$19:$T$93,IF$244):INDEX($T$19:$T$93,IF$244+$FN262-1)))</f>
        <v>0.52372048832919482</v>
      </c>
      <c r="IG262" s="469">
        <f ca="1">IF($FN262+IG$244&gt;73,"",PRODUCT(INDEX($T$19:$T$93,IG$244):INDEX($T$19:$T$93,IG$244+$FN262-1)))</f>
        <v>0.48319760120292998</v>
      </c>
      <c r="IH262" s="662">
        <f ca="1">IF($FN262+IH$244&gt;73,"",PRODUCT(INDEX($T$19:$T$93,IH$244):INDEX($T$19:$T$93,IH$244+$FN262-1)))</f>
        <v>0.44067711361276257</v>
      </c>
      <c r="II262" s="242"/>
    </row>
    <row r="263" spans="8:243">
      <c r="I263" s="132"/>
      <c r="J263" s="365"/>
      <c r="K263" s="133"/>
      <c r="L263" s="1"/>
      <c r="M263" s="366"/>
      <c r="P263" s="365"/>
      <c r="S263" s="53"/>
      <c r="T263" s="365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03"/>
      <c r="AM263" s="103"/>
      <c r="AN263" s="103"/>
      <c r="AO263" s="364">
        <v>6.467144841101069E-2</v>
      </c>
      <c r="AP263" s="31"/>
      <c r="AQ263" s="364">
        <v>5.9603097325677402E-2</v>
      </c>
      <c r="AR263" s="31"/>
      <c r="AS263" s="31"/>
      <c r="AT263" s="31"/>
      <c r="AU263" s="31"/>
      <c r="AV263" s="146"/>
      <c r="AW263" s="103"/>
      <c r="AX263" s="103"/>
      <c r="AY263" s="103"/>
      <c r="AZ263" s="103"/>
      <c r="BA263" s="103"/>
      <c r="BB263" s="103"/>
      <c r="BC263" s="104"/>
      <c r="BD263" s="104"/>
      <c r="BE263" s="104"/>
      <c r="BF263" s="102"/>
      <c r="BG263" s="104"/>
      <c r="BH263" s="104"/>
      <c r="BI263" s="152"/>
      <c r="BJ263" s="103"/>
      <c r="BK263" s="103"/>
      <c r="BL263" s="103"/>
      <c r="BM263" s="103"/>
      <c r="BN263" s="103"/>
      <c r="BO263" s="103"/>
      <c r="BP263" s="103"/>
      <c r="BQ263" s="103"/>
      <c r="BR263" s="103"/>
      <c r="BS263" s="103"/>
      <c r="BT263" s="104"/>
      <c r="BU263" s="104"/>
      <c r="BV263" s="104"/>
      <c r="BW263" s="104"/>
      <c r="BX263" s="104"/>
      <c r="BY263" s="104"/>
      <c r="BZ263" s="104"/>
      <c r="CA263" s="104"/>
      <c r="CB263" s="104"/>
      <c r="CC263" s="104"/>
      <c r="CD263" s="103"/>
      <c r="CE263" s="103"/>
      <c r="CF263" s="103"/>
      <c r="CG263" s="103"/>
      <c r="CH263" s="103"/>
      <c r="CI263" s="103"/>
      <c r="CJ263" s="107"/>
      <c r="CK263" s="1"/>
      <c r="CL263" s="51"/>
      <c r="CM263" s="51"/>
      <c r="CN263" s="51"/>
      <c r="CO263" s="51"/>
      <c r="CP263" s="51"/>
      <c r="CQ263" s="51"/>
      <c r="CR263" s="51"/>
      <c r="CS263" s="51"/>
      <c r="CT263" s="51"/>
      <c r="CU263" s="51"/>
      <c r="CV263" s="51"/>
      <c r="CW263" s="51"/>
      <c r="CX263" s="51"/>
      <c r="CY263" s="51"/>
      <c r="CZ263" s="51"/>
      <c r="DA263" s="51"/>
      <c r="DB263" s="51"/>
      <c r="DC263" s="51"/>
      <c r="DF263" s="465"/>
      <c r="DI263" s="465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3"/>
      <c r="EP263" s="53"/>
      <c r="EQ263" s="1"/>
      <c r="ER263" s="103"/>
      <c r="ES263" s="103"/>
      <c r="ET263" s="1"/>
      <c r="EU263" s="103"/>
      <c r="EV263" s="1"/>
      <c r="EW263" s="1"/>
      <c r="EX263" s="1"/>
      <c r="EY263" s="103"/>
      <c r="FN263" s="657">
        <v>19</v>
      </c>
      <c r="FO263" s="469" t="str">
        <f ca="1">IF($FN263+FO$244&gt;73,"",PRODUCT(INDEX($T$19:$T$93,FO$244):INDEX($T$19:$T$93,FO$244+$FN263-1)))</f>
        <v/>
      </c>
      <c r="FP263" s="469" t="str">
        <f ca="1">IF($FN263+FP$244&gt;73,"",PRODUCT(INDEX($T$19:$T$93,FP$244):INDEX($T$19:$T$93,FP$244+$FN263-1)))</f>
        <v/>
      </c>
      <c r="FQ263" s="469" t="str">
        <f ca="1">IF($FN263+FQ$244&gt;73,"",PRODUCT(INDEX($T$19:$T$93,FQ$244):INDEX($T$19:$T$93,FQ$244+$FN263-1)))</f>
        <v/>
      </c>
      <c r="FR263" s="469" t="str">
        <f ca="1">IF($FN263+FR$244&gt;73,"",PRODUCT(INDEX($T$19:$T$93,FR$244):INDEX($T$19:$T$93,FR$244+$FN263-1)))</f>
        <v/>
      </c>
      <c r="FS263" s="469" t="str">
        <f ca="1">IF($FN263+FS$244&gt;73,"",PRODUCT(INDEX($T$19:$T$93,FS$244):INDEX($T$19:$T$93,FS$244+$FN263-1)))</f>
        <v/>
      </c>
      <c r="FT263" s="469" t="str">
        <f ca="1">IF($FN263+FT$244&gt;73,"",PRODUCT(INDEX($T$19:$T$93,FT$244):INDEX($T$19:$T$93,FT$244+$FN263-1)))</f>
        <v/>
      </c>
      <c r="FU263" s="469" t="str">
        <f ca="1">IF($FN263+FU$244&gt;73,"",PRODUCT(INDEX($T$19:$T$93,FU$244):INDEX($T$19:$T$93,FU$244+$FN263-1)))</f>
        <v/>
      </c>
      <c r="FV263" s="469" t="str">
        <f ca="1">IF($FN263+FV$244&gt;73,"",PRODUCT(INDEX($T$19:$T$93,FV$244):INDEX($T$19:$T$93,FV$244+$FN263-1)))</f>
        <v/>
      </c>
      <c r="FW263" s="469" t="str">
        <f ca="1">IF($FN263+FW$244&gt;73,"",PRODUCT(INDEX($T$19:$T$93,FW$244):INDEX($T$19:$T$93,FW$244+$FN263-1)))</f>
        <v/>
      </c>
      <c r="FX263" s="469" t="str">
        <f ca="1">IF($FN263+FX$244&gt;73,"",PRODUCT(INDEX($T$19:$T$93,FX$244):INDEX($T$19:$T$93,FX$244+$FN263-1)))</f>
        <v/>
      </c>
      <c r="FY263" s="469" t="str">
        <f ca="1">IF($FN263+FY$244&gt;73,"",PRODUCT(INDEX($T$19:$T$93,FY$244):INDEX($T$19:$T$93,FY$244+$FN263-1)))</f>
        <v/>
      </c>
      <c r="FZ263" s="469" t="str">
        <f ca="1">IF($FN263+FZ$244&gt;73,"",PRODUCT(INDEX($T$19:$T$93,FZ$244):INDEX($T$19:$T$93,FZ$244+$FN263-1)))</f>
        <v/>
      </c>
      <c r="GA263" s="469" t="str">
        <f ca="1">IF($FN263+GA$244&gt;73,"",PRODUCT(INDEX($T$19:$T$93,GA$244):INDEX($T$19:$T$93,GA$244+$FN263-1)))</f>
        <v/>
      </c>
      <c r="GB263" s="469" t="str">
        <f ca="1">IF($FN263+GB$244&gt;73,"",PRODUCT(INDEX($T$19:$T$93,GB$244):INDEX($T$19:$T$93,GB$244+$FN263-1)))</f>
        <v/>
      </c>
      <c r="GC263" s="469" t="str">
        <f ca="1">IF($FN263+GC$244&gt;73,"",PRODUCT(INDEX($T$19:$T$93,GC$244):INDEX($T$19:$T$93,GC$244+$FN263-1)))</f>
        <v/>
      </c>
      <c r="GD263" s="469" t="str">
        <f ca="1">IF($FN263+GD$244&gt;73,"",PRODUCT(INDEX($T$19:$T$93,GD$244):INDEX($T$19:$T$93,GD$244+$FN263-1)))</f>
        <v/>
      </c>
      <c r="GE263" s="469" t="str">
        <f ca="1">IF($FN263+GE$244&gt;73,"",PRODUCT(INDEX($T$19:$T$93,GE$244):INDEX($T$19:$T$93,GE$244+$FN263-1)))</f>
        <v/>
      </c>
      <c r="GF263" s="469" t="str">
        <f ca="1">IF($FN263+GF$244&gt;73,"",PRODUCT(INDEX($T$19:$T$93,GF$244):INDEX($T$19:$T$93,GF$244+$FN263-1)))</f>
        <v/>
      </c>
      <c r="GG263" s="469">
        <f ca="1">IF($FN263+GG$244&gt;73,"",PRODUCT(INDEX($T$19:$T$93,GG$244):INDEX($T$19:$T$93,GG$244+$FN263-1)))</f>
        <v>0.99718490395368531</v>
      </c>
      <c r="GH263" s="469">
        <f ca="1">IF($FN263+GH$244&gt;73,"",PRODUCT(INDEX($T$19:$T$93,GH$244):INDEX($T$19:$T$93,GH$244+$FN263-1)))</f>
        <v>0.99687253541381837</v>
      </c>
      <c r="GI263" s="469">
        <f ca="1">IF($FN263+GI$244&gt;73,"",PRODUCT(INDEX($T$19:$T$93,GI$244):INDEX($T$19:$T$93,GI$244+$FN263-1)))</f>
        <v>0.9965255574652625</v>
      </c>
      <c r="GJ263" s="469">
        <f ca="1">IF($FN263+GJ$244&gt;73,"",PRODUCT(INDEX($T$19:$T$93,GJ$244):INDEX($T$19:$T$93,GJ$244+$FN263-1)))</f>
        <v>0.99614014755465818</v>
      </c>
      <c r="GK263" s="469">
        <f ca="1">IF($FN263+GK$244&gt;73,"",PRODUCT(INDEX($T$19:$T$93,GK$244):INDEX($T$19:$T$93,GK$244+$FN263-1)))</f>
        <v>0.99571206374641841</v>
      </c>
      <c r="GL263" s="469">
        <f ca="1">IF($FN263+GL$244&gt;73,"",PRODUCT(INDEX($T$19:$T$93,GL$244):INDEX($T$19:$T$93,GL$244+$FN263-1)))</f>
        <v>0.99523659936691089</v>
      </c>
      <c r="GM263" s="469">
        <f ca="1">IF($FN263+GM$244&gt;73,"",PRODUCT(INDEX($T$19:$T$93,GM$244):INDEX($T$19:$T$93,GM$244+$FN263-1)))</f>
        <v>0.99470853289644701</v>
      </c>
      <c r="GN263" s="469">
        <f ca="1">IF($FN263+GN$244&gt;73,"",PRODUCT(INDEX($T$19:$T$93,GN$244):INDEX($T$19:$T$93,GN$244+$FN263-1)))</f>
        <v>0.99412207264705243</v>
      </c>
      <c r="GO263" s="469">
        <f ca="1">IF($FN263+GO$244&gt;73,"",PRODUCT(INDEX($T$19:$T$93,GO$244):INDEX($T$19:$T$93,GO$244+$FN263-1)))</f>
        <v>0.99347079572769537</v>
      </c>
      <c r="GP263" s="469">
        <f ca="1">IF($FN263+GP$244&gt;73,"",PRODUCT(INDEX($T$19:$T$93,GP$244):INDEX($T$19:$T$93,GP$244+$FN263-1)))</f>
        <v>0.99274758076161163</v>
      </c>
      <c r="GQ263" s="469">
        <f ca="1">IF($FN263+GQ$244&gt;73,"",PRODUCT(INDEX($T$19:$T$93,GQ$244):INDEX($T$19:$T$93,GQ$244+$FN263-1)))</f>
        <v>0.991944533783371</v>
      </c>
      <c r="GR263" s="469">
        <f ca="1">IF($FN263+GR$244&gt;73,"",PRODUCT(INDEX($T$19:$T$93,GR$244):INDEX($T$19:$T$93,GR$244+$FN263-1)))</f>
        <v>0.99105290670713775</v>
      </c>
      <c r="GS263" s="469">
        <f ca="1">IF($FN263+GS$244&gt;73,"",PRODUCT(INDEX($T$19:$T$93,GS$244):INDEX($T$19:$T$93,GS$244+$FN263-1)))</f>
        <v>0.99006300772346068</v>
      </c>
      <c r="GT263" s="469">
        <f ca="1">IF($FN263+GT$244&gt;73,"",PRODUCT(INDEX($T$19:$T$93,GT$244):INDEX($T$19:$T$93,GT$244+$FN263-1)))</f>
        <v>0.98896410295132864</v>
      </c>
      <c r="GU263" s="469">
        <f ca="1">IF($FN263+GU$244&gt;73,"",PRODUCT(INDEX($T$19:$T$93,GU$244):INDEX($T$19:$T$93,GU$244+$FN263-1)))</f>
        <v>0.98774430864710538</v>
      </c>
      <c r="GV263" s="469">
        <f ca="1">IF($FN263+GV$244&gt;73,"",PRODUCT(INDEX($T$19:$T$93,GV$244):INDEX($T$19:$T$93,GV$244+$FN263-1)))</f>
        <v>0.98639047325481644</v>
      </c>
      <c r="GW263" s="469">
        <f ca="1">IF($FN263+GW$244&gt;73,"",PRODUCT(INDEX($T$19:$T$93,GW$244):INDEX($T$19:$T$93,GW$244+$FN263-1)))</f>
        <v>0.98488804857609935</v>
      </c>
      <c r="GX263" s="469">
        <f ca="1">IF($FN263+GX$244&gt;73,"",PRODUCT(INDEX($T$19:$T$93,GX$244):INDEX($T$19:$T$93,GX$244+$FN263-1)))</f>
        <v>0.98322094934694504</v>
      </c>
      <c r="GY263" s="469">
        <f ca="1">IF($FN263+GY$244&gt;73,"",PRODUCT(INDEX($T$19:$T$93,GY$244):INDEX($T$19:$T$93,GY$244+$FN263-1)))</f>
        <v>0.9813714005367965</v>
      </c>
      <c r="GZ263" s="469">
        <f ca="1">IF($FN263+GZ$244&gt;73,"",PRODUCT(INDEX($T$19:$T$93,GZ$244):INDEX($T$19:$T$93,GZ$244+$FN263-1)))</f>
        <v>0.97931977173961715</v>
      </c>
      <c r="HA263" s="469">
        <f ca="1">IF($FN263+HA$244&gt;73,"",PRODUCT(INDEX($T$19:$T$93,HA$244):INDEX($T$19:$T$93,HA$244+$FN263-1)))</f>
        <v>0.97704439811331534</v>
      </c>
      <c r="HB263" s="469">
        <f ca="1">IF($FN263+HB$244&gt;73,"",PRODUCT(INDEX($T$19:$T$93,HB$244):INDEX($T$19:$T$93,HB$244+$FN263-1)))</f>
        <v>0.97452138745215211</v>
      </c>
      <c r="HC263" s="469">
        <f ca="1">IF($FN263+HC$244&gt;73,"",PRODUCT(INDEX($T$19:$T$93,HC$244):INDEX($T$19:$T$93,HC$244+$FN263-1)))</f>
        <v>0.97172441315700109</v>
      </c>
      <c r="HD263" s="469">
        <f ca="1">IF($FN263+HD$244&gt;73,"",PRODUCT(INDEX($T$19:$T$93,HD$244):INDEX($T$19:$T$93,HD$244+$FN263-1)))</f>
        <v>0.96862449311317222</v>
      </c>
      <c r="HE263" s="469">
        <f ca="1">IF($FN263+HE$244&gt;73,"",PRODUCT(INDEX($T$19:$T$93,HE$244):INDEX($T$19:$T$93,HE$244+$FN263-1)))</f>
        <v>0.96518975480998193</v>
      </c>
      <c r="HF263" s="469">
        <f ca="1">IF($FN263+HF$244&gt;73,"",PRODUCT(INDEX($T$19:$T$93,HF$244):INDEX($T$19:$T$93,HF$244+$FN263-1)))</f>
        <v>0.96138518745829515</v>
      </c>
      <c r="HG263" s="469">
        <f ca="1">IF($FN263+HG$244&gt;73,"",PRODUCT(INDEX($T$19:$T$93,HG$244):INDEX($T$19:$T$93,HG$244+$FN263-1)))</f>
        <v>0.95717238240274671</v>
      </c>
      <c r="HH263" s="469">
        <f ca="1">IF($FN263+HH$244&gt;73,"",PRODUCT(INDEX($T$19:$T$93,HH$244):INDEX($T$19:$T$93,HH$244+$FN263-1)))</f>
        <v>0.95250926380914736</v>
      </c>
      <c r="HI263" s="469">
        <f ca="1">IF($FN263+HI$244&gt;73,"",PRODUCT(INDEX($T$19:$T$93,HI$244):INDEX($T$19:$T$93,HI$244+$FN263-1)))</f>
        <v>0.94734981246332262</v>
      </c>
      <c r="HJ263" s="469">
        <f ca="1">IF($FN263+HJ$244&gt;73,"",PRODUCT(INDEX($T$19:$T$93,HJ$244):INDEX($T$19:$T$93,HJ$244+$FN263-1)))</f>
        <v>0.94164378657892978</v>
      </c>
      <c r="HK263" s="469">
        <f ca="1">IF($FN263+HK$244&gt;73,"",PRODUCT(INDEX($T$19:$T$93,HK$244):INDEX($T$19:$T$93,HK$244+$FN263-1)))</f>
        <v>0.93533644481744216</v>
      </c>
      <c r="HL263" s="469">
        <f ca="1">IF($FN263+HL$244&gt;73,"",PRODUCT(INDEX($T$19:$T$93,HL$244):INDEX($T$19:$T$93,HL$244+$FN263-1)))</f>
        <v>0.92836827831844793</v>
      </c>
      <c r="HM263" s="469">
        <f ca="1">IF($FN263+HM$244&gt;73,"",PRODUCT(INDEX($T$19:$T$93,HM$244):INDEX($T$19:$T$93,HM$244+$FN263-1)))</f>
        <v>0.92067476047492791</v>
      </c>
      <c r="HN263" s="469">
        <f ca="1">IF($FN263+HN$244&gt;73,"",PRODUCT(INDEX($T$19:$T$93,HN$244):INDEX($T$19:$T$93,HN$244+$FN263-1)))</f>
        <v>0.91218612552709444</v>
      </c>
      <c r="HO263" s="469">
        <f ca="1">IF($FN263+HO$244&gt;73,"",PRODUCT(INDEX($T$19:$T$93,HO$244):INDEX($T$19:$T$93,HO$244+$FN263-1)))</f>
        <v>0.90282718986135557</v>
      </c>
      <c r="HP263" s="469">
        <f ca="1">IF($FN263+HP$244&gt;73,"",PRODUCT(INDEX($T$19:$T$93,HP$244):INDEX($T$19:$T$93,HP$244+$FN263-1)))</f>
        <v>0.89251723327353938</v>
      </c>
      <c r="HQ263" s="469">
        <f ca="1">IF($FN263+HQ$244&gt;73,"",PRODUCT(INDEX($T$19:$T$93,HQ$244):INDEX($T$19:$T$93,HQ$244+$FN263-1)))</f>
        <v>0.88116996149154692</v>
      </c>
      <c r="HR263" s="469">
        <f ca="1">IF($FN263+HR$244&gt;73,"",PRODUCT(INDEX($T$19:$T$93,HR$244):INDEX($T$19:$T$93,HR$244+$FN263-1)))</f>
        <v>0.86869357608115361</v>
      </c>
      <c r="HS263" s="469">
        <f ca="1">IF($FN263+HS$244&gt;73,"",PRODUCT(INDEX($T$19:$T$93,HS$244):INDEX($T$19:$T$93,HS$244+$FN263-1)))</f>
        <v>0.85499098364330128</v>
      </c>
      <c r="HT263" s="469">
        <f ca="1">IF($FN263+HT$244&gt;73,"",PRODUCT(INDEX($T$19:$T$93,HT$244):INDEX($T$19:$T$93,HT$244+$FN263-1)))</f>
        <v>0.83996018316364918</v>
      </c>
      <c r="HU263" s="469">
        <f ca="1">IF($FN263+HU$244&gt;73,"",PRODUCT(INDEX($T$19:$T$93,HU$244):INDEX($T$19:$T$93,HU$244+$FN263-1)))</f>
        <v>0.82349487877284933</v>
      </c>
      <c r="HV263" s="469">
        <f ca="1">IF($FN263+HV$244&gt;73,"",PRODUCT(INDEX($T$19:$T$93,HV$244):INDEX($T$19:$T$93,HV$244+$FN263-1)))</f>
        <v>0.80548537538486886</v>
      </c>
      <c r="HW263" s="469">
        <f ca="1">IF($FN263+HW$244&gt;73,"",PRODUCT(INDEX($T$19:$T$93,HW$244):INDEX($T$19:$T$93,HW$244+$FN263-1)))</f>
        <v>0.78581982718025856</v>
      </c>
      <c r="HX263" s="469">
        <f ca="1">IF($FN263+HX$244&gt;73,"",PRODUCT(INDEX($T$19:$T$93,HX$244):INDEX($T$19:$T$93,HX$244+$FN263-1)))</f>
        <v>0.76438592430829322</v>
      </c>
      <c r="HY263" s="469">
        <f ca="1">IF($FN263+HY$244&gt;73,"",PRODUCT(INDEX($T$19:$T$93,HY$244):INDEX($T$19:$T$93,HY$244+$FN263-1)))</f>
        <v>0.74107312225990929</v>
      </c>
      <c r="HZ263" s="469">
        <f ca="1">IF($FN263+HZ$244&gt;73,"",PRODUCT(INDEX($T$19:$T$93,HZ$244):INDEX($T$19:$T$93,HZ$244+$FN263-1)))</f>
        <v>0.71577554199483384</v>
      </c>
      <c r="IA263" s="469">
        <f ca="1">IF($FN263+IA$244&gt;73,"",PRODUCT(INDEX($T$19:$T$93,IA$244):INDEX($T$19:$T$93,IA$244+$FN263-1)))</f>
        <v>0.68839569798301348</v>
      </c>
      <c r="IB263" s="469">
        <f ca="1">IF($FN263+IB$244&gt;73,"",PRODUCT(INDEX($T$19:$T$93,IB$244):INDEX($T$19:$T$93,IB$244+$FN263-1)))</f>
        <v>0.65884924647282572</v>
      </c>
      <c r="IC263" s="469">
        <f ca="1">IF($FN263+IC$244&gt;73,"",PRODUCT(INDEX($T$19:$T$93,IC$244):INDEX($T$19:$T$93,IC$244+$FN263-1)))</f>
        <v>0.62707098733204558</v>
      </c>
      <c r="ID263" s="469">
        <f ca="1">IF($FN263+ID$244&gt;73,"",PRODUCT(INDEX($T$19:$T$93,ID$244):INDEX($T$19:$T$93,ID$244+$FN263-1)))</f>
        <v>0.59302239763280129</v>
      </c>
      <c r="IE263" s="469">
        <f ca="1">IF($FN263+IE$244&gt;73,"",PRODUCT(INDEX($T$19:$T$93,IE$244):INDEX($T$19:$T$93,IE$244+$FN263-1)))</f>
        <v>0.5567010178867231</v>
      </c>
      <c r="IF263" s="469">
        <f ca="1">IF($FN263+IF$244&gt;73,"",PRODUCT(INDEX($T$19:$T$93,IF$244):INDEX($T$19:$T$93,IF$244+$FN263-1)))</f>
        <v>0.51815203962612266</v>
      </c>
      <c r="IG263" s="469">
        <f ca="1">IF($FN263+IG$244&gt;73,"",PRODUCT(INDEX($T$19:$T$93,IG$244):INDEX($T$19:$T$93,IG$244+$FN263-1)))</f>
        <v>0.47748243101490462</v>
      </c>
      <c r="IH263" s="662">
        <f ca="1">IF($FN263+IH$244&gt;73,"",PRODUCT(INDEX($T$19:$T$93,IH$244):INDEX($T$19:$T$93,IH$244+$FN263-1)))</f>
        <v>0.43487784108263705</v>
      </c>
      <c r="II263" s="242"/>
    </row>
    <row r="264" spans="8:243">
      <c r="I264" s="132"/>
      <c r="J264" s="365"/>
      <c r="K264" s="133"/>
      <c r="L264" s="1"/>
      <c r="M264" s="366"/>
      <c r="P264" s="365"/>
      <c r="S264" s="53"/>
      <c r="T264" s="365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03"/>
      <c r="AM264" s="103"/>
      <c r="AN264" s="103"/>
      <c r="AO264" s="364">
        <v>6.4682096185705099E-2</v>
      </c>
      <c r="AP264" s="31"/>
      <c r="AQ264" s="364">
        <v>5.9563866335028401E-2</v>
      </c>
      <c r="AR264" s="31"/>
      <c r="AS264" s="31"/>
      <c r="AT264" s="31"/>
      <c r="AU264" s="31"/>
      <c r="AV264" s="146"/>
      <c r="AW264" s="103"/>
      <c r="AX264" s="103"/>
      <c r="AY264" s="103"/>
      <c r="AZ264" s="103"/>
      <c r="BA264" s="103"/>
      <c r="BB264" s="103"/>
      <c r="BC264" s="104"/>
      <c r="BD264" s="104"/>
      <c r="BE264" s="104"/>
      <c r="BF264" s="102"/>
      <c r="BG264" s="104"/>
      <c r="BH264" s="104"/>
      <c r="BI264" s="152"/>
      <c r="BJ264" s="103"/>
      <c r="BK264" s="103"/>
      <c r="BL264" s="103"/>
      <c r="BM264" s="103"/>
      <c r="BN264" s="103"/>
      <c r="BO264" s="103"/>
      <c r="BP264" s="103"/>
      <c r="BQ264" s="103"/>
      <c r="BR264" s="103"/>
      <c r="BS264" s="103"/>
      <c r="BT264" s="104"/>
      <c r="BU264" s="104"/>
      <c r="BV264" s="104"/>
      <c r="BW264" s="104"/>
      <c r="BX264" s="104"/>
      <c r="BY264" s="104"/>
      <c r="BZ264" s="104"/>
      <c r="CA264" s="104"/>
      <c r="CB264" s="104"/>
      <c r="CC264" s="104"/>
      <c r="CD264" s="103"/>
      <c r="CE264" s="103"/>
      <c r="CF264" s="103"/>
      <c r="CG264" s="103"/>
      <c r="CH264" s="103"/>
      <c r="CI264" s="103"/>
      <c r="CJ264" s="107"/>
      <c r="CK264" s="1"/>
      <c r="CL264" s="51"/>
      <c r="CM264" s="51"/>
      <c r="CN264" s="51"/>
      <c r="CO264" s="51"/>
      <c r="CP264" s="51"/>
      <c r="CQ264" s="51"/>
      <c r="CR264" s="51"/>
      <c r="CS264" s="51"/>
      <c r="CT264" s="51"/>
      <c r="CU264" s="51"/>
      <c r="CV264" s="51"/>
      <c r="CW264" s="51"/>
      <c r="CX264" s="51"/>
      <c r="CY264" s="51"/>
      <c r="CZ264" s="51"/>
      <c r="DA264" s="51"/>
      <c r="DB264" s="51"/>
      <c r="DC264" s="51"/>
      <c r="DF264" s="465"/>
      <c r="DI264" s="465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3"/>
      <c r="EP264" s="53"/>
      <c r="EQ264" s="1"/>
      <c r="ER264" s="103"/>
      <c r="ES264" s="103"/>
      <c r="ET264" s="1"/>
      <c r="EU264" s="103"/>
      <c r="EV264" s="1"/>
      <c r="EW264" s="1"/>
      <c r="EX264" s="1"/>
      <c r="EY264" s="103"/>
      <c r="FN264" s="657">
        <v>20</v>
      </c>
      <c r="FO264" s="469" t="str">
        <f ca="1">IF($FN264+FO$244&gt;73,"",PRODUCT(INDEX($T$19:$T$93,FO$244):INDEX($T$19:$T$93,FO$244+$FN264-1)))</f>
        <v/>
      </c>
      <c r="FP264" s="469" t="str">
        <f ca="1">IF($FN264+FP$244&gt;73,"",PRODUCT(INDEX($T$19:$T$93,FP$244):INDEX($T$19:$T$93,FP$244+$FN264-1)))</f>
        <v/>
      </c>
      <c r="FQ264" s="469" t="str">
        <f ca="1">IF($FN264+FQ$244&gt;73,"",PRODUCT(INDEX($T$19:$T$93,FQ$244):INDEX($T$19:$T$93,FQ$244+$FN264-1)))</f>
        <v/>
      </c>
      <c r="FR264" s="469" t="str">
        <f ca="1">IF($FN264+FR$244&gt;73,"",PRODUCT(INDEX($T$19:$T$93,FR$244):INDEX($T$19:$T$93,FR$244+$FN264-1)))</f>
        <v/>
      </c>
      <c r="FS264" s="469" t="str">
        <f ca="1">IF($FN264+FS$244&gt;73,"",PRODUCT(INDEX($T$19:$T$93,FS$244):INDEX($T$19:$T$93,FS$244+$FN264-1)))</f>
        <v/>
      </c>
      <c r="FT264" s="469" t="str">
        <f ca="1">IF($FN264+FT$244&gt;73,"",PRODUCT(INDEX($T$19:$T$93,FT$244):INDEX($T$19:$T$93,FT$244+$FN264-1)))</f>
        <v/>
      </c>
      <c r="FU264" s="469" t="str">
        <f ca="1">IF($FN264+FU$244&gt;73,"",PRODUCT(INDEX($T$19:$T$93,FU$244):INDEX($T$19:$T$93,FU$244+$FN264-1)))</f>
        <v/>
      </c>
      <c r="FV264" s="469" t="str">
        <f ca="1">IF($FN264+FV$244&gt;73,"",PRODUCT(INDEX($T$19:$T$93,FV$244):INDEX($T$19:$T$93,FV$244+$FN264-1)))</f>
        <v/>
      </c>
      <c r="FW264" s="469" t="str">
        <f ca="1">IF($FN264+FW$244&gt;73,"",PRODUCT(INDEX($T$19:$T$93,FW$244):INDEX($T$19:$T$93,FW$244+$FN264-1)))</f>
        <v/>
      </c>
      <c r="FX264" s="469" t="str">
        <f ca="1">IF($FN264+FX$244&gt;73,"",PRODUCT(INDEX($T$19:$T$93,FX$244):INDEX($T$19:$T$93,FX$244+$FN264-1)))</f>
        <v/>
      </c>
      <c r="FY264" s="469" t="str">
        <f ca="1">IF($FN264+FY$244&gt;73,"",PRODUCT(INDEX($T$19:$T$93,FY$244):INDEX($T$19:$T$93,FY$244+$FN264-1)))</f>
        <v/>
      </c>
      <c r="FZ264" s="469" t="str">
        <f ca="1">IF($FN264+FZ$244&gt;73,"",PRODUCT(INDEX($T$19:$T$93,FZ$244):INDEX($T$19:$T$93,FZ$244+$FN264-1)))</f>
        <v/>
      </c>
      <c r="GA264" s="469" t="str">
        <f ca="1">IF($FN264+GA$244&gt;73,"",PRODUCT(INDEX($T$19:$T$93,GA$244):INDEX($T$19:$T$93,GA$244+$FN264-1)))</f>
        <v/>
      </c>
      <c r="GB264" s="469" t="str">
        <f ca="1">IF($FN264+GB$244&gt;73,"",PRODUCT(INDEX($T$19:$T$93,GB$244):INDEX($T$19:$T$93,GB$244+$FN264-1)))</f>
        <v/>
      </c>
      <c r="GC264" s="469" t="str">
        <f ca="1">IF($FN264+GC$244&gt;73,"",PRODUCT(INDEX($T$19:$T$93,GC$244):INDEX($T$19:$T$93,GC$244+$FN264-1)))</f>
        <v/>
      </c>
      <c r="GD264" s="469" t="str">
        <f ca="1">IF($FN264+GD$244&gt;73,"",PRODUCT(INDEX($T$19:$T$93,GD$244):INDEX($T$19:$T$93,GD$244+$FN264-1)))</f>
        <v/>
      </c>
      <c r="GE264" s="469" t="str">
        <f ca="1">IF($FN264+GE$244&gt;73,"",PRODUCT(INDEX($T$19:$T$93,GE$244):INDEX($T$19:$T$93,GE$244+$FN264-1)))</f>
        <v/>
      </c>
      <c r="GF264" s="469" t="str">
        <f ca="1">IF($FN264+GF$244&gt;73,"",PRODUCT(INDEX($T$19:$T$93,GF$244):INDEX($T$19:$T$93,GF$244+$FN264-1)))</f>
        <v/>
      </c>
      <c r="GG264" s="469" t="str">
        <f ca="1">IF($FN264+GG$244&gt;73,"",PRODUCT(INDEX($T$19:$T$93,GG$244):INDEX($T$19:$T$93,GG$244+$FN264-1)))</f>
        <v/>
      </c>
      <c r="GH264" s="469">
        <f ca="1">IF($FN264+GH$244&gt;73,"",PRODUCT(INDEX($T$19:$T$93,GH$244):INDEX($T$19:$T$93,GH$244+$FN264-1)))</f>
        <v>0.99682377567257907</v>
      </c>
      <c r="GI264" s="469">
        <f ca="1">IF($FN264+GI$244&gt;73,"",PRODUCT(INDEX($T$19:$T$93,GI$244):INDEX($T$19:$T$93,GI$244+$FN264-1)))</f>
        <v>0.99647139868220713</v>
      </c>
      <c r="GJ264" s="469">
        <f ca="1">IF($FN264+GJ$244&gt;73,"",PRODUCT(INDEX($T$19:$T$93,GJ$244):INDEX($T$19:$T$93,GJ$244+$FN264-1)))</f>
        <v>0.99607999421688709</v>
      </c>
      <c r="GK264" s="469">
        <f ca="1">IF($FN264+GK$244&gt;73,"",PRODUCT(INDEX($T$19:$T$93,GK$244):INDEX($T$19:$T$93,GK$244+$FN264-1)))</f>
        <v>0.99564525519773006</v>
      </c>
      <c r="GL264" s="469">
        <f ca="1">IF($FN264+GL$244&gt;73,"",PRODUCT(INDEX($T$19:$T$93,GL$244):INDEX($T$19:$T$93,GL$244+$FN264-1)))</f>
        <v>0.9951624028090249</v>
      </c>
      <c r="GM264" s="469">
        <f ca="1">IF($FN264+GM$244&gt;73,"",PRODUCT(INDEX($T$19:$T$93,GM$244):INDEX($T$19:$T$93,GM$244+$FN264-1)))</f>
        <v>0.99462613566835922</v>
      </c>
      <c r="GN264" s="469">
        <f ca="1">IF($FN264+GN$244&gt;73,"",PRODUCT(INDEX($T$19:$T$93,GN$244):INDEX($T$19:$T$93,GN$244+$FN264-1)))</f>
        <v>0.99403057371525783</v>
      </c>
      <c r="GO264" s="469">
        <f ca="1">IF($FN264+GO$244&gt;73,"",PRODUCT(INDEX($T$19:$T$93,GO$244):INDEX($T$19:$T$93,GO$244+$FN264-1)))</f>
        <v>0.99336919631553056</v>
      </c>
      <c r="GP264" s="469">
        <f ca="1">IF($FN264+GP$244&gt;73,"",PRODUCT(INDEX($T$19:$T$93,GP$244):INDEX($T$19:$T$93,GP$244+$FN264-1)))</f>
        <v>0.99263477404166078</v>
      </c>
      <c r="GQ264" s="469">
        <f ca="1">IF($FN264+GQ$244&gt;73,"",PRODUCT(INDEX($T$19:$T$93,GQ$244):INDEX($T$19:$T$93,GQ$244+$FN264-1)))</f>
        <v>0.99181929355293408</v>
      </c>
      <c r="GR264" s="469">
        <f ca="1">IF($FN264+GR$244&gt;73,"",PRODUCT(INDEX($T$19:$T$93,GR$244):INDEX($T$19:$T$93,GR$244+$FN264-1)))</f>
        <v>0.99091387496339411</v>
      </c>
      <c r="GS264" s="469">
        <f ca="1">IF($FN264+GS$244&gt;73,"",PRODUCT(INDEX($T$19:$T$93,GS$244):INDEX($T$19:$T$93,GS$244+$FN264-1)))</f>
        <v>0.98990868105247409</v>
      </c>
      <c r="GT264" s="469">
        <f ca="1">IF($FN264+GT$244&gt;73,"",PRODUCT(INDEX($T$19:$T$93,GT$244):INDEX($T$19:$T$93,GT$244+$FN264-1)))</f>
        <v>0.98879281764379956</v>
      </c>
      <c r="GU264" s="469">
        <f ca="1">IF($FN264+GU$244&gt;73,"",PRODUCT(INDEX($T$19:$T$93,GU$244):INDEX($T$19:$T$93,GU$244+$FN264-1)))</f>
        <v>0.98755422445425811</v>
      </c>
      <c r="GV264" s="469">
        <f ca="1">IF($FN264+GV$244&gt;73,"",PRODUCT(INDEX($T$19:$T$93,GV$244):INDEX($T$19:$T$93,GV$244+$FN264-1)))</f>
        <v>0.98617955570061266</v>
      </c>
      <c r="GW264" s="469">
        <f ca="1">IF($FN264+GW$244&gt;73,"",PRODUCT(INDEX($T$19:$T$93,GW$244):INDEX($T$19:$T$93,GW$244+$FN264-1)))</f>
        <v>0.98465404974783544</v>
      </c>
      <c r="GX264" s="469">
        <f ca="1">IF($FN264+GX$244&gt;73,"",PRODUCT(INDEX($T$19:$T$93,GX$244):INDEX($T$19:$T$93,GX$244+$FN264-1)))</f>
        <v>0.98296138709615344</v>
      </c>
      <c r="GY264" s="469">
        <f ca="1">IF($FN264+GY$244&gt;73,"",PRODUCT(INDEX($T$19:$T$93,GY$244):INDEX($T$19:$T$93,GY$244+$FN264-1)))</f>
        <v>0.98108353603738219</v>
      </c>
      <c r="GZ264" s="469">
        <f ca="1">IF($FN264+GZ$244&gt;73,"",PRODUCT(INDEX($T$19:$T$93,GZ$244):INDEX($T$19:$T$93,GZ$244+$FN264-1)))</f>
        <v>0.9790005853717284</v>
      </c>
      <c r="HA264" s="469">
        <f ca="1">IF($FN264+HA$244&gt;73,"",PRODUCT(INDEX($T$19:$T$93,HA$244):INDEX($T$19:$T$93,HA$244+$FN264-1)))</f>
        <v>0.97669056367132145</v>
      </c>
      <c r="HB264" s="469">
        <f ca="1">IF($FN264+HB$244&gt;73,"",PRODUCT(INDEX($T$19:$T$93,HB$244):INDEX($T$19:$T$93,HB$244+$FN264-1)))</f>
        <v>0.9741292447153822</v>
      </c>
      <c r="HC264" s="469">
        <f ca="1">IF($FN264+HC$244&gt;73,"",PRODUCT(INDEX($T$19:$T$93,HC$244):INDEX($T$19:$T$93,HC$244+$FN264-1)))</f>
        <v>0.97128993891516313</v>
      </c>
      <c r="HD264" s="469">
        <f ca="1">IF($FN264+HD$244&gt;73,"",PRODUCT(INDEX($T$19:$T$93,HD$244):INDEX($T$19:$T$93,HD$244+$FN264-1)))</f>
        <v>0.96814327080770435</v>
      </c>
      <c r="HE264" s="469">
        <f ca="1">IF($FN264+HE$244&gt;73,"",PRODUCT(INDEX($T$19:$T$93,HE$244):INDEX($T$19:$T$93,HE$244+$FN264-1)))</f>
        <v>0.96465694304169314</v>
      </c>
      <c r="HF264" s="469">
        <f ca="1">IF($FN264+HF$244&gt;73,"",PRODUCT(INDEX($T$19:$T$93,HF$244):INDEX($T$19:$T$93,HF$244+$FN264-1)))</f>
        <v>0.96079548772494316</v>
      </c>
      <c r="HG264" s="469">
        <f ca="1">IF($FN264+HG$244&gt;73,"",PRODUCT(INDEX($T$19:$T$93,HG$244):INDEX($T$19:$T$93,HG$244+$FN264-1)))</f>
        <v>0.95652000657287339</v>
      </c>
      <c r="HH264" s="469">
        <f ca="1">IF($FN264+HH$244&gt;73,"",PRODUCT(INDEX($T$19:$T$93,HH$244):INDEX($T$19:$T$93,HH$244+$FN264-1)))</f>
        <v>0.95178790201665842</v>
      </c>
      <c r="HI264" s="469">
        <f ca="1">IF($FN264+HI$244&gt;73,"",PRODUCT(INDEX($T$19:$T$93,HI$244):INDEX($T$19:$T$93,HI$244+$FN264-1)))</f>
        <v>0.94655260232802119</v>
      </c>
      <c r="HJ264" s="469">
        <f ca="1">IF($FN264+HJ$244&gt;73,"",PRODUCT(INDEX($T$19:$T$93,HJ$244):INDEX($T$19:$T$93,HJ$244+$FN264-1)))</f>
        <v>0.94076328492961703</v>
      </c>
      <c r="HK264" s="469">
        <f ca="1">IF($FN264+HK$244&gt;73,"",PRODUCT(INDEX($T$19:$T$93,HK$244):INDEX($T$19:$T$93,HK$244+$FN264-1)))</f>
        <v>0.93436460342544392</v>
      </c>
      <c r="HL264" s="469">
        <f ca="1">IF($FN264+HL$244&gt;73,"",PRODUCT(INDEX($T$19:$T$93,HL$244):INDEX($T$19:$T$93,HL$244+$FN264-1)))</f>
        <v>0.92729642555071123</v>
      </c>
      <c r="HM264" s="469">
        <f ca="1">IF($FN264+HM$244&gt;73,"",PRODUCT(INDEX($T$19:$T$93,HM$244):INDEX($T$19:$T$93,HM$244+$FN264-1)))</f>
        <v>0.91949359125819385</v>
      </c>
      <c r="HN264" s="469">
        <f ca="1">IF($FN264+HN$244&gt;73,"",PRODUCT(INDEX($T$19:$T$93,HN$244):INDEX($T$19:$T$93,HN$244+$FN264-1)))</f>
        <v>0.91088570258973156</v>
      </c>
      <c r="HO264" s="469">
        <f ca="1">IF($FN264+HO$244&gt;73,"",PRODUCT(INDEX($T$19:$T$93,HO$244):INDEX($T$19:$T$93,HO$244+$FN264-1)))</f>
        <v>0.90139695989886226</v>
      </c>
      <c r="HP264" s="469">
        <f ca="1">IF($FN264+HP$244&gt;73,"",PRODUCT(INDEX($T$19:$T$93,HP$244):INDEX($T$19:$T$93,HP$244+$FN264-1)))</f>
        <v>0.89094606247833896</v>
      </c>
      <c r="HQ264" s="469">
        <f ca="1">IF($FN264+HQ$244&gt;73,"",PRODUCT(INDEX($T$19:$T$93,HQ$244):INDEX($T$19:$T$93,HQ$244+$FN264-1)))</f>
        <v>0.87944619580615169</v>
      </c>
      <c r="HR264" s="469">
        <f ca="1">IF($FN264+HR$244&gt;73,"",PRODUCT(INDEX($T$19:$T$93,HR$244):INDEX($T$19:$T$93,HR$244+$FN264-1)))</f>
        <v>0.86680513258055392</v>
      </c>
      <c r="HS264" s="469">
        <f ca="1">IF($FN264+HS$244&gt;73,"",PRODUCT(INDEX($T$19:$T$93,HS$244):INDEX($T$19:$T$93,HS$244+$FN264-1)))</f>
        <v>0.85292548062486306</v>
      </c>
      <c r="HT264" s="469">
        <f ca="1">IF($FN264+HT$244&gt;73,"",PRODUCT(INDEX($T$19:$T$93,HT$244):INDEX($T$19:$T$93,HT$244+$FN264-1)))</f>
        <v>0.83770511780670454</v>
      </c>
      <c r="HU264" s="469">
        <f ca="1">IF($FN264+HU$244&gt;73,"",PRODUCT(INDEX($T$19:$T$93,HU$244):INDEX($T$19:$T$93,HU$244+$FN264-1)))</f>
        <v>0.82103786259357303</v>
      </c>
      <c r="HV264" s="469">
        <f ca="1">IF($FN264+HV$244&gt;73,"",PRODUCT(INDEX($T$19:$T$93,HV$244):INDEX($T$19:$T$93,HV$244+$FN264-1)))</f>
        <v>0.80281443909617634</v>
      </c>
      <c r="HW264" s="469">
        <f ca="1">IF($FN264+HW$244&gt;73,"",PRODUCT(INDEX($T$19:$T$93,HW$244):INDEX($T$19:$T$93,HW$244+$FN264-1)))</f>
        <v>0.78292380787279892</v>
      </c>
      <c r="HX264" s="469">
        <f ca="1">IF($FN264+HX$244&gt;73,"",PRODUCT(INDEX($T$19:$T$93,HX$244):INDEX($T$19:$T$93,HX$244+$FN264-1)))</f>
        <v>0.76125494894045032</v>
      </c>
      <c r="HY264" s="469">
        <f ca="1">IF($FN264+HY$244&gt;73,"",PRODUCT(INDEX($T$19:$T$93,HY$244):INDEX($T$19:$T$93,HY$244+$FN264-1)))</f>
        <v>0.73769920204108674</v>
      </c>
      <c r="HZ264" s="469">
        <f ca="1">IF($FN264+HZ$244&gt;73,"",PRODUCT(INDEX($T$19:$T$93,HZ$244):INDEX($T$19:$T$93,HZ$244+$FN264-1)))</f>
        <v>0.71215329200534472</v>
      </c>
      <c r="IA264" s="469">
        <f ca="1">IF($FN264+IA$244&gt;73,"",PRODUCT(INDEX($T$19:$T$93,IA$244):INDEX($T$19:$T$93,IA$244+$FN264-1)))</f>
        <v>0.68452319476227463</v>
      </c>
      <c r="IB264" s="469">
        <f ca="1">IF($FN264+IB$244&gt;73,"",PRODUCT(INDEX($T$19:$T$93,IB$244):INDEX($T$19:$T$93,IB$244+$FN264-1)))</f>
        <v>0.65472903255213455</v>
      </c>
      <c r="IC264" s="469">
        <f ca="1">IF($FN264+IC$244&gt;73,"",PRODUCT(INDEX($T$19:$T$93,IC$244):INDEX($T$19:$T$93,IC$244+$FN264-1)))</f>
        <v>0.6227112246875468</v>
      </c>
      <c r="ID264" s="469">
        <f ca="1">IF($FN264+ID$244&gt;73,"",PRODUCT(INDEX($T$19:$T$93,ID$244):INDEX($T$19:$T$93,ID$244+$FN264-1)))</f>
        <v>0.58843816025130546</v>
      </c>
      <c r="IE264" s="469">
        <f ca="1">IF($FN264+IE$244&gt;73,"",PRODUCT(INDEX($T$19:$T$93,IE$244):INDEX($T$19:$T$93,IE$244+$FN264-1)))</f>
        <v>0.55191569498562354</v>
      </c>
      <c r="IF264" s="469">
        <f ca="1">IF($FN264+IF$244&gt;73,"",PRODUCT(INDEX($T$19:$T$93,IF$244):INDEX($T$19:$T$93,IF$244+$FN264-1)))</f>
        <v>0.51319879282880287</v>
      </c>
      <c r="IG264" s="469">
        <f ca="1">IF($FN264+IG$244&gt;73,"",PRODUCT(INDEX($T$19:$T$93,IG$244):INDEX($T$19:$T$93,IG$244+$FN264-1)))</f>
        <v>0.47240560762728601</v>
      </c>
      <c r="IH264" s="662">
        <f ca="1">IF($FN264+IH$244&gt;73,"",PRODUCT(INDEX($T$19:$T$93,IH$244):INDEX($T$19:$T$93,IH$244+$FN264-1)))</f>
        <v>0.42973418791341422</v>
      </c>
      <c r="II264" s="242"/>
    </row>
    <row r="265" spans="8:243">
      <c r="I265" s="132"/>
      <c r="J265" s="365"/>
      <c r="K265" s="133"/>
      <c r="L265" s="1"/>
      <c r="M265" s="366"/>
      <c r="P265" s="365"/>
      <c r="S265" s="53"/>
      <c r="T265" s="365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03"/>
      <c r="AM265" s="103"/>
      <c r="AN265" s="103"/>
      <c r="AO265" s="364">
        <v>6.4692400483832693E-2</v>
      </c>
      <c r="AP265" s="31"/>
      <c r="AQ265" s="364">
        <v>5.9525900870434099E-2</v>
      </c>
      <c r="AR265" s="31"/>
      <c r="AS265" s="31"/>
      <c r="AT265" s="31"/>
      <c r="AU265" s="31"/>
      <c r="AV265" s="146"/>
      <c r="AW265" s="103"/>
      <c r="AX265" s="103"/>
      <c r="AY265" s="103"/>
      <c r="AZ265" s="103"/>
      <c r="BA265" s="103"/>
      <c r="BB265" s="103"/>
      <c r="BC265" s="104"/>
      <c r="BD265" s="104"/>
      <c r="BE265" s="104"/>
      <c r="BF265" s="102"/>
      <c r="BG265" s="104"/>
      <c r="BH265" s="104"/>
      <c r="BI265" s="152"/>
      <c r="BJ265" s="103"/>
      <c r="BK265" s="103"/>
      <c r="BL265" s="103"/>
      <c r="BM265" s="103"/>
      <c r="BN265" s="103"/>
      <c r="BO265" s="103"/>
      <c r="BP265" s="103"/>
      <c r="BQ265" s="103"/>
      <c r="BR265" s="103"/>
      <c r="BS265" s="103"/>
      <c r="BT265" s="104"/>
      <c r="BU265" s="104"/>
      <c r="BV265" s="104"/>
      <c r="BW265" s="104"/>
      <c r="BX265" s="104"/>
      <c r="BY265" s="104"/>
      <c r="BZ265" s="104"/>
      <c r="CA265" s="104"/>
      <c r="CB265" s="104"/>
      <c r="CC265" s="104"/>
      <c r="CD265" s="103"/>
      <c r="CE265" s="103"/>
      <c r="CF265" s="103"/>
      <c r="CG265" s="103"/>
      <c r="CH265" s="103"/>
      <c r="CI265" s="103"/>
      <c r="CJ265" s="107"/>
      <c r="CK265" s="1"/>
      <c r="CL265" s="51"/>
      <c r="CM265" s="51"/>
      <c r="CN265" s="51"/>
      <c r="CO265" s="51"/>
      <c r="CP265" s="51"/>
      <c r="CQ265" s="51"/>
      <c r="CR265" s="51"/>
      <c r="CS265" s="51"/>
      <c r="CT265" s="51"/>
      <c r="CU265" s="51"/>
      <c r="CV265" s="51"/>
      <c r="CW265" s="51"/>
      <c r="CX265" s="51"/>
      <c r="CY265" s="51"/>
      <c r="CZ265" s="51"/>
      <c r="DA265" s="51"/>
      <c r="DB265" s="51"/>
      <c r="DC265" s="51"/>
      <c r="DF265" s="465"/>
      <c r="DI265" s="465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3"/>
      <c r="EP265" s="53"/>
      <c r="EQ265" s="1"/>
      <c r="ER265" s="103"/>
      <c r="ES265" s="103"/>
      <c r="ET265" s="1"/>
      <c r="EU265" s="103"/>
      <c r="EV265" s="1"/>
      <c r="EW265" s="1"/>
      <c r="EX265" s="1"/>
      <c r="EY265" s="103"/>
      <c r="FN265" s="657">
        <v>21</v>
      </c>
      <c r="FO265" s="469" t="str">
        <f ca="1">IF($FN265+FO$244&gt;73,"",PRODUCT(INDEX($T$19:$T$93,FO$244):INDEX($T$19:$T$93,FO$244+$FN265-1)))</f>
        <v/>
      </c>
      <c r="FP265" s="469" t="str">
        <f ca="1">IF($FN265+FP$244&gt;73,"",PRODUCT(INDEX($T$19:$T$93,FP$244):INDEX($T$19:$T$93,FP$244+$FN265-1)))</f>
        <v/>
      </c>
      <c r="FQ265" s="469" t="str">
        <f ca="1">IF($FN265+FQ$244&gt;73,"",PRODUCT(INDEX($T$19:$T$93,FQ$244):INDEX($T$19:$T$93,FQ$244+$FN265-1)))</f>
        <v/>
      </c>
      <c r="FR265" s="469" t="str">
        <f ca="1">IF($FN265+FR$244&gt;73,"",PRODUCT(INDEX($T$19:$T$93,FR$244):INDEX($T$19:$T$93,FR$244+$FN265-1)))</f>
        <v/>
      </c>
      <c r="FS265" s="469" t="str">
        <f ca="1">IF($FN265+FS$244&gt;73,"",PRODUCT(INDEX($T$19:$T$93,FS$244):INDEX($T$19:$T$93,FS$244+$FN265-1)))</f>
        <v/>
      </c>
      <c r="FT265" s="469" t="str">
        <f ca="1">IF($FN265+FT$244&gt;73,"",PRODUCT(INDEX($T$19:$T$93,FT$244):INDEX($T$19:$T$93,FT$244+$FN265-1)))</f>
        <v/>
      </c>
      <c r="FU265" s="469" t="str">
        <f ca="1">IF($FN265+FU$244&gt;73,"",PRODUCT(INDEX($T$19:$T$93,FU$244):INDEX($T$19:$T$93,FU$244+$FN265-1)))</f>
        <v/>
      </c>
      <c r="FV265" s="469" t="str">
        <f ca="1">IF($FN265+FV$244&gt;73,"",PRODUCT(INDEX($T$19:$T$93,FV$244):INDEX($T$19:$T$93,FV$244+$FN265-1)))</f>
        <v/>
      </c>
      <c r="FW265" s="469" t="str">
        <f ca="1">IF($FN265+FW$244&gt;73,"",PRODUCT(INDEX($T$19:$T$93,FW$244):INDEX($T$19:$T$93,FW$244+$FN265-1)))</f>
        <v/>
      </c>
      <c r="FX265" s="469" t="str">
        <f ca="1">IF($FN265+FX$244&gt;73,"",PRODUCT(INDEX($T$19:$T$93,FX$244):INDEX($T$19:$T$93,FX$244+$FN265-1)))</f>
        <v/>
      </c>
      <c r="FY265" s="469" t="str">
        <f ca="1">IF($FN265+FY$244&gt;73,"",PRODUCT(INDEX($T$19:$T$93,FY$244):INDEX($T$19:$T$93,FY$244+$FN265-1)))</f>
        <v/>
      </c>
      <c r="FZ265" s="469" t="str">
        <f ca="1">IF($FN265+FZ$244&gt;73,"",PRODUCT(INDEX($T$19:$T$93,FZ$244):INDEX($T$19:$T$93,FZ$244+$FN265-1)))</f>
        <v/>
      </c>
      <c r="GA265" s="469" t="str">
        <f ca="1">IF($FN265+GA$244&gt;73,"",PRODUCT(INDEX($T$19:$T$93,GA$244):INDEX($T$19:$T$93,GA$244+$FN265-1)))</f>
        <v/>
      </c>
      <c r="GB265" s="469" t="str">
        <f ca="1">IF($FN265+GB$244&gt;73,"",PRODUCT(INDEX($T$19:$T$93,GB$244):INDEX($T$19:$T$93,GB$244+$FN265-1)))</f>
        <v/>
      </c>
      <c r="GC265" s="469" t="str">
        <f ca="1">IF($FN265+GC$244&gt;73,"",PRODUCT(INDEX($T$19:$T$93,GC$244):INDEX($T$19:$T$93,GC$244+$FN265-1)))</f>
        <v/>
      </c>
      <c r="GD265" s="469" t="str">
        <f ca="1">IF($FN265+GD$244&gt;73,"",PRODUCT(INDEX($T$19:$T$93,GD$244):INDEX($T$19:$T$93,GD$244+$FN265-1)))</f>
        <v/>
      </c>
      <c r="GE265" s="469" t="str">
        <f ca="1">IF($FN265+GE$244&gt;73,"",PRODUCT(INDEX($T$19:$T$93,GE$244):INDEX($T$19:$T$93,GE$244+$FN265-1)))</f>
        <v/>
      </c>
      <c r="GF265" s="469" t="str">
        <f ca="1">IF($FN265+GF$244&gt;73,"",PRODUCT(INDEX($T$19:$T$93,GF$244):INDEX($T$19:$T$93,GF$244+$FN265-1)))</f>
        <v/>
      </c>
      <c r="GG265" s="469" t="str">
        <f ca="1">IF($FN265+GG$244&gt;73,"",PRODUCT(INDEX($T$19:$T$93,GG$244):INDEX($T$19:$T$93,GG$244+$FN265-1)))</f>
        <v/>
      </c>
      <c r="GH265" s="469" t="str">
        <f ca="1">IF($FN265+GH$244&gt;73,"",PRODUCT(INDEX($T$19:$T$93,GH$244):INDEX($T$19:$T$93,GH$244+$FN265-1)))</f>
        <v/>
      </c>
      <c r="GI265" s="469">
        <f ca="1">IF($FN265+GI$244&gt;73,"",PRODUCT(INDEX($T$19:$T$93,GI$244):INDEX($T$19:$T$93,GI$244+$FN265-1)))</f>
        <v>0.99642265856165413</v>
      </c>
      <c r="GJ265" s="469">
        <f ca="1">IF($FN265+GJ$244&gt;73,"",PRODUCT(INDEX($T$19:$T$93,GJ$244):INDEX($T$19:$T$93,GJ$244+$FN265-1)))</f>
        <v>0.99602585964912971</v>
      </c>
      <c r="GK265" s="469">
        <f ca="1">IF($FN265+GK$244&gt;73,"",PRODUCT(INDEX($T$19:$T$93,GK$244):INDEX($T$19:$T$93,GK$244+$FN265-1)))</f>
        <v>0.99558513174473695</v>
      </c>
      <c r="GL265" s="469">
        <f ca="1">IF($FN265+GL$244&gt;73,"",PRODUCT(INDEX($T$19:$T$93,GL$244):INDEX($T$19:$T$93,GL$244+$FN265-1)))</f>
        <v>0.9950956311405259</v>
      </c>
      <c r="GM265" s="469">
        <f ca="1">IF($FN265+GM$244&gt;73,"",PRODUCT(INDEX($T$19:$T$93,GM$244):INDEX($T$19:$T$93,GM$244+$FN265-1)))</f>
        <v>0.99455198462156602</v>
      </c>
      <c r="GN265" s="469">
        <f ca="1">IF($FN265+GN$244&gt;73,"",PRODUCT(INDEX($T$19:$T$93,GN$244):INDEX($T$19:$T$93,GN$244+$FN265-1)))</f>
        <v>0.9939482326462914</v>
      </c>
      <c r="GO265" s="469">
        <f ca="1">IF($FN265+GO$244&gt;73,"",PRODUCT(INDEX($T$19:$T$93,GO$244):INDEX($T$19:$T$93,GO$244+$FN265-1)))</f>
        <v>0.99327776667842516</v>
      </c>
      <c r="GP265" s="469">
        <f ca="1">IF($FN265+GP$244&gt;73,"",PRODUCT(INDEX($T$19:$T$93,GP$244):INDEX($T$19:$T$93,GP$244+$FN265-1)))</f>
        <v>0.99253326012703869</v>
      </c>
      <c r="GQ265" s="469">
        <f ca="1">IF($FN265+GQ$244&gt;73,"",PRODUCT(INDEX($T$19:$T$93,GQ$244):INDEX($T$19:$T$93,GQ$244+$FN265-1)))</f>
        <v>0.99170659231501834</v>
      </c>
      <c r="GR265" s="469">
        <f ca="1">IF($FN265+GR$244&gt;73,"",PRODUCT(INDEX($T$19:$T$93,GR$244):INDEX($T$19:$T$93,GR$244+$FN265-1)))</f>
        <v>0.99078876486114853</v>
      </c>
      <c r="GS265" s="469">
        <f ca="1">IF($FN265+GS$244&gt;73,"",PRODUCT(INDEX($T$19:$T$93,GS$244):INDEX($T$19:$T$93,GS$244+$FN265-1)))</f>
        <v>0.98976980982860474</v>
      </c>
      <c r="GT265" s="469">
        <f ca="1">IF($FN265+GT$244&gt;73,"",PRODUCT(INDEX($T$19:$T$93,GT$244):INDEX($T$19:$T$93,GT$244+$FN265-1)))</f>
        <v>0.98863868896446094</v>
      </c>
      <c r="GU265" s="469">
        <f ca="1">IF($FN265+GU$244&gt;73,"",PRODUCT(INDEX($T$19:$T$93,GU$244):INDEX($T$19:$T$93,GU$244+$FN265-1)))</f>
        <v>0.98738318333301567</v>
      </c>
      <c r="GV265" s="469">
        <f ca="1">IF($FN265+GV$244&gt;73,"",PRODUCT(INDEX($T$19:$T$93,GV$244):INDEX($T$19:$T$93,GV$244+$FN265-1)))</f>
        <v>0.98598977263306498</v>
      </c>
      <c r="GW265" s="469">
        <f ca="1">IF($FN265+GW$244&gt;73,"",PRODUCT(INDEX($T$19:$T$93,GW$244):INDEX($T$19:$T$93,GW$244+$FN265-1)))</f>
        <v>0.98444350348898491</v>
      </c>
      <c r="GX265" s="469">
        <f ca="1">IF($FN265+GX$244&gt;73,"",PRODUCT(INDEX($T$19:$T$93,GX$244):INDEX($T$19:$T$93,GX$244+$FN265-1)))</f>
        <v>0.98272784602197572</v>
      </c>
      <c r="GY265" s="469">
        <f ca="1">IF($FN265+GY$244&gt;73,"",PRODUCT(INDEX($T$19:$T$93,GY$244):INDEX($T$19:$T$93,GY$244+$FN265-1)))</f>
        <v>0.98082453804613967</v>
      </c>
      <c r="GZ265" s="469">
        <f ca="1">IF($FN265+GZ$244&gt;73,"",PRODUCT(INDEX($T$19:$T$93,GZ$244):INDEX($T$19:$T$93,GZ$244+$FN265-1)))</f>
        <v>0.97871341630069142</v>
      </c>
      <c r="HA265" s="469">
        <f ca="1">IF($FN265+HA$244&gt;73,"",PRODUCT(INDEX($T$19:$T$93,HA$244):INDEX($T$19:$T$93,HA$244+$FN265-1)))</f>
        <v>0.97637223423229091</v>
      </c>
      <c r="HB265" s="469">
        <f ca="1">IF($FN265+HB$244&gt;73,"",PRODUCT(INDEX($T$19:$T$93,HB$244):INDEX($T$19:$T$93,HB$244+$FN265-1)))</f>
        <v>0.97377646598966672</v>
      </c>
      <c r="HC265" s="469">
        <f ca="1">IF($FN265+HC$244&gt;73,"",PRODUCT(INDEX($T$19:$T$93,HC$244):INDEX($T$19:$T$93,HC$244+$FN265-1)))</f>
        <v>0.9708990964978006</v>
      </c>
      <c r="HD265" s="469">
        <f ca="1">IF($FN265+HD$244&gt;73,"",PRODUCT(INDEX($T$19:$T$93,HD$244):INDEX($T$19:$T$93,HD$244+$FN265-1)))</f>
        <v>0.9677103977545225</v>
      </c>
      <c r="HE265" s="469">
        <f ca="1">IF($FN265+HE$244&gt;73,"",PRODUCT(INDEX($T$19:$T$93,HE$244):INDEX($T$19:$T$93,HE$244+$FN265-1)))</f>
        <v>0.96417769185465774</v>
      </c>
      <c r="HF265" s="469">
        <f ca="1">IF($FN265+HF$244&gt;73,"",PRODUCT(INDEX($T$19:$T$93,HF$244):INDEX($T$19:$T$93,HF$244+$FN265-1)))</f>
        <v>0.96026510171511714</v>
      </c>
      <c r="HG265" s="469">
        <f ca="1">IF($FN265+HG$244&gt;73,"",PRODUCT(INDEX($T$19:$T$93,HG$244):INDEX($T$19:$T$93,HG$244+$FN265-1)))</f>
        <v>0.95593329107092861</v>
      </c>
      <c r="HH265" s="469">
        <f ca="1">IF($FN265+HH$244&gt;73,"",PRODUCT(INDEX($T$19:$T$93,HH$244):INDEX($T$19:$T$93,HH$244+$FN265-1)))</f>
        <v>0.95113919606373187</v>
      </c>
      <c r="HI265" s="469">
        <f ca="1">IF($FN265+HI$244&gt;73,"",PRODUCT(INDEX($T$19:$T$93,HI$244):INDEX($T$19:$T$93,HI$244+$FN265-1)))</f>
        <v>0.94583575168116263</v>
      </c>
      <c r="HJ265" s="469">
        <f ca="1">IF($FN265+HJ$244&gt;73,"",PRODUCT(INDEX($T$19:$T$93,HJ$244):INDEX($T$19:$T$93,HJ$244+$FN265-1)))</f>
        <v>0.93997161746338809</v>
      </c>
      <c r="HK265" s="469">
        <f ca="1">IF($FN265+HK$244&gt;73,"",PRODUCT(INDEX($T$19:$T$93,HK$244):INDEX($T$19:$T$93,HK$244+$FN265-1)))</f>
        <v>0.93349090831259818</v>
      </c>
      <c r="HL265" s="469">
        <f ca="1">IF($FN265+HL$244&gt;73,"",PRODUCT(INDEX($T$19:$T$93,HL$244):INDEX($T$19:$T$93,HL$244+$FN265-1)))</f>
        <v>0.92633293796932226</v>
      </c>
      <c r="HM265" s="469">
        <f ca="1">IF($FN265+HM$244&gt;73,"",PRODUCT(INDEX($T$19:$T$93,HM$244):INDEX($T$19:$T$93,HM$244+$FN265-1)))</f>
        <v>0.918431984809844</v>
      </c>
      <c r="HN265" s="469">
        <f ca="1">IF($FN265+HN$244&gt;73,"",PRODUCT(INDEX($T$19:$T$93,HN$244):INDEX($T$19:$T$93,HN$244+$FN265-1)))</f>
        <v>0.90971709213351881</v>
      </c>
      <c r="HO265" s="469">
        <f ca="1">IF($FN265+HO$244&gt;73,"",PRODUCT(INDEX($T$19:$T$93,HO$244):INDEX($T$19:$T$93,HO$244+$FN265-1)))</f>
        <v>0.90011191811899049</v>
      </c>
      <c r="HP265" s="469">
        <f ca="1">IF($FN265+HP$244&gt;73,"",PRODUCT(INDEX($T$19:$T$93,HP$244):INDEX($T$19:$T$93,HP$244+$FN265-1)))</f>
        <v>0.88953465421789701</v>
      </c>
      <c r="HQ265" s="469">
        <f ca="1">IF($FN265+HQ$244&gt;73,"",PRODUCT(INDEX($T$19:$T$93,HQ$244):INDEX($T$19:$T$93,HQ$244+$FN265-1)))</f>
        <v>0.8778980350230452</v>
      </c>
      <c r="HR265" s="469">
        <f ca="1">IF($FN265+HR$244&gt;73,"",PRODUCT(INDEX($T$19:$T$93,HR$244):INDEX($T$19:$T$93,HR$244+$FN265-1)))</f>
        <v>0.86510946771592589</v>
      </c>
      <c r="HS265" s="469">
        <f ca="1">IF($FN265+HS$244&gt;73,"",PRODUCT(INDEX($T$19:$T$93,HS$244):INDEX($T$19:$T$93,HS$244+$FN265-1)))</f>
        <v>0.85107131521518187</v>
      </c>
      <c r="HT265" s="469">
        <f ca="1">IF($FN265+HT$244&gt;73,"",PRODUCT(INDEX($T$19:$T$93,HT$244):INDEX($T$19:$T$93,HT$244+$FN265-1)))</f>
        <v>0.83568137430239553</v>
      </c>
      <c r="HU265" s="469">
        <f ca="1">IF($FN265+HU$244&gt;73,"",PRODUCT(INDEX($T$19:$T$93,HU$244):INDEX($T$19:$T$93,HU$244+$FN265-1)))</f>
        <v>0.8188335985370303</v>
      </c>
      <c r="HV265" s="469">
        <f ca="1">IF($FN265+HV$244&gt;73,"",PRODUCT(INDEX($T$19:$T$93,HV$244):INDEX($T$19:$T$93,HV$244+$FN265-1)))</f>
        <v>0.80041912600235932</v>
      </c>
      <c r="HW265" s="469">
        <f ca="1">IF($FN265+HW$244&gt;73,"",PRODUCT(INDEX($T$19:$T$93,HW$244):INDEX($T$19:$T$93,HW$244+$FN265-1)))</f>
        <v>0.78032768425139898</v>
      </c>
      <c r="HX265" s="469">
        <f ca="1">IF($FN265+HX$244&gt;73,"",PRODUCT(INDEX($T$19:$T$93,HX$244):INDEX($T$19:$T$93,HX$244+$FN265-1)))</f>
        <v>0.75844945975097355</v>
      </c>
      <c r="HY265" s="469">
        <f ca="1">IF($FN265+HY$244&gt;73,"",PRODUCT(INDEX($T$19:$T$93,HY$244):INDEX($T$19:$T$93,HY$244+$FN265-1)))</f>
        <v>0.73467753725499307</v>
      </c>
      <c r="HZ265" s="469">
        <f ca="1">IF($FN265+HZ$244&gt;73,"",PRODUCT(INDEX($T$19:$T$93,HZ$244):INDEX($T$19:$T$93,HZ$244+$FN265-1)))</f>
        <v>0.7089110365265997</v>
      </c>
      <c r="IA265" s="469">
        <f ca="1">IF($FN265+IA$244&gt;73,"",PRODUCT(INDEX($T$19:$T$93,IA$244):INDEX($T$19:$T$93,IA$244+$FN265-1)))</f>
        <v>0.68105910023884009</v>
      </c>
      <c r="IB265" s="469">
        <f ca="1">IF($FN265+IB$244&gt;73,"",PRODUCT(INDEX($T$19:$T$93,IB$244):INDEX($T$19:$T$93,IB$244+$FN265-1)))</f>
        <v>0.65104591789192068</v>
      </c>
      <c r="IC265" s="469">
        <f ca="1">IF($FN265+IC$244&gt;73,"",PRODUCT(INDEX($T$19:$T$93,IC$244):INDEX($T$19:$T$93,IC$244+$FN265-1)))</f>
        <v>0.61881700537977058</v>
      </c>
      <c r="ID265" s="469">
        <f ca="1">IF($FN265+ID$244&gt;73,"",PRODUCT(INDEX($T$19:$T$93,ID$244):INDEX($T$19:$T$93,ID$244+$FN265-1)))</f>
        <v>0.58434699551639036</v>
      </c>
      <c r="IE265" s="469">
        <f ca="1">IF($FN265+IE$244&gt;73,"",PRODUCT(INDEX($T$19:$T$93,IE$244):INDEX($T$19:$T$93,IE$244+$FN265-1)))</f>
        <v>0.54764922449397446</v>
      </c>
      <c r="IF265" s="469">
        <f ca="1">IF($FN265+IF$244&gt;73,"",PRODUCT(INDEX($T$19:$T$93,IF$244):INDEX($T$19:$T$93,IF$244+$FN265-1)))</f>
        <v>0.50878740887721108</v>
      </c>
      <c r="IG265" s="469">
        <f ca="1">IF($FN265+IG$244&gt;73,"",PRODUCT(INDEX($T$19:$T$93,IG$244):INDEX($T$19:$T$93,IG$244+$FN265-1)))</f>
        <v>0.46788967140766952</v>
      </c>
      <c r="IH265" s="662">
        <f ca="1">IF($FN265+IH$244&gt;73,"",PRODUCT(INDEX($T$19:$T$93,IH$244):INDEX($T$19:$T$93,IH$244+$FN265-1)))</f>
        <v>0.42516504686455747</v>
      </c>
      <c r="II265" s="242"/>
    </row>
    <row r="266" spans="8:243">
      <c r="I266" s="132"/>
      <c r="J266" s="365"/>
      <c r="K266" s="133"/>
      <c r="L266" s="1"/>
      <c r="M266" s="366"/>
      <c r="P266" s="365"/>
      <c r="S266" s="53"/>
      <c r="T266" s="365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03"/>
      <c r="AM266" s="103"/>
      <c r="AN266" s="103"/>
      <c r="AO266" s="364">
        <v>6.4703048258600807E-2</v>
      </c>
      <c r="AP266" s="31"/>
      <c r="AQ266" s="364">
        <v>5.9486669900921101E-2</v>
      </c>
      <c r="AR266" s="31"/>
      <c r="AS266" s="31"/>
      <c r="AT266" s="31"/>
      <c r="AU266" s="31"/>
      <c r="AV266" s="146"/>
      <c r="AW266" s="103"/>
      <c r="AX266" s="103"/>
      <c r="AY266" s="103"/>
      <c r="AZ266" s="103"/>
      <c r="BA266" s="103"/>
      <c r="BB266" s="103"/>
      <c r="BC266" s="104"/>
      <c r="BD266" s="104"/>
      <c r="BE266" s="104"/>
      <c r="BF266" s="102"/>
      <c r="BG266" s="104"/>
      <c r="BH266" s="104"/>
      <c r="BI266" s="152"/>
      <c r="BJ266" s="103"/>
      <c r="BK266" s="103"/>
      <c r="BL266" s="103"/>
      <c r="BM266" s="103"/>
      <c r="BN266" s="103"/>
      <c r="BO266" s="103"/>
      <c r="BP266" s="103"/>
      <c r="BQ266" s="103"/>
      <c r="BR266" s="103"/>
      <c r="BS266" s="103"/>
      <c r="BT266" s="104"/>
      <c r="BU266" s="104"/>
      <c r="BV266" s="104"/>
      <c r="BW266" s="104"/>
      <c r="BX266" s="104"/>
      <c r="BY266" s="104"/>
      <c r="BZ266" s="104"/>
      <c r="CA266" s="104"/>
      <c r="CB266" s="104"/>
      <c r="CC266" s="104"/>
      <c r="CD266" s="103"/>
      <c r="CE266" s="103"/>
      <c r="CF266" s="103"/>
      <c r="CG266" s="103"/>
      <c r="CH266" s="103"/>
      <c r="CI266" s="103"/>
      <c r="CJ266" s="107"/>
      <c r="CK266" s="1"/>
      <c r="CL266" s="51"/>
      <c r="CM266" s="51"/>
      <c r="CN266" s="51"/>
      <c r="CO266" s="51"/>
      <c r="CP266" s="51"/>
      <c r="CQ266" s="51"/>
      <c r="CR266" s="51"/>
      <c r="CS266" s="51"/>
      <c r="CT266" s="51"/>
      <c r="CU266" s="51"/>
      <c r="CV266" s="51"/>
      <c r="CW266" s="51"/>
      <c r="CX266" s="51"/>
      <c r="CY266" s="51"/>
      <c r="CZ266" s="51"/>
      <c r="DA266" s="51"/>
      <c r="DB266" s="51"/>
      <c r="DC266" s="51"/>
      <c r="DF266" s="465"/>
      <c r="DI266" s="465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3"/>
      <c r="EP266" s="53"/>
      <c r="EQ266" s="1"/>
      <c r="ER266" s="103"/>
      <c r="ES266" s="103"/>
      <c r="ET266" s="1"/>
      <c r="EU266" s="103"/>
      <c r="EV266" s="1"/>
      <c r="EW266" s="1"/>
      <c r="EX266" s="1"/>
      <c r="EY266" s="103"/>
      <c r="FN266" s="657">
        <v>22</v>
      </c>
      <c r="FO266" s="469" t="str">
        <f ca="1">IF($FN266+FO$244&gt;73,"",PRODUCT(INDEX($T$19:$T$93,FO$244):INDEX($T$19:$T$93,FO$244+$FN266-1)))</f>
        <v/>
      </c>
      <c r="FP266" s="469" t="str">
        <f ca="1">IF($FN266+FP$244&gt;73,"",PRODUCT(INDEX($T$19:$T$93,FP$244):INDEX($T$19:$T$93,FP$244+$FN266-1)))</f>
        <v/>
      </c>
      <c r="FQ266" s="469" t="str">
        <f ca="1">IF($FN266+FQ$244&gt;73,"",PRODUCT(INDEX($T$19:$T$93,FQ$244):INDEX($T$19:$T$93,FQ$244+$FN266-1)))</f>
        <v/>
      </c>
      <c r="FR266" s="469" t="str">
        <f ca="1">IF($FN266+FR$244&gt;73,"",PRODUCT(INDEX($T$19:$T$93,FR$244):INDEX($T$19:$T$93,FR$244+$FN266-1)))</f>
        <v/>
      </c>
      <c r="FS266" s="469" t="str">
        <f ca="1">IF($FN266+FS$244&gt;73,"",PRODUCT(INDEX($T$19:$T$93,FS$244):INDEX($T$19:$T$93,FS$244+$FN266-1)))</f>
        <v/>
      </c>
      <c r="FT266" s="469" t="str">
        <f ca="1">IF($FN266+FT$244&gt;73,"",PRODUCT(INDEX($T$19:$T$93,FT$244):INDEX($T$19:$T$93,FT$244+$FN266-1)))</f>
        <v/>
      </c>
      <c r="FU266" s="469" t="str">
        <f ca="1">IF($FN266+FU$244&gt;73,"",PRODUCT(INDEX($T$19:$T$93,FU$244):INDEX($T$19:$T$93,FU$244+$FN266-1)))</f>
        <v/>
      </c>
      <c r="FV266" s="469" t="str">
        <f ca="1">IF($FN266+FV$244&gt;73,"",PRODUCT(INDEX($T$19:$T$93,FV$244):INDEX($T$19:$T$93,FV$244+$FN266-1)))</f>
        <v/>
      </c>
      <c r="FW266" s="469" t="str">
        <f ca="1">IF($FN266+FW$244&gt;73,"",PRODUCT(INDEX($T$19:$T$93,FW$244):INDEX($T$19:$T$93,FW$244+$FN266-1)))</f>
        <v/>
      </c>
      <c r="FX266" s="469" t="str">
        <f ca="1">IF($FN266+FX$244&gt;73,"",PRODUCT(INDEX($T$19:$T$93,FX$244):INDEX($T$19:$T$93,FX$244+$FN266-1)))</f>
        <v/>
      </c>
      <c r="FY266" s="469" t="str">
        <f ca="1">IF($FN266+FY$244&gt;73,"",PRODUCT(INDEX($T$19:$T$93,FY$244):INDEX($T$19:$T$93,FY$244+$FN266-1)))</f>
        <v/>
      </c>
      <c r="FZ266" s="469" t="str">
        <f ca="1">IF($FN266+FZ$244&gt;73,"",PRODUCT(INDEX($T$19:$T$93,FZ$244):INDEX($T$19:$T$93,FZ$244+$FN266-1)))</f>
        <v/>
      </c>
      <c r="GA266" s="469" t="str">
        <f ca="1">IF($FN266+GA$244&gt;73,"",PRODUCT(INDEX($T$19:$T$93,GA$244):INDEX($T$19:$T$93,GA$244+$FN266-1)))</f>
        <v/>
      </c>
      <c r="GB266" s="469" t="str">
        <f ca="1">IF($FN266+GB$244&gt;73,"",PRODUCT(INDEX($T$19:$T$93,GB$244):INDEX($T$19:$T$93,GB$244+$FN266-1)))</f>
        <v/>
      </c>
      <c r="GC266" s="469" t="str">
        <f ca="1">IF($FN266+GC$244&gt;73,"",PRODUCT(INDEX($T$19:$T$93,GC$244):INDEX($T$19:$T$93,GC$244+$FN266-1)))</f>
        <v/>
      </c>
      <c r="GD266" s="469" t="str">
        <f ca="1">IF($FN266+GD$244&gt;73,"",PRODUCT(INDEX($T$19:$T$93,GD$244):INDEX($T$19:$T$93,GD$244+$FN266-1)))</f>
        <v/>
      </c>
      <c r="GE266" s="469" t="str">
        <f ca="1">IF($FN266+GE$244&gt;73,"",PRODUCT(INDEX($T$19:$T$93,GE$244):INDEX($T$19:$T$93,GE$244+$FN266-1)))</f>
        <v/>
      </c>
      <c r="GF266" s="469" t="str">
        <f ca="1">IF($FN266+GF$244&gt;73,"",PRODUCT(INDEX($T$19:$T$93,GF$244):INDEX($T$19:$T$93,GF$244+$FN266-1)))</f>
        <v/>
      </c>
      <c r="GG266" s="469" t="str">
        <f ca="1">IF($FN266+GG$244&gt;73,"",PRODUCT(INDEX($T$19:$T$93,GG$244):INDEX($T$19:$T$93,GG$244+$FN266-1)))</f>
        <v/>
      </c>
      <c r="GH266" s="469" t="str">
        <f ca="1">IF($FN266+GH$244&gt;73,"",PRODUCT(INDEX($T$19:$T$93,GH$244):INDEX($T$19:$T$93,GH$244+$FN266-1)))</f>
        <v/>
      </c>
      <c r="GI266" s="469" t="str">
        <f ca="1">IF($FN266+GI$244&gt;73,"",PRODUCT(INDEX($T$19:$T$93,GI$244):INDEX($T$19:$T$93,GI$244+$FN266-1)))</f>
        <v/>
      </c>
      <c r="GJ266" s="469">
        <f ca="1">IF($FN266+GJ$244&gt;73,"",PRODUCT(INDEX($T$19:$T$93,GJ$244):INDEX($T$19:$T$93,GJ$244+$FN266-1)))</f>
        <v>0.99597714132109993</v>
      </c>
      <c r="GK266" s="469">
        <f ca="1">IF($FN266+GK$244&gt;73,"",PRODUCT(INDEX($T$19:$T$93,GK$244):INDEX($T$19:$T$93,GK$244+$FN266-1)))</f>
        <v>0.99553102407157257</v>
      </c>
      <c r="GL266" s="469">
        <f ca="1">IF($FN266+GL$244&gt;73,"",PRODUCT(INDEX($T$19:$T$93,GL$244):INDEX($T$19:$T$93,GL$244+$FN266-1)))</f>
        <v>0.99503554087736212</v>
      </c>
      <c r="GM266" s="469">
        <f ca="1">IF($FN266+GM$244&gt;73,"",PRODUCT(INDEX($T$19:$T$93,GM$244):INDEX($T$19:$T$93,GM$244+$FN266-1)))</f>
        <v>0.99448525390984033</v>
      </c>
      <c r="GN266" s="469">
        <f ca="1">IF($FN266+GN$244&gt;73,"",PRODUCT(INDEX($T$19:$T$93,GN$244):INDEX($T$19:$T$93,GN$244+$FN266-1)))</f>
        <v>0.99387413213830555</v>
      </c>
      <c r="GO266" s="469">
        <f ca="1">IF($FN266+GO$244&gt;73,"",PRODUCT(INDEX($T$19:$T$93,GO$244):INDEX($T$19:$T$93,GO$244+$FN266-1)))</f>
        <v>0.99319548796864343</v>
      </c>
      <c r="GP266" s="469">
        <f ca="1">IF($FN266+GP$244&gt;73,"",PRODUCT(INDEX($T$19:$T$93,GP$244):INDEX($T$19:$T$93,GP$244+$FN266-1)))</f>
        <v>0.99244190742944649</v>
      </c>
      <c r="GQ266" s="469">
        <f ca="1">IF($FN266+GQ$244&gt;73,"",PRODUCT(INDEX($T$19:$T$93,GQ$244):INDEX($T$19:$T$93,GQ$244+$FN266-1)))</f>
        <v>0.99160517332288234</v>
      </c>
      <c r="GR266" s="469">
        <f ca="1">IF($FN266+GR$244&gt;73,"",PRODUCT(INDEX($T$19:$T$93,GR$244):INDEX($T$19:$T$93,GR$244+$FN266-1)))</f>
        <v>0.9906761807230513</v>
      </c>
      <c r="GS266" s="469">
        <f ca="1">IF($FN266+GS$244&gt;73,"",PRODUCT(INDEX($T$19:$T$93,GS$244):INDEX($T$19:$T$93,GS$244+$FN266-1)))</f>
        <v>0.98964484417292475</v>
      </c>
      <c r="GT266" s="469">
        <f ca="1">IF($FN266+GT$244&gt;73,"",PRODUCT(INDEX($T$19:$T$93,GT$244):INDEX($T$19:$T$93,GT$244+$FN266-1)))</f>
        <v>0.9884999959038494</v>
      </c>
      <c r="GU266" s="469">
        <f ca="1">IF($FN266+GU$244&gt;73,"",PRODUCT(INDEX($T$19:$T$93,GU$244):INDEX($T$19:$T$93,GU$244+$FN266-1)))</f>
        <v>0.98722927438127905</v>
      </c>
      <c r="GV266" s="469">
        <f ca="1">IF($FN266+GV$244&gt;73,"",PRODUCT(INDEX($T$19:$T$93,GV$244):INDEX($T$19:$T$93,GV$244+$FN266-1)))</f>
        <v>0.985819002469697</v>
      </c>
      <c r="GW266" s="469">
        <f ca="1">IF($FN266+GW$244&gt;73,"",PRODUCT(INDEX($T$19:$T$93,GW$244):INDEX($T$19:$T$93,GW$244+$FN266-1)))</f>
        <v>0.98425405451203174</v>
      </c>
      <c r="GX266" s="469">
        <f ca="1">IF($FN266+GX$244&gt;73,"",PRODUCT(INDEX($T$19:$T$93,GX$244):INDEX($T$19:$T$93,GX$244+$FN266-1)))</f>
        <v>0.98251771163873602</v>
      </c>
      <c r="GY266" s="469">
        <f ca="1">IF($FN266+GY$244&gt;73,"",PRODUCT(INDEX($T$19:$T$93,GY$244):INDEX($T$19:$T$93,GY$244+$FN266-1)))</f>
        <v>0.98059150466435874</v>
      </c>
      <c r="GZ266" s="469">
        <f ca="1">IF($FN266+GZ$244&gt;73,"",PRODUCT(INDEX($T$19:$T$93,GZ$244):INDEX($T$19:$T$93,GZ$244+$FN266-1)))</f>
        <v>0.97845504400158234</v>
      </c>
      <c r="HA266" s="469">
        <f ca="1">IF($FN266+HA$244&gt;73,"",PRODUCT(INDEX($T$19:$T$93,HA$244):INDEX($T$19:$T$93,HA$244+$FN266-1)))</f>
        <v>0.97608583613235078</v>
      </c>
      <c r="HB266" s="469">
        <f ca="1">IF($FN266+HB$244&gt;73,"",PRODUCT(INDEX($T$19:$T$93,HB$244):INDEX($T$19:$T$93,HB$244+$FN266-1)))</f>
        <v>0.97345908633259859</v>
      </c>
      <c r="HC266" s="469">
        <f ca="1">IF($FN266+HC$244&gt;73,"",PRODUCT(INDEX($T$19:$T$93,HC$244):INDEX($T$19:$T$93,HC$244+$FN266-1)))</f>
        <v>0.97054748756303255</v>
      </c>
      <c r="HD266" s="469">
        <f ca="1">IF($FN266+HD$244&gt;73,"",PRODUCT(INDEX($T$19:$T$93,HD$244):INDEX($T$19:$T$93,HD$244+$FN266-1)))</f>
        <v>0.96732099572737118</v>
      </c>
      <c r="HE266" s="469">
        <f ca="1">IF($FN266+HE$244&gt;73,"",PRODUCT(INDEX($T$19:$T$93,HE$244):INDEX($T$19:$T$93,HE$244+$FN266-1)))</f>
        <v>0.96374659187816891</v>
      </c>
      <c r="HF266" s="469">
        <f ca="1">IF($FN266+HF$244&gt;73,"",PRODUCT(INDEX($T$19:$T$93,HF$244):INDEX($T$19:$T$93,HF$244+$FN266-1)))</f>
        <v>0.95978803243863986</v>
      </c>
      <c r="HG266" s="469">
        <f ca="1">IF($FN266+HG$244&gt;73,"",PRODUCT(INDEX($T$19:$T$93,HG$244):INDEX($T$19:$T$93,HG$244+$FN266-1)))</f>
        <v>0.95540558912978868</v>
      </c>
      <c r="HH266" s="469">
        <f ca="1">IF($FN266+HH$244&gt;73,"",PRODUCT(INDEX($T$19:$T$93,HH$244):INDEX($T$19:$T$93,HH$244+$FN266-1)))</f>
        <v>0.9505557810729286</v>
      </c>
      <c r="HI266" s="469">
        <f ca="1">IF($FN266+HI$244&gt;73,"",PRODUCT(INDEX($T$19:$T$93,HI$244):INDEX($T$19:$T$93,HI$244+$FN266-1)))</f>
        <v>0.94519110250952865</v>
      </c>
      <c r="HJ266" s="469">
        <f ca="1">IF($FN266+HJ$244&gt;73,"",PRODUCT(INDEX($T$19:$T$93,HJ$244):INDEX($T$19:$T$93,HJ$244+$FN266-1)))</f>
        <v>0.9392597507796453</v>
      </c>
      <c r="HK266" s="469">
        <f ca="1">IF($FN266+HK$244&gt;73,"",PRODUCT(INDEX($T$19:$T$93,HK$244):INDEX($T$19:$T$93,HK$244+$FN266-1)))</f>
        <v>0.93270536066849885</v>
      </c>
      <c r="HL266" s="469">
        <f ca="1">IF($FN266+HL$244&gt;73,"",PRODUCT(INDEX($T$19:$T$93,HL$244):INDEX($T$19:$T$93,HL$244+$FN266-1)))</f>
        <v>0.92546675301560632</v>
      </c>
      <c r="HM266" s="469">
        <f ca="1">IF($FN266+HM$244&gt;73,"",PRODUCT(INDEX($T$19:$T$93,HM$244):INDEX($T$19:$T$93,HM$244+$FN266-1)))</f>
        <v>0.91747770763662051</v>
      </c>
      <c r="HN266" s="469">
        <f ca="1">IF($FN266+HN$244&gt;73,"",PRODUCT(INDEX($T$19:$T$93,HN$244):INDEX($T$19:$T$93,HN$244+$FN266-1)))</f>
        <v>0.90866677319669897</v>
      </c>
      <c r="HO266" s="469">
        <f ca="1">IF($FN266+HO$244&gt;73,"",PRODUCT(INDEX($T$19:$T$93,HO$244):INDEX($T$19:$T$93,HO$244+$FN266-1)))</f>
        <v>0.89895712976707653</v>
      </c>
      <c r="HP266" s="469">
        <f ca="1">IF($FN266+HP$244&gt;73,"",PRODUCT(INDEX($T$19:$T$93,HP$244):INDEX($T$19:$T$93,HP$244+$FN266-1)))</f>
        <v>0.88826652347620683</v>
      </c>
      <c r="HQ266" s="469">
        <f ca="1">IF($FN266+HQ$244&gt;73,"",PRODUCT(INDEX($T$19:$T$93,HQ$244):INDEX($T$19:$T$93,HQ$244+$FN266-1)))</f>
        <v>0.87650729703043251</v>
      </c>
      <c r="HR266" s="469">
        <f ca="1">IF($FN266+HR$244&gt;73,"",PRODUCT(INDEX($T$19:$T$93,HR$244):INDEX($T$19:$T$93,HR$244+$FN266-1)))</f>
        <v>0.86358654504322707</v>
      </c>
      <c r="HS266" s="469">
        <f ca="1">IF($FN266+HS$244&gt;73,"",PRODUCT(INDEX($T$19:$T$93,HS$244):INDEX($T$19:$T$93,HS$244+$FN266-1)))</f>
        <v>0.84940642921917164</v>
      </c>
      <c r="HT266" s="469">
        <f ca="1">IF($FN266+HT$244&gt;73,"",PRODUCT(INDEX($T$19:$T$93,HT$244):INDEX($T$19:$T$93,HT$244+$FN266-1)))</f>
        <v>0.83386469566757371</v>
      </c>
      <c r="HU266" s="469">
        <f ca="1">IF($FN266+HU$244&gt;73,"",PRODUCT(INDEX($T$19:$T$93,HU$244):INDEX($T$19:$T$93,HU$244+$FN266-1)))</f>
        <v>0.81685544519771691</v>
      </c>
      <c r="HV266" s="469">
        <f ca="1">IF($FN266+HV$244&gt;73,"",PRODUCT(INDEX($T$19:$T$93,HV$244):INDEX($T$19:$T$93,HV$244+$FN266-1)))</f>
        <v>0.7982702176632932</v>
      </c>
      <c r="HW266" s="469">
        <f ca="1">IF($FN266+HW$244&gt;73,"",PRODUCT(INDEX($T$19:$T$93,HW$244):INDEX($T$19:$T$93,HW$244+$FN266-1)))</f>
        <v>0.77799946364582584</v>
      </c>
      <c r="HX266" s="469">
        <f ca="1">IF($FN266+HX$244&gt;73,"",PRODUCT(INDEX($T$19:$T$93,HX$244):INDEX($T$19:$T$93,HX$244+$FN266-1)))</f>
        <v>0.75593449145099645</v>
      </c>
      <c r="HY266" s="469">
        <f ca="1">IF($FN266+HY$244&gt;73,"",PRODUCT(INDEX($T$19:$T$93,HY$244):INDEX($T$19:$T$93,HY$244+$FN266-1)))</f>
        <v>0.73196999506904192</v>
      </c>
      <c r="HZ266" s="469">
        <f ca="1">IF($FN266+HZ$244&gt;73,"",PRODUCT(INDEX($T$19:$T$93,HZ$244):INDEX($T$19:$T$93,HZ$244+$FN266-1)))</f>
        <v>0.70600728997296536</v>
      </c>
      <c r="IA266" s="469">
        <f ca="1">IF($FN266+IA$244&gt;73,"",PRODUCT(INDEX($T$19:$T$93,IA$244):INDEX($T$19:$T$93,IA$244+$FN266-1)))</f>
        <v>0.67795840882325931</v>
      </c>
      <c r="IB266" s="469">
        <f ca="1">IF($FN266+IB$244&gt;73,"",PRODUCT(INDEX($T$19:$T$93,IB$244):INDEX($T$19:$T$93,IB$244+$FN266-1)))</f>
        <v>0.64775123830190762</v>
      </c>
      <c r="IC266" s="469">
        <f ca="1">IF($FN266+IC$244&gt;73,"",PRODUCT(INDEX($T$19:$T$93,IC$244):INDEX($T$19:$T$93,IC$244+$FN266-1)))</f>
        <v>0.61533591034474577</v>
      </c>
      <c r="ID266" s="469">
        <f ca="1">IF($FN266+ID$244&gt;73,"",PRODUCT(INDEX($T$19:$T$93,ID$244):INDEX($T$19:$T$93,ID$244+$FN266-1)))</f>
        <v>0.58069269274784341</v>
      </c>
      <c r="IE266" s="469">
        <f ca="1">IF($FN266+IE$244&gt;73,"",PRODUCT(INDEX($T$19:$T$93,IE$244):INDEX($T$19:$T$93,IE$244+$FN266-1)))</f>
        <v>0.54384164819165504</v>
      </c>
      <c r="IF266" s="469">
        <f ca="1">IF($FN266+IF$244&gt;73,"",PRODUCT(INDEX($T$19:$T$93,IF$244):INDEX($T$19:$T$93,IF$244+$FN266-1)))</f>
        <v>0.50485433270956603</v>
      </c>
      <c r="IG266" s="469">
        <f ca="1">IF($FN266+IG$244&gt;73,"",PRODUCT(INDEX($T$19:$T$93,IG$244):INDEX($T$19:$T$93,IG$244+$FN266-1)))</f>
        <v>0.46386775823015369</v>
      </c>
      <c r="IH266" s="662">
        <f ca="1">IF($FN266+IH$244&gt;73,"",PRODUCT(INDEX($T$19:$T$93,IH$244):INDEX($T$19:$T$93,IH$244+$FN266-1)))</f>
        <v>0.42110070426690266</v>
      </c>
      <c r="II266" s="242"/>
    </row>
    <row r="267" spans="8:243">
      <c r="I267" s="132"/>
      <c r="J267" s="365"/>
      <c r="K267" s="133"/>
      <c r="L267" s="1"/>
      <c r="M267" s="366"/>
      <c r="P267" s="365"/>
      <c r="S267" s="53"/>
      <c r="T267" s="365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03"/>
      <c r="AM267" s="103"/>
      <c r="AN267" s="103"/>
      <c r="AO267" s="364">
        <v>6.4713352556799997E-2</v>
      </c>
      <c r="AP267" s="31"/>
      <c r="AQ267" s="364">
        <v>5.94487044567815E-2</v>
      </c>
      <c r="AR267" s="31"/>
      <c r="AS267" s="31"/>
      <c r="AT267" s="31"/>
      <c r="AU267" s="31"/>
      <c r="AV267" s="146"/>
      <c r="AW267" s="103"/>
      <c r="AX267" s="103"/>
      <c r="AY267" s="103"/>
      <c r="AZ267" s="103"/>
      <c r="BA267" s="103"/>
      <c r="BB267" s="103"/>
      <c r="BC267" s="104"/>
      <c r="BD267" s="104"/>
      <c r="BE267" s="104"/>
      <c r="BF267" s="102"/>
      <c r="BG267" s="104"/>
      <c r="BH267" s="104"/>
      <c r="BI267" s="152"/>
      <c r="BJ267" s="103"/>
      <c r="BK267" s="103"/>
      <c r="BL267" s="103"/>
      <c r="BM267" s="103"/>
      <c r="BN267" s="103"/>
      <c r="BO267" s="103"/>
      <c r="BP267" s="103"/>
      <c r="BQ267" s="103"/>
      <c r="BR267" s="103"/>
      <c r="BS267" s="103"/>
      <c r="BT267" s="104"/>
      <c r="BU267" s="104"/>
      <c r="BV267" s="104"/>
      <c r="BW267" s="104"/>
      <c r="BX267" s="104"/>
      <c r="BY267" s="104"/>
      <c r="BZ267" s="104"/>
      <c r="CA267" s="104"/>
      <c r="CB267" s="104"/>
      <c r="CC267" s="104"/>
      <c r="CD267" s="103"/>
      <c r="CE267" s="103"/>
      <c r="CF267" s="103"/>
      <c r="CG267" s="103"/>
      <c r="CH267" s="103"/>
      <c r="CI267" s="103"/>
      <c r="CJ267" s="107"/>
      <c r="CK267" s="1"/>
      <c r="CL267" s="51"/>
      <c r="CM267" s="51"/>
      <c r="CN267" s="51"/>
      <c r="CO267" s="51"/>
      <c r="CP267" s="51"/>
      <c r="CQ267" s="51"/>
      <c r="CR267" s="51"/>
      <c r="CS267" s="51"/>
      <c r="CT267" s="51"/>
      <c r="CU267" s="51"/>
      <c r="CV267" s="51"/>
      <c r="CW267" s="51"/>
      <c r="CX267" s="51"/>
      <c r="CY267" s="51"/>
      <c r="CZ267" s="51"/>
      <c r="DA267" s="51"/>
      <c r="DB267" s="51"/>
      <c r="DC267" s="51"/>
      <c r="DF267" s="465"/>
      <c r="DI267" s="465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3"/>
      <c r="EP267" s="53"/>
      <c r="EQ267" s="1"/>
      <c r="ER267" s="103"/>
      <c r="ES267" s="103"/>
      <c r="ET267" s="1"/>
      <c r="EU267" s="103"/>
      <c r="EV267" s="1"/>
      <c r="EW267" s="1"/>
      <c r="EX267" s="1"/>
      <c r="EY267" s="103"/>
      <c r="FN267" s="657">
        <v>23</v>
      </c>
      <c r="FO267" s="469" t="str">
        <f ca="1">IF($FN267+FO$244&gt;73,"",PRODUCT(INDEX($T$19:$T$93,FO$244):INDEX($T$19:$T$93,FO$244+$FN267-1)))</f>
        <v/>
      </c>
      <c r="FP267" s="469" t="str">
        <f ca="1">IF($FN267+FP$244&gt;73,"",PRODUCT(INDEX($T$19:$T$93,FP$244):INDEX($T$19:$T$93,FP$244+$FN267-1)))</f>
        <v/>
      </c>
      <c r="FQ267" s="469" t="str">
        <f ca="1">IF($FN267+FQ$244&gt;73,"",PRODUCT(INDEX($T$19:$T$93,FQ$244):INDEX($T$19:$T$93,FQ$244+$FN267-1)))</f>
        <v/>
      </c>
      <c r="FR267" s="469" t="str">
        <f ca="1">IF($FN267+FR$244&gt;73,"",PRODUCT(INDEX($T$19:$T$93,FR$244):INDEX($T$19:$T$93,FR$244+$FN267-1)))</f>
        <v/>
      </c>
      <c r="FS267" s="469" t="str">
        <f ca="1">IF($FN267+FS$244&gt;73,"",PRODUCT(INDEX($T$19:$T$93,FS$244):INDEX($T$19:$T$93,FS$244+$FN267-1)))</f>
        <v/>
      </c>
      <c r="FT267" s="469" t="str">
        <f ca="1">IF($FN267+FT$244&gt;73,"",PRODUCT(INDEX($T$19:$T$93,FT$244):INDEX($T$19:$T$93,FT$244+$FN267-1)))</f>
        <v/>
      </c>
      <c r="FU267" s="469" t="str">
        <f ca="1">IF($FN267+FU$244&gt;73,"",PRODUCT(INDEX($T$19:$T$93,FU$244):INDEX($T$19:$T$93,FU$244+$FN267-1)))</f>
        <v/>
      </c>
      <c r="FV267" s="469" t="str">
        <f ca="1">IF($FN267+FV$244&gt;73,"",PRODUCT(INDEX($T$19:$T$93,FV$244):INDEX($T$19:$T$93,FV$244+$FN267-1)))</f>
        <v/>
      </c>
      <c r="FW267" s="469" t="str">
        <f ca="1">IF($FN267+FW$244&gt;73,"",PRODUCT(INDEX($T$19:$T$93,FW$244):INDEX($T$19:$T$93,FW$244+$FN267-1)))</f>
        <v/>
      </c>
      <c r="FX267" s="469" t="str">
        <f ca="1">IF($FN267+FX$244&gt;73,"",PRODUCT(INDEX($T$19:$T$93,FX$244):INDEX($T$19:$T$93,FX$244+$FN267-1)))</f>
        <v/>
      </c>
      <c r="FY267" s="469" t="str">
        <f ca="1">IF($FN267+FY$244&gt;73,"",PRODUCT(INDEX($T$19:$T$93,FY$244):INDEX($T$19:$T$93,FY$244+$FN267-1)))</f>
        <v/>
      </c>
      <c r="FZ267" s="469" t="str">
        <f ca="1">IF($FN267+FZ$244&gt;73,"",PRODUCT(INDEX($T$19:$T$93,FZ$244):INDEX($T$19:$T$93,FZ$244+$FN267-1)))</f>
        <v/>
      </c>
      <c r="GA267" s="469" t="str">
        <f ca="1">IF($FN267+GA$244&gt;73,"",PRODUCT(INDEX($T$19:$T$93,GA$244):INDEX($T$19:$T$93,GA$244+$FN267-1)))</f>
        <v/>
      </c>
      <c r="GB267" s="469" t="str">
        <f ca="1">IF($FN267+GB$244&gt;73,"",PRODUCT(INDEX($T$19:$T$93,GB$244):INDEX($T$19:$T$93,GB$244+$FN267-1)))</f>
        <v/>
      </c>
      <c r="GC267" s="469" t="str">
        <f ca="1">IF($FN267+GC$244&gt;73,"",PRODUCT(INDEX($T$19:$T$93,GC$244):INDEX($T$19:$T$93,GC$244+$FN267-1)))</f>
        <v/>
      </c>
      <c r="GD267" s="469" t="str">
        <f ca="1">IF($FN267+GD$244&gt;73,"",PRODUCT(INDEX($T$19:$T$93,GD$244):INDEX($T$19:$T$93,GD$244+$FN267-1)))</f>
        <v/>
      </c>
      <c r="GE267" s="469" t="str">
        <f ca="1">IF($FN267+GE$244&gt;73,"",PRODUCT(INDEX($T$19:$T$93,GE$244):INDEX($T$19:$T$93,GE$244+$FN267-1)))</f>
        <v/>
      </c>
      <c r="GF267" s="469" t="str">
        <f ca="1">IF($FN267+GF$244&gt;73,"",PRODUCT(INDEX($T$19:$T$93,GF$244):INDEX($T$19:$T$93,GF$244+$FN267-1)))</f>
        <v/>
      </c>
      <c r="GG267" s="469" t="str">
        <f ca="1">IF($FN267+GG$244&gt;73,"",PRODUCT(INDEX($T$19:$T$93,GG$244):INDEX($T$19:$T$93,GG$244+$FN267-1)))</f>
        <v/>
      </c>
      <c r="GH267" s="469" t="str">
        <f ca="1">IF($FN267+GH$244&gt;73,"",PRODUCT(INDEX($T$19:$T$93,GH$244):INDEX($T$19:$T$93,GH$244+$FN267-1)))</f>
        <v/>
      </c>
      <c r="GI267" s="469" t="str">
        <f ca="1">IF($FN267+GI$244&gt;73,"",PRODUCT(INDEX($T$19:$T$93,GI$244):INDEX($T$19:$T$93,GI$244+$FN267-1)))</f>
        <v/>
      </c>
      <c r="GJ267" s="469" t="str">
        <f ca="1">IF($FN267+GJ$244&gt;73,"",PRODUCT(INDEX($T$19:$T$93,GJ$244):INDEX($T$19:$T$93,GJ$244+$FN267-1)))</f>
        <v/>
      </c>
      <c r="GK267" s="469">
        <f ca="1">IF($FN267+GK$244&gt;73,"",PRODUCT(INDEX($T$19:$T$93,GK$244):INDEX($T$19:$T$93,GK$244+$FN267-1)))</f>
        <v>0.99548232994729391</v>
      </c>
      <c r="GL267" s="469">
        <f ca="1">IF($FN267+GL$244&gt;73,"",PRODUCT(INDEX($T$19:$T$93,GL$244):INDEX($T$19:$T$93,GL$244+$FN267-1)))</f>
        <v>0.99498146307314828</v>
      </c>
      <c r="GM267" s="469">
        <f ca="1">IF($FN267+GM$244&gt;73,"",PRODUCT(INDEX($T$19:$T$93,GM$244):INDEX($T$19:$T$93,GM$244+$FN267-1)))</f>
        <v>0.99442520050517269</v>
      </c>
      <c r="GN267" s="469">
        <f ca="1">IF($FN267+GN$244&gt;73,"",PRODUCT(INDEX($T$19:$T$93,GN$244):INDEX($T$19:$T$93,GN$244+$FN267-1)))</f>
        <v>0.99380744690794165</v>
      </c>
      <c r="GO267" s="469">
        <f ca="1">IF($FN267+GO$244&gt;73,"",PRODUCT(INDEX($T$19:$T$93,GO$244):INDEX($T$19:$T$93,GO$244+$FN267-1)))</f>
        <v>0.99312144357903598</v>
      </c>
      <c r="GP267" s="469">
        <f ca="1">IF($FN267+GP$244&gt;73,"",PRODUCT(INDEX($T$19:$T$93,GP$244):INDEX($T$19:$T$93,GP$244+$FN267-1)))</f>
        <v>0.99235969795852519</v>
      </c>
      <c r="GQ267" s="469">
        <f ca="1">IF($FN267+GQ$244&gt;73,"",PRODUCT(INDEX($T$19:$T$93,GQ$244):INDEX($T$19:$T$93,GQ$244+$FN267-1)))</f>
        <v>0.99151390604634004</v>
      </c>
      <c r="GR267" s="469">
        <f ca="1">IF($FN267+GR$244&gt;73,"",PRODUCT(INDEX($T$19:$T$93,GR$244):INDEX($T$19:$T$93,GR$244+$FN267-1)))</f>
        <v>0.9905748671081569</v>
      </c>
      <c r="GS267" s="469">
        <f ca="1">IF($FN267+GS$244&gt;73,"",PRODUCT(INDEX($T$19:$T$93,GS$244):INDEX($T$19:$T$93,GS$244+$FN267-1)))</f>
        <v>0.98953239001947146</v>
      </c>
      <c r="GT267" s="469">
        <f ca="1">IF($FN267+GT$244&gt;73,"",PRODUCT(INDEX($T$19:$T$93,GT$244):INDEX($T$19:$T$93,GT$244+$FN267-1)))</f>
        <v>0.98837519057143663</v>
      </c>
      <c r="GU267" s="469">
        <f ca="1">IF($FN267+GU$244&gt;73,"",PRODUCT(INDEX($T$19:$T$93,GU$244):INDEX($T$19:$T$93,GU$244+$FN267-1)))</f>
        <v>0.98709077904307552</v>
      </c>
      <c r="GV267" s="469">
        <f ca="1">IF($FN267+GV$244&gt;73,"",PRODUCT(INDEX($T$19:$T$93,GV$244):INDEX($T$19:$T$93,GV$244+$FN267-1)))</f>
        <v>0.9856653373355998</v>
      </c>
      <c r="GW267" s="469">
        <f ca="1">IF($FN267+GW$244&gt;73,"",PRODUCT(INDEX($T$19:$T$93,GW$244):INDEX($T$19:$T$93,GW$244+$FN267-1)))</f>
        <v>0.98408358496929427</v>
      </c>
      <c r="GX267" s="469">
        <f ca="1">IF($FN267+GX$244&gt;73,"",PRODUCT(INDEX($T$19:$T$93,GX$244):INDEX($T$19:$T$93,GX$244+$FN267-1)))</f>
        <v>0.98232863326638797</v>
      </c>
      <c r="GY267" s="469">
        <f ca="1">IF($FN267+GY$244&gt;73,"",PRODUCT(INDEX($T$19:$T$93,GY$244):INDEX($T$19:$T$93,GY$244+$FN267-1)))</f>
        <v>0.98038182708996535</v>
      </c>
      <c r="GZ267" s="469">
        <f ca="1">IF($FN267+GZ$244&gt;73,"",PRODUCT(INDEX($T$19:$T$93,GZ$244):INDEX($T$19:$T$93,GZ$244+$FN267-1)))</f>
        <v>0.9782225735861515</v>
      </c>
      <c r="HA267" s="469">
        <f ca="1">IF($FN267+HA$244&gt;73,"",PRODUCT(INDEX($T$19:$T$93,HA$244):INDEX($T$19:$T$93,HA$244+$FN267-1)))</f>
        <v>0.97582815749281349</v>
      </c>
      <c r="HB267" s="469">
        <f ca="1">IF($FN267+HB$244&gt;73,"",PRODUCT(INDEX($T$19:$T$93,HB$244):INDEX($T$19:$T$93,HB$244+$FN267-1)))</f>
        <v>0.9731735427428484</v>
      </c>
      <c r="HC267" s="469">
        <f ca="1">IF($FN267+HC$244&gt;73,"",PRODUCT(INDEX($T$19:$T$93,HC$244):INDEX($T$19:$T$93,HC$244+$FN267-1)))</f>
        <v>0.97023116031593892</v>
      </c>
      <c r="HD267" s="469">
        <f ca="1">IF($FN267+HD$244&gt;73,"",PRODUCT(INDEX($T$19:$T$93,HD$244):INDEX($T$19:$T$93,HD$244+$FN267-1)))</f>
        <v>0.96697068259378882</v>
      </c>
      <c r="HE267" s="469">
        <f ca="1">IF($FN267+HE$244&gt;73,"",PRODUCT(INDEX($T$19:$T$93,HE$244):INDEX($T$19:$T$93,HE$244+$FN267-1)))</f>
        <v>0.96335878486750914</v>
      </c>
      <c r="HF267" s="469">
        <f ca="1">IF($FN267+HF$244&gt;73,"",PRODUCT(INDEX($T$19:$T$93,HF$244):INDEX($T$19:$T$93,HF$244+$FN267-1)))</f>
        <v>0.95935889515231387</v>
      </c>
      <c r="HG267" s="469">
        <f ca="1">IF($FN267+HG$244&gt;73,"",PRODUCT(INDEX($T$19:$T$93,HG$244):INDEX($T$19:$T$93,HG$244+$FN267-1)))</f>
        <v>0.95493093410761365</v>
      </c>
      <c r="HH267" s="469">
        <f ca="1">IF($FN267+HH$244&gt;73,"",PRODUCT(INDEX($T$19:$T$93,HH$244):INDEX($T$19:$T$93,HH$244+$FN267-1)))</f>
        <v>0.9500310476678685</v>
      </c>
      <c r="HI267" s="469">
        <f ca="1">IF($FN267+HI$244&gt;73,"",PRODUCT(INDEX($T$19:$T$93,HI$244):INDEX($T$19:$T$93,HI$244+$FN267-1)))</f>
        <v>0.94461133599306069</v>
      </c>
      <c r="HJ267" s="469">
        <f ca="1">IF($FN267+HJ$244&gt;73,"",PRODUCT(INDEX($T$19:$T$93,HJ$244):INDEX($T$19:$T$93,HJ$244+$FN267-1)))</f>
        <v>0.93861958358442876</v>
      </c>
      <c r="HK267" s="469">
        <f ca="1">IF($FN267+HK$244&gt;73,"",PRODUCT(INDEX($T$19:$T$93,HK$244):INDEX($T$19:$T$93,HK$244+$FN267-1)))</f>
        <v>0.93199899692338917</v>
      </c>
      <c r="HL267" s="469">
        <f ca="1">IF($FN267+HL$244&gt;73,"",PRODUCT(INDEX($T$19:$T$93,HL$244):INDEX($T$19:$T$93,HL$244+$FN267-1)))</f>
        <v>0.92468795782751201</v>
      </c>
      <c r="HM267" s="469">
        <f ca="1">IF($FN267+HM$244&gt;73,"",PRODUCT(INDEX($T$19:$T$93,HM$244):INDEX($T$19:$T$93,HM$244+$FN267-1)))</f>
        <v>0.91661980293178869</v>
      </c>
      <c r="HN267" s="469">
        <f ca="1">IF($FN267+HN$244&gt;73,"",PRODUCT(INDEX($T$19:$T$93,HN$244):INDEX($T$19:$T$93,HN$244+$FN267-1)))</f>
        <v>0.90772264235841182</v>
      </c>
      <c r="HO267" s="469">
        <f ca="1">IF($FN267+HO$244&gt;73,"",PRODUCT(INDEX($T$19:$T$93,HO$244):INDEX($T$19:$T$93,HO$244+$FN267-1)))</f>
        <v>0.89791923380475136</v>
      </c>
      <c r="HP267" s="469">
        <f ca="1">IF($FN267+HP$244&gt;73,"",PRODUCT(INDEX($T$19:$T$93,HP$244):INDEX($T$19:$T$93,HP$244+$FN267-1)))</f>
        <v>0.88712693203867865</v>
      </c>
      <c r="HQ267" s="469">
        <f ca="1">IF($FN267+HQ$244&gt;73,"",PRODUCT(INDEX($T$19:$T$93,HQ$244):INDEX($T$19:$T$93,HQ$244+$FN267-1)))</f>
        <v>0.87525773823763053</v>
      </c>
      <c r="HR267" s="469">
        <f ca="1">IF($FN267+HR$244&gt;73,"",PRODUCT(INDEX($T$19:$T$93,HR$244):INDEX($T$19:$T$93,HR$244+$FN267-1)))</f>
        <v>0.86221847885537051</v>
      </c>
      <c r="HS267" s="469">
        <f ca="1">IF($FN267+HS$244&gt;73,"",PRODUCT(INDEX($T$19:$T$93,HS$244):INDEX($T$19:$T$93,HS$244+$FN267-1)))</f>
        <v>0.84791114988439642</v>
      </c>
      <c r="HT267" s="469">
        <f ca="1">IF($FN267+HT$244&gt;73,"",PRODUCT(INDEX($T$19:$T$93,HT$244):INDEX($T$19:$T$93,HT$244+$FN267-1)))</f>
        <v>0.83223346967092116</v>
      </c>
      <c r="HU267" s="469">
        <f ca="1">IF($FN267+HU$244&gt;73,"",PRODUCT(INDEX($T$19:$T$93,HU$244):INDEX($T$19:$T$93,HU$244+$FN267-1)))</f>
        <v>0.81507969204506669</v>
      </c>
      <c r="HV267" s="469">
        <f ca="1">IF($FN267+HV$244&gt;73,"",PRODUCT(INDEX($T$19:$T$93,HV$244):INDEX($T$19:$T$93,HV$244+$FN267-1)))</f>
        <v>0.79634174171950389</v>
      </c>
      <c r="HW267" s="469">
        <f ca="1">IF($FN267+HW$244&gt;73,"",PRODUCT(INDEX($T$19:$T$93,HW$244):INDEX($T$19:$T$93,HW$244+$FN267-1)))</f>
        <v>0.7759107460216389</v>
      </c>
      <c r="HX267" s="469">
        <f ca="1">IF($FN267+HX$244&gt;73,"",PRODUCT(INDEX($T$19:$T$93,HX$244):INDEX($T$19:$T$93,HX$244+$FN267-1)))</f>
        <v>0.75367905146728231</v>
      </c>
      <c r="HY267" s="469">
        <f ca="1">IF($FN267+HY$244&gt;73,"",PRODUCT(INDEX($T$19:$T$93,HY$244):INDEX($T$19:$T$93,HY$244+$FN267-1)))</f>
        <v>0.72954283092452854</v>
      </c>
      <c r="HZ267" s="469">
        <f ca="1">IF($FN267+HZ$244&gt;73,"",PRODUCT(INDEX($T$19:$T$93,HZ$244):INDEX($T$19:$T$93,HZ$244+$FN267-1)))</f>
        <v>0.70340540761743153</v>
      </c>
      <c r="IA267" s="469">
        <f ca="1">IF($FN267+IA$244&gt;73,"",PRODUCT(INDEX($T$19:$T$93,IA$244):INDEX($T$19:$T$93,IA$244+$FN267-1)))</f>
        <v>0.67518144628255261</v>
      </c>
      <c r="IB267" s="469">
        <f ca="1">IF($FN267+IB$244&gt;73,"",PRODUCT(INDEX($T$19:$T$93,IB$244):INDEX($T$19:$T$93,IB$244+$FN267-1)))</f>
        <v>0.64480218923504962</v>
      </c>
      <c r="IC267" s="469">
        <f ca="1">IF($FN267+IC$244&gt;73,"",PRODUCT(INDEX($T$19:$T$93,IC$244):INDEX($T$19:$T$93,IC$244+$FN267-1)))</f>
        <v>0.61222194463341861</v>
      </c>
      <c r="ID267" s="469">
        <f ca="1">IF($FN267+ID$244&gt;73,"",PRODUCT(INDEX($T$19:$T$93,ID$244):INDEX($T$19:$T$93,ID$244+$FN267-1)))</f>
        <v>0.57742606233525617</v>
      </c>
      <c r="IE267" s="469">
        <f ca="1">IF($FN267+IE$244&gt;73,"",PRODUCT(INDEX($T$19:$T$93,IE$244):INDEX($T$19:$T$93,IE$244+$FN267-1)))</f>
        <v>0.5404406517702024</v>
      </c>
      <c r="IF267" s="469">
        <f ca="1">IF($FN267+IF$244&gt;73,"",PRODUCT(INDEX($T$19:$T$93,IF$244):INDEX($T$19:$T$93,IF$244+$FN267-1)))</f>
        <v>0.50134429141420145</v>
      </c>
      <c r="IG267" s="469">
        <f ca="1">IF($FN267+IG$244&gt;73,"",PRODUCT(INDEX($T$19:$T$93,IG$244):INDEX($T$19:$T$93,IG$244+$FN267-1)))</f>
        <v>0.46028192416075309</v>
      </c>
      <c r="IH267" s="662">
        <f ca="1">IF($FN267+IH$244&gt;73,"",PRODUCT(INDEX($T$19:$T$93,IH$244):INDEX($T$19:$T$93,IH$244+$FN267-1)))</f>
        <v>0.41748098240713843</v>
      </c>
      <c r="II267" s="242"/>
    </row>
    <row r="268" spans="8:243">
      <c r="I268" s="132"/>
      <c r="J268" s="365"/>
      <c r="K268" s="133"/>
      <c r="L268" s="1"/>
      <c r="M268" s="366"/>
      <c r="P268" s="365"/>
      <c r="S268" s="53"/>
      <c r="T268" s="365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03"/>
      <c r="AM268" s="103"/>
      <c r="AN268" s="103"/>
      <c r="AO268" s="364">
        <v>6.4724000331642301E-2</v>
      </c>
      <c r="AP268" s="31"/>
      <c r="AQ268" s="364">
        <v>5.9409473508404996E-2</v>
      </c>
      <c r="AR268" s="31"/>
      <c r="AS268" s="31"/>
      <c r="AT268" s="31"/>
      <c r="AU268" s="31"/>
      <c r="AV268" s="146"/>
      <c r="AW268" s="103"/>
      <c r="AX268" s="103"/>
      <c r="AY268" s="103"/>
      <c r="AZ268" s="103"/>
      <c r="BA268" s="103"/>
      <c r="BB268" s="103"/>
      <c r="BC268" s="104"/>
      <c r="BD268" s="104"/>
      <c r="BE268" s="104"/>
      <c r="BF268" s="102"/>
      <c r="BG268" s="104"/>
      <c r="BH268" s="104"/>
      <c r="BI268" s="152"/>
      <c r="BJ268" s="103"/>
      <c r="BK268" s="103"/>
      <c r="BL268" s="103"/>
      <c r="BM268" s="103"/>
      <c r="BN268" s="103"/>
      <c r="BO268" s="103"/>
      <c r="BP268" s="103"/>
      <c r="BQ268" s="103"/>
      <c r="BR268" s="103"/>
      <c r="BS268" s="103"/>
      <c r="BT268" s="104"/>
      <c r="BU268" s="104"/>
      <c r="BV268" s="104"/>
      <c r="BW268" s="104"/>
      <c r="BX268" s="104"/>
      <c r="BY268" s="104"/>
      <c r="BZ268" s="104"/>
      <c r="CA268" s="104"/>
      <c r="CB268" s="104"/>
      <c r="CC268" s="104"/>
      <c r="CD268" s="103"/>
      <c r="CE268" s="103"/>
      <c r="CF268" s="103"/>
      <c r="CG268" s="103"/>
      <c r="CH268" s="103"/>
      <c r="CI268" s="103"/>
      <c r="CJ268" s="107"/>
      <c r="CK268" s="1"/>
      <c r="CL268" s="51"/>
      <c r="CM268" s="51"/>
      <c r="CN268" s="51"/>
      <c r="CO268" s="51"/>
      <c r="CP268" s="51"/>
      <c r="CQ268" s="51"/>
      <c r="CR268" s="51"/>
      <c r="CS268" s="51"/>
      <c r="CT268" s="51"/>
      <c r="CU268" s="51"/>
      <c r="CV268" s="51"/>
      <c r="CW268" s="51"/>
      <c r="CX268" s="51"/>
      <c r="CY268" s="51"/>
      <c r="CZ268" s="51"/>
      <c r="DA268" s="51"/>
      <c r="DB268" s="51"/>
      <c r="DC268" s="51"/>
      <c r="DF268" s="465"/>
      <c r="DI268" s="465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3"/>
      <c r="EP268" s="53"/>
      <c r="EQ268" s="1"/>
      <c r="ER268" s="103"/>
      <c r="ES268" s="103"/>
      <c r="ET268" s="1"/>
      <c r="EU268" s="103"/>
      <c r="EV268" s="1"/>
      <c r="EW268" s="1"/>
      <c r="EX268" s="1"/>
      <c r="EY268" s="103"/>
      <c r="FN268" s="657">
        <v>24</v>
      </c>
      <c r="FO268" s="469" t="str">
        <f ca="1">IF($FN268+FO$244&gt;73,"",PRODUCT(INDEX($T$19:$T$93,FO$244):INDEX($T$19:$T$93,FO$244+$FN268-1)))</f>
        <v/>
      </c>
      <c r="FP268" s="469" t="str">
        <f ca="1">IF($FN268+FP$244&gt;73,"",PRODUCT(INDEX($T$19:$T$93,FP$244):INDEX($T$19:$T$93,FP$244+$FN268-1)))</f>
        <v/>
      </c>
      <c r="FQ268" s="469" t="str">
        <f ca="1">IF($FN268+FQ$244&gt;73,"",PRODUCT(INDEX($T$19:$T$93,FQ$244):INDEX($T$19:$T$93,FQ$244+$FN268-1)))</f>
        <v/>
      </c>
      <c r="FR268" s="469" t="str">
        <f ca="1">IF($FN268+FR$244&gt;73,"",PRODUCT(INDEX($T$19:$T$93,FR$244):INDEX($T$19:$T$93,FR$244+$FN268-1)))</f>
        <v/>
      </c>
      <c r="FS268" s="469" t="str">
        <f ca="1">IF($FN268+FS$244&gt;73,"",PRODUCT(INDEX($T$19:$T$93,FS$244):INDEX($T$19:$T$93,FS$244+$FN268-1)))</f>
        <v/>
      </c>
      <c r="FT268" s="469" t="str">
        <f ca="1">IF($FN268+FT$244&gt;73,"",PRODUCT(INDEX($T$19:$T$93,FT$244):INDEX($T$19:$T$93,FT$244+$FN268-1)))</f>
        <v/>
      </c>
      <c r="FU268" s="469" t="str">
        <f ca="1">IF($FN268+FU$244&gt;73,"",PRODUCT(INDEX($T$19:$T$93,FU$244):INDEX($T$19:$T$93,FU$244+$FN268-1)))</f>
        <v/>
      </c>
      <c r="FV268" s="469" t="str">
        <f ca="1">IF($FN268+FV$244&gt;73,"",PRODUCT(INDEX($T$19:$T$93,FV$244):INDEX($T$19:$T$93,FV$244+$FN268-1)))</f>
        <v/>
      </c>
      <c r="FW268" s="469" t="str">
        <f ca="1">IF($FN268+FW$244&gt;73,"",PRODUCT(INDEX($T$19:$T$93,FW$244):INDEX($T$19:$T$93,FW$244+$FN268-1)))</f>
        <v/>
      </c>
      <c r="FX268" s="469" t="str">
        <f ca="1">IF($FN268+FX$244&gt;73,"",PRODUCT(INDEX($T$19:$T$93,FX$244):INDEX($T$19:$T$93,FX$244+$FN268-1)))</f>
        <v/>
      </c>
      <c r="FY268" s="469" t="str">
        <f ca="1">IF($FN268+FY$244&gt;73,"",PRODUCT(INDEX($T$19:$T$93,FY$244):INDEX($T$19:$T$93,FY$244+$FN268-1)))</f>
        <v/>
      </c>
      <c r="FZ268" s="469" t="str">
        <f ca="1">IF($FN268+FZ$244&gt;73,"",PRODUCT(INDEX($T$19:$T$93,FZ$244):INDEX($T$19:$T$93,FZ$244+$FN268-1)))</f>
        <v/>
      </c>
      <c r="GA268" s="469" t="str">
        <f ca="1">IF($FN268+GA$244&gt;73,"",PRODUCT(INDEX($T$19:$T$93,GA$244):INDEX($T$19:$T$93,GA$244+$FN268-1)))</f>
        <v/>
      </c>
      <c r="GB268" s="469" t="str">
        <f ca="1">IF($FN268+GB$244&gt;73,"",PRODUCT(INDEX($T$19:$T$93,GB$244):INDEX($T$19:$T$93,GB$244+$FN268-1)))</f>
        <v/>
      </c>
      <c r="GC268" s="469" t="str">
        <f ca="1">IF($FN268+GC$244&gt;73,"",PRODUCT(INDEX($T$19:$T$93,GC$244):INDEX($T$19:$T$93,GC$244+$FN268-1)))</f>
        <v/>
      </c>
      <c r="GD268" s="469" t="str">
        <f ca="1">IF($FN268+GD$244&gt;73,"",PRODUCT(INDEX($T$19:$T$93,GD$244):INDEX($T$19:$T$93,GD$244+$FN268-1)))</f>
        <v/>
      </c>
      <c r="GE268" s="469" t="str">
        <f ca="1">IF($FN268+GE$244&gt;73,"",PRODUCT(INDEX($T$19:$T$93,GE$244):INDEX($T$19:$T$93,GE$244+$FN268-1)))</f>
        <v/>
      </c>
      <c r="GF268" s="469" t="str">
        <f ca="1">IF($FN268+GF$244&gt;73,"",PRODUCT(INDEX($T$19:$T$93,GF$244):INDEX($T$19:$T$93,GF$244+$FN268-1)))</f>
        <v/>
      </c>
      <c r="GG268" s="469" t="str">
        <f ca="1">IF($FN268+GG$244&gt;73,"",PRODUCT(INDEX($T$19:$T$93,GG$244):INDEX($T$19:$T$93,GG$244+$FN268-1)))</f>
        <v/>
      </c>
      <c r="GH268" s="469" t="str">
        <f ca="1">IF($FN268+GH$244&gt;73,"",PRODUCT(INDEX($T$19:$T$93,GH$244):INDEX($T$19:$T$93,GH$244+$FN268-1)))</f>
        <v/>
      </c>
      <c r="GI268" s="469" t="str">
        <f ca="1">IF($FN268+GI$244&gt;73,"",PRODUCT(INDEX($T$19:$T$93,GI$244):INDEX($T$19:$T$93,GI$244+$FN268-1)))</f>
        <v/>
      </c>
      <c r="GJ268" s="469" t="str">
        <f ca="1">IF($FN268+GJ$244&gt;73,"",PRODUCT(INDEX($T$19:$T$93,GJ$244):INDEX($T$19:$T$93,GJ$244+$FN268-1)))</f>
        <v/>
      </c>
      <c r="GK268" s="469" t="str">
        <f ca="1">IF($FN268+GK$244&gt;73,"",PRODUCT(INDEX($T$19:$T$93,GK$244):INDEX($T$19:$T$93,GK$244+$FN268-1)))</f>
        <v/>
      </c>
      <c r="GL268" s="469">
        <f ca="1">IF($FN268+GL$244&gt;73,"",PRODUCT(INDEX($T$19:$T$93,GL$244):INDEX($T$19:$T$93,GL$244+$FN268-1)))</f>
        <v>0.99493279582938954</v>
      </c>
      <c r="GM268" s="469">
        <f ca="1">IF($FN268+GM$244&gt;73,"",PRODUCT(INDEX($T$19:$T$93,GM$244):INDEX($T$19:$T$93,GM$244+$FN268-1)))</f>
        <v>0.99437115587149971</v>
      </c>
      <c r="GN268" s="469">
        <f ca="1">IF($FN268+GN$244&gt;73,"",PRODUCT(INDEX($T$19:$T$93,GN$244):INDEX($T$19:$T$93,GN$244+$FN268-1)))</f>
        <v>0.99374743443361258</v>
      </c>
      <c r="GO268" s="469">
        <f ca="1">IF($FN268+GO$244&gt;73,"",PRODUCT(INDEX($T$19:$T$93,GO$244):INDEX($T$19:$T$93,GO$244+$FN268-1)))</f>
        <v>0.99305480885125419</v>
      </c>
      <c r="GP268" s="469">
        <f ca="1">IF($FN268+GP$244&gt;73,"",PRODUCT(INDEX($T$19:$T$93,GP$244):INDEX($T$19:$T$93,GP$244+$FN268-1)))</f>
        <v>0.99228571587846492</v>
      </c>
      <c r="GQ268" s="469">
        <f ca="1">IF($FN268+GQ$244&gt;73,"",PRODUCT(INDEX($T$19:$T$93,GQ$244):INDEX($T$19:$T$93,GQ$244+$FN268-1)))</f>
        <v>0.99143177344692335</v>
      </c>
      <c r="GR268" s="469">
        <f ca="1">IF($FN268+GR$244&gt;73,"",PRODUCT(INDEX($T$19:$T$93,GR$244):INDEX($T$19:$T$93,GR$244+$FN268-1)))</f>
        <v>0.99048369466093245</v>
      </c>
      <c r="GS268" s="469">
        <f ca="1">IF($FN268+GS$244&gt;73,"",PRODUCT(INDEX($T$19:$T$93,GS$244):INDEX($T$19:$T$93,GS$244+$FN268-1)))</f>
        <v>0.98943119337677554</v>
      </c>
      <c r="GT268" s="469">
        <f ca="1">IF($FN268+GT$244&gt;73,"",PRODUCT(INDEX($T$19:$T$93,GT$244):INDEX($T$19:$T$93,GT$244+$FN268-1)))</f>
        <v>0.98826288068976098</v>
      </c>
      <c r="GU268" s="469">
        <f ca="1">IF($FN268+GU$244&gt;73,"",PRODUCT(INDEX($T$19:$T$93,GU$244):INDEX($T$19:$T$93,GU$244+$FN268-1)))</f>
        <v>0.98696615163456713</v>
      </c>
      <c r="GV268" s="469">
        <f ca="1">IF($FN268+GV$244&gt;73,"",PRODUCT(INDEX($T$19:$T$93,GV$244):INDEX($T$19:$T$93,GV$244+$FN268-1)))</f>
        <v>0.98552706139728208</v>
      </c>
      <c r="GW268" s="469">
        <f ca="1">IF($FN268+GW$244&gt;73,"",PRODUCT(INDEX($T$19:$T$93,GW$244):INDEX($T$19:$T$93,GW$244+$FN268-1)))</f>
        <v>0.98393019034445106</v>
      </c>
      <c r="GX268" s="469">
        <f ca="1">IF($FN268+GX$244&gt;73,"",PRODUCT(INDEX($T$19:$T$93,GX$244):INDEX($T$19:$T$93,GX$244+$FN268-1)))</f>
        <v>0.98215849720023396</v>
      </c>
      <c r="GY268" s="469">
        <f ca="1">IF($FN268+GY$244&gt;73,"",PRODUCT(INDEX($T$19:$T$93,GY$244):INDEX($T$19:$T$93,GY$244+$FN268-1)))</f>
        <v>0.98019315975303101</v>
      </c>
      <c r="GZ268" s="469">
        <f ca="1">IF($FN268+GZ$244&gt;73,"",PRODUCT(INDEX($T$19:$T$93,GZ$244):INDEX($T$19:$T$93,GZ$244+$FN268-1)))</f>
        <v>0.97801340255471714</v>
      </c>
      <c r="HA268" s="469">
        <f ca="1">IF($FN268+HA$244&gt;73,"",PRODUCT(INDEX($T$19:$T$93,HA$244):INDEX($T$19:$T$93,HA$244+$FN268-1)))</f>
        <v>0.97559631119741941</v>
      </c>
      <c r="HB268" s="469">
        <f ca="1">IF($FN268+HB$244&gt;73,"",PRODUCT(INDEX($T$19:$T$93,HB$244):INDEX($T$19:$T$93,HB$244+$FN268-1)))</f>
        <v>0.97291663292483355</v>
      </c>
      <c r="HC268" s="469">
        <f ca="1">IF($FN268+HC$244&gt;73,"",PRODUCT(INDEX($T$19:$T$93,HC$244):INDEX($T$19:$T$93,HC$244+$FN268-1)))</f>
        <v>0.9699465635698673</v>
      </c>
      <c r="HD268" s="469">
        <f ca="1">IF($FN268+HD$244&gt;73,"",PRODUCT(INDEX($T$19:$T$93,HD$244):INDEX($T$19:$T$93,HD$244+$FN268-1)))</f>
        <v>0.96665552112259368</v>
      </c>
      <c r="HE268" s="469">
        <f ca="1">IF($FN268+HE$244&gt;73,"",PRODUCT(INDEX($T$19:$T$93,HE$244):INDEX($T$19:$T$93,HE$244+$FN268-1)))</f>
        <v>0.96300990663972164</v>
      </c>
      <c r="HF268" s="469">
        <f ca="1">IF($FN268+HF$244&gt;73,"",PRODUCT(INDEX($T$19:$T$93,HF$244):INDEX($T$19:$T$93,HF$244+$FN268-1)))</f>
        <v>0.95897285372979235</v>
      </c>
      <c r="HG268" s="469">
        <f ca="1">IF($FN268+HG$244&gt;73,"",PRODUCT(INDEX($T$19:$T$93,HG$244):INDEX($T$19:$T$93,HG$244+$FN268-1)))</f>
        <v>0.95450396851120956</v>
      </c>
      <c r="HH268" s="469">
        <f ca="1">IF($FN268+HH$244&gt;73,"",PRODUCT(INDEX($T$19:$T$93,HH$244):INDEX($T$19:$T$93,HH$244+$FN268-1)))</f>
        <v>0.9495590627714765</v>
      </c>
      <c r="HI268" s="469">
        <f ca="1">IF($FN268+HI$244&gt;73,"",PRODUCT(INDEX($T$19:$T$93,HI$244):INDEX($T$19:$T$93,HI$244+$FN268-1)))</f>
        <v>0.94408988408811878</v>
      </c>
      <c r="HJ268" s="469">
        <f ca="1">IF($FN268+HJ$244&gt;73,"",PRODUCT(INDEX($T$19:$T$93,HJ$244):INDEX($T$19:$T$93,HJ$244+$FN268-1)))</f>
        <v>0.93804384794237872</v>
      </c>
      <c r="HK268" s="469">
        <f ca="1">IF($FN268+HK$244&gt;73,"",PRODUCT(INDEX($T$19:$T$93,HK$244):INDEX($T$19:$T$93,HK$244+$FN268-1)))</f>
        <v>0.931363778408692</v>
      </c>
      <c r="HL268" s="469">
        <f ca="1">IF($FN268+HL$244&gt;73,"",PRODUCT(INDEX($T$19:$T$93,HL$244):INDEX($T$19:$T$93,HL$244+$FN268-1)))</f>
        <v>0.92398766588485537</v>
      </c>
      <c r="HM268" s="469">
        <f ca="1">IF($FN268+HM$244&gt;73,"",PRODUCT(INDEX($T$19:$T$93,HM$244):INDEX($T$19:$T$93,HM$244+$FN268-1)))</f>
        <v>0.9158484525947731</v>
      </c>
      <c r="HN268" s="469">
        <f ca="1">IF($FN268+HN$244&gt;73,"",PRODUCT(INDEX($T$19:$T$93,HN$244):INDEX($T$19:$T$93,HN$244+$FN268-1)))</f>
        <v>0.90687385930997388</v>
      </c>
      <c r="HO268" s="469">
        <f ca="1">IF($FN268+HO$244&gt;73,"",PRODUCT(INDEX($T$19:$T$93,HO$244):INDEX($T$19:$T$93,HO$244+$FN268-1)))</f>
        <v>0.89698626996813635</v>
      </c>
      <c r="HP268" s="469">
        <f ca="1">IF($FN268+HP$244&gt;73,"",PRODUCT(INDEX($T$19:$T$93,HP$244):INDEX($T$19:$T$93,HP$244+$FN268-1)))</f>
        <v>0.88610269469704761</v>
      </c>
      <c r="HQ268" s="469">
        <f ca="1">IF($FN268+HQ$244&gt;73,"",PRODUCT(INDEX($T$19:$T$93,HQ$244):INDEX($T$19:$T$93,HQ$244+$FN268-1)))</f>
        <v>0.87413483627322641</v>
      </c>
      <c r="HR268" s="469">
        <f ca="1">IF($FN268+HR$244&gt;73,"",PRODUCT(INDEX($T$19:$T$93,HR$244):INDEX($T$19:$T$93,HR$244+$FN268-1)))</f>
        <v>0.86098929036461835</v>
      </c>
      <c r="HS268" s="469">
        <f ca="1">IF($FN268+HS$244&gt;73,"",PRODUCT(INDEX($T$19:$T$93,HS$244):INDEX($T$19:$T$93,HS$244+$FN268-1)))</f>
        <v>0.84656791615626403</v>
      </c>
      <c r="HT268" s="469">
        <f ca="1">IF($FN268+HT$244&gt;73,"",PRODUCT(INDEX($T$19:$T$93,HT$244):INDEX($T$19:$T$93,HT$244+$FN268-1)))</f>
        <v>0.83076842129584449</v>
      </c>
      <c r="HU268" s="469">
        <f ca="1">IF($FN268+HU$244&gt;73,"",PRODUCT(INDEX($T$19:$T$93,HU$244):INDEX($T$19:$T$93,HU$244+$FN268-1)))</f>
        <v>0.81348521372032723</v>
      </c>
      <c r="HV268" s="469">
        <f ca="1">IF($FN268+HV$244&gt;73,"",PRODUCT(INDEX($T$19:$T$93,HV$244):INDEX($T$19:$T$93,HV$244+$FN268-1)))</f>
        <v>0.79461058308334753</v>
      </c>
      <c r="HW268" s="469">
        <f ca="1">IF($FN268+HW$244&gt;73,"",PRODUCT(INDEX($T$19:$T$93,HW$244):INDEX($T$19:$T$93,HW$244+$FN268-1)))</f>
        <v>0.77403628650264245</v>
      </c>
      <c r="HX268" s="469">
        <f ca="1">IF($FN268+HX$244&gt;73,"",PRODUCT(INDEX($T$19:$T$93,HX$244):INDEX($T$19:$T$93,HX$244+$FN268-1)))</f>
        <v>0.75165562755590432</v>
      </c>
      <c r="HY268" s="469">
        <f ca="1">IF($FN268+HY$244&gt;73,"",PRODUCT(INDEX($T$19:$T$93,HY$244):INDEX($T$19:$T$93,HY$244+$FN268-1)))</f>
        <v>0.72736613428043073</v>
      </c>
      <c r="HZ268" s="469">
        <f ca="1">IF($FN268+HZ$244&gt;73,"",PRODUCT(INDEX($T$19:$T$93,HZ$244):INDEX($T$19:$T$93,HZ$244+$FN268-1)))</f>
        <v>0.70107296175772826</v>
      </c>
      <c r="IA268" s="469">
        <f ca="1">IF($FN268+IA$244&gt;73,"",PRODUCT(INDEX($T$19:$T$93,IA$244):INDEX($T$19:$T$93,IA$244+$FN268-1)))</f>
        <v>0.67269316787974232</v>
      </c>
      <c r="IB268" s="469">
        <f ca="1">IF($FN268+IB$244&gt;73,"",PRODUCT(INDEX($T$19:$T$93,IB$244):INDEX($T$19:$T$93,IB$244+$FN268-1)))</f>
        <v>0.64216103676556502</v>
      </c>
      <c r="IC268" s="469">
        <f ca="1">IF($FN268+IC$244&gt;73,"",PRODUCT(INDEX($T$19:$T$93,IC$244):INDEX($T$19:$T$93,IC$244+$FN268-1)))</f>
        <v>0.60943465153728449</v>
      </c>
      <c r="ID268" s="469">
        <f ca="1">IF($FN268+ID$244&gt;73,"",PRODUCT(INDEX($T$19:$T$93,ID$244):INDEX($T$19:$T$93,ID$244+$FN268-1)))</f>
        <v>0.57450394300383079</v>
      </c>
      <c r="IE268" s="469">
        <f ca="1">IF($FN268+IE$244&gt;73,"",PRODUCT(INDEX($T$19:$T$93,IE$244):INDEX($T$19:$T$93,IE$244+$FN268-1)))</f>
        <v>0.5374004553094599</v>
      </c>
      <c r="IF268" s="469">
        <f ca="1">IF($FN268+IF$244&gt;73,"",PRODUCT(INDEX($T$19:$T$93,IF$244):INDEX($T$19:$T$93,IF$244+$FN268-1)))</f>
        <v>0.49820905867377963</v>
      </c>
      <c r="IG268" s="469">
        <f ca="1">IF($FN268+IG$244&gt;73,"",PRODUCT(INDEX($T$19:$T$93,IG$244):INDEX($T$19:$T$93,IG$244+$FN268-1)))</f>
        <v>0.45708177620392937</v>
      </c>
      <c r="IH268" s="662">
        <f ca="1">IF($FN268+IH$244&gt;73,"",PRODUCT(INDEX($T$19:$T$93,IH$244):INDEX($T$19:$T$93,IH$244+$FN268-1)))</f>
        <v>0.41425373174467789</v>
      </c>
      <c r="II268" s="242"/>
    </row>
    <row r="269" spans="8:243">
      <c r="I269" s="132"/>
      <c r="J269" s="365"/>
      <c r="K269" s="133"/>
      <c r="L269" s="1"/>
      <c r="M269" s="366"/>
      <c r="P269" s="365"/>
      <c r="S269" s="53"/>
      <c r="T269" s="365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03"/>
      <c r="AM269" s="103"/>
      <c r="AN269" s="103"/>
      <c r="AO269" s="364">
        <v>6.4734648106522297E-2</v>
      </c>
      <c r="AP269" s="31"/>
      <c r="AQ269" s="364">
        <v>5.9370242570771004E-2</v>
      </c>
      <c r="AR269" s="31"/>
      <c r="AS269" s="31"/>
      <c r="AT269" s="31"/>
      <c r="AU269" s="31"/>
      <c r="AV269" s="146"/>
      <c r="AW269" s="103"/>
      <c r="AX269" s="103"/>
      <c r="AY269" s="103"/>
      <c r="AZ269" s="103"/>
      <c r="BA269" s="103"/>
      <c r="BB269" s="103"/>
      <c r="BC269" s="104"/>
      <c r="BD269" s="104"/>
      <c r="BE269" s="104"/>
      <c r="BF269" s="102"/>
      <c r="BG269" s="104"/>
      <c r="BH269" s="104"/>
      <c r="BI269" s="152"/>
      <c r="BJ269" s="103"/>
      <c r="BK269" s="103"/>
      <c r="BL269" s="103"/>
      <c r="BM269" s="103"/>
      <c r="BN269" s="103"/>
      <c r="BO269" s="103"/>
      <c r="BP269" s="103"/>
      <c r="BQ269" s="103"/>
      <c r="BR269" s="103"/>
      <c r="BS269" s="103"/>
      <c r="BT269" s="104"/>
      <c r="BU269" s="104"/>
      <c r="BV269" s="104"/>
      <c r="BW269" s="104"/>
      <c r="BX269" s="104"/>
      <c r="BY269" s="104"/>
      <c r="BZ269" s="104"/>
      <c r="CA269" s="104"/>
      <c r="CB269" s="104"/>
      <c r="CC269" s="104"/>
      <c r="CD269" s="103"/>
      <c r="CE269" s="103"/>
      <c r="CF269" s="103"/>
      <c r="CG269" s="103"/>
      <c r="CH269" s="103"/>
      <c r="CI269" s="103"/>
      <c r="CJ269" s="107"/>
      <c r="CK269" s="1"/>
      <c r="CL269" s="51"/>
      <c r="CM269" s="51"/>
      <c r="CN269" s="51"/>
      <c r="CO269" s="51"/>
      <c r="CP269" s="51"/>
      <c r="CQ269" s="51"/>
      <c r="CR269" s="51"/>
      <c r="CS269" s="51"/>
      <c r="CT269" s="51"/>
      <c r="CU269" s="51"/>
      <c r="CV269" s="51"/>
      <c r="CW269" s="51"/>
      <c r="CX269" s="51"/>
      <c r="CY269" s="51"/>
      <c r="CZ269" s="51"/>
      <c r="DA269" s="51"/>
      <c r="DB269" s="51"/>
      <c r="DC269" s="51"/>
      <c r="DF269" s="465"/>
      <c r="DI269" s="465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3"/>
      <c r="EP269" s="53"/>
      <c r="EQ269" s="1"/>
      <c r="ER269" s="103"/>
      <c r="ES269" s="103"/>
      <c r="ET269" s="1"/>
      <c r="EU269" s="103"/>
      <c r="EV269" s="1"/>
      <c r="EW269" s="1"/>
      <c r="EX269" s="1"/>
      <c r="EY269" s="103"/>
      <c r="FN269" s="657">
        <v>25</v>
      </c>
      <c r="FO269" s="469" t="str">
        <f ca="1">IF($FN269+FO$244&gt;73,"",PRODUCT(INDEX($T$19:$T$93,FO$244):INDEX($T$19:$T$93,FO$244+$FN269-1)))</f>
        <v/>
      </c>
      <c r="FP269" s="469" t="str">
        <f ca="1">IF($FN269+FP$244&gt;73,"",PRODUCT(INDEX($T$19:$T$93,FP$244):INDEX($T$19:$T$93,FP$244+$FN269-1)))</f>
        <v/>
      </c>
      <c r="FQ269" s="469" t="str">
        <f ca="1">IF($FN269+FQ$244&gt;73,"",PRODUCT(INDEX($T$19:$T$93,FQ$244):INDEX($T$19:$T$93,FQ$244+$FN269-1)))</f>
        <v/>
      </c>
      <c r="FR269" s="469" t="str">
        <f ca="1">IF($FN269+FR$244&gt;73,"",PRODUCT(INDEX($T$19:$T$93,FR$244):INDEX($T$19:$T$93,FR$244+$FN269-1)))</f>
        <v/>
      </c>
      <c r="FS269" s="469" t="str">
        <f ca="1">IF($FN269+FS$244&gt;73,"",PRODUCT(INDEX($T$19:$T$93,FS$244):INDEX($T$19:$T$93,FS$244+$FN269-1)))</f>
        <v/>
      </c>
      <c r="FT269" s="469" t="str">
        <f ca="1">IF($FN269+FT$244&gt;73,"",PRODUCT(INDEX($T$19:$T$93,FT$244):INDEX($T$19:$T$93,FT$244+$FN269-1)))</f>
        <v/>
      </c>
      <c r="FU269" s="469" t="str">
        <f ca="1">IF($FN269+FU$244&gt;73,"",PRODUCT(INDEX($T$19:$T$93,FU$244):INDEX($T$19:$T$93,FU$244+$FN269-1)))</f>
        <v/>
      </c>
      <c r="FV269" s="469" t="str">
        <f ca="1">IF($FN269+FV$244&gt;73,"",PRODUCT(INDEX($T$19:$T$93,FV$244):INDEX($T$19:$T$93,FV$244+$FN269-1)))</f>
        <v/>
      </c>
      <c r="FW269" s="469" t="str">
        <f ca="1">IF($FN269+FW$244&gt;73,"",PRODUCT(INDEX($T$19:$T$93,FW$244):INDEX($T$19:$T$93,FW$244+$FN269-1)))</f>
        <v/>
      </c>
      <c r="FX269" s="469" t="str">
        <f ca="1">IF($FN269+FX$244&gt;73,"",PRODUCT(INDEX($T$19:$T$93,FX$244):INDEX($T$19:$T$93,FX$244+$FN269-1)))</f>
        <v/>
      </c>
      <c r="FY269" s="469" t="str">
        <f ca="1">IF($FN269+FY$244&gt;73,"",PRODUCT(INDEX($T$19:$T$93,FY$244):INDEX($T$19:$T$93,FY$244+$FN269-1)))</f>
        <v/>
      </c>
      <c r="FZ269" s="469" t="str">
        <f ca="1">IF($FN269+FZ$244&gt;73,"",PRODUCT(INDEX($T$19:$T$93,FZ$244):INDEX($T$19:$T$93,FZ$244+$FN269-1)))</f>
        <v/>
      </c>
      <c r="GA269" s="469" t="str">
        <f ca="1">IF($FN269+GA$244&gt;73,"",PRODUCT(INDEX($T$19:$T$93,GA$244):INDEX($T$19:$T$93,GA$244+$FN269-1)))</f>
        <v/>
      </c>
      <c r="GB269" s="469" t="str">
        <f ca="1">IF($FN269+GB$244&gt;73,"",PRODUCT(INDEX($T$19:$T$93,GB$244):INDEX($T$19:$T$93,GB$244+$FN269-1)))</f>
        <v/>
      </c>
      <c r="GC269" s="469" t="str">
        <f ca="1">IF($FN269+GC$244&gt;73,"",PRODUCT(INDEX($T$19:$T$93,GC$244):INDEX($T$19:$T$93,GC$244+$FN269-1)))</f>
        <v/>
      </c>
      <c r="GD269" s="469" t="str">
        <f ca="1">IF($FN269+GD$244&gt;73,"",PRODUCT(INDEX($T$19:$T$93,GD$244):INDEX($T$19:$T$93,GD$244+$FN269-1)))</f>
        <v/>
      </c>
      <c r="GE269" s="469" t="str">
        <f ca="1">IF($FN269+GE$244&gt;73,"",PRODUCT(INDEX($T$19:$T$93,GE$244):INDEX($T$19:$T$93,GE$244+$FN269-1)))</f>
        <v/>
      </c>
      <c r="GF269" s="469" t="str">
        <f ca="1">IF($FN269+GF$244&gt;73,"",PRODUCT(INDEX($T$19:$T$93,GF$244):INDEX($T$19:$T$93,GF$244+$FN269-1)))</f>
        <v/>
      </c>
      <c r="GG269" s="469" t="str">
        <f ca="1">IF($FN269+GG$244&gt;73,"",PRODUCT(INDEX($T$19:$T$93,GG$244):INDEX($T$19:$T$93,GG$244+$FN269-1)))</f>
        <v/>
      </c>
      <c r="GH269" s="469" t="str">
        <f ca="1">IF($FN269+GH$244&gt;73,"",PRODUCT(INDEX($T$19:$T$93,GH$244):INDEX($T$19:$T$93,GH$244+$FN269-1)))</f>
        <v/>
      </c>
      <c r="GI269" s="469" t="str">
        <f ca="1">IF($FN269+GI$244&gt;73,"",PRODUCT(INDEX($T$19:$T$93,GI$244):INDEX($T$19:$T$93,GI$244+$FN269-1)))</f>
        <v/>
      </c>
      <c r="GJ269" s="469" t="str">
        <f ca="1">IF($FN269+GJ$244&gt;73,"",PRODUCT(INDEX($T$19:$T$93,GJ$244):INDEX($T$19:$T$93,GJ$244+$FN269-1)))</f>
        <v/>
      </c>
      <c r="GK269" s="469" t="str">
        <f ca="1">IF($FN269+GK$244&gt;73,"",PRODUCT(INDEX($T$19:$T$93,GK$244):INDEX($T$19:$T$93,GK$244+$FN269-1)))</f>
        <v/>
      </c>
      <c r="GL269" s="469" t="str">
        <f ca="1">IF($FN269+GL$244&gt;73,"",PRODUCT(INDEX($T$19:$T$93,GL$244):INDEX($T$19:$T$93,GL$244+$FN269-1)))</f>
        <v/>
      </c>
      <c r="GM269" s="469">
        <f ca="1">IF($FN269+GM$244&gt;73,"",PRODUCT(INDEX($T$19:$T$93,GM$244):INDEX($T$19:$T$93,GM$244+$FN269-1)))</f>
        <v>0.99432251847952269</v>
      </c>
      <c r="GN269" s="469">
        <f ca="1">IF($FN269+GN$244&gt;73,"",PRODUCT(INDEX($T$19:$T$93,GN$244):INDEX($T$19:$T$93,GN$244+$FN269-1)))</f>
        <v>0.99369342663490623</v>
      </c>
      <c r="GO269" s="469">
        <f ca="1">IF($FN269+GO$244&gt;73,"",PRODUCT(INDEX($T$19:$T$93,GO$244):INDEX($T$19:$T$93,GO$244+$FN269-1)))</f>
        <v>0.99299484182604325</v>
      </c>
      <c r="GP269" s="469">
        <f ca="1">IF($FN269+GP$244&gt;73,"",PRODUCT(INDEX($T$19:$T$93,GP$244):INDEX($T$19:$T$93,GP$244+$FN269-1)))</f>
        <v>0.99221913722488042</v>
      </c>
      <c r="GQ269" s="469">
        <f ca="1">IF($FN269+GQ$244&gt;73,"",PRODUCT(INDEX($T$19:$T$93,GQ$244):INDEX($T$19:$T$93,GQ$244+$FN269-1)))</f>
        <v>0.99135786054519193</v>
      </c>
      <c r="GR269" s="469">
        <f ca="1">IF($FN269+GR$244&gt;73,"",PRODUCT(INDEX($T$19:$T$93,GR$244):INDEX($T$19:$T$93,GR$244+$FN269-1)))</f>
        <v>0.9904016473996422</v>
      </c>
      <c r="GS269" s="469">
        <f ca="1">IF($FN269+GS$244&gt;73,"",PRODUCT(INDEX($T$19:$T$93,GS$244):INDEX($T$19:$T$93,GS$244+$FN269-1)))</f>
        <v>0.98934012619320799</v>
      </c>
      <c r="GT269" s="469">
        <f ca="1">IF($FN269+GT$244&gt;73,"",PRODUCT(INDEX($T$19:$T$93,GT$244):INDEX($T$19:$T$93,GT$244+$FN269-1)))</f>
        <v>0.98816181387614732</v>
      </c>
      <c r="GU269" s="469">
        <f ca="1">IF($FN269+GU$244&gt;73,"",PRODUCT(INDEX($T$19:$T$93,GU$244):INDEX($T$19:$T$93,GU$244+$FN269-1)))</f>
        <v>0.98685400186313887</v>
      </c>
      <c r="GV269" s="469">
        <f ca="1">IF($FN269+GV$244&gt;73,"",PRODUCT(INDEX($T$19:$T$93,GV$244):INDEX($T$19:$T$93,GV$244+$FN269-1)))</f>
        <v>0.98540263141952877</v>
      </c>
      <c r="GW269" s="469">
        <f ca="1">IF($FN269+GW$244&gt;73,"",PRODUCT(INDEX($T$19:$T$93,GW$244):INDEX($T$19:$T$93,GW$244+$FN269-1)))</f>
        <v>0.98379215782453233</v>
      </c>
      <c r="GX269" s="469">
        <f ca="1">IF($FN269+GX$244&gt;73,"",PRODUCT(INDEX($T$19:$T$93,GX$244):INDEX($T$19:$T$93,GX$244+$FN269-1)))</f>
        <v>0.98200540264961278</v>
      </c>
      <c r="GY269" s="469">
        <f ca="1">IF($FN269+GY$244&gt;73,"",PRODUCT(INDEX($T$19:$T$93,GY$244):INDEX($T$19:$T$93,GY$244+$FN269-1)))</f>
        <v>0.98002339354381751</v>
      </c>
      <c r="GZ269" s="469">
        <f ca="1">IF($FN269+GZ$244&gt;73,"",PRODUCT(INDEX($T$19:$T$93,GZ$244):INDEX($T$19:$T$93,GZ$244+$FN269-1)))</f>
        <v>0.97782519100382181</v>
      </c>
      <c r="HA269" s="469">
        <f ca="1">IF($FN269+HA$244&gt;73,"",PRODUCT(INDEX($T$19:$T$93,HA$244):INDEX($T$19:$T$93,HA$244+$FN269-1)))</f>
        <v>0.97538770173349287</v>
      </c>
      <c r="HB269" s="469">
        <f ca="1">IF($FN269+HB$244&gt;73,"",PRODUCT(INDEX($T$19:$T$93,HB$244):INDEX($T$19:$T$93,HB$244+$FN269-1)))</f>
        <v>0.97268547837642361</v>
      </c>
      <c r="HC269" s="469">
        <f ca="1">IF($FN269+HC$244&gt;73,"",PRODUCT(INDEX($T$19:$T$93,HC$244):INDEX($T$19:$T$93,HC$244+$FN269-1)))</f>
        <v>0.96969050564783565</v>
      </c>
      <c r="HD269" s="469">
        <f ca="1">IF($FN269+HD$244&gt;73,"",PRODUCT(INDEX($T$19:$T$93,HD$244):INDEX($T$19:$T$93,HD$244+$FN269-1)))</f>
        <v>0.96637197321449098</v>
      </c>
      <c r="HE269" s="469">
        <f ca="1">IF($FN269+HE$244&gt;73,"",PRODUCT(INDEX($T$19:$T$93,HE$244):INDEX($T$19:$T$93,HE$244+$FN269-1)))</f>
        <v>0.96269603609078425</v>
      </c>
      <c r="HF269" s="469">
        <f ca="1">IF($FN269+HF$244&gt;73,"",PRODUCT(INDEX($T$19:$T$93,HF$244):INDEX($T$19:$T$93,HF$244+$FN269-1)))</f>
        <v>0.95862556385714992</v>
      </c>
      <c r="HG269" s="469">
        <f ca="1">IF($FN269+HG$244&gt;73,"",PRODUCT(INDEX($T$19:$T$93,HG$244):INDEX($T$19:$T$93,HG$244+$FN269-1)))</f>
        <v>0.95411988068790543</v>
      </c>
      <c r="HH269" s="469">
        <f ca="1">IF($FN269+HH$244&gt;73,"",PRODUCT(INDEX($T$19:$T$93,HH$244):INDEX($T$19:$T$93,HH$244+$FN269-1)))</f>
        <v>0.94913449902861691</v>
      </c>
      <c r="HI269" s="469">
        <f ca="1">IF($FN269+HI$244&gt;73,"",PRODUCT(INDEX($T$19:$T$93,HI$244):INDEX($T$19:$T$93,HI$244+$FN269-1)))</f>
        <v>0.9436208508210272</v>
      </c>
      <c r="HJ269" s="469">
        <f ca="1">IF($FN269+HJ$244&gt;73,"",PRODUCT(INDEX($T$19:$T$93,HJ$244):INDEX($T$19:$T$93,HJ$244+$FN269-1)))</f>
        <v>0.93752602147471908</v>
      </c>
      <c r="HK269" s="469">
        <f ca="1">IF($FN269+HK$244&gt;73,"",PRODUCT(INDEX($T$19:$T$93,HK$244):INDEX($T$19:$T$93,HK$244+$FN269-1)))</f>
        <v>0.93079249337232339</v>
      </c>
      <c r="HL269" s="469">
        <f ca="1">IF($FN269+HL$244&gt;73,"",PRODUCT(INDEX($T$19:$T$93,HL$244):INDEX($T$19:$T$93,HL$244+$FN269-1)))</f>
        <v>0.92335790761831282</v>
      </c>
      <c r="HM269" s="469">
        <f ca="1">IF($FN269+HM$244&gt;73,"",PRODUCT(INDEX($T$19:$T$93,HM$244):INDEX($T$19:$T$93,HM$244+$FN269-1)))</f>
        <v>0.9151548550556059</v>
      </c>
      <c r="HN269" s="469">
        <f ca="1">IF($FN269+HN$244&gt;73,"",PRODUCT(INDEX($T$19:$T$93,HN$244):INDEX($T$19:$T$93,HN$244+$FN269-1)))</f>
        <v>0.90611071034158819</v>
      </c>
      <c r="HO269" s="469">
        <f ca="1">IF($FN269+HO$244&gt;73,"",PRODUCT(INDEX($T$19:$T$93,HO$244):INDEX($T$19:$T$93,HO$244+$FN269-1)))</f>
        <v>0.89614752616567661</v>
      </c>
      <c r="HP269" s="469">
        <f ca="1">IF($FN269+HP$244&gt;73,"",PRODUCT(INDEX($T$19:$T$93,HP$244):INDEX($T$19:$T$93,HP$244+$FN269-1)))</f>
        <v>0.88518200858346863</v>
      </c>
      <c r="HQ269" s="469">
        <f ca="1">IF($FN269+HQ$244&gt;73,"",PRODUCT(INDEX($T$19:$T$93,HQ$244):INDEX($T$19:$T$93,HQ$244+$FN269-1)))</f>
        <v>0.87312559902814124</v>
      </c>
      <c r="HR269" s="469">
        <f ca="1">IF($FN269+HR$244&gt;73,"",PRODUCT(INDEX($T$19:$T$93,HR$244):INDEX($T$19:$T$93,HR$244+$FN269-1)))</f>
        <v>0.85988469394319389</v>
      </c>
      <c r="HS269" s="469">
        <f ca="1">IF($FN269+HS$244&gt;73,"",PRODUCT(INDEX($T$19:$T$93,HS$244):INDEX($T$19:$T$93,HS$244+$FN269-1)))</f>
        <v>0.84536103928607598</v>
      </c>
      <c r="HT269" s="469">
        <f ca="1">IF($FN269+HT$244&gt;73,"",PRODUCT(INDEX($T$19:$T$93,HT$244):INDEX($T$19:$T$93,HT$244+$FN269-1)))</f>
        <v>0.82945234453013139</v>
      </c>
      <c r="HU269" s="469">
        <f ca="1">IF($FN269+HU$244&gt;73,"",PRODUCT(INDEX($T$19:$T$93,HU$244):INDEX($T$19:$T$93,HU$244+$FN269-1)))</f>
        <v>0.81205316942753869</v>
      </c>
      <c r="HV269" s="469">
        <f ca="1">IF($FN269+HV$244&gt;73,"",PRODUCT(INDEX($T$19:$T$93,HV$244):INDEX($T$19:$T$93,HV$244+$FN269-1)))</f>
        <v>0.79305614691753401</v>
      </c>
      <c r="HW269" s="469">
        <f ca="1">IF($FN269+HW$244&gt;73,"",PRODUCT(INDEX($T$19:$T$93,HW$244):INDEX($T$19:$T$93,HW$244+$FN269-1)))</f>
        <v>0.77235361745256337</v>
      </c>
      <c r="HX269" s="469">
        <f ca="1">IF($FN269+HX$244&gt;73,"",PRODUCT(INDEX($T$19:$T$93,HX$244):INDEX($T$19:$T$93,HX$244+$FN269-1)))</f>
        <v>0.7498397640003297</v>
      </c>
      <c r="HY269" s="469">
        <f ca="1">IF($FN269+HY$244&gt;73,"",PRODUCT(INDEX($T$19:$T$93,HY$244):INDEX($T$19:$T$93,HY$244+$FN269-1)))</f>
        <v>0.7254133534175895</v>
      </c>
      <c r="HZ269" s="469">
        <f ca="1">IF($FN269+HZ$244&gt;73,"",PRODUCT(INDEX($T$19:$T$93,HZ$244):INDEX($T$19:$T$93,HZ$244+$FN269-1)))</f>
        <v>0.69898120908956507</v>
      </c>
      <c r="IA269" s="469">
        <f ca="1">IF($FN269+IA$244&gt;73,"",PRODUCT(INDEX($T$19:$T$93,IA$244):INDEX($T$19:$T$93,IA$244+$FN269-1)))</f>
        <v>0.67046256177794061</v>
      </c>
      <c r="IB269" s="469">
        <f ca="1">IF($FN269+IB$244&gt;73,"",PRODUCT(INDEX($T$19:$T$93,IB$244):INDEX($T$19:$T$93,IB$244+$FN269-1)))</f>
        <v>0.63979445005364077</v>
      </c>
      <c r="IC269" s="469">
        <f ca="1">IF($FN269+IC$244&gt;73,"",PRODUCT(INDEX($T$19:$T$93,IC$244):INDEX($T$19:$T$93,IC$244+$FN269-1)))</f>
        <v>0.60693836684444447</v>
      </c>
      <c r="ID269" s="469">
        <f ca="1">IF($FN269+ID$244&gt;73,"",PRODUCT(INDEX($T$19:$T$93,ID$244):INDEX($T$19:$T$93,ID$244+$FN269-1)))</f>
        <v>0.57188837051729535</v>
      </c>
      <c r="IE269" s="469">
        <f ca="1">IF($FN269+IE$244&gt;73,"",PRODUCT(INDEX($T$19:$T$93,IE$244):INDEX($T$19:$T$93,IE$244+$FN269-1)))</f>
        <v>0.53468088935702318</v>
      </c>
      <c r="IF269" s="469">
        <f ca="1">IF($FN269+IF$244&gt;73,"",PRODUCT(INDEX($T$19:$T$93,IF$244):INDEX($T$19:$T$93,IF$244+$FN269-1)))</f>
        <v>0.49540643194329836</v>
      </c>
      <c r="IG269" s="469">
        <f ca="1">IF($FN269+IG$244&gt;73,"",PRODUCT(INDEX($T$19:$T$93,IG$244):INDEX($T$19:$T$93,IG$244+$FN269-1)))</f>
        <v>0.45422334583113644</v>
      </c>
      <c r="IH269" s="662">
        <f ca="1">IF($FN269+IH$244&gt;73,"",PRODUCT(INDEX($T$19:$T$93,IH$244):INDEX($T$19:$T$93,IH$244+$FN269-1)))</f>
        <v>0.41137359858353656</v>
      </c>
      <c r="II269" s="242"/>
    </row>
    <row r="270" spans="8:243">
      <c r="I270" s="132"/>
      <c r="J270" s="365"/>
      <c r="K270" s="133"/>
      <c r="L270" s="1"/>
      <c r="M270" s="366"/>
      <c r="P270" s="365"/>
      <c r="S270" s="53"/>
      <c r="T270" s="365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03"/>
      <c r="AM270" s="103"/>
      <c r="AN270" s="103"/>
      <c r="AO270" s="364">
        <v>6.4744265451606997E-2</v>
      </c>
      <c r="AP270" s="31"/>
      <c r="AQ270" s="364">
        <v>5.9334808184721997E-2</v>
      </c>
      <c r="AR270" s="31"/>
      <c r="AS270" s="31"/>
      <c r="AT270" s="31"/>
      <c r="AU270" s="31"/>
      <c r="AV270" s="146"/>
      <c r="AW270" s="103"/>
      <c r="AX270" s="103"/>
      <c r="AY270" s="103"/>
      <c r="AZ270" s="103"/>
      <c r="BA270" s="103"/>
      <c r="BB270" s="103"/>
      <c r="BC270" s="104"/>
      <c r="BD270" s="104"/>
      <c r="BE270" s="104"/>
      <c r="BF270" s="102"/>
      <c r="BG270" s="104"/>
      <c r="BH270" s="104"/>
      <c r="BI270" s="152"/>
      <c r="BJ270" s="103"/>
      <c r="BK270" s="103"/>
      <c r="BL270" s="103"/>
      <c r="BM270" s="103"/>
      <c r="BN270" s="103"/>
      <c r="BO270" s="103"/>
      <c r="BP270" s="103"/>
      <c r="BQ270" s="103"/>
      <c r="BR270" s="103"/>
      <c r="BS270" s="103"/>
      <c r="BT270" s="104"/>
      <c r="BU270" s="104"/>
      <c r="BV270" s="104"/>
      <c r="BW270" s="104"/>
      <c r="BX270" s="104"/>
      <c r="BY270" s="104"/>
      <c r="BZ270" s="104"/>
      <c r="CA270" s="104"/>
      <c r="CB270" s="104"/>
      <c r="CC270" s="104"/>
      <c r="CD270" s="103"/>
      <c r="CE270" s="103"/>
      <c r="CF270" s="103"/>
      <c r="CG270" s="103"/>
      <c r="CH270" s="103"/>
      <c r="CI270" s="103"/>
      <c r="CJ270" s="107"/>
      <c r="CK270" s="1"/>
      <c r="CL270" s="51"/>
      <c r="CM270" s="51"/>
      <c r="CN270" s="51"/>
      <c r="CO270" s="51"/>
      <c r="CP270" s="51"/>
      <c r="CQ270" s="51"/>
      <c r="CR270" s="51"/>
      <c r="CS270" s="51"/>
      <c r="CT270" s="51"/>
      <c r="CU270" s="51"/>
      <c r="CV270" s="51"/>
      <c r="CW270" s="51"/>
      <c r="CX270" s="51"/>
      <c r="CY270" s="51"/>
      <c r="CZ270" s="51"/>
      <c r="DA270" s="51"/>
      <c r="DB270" s="51"/>
      <c r="DC270" s="51"/>
      <c r="DF270" s="465"/>
      <c r="DI270" s="465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3"/>
      <c r="EP270" s="53"/>
      <c r="EQ270" s="1"/>
      <c r="ER270" s="103"/>
      <c r="ES270" s="103"/>
      <c r="ET270" s="1"/>
      <c r="EU270" s="103"/>
      <c r="EV270" s="1"/>
      <c r="EW270" s="1"/>
      <c r="EX270" s="1"/>
      <c r="EY270" s="103"/>
      <c r="FN270" s="657">
        <v>26</v>
      </c>
      <c r="FO270" s="469" t="str">
        <f ca="1">IF($FN270+FO$244&gt;73,"",PRODUCT(INDEX($T$19:$T$93,FO$244):INDEX($T$19:$T$93,FO$244+$FN270-1)))</f>
        <v/>
      </c>
      <c r="FP270" s="469" t="str">
        <f ca="1">IF($FN270+FP$244&gt;73,"",PRODUCT(INDEX($T$19:$T$93,FP$244):INDEX($T$19:$T$93,FP$244+$FN270-1)))</f>
        <v/>
      </c>
      <c r="FQ270" s="469" t="str">
        <f ca="1">IF($FN270+FQ$244&gt;73,"",PRODUCT(INDEX($T$19:$T$93,FQ$244):INDEX($T$19:$T$93,FQ$244+$FN270-1)))</f>
        <v/>
      </c>
      <c r="FR270" s="469" t="str">
        <f ca="1">IF($FN270+FR$244&gt;73,"",PRODUCT(INDEX($T$19:$T$93,FR$244):INDEX($T$19:$T$93,FR$244+$FN270-1)))</f>
        <v/>
      </c>
      <c r="FS270" s="469" t="str">
        <f ca="1">IF($FN270+FS$244&gt;73,"",PRODUCT(INDEX($T$19:$T$93,FS$244):INDEX($T$19:$T$93,FS$244+$FN270-1)))</f>
        <v/>
      </c>
      <c r="FT270" s="469" t="str">
        <f ca="1">IF($FN270+FT$244&gt;73,"",PRODUCT(INDEX($T$19:$T$93,FT$244):INDEX($T$19:$T$93,FT$244+$FN270-1)))</f>
        <v/>
      </c>
      <c r="FU270" s="469" t="str">
        <f ca="1">IF($FN270+FU$244&gt;73,"",PRODUCT(INDEX($T$19:$T$93,FU$244):INDEX($T$19:$T$93,FU$244+$FN270-1)))</f>
        <v/>
      </c>
      <c r="FV270" s="469" t="str">
        <f ca="1">IF($FN270+FV$244&gt;73,"",PRODUCT(INDEX($T$19:$T$93,FV$244):INDEX($T$19:$T$93,FV$244+$FN270-1)))</f>
        <v/>
      </c>
      <c r="FW270" s="469" t="str">
        <f ca="1">IF($FN270+FW$244&gt;73,"",PRODUCT(INDEX($T$19:$T$93,FW$244):INDEX($T$19:$T$93,FW$244+$FN270-1)))</f>
        <v/>
      </c>
      <c r="FX270" s="469" t="str">
        <f ca="1">IF($FN270+FX$244&gt;73,"",PRODUCT(INDEX($T$19:$T$93,FX$244):INDEX($T$19:$T$93,FX$244+$FN270-1)))</f>
        <v/>
      </c>
      <c r="FY270" s="469" t="str">
        <f ca="1">IF($FN270+FY$244&gt;73,"",PRODUCT(INDEX($T$19:$T$93,FY$244):INDEX($T$19:$T$93,FY$244+$FN270-1)))</f>
        <v/>
      </c>
      <c r="FZ270" s="469" t="str">
        <f ca="1">IF($FN270+FZ$244&gt;73,"",PRODUCT(INDEX($T$19:$T$93,FZ$244):INDEX($T$19:$T$93,FZ$244+$FN270-1)))</f>
        <v/>
      </c>
      <c r="GA270" s="469" t="str">
        <f ca="1">IF($FN270+GA$244&gt;73,"",PRODUCT(INDEX($T$19:$T$93,GA$244):INDEX($T$19:$T$93,GA$244+$FN270-1)))</f>
        <v/>
      </c>
      <c r="GB270" s="469" t="str">
        <f ca="1">IF($FN270+GB$244&gt;73,"",PRODUCT(INDEX($T$19:$T$93,GB$244):INDEX($T$19:$T$93,GB$244+$FN270-1)))</f>
        <v/>
      </c>
      <c r="GC270" s="469" t="str">
        <f ca="1">IF($FN270+GC$244&gt;73,"",PRODUCT(INDEX($T$19:$T$93,GC$244):INDEX($T$19:$T$93,GC$244+$FN270-1)))</f>
        <v/>
      </c>
      <c r="GD270" s="469" t="str">
        <f ca="1">IF($FN270+GD$244&gt;73,"",PRODUCT(INDEX($T$19:$T$93,GD$244):INDEX($T$19:$T$93,GD$244+$FN270-1)))</f>
        <v/>
      </c>
      <c r="GE270" s="469" t="str">
        <f ca="1">IF($FN270+GE$244&gt;73,"",PRODUCT(INDEX($T$19:$T$93,GE$244):INDEX($T$19:$T$93,GE$244+$FN270-1)))</f>
        <v/>
      </c>
      <c r="GF270" s="469" t="str">
        <f ca="1">IF($FN270+GF$244&gt;73,"",PRODUCT(INDEX($T$19:$T$93,GF$244):INDEX($T$19:$T$93,GF$244+$FN270-1)))</f>
        <v/>
      </c>
      <c r="GG270" s="469" t="str">
        <f ca="1">IF($FN270+GG$244&gt;73,"",PRODUCT(INDEX($T$19:$T$93,GG$244):INDEX($T$19:$T$93,GG$244+$FN270-1)))</f>
        <v/>
      </c>
      <c r="GH270" s="469" t="str">
        <f ca="1">IF($FN270+GH$244&gt;73,"",PRODUCT(INDEX($T$19:$T$93,GH$244):INDEX($T$19:$T$93,GH$244+$FN270-1)))</f>
        <v/>
      </c>
      <c r="GI270" s="469" t="str">
        <f ca="1">IF($FN270+GI$244&gt;73,"",PRODUCT(INDEX($T$19:$T$93,GI$244):INDEX($T$19:$T$93,GI$244+$FN270-1)))</f>
        <v/>
      </c>
      <c r="GJ270" s="469" t="str">
        <f ca="1">IF($FN270+GJ$244&gt;73,"",PRODUCT(INDEX($T$19:$T$93,GJ$244):INDEX($T$19:$T$93,GJ$244+$FN270-1)))</f>
        <v/>
      </c>
      <c r="GK270" s="469" t="str">
        <f ca="1">IF($FN270+GK$244&gt;73,"",PRODUCT(INDEX($T$19:$T$93,GK$244):INDEX($T$19:$T$93,GK$244+$FN270-1)))</f>
        <v/>
      </c>
      <c r="GL270" s="469" t="str">
        <f ca="1">IF($FN270+GL$244&gt;73,"",PRODUCT(INDEX($T$19:$T$93,GL$244):INDEX($T$19:$T$93,GL$244+$FN270-1)))</f>
        <v/>
      </c>
      <c r="GM270" s="469" t="str">
        <f ca="1">IF($FN270+GM$244&gt;73,"",PRODUCT(INDEX($T$19:$T$93,GM$244):INDEX($T$19:$T$93,GM$244+$FN270-1)))</f>
        <v/>
      </c>
      <c r="GN270" s="469">
        <f ca="1">IF($FN270+GN$244&gt;73,"",PRODUCT(INDEX($T$19:$T$93,GN$244):INDEX($T$19:$T$93,GN$244+$FN270-1)))</f>
        <v>0.99364482239250551</v>
      </c>
      <c r="GO270" s="469">
        <f ca="1">IF($FN270+GO$244&gt;73,"",PRODUCT(INDEX($T$19:$T$93,GO$244):INDEX($T$19:$T$93,GO$244+$FN270-1)))</f>
        <v>0.992940874928947</v>
      </c>
      <c r="GP270" s="469">
        <f ca="1">IF($FN270+GP$244&gt;73,"",PRODUCT(INDEX($T$19:$T$93,GP$244):INDEX($T$19:$T$93,GP$244+$FN270-1)))</f>
        <v>0.99215922066288764</v>
      </c>
      <c r="GQ270" s="469">
        <f ca="1">IF($FN270+GQ$244&gt;73,"",PRODUCT(INDEX($T$19:$T$93,GQ$244):INDEX($T$19:$T$93,GQ$244+$FN270-1)))</f>
        <v>0.99129134414722375</v>
      </c>
      <c r="GR270" s="469">
        <f ca="1">IF($FN270+GR$244&gt;73,"",PRODUCT(INDEX($T$19:$T$93,GR$244):INDEX($T$19:$T$93,GR$244+$FN270-1)))</f>
        <v>0.99032781129553549</v>
      </c>
      <c r="GS270" s="469">
        <f ca="1">IF($FN270+GS$244&gt;73,"",PRODUCT(INDEX($T$19:$T$93,GS$244):INDEX($T$19:$T$93,GS$244+$FN270-1)))</f>
        <v>0.98925817366004032</v>
      </c>
      <c r="GT270" s="469">
        <f ca="1">IF($FN270+GT$244&gt;73,"",PRODUCT(INDEX($T$19:$T$93,GT$244):INDEX($T$19:$T$93,GT$244+$FN270-1)))</f>
        <v>0.98807086352618756</v>
      </c>
      <c r="GU270" s="469">
        <f ca="1">IF($FN270+GU$244&gt;73,"",PRODUCT(INDEX($T$19:$T$93,GU$244):INDEX($T$19:$T$93,GU$244+$FN270-1)))</f>
        <v>0.98675307913152666</v>
      </c>
      <c r="GV270" s="469">
        <f ca="1">IF($FN270+GV$244&gt;73,"",PRODUCT(INDEX($T$19:$T$93,GV$244):INDEX($T$19:$T$93,GV$244+$FN270-1)))</f>
        <v>0.98529065931218196</v>
      </c>
      <c r="GW270" s="469">
        <f ca="1">IF($FN270+GW$244&gt;73,"",PRODUCT(INDEX($T$19:$T$93,GW$244):INDEX($T$19:$T$93,GW$244+$FN270-1)))</f>
        <v>0.98366794689100556</v>
      </c>
      <c r="GX270" s="469">
        <f ca="1">IF($FN270+GX$244&gt;73,"",PRODUCT(INDEX($T$19:$T$93,GX$244):INDEX($T$19:$T$93,GX$244+$FN270-1)))</f>
        <v>0.98186764015220007</v>
      </c>
      <c r="GY270" s="469">
        <f ca="1">IF($FN270+GY$244&gt;73,"",PRODUCT(INDEX($T$19:$T$93,GY$244):INDEX($T$19:$T$93,GY$244+$FN270-1)))</f>
        <v>0.97987063180377187</v>
      </c>
      <c r="GZ270" s="469">
        <f ca="1">IF($FN270+GZ$244&gt;73,"",PRODUCT(INDEX($T$19:$T$93,GZ$244):INDEX($T$19:$T$93,GZ$244+$FN270-1)))</f>
        <v>0.9776558349189538</v>
      </c>
      <c r="HA270" s="469">
        <f ca="1">IF($FN270+HA$244&gt;73,"",PRODUCT(INDEX($T$19:$T$93,HA$244):INDEX($T$19:$T$93,HA$244+$FN270-1)))</f>
        <v>0.9751999954795828</v>
      </c>
      <c r="HB270" s="469">
        <f ca="1">IF($FN270+HB$244&gt;73,"",PRODUCT(INDEX($T$19:$T$93,HB$244):INDEX($T$19:$T$93,HB$244+$FN270-1)))</f>
        <v>0.97247749132903083</v>
      </c>
      <c r="HC270" s="469">
        <f ca="1">IF($FN270+HC$244&gt;73,"",PRODUCT(INDEX($T$19:$T$93,HC$244):INDEX($T$19:$T$93,HC$244+$FN270-1)))</f>
        <v>0.96946011759263651</v>
      </c>
      <c r="HD270" s="469">
        <f ca="1">IF($FN270+HD$244&gt;73,"",PRODUCT(INDEX($T$19:$T$93,HD$244):INDEX($T$19:$T$93,HD$244+$FN270-1)))</f>
        <v>0.96611685895493815</v>
      </c>
      <c r="HE270" s="469">
        <f ca="1">IF($FN270+HE$244&gt;73,"",PRODUCT(INDEX($T$19:$T$93,HE$244):INDEX($T$19:$T$93,HE$244+$FN270-1)))</f>
        <v>0.96241364961369125</v>
      </c>
      <c r="HF270" s="469">
        <f ca="1">IF($FN270+HF$244&gt;73,"",PRODUCT(INDEX($T$19:$T$93,HF$244):INDEX($T$19:$T$93,HF$244+$FN270-1)))</f>
        <v>0.95831312228216847</v>
      </c>
      <c r="HG270" s="469">
        <f ca="1">IF($FN270+HG$244&gt;73,"",PRODUCT(INDEX($T$19:$T$93,HG$244):INDEX($T$19:$T$93,HG$244+$FN270-1)))</f>
        <v>0.95377434830858832</v>
      </c>
      <c r="HH270" s="469">
        <f ca="1">IF($FN270+HH$244&gt;73,"",PRODUCT(INDEX($T$19:$T$93,HH$244):INDEX($T$19:$T$93,HH$244+$FN270-1)))</f>
        <v>0.94875257185410411</v>
      </c>
      <c r="HI270" s="469">
        <f ca="1">IF($FN270+HI$244&gt;73,"",PRODUCT(INDEX($T$19:$T$93,HI$244):INDEX($T$19:$T$93,HI$244+$FN270-1)))</f>
        <v>0.94319894215207556</v>
      </c>
      <c r="HJ270" s="469">
        <f ca="1">IF($FN270+HJ$244&gt;73,"",PRODUCT(INDEX($T$19:$T$93,HJ$244):INDEX($T$19:$T$93,HJ$244+$FN270-1)))</f>
        <v>0.93706024920001629</v>
      </c>
      <c r="HK270" s="469">
        <f ca="1">IF($FN270+HK$244&gt;73,"",PRODUCT(INDEX($T$19:$T$93,HK$244):INDEX($T$19:$T$93,HK$244+$FN270-1)))</f>
        <v>0.93027866985541174</v>
      </c>
      <c r="HL270" s="469">
        <f ca="1">IF($FN270+HL$244&gt;73,"",PRODUCT(INDEX($T$19:$T$93,HL$244):INDEX($T$19:$T$93,HL$244+$FN270-1)))</f>
        <v>0.92279153326699737</v>
      </c>
      <c r="HM270" s="469">
        <f ca="1">IF($FN270+HM$244&gt;73,"",PRODUCT(INDEX($T$19:$T$93,HM$244):INDEX($T$19:$T$93,HM$244+$FN270-1)))</f>
        <v>0.91453111692963651</v>
      </c>
      <c r="HN270" s="469">
        <f ca="1">IF($FN270+HN$244&gt;73,"",PRODUCT(INDEX($T$19:$T$93,HN$244):INDEX($T$19:$T$93,HN$244+$FN270-1)))</f>
        <v>0.9054244874658216</v>
      </c>
      <c r="HO270" s="469">
        <f ca="1">IF($FN270+HO$244&gt;73,"",PRODUCT(INDEX($T$19:$T$93,HO$244):INDEX($T$19:$T$93,HO$244+$FN270-1)))</f>
        <v>0.89539340357950448</v>
      </c>
      <c r="HP270" s="469">
        <f ca="1">IF($FN270+HP$244&gt;73,"",PRODUCT(INDEX($T$19:$T$93,HP$244):INDEX($T$19:$T$93,HP$244+$FN270-1)))</f>
        <v>0.8843543025765811</v>
      </c>
      <c r="HQ270" s="469">
        <f ca="1">IF($FN270+HQ$244&gt;73,"",PRODUCT(INDEX($T$19:$T$93,HQ$244):INDEX($T$19:$T$93,HQ$244+$FN270-1)))</f>
        <v>0.87221839648915067</v>
      </c>
      <c r="HR270" s="469">
        <f ca="1">IF($FN270+HR$244&gt;73,"",PRODUCT(INDEX($T$19:$T$93,HR$244):INDEX($T$19:$T$93,HR$244+$FN270-1)))</f>
        <v>0.85889190927932446</v>
      </c>
      <c r="HS270" s="469">
        <f ca="1">IF($FN270+HS$244&gt;73,"",PRODUCT(INDEX($T$19:$T$93,HS$244):INDEX($T$19:$T$93,HS$244+$FN270-1)))</f>
        <v>0.84427649295169405</v>
      </c>
      <c r="HT270" s="469">
        <f ca="1">IF($FN270+HT$244&gt;73,"",PRODUCT(INDEX($T$19:$T$93,HT$244):INDEX($T$19:$T$93,HT$244+$FN270-1)))</f>
        <v>0.82826986781393142</v>
      </c>
      <c r="HU270" s="469">
        <f ca="1">IF($FN270+HU$244&gt;73,"",PRODUCT(INDEX($T$19:$T$93,HU$244):INDEX($T$19:$T$93,HU$244+$FN270-1)))</f>
        <v>0.81076674076533672</v>
      </c>
      <c r="HV270" s="469">
        <f ca="1">IF($FN270+HV$244&gt;73,"",PRODUCT(INDEX($T$19:$T$93,HV$244):INDEX($T$19:$T$93,HV$244+$FN270-1)))</f>
        <v>0.79166006557530499</v>
      </c>
      <c r="HW270" s="469">
        <f ca="1">IF($FN270+HW$244&gt;73,"",PRODUCT(INDEX($T$19:$T$93,HW$244):INDEX($T$19:$T$93,HW$244+$FN270-1)))</f>
        <v>0.77084272089351358</v>
      </c>
      <c r="HX270" s="469">
        <f ca="1">IF($FN270+HX$244&gt;73,"",PRODUCT(INDEX($T$19:$T$93,HX$244):INDEX($T$19:$T$93,HX$244+$FN270-1)))</f>
        <v>0.74820969550689653</v>
      </c>
      <c r="HY270" s="469">
        <f ca="1">IF($FN270+HY$244&gt;73,"",PRODUCT(INDEX($T$19:$T$93,HY$244):INDEX($T$19:$T$93,HY$244+$FN270-1)))</f>
        <v>0.72366088643283288</v>
      </c>
      <c r="HZ270" s="469">
        <f ca="1">IF($FN270+HZ$244&gt;73,"",PRODUCT(INDEX($T$19:$T$93,HZ$244):INDEX($T$19:$T$93,HZ$244+$FN270-1)))</f>
        <v>0.69710463405497669</v>
      </c>
      <c r="IA270" s="469">
        <f ca="1">IF($FN270+IA$244&gt;73,"",PRODUCT(INDEX($T$19:$T$93,IA$244):INDEX($T$19:$T$93,IA$244+$FN270-1)))</f>
        <v>0.66846213966925405</v>
      </c>
      <c r="IB270" s="469">
        <f ca="1">IF($FN270+IB$244&gt;73,"",PRODUCT(INDEX($T$19:$T$93,IB$244):INDEX($T$19:$T$93,IB$244+$FN270-1)))</f>
        <v>0.63767293392662749</v>
      </c>
      <c r="IC270" s="469">
        <f ca="1">IF($FN270+IC$244&gt;73,"",PRODUCT(INDEX($T$19:$T$93,IC$244):INDEX($T$19:$T$93,IC$244+$FN270-1)))</f>
        <v>0.60470158791876294</v>
      </c>
      <c r="ID270" s="469">
        <f ca="1">IF($FN270+ID$244&gt;73,"",PRODUCT(INDEX($T$19:$T$93,ID$244):INDEX($T$19:$T$93,ID$244+$FN270-1)))</f>
        <v>0.56954587787803623</v>
      </c>
      <c r="IE270" s="469">
        <f ca="1">IF($FN270+IE$244&gt;73,"",PRODUCT(INDEX($T$19:$T$93,IE$244):INDEX($T$19:$T$93,IE$244+$FN270-1)))</f>
        <v>0.53224662125441213</v>
      </c>
      <c r="IF270" s="469">
        <f ca="1">IF($FN270+IF$244&gt;73,"",PRODUCT(INDEX($T$19:$T$93,IF$244):INDEX($T$19:$T$93,IF$244+$FN270-1)))</f>
        <v>0.49289938072735673</v>
      </c>
      <c r="IG270" s="469">
        <f ca="1">IF($FN270+IG$244&gt;73,"",PRODUCT(INDEX($T$19:$T$93,IG$244):INDEX($T$19:$T$93,IG$244+$FN270-1)))</f>
        <v>0.4516681564613893</v>
      </c>
      <c r="IH270" s="662">
        <f ca="1">IF($FN270+IH$244&gt;73,"",PRODUCT(INDEX($T$19:$T$93,IH$244):INDEX($T$19:$T$93,IH$244+$FN270-1)))</f>
        <v>0.40880101124802293</v>
      </c>
      <c r="II270" s="242"/>
    </row>
    <row r="271" spans="8:243">
      <c r="I271" s="132"/>
      <c r="J271" s="365"/>
      <c r="K271" s="133"/>
      <c r="L271" s="1"/>
      <c r="M271" s="366"/>
      <c r="P271" s="365"/>
      <c r="S271" s="53"/>
      <c r="T271" s="365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03"/>
      <c r="AM271" s="103"/>
      <c r="AN271" s="103"/>
      <c r="AO271" s="364">
        <v>6.4754913226559005E-2</v>
      </c>
      <c r="AP271" s="31"/>
      <c r="AQ271" s="364">
        <v>5.9295577267532498E-2</v>
      </c>
      <c r="AR271" s="31"/>
      <c r="AS271" s="31"/>
      <c r="AT271" s="31"/>
      <c r="AU271" s="31"/>
      <c r="AV271" s="146"/>
      <c r="AW271" s="103"/>
      <c r="AX271" s="103"/>
      <c r="AY271" s="103"/>
      <c r="AZ271" s="103"/>
      <c r="BA271" s="103"/>
      <c r="BB271" s="103"/>
      <c r="BC271" s="104"/>
      <c r="BD271" s="104"/>
      <c r="BE271" s="104"/>
      <c r="BF271" s="102"/>
      <c r="BG271" s="104"/>
      <c r="BH271" s="104"/>
      <c r="BI271" s="152"/>
      <c r="BJ271" s="103"/>
      <c r="BK271" s="103"/>
      <c r="BL271" s="103"/>
      <c r="BM271" s="103"/>
      <c r="BN271" s="103"/>
      <c r="BO271" s="103"/>
      <c r="BP271" s="103"/>
      <c r="BQ271" s="103"/>
      <c r="BR271" s="103"/>
      <c r="BS271" s="103"/>
      <c r="BT271" s="104"/>
      <c r="BU271" s="104"/>
      <c r="BV271" s="104"/>
      <c r="BW271" s="104"/>
      <c r="BX271" s="104"/>
      <c r="BY271" s="104"/>
      <c r="BZ271" s="104"/>
      <c r="CA271" s="104"/>
      <c r="CB271" s="104"/>
      <c r="CC271" s="104"/>
      <c r="CD271" s="103"/>
      <c r="CE271" s="103"/>
      <c r="CF271" s="103"/>
      <c r="CG271" s="103"/>
      <c r="CH271" s="103"/>
      <c r="CI271" s="103"/>
      <c r="CJ271" s="107"/>
      <c r="CK271" s="1"/>
      <c r="CL271" s="51"/>
      <c r="CM271" s="51"/>
      <c r="CN271" s="51"/>
      <c r="CO271" s="51"/>
      <c r="CP271" s="51"/>
      <c r="CQ271" s="51"/>
      <c r="CR271" s="51"/>
      <c r="CS271" s="51"/>
      <c r="CT271" s="51"/>
      <c r="CU271" s="51"/>
      <c r="CV271" s="51"/>
      <c r="CW271" s="51"/>
      <c r="CX271" s="51"/>
      <c r="CY271" s="51"/>
      <c r="CZ271" s="51"/>
      <c r="DA271" s="51"/>
      <c r="DB271" s="51"/>
      <c r="DC271" s="51"/>
      <c r="DF271" s="465"/>
      <c r="DI271" s="465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3"/>
      <c r="EP271" s="53"/>
      <c r="EQ271" s="1"/>
      <c r="ER271" s="103"/>
      <c r="ES271" s="103"/>
      <c r="ET271" s="1"/>
      <c r="EU271" s="103"/>
      <c r="EV271" s="1"/>
      <c r="EW271" s="1"/>
      <c r="EX271" s="1"/>
      <c r="EY271" s="103"/>
      <c r="FN271" s="657">
        <v>27</v>
      </c>
      <c r="FO271" s="469" t="str">
        <f ca="1">IF($FN271+FO$244&gt;73,"",PRODUCT(INDEX($T$19:$T$93,FO$244):INDEX($T$19:$T$93,FO$244+$FN271-1)))</f>
        <v/>
      </c>
      <c r="FP271" s="469" t="str">
        <f ca="1">IF($FN271+FP$244&gt;73,"",PRODUCT(INDEX($T$19:$T$93,FP$244):INDEX($T$19:$T$93,FP$244+$FN271-1)))</f>
        <v/>
      </c>
      <c r="FQ271" s="469" t="str">
        <f ca="1">IF($FN271+FQ$244&gt;73,"",PRODUCT(INDEX($T$19:$T$93,FQ$244):INDEX($T$19:$T$93,FQ$244+$FN271-1)))</f>
        <v/>
      </c>
      <c r="FR271" s="469" t="str">
        <f ca="1">IF($FN271+FR$244&gt;73,"",PRODUCT(INDEX($T$19:$T$93,FR$244):INDEX($T$19:$T$93,FR$244+$FN271-1)))</f>
        <v/>
      </c>
      <c r="FS271" s="469" t="str">
        <f ca="1">IF($FN271+FS$244&gt;73,"",PRODUCT(INDEX($T$19:$T$93,FS$244):INDEX($T$19:$T$93,FS$244+$FN271-1)))</f>
        <v/>
      </c>
      <c r="FT271" s="469" t="str">
        <f ca="1">IF($FN271+FT$244&gt;73,"",PRODUCT(INDEX($T$19:$T$93,FT$244):INDEX($T$19:$T$93,FT$244+$FN271-1)))</f>
        <v/>
      </c>
      <c r="FU271" s="469" t="str">
        <f ca="1">IF($FN271+FU$244&gt;73,"",PRODUCT(INDEX($T$19:$T$93,FU$244):INDEX($T$19:$T$93,FU$244+$FN271-1)))</f>
        <v/>
      </c>
      <c r="FV271" s="469" t="str">
        <f ca="1">IF($FN271+FV$244&gt;73,"",PRODUCT(INDEX($T$19:$T$93,FV$244):INDEX($T$19:$T$93,FV$244+$FN271-1)))</f>
        <v/>
      </c>
      <c r="FW271" s="469" t="str">
        <f ca="1">IF($FN271+FW$244&gt;73,"",PRODUCT(INDEX($T$19:$T$93,FW$244):INDEX($T$19:$T$93,FW$244+$FN271-1)))</f>
        <v/>
      </c>
      <c r="FX271" s="469" t="str">
        <f ca="1">IF($FN271+FX$244&gt;73,"",PRODUCT(INDEX($T$19:$T$93,FX$244):INDEX($T$19:$T$93,FX$244+$FN271-1)))</f>
        <v/>
      </c>
      <c r="FY271" s="469" t="str">
        <f ca="1">IF($FN271+FY$244&gt;73,"",PRODUCT(INDEX($T$19:$T$93,FY$244):INDEX($T$19:$T$93,FY$244+$FN271-1)))</f>
        <v/>
      </c>
      <c r="FZ271" s="469" t="str">
        <f ca="1">IF($FN271+FZ$244&gt;73,"",PRODUCT(INDEX($T$19:$T$93,FZ$244):INDEX($T$19:$T$93,FZ$244+$FN271-1)))</f>
        <v/>
      </c>
      <c r="GA271" s="469" t="str">
        <f ca="1">IF($FN271+GA$244&gt;73,"",PRODUCT(INDEX($T$19:$T$93,GA$244):INDEX($T$19:$T$93,GA$244+$FN271-1)))</f>
        <v/>
      </c>
      <c r="GB271" s="469" t="str">
        <f ca="1">IF($FN271+GB$244&gt;73,"",PRODUCT(INDEX($T$19:$T$93,GB$244):INDEX($T$19:$T$93,GB$244+$FN271-1)))</f>
        <v/>
      </c>
      <c r="GC271" s="469" t="str">
        <f ca="1">IF($FN271+GC$244&gt;73,"",PRODUCT(INDEX($T$19:$T$93,GC$244):INDEX($T$19:$T$93,GC$244+$FN271-1)))</f>
        <v/>
      </c>
      <c r="GD271" s="469" t="str">
        <f ca="1">IF($FN271+GD$244&gt;73,"",PRODUCT(INDEX($T$19:$T$93,GD$244):INDEX($T$19:$T$93,GD$244+$FN271-1)))</f>
        <v/>
      </c>
      <c r="GE271" s="469" t="str">
        <f ca="1">IF($FN271+GE$244&gt;73,"",PRODUCT(INDEX($T$19:$T$93,GE$244):INDEX($T$19:$T$93,GE$244+$FN271-1)))</f>
        <v/>
      </c>
      <c r="GF271" s="469" t="str">
        <f ca="1">IF($FN271+GF$244&gt;73,"",PRODUCT(INDEX($T$19:$T$93,GF$244):INDEX($T$19:$T$93,GF$244+$FN271-1)))</f>
        <v/>
      </c>
      <c r="GG271" s="469" t="str">
        <f ca="1">IF($FN271+GG$244&gt;73,"",PRODUCT(INDEX($T$19:$T$93,GG$244):INDEX($T$19:$T$93,GG$244+$FN271-1)))</f>
        <v/>
      </c>
      <c r="GH271" s="469" t="str">
        <f ca="1">IF($FN271+GH$244&gt;73,"",PRODUCT(INDEX($T$19:$T$93,GH$244):INDEX($T$19:$T$93,GH$244+$FN271-1)))</f>
        <v/>
      </c>
      <c r="GI271" s="469" t="str">
        <f ca="1">IF($FN271+GI$244&gt;73,"",PRODUCT(INDEX($T$19:$T$93,GI$244):INDEX($T$19:$T$93,GI$244+$FN271-1)))</f>
        <v/>
      </c>
      <c r="GJ271" s="469" t="str">
        <f ca="1">IF($FN271+GJ$244&gt;73,"",PRODUCT(INDEX($T$19:$T$93,GJ$244):INDEX($T$19:$T$93,GJ$244+$FN271-1)))</f>
        <v/>
      </c>
      <c r="GK271" s="469" t="str">
        <f ca="1">IF($FN271+GK$244&gt;73,"",PRODUCT(INDEX($T$19:$T$93,GK$244):INDEX($T$19:$T$93,GK$244+$FN271-1)))</f>
        <v/>
      </c>
      <c r="GL271" s="469" t="str">
        <f ca="1">IF($FN271+GL$244&gt;73,"",PRODUCT(INDEX($T$19:$T$93,GL$244):INDEX($T$19:$T$93,GL$244+$FN271-1)))</f>
        <v/>
      </c>
      <c r="GM271" s="469" t="str">
        <f ca="1">IF($FN271+GM$244&gt;73,"",PRODUCT(INDEX($T$19:$T$93,GM$244):INDEX($T$19:$T$93,GM$244+$FN271-1)))</f>
        <v/>
      </c>
      <c r="GN271" s="469" t="str">
        <f ca="1">IF($FN271+GN$244&gt;73,"",PRODUCT(INDEX($T$19:$T$93,GN$244):INDEX($T$19:$T$93,GN$244+$FN271-1)))</f>
        <v/>
      </c>
      <c r="GO271" s="469">
        <f ca="1">IF($FN271+GO$244&gt;73,"",PRODUCT(INDEX($T$19:$T$93,GO$244):INDEX($T$19:$T$93,GO$244+$FN271-1)))</f>
        <v>0.99289230749589263</v>
      </c>
      <c r="GP271" s="469">
        <f ca="1">IF($FN271+GP$244&gt;73,"",PRODUCT(INDEX($T$19:$T$93,GP$244):INDEX($T$19:$T$93,GP$244+$FN271-1)))</f>
        <v>0.99210529917980506</v>
      </c>
      <c r="GQ271" s="469">
        <f ca="1">IF($FN271+GQ$244&gt;73,"",PRODUCT(INDEX($T$19:$T$93,GQ$244):INDEX($T$19:$T$93,GQ$244+$FN271-1)))</f>
        <v>0.99123148361133384</v>
      </c>
      <c r="GR271" s="469">
        <f ca="1">IF($FN271+GR$244&gt;73,"",PRODUCT(INDEX($T$19:$T$93,GR$244):INDEX($T$19:$T$93,GR$244+$FN271-1)))</f>
        <v>0.99026136401001252</v>
      </c>
      <c r="GS271" s="469">
        <f ca="1">IF($FN271+GS$244&gt;73,"",PRODUCT(INDEX($T$19:$T$93,GS$244):INDEX($T$19:$T$93,GS$244+$FN271-1)))</f>
        <v>0.98918442280381902</v>
      </c>
      <c r="GT271" s="469">
        <f ca="1">IF($FN271+GT$244&gt;73,"",PRODUCT(INDEX($T$19:$T$93,GT$244):INDEX($T$19:$T$93,GT$244+$FN271-1)))</f>
        <v>0.98798901613309054</v>
      </c>
      <c r="GU271" s="469">
        <f ca="1">IF($FN271+GU$244&gt;73,"",PRODUCT(INDEX($T$19:$T$93,GU$244):INDEX($T$19:$T$93,GU$244+$FN271-1)))</f>
        <v>0.98666225844142241</v>
      </c>
      <c r="GV271" s="469">
        <f ca="1">IF($FN271+GV$244&gt;73,"",PRODUCT(INDEX($T$19:$T$93,GV$244):INDEX($T$19:$T$93,GV$244+$FN271-1)))</f>
        <v>0.98518989645913368</v>
      </c>
      <c r="GW271" s="469">
        <f ca="1">IF($FN271+GW$244&gt;73,"",PRODUCT(INDEX($T$19:$T$93,GW$244):INDEX($T$19:$T$93,GW$244+$FN271-1)))</f>
        <v>0.98355617189728117</v>
      </c>
      <c r="GX271" s="469">
        <f ca="1">IF($FN271+GX$244&gt;73,"",PRODUCT(INDEX($T$19:$T$93,GX$244):INDEX($T$19:$T$93,GX$244+$FN271-1)))</f>
        <v>0.98174367220306258</v>
      </c>
      <c r="GY271" s="469">
        <f ca="1">IF($FN271+GY$244&gt;73,"",PRODUCT(INDEX($T$19:$T$93,GY$244):INDEX($T$19:$T$93,GY$244+$FN271-1)))</f>
        <v>0.97973316878675143</v>
      </c>
      <c r="GZ271" s="469">
        <f ca="1">IF($FN271+GZ$244&gt;73,"",PRODUCT(INDEX($T$19:$T$93,GZ$244):INDEX($T$19:$T$93,GZ$244+$FN271-1)))</f>
        <v>0.9775034422235428</v>
      </c>
      <c r="HA271" s="469">
        <f ca="1">IF($FN271+HA$244&gt;73,"",PRODUCT(INDEX($T$19:$T$93,HA$244):INDEX($T$19:$T$93,HA$244+$FN271-1)))</f>
        <v>0.97503109406988586</v>
      </c>
      <c r="HB271" s="469">
        <f ca="1">IF($FN271+HB$244&gt;73,"",PRODUCT(INDEX($T$19:$T$93,HB$244):INDEX($T$19:$T$93,HB$244+$FN271-1)))</f>
        <v>0.97229034512390144</v>
      </c>
      <c r="HC271" s="469">
        <f ca="1">IF($FN271+HC$244&gt;73,"",PRODUCT(INDEX($T$19:$T$93,HC$244):INDEX($T$19:$T$93,HC$244+$FN271-1)))</f>
        <v>0.96925282021655179</v>
      </c>
      <c r="HD271" s="469">
        <f ca="1">IF($FN271+HD$244&gt;73,"",PRODUCT(INDEX($T$19:$T$93,HD$244):INDEX($T$19:$T$93,HD$244+$FN271-1)))</f>
        <v>0.96588731995983268</v>
      </c>
      <c r="HE271" s="469">
        <f ca="1">IF($FN271+HE$244&gt;73,"",PRODUCT(INDEX($T$19:$T$93,HE$244):INDEX($T$19:$T$93,HE$244+$FN271-1)))</f>
        <v>0.9621595803190407</v>
      </c>
      <c r="HF271" s="469">
        <f ca="1">IF($FN271+HF$244&gt;73,"",PRODUCT(INDEX($T$19:$T$93,HF$244):INDEX($T$19:$T$93,HF$244+$FN271-1)))</f>
        <v>0.95803202143994193</v>
      </c>
      <c r="HG271" s="469">
        <f ca="1">IF($FN271+HG$244&gt;73,"",PRODUCT(INDEX($T$19:$T$93,HG$244):INDEX($T$19:$T$93,HG$244+$FN271-1)))</f>
        <v>0.95346348787381807</v>
      </c>
      <c r="HH271" s="469">
        <f ca="1">IF($FN271+HH$244&gt;73,"",PRODUCT(INDEX($T$19:$T$93,HH$244):INDEX($T$19:$T$93,HH$244+$FN271-1)))</f>
        <v>0.94840898323366829</v>
      </c>
      <c r="HI271" s="469">
        <f ca="1">IF($FN271+HI$244&gt;73,"",PRODUCT(INDEX($T$19:$T$93,HI$244):INDEX($T$19:$T$93,HI$244+$FN271-1)))</f>
        <v>0.94281940341720893</v>
      </c>
      <c r="HJ271" s="469">
        <f ca="1">IF($FN271+HJ$244&gt;73,"",PRODUCT(INDEX($T$19:$T$93,HJ$244):INDEX($T$19:$T$93,HJ$244+$FN271-1)))</f>
        <v>0.93664127388580665</v>
      </c>
      <c r="HK271" s="469">
        <f ca="1">IF($FN271+HK$244&gt;73,"",PRODUCT(INDEX($T$19:$T$93,HK$244):INDEX($T$19:$T$93,HK$244+$FN271-1)))</f>
        <v>0.92981649813725031</v>
      </c>
      <c r="HL271" s="469">
        <f ca="1">IF($FN271+HL$244&gt;73,"",PRODUCT(INDEX($T$19:$T$93,HL$244):INDEX($T$19:$T$93,HL$244+$FN271-1)))</f>
        <v>0.92228212650407682</v>
      </c>
      <c r="HM271" s="469">
        <f ca="1">IF($FN271+HM$244&gt;73,"",PRODUCT(INDEX($T$19:$T$93,HM$244):INDEX($T$19:$T$93,HM$244+$FN271-1)))</f>
        <v>0.91397015680373594</v>
      </c>
      <c r="HN271" s="469">
        <f ca="1">IF($FN271+HN$244&gt;73,"",PRODUCT(INDEX($T$19:$T$93,HN$244):INDEX($T$19:$T$93,HN$244+$FN271-1)))</f>
        <v>0.90480738122429449</v>
      </c>
      <c r="HO271" s="469">
        <f ca="1">IF($FN271+HO$244&gt;73,"",PRODUCT(INDEX($T$19:$T$93,HO$244):INDEX($T$19:$T$93,HO$244+$FN271-1)))</f>
        <v>0.89471529721862153</v>
      </c>
      <c r="HP271" s="469">
        <f ca="1">IF($FN271+HP$244&gt;73,"",PRODUCT(INDEX($T$19:$T$93,HP$244):INDEX($T$19:$T$93,HP$244+$FN271-1)))</f>
        <v>0.88361010417812647</v>
      </c>
      <c r="HQ271" s="469">
        <f ca="1">IF($FN271+HQ$244&gt;73,"",PRODUCT(INDEX($T$19:$T$93,HQ$244):INDEX($T$19:$T$93,HQ$244+$FN271-1)))</f>
        <v>0.87140281235041839</v>
      </c>
      <c r="HR271" s="469">
        <f ca="1">IF($FN271+HR$244&gt;73,"",PRODUCT(INDEX($T$19:$T$93,HR$244):INDEX($T$19:$T$93,HR$244+$FN271-1)))</f>
        <v>0.85799949595221103</v>
      </c>
      <c r="HS271" s="469">
        <f ca="1">IF($FN271+HS$244&gt;73,"",PRODUCT(INDEX($T$19:$T$93,HS$244):INDEX($T$19:$T$93,HS$244+$FN271-1)))</f>
        <v>0.84330172882323362</v>
      </c>
      <c r="HT271" s="469">
        <f ca="1">IF($FN271+HT$244&gt;73,"",PRODUCT(INDEX($T$19:$T$93,HT$244):INDEX($T$19:$T$93,HT$244+$FN271-1)))</f>
        <v>0.82720724840367899</v>
      </c>
      <c r="HU271" s="469">
        <f ca="1">IF($FN271+HU$244&gt;73,"",PRODUCT(INDEX($T$19:$T$93,HU$244):INDEX($T$19:$T$93,HU$244+$FN271-1)))</f>
        <v>0.80961090245883649</v>
      </c>
      <c r="HV271" s="469">
        <f ca="1">IF($FN271+HV$244&gt;73,"",PRODUCT(INDEX($T$19:$T$93,HV$244):INDEX($T$19:$T$93,HV$244+$FN271-1)))</f>
        <v>0.7904059430160707</v>
      </c>
      <c r="HW271" s="469">
        <f ca="1">IF($FN271+HW$244&gt;73,"",PRODUCT(INDEX($T$19:$T$93,HW$244):INDEX($T$19:$T$93,HW$244+$FN271-1)))</f>
        <v>0.7694857436547452</v>
      </c>
      <c r="HX271" s="469">
        <f ca="1">IF($FN271+HX$244&gt;73,"",PRODUCT(INDEX($T$19:$T$93,HX$244):INDEX($T$19:$T$93,HX$244+$FN271-1)))</f>
        <v>0.74674602986353789</v>
      </c>
      <c r="HY271" s="469">
        <f ca="1">IF($FN271+HY$244&gt;73,"",PRODUCT(INDEX($T$19:$T$93,HY$244):INDEX($T$19:$T$93,HY$244+$FN271-1)))</f>
        <v>0.72208772791612408</v>
      </c>
      <c r="HZ271" s="469">
        <f ca="1">IF($FN271+HZ$244&gt;73,"",PRODUCT(INDEX($T$19:$T$93,HZ$244):INDEX($T$19:$T$93,HZ$244+$FN271-1)))</f>
        <v>0.69542055579759876</v>
      </c>
      <c r="IA271" s="469">
        <f ca="1">IF($FN271+IA$244&gt;73,"",PRODUCT(INDEX($T$19:$T$93,IA$244):INDEX($T$19:$T$93,IA$244+$FN271-1)))</f>
        <v>0.66666750006155306</v>
      </c>
      <c r="IB271" s="469">
        <f ca="1">IF($FN271+IB$244&gt;73,"",PRODUCT(INDEX($T$19:$T$93,IB$244):INDEX($T$19:$T$93,IB$244+$FN271-1)))</f>
        <v>0.63577034441923552</v>
      </c>
      <c r="IC271" s="469">
        <f ca="1">IF($FN271+IC$244&gt;73,"",PRODUCT(INDEX($T$19:$T$93,IC$244):INDEX($T$19:$T$93,IC$244+$FN271-1)))</f>
        <v>0.60269643740410517</v>
      </c>
      <c r="ID271" s="469">
        <f ca="1">IF($FN271+ID$244&gt;73,"",PRODUCT(INDEX($T$19:$T$93,ID$244):INDEX($T$19:$T$93,ID$244+$FN271-1)))</f>
        <v>0.56744690327626601</v>
      </c>
      <c r="IE271" s="469">
        <f ca="1">IF($FN271+IE$244&gt;73,"",PRODUCT(INDEX($T$19:$T$93,IE$244):INDEX($T$19:$T$93,IE$244+$FN271-1)))</f>
        <v>0.5300665038454303</v>
      </c>
      <c r="IF271" s="469">
        <f ca="1">IF($FN271+IF$244&gt;73,"",PRODUCT(INDEX($T$19:$T$93,IF$244):INDEX($T$19:$T$93,IF$244+$FN271-1)))</f>
        <v>0.49065533336343425</v>
      </c>
      <c r="IG271" s="469">
        <f ca="1">IF($FN271+IG$244&gt;73,"",PRODUCT(INDEX($T$19:$T$93,IG$244):INDEX($T$19:$T$93,IG$244+$FN271-1)))</f>
        <v>0.44938244693513862</v>
      </c>
      <c r="IH271" s="662">
        <f ca="1">IF($FN271+IH$244&gt;73,"",PRODUCT(INDEX($T$19:$T$93,IH$244):INDEX($T$19:$T$93,IH$244+$FN271-1)))</f>
        <v>0.40650134081525052</v>
      </c>
      <c r="II271" s="242"/>
    </row>
    <row r="272" spans="8:243">
      <c r="I272" s="132"/>
      <c r="J272" s="365"/>
      <c r="K272" s="133"/>
      <c r="L272" s="1"/>
      <c r="M272" s="366"/>
      <c r="P272" s="365"/>
      <c r="S272" s="53"/>
      <c r="T272" s="365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03"/>
      <c r="AM272" s="103"/>
      <c r="AN272" s="103"/>
      <c r="AO272" s="364">
        <v>6.4765217524934901E-2</v>
      </c>
      <c r="AP272" s="31"/>
      <c r="AQ272" s="364">
        <v>5.9257611874029302E-2</v>
      </c>
      <c r="AR272" s="31"/>
      <c r="AS272" s="31"/>
      <c r="AT272" s="31"/>
      <c r="AU272" s="31"/>
      <c r="AV272" s="146"/>
      <c r="AW272" s="103"/>
      <c r="AX272" s="103"/>
      <c r="AY272" s="103"/>
      <c r="AZ272" s="103"/>
      <c r="BA272" s="103"/>
      <c r="BB272" s="103"/>
      <c r="BC272" s="104"/>
      <c r="BD272" s="104"/>
      <c r="BE272" s="104"/>
      <c r="BF272" s="102"/>
      <c r="BG272" s="104"/>
      <c r="BH272" s="104"/>
      <c r="BI272" s="152"/>
      <c r="BJ272" s="103"/>
      <c r="BK272" s="103"/>
      <c r="BL272" s="103"/>
      <c r="BM272" s="103"/>
      <c r="BN272" s="103"/>
      <c r="BO272" s="103"/>
      <c r="BP272" s="103"/>
      <c r="BQ272" s="103"/>
      <c r="BR272" s="103"/>
      <c r="BS272" s="103"/>
      <c r="BT272" s="104"/>
      <c r="BU272" s="104"/>
      <c r="BV272" s="104"/>
      <c r="BW272" s="104"/>
      <c r="BX272" s="104"/>
      <c r="BY272" s="104"/>
      <c r="BZ272" s="104"/>
      <c r="CA272" s="104"/>
      <c r="CB272" s="104"/>
      <c r="CC272" s="104"/>
      <c r="CD272" s="103"/>
      <c r="CE272" s="103"/>
      <c r="CF272" s="103"/>
      <c r="CG272" s="103"/>
      <c r="CH272" s="103"/>
      <c r="CI272" s="103"/>
      <c r="CJ272" s="107"/>
      <c r="CK272" s="1"/>
      <c r="CL272" s="51"/>
      <c r="CM272" s="51"/>
      <c r="CN272" s="51"/>
      <c r="CO272" s="51"/>
      <c r="CP272" s="51"/>
      <c r="CQ272" s="51"/>
      <c r="CR272" s="51"/>
      <c r="CS272" s="51"/>
      <c r="CT272" s="51"/>
      <c r="CU272" s="51"/>
      <c r="CV272" s="51"/>
      <c r="CW272" s="51"/>
      <c r="CX272" s="51"/>
      <c r="CY272" s="51"/>
      <c r="CZ272" s="51"/>
      <c r="DA272" s="51"/>
      <c r="DB272" s="51"/>
      <c r="DC272" s="51"/>
      <c r="DF272" s="465"/>
      <c r="DI272" s="465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3"/>
      <c r="EP272" s="53"/>
      <c r="EQ272" s="1"/>
      <c r="ER272" s="103"/>
      <c r="ES272" s="103"/>
      <c r="ET272" s="1"/>
      <c r="EU272" s="103"/>
      <c r="EV272" s="1"/>
      <c r="EW272" s="1"/>
      <c r="EX272" s="1"/>
      <c r="EY272" s="103"/>
      <c r="FN272" s="657">
        <v>28</v>
      </c>
      <c r="FO272" s="469" t="str">
        <f ca="1">IF($FN272+FO$244&gt;73,"",PRODUCT(INDEX($T$19:$T$93,FO$244):INDEX($T$19:$T$93,FO$244+$FN272-1)))</f>
        <v/>
      </c>
      <c r="FP272" s="469" t="str">
        <f ca="1">IF($FN272+FP$244&gt;73,"",PRODUCT(INDEX($T$19:$T$93,FP$244):INDEX($T$19:$T$93,FP$244+$FN272-1)))</f>
        <v/>
      </c>
      <c r="FQ272" s="469" t="str">
        <f ca="1">IF($FN272+FQ$244&gt;73,"",PRODUCT(INDEX($T$19:$T$93,FQ$244):INDEX($T$19:$T$93,FQ$244+$FN272-1)))</f>
        <v/>
      </c>
      <c r="FR272" s="469" t="str">
        <f ca="1">IF($FN272+FR$244&gt;73,"",PRODUCT(INDEX($T$19:$T$93,FR$244):INDEX($T$19:$T$93,FR$244+$FN272-1)))</f>
        <v/>
      </c>
      <c r="FS272" s="469" t="str">
        <f ca="1">IF($FN272+FS$244&gt;73,"",PRODUCT(INDEX($T$19:$T$93,FS$244):INDEX($T$19:$T$93,FS$244+$FN272-1)))</f>
        <v/>
      </c>
      <c r="FT272" s="469" t="str">
        <f ca="1">IF($FN272+FT$244&gt;73,"",PRODUCT(INDEX($T$19:$T$93,FT$244):INDEX($T$19:$T$93,FT$244+$FN272-1)))</f>
        <v/>
      </c>
      <c r="FU272" s="469" t="str">
        <f ca="1">IF($FN272+FU$244&gt;73,"",PRODUCT(INDEX($T$19:$T$93,FU$244):INDEX($T$19:$T$93,FU$244+$FN272-1)))</f>
        <v/>
      </c>
      <c r="FV272" s="469" t="str">
        <f ca="1">IF($FN272+FV$244&gt;73,"",PRODUCT(INDEX($T$19:$T$93,FV$244):INDEX($T$19:$T$93,FV$244+$FN272-1)))</f>
        <v/>
      </c>
      <c r="FW272" s="469" t="str">
        <f ca="1">IF($FN272+FW$244&gt;73,"",PRODUCT(INDEX($T$19:$T$93,FW$244):INDEX($T$19:$T$93,FW$244+$FN272-1)))</f>
        <v/>
      </c>
      <c r="FX272" s="469" t="str">
        <f ca="1">IF($FN272+FX$244&gt;73,"",PRODUCT(INDEX($T$19:$T$93,FX$244):INDEX($T$19:$T$93,FX$244+$FN272-1)))</f>
        <v/>
      </c>
      <c r="FY272" s="469" t="str">
        <f ca="1">IF($FN272+FY$244&gt;73,"",PRODUCT(INDEX($T$19:$T$93,FY$244):INDEX($T$19:$T$93,FY$244+$FN272-1)))</f>
        <v/>
      </c>
      <c r="FZ272" s="469" t="str">
        <f ca="1">IF($FN272+FZ$244&gt;73,"",PRODUCT(INDEX($T$19:$T$93,FZ$244):INDEX($T$19:$T$93,FZ$244+$FN272-1)))</f>
        <v/>
      </c>
      <c r="GA272" s="469" t="str">
        <f ca="1">IF($FN272+GA$244&gt;73,"",PRODUCT(INDEX($T$19:$T$93,GA$244):INDEX($T$19:$T$93,GA$244+$FN272-1)))</f>
        <v/>
      </c>
      <c r="GB272" s="469" t="str">
        <f ca="1">IF($FN272+GB$244&gt;73,"",PRODUCT(INDEX($T$19:$T$93,GB$244):INDEX($T$19:$T$93,GB$244+$FN272-1)))</f>
        <v/>
      </c>
      <c r="GC272" s="469" t="str">
        <f ca="1">IF($FN272+GC$244&gt;73,"",PRODUCT(INDEX($T$19:$T$93,GC$244):INDEX($T$19:$T$93,GC$244+$FN272-1)))</f>
        <v/>
      </c>
      <c r="GD272" s="469" t="str">
        <f ca="1">IF($FN272+GD$244&gt;73,"",PRODUCT(INDEX($T$19:$T$93,GD$244):INDEX($T$19:$T$93,GD$244+$FN272-1)))</f>
        <v/>
      </c>
      <c r="GE272" s="469" t="str">
        <f ca="1">IF($FN272+GE$244&gt;73,"",PRODUCT(INDEX($T$19:$T$93,GE$244):INDEX($T$19:$T$93,GE$244+$FN272-1)))</f>
        <v/>
      </c>
      <c r="GF272" s="469" t="str">
        <f ca="1">IF($FN272+GF$244&gt;73,"",PRODUCT(INDEX($T$19:$T$93,GF$244):INDEX($T$19:$T$93,GF$244+$FN272-1)))</f>
        <v/>
      </c>
      <c r="GG272" s="469" t="str">
        <f ca="1">IF($FN272+GG$244&gt;73,"",PRODUCT(INDEX($T$19:$T$93,GG$244):INDEX($T$19:$T$93,GG$244+$FN272-1)))</f>
        <v/>
      </c>
      <c r="GH272" s="469" t="str">
        <f ca="1">IF($FN272+GH$244&gt;73,"",PRODUCT(INDEX($T$19:$T$93,GH$244):INDEX($T$19:$T$93,GH$244+$FN272-1)))</f>
        <v/>
      </c>
      <c r="GI272" s="469" t="str">
        <f ca="1">IF($FN272+GI$244&gt;73,"",PRODUCT(INDEX($T$19:$T$93,GI$244):INDEX($T$19:$T$93,GI$244+$FN272-1)))</f>
        <v/>
      </c>
      <c r="GJ272" s="469" t="str">
        <f ca="1">IF($FN272+GJ$244&gt;73,"",PRODUCT(INDEX($T$19:$T$93,GJ$244):INDEX($T$19:$T$93,GJ$244+$FN272-1)))</f>
        <v/>
      </c>
      <c r="GK272" s="469" t="str">
        <f ca="1">IF($FN272+GK$244&gt;73,"",PRODUCT(INDEX($T$19:$T$93,GK$244):INDEX($T$19:$T$93,GK$244+$FN272-1)))</f>
        <v/>
      </c>
      <c r="GL272" s="469" t="str">
        <f ca="1">IF($FN272+GL$244&gt;73,"",PRODUCT(INDEX($T$19:$T$93,GL$244):INDEX($T$19:$T$93,GL$244+$FN272-1)))</f>
        <v/>
      </c>
      <c r="GM272" s="469" t="str">
        <f ca="1">IF($FN272+GM$244&gt;73,"",PRODUCT(INDEX($T$19:$T$93,GM$244):INDEX($T$19:$T$93,GM$244+$FN272-1)))</f>
        <v/>
      </c>
      <c r="GN272" s="469" t="str">
        <f ca="1">IF($FN272+GN$244&gt;73,"",PRODUCT(INDEX($T$19:$T$93,GN$244):INDEX($T$19:$T$93,GN$244+$FN272-1)))</f>
        <v/>
      </c>
      <c r="GO272" s="469" t="str">
        <f ca="1">IF($FN272+GO$244&gt;73,"",PRODUCT(INDEX($T$19:$T$93,GO$244):INDEX($T$19:$T$93,GO$244+$FN272-1)))</f>
        <v/>
      </c>
      <c r="GP272" s="469">
        <f ca="1">IF($FN272+GP$244&gt;73,"",PRODUCT(INDEX($T$19:$T$93,GP$244):INDEX($T$19:$T$93,GP$244+$FN272-1)))</f>
        <v>0.9920567726170284</v>
      </c>
      <c r="GQ272" s="469">
        <f ca="1">IF($FN272+GQ$244&gt;73,"",PRODUCT(INDEX($T$19:$T$93,GQ$244):INDEX($T$19:$T$93,GQ$244+$FN272-1)))</f>
        <v>0.99117761254854331</v>
      </c>
      <c r="GR272" s="469">
        <f ca="1">IF($FN272+GR$244&gt;73,"",PRODUCT(INDEX($T$19:$T$93,GR$244):INDEX($T$19:$T$93,GR$244+$FN272-1)))</f>
        <v>0.99020156567093631</v>
      </c>
      <c r="GS272" s="469">
        <f ca="1">IF($FN272+GS$244&gt;73,"",PRODUCT(INDEX($T$19:$T$93,GS$244):INDEX($T$19:$T$93,GS$244+$FN272-1)))</f>
        <v>0.98911805223537974</v>
      </c>
      <c r="GT272" s="469">
        <f ca="1">IF($FN272+GT$244&gt;73,"",PRODUCT(INDEX($T$19:$T$93,GT$244):INDEX($T$19:$T$93,GT$244+$FN272-1)))</f>
        <v>0.9879153598946917</v>
      </c>
      <c r="GU272" s="469">
        <f ca="1">IF($FN272+GU$244&gt;73,"",PRODUCT(INDEX($T$19:$T$93,GU$244):INDEX($T$19:$T$93,GU$244+$FN272-1)))</f>
        <v>0.98658052773090188</v>
      </c>
      <c r="GV272" s="469">
        <f ca="1">IF($FN272+GV$244&gt;73,"",PRODUCT(INDEX($T$19:$T$93,GV$244):INDEX($T$19:$T$93,GV$244+$FN272-1)))</f>
        <v>0.98509921964426239</v>
      </c>
      <c r="GW272" s="469">
        <f ca="1">IF($FN272+GW$244&gt;73,"",PRODUCT(INDEX($T$19:$T$93,GW$244):INDEX($T$19:$T$93,GW$244+$FN272-1)))</f>
        <v>0.98345558642529185</v>
      </c>
      <c r="GX272" s="469">
        <f ca="1">IF($FN272+GX$244&gt;73,"",PRODUCT(INDEX($T$19:$T$93,GX$244):INDEX($T$19:$T$93,GX$244+$FN272-1)))</f>
        <v>0.98163211586624555</v>
      </c>
      <c r="GY272" s="469">
        <f ca="1">IF($FN272+GY$244&gt;73,"",PRODUCT(INDEX($T$19:$T$93,GY$244):INDEX($T$19:$T$93,GY$244+$FN272-1)))</f>
        <v>0.97960947033018797</v>
      </c>
      <c r="GZ272" s="469">
        <f ca="1">IF($FN272+GZ$244&gt;73,"",PRODUCT(INDEX($T$19:$T$93,GZ$244):INDEX($T$19:$T$93,GZ$244+$FN272-1)))</f>
        <v>0.97736631129221918</v>
      </c>
      <c r="HA272" s="469">
        <f ca="1">IF($FN272+HA$244&gt;73,"",PRODUCT(INDEX($T$19:$T$93,HA$244):INDEX($T$19:$T$93,HA$244+$FN272-1)))</f>
        <v>0.9748791105075445</v>
      </c>
      <c r="HB272" s="469">
        <f ca="1">IF($FN272+HB$244&gt;73,"",PRODUCT(INDEX($T$19:$T$93,HB$244):INDEX($T$19:$T$93,HB$244+$FN272-1)))</f>
        <v>0.97212194765601045</v>
      </c>
      <c r="HC272" s="469">
        <f ca="1">IF($FN272+HC$244&gt;73,"",PRODUCT(INDEX($T$19:$T$93,HC$244):INDEX($T$19:$T$93,HC$244+$FN272-1)))</f>
        <v>0.96906629457587445</v>
      </c>
      <c r="HD272" s="469">
        <f ca="1">IF($FN272+HD$244&gt;73,"",PRODUCT(INDEX($T$19:$T$93,HD$244):INDEX($T$19:$T$93,HD$244+$FN272-1)))</f>
        <v>0.96568078654666001</v>
      </c>
      <c r="HE272" s="469">
        <f ca="1">IF($FN272+HE$244&gt;73,"",PRODUCT(INDEX($T$19:$T$93,HE$244):INDEX($T$19:$T$93,HE$244+$FN272-1)))</f>
        <v>0.96193098153086054</v>
      </c>
      <c r="HF272" s="469">
        <f ca="1">IF($FN272+HF$244&gt;73,"",PRODUCT(INDEX($T$19:$T$93,HF$244):INDEX($T$19:$T$93,HF$244+$FN272-1)))</f>
        <v>0.95777910885912221</v>
      </c>
      <c r="HG272" s="469">
        <f ca="1">IF($FN272+HG$244&gt;73,"",PRODUCT(INDEX($T$19:$T$93,HG$244):INDEX($T$19:$T$93,HG$244+$FN272-1)))</f>
        <v>0.95318380956905335</v>
      </c>
      <c r="HH272" s="469">
        <f ca="1">IF($FN272+HH$244&gt;73,"",PRODUCT(INDEX($T$19:$T$93,HH$244):INDEX($T$19:$T$93,HH$244+$FN272-1)))</f>
        <v>0.94809987151411868</v>
      </c>
      <c r="HI272" s="469">
        <f ca="1">IF($FN272+HI$244&gt;73,"",PRODUCT(INDEX($T$19:$T$93,HI$244):INDEX($T$19:$T$93,HI$244+$FN272-1)))</f>
        <v>0.9424779634804431</v>
      </c>
      <c r="HJ272" s="469">
        <f ca="1">IF($FN272+HJ$244&gt;73,"",PRODUCT(INDEX($T$19:$T$93,HJ$244):INDEX($T$19:$T$93,HJ$244+$FN272-1)))</f>
        <v>0.93626437392522854</v>
      </c>
      <c r="HK272" s="469">
        <f ca="1">IF($FN272+HK$244&gt;73,"",PRODUCT(INDEX($T$19:$T$93,HK$244):INDEX($T$19:$T$93,HK$244+$FN272-1)))</f>
        <v>0.92940076162532703</v>
      </c>
      <c r="HL272" s="469">
        <f ca="1">IF($FN272+HL$244&gt;73,"",PRODUCT(INDEX($T$19:$T$93,HL$244):INDEX($T$19:$T$93,HL$244+$FN272-1)))</f>
        <v>0.92182392754837872</v>
      </c>
      <c r="HM272" s="469">
        <f ca="1">IF($FN272+HM$244&gt;73,"",PRODUCT(INDEX($T$19:$T$93,HM$244):INDEX($T$19:$T$93,HM$244+$FN272-1)))</f>
        <v>0.91346561968760631</v>
      </c>
      <c r="HN272" s="469">
        <f ca="1">IF($FN272+HN$244&gt;73,"",PRODUCT(INDEX($T$19:$T$93,HN$244):INDEX($T$19:$T$93,HN$244+$FN272-1)))</f>
        <v>0.90425238549687592</v>
      </c>
      <c r="HO272" s="469">
        <f ca="1">IF($FN272+HO$244&gt;73,"",PRODUCT(INDEX($T$19:$T$93,HO$244):INDEX($T$19:$T$93,HO$244+$FN272-1)))</f>
        <v>0.89410548999345052</v>
      </c>
      <c r="HP272" s="469">
        <f ca="1">IF($FN272+HP$244&gt;73,"",PRODUCT(INDEX($T$19:$T$93,HP$244):INDEX($T$19:$T$93,HP$244+$FN272-1)))</f>
        <v>0.8829409216380405</v>
      </c>
      <c r="HQ272" s="469">
        <f ca="1">IF($FN272+HQ$244&gt;73,"",PRODUCT(INDEX($T$19:$T$93,HQ$244):INDEX($T$19:$T$93,HQ$244+$FN272-1)))</f>
        <v>0.87066951283972382</v>
      </c>
      <c r="HR272" s="469">
        <f ca="1">IF($FN272+HR$244&gt;73,"",PRODUCT(INDEX($T$19:$T$93,HR$244):INDEX($T$19:$T$93,HR$244+$FN272-1)))</f>
        <v>0.85719720746258998</v>
      </c>
      <c r="HS272" s="469">
        <f ca="1">IF($FN272+HS$244&gt;73,"",PRODUCT(INDEX($T$19:$T$93,HS$244):INDEX($T$19:$T$93,HS$244+$FN272-1)))</f>
        <v>0.84242551414074685</v>
      </c>
      <c r="HT272" s="469">
        <f ca="1">IF($FN272+HT$244&gt;73,"",PRODUCT(INDEX($T$19:$T$93,HT$244):INDEX($T$19:$T$93,HT$244+$FN272-1)))</f>
        <v>0.82625219166660546</v>
      </c>
      <c r="HU272" s="469">
        <f ca="1">IF($FN272+HU$244&gt;73,"",PRODUCT(INDEX($T$19:$T$93,HU$244):INDEX($T$19:$T$93,HU$244+$FN272-1)))</f>
        <v>0.80857222135605122</v>
      </c>
      <c r="HV272" s="469">
        <f ca="1">IF($FN272+HV$244&gt;73,"",PRODUCT(INDEX($T$19:$T$93,HV$244):INDEX($T$19:$T$93,HV$244+$FN272-1)))</f>
        <v>0.7892791312949079</v>
      </c>
      <c r="HW272" s="469">
        <f ca="1">IF($FN272+HW$244&gt;73,"",PRODUCT(INDEX($T$19:$T$93,HW$244):INDEX($T$19:$T$93,HW$244+$FN272-1)))</f>
        <v>0.76826674894718061</v>
      </c>
      <c r="HX272" s="469">
        <f ca="1">IF($FN272+HX$244&gt;73,"",PRODUCT(INDEX($T$19:$T$93,HX$244):INDEX($T$19:$T$93,HX$244+$FN272-1)))</f>
        <v>0.74543147199304138</v>
      </c>
      <c r="HY272" s="469">
        <f ca="1">IF($FN272+HY$244&gt;73,"",PRODUCT(INDEX($T$19:$T$93,HY$244):INDEX($T$19:$T$93,HY$244+$FN272-1)))</f>
        <v>0.7206751626885034</v>
      </c>
      <c r="HZ272" s="469">
        <f ca="1">IF($FN272+HZ$244&gt;73,"",PRODUCT(INDEX($T$19:$T$93,HZ$244):INDEX($T$19:$T$93,HZ$244+$FN272-1)))</f>
        <v>0.69390878862797856</v>
      </c>
      <c r="IA272" s="469">
        <f ca="1">IF($FN272+IA$244&gt;73,"",PRODUCT(INDEX($T$19:$T$93,IA$244):INDEX($T$19:$T$93,IA$244+$FN272-1)))</f>
        <v>0.66505695239495188</v>
      </c>
      <c r="IB272" s="469">
        <f ca="1">IF($FN272+IB$244&gt;73,"",PRODUCT(INDEX($T$19:$T$93,IB$244):INDEX($T$19:$T$93,IB$244+$FN272-1)))</f>
        <v>0.6340634734181928</v>
      </c>
      <c r="IC272" s="469">
        <f ca="1">IF($FN272+IC$244&gt;73,"",PRODUCT(INDEX($T$19:$T$93,IC$244):INDEX($T$19:$T$93,IC$244+$FN272-1)))</f>
        <v>0.60089820533725768</v>
      </c>
      <c r="ID272" s="469">
        <f ca="1">IF($FN272+ID$244&gt;73,"",PRODUCT(INDEX($T$19:$T$93,ID$244):INDEX($T$19:$T$93,ID$244+$FN272-1)))</f>
        <v>0.56556528683457385</v>
      </c>
      <c r="IE272" s="469">
        <f ca="1">IF($FN272+IE$244&gt;73,"",PRODUCT(INDEX($T$19:$T$93,IE$244):INDEX($T$19:$T$93,IE$244+$FN272-1)))</f>
        <v>0.52811302446468944</v>
      </c>
      <c r="IF272" s="469">
        <f ca="1">IF($FN272+IF$244&gt;73,"",PRODUCT(INDEX($T$19:$T$93,IF$244):INDEX($T$19:$T$93,IF$244+$FN272-1)))</f>
        <v>0.48864557662405966</v>
      </c>
      <c r="IG272" s="469">
        <f ca="1">IF($FN272+IG$244&gt;73,"",PRODUCT(INDEX($T$19:$T$93,IG$244):INDEX($T$19:$T$93,IG$244+$FN272-1)))</f>
        <v>0.44733652126578655</v>
      </c>
      <c r="IH272" s="662">
        <f ca="1">IF($FN272+IH$244&gt;73,"",PRODUCT(INDEX($T$19:$T$93,IH$244):INDEX($T$19:$T$93,IH$244+$FN272-1)))</f>
        <v>0.40444420224162492</v>
      </c>
      <c r="II272" s="242"/>
    </row>
    <row r="273" spans="9:243">
      <c r="I273" s="132"/>
      <c r="J273" s="365"/>
      <c r="K273" s="133"/>
      <c r="L273" s="1"/>
      <c r="M273" s="366"/>
      <c r="P273" s="365"/>
      <c r="S273" s="53"/>
      <c r="T273" s="365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03"/>
      <c r="AM273" s="103"/>
      <c r="AN273" s="103"/>
      <c r="AO273" s="364">
        <v>6.4775865299960211E-2</v>
      </c>
      <c r="AP273" s="31"/>
      <c r="AQ273" s="364">
        <v>5.92183809779789E-2</v>
      </c>
      <c r="AR273" s="31"/>
      <c r="AS273" s="31"/>
      <c r="AT273" s="31"/>
      <c r="AU273" s="31"/>
      <c r="AV273" s="146"/>
      <c r="AW273" s="103"/>
      <c r="AX273" s="103"/>
      <c r="AY273" s="103"/>
      <c r="AZ273" s="103"/>
      <c r="BA273" s="103"/>
      <c r="BB273" s="103"/>
      <c r="BC273" s="104"/>
      <c r="BD273" s="104"/>
      <c r="BE273" s="104"/>
      <c r="BF273" s="102"/>
      <c r="BG273" s="104"/>
      <c r="BH273" s="104"/>
      <c r="BI273" s="152"/>
      <c r="BJ273" s="103"/>
      <c r="BK273" s="103"/>
      <c r="BL273" s="103"/>
      <c r="BM273" s="103"/>
      <c r="BN273" s="103"/>
      <c r="BO273" s="103"/>
      <c r="BP273" s="103"/>
      <c r="BQ273" s="103"/>
      <c r="BR273" s="103"/>
      <c r="BS273" s="103"/>
      <c r="BT273" s="104"/>
      <c r="BU273" s="104"/>
      <c r="BV273" s="104"/>
      <c r="BW273" s="104"/>
      <c r="BX273" s="104"/>
      <c r="BY273" s="104"/>
      <c r="BZ273" s="104"/>
      <c r="CA273" s="104"/>
      <c r="CB273" s="104"/>
      <c r="CC273" s="104"/>
      <c r="CD273" s="103"/>
      <c r="CE273" s="103"/>
      <c r="CF273" s="103"/>
      <c r="CG273" s="103"/>
      <c r="CH273" s="103"/>
      <c r="CI273" s="103"/>
      <c r="CJ273" s="107"/>
      <c r="CK273" s="1"/>
      <c r="CL273" s="51"/>
      <c r="CM273" s="51"/>
      <c r="CN273" s="51"/>
      <c r="CO273" s="51"/>
      <c r="CP273" s="51"/>
      <c r="CQ273" s="51"/>
      <c r="CR273" s="51"/>
      <c r="CS273" s="51"/>
      <c r="CT273" s="51"/>
      <c r="CU273" s="51"/>
      <c r="CV273" s="51"/>
      <c r="CW273" s="51"/>
      <c r="CX273" s="51"/>
      <c r="CY273" s="51"/>
      <c r="CZ273" s="51"/>
      <c r="DA273" s="51"/>
      <c r="DB273" s="51"/>
      <c r="DC273" s="51"/>
      <c r="DF273" s="465"/>
      <c r="DI273" s="465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3"/>
      <c r="EP273" s="53"/>
      <c r="EQ273" s="1"/>
      <c r="ER273" s="103"/>
      <c r="ES273" s="103"/>
      <c r="ET273" s="1"/>
      <c r="EU273" s="103"/>
      <c r="EV273" s="1"/>
      <c r="EW273" s="1"/>
      <c r="EX273" s="1"/>
      <c r="EY273" s="103"/>
      <c r="FN273" s="657">
        <v>29</v>
      </c>
      <c r="FO273" s="469" t="str">
        <f ca="1">IF($FN273+FO$244&gt;73,"",PRODUCT(INDEX($T$19:$T$93,FO$244):INDEX($T$19:$T$93,FO$244+$FN273-1)))</f>
        <v/>
      </c>
      <c r="FP273" s="469" t="str">
        <f ca="1">IF($FN273+FP$244&gt;73,"",PRODUCT(INDEX($T$19:$T$93,FP$244):INDEX($T$19:$T$93,FP$244+$FN273-1)))</f>
        <v/>
      </c>
      <c r="FQ273" s="469" t="str">
        <f ca="1">IF($FN273+FQ$244&gt;73,"",PRODUCT(INDEX($T$19:$T$93,FQ$244):INDEX($T$19:$T$93,FQ$244+$FN273-1)))</f>
        <v/>
      </c>
      <c r="FR273" s="469" t="str">
        <f ca="1">IF($FN273+FR$244&gt;73,"",PRODUCT(INDEX($T$19:$T$93,FR$244):INDEX($T$19:$T$93,FR$244+$FN273-1)))</f>
        <v/>
      </c>
      <c r="FS273" s="469" t="str">
        <f ca="1">IF($FN273+FS$244&gt;73,"",PRODUCT(INDEX($T$19:$T$93,FS$244):INDEX($T$19:$T$93,FS$244+$FN273-1)))</f>
        <v/>
      </c>
      <c r="FT273" s="469" t="str">
        <f ca="1">IF($FN273+FT$244&gt;73,"",PRODUCT(INDEX($T$19:$T$93,FT$244):INDEX($T$19:$T$93,FT$244+$FN273-1)))</f>
        <v/>
      </c>
      <c r="FU273" s="469" t="str">
        <f ca="1">IF($FN273+FU$244&gt;73,"",PRODUCT(INDEX($T$19:$T$93,FU$244):INDEX($T$19:$T$93,FU$244+$FN273-1)))</f>
        <v/>
      </c>
      <c r="FV273" s="469" t="str">
        <f ca="1">IF($FN273+FV$244&gt;73,"",PRODUCT(INDEX($T$19:$T$93,FV$244):INDEX($T$19:$T$93,FV$244+$FN273-1)))</f>
        <v/>
      </c>
      <c r="FW273" s="469" t="str">
        <f ca="1">IF($FN273+FW$244&gt;73,"",PRODUCT(INDEX($T$19:$T$93,FW$244):INDEX($T$19:$T$93,FW$244+$FN273-1)))</f>
        <v/>
      </c>
      <c r="FX273" s="469" t="str">
        <f ca="1">IF($FN273+FX$244&gt;73,"",PRODUCT(INDEX($T$19:$T$93,FX$244):INDEX($T$19:$T$93,FX$244+$FN273-1)))</f>
        <v/>
      </c>
      <c r="FY273" s="469" t="str">
        <f ca="1">IF($FN273+FY$244&gt;73,"",PRODUCT(INDEX($T$19:$T$93,FY$244):INDEX($T$19:$T$93,FY$244+$FN273-1)))</f>
        <v/>
      </c>
      <c r="FZ273" s="469" t="str">
        <f ca="1">IF($FN273+FZ$244&gt;73,"",PRODUCT(INDEX($T$19:$T$93,FZ$244):INDEX($T$19:$T$93,FZ$244+$FN273-1)))</f>
        <v/>
      </c>
      <c r="GA273" s="469" t="str">
        <f ca="1">IF($FN273+GA$244&gt;73,"",PRODUCT(INDEX($T$19:$T$93,GA$244):INDEX($T$19:$T$93,GA$244+$FN273-1)))</f>
        <v/>
      </c>
      <c r="GB273" s="469" t="str">
        <f ca="1">IF($FN273+GB$244&gt;73,"",PRODUCT(INDEX($T$19:$T$93,GB$244):INDEX($T$19:$T$93,GB$244+$FN273-1)))</f>
        <v/>
      </c>
      <c r="GC273" s="469" t="str">
        <f ca="1">IF($FN273+GC$244&gt;73,"",PRODUCT(INDEX($T$19:$T$93,GC$244):INDEX($T$19:$T$93,GC$244+$FN273-1)))</f>
        <v/>
      </c>
      <c r="GD273" s="469" t="str">
        <f ca="1">IF($FN273+GD$244&gt;73,"",PRODUCT(INDEX($T$19:$T$93,GD$244):INDEX($T$19:$T$93,GD$244+$FN273-1)))</f>
        <v/>
      </c>
      <c r="GE273" s="469" t="str">
        <f ca="1">IF($FN273+GE$244&gt;73,"",PRODUCT(INDEX($T$19:$T$93,GE$244):INDEX($T$19:$T$93,GE$244+$FN273-1)))</f>
        <v/>
      </c>
      <c r="GF273" s="469" t="str">
        <f ca="1">IF($FN273+GF$244&gt;73,"",PRODUCT(INDEX($T$19:$T$93,GF$244):INDEX($T$19:$T$93,GF$244+$FN273-1)))</f>
        <v/>
      </c>
      <c r="GG273" s="469" t="str">
        <f ca="1">IF($FN273+GG$244&gt;73,"",PRODUCT(INDEX($T$19:$T$93,GG$244):INDEX($T$19:$T$93,GG$244+$FN273-1)))</f>
        <v/>
      </c>
      <c r="GH273" s="469" t="str">
        <f ca="1">IF($FN273+GH$244&gt;73,"",PRODUCT(INDEX($T$19:$T$93,GH$244):INDEX($T$19:$T$93,GH$244+$FN273-1)))</f>
        <v/>
      </c>
      <c r="GI273" s="469" t="str">
        <f ca="1">IF($FN273+GI$244&gt;73,"",PRODUCT(INDEX($T$19:$T$93,GI$244):INDEX($T$19:$T$93,GI$244+$FN273-1)))</f>
        <v/>
      </c>
      <c r="GJ273" s="469" t="str">
        <f ca="1">IF($FN273+GJ$244&gt;73,"",PRODUCT(INDEX($T$19:$T$93,GJ$244):INDEX($T$19:$T$93,GJ$244+$FN273-1)))</f>
        <v/>
      </c>
      <c r="GK273" s="469" t="str">
        <f ca="1">IF($FN273+GK$244&gt;73,"",PRODUCT(INDEX($T$19:$T$93,GK$244):INDEX($T$19:$T$93,GK$244+$FN273-1)))</f>
        <v/>
      </c>
      <c r="GL273" s="469" t="str">
        <f ca="1">IF($FN273+GL$244&gt;73,"",PRODUCT(INDEX($T$19:$T$93,GL$244):INDEX($T$19:$T$93,GL$244+$FN273-1)))</f>
        <v/>
      </c>
      <c r="GM273" s="469" t="str">
        <f ca="1">IF($FN273+GM$244&gt;73,"",PRODUCT(INDEX($T$19:$T$93,GM$244):INDEX($T$19:$T$93,GM$244+$FN273-1)))</f>
        <v/>
      </c>
      <c r="GN273" s="469" t="str">
        <f ca="1">IF($FN273+GN$244&gt;73,"",PRODUCT(INDEX($T$19:$T$93,GN$244):INDEX($T$19:$T$93,GN$244+$FN273-1)))</f>
        <v/>
      </c>
      <c r="GO273" s="469" t="str">
        <f ca="1">IF($FN273+GO$244&gt;73,"",PRODUCT(INDEX($T$19:$T$93,GO$244):INDEX($T$19:$T$93,GO$244+$FN273-1)))</f>
        <v/>
      </c>
      <c r="GP273" s="469" t="str">
        <f ca="1">IF($FN273+GP$244&gt;73,"",PRODUCT(INDEX($T$19:$T$93,GP$244):INDEX($T$19:$T$93,GP$244+$FN273-1)))</f>
        <v/>
      </c>
      <c r="GQ273" s="469">
        <f ca="1">IF($FN273+GQ$244&gt;73,"",PRODUCT(INDEX($T$19:$T$93,GQ$244):INDEX($T$19:$T$93,GQ$244+$FN273-1)))</f>
        <v>0.99112913136143754</v>
      </c>
      <c r="GR273" s="469">
        <f ca="1">IF($FN273+GR$244&gt;73,"",PRODUCT(INDEX($T$19:$T$93,GR$244):INDEX($T$19:$T$93,GR$244+$FN273-1)))</f>
        <v>0.99014775058172511</v>
      </c>
      <c r="GS273" s="469">
        <f ca="1">IF($FN273+GS$244&gt;73,"",PRODUCT(INDEX($T$19:$T$93,GS$244):INDEX($T$19:$T$93,GS$244+$FN273-1)))</f>
        <v>0.98905832293680895</v>
      </c>
      <c r="GT273" s="469">
        <f ca="1">IF($FN273+GT$244&gt;73,"",PRODUCT(INDEX($T$19:$T$93,GT$244):INDEX($T$19:$T$93,GT$244+$FN273-1)))</f>
        <v>0.98784907447561865</v>
      </c>
      <c r="GU273" s="469">
        <f ca="1">IF($FN273+GU$244&gt;73,"",PRODUCT(INDEX($T$19:$T$93,GU$244):INDEX($T$19:$T$93,GU$244+$FN273-1)))</f>
        <v>0.98650697649767605</v>
      </c>
      <c r="GV273" s="469">
        <f ca="1">IF($FN273+GV$244&gt;73,"",PRODUCT(INDEX($T$19:$T$93,GV$244):INDEX($T$19:$T$93,GV$244+$FN273-1)))</f>
        <v>0.98501761840891977</v>
      </c>
      <c r="GW273" s="469">
        <f ca="1">IF($FN273+GW$244&gt;73,"",PRODUCT(INDEX($T$19:$T$93,GW$244):INDEX($T$19:$T$93,GW$244+$FN273-1)))</f>
        <v>0.98336506923620481</v>
      </c>
      <c r="GX273" s="469">
        <f ca="1">IF($FN273+GX$244&gt;73,"",PRODUCT(INDEX($T$19:$T$93,GX$244):INDEX($T$19:$T$93,GX$244+$FN273-1)))</f>
        <v>0.98153172716195447</v>
      </c>
      <c r="GY273" s="469">
        <f ca="1">IF($FN273+GY$244&gt;73,"",PRODUCT(INDEX($T$19:$T$93,GY$244):INDEX($T$19:$T$93,GY$244+$FN273-1)))</f>
        <v>0.97949815650447614</v>
      </c>
      <c r="GZ273" s="469">
        <f ca="1">IF($FN273+GZ$244&gt;73,"",PRODUCT(INDEX($T$19:$T$93,GZ$244):INDEX($T$19:$T$93,GZ$244+$FN273-1)))</f>
        <v>0.97724291166867305</v>
      </c>
      <c r="HA273" s="469">
        <f ca="1">IF($FN273+HA$244&gt;73,"",PRODUCT(INDEX($T$19:$T$93,HA$244):INDEX($T$19:$T$93,HA$244+$FN273-1)))</f>
        <v>0.97474234773559176</v>
      </c>
      <c r="HB273" s="469">
        <f ca="1">IF($FN273+HB$244&gt;73,"",PRODUCT(INDEX($T$19:$T$93,HB$244):INDEX($T$19:$T$93,HB$244+$FN273-1)))</f>
        <v>0.97197041755862834</v>
      </c>
      <c r="HC273" s="469">
        <f ca="1">IF($FN273+HC$244&gt;73,"",PRODUCT(INDEX($T$19:$T$93,HC$244):INDEX($T$19:$T$93,HC$244+$FN273-1)))</f>
        <v>0.96889845550286147</v>
      </c>
      <c r="HD273" s="469">
        <f ca="1">IF($FN273+HD$244&gt;73,"",PRODUCT(INDEX($T$19:$T$93,HD$244):INDEX($T$19:$T$93,HD$244+$FN273-1)))</f>
        <v>0.96549494831782701</v>
      </c>
      <c r="HE273" s="469">
        <f ca="1">IF($FN273+HE$244&gt;73,"",PRODUCT(INDEX($T$19:$T$93,HE$244):INDEX($T$19:$T$93,HE$244+$FN273-1)))</f>
        <v>0.96172529409222596</v>
      </c>
      <c r="HF273" s="469">
        <f ca="1">IF($FN273+HF$244&gt;73,"",PRODUCT(INDEX($T$19:$T$93,HF$244):INDEX($T$19:$T$93,HF$244+$FN273-1)))</f>
        <v>0.95755155082393961</v>
      </c>
      <c r="HG273" s="469">
        <f ca="1">IF($FN273+HG$244&gt;73,"",PRODUCT(INDEX($T$19:$T$93,HG$244):INDEX($T$19:$T$93,HG$244+$FN273-1)))</f>
        <v>0.95293217687632625</v>
      </c>
      <c r="HH273" s="469">
        <f ca="1">IF($FN273+HH$244&gt;73,"",PRODUCT(INDEX($T$19:$T$93,HH$244):INDEX($T$19:$T$93,HH$244+$FN273-1)))</f>
        <v>0.94782176651252714</v>
      </c>
      <c r="HI273" s="469">
        <f ca="1">IF($FN273+HI$244&gt;73,"",PRODUCT(INDEX($T$19:$T$93,HI$244):INDEX($T$19:$T$93,HI$244+$FN273-1)))</f>
        <v>0.94217078483802263</v>
      </c>
      <c r="HJ273" s="469">
        <f ca="1">IF($FN273+HJ$244&gt;73,"",PRODUCT(INDEX($T$19:$T$93,HJ$244):INDEX($T$19:$T$93,HJ$244+$FN273-1)))</f>
        <v>0.9359253078777221</v>
      </c>
      <c r="HK273" s="469">
        <f ca="1">IF($FN273+HK$244&gt;73,"",PRODUCT(INDEX($T$19:$T$93,HK$244):INDEX($T$19:$T$93,HK$244+$FN273-1)))</f>
        <v>0.92902677521218868</v>
      </c>
      <c r="HL273" s="469">
        <f ca="1">IF($FN273+HL$244&gt;73,"",PRODUCT(INDEX($T$19:$T$93,HL$244):INDEX($T$19:$T$93,HL$244+$FN273-1)))</f>
        <v>0.92141176464847951</v>
      </c>
      <c r="HM273" s="469">
        <f ca="1">IF($FN273+HM$244&gt;73,"",PRODUCT(INDEX($T$19:$T$93,HM$244):INDEX($T$19:$T$93,HM$244+$FN273-1)))</f>
        <v>0.91301180086039613</v>
      </c>
      <c r="HN273" s="469">
        <f ca="1">IF($FN273+HN$244&gt;73,"",PRODUCT(INDEX($T$19:$T$93,HN$244):INDEX($T$19:$T$93,HN$244+$FN273-1)))</f>
        <v>0.90375321286258836</v>
      </c>
      <c r="HO273" s="469">
        <f ca="1">IF($FN273+HO$244&gt;73,"",PRODUCT(INDEX($T$19:$T$93,HO$244):INDEX($T$19:$T$93,HO$244+$FN273-1)))</f>
        <v>0.89355705865092938</v>
      </c>
      <c r="HP273" s="469">
        <f ca="1">IF($FN273+HP$244&gt;73,"",PRODUCT(INDEX($T$19:$T$93,HP$244):INDEX($T$19:$T$93,HP$244+$FN273-1)))</f>
        <v>0.88233913942297404</v>
      </c>
      <c r="HQ273" s="469">
        <f ca="1">IF($FN273+HQ$244&gt;73,"",PRODUCT(INDEX($T$19:$T$93,HQ$244):INDEX($T$19:$T$93,HQ$244+$FN273-1)))</f>
        <v>0.87001013056984877</v>
      </c>
      <c r="HR273" s="469">
        <f ca="1">IF($FN273+HR$244&gt;73,"",PRODUCT(INDEX($T$19:$T$93,HR$244):INDEX($T$19:$T$93,HR$244+$FN273-1)))</f>
        <v>0.8564758621973555</v>
      </c>
      <c r="HS273" s="469">
        <f ca="1">IF($FN273+HS$244&gt;73,"",PRODUCT(INDEX($T$19:$T$93,HS$244):INDEX($T$19:$T$93,HS$244+$FN273-1)))</f>
        <v>0.84163778839434866</v>
      </c>
      <c r="HT273" s="469">
        <f ca="1">IF($FN273+HT$244&gt;73,"",PRODUCT(INDEX($T$19:$T$93,HT$244):INDEX($T$19:$T$93,HT$244+$FN273-1)))</f>
        <v>0.82539369194221213</v>
      </c>
      <c r="HU273" s="469">
        <f ca="1">IF($FN273+HU$244&gt;73,"",PRODUCT(INDEX($T$19:$T$93,HU$244):INDEX($T$19:$T$93,HU$244+$FN273-1)))</f>
        <v>0.80763867979327253</v>
      </c>
      <c r="HV273" s="469">
        <f ca="1">IF($FN273+HV$244&gt;73,"",PRODUCT(INDEX($T$19:$T$93,HV$244):INDEX($T$19:$T$93,HV$244+$FN273-1)))</f>
        <v>0.78826653460678398</v>
      </c>
      <c r="HW273" s="469">
        <f ca="1">IF($FN273+HW$244&gt;73,"",PRODUCT(INDEX($T$19:$T$93,HW$244):INDEX($T$19:$T$93,HW$244+$FN273-1)))</f>
        <v>0.76717149911341798</v>
      </c>
      <c r="HX273" s="469">
        <f ca="1">IF($FN273+HX$244&gt;73,"",PRODUCT(INDEX($T$19:$T$93,HX$244):INDEX($T$19:$T$93,HX$244+$FN273-1)))</f>
        <v>0.74425058329340699</v>
      </c>
      <c r="HY273" s="469">
        <f ca="1">IF($FN273+HY$244&gt;73,"",PRODUCT(INDEX($T$19:$T$93,HY$244):INDEX($T$19:$T$93,HY$244+$FN273-1)))</f>
        <v>0.71940649948937452</v>
      </c>
      <c r="HZ273" s="469">
        <f ca="1">IF($FN273+HZ$244&gt;73,"",PRODUCT(INDEX($T$19:$T$93,HZ$244):INDEX($T$19:$T$93,HZ$244+$FN273-1)))</f>
        <v>0.69255134771316751</v>
      </c>
      <c r="IA273" s="469">
        <f ca="1">IF($FN273+IA$244&gt;73,"",PRODUCT(INDEX($T$19:$T$93,IA$244):INDEX($T$19:$T$93,IA$244+$FN273-1)))</f>
        <v>0.66361119233195631</v>
      </c>
      <c r="IB273" s="469">
        <f ca="1">IF($FN273+IB$244&gt;73,"",PRODUCT(INDEX($T$19:$T$93,IB$244):INDEX($T$19:$T$93,IB$244+$FN273-1)))</f>
        <v>0.63253169116167596</v>
      </c>
      <c r="IC273" s="469">
        <f ca="1">IF($FN273+IC$244&gt;73,"",PRODUCT(INDEX($T$19:$T$93,IC$244):INDEX($T$19:$T$93,IC$244+$FN273-1)))</f>
        <v>0.59928495657491454</v>
      </c>
      <c r="ID273" s="469">
        <f ca="1">IF($FN273+ID$244&gt;73,"",PRODUCT(INDEX($T$19:$T$93,ID$244):INDEX($T$19:$T$93,ID$244+$FN273-1)))</f>
        <v>0.56387784093052606</v>
      </c>
      <c r="IE273" s="469">
        <f ca="1">IF($FN273+IE$244&gt;73,"",PRODUCT(INDEX($T$19:$T$93,IE$244):INDEX($T$19:$T$93,IE$244+$FN273-1)))</f>
        <v>0.52636183656646107</v>
      </c>
      <c r="IF273" s="469">
        <f ca="1">IF($FN273+IF$244&gt;73,"",PRODUCT(INDEX($T$19:$T$93,IF$244):INDEX($T$19:$T$93,IF$244+$FN273-1)))</f>
        <v>0.48684474776296321</v>
      </c>
      <c r="IG273" s="469">
        <f ca="1">IF($FN273+IG$244&gt;73,"",PRODUCT(INDEX($T$19:$T$93,IG$244):INDEX($T$19:$T$93,IG$244+$FN273-1)))</f>
        <v>0.44550420124957596</v>
      </c>
      <c r="IH273" s="662">
        <f ca="1">IF($FN273+IH$244&gt;73,"",PRODUCT(INDEX($T$19:$T$93,IH$244):INDEX($T$19:$T$93,IH$244+$FN273-1)))</f>
        <v>0.40260286913920806</v>
      </c>
      <c r="II273" s="242"/>
    </row>
    <row r="274" spans="9:243">
      <c r="I274" s="132"/>
      <c r="J274" s="365"/>
      <c r="K274" s="133"/>
      <c r="L274" s="1"/>
      <c r="M274" s="366"/>
      <c r="P274" s="365"/>
      <c r="S274" s="53"/>
      <c r="T274" s="365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03"/>
      <c r="AM274" s="103"/>
      <c r="AN274" s="103"/>
      <c r="AO274" s="364">
        <v>6.4786169598407994E-2</v>
      </c>
      <c r="AP274" s="31"/>
      <c r="AQ274" s="364">
        <v>5.9180415604933104E-2</v>
      </c>
      <c r="AR274" s="31"/>
      <c r="AS274" s="31"/>
      <c r="AT274" s="31"/>
      <c r="AU274" s="31"/>
      <c r="AV274" s="146"/>
      <c r="AW274" s="103"/>
      <c r="AX274" s="103"/>
      <c r="AY274" s="103"/>
      <c r="AZ274" s="103"/>
      <c r="BA274" s="103"/>
      <c r="BB274" s="103"/>
      <c r="BC274" s="104"/>
      <c r="BD274" s="104"/>
      <c r="BE274" s="104"/>
      <c r="BF274" s="102"/>
      <c r="BG274" s="104"/>
      <c r="BH274" s="104"/>
      <c r="BI274" s="152"/>
      <c r="BJ274" s="103"/>
      <c r="BK274" s="103"/>
      <c r="BL274" s="103"/>
      <c r="BM274" s="103"/>
      <c r="BN274" s="103"/>
      <c r="BO274" s="103"/>
      <c r="BP274" s="103"/>
      <c r="BQ274" s="103"/>
      <c r="BR274" s="103"/>
      <c r="BS274" s="103"/>
      <c r="BT274" s="104"/>
      <c r="BU274" s="104"/>
      <c r="BV274" s="104"/>
      <c r="BW274" s="104"/>
      <c r="BX274" s="104"/>
      <c r="BY274" s="104"/>
      <c r="BZ274" s="104"/>
      <c r="CA274" s="104"/>
      <c r="CB274" s="104"/>
      <c r="CC274" s="104"/>
      <c r="CD274" s="103"/>
      <c r="CE274" s="103"/>
      <c r="CF274" s="103"/>
      <c r="CG274" s="103"/>
      <c r="CH274" s="103"/>
      <c r="CI274" s="103"/>
      <c r="CJ274" s="107"/>
      <c r="CK274" s="1"/>
      <c r="CL274" s="51"/>
      <c r="CM274" s="51"/>
      <c r="CN274" s="51"/>
      <c r="CO274" s="51"/>
      <c r="CP274" s="51"/>
      <c r="CQ274" s="51"/>
      <c r="CR274" s="51"/>
      <c r="CS274" s="51"/>
      <c r="CT274" s="51"/>
      <c r="CU274" s="51"/>
      <c r="CV274" s="51"/>
      <c r="CW274" s="51"/>
      <c r="CX274" s="51"/>
      <c r="CY274" s="51"/>
      <c r="CZ274" s="51"/>
      <c r="DA274" s="51"/>
      <c r="DB274" s="51"/>
      <c r="DC274" s="51"/>
      <c r="DF274" s="465"/>
      <c r="DI274" s="465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3"/>
      <c r="EP274" s="53"/>
      <c r="EQ274" s="1"/>
      <c r="ER274" s="103"/>
      <c r="ES274" s="103"/>
      <c r="ET274" s="1"/>
      <c r="EU274" s="103"/>
      <c r="EV274" s="1"/>
      <c r="EW274" s="1"/>
      <c r="EX274" s="1"/>
      <c r="EY274" s="103"/>
      <c r="FN274" s="657">
        <v>30</v>
      </c>
      <c r="FO274" s="469" t="str">
        <f ca="1">IF($FN274+FO$244&gt;73,"",PRODUCT(INDEX($T$19:$T$93,FO$244):INDEX($T$19:$T$93,FO$244+$FN274-1)))</f>
        <v/>
      </c>
      <c r="FP274" s="469" t="str">
        <f ca="1">IF($FN274+FP$244&gt;73,"",PRODUCT(INDEX($T$19:$T$93,FP$244):INDEX($T$19:$T$93,FP$244+$FN274-1)))</f>
        <v/>
      </c>
      <c r="FQ274" s="469" t="str">
        <f ca="1">IF($FN274+FQ$244&gt;73,"",PRODUCT(INDEX($T$19:$T$93,FQ$244):INDEX($T$19:$T$93,FQ$244+$FN274-1)))</f>
        <v/>
      </c>
      <c r="FR274" s="469" t="str">
        <f ca="1">IF($FN274+FR$244&gt;73,"",PRODUCT(INDEX($T$19:$T$93,FR$244):INDEX($T$19:$T$93,FR$244+$FN274-1)))</f>
        <v/>
      </c>
      <c r="FS274" s="469" t="str">
        <f ca="1">IF($FN274+FS$244&gt;73,"",PRODUCT(INDEX($T$19:$T$93,FS$244):INDEX($T$19:$T$93,FS$244+$FN274-1)))</f>
        <v/>
      </c>
      <c r="FT274" s="469" t="str">
        <f ca="1">IF($FN274+FT$244&gt;73,"",PRODUCT(INDEX($T$19:$T$93,FT$244):INDEX($T$19:$T$93,FT$244+$FN274-1)))</f>
        <v/>
      </c>
      <c r="FU274" s="469" t="str">
        <f ca="1">IF($FN274+FU$244&gt;73,"",PRODUCT(INDEX($T$19:$T$93,FU$244):INDEX($T$19:$T$93,FU$244+$FN274-1)))</f>
        <v/>
      </c>
      <c r="FV274" s="469" t="str">
        <f ca="1">IF($FN274+FV$244&gt;73,"",PRODUCT(INDEX($T$19:$T$93,FV$244):INDEX($T$19:$T$93,FV$244+$FN274-1)))</f>
        <v/>
      </c>
      <c r="FW274" s="469" t="str">
        <f ca="1">IF($FN274+FW$244&gt;73,"",PRODUCT(INDEX($T$19:$T$93,FW$244):INDEX($T$19:$T$93,FW$244+$FN274-1)))</f>
        <v/>
      </c>
      <c r="FX274" s="469" t="str">
        <f ca="1">IF($FN274+FX$244&gt;73,"",PRODUCT(INDEX($T$19:$T$93,FX$244):INDEX($T$19:$T$93,FX$244+$FN274-1)))</f>
        <v/>
      </c>
      <c r="FY274" s="469" t="str">
        <f ca="1">IF($FN274+FY$244&gt;73,"",PRODUCT(INDEX($T$19:$T$93,FY$244):INDEX($T$19:$T$93,FY$244+$FN274-1)))</f>
        <v/>
      </c>
      <c r="FZ274" s="469" t="str">
        <f ca="1">IF($FN274+FZ$244&gt;73,"",PRODUCT(INDEX($T$19:$T$93,FZ$244):INDEX($T$19:$T$93,FZ$244+$FN274-1)))</f>
        <v/>
      </c>
      <c r="GA274" s="469" t="str">
        <f ca="1">IF($FN274+GA$244&gt;73,"",PRODUCT(INDEX($T$19:$T$93,GA$244):INDEX($T$19:$T$93,GA$244+$FN274-1)))</f>
        <v/>
      </c>
      <c r="GB274" s="469" t="str">
        <f ca="1">IF($FN274+GB$244&gt;73,"",PRODUCT(INDEX($T$19:$T$93,GB$244):INDEX($T$19:$T$93,GB$244+$FN274-1)))</f>
        <v/>
      </c>
      <c r="GC274" s="469" t="str">
        <f ca="1">IF($FN274+GC$244&gt;73,"",PRODUCT(INDEX($T$19:$T$93,GC$244):INDEX($T$19:$T$93,GC$244+$FN274-1)))</f>
        <v/>
      </c>
      <c r="GD274" s="469" t="str">
        <f ca="1">IF($FN274+GD$244&gt;73,"",PRODUCT(INDEX($T$19:$T$93,GD$244):INDEX($T$19:$T$93,GD$244+$FN274-1)))</f>
        <v/>
      </c>
      <c r="GE274" s="469" t="str">
        <f ca="1">IF($FN274+GE$244&gt;73,"",PRODUCT(INDEX($T$19:$T$93,GE$244):INDEX($T$19:$T$93,GE$244+$FN274-1)))</f>
        <v/>
      </c>
      <c r="GF274" s="469" t="str">
        <f ca="1">IF($FN274+GF$244&gt;73,"",PRODUCT(INDEX($T$19:$T$93,GF$244):INDEX($T$19:$T$93,GF$244+$FN274-1)))</f>
        <v/>
      </c>
      <c r="GG274" s="469" t="str">
        <f ca="1">IF($FN274+GG$244&gt;73,"",PRODUCT(INDEX($T$19:$T$93,GG$244):INDEX($T$19:$T$93,GG$244+$FN274-1)))</f>
        <v/>
      </c>
      <c r="GH274" s="469" t="str">
        <f ca="1">IF($FN274+GH$244&gt;73,"",PRODUCT(INDEX($T$19:$T$93,GH$244):INDEX($T$19:$T$93,GH$244+$FN274-1)))</f>
        <v/>
      </c>
      <c r="GI274" s="469" t="str">
        <f ca="1">IF($FN274+GI$244&gt;73,"",PRODUCT(INDEX($T$19:$T$93,GI$244):INDEX($T$19:$T$93,GI$244+$FN274-1)))</f>
        <v/>
      </c>
      <c r="GJ274" s="469" t="str">
        <f ca="1">IF($FN274+GJ$244&gt;73,"",PRODUCT(INDEX($T$19:$T$93,GJ$244):INDEX($T$19:$T$93,GJ$244+$FN274-1)))</f>
        <v/>
      </c>
      <c r="GK274" s="469" t="str">
        <f ca="1">IF($FN274+GK$244&gt;73,"",PRODUCT(INDEX($T$19:$T$93,GK$244):INDEX($T$19:$T$93,GK$244+$FN274-1)))</f>
        <v/>
      </c>
      <c r="GL274" s="469" t="str">
        <f ca="1">IF($FN274+GL$244&gt;73,"",PRODUCT(INDEX($T$19:$T$93,GL$244):INDEX($T$19:$T$93,GL$244+$FN274-1)))</f>
        <v/>
      </c>
      <c r="GM274" s="469" t="str">
        <f ca="1">IF($FN274+GM$244&gt;73,"",PRODUCT(INDEX($T$19:$T$93,GM$244):INDEX($T$19:$T$93,GM$244+$FN274-1)))</f>
        <v/>
      </c>
      <c r="GN274" s="469" t="str">
        <f ca="1">IF($FN274+GN$244&gt;73,"",PRODUCT(INDEX($T$19:$T$93,GN$244):INDEX($T$19:$T$93,GN$244+$FN274-1)))</f>
        <v/>
      </c>
      <c r="GO274" s="469" t="str">
        <f ca="1">IF($FN274+GO$244&gt;73,"",PRODUCT(INDEX($T$19:$T$93,GO$244):INDEX($T$19:$T$93,GO$244+$FN274-1)))</f>
        <v/>
      </c>
      <c r="GP274" s="469" t="str">
        <f ca="1">IF($FN274+GP$244&gt;73,"",PRODUCT(INDEX($T$19:$T$93,GP$244):INDEX($T$19:$T$93,GP$244+$FN274-1)))</f>
        <v/>
      </c>
      <c r="GQ274" s="469" t="str">
        <f ca="1">IF($FN274+GQ$244&gt;73,"",PRODUCT(INDEX($T$19:$T$93,GQ$244):INDEX($T$19:$T$93,GQ$244+$FN274-1)))</f>
        <v/>
      </c>
      <c r="GR274" s="469">
        <f ca="1">IF($FN274+GR$244&gt;73,"",PRODUCT(INDEX($T$19:$T$93,GR$244):INDEX($T$19:$T$93,GR$244+$FN274-1)))</f>
        <v>0.99009931976796317</v>
      </c>
      <c r="GS274" s="469">
        <f ca="1">IF($FN274+GS$244&gt;73,"",PRODUCT(INDEX($T$19:$T$93,GS$244):INDEX($T$19:$T$93,GS$244+$FN274-1)))</f>
        <v>0.98900456998010877</v>
      </c>
      <c r="GT274" s="469">
        <f ca="1">IF($FN274+GT$244&gt;73,"",PRODUCT(INDEX($T$19:$T$93,GT$244):INDEX($T$19:$T$93,GT$244+$FN274-1)))</f>
        <v>0.98778942180607243</v>
      </c>
      <c r="GU274" s="469">
        <f ca="1">IF($FN274+GU$244&gt;73,"",PRODUCT(INDEX($T$19:$T$93,GU$244):INDEX($T$19:$T$93,GU$244+$FN274-1)))</f>
        <v>0.98644078557585191</v>
      </c>
      <c r="GV274" s="469">
        <f ca="1">IF($FN274+GV$244&gt;73,"",PRODUCT(INDEX($T$19:$T$93,GV$244):INDEX($T$19:$T$93,GV$244+$FN274-1)))</f>
        <v>0.98494418369320547</v>
      </c>
      <c r="GW274" s="469">
        <f ca="1">IF($FN274+GW$244&gt;73,"",PRODUCT(INDEX($T$19:$T$93,GW$244):INDEX($T$19:$T$93,GW$244+$FN274-1)))</f>
        <v>0.98328361165016454</v>
      </c>
      <c r="GX274" s="469">
        <f ca="1">IF($FN274+GX$244&gt;73,"",PRODUCT(INDEX($T$19:$T$93,GX$244):INDEX($T$19:$T$93,GX$244+$FN274-1)))</f>
        <v>0.98144138704475059</v>
      </c>
      <c r="GY274" s="469">
        <f ca="1">IF($FN274+GY$244&gt;73,"",PRODUCT(INDEX($T$19:$T$93,GY$244):INDEX($T$19:$T$93,GY$244+$FN274-1)))</f>
        <v>0.97939798603409556</v>
      </c>
      <c r="GZ274" s="469">
        <f ca="1">IF($FN274+GZ$244&gt;73,"",PRODUCT(INDEX($T$19:$T$93,GZ$244):INDEX($T$19:$T$93,GZ$244+$FN274-1)))</f>
        <v>0.97713186675695851</v>
      </c>
      <c r="HA274" s="469">
        <f ca="1">IF($FN274+HA$244&gt;73,"",PRODUCT(INDEX($T$19:$T$93,HA$244):INDEX($T$19:$T$93,HA$244+$FN274-1)))</f>
        <v>0.974619279406578</v>
      </c>
      <c r="HB274" s="469">
        <f ca="1">IF($FN274+HB$244&gt;73,"",PRODUCT(INDEX($T$19:$T$93,HB$244):INDEX($T$19:$T$93,HB$244+$FN274-1)))</f>
        <v>0.97183406283820339</v>
      </c>
      <c r="HC274" s="469">
        <f ca="1">IF($FN274+HC$244&gt;73,"",PRODUCT(INDEX($T$19:$T$93,HC$244):INDEX($T$19:$T$93,HC$244+$FN274-1)))</f>
        <v>0.96874742786927115</v>
      </c>
      <c r="HD274" s="469">
        <f ca="1">IF($FN274+HD$244&gt;73,"",PRODUCT(INDEX($T$19:$T$93,HD$244):INDEX($T$19:$T$93,HD$244+$FN274-1)))</f>
        <v>0.96532772779015885</v>
      </c>
      <c r="HE274" s="469">
        <f ca="1">IF($FN274+HE$244&gt;73,"",PRODUCT(INDEX($T$19:$T$93,HE$244):INDEX($T$19:$T$93,HE$244+$FN274-1)))</f>
        <v>0.96154021706908543</v>
      </c>
      <c r="HF274" s="469">
        <f ca="1">IF($FN274+HF$244&gt;73,"",PRODUCT(INDEX($T$19:$T$93,HF$244):INDEX($T$19:$T$93,HF$244+$FN274-1)))</f>
        <v>0.95734679982866955</v>
      </c>
      <c r="HG274" s="469">
        <f ca="1">IF($FN274+HG$244&gt;73,"",PRODUCT(INDEX($T$19:$T$93,HG$244):INDEX($T$19:$T$93,HG$244+$FN274-1)))</f>
        <v>0.95270577042015447</v>
      </c>
      <c r="HH274" s="469">
        <f ca="1">IF($FN274+HH$244&gt;73,"",PRODUCT(INDEX($T$19:$T$93,HH$244):INDEX($T$19:$T$93,HH$244+$FN274-1)))</f>
        <v>0.94757154935510324</v>
      </c>
      <c r="HI274" s="469">
        <f ca="1">IF($FN274+HI$244&gt;73,"",PRODUCT(INDEX($T$19:$T$93,HI$244):INDEX($T$19:$T$93,HI$244+$FN274-1)))</f>
        <v>0.94189441900833581</v>
      </c>
      <c r="HJ274" s="469">
        <f ca="1">IF($FN274+HJ$244&gt;73,"",PRODUCT(INDEX($T$19:$T$93,HJ$244):INDEX($T$19:$T$93,HJ$244+$FN274-1)))</f>
        <v>0.93562026492009254</v>
      </c>
      <c r="HK274" s="469">
        <f ca="1">IF($FN274+HK$244&gt;73,"",PRODUCT(INDEX($T$19:$T$93,HK$244):INDEX($T$19:$T$93,HK$244+$FN274-1)))</f>
        <v>0.92869033024485725</v>
      </c>
      <c r="HL274" s="469">
        <f ca="1">IF($FN274+HL$244&gt;73,"",PRODUCT(INDEX($T$19:$T$93,HL$244):INDEX($T$19:$T$93,HL$244+$FN274-1)))</f>
        <v>0.92104099296944442</v>
      </c>
      <c r="HM274" s="469">
        <f ca="1">IF($FN274+HM$244&gt;73,"",PRODUCT(INDEX($T$19:$T$93,HM$244):INDEX($T$19:$T$93,HM$244+$FN274-1)))</f>
        <v>0.91260357800976388</v>
      </c>
      <c r="HN274" s="469">
        <f ca="1">IF($FN274+HN$244&gt;73,"",PRODUCT(INDEX($T$19:$T$93,HN$244):INDEX($T$19:$T$93,HN$244+$FN274-1)))</f>
        <v>0.90330421925592252</v>
      </c>
      <c r="HO274" s="469">
        <f ca="1">IF($FN274+HO$244&gt;73,"",PRODUCT(INDEX($T$19:$T$93,HO$244):INDEX($T$19:$T$93,HO$244+$FN274-1)))</f>
        <v>0.89306379013651127</v>
      </c>
      <c r="HP274" s="469">
        <f ca="1">IF($FN274+HP$244&gt;73,"",PRODUCT(INDEX($T$19:$T$93,HP$244):INDEX($T$19:$T$93,HP$244+$FN274-1)))</f>
        <v>0.88179792538927404</v>
      </c>
      <c r="HQ274" s="469">
        <f ca="1">IF($FN274+HQ$244&gt;73,"",PRODUCT(INDEX($T$19:$T$93,HQ$244):INDEX($T$19:$T$93,HQ$244+$FN274-1)))</f>
        <v>0.86941716153797599</v>
      </c>
      <c r="HR274" s="469">
        <f ca="1">IF($FN274+HR$244&gt;73,"",PRODUCT(INDEX($T$19:$T$93,HR$244):INDEX($T$19:$T$93,HR$244+$FN274-1)))</f>
        <v>0.85582722917439946</v>
      </c>
      <c r="HS274" s="469">
        <f ca="1">IF($FN274+HS$244&gt;73,"",PRODUCT(INDEX($T$19:$T$93,HS$244):INDEX($T$19:$T$93,HS$244+$FN274-1)))</f>
        <v>0.84092953663102588</v>
      </c>
      <c r="HT274" s="469">
        <f ca="1">IF($FN274+HT$244&gt;73,"",PRODUCT(INDEX($T$19:$T$93,HT$244):INDEX($T$19:$T$93,HT$244+$FN274-1)))</f>
        <v>0.82462189211998016</v>
      </c>
      <c r="HU274" s="469">
        <f ca="1">IF($FN274+HU$244&gt;73,"",PRODUCT(INDEX($T$19:$T$93,HU$244):INDEX($T$19:$T$93,HU$244+$FN274-1)))</f>
        <v>0.80679952004155875</v>
      </c>
      <c r="HV274" s="469">
        <f ca="1">IF($FN274+HV$244&gt;73,"",PRODUCT(INDEX($T$19:$T$93,HV$244):INDEX($T$19:$T$93,HV$244+$FN274-1)))</f>
        <v>0.78735643708776604</v>
      </c>
      <c r="HW274" s="469">
        <f ca="1">IF($FN274+HW$244&gt;73,"",PRODUCT(INDEX($T$19:$T$93,HW$244):INDEX($T$19:$T$93,HW$244+$FN274-1)))</f>
        <v>0.76618726516065805</v>
      </c>
      <c r="HX274" s="469">
        <f ca="1">IF($FN274+HX$244&gt;73,"",PRODUCT(INDEX($T$19:$T$93,HX$244):INDEX($T$19:$T$93,HX$244+$FN274-1)))</f>
        <v>0.74318957117912909</v>
      </c>
      <c r="HY274" s="469">
        <f ca="1">IF($FN274+HY$244&gt;73,"",PRODUCT(INDEX($T$19:$T$93,HY$244):INDEX($T$19:$T$93,HY$244+$FN274-1)))</f>
        <v>0.71826683871892283</v>
      </c>
      <c r="HZ274" s="469">
        <f ca="1">IF($FN274+HZ$244&gt;73,"",PRODUCT(INDEX($T$19:$T$93,HZ$244):INDEX($T$19:$T$93,HZ$244+$FN274-1)))</f>
        <v>0.69133219315666361</v>
      </c>
      <c r="IA274" s="469">
        <f ca="1">IF($FN274+IA$244&gt;73,"",PRODUCT(INDEX($T$19:$T$93,IA$244):INDEX($T$19:$T$93,IA$244+$FN274-1)))</f>
        <v>0.66231302029730166</v>
      </c>
      <c r="IB274" s="469">
        <f ca="1">IF($FN274+IB$244&gt;73,"",PRODUCT(INDEX($T$19:$T$93,IB$244):INDEX($T$19:$T$93,IB$244+$FN274-1)))</f>
        <v>0.63115663740971173</v>
      </c>
      <c r="IC274" s="469">
        <f ca="1">IF($FN274+IC$244&gt;73,"",PRODUCT(INDEX($T$19:$T$93,IC$244):INDEX($T$19:$T$93,IC$244+$FN274-1)))</f>
        <v>0.59783719290209136</v>
      </c>
      <c r="ID274" s="469">
        <f ca="1">IF($FN274+ID$244&gt;73,"",PRODUCT(INDEX($T$19:$T$93,ID$244):INDEX($T$19:$T$93,ID$244+$FN274-1)))</f>
        <v>0.56236398180944025</v>
      </c>
      <c r="IE274" s="469">
        <f ca="1">IF($FN274+IE$244&gt;73,"",PRODUCT(INDEX($T$19:$T$93,IE$244):INDEX($T$19:$T$93,IE$244+$FN274-1)))</f>
        <v>0.52479135983134817</v>
      </c>
      <c r="IF274" s="469">
        <f ca="1">IF($FN274+IF$244&gt;73,"",PRODUCT(INDEX($T$19:$T$93,IF$244):INDEX($T$19:$T$93,IF$244+$FN274-1)))</f>
        <v>0.48523040274380236</v>
      </c>
      <c r="IG274" s="469">
        <f ca="1">IF($FN274+IG$244&gt;73,"",PRODUCT(INDEX($T$19:$T$93,IG$244):INDEX($T$19:$T$93,IG$244+$FN274-1)))</f>
        <v>0.44386236335780027</v>
      </c>
      <c r="IH274" s="662">
        <f ca="1">IF($FN274+IH$244&gt;73,"",PRODUCT(INDEX($T$19:$T$93,IH$244):INDEX($T$19:$T$93,IH$244+$FN274-1)))</f>
        <v>0.40095378112461855</v>
      </c>
      <c r="II274" s="242"/>
    </row>
    <row r="275" spans="9:243">
      <c r="I275" s="132"/>
      <c r="J275" s="365"/>
      <c r="K275" s="133"/>
      <c r="L275" s="1"/>
      <c r="M275" s="366"/>
      <c r="P275" s="365"/>
      <c r="S275" s="53"/>
      <c r="T275" s="365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03"/>
      <c r="AM275" s="103"/>
      <c r="AN275" s="103"/>
      <c r="AO275" s="364">
        <v>6.4796817373507398E-2</v>
      </c>
      <c r="AP275" s="31"/>
      <c r="AQ275" s="364">
        <v>5.9141184730022299E-2</v>
      </c>
      <c r="AR275" s="31"/>
      <c r="AS275" s="31"/>
      <c r="AT275" s="31"/>
      <c r="AU275" s="31"/>
      <c r="AV275" s="146"/>
      <c r="AW275" s="103"/>
      <c r="AX275" s="103"/>
      <c r="AY275" s="103"/>
      <c r="AZ275" s="103"/>
      <c r="BA275" s="103"/>
      <c r="BB275" s="103"/>
      <c r="BC275" s="104"/>
      <c r="BD275" s="104"/>
      <c r="BE275" s="104"/>
      <c r="BF275" s="102"/>
      <c r="BG275" s="104"/>
      <c r="BH275" s="104"/>
      <c r="BI275" s="152"/>
      <c r="BJ275" s="103"/>
      <c r="BK275" s="103"/>
      <c r="BL275" s="103"/>
      <c r="BM275" s="103"/>
      <c r="BN275" s="103"/>
      <c r="BO275" s="103"/>
      <c r="BP275" s="103"/>
      <c r="BQ275" s="103"/>
      <c r="BR275" s="103"/>
      <c r="BS275" s="103"/>
      <c r="BT275" s="104"/>
      <c r="BU275" s="104"/>
      <c r="BV275" s="104"/>
      <c r="BW275" s="104"/>
      <c r="BX275" s="104"/>
      <c r="BY275" s="104"/>
      <c r="BZ275" s="104"/>
      <c r="CA275" s="104"/>
      <c r="CB275" s="104"/>
      <c r="CC275" s="104"/>
      <c r="CD275" s="103"/>
      <c r="CE275" s="103"/>
      <c r="CF275" s="103"/>
      <c r="CG275" s="103"/>
      <c r="CH275" s="103"/>
      <c r="CI275" s="103"/>
      <c r="CJ275" s="107"/>
      <c r="CK275" s="1"/>
      <c r="CL275" s="51"/>
      <c r="CM275" s="51"/>
      <c r="CN275" s="51"/>
      <c r="CO275" s="51"/>
      <c r="CP275" s="51"/>
      <c r="CQ275" s="51"/>
      <c r="CR275" s="51"/>
      <c r="CS275" s="51"/>
      <c r="CT275" s="51"/>
      <c r="CU275" s="51"/>
      <c r="CV275" s="51"/>
      <c r="CW275" s="51"/>
      <c r="CX275" s="51"/>
      <c r="CY275" s="51"/>
      <c r="CZ275" s="51"/>
      <c r="DA275" s="51"/>
      <c r="DB275" s="51"/>
      <c r="DC275" s="51"/>
      <c r="DF275" s="465"/>
      <c r="DI275" s="465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3"/>
      <c r="EP275" s="53"/>
      <c r="EQ275" s="1"/>
      <c r="ER275" s="103"/>
      <c r="ES275" s="103"/>
      <c r="ET275" s="1"/>
      <c r="EU275" s="103"/>
      <c r="EV275" s="1"/>
      <c r="EW275" s="1"/>
      <c r="EX275" s="1"/>
      <c r="EY275" s="103"/>
      <c r="FN275" s="657">
        <v>31</v>
      </c>
      <c r="FO275" s="469" t="str">
        <f ca="1">IF($FN275+FO$244&gt;73,"",PRODUCT(INDEX($T$19:$T$93,FO$244):INDEX($T$19:$T$93,FO$244+$FN275-1)))</f>
        <v/>
      </c>
      <c r="FP275" s="469" t="str">
        <f ca="1">IF($FN275+FP$244&gt;73,"",PRODUCT(INDEX($T$19:$T$93,FP$244):INDEX($T$19:$T$93,FP$244+$FN275-1)))</f>
        <v/>
      </c>
      <c r="FQ275" s="469" t="str">
        <f ca="1">IF($FN275+FQ$244&gt;73,"",PRODUCT(INDEX($T$19:$T$93,FQ$244):INDEX($T$19:$T$93,FQ$244+$FN275-1)))</f>
        <v/>
      </c>
      <c r="FR275" s="469" t="str">
        <f ca="1">IF($FN275+FR$244&gt;73,"",PRODUCT(INDEX($T$19:$T$93,FR$244):INDEX($T$19:$T$93,FR$244+$FN275-1)))</f>
        <v/>
      </c>
      <c r="FS275" s="469" t="str">
        <f ca="1">IF($FN275+FS$244&gt;73,"",PRODUCT(INDEX($T$19:$T$93,FS$244):INDEX($T$19:$T$93,FS$244+$FN275-1)))</f>
        <v/>
      </c>
      <c r="FT275" s="469" t="str">
        <f ca="1">IF($FN275+FT$244&gt;73,"",PRODUCT(INDEX($T$19:$T$93,FT$244):INDEX($T$19:$T$93,FT$244+$FN275-1)))</f>
        <v/>
      </c>
      <c r="FU275" s="469" t="str">
        <f ca="1">IF($FN275+FU$244&gt;73,"",PRODUCT(INDEX($T$19:$T$93,FU$244):INDEX($T$19:$T$93,FU$244+$FN275-1)))</f>
        <v/>
      </c>
      <c r="FV275" s="469" t="str">
        <f ca="1">IF($FN275+FV$244&gt;73,"",PRODUCT(INDEX($T$19:$T$93,FV$244):INDEX($T$19:$T$93,FV$244+$FN275-1)))</f>
        <v/>
      </c>
      <c r="FW275" s="469" t="str">
        <f ca="1">IF($FN275+FW$244&gt;73,"",PRODUCT(INDEX($T$19:$T$93,FW$244):INDEX($T$19:$T$93,FW$244+$FN275-1)))</f>
        <v/>
      </c>
      <c r="FX275" s="469" t="str">
        <f ca="1">IF($FN275+FX$244&gt;73,"",PRODUCT(INDEX($T$19:$T$93,FX$244):INDEX($T$19:$T$93,FX$244+$FN275-1)))</f>
        <v/>
      </c>
      <c r="FY275" s="469" t="str">
        <f ca="1">IF($FN275+FY$244&gt;73,"",PRODUCT(INDEX($T$19:$T$93,FY$244):INDEX($T$19:$T$93,FY$244+$FN275-1)))</f>
        <v/>
      </c>
      <c r="FZ275" s="469" t="str">
        <f ca="1">IF($FN275+FZ$244&gt;73,"",PRODUCT(INDEX($T$19:$T$93,FZ$244):INDEX($T$19:$T$93,FZ$244+$FN275-1)))</f>
        <v/>
      </c>
      <c r="GA275" s="469" t="str">
        <f ca="1">IF($FN275+GA$244&gt;73,"",PRODUCT(INDEX($T$19:$T$93,GA$244):INDEX($T$19:$T$93,GA$244+$FN275-1)))</f>
        <v/>
      </c>
      <c r="GB275" s="469" t="str">
        <f ca="1">IF($FN275+GB$244&gt;73,"",PRODUCT(INDEX($T$19:$T$93,GB$244):INDEX($T$19:$T$93,GB$244+$FN275-1)))</f>
        <v/>
      </c>
      <c r="GC275" s="469" t="str">
        <f ca="1">IF($FN275+GC$244&gt;73,"",PRODUCT(INDEX($T$19:$T$93,GC$244):INDEX($T$19:$T$93,GC$244+$FN275-1)))</f>
        <v/>
      </c>
      <c r="GD275" s="469" t="str">
        <f ca="1">IF($FN275+GD$244&gt;73,"",PRODUCT(INDEX($T$19:$T$93,GD$244):INDEX($T$19:$T$93,GD$244+$FN275-1)))</f>
        <v/>
      </c>
      <c r="GE275" s="469" t="str">
        <f ca="1">IF($FN275+GE$244&gt;73,"",PRODUCT(INDEX($T$19:$T$93,GE$244):INDEX($T$19:$T$93,GE$244+$FN275-1)))</f>
        <v/>
      </c>
      <c r="GF275" s="469" t="str">
        <f ca="1">IF($FN275+GF$244&gt;73,"",PRODUCT(INDEX($T$19:$T$93,GF$244):INDEX($T$19:$T$93,GF$244+$FN275-1)))</f>
        <v/>
      </c>
      <c r="GG275" s="469" t="str">
        <f ca="1">IF($FN275+GG$244&gt;73,"",PRODUCT(INDEX($T$19:$T$93,GG$244):INDEX($T$19:$T$93,GG$244+$FN275-1)))</f>
        <v/>
      </c>
      <c r="GH275" s="469" t="str">
        <f ca="1">IF($FN275+GH$244&gt;73,"",PRODUCT(INDEX($T$19:$T$93,GH$244):INDEX($T$19:$T$93,GH$244+$FN275-1)))</f>
        <v/>
      </c>
      <c r="GI275" s="469" t="str">
        <f ca="1">IF($FN275+GI$244&gt;73,"",PRODUCT(INDEX($T$19:$T$93,GI$244):INDEX($T$19:$T$93,GI$244+$FN275-1)))</f>
        <v/>
      </c>
      <c r="GJ275" s="469" t="str">
        <f ca="1">IF($FN275+GJ$244&gt;73,"",PRODUCT(INDEX($T$19:$T$93,GJ$244):INDEX($T$19:$T$93,GJ$244+$FN275-1)))</f>
        <v/>
      </c>
      <c r="GK275" s="469" t="str">
        <f ca="1">IF($FN275+GK$244&gt;73,"",PRODUCT(INDEX($T$19:$T$93,GK$244):INDEX($T$19:$T$93,GK$244+$FN275-1)))</f>
        <v/>
      </c>
      <c r="GL275" s="469" t="str">
        <f ca="1">IF($FN275+GL$244&gt;73,"",PRODUCT(INDEX($T$19:$T$93,GL$244):INDEX($T$19:$T$93,GL$244+$FN275-1)))</f>
        <v/>
      </c>
      <c r="GM275" s="469" t="str">
        <f ca="1">IF($FN275+GM$244&gt;73,"",PRODUCT(INDEX($T$19:$T$93,GM$244):INDEX($T$19:$T$93,GM$244+$FN275-1)))</f>
        <v/>
      </c>
      <c r="GN275" s="469" t="str">
        <f ca="1">IF($FN275+GN$244&gt;73,"",PRODUCT(INDEX($T$19:$T$93,GN$244):INDEX($T$19:$T$93,GN$244+$FN275-1)))</f>
        <v/>
      </c>
      <c r="GO275" s="469" t="str">
        <f ca="1">IF($FN275+GO$244&gt;73,"",PRODUCT(INDEX($T$19:$T$93,GO$244):INDEX($T$19:$T$93,GO$244+$FN275-1)))</f>
        <v/>
      </c>
      <c r="GP275" s="469" t="str">
        <f ca="1">IF($FN275+GP$244&gt;73,"",PRODUCT(INDEX($T$19:$T$93,GP$244):INDEX($T$19:$T$93,GP$244+$FN275-1)))</f>
        <v/>
      </c>
      <c r="GQ275" s="469" t="str">
        <f ca="1">IF($FN275+GQ$244&gt;73,"",PRODUCT(INDEX($T$19:$T$93,GQ$244):INDEX($T$19:$T$93,GQ$244+$FN275-1)))</f>
        <v/>
      </c>
      <c r="GR275" s="469" t="str">
        <f ca="1">IF($FN275+GR$244&gt;73,"",PRODUCT(INDEX($T$19:$T$93,GR$244):INDEX($T$19:$T$93,GR$244+$FN275-1)))</f>
        <v/>
      </c>
      <c r="GS275" s="469">
        <f ca="1">IF($FN275+GS$244&gt;73,"",PRODUCT(INDEX($T$19:$T$93,GS$244):INDEX($T$19:$T$93,GS$244+$FN275-1)))</f>
        <v>0.98895619508241273</v>
      </c>
      <c r="GT275" s="469">
        <f ca="1">IF($FN275+GT$244&gt;73,"",PRODUCT(INDEX($T$19:$T$93,GT$244):INDEX($T$19:$T$93,GT$244+$FN275-1)))</f>
        <v>0.9877357378111169</v>
      </c>
      <c r="GU275" s="469">
        <f ca="1">IF($FN275+GU$244&gt;73,"",PRODUCT(INDEX($T$19:$T$93,GU$244):INDEX($T$19:$T$93,GU$244+$FN275-1)))</f>
        <v>0.98638121794783129</v>
      </c>
      <c r="GV275" s="469">
        <f ca="1">IF($FN275+GV$244&gt;73,"",PRODUCT(INDEX($T$19:$T$93,GV$244):INDEX($T$19:$T$93,GV$244+$FN275-1)))</f>
        <v>0.98487809762892298</v>
      </c>
      <c r="GW275" s="469">
        <f ca="1">IF($FN275+GW$244&gt;73,"",PRODUCT(INDEX($T$19:$T$93,GW$244):INDEX($T$19:$T$93,GW$244+$FN275-1)))</f>
        <v>0.98321030620756278</v>
      </c>
      <c r="GX275" s="469">
        <f ca="1">IF($FN275+GX$244&gt;73,"",PRODUCT(INDEX($T$19:$T$93,GX$244):INDEX($T$19:$T$93,GX$244+$FN275-1)))</f>
        <v>0.98136008880798198</v>
      </c>
      <c r="GY275" s="469">
        <f ca="1">IF($FN275+GY$244&gt;73,"",PRODUCT(INDEX($T$19:$T$93,GY$244):INDEX($T$19:$T$93,GY$244+$FN275-1)))</f>
        <v>0.9793078423062882</v>
      </c>
      <c r="GZ275" s="469">
        <f ca="1">IF($FN275+GZ$244&gt;73,"",PRODUCT(INDEX($T$19:$T$93,GZ$244):INDEX($T$19:$T$93,GZ$244+$FN275-1)))</f>
        <v>0.97703193828025137</v>
      </c>
      <c r="HA275" s="469">
        <f ca="1">IF($FN275+HA$244&gt;73,"",PRODUCT(INDEX($T$19:$T$93,HA$244):INDEX($T$19:$T$93,HA$244+$FN275-1)))</f>
        <v>0.9745085326203442</v>
      </c>
      <c r="HB275" s="469">
        <f ca="1">IF($FN275+HB$244&gt;73,"",PRODUCT(INDEX($T$19:$T$93,HB$244):INDEX($T$19:$T$93,HB$244+$FN275-1)))</f>
        <v>0.97171136170136452</v>
      </c>
      <c r="HC275" s="469">
        <f ca="1">IF($FN275+HC$244&gt;73,"",PRODUCT(INDEX($T$19:$T$93,HC$244):INDEX($T$19:$T$93,HC$244+$FN275-1)))</f>
        <v>0.9686115252920906</v>
      </c>
      <c r="HD275" s="469">
        <f ca="1">IF($FN275+HD$244&gt;73,"",PRODUCT(INDEX($T$19:$T$93,HD$244):INDEX($T$19:$T$93,HD$244+$FN275-1)))</f>
        <v>0.96517725674591337</v>
      </c>
      <c r="HE275" s="469">
        <f ca="1">IF($FN275+HE$244&gt;73,"",PRODUCT(INDEX($T$19:$T$93,HE$244):INDEX($T$19:$T$93,HE$244+$FN275-1)))</f>
        <v>0.9613736814877728</v>
      </c>
      <c r="HF275" s="469">
        <f ca="1">IF($FN275+HF$244&gt;73,"",PRODUCT(INDEX($T$19:$T$93,HF$244):INDEX($T$19:$T$93,HF$244+$FN275-1)))</f>
        <v>0.95716256541483669</v>
      </c>
      <c r="HG275" s="469">
        <f ca="1">IF($FN275+HG$244&gt;73,"",PRODUCT(INDEX($T$19:$T$93,HG$244):INDEX($T$19:$T$93,HG$244+$FN275-1)))</f>
        <v>0.95250205558670742</v>
      </c>
      <c r="HH275" s="469">
        <f ca="1">IF($FN275+HH$244&gt;73,"",PRODUCT(INDEX($T$19:$T$93,HH$244):INDEX($T$19:$T$93,HH$244+$FN275-1)))</f>
        <v>0.94734641652648788</v>
      </c>
      <c r="HI275" s="469">
        <f ca="1">IF($FN275+HI$244&gt;73,"",PRODUCT(INDEX($T$19:$T$93,HI$244):INDEX($T$19:$T$93,HI$244+$FN275-1)))</f>
        <v>0.94164576662194366</v>
      </c>
      <c r="HJ275" s="469">
        <f ca="1">IF($FN275+HJ$244&gt;73,"",PRODUCT(INDEX($T$19:$T$93,HJ$244):INDEX($T$19:$T$93,HJ$244+$FN275-1)))</f>
        <v>0.93534582054658033</v>
      </c>
      <c r="HK275" s="469">
        <f ca="1">IF($FN275+HK$244&gt;73,"",PRODUCT(INDEX($T$19:$T$93,HK$244):INDEX($T$19:$T$93,HK$244+$FN275-1)))</f>
        <v>0.92838764535892093</v>
      </c>
      <c r="HL275" s="469">
        <f ca="1">IF($FN275+HL$244&gt;73,"",PRODUCT(INDEX($T$19:$T$93,HL$244):INDEX($T$19:$T$93,HL$244+$FN275-1)))</f>
        <v>0.92070744003527871</v>
      </c>
      <c r="HM275" s="469">
        <f ca="1">IF($FN275+HM$244&gt;73,"",PRODUCT(INDEX($T$19:$T$93,HM$244):INDEX($T$19:$T$93,HM$244+$FN275-1)))</f>
        <v>0.9122363507028266</v>
      </c>
      <c r="HN275" s="469">
        <f ca="1">IF($FN275+HN$244&gt;73,"",PRODUCT(INDEX($T$19:$T$93,HN$244):INDEX($T$19:$T$93,HN$244+$FN275-1)))</f>
        <v>0.9029003368274312</v>
      </c>
      <c r="HO275" s="469">
        <f ca="1">IF($FN275+HO$244&gt;73,"",PRODUCT(INDEX($T$19:$T$93,HO$244):INDEX($T$19:$T$93,HO$244+$FN275-1)))</f>
        <v>0.89262010714163043</v>
      </c>
      <c r="HP275" s="469">
        <f ca="1">IF($FN275+HP$244&gt;73,"",PRODUCT(INDEX($T$19:$T$93,HP$244):INDEX($T$19:$T$93,HP$244+$FN275-1)))</f>
        <v>0.8813111482456516</v>
      </c>
      <c r="HQ275" s="469">
        <f ca="1">IF($FN275+HQ$244&gt;73,"",PRODUCT(INDEX($T$19:$T$93,HQ$244):INDEX($T$19:$T$93,HQ$244+$FN275-1)))</f>
        <v>0.86888387365813458</v>
      </c>
      <c r="HR275" s="469">
        <f ca="1">IF($FN275+HR$244&gt;73,"",PRODUCT(INDEX($T$19:$T$93,HR$244):INDEX($T$19:$T$93,HR$244+$FN275-1)))</f>
        <v>0.85524392672112626</v>
      </c>
      <c r="HS275" s="469">
        <f ca="1">IF($FN275+HS$244&gt;73,"",PRODUCT(INDEX($T$19:$T$93,HS$244):INDEX($T$19:$T$93,HS$244+$FN275-1)))</f>
        <v>0.8402926772733802</v>
      </c>
      <c r="HT275" s="469">
        <f ca="1">IF($FN275+HT$244&gt;73,"",PRODUCT(INDEX($T$19:$T$93,HT$244):INDEX($T$19:$T$93,HT$244+$FN275-1)))</f>
        <v>0.82392795950761166</v>
      </c>
      <c r="HU275" s="469">
        <f ca="1">IF($FN275+HU$244&gt;73,"",PRODUCT(INDEX($T$19:$T$93,HU$244):INDEX($T$19:$T$93,HU$244+$FN275-1)))</f>
        <v>0.80604510704782761</v>
      </c>
      <c r="HV275" s="469">
        <f ca="1">IF($FN275+HV$244&gt;73,"",PRODUCT(INDEX($T$19:$T$93,HV$244):INDEX($T$19:$T$93,HV$244+$FN275-1)))</f>
        <v>0.78653835116792625</v>
      </c>
      <c r="HW275" s="469">
        <f ca="1">IF($FN275+HW$244&gt;73,"",PRODUCT(INDEX($T$19:$T$93,HW$244):INDEX($T$19:$T$93,HW$244+$FN275-1)))</f>
        <v>0.76530265938518438</v>
      </c>
      <c r="HX275" s="469">
        <f ca="1">IF($FN275+HX$244&gt;73,"",PRODUCT(INDEX($T$19:$T$93,HX$244):INDEX($T$19:$T$93,HX$244+$FN275-1)))</f>
        <v>0.74223610456816025</v>
      </c>
      <c r="HY275" s="469">
        <f ca="1">IF($FN275+HY$244&gt;73,"",PRODUCT(INDEX($T$19:$T$93,HY$244):INDEX($T$19:$T$93,HY$244+$FN275-1)))</f>
        <v>0.71724286932706494</v>
      </c>
      <c r="HZ275" s="469">
        <f ca="1">IF($FN275+HZ$244&gt;73,"",PRODUCT(INDEX($T$19:$T$93,HZ$244):INDEX($T$19:$T$93,HZ$244+$FN275-1)))</f>
        <v>0.69023700680451061</v>
      </c>
      <c r="IA275" s="469">
        <f ca="1">IF($FN275+IA$244&gt;73,"",PRODUCT(INDEX($T$19:$T$93,IA$244):INDEX($T$19:$T$93,IA$244+$FN275-1)))</f>
        <v>0.66114709673193206</v>
      </c>
      <c r="IB275" s="469">
        <f ca="1">IF($FN275+IB$244&gt;73,"",PRODUCT(INDEX($T$19:$T$93,IB$244):INDEX($T$19:$T$93,IB$244+$FN275-1)))</f>
        <v>0.62992195374909909</v>
      </c>
      <c r="IC275" s="469">
        <f ca="1">IF($FN275+IC$244&gt;73,"",PRODUCT(INDEX($T$19:$T$93,IC$244):INDEX($T$19:$T$93,IC$244+$FN275-1)))</f>
        <v>0.59653756114189604</v>
      </c>
      <c r="ID275" s="469">
        <f ca="1">IF($FN275+ID$244&gt;73,"",PRODUCT(INDEX($T$19:$T$93,ID$244):INDEX($T$19:$T$93,ID$244+$FN275-1)))</f>
        <v>0.56100541250975167</v>
      </c>
      <c r="IE275" s="469">
        <f ca="1">IF($FN275+IE$244&gt;73,"",PRODUCT(INDEX($T$19:$T$93,IE$244):INDEX($T$19:$T$93,IE$244+$FN275-1)))</f>
        <v>0.5233824373146615</v>
      </c>
      <c r="IF275" s="469">
        <f ca="1">IF($FN275+IF$244&gt;73,"",PRODUCT(INDEX($T$19:$T$93,IF$244):INDEX($T$19:$T$93,IF$244+$FN275-1)))</f>
        <v>0.4837826475956527</v>
      </c>
      <c r="IG275" s="469">
        <f ca="1">IF($FN275+IG$244&gt;73,"",PRODUCT(INDEX($T$19:$T$93,IG$244):INDEX($T$19:$T$93,IG$244+$FN275-1)))</f>
        <v>0.44239054508560538</v>
      </c>
      <c r="IH275" s="662">
        <f ca="1">IF($FN275+IH$244&gt;73,"",PRODUCT(INDEX($T$19:$T$93,IH$244):INDEX($T$19:$T$93,IH$244+$FN275-1)))</f>
        <v>0.39947612702202046</v>
      </c>
      <c r="II275" s="242"/>
    </row>
    <row r="276" spans="9:243">
      <c r="I276" s="132"/>
      <c r="J276" s="365"/>
      <c r="K276" s="133"/>
      <c r="L276" s="1"/>
      <c r="M276" s="366"/>
      <c r="P276" s="365"/>
      <c r="S276" s="53"/>
      <c r="T276" s="365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03"/>
      <c r="AM276" s="103"/>
      <c r="AN276" s="103"/>
      <c r="AO276" s="364">
        <v>6.4807465148644092E-2</v>
      </c>
      <c r="AP276" s="31"/>
      <c r="AQ276" s="364">
        <v>5.9101953865854401E-2</v>
      </c>
      <c r="AR276" s="31"/>
      <c r="AS276" s="31"/>
      <c r="AT276" s="31"/>
      <c r="AU276" s="31"/>
      <c r="AV276" s="146"/>
      <c r="AW276" s="103"/>
      <c r="AX276" s="103"/>
      <c r="AY276" s="103"/>
      <c r="AZ276" s="103"/>
      <c r="BA276" s="103"/>
      <c r="BB276" s="103"/>
      <c r="BC276" s="104"/>
      <c r="BD276" s="104"/>
      <c r="BE276" s="104"/>
      <c r="BF276" s="102"/>
      <c r="BG276" s="104"/>
      <c r="BH276" s="104"/>
      <c r="BI276" s="152"/>
      <c r="BJ276" s="103"/>
      <c r="BK276" s="103"/>
      <c r="BL276" s="103"/>
      <c r="BM276" s="103"/>
      <c r="BN276" s="103"/>
      <c r="BO276" s="103"/>
      <c r="BP276" s="103"/>
      <c r="BQ276" s="103"/>
      <c r="BR276" s="103"/>
      <c r="BS276" s="103"/>
      <c r="BT276" s="104"/>
      <c r="BU276" s="104"/>
      <c r="BV276" s="104"/>
      <c r="BW276" s="104"/>
      <c r="BX276" s="104"/>
      <c r="BY276" s="104"/>
      <c r="BZ276" s="104"/>
      <c r="CA276" s="104"/>
      <c r="CB276" s="104"/>
      <c r="CC276" s="104"/>
      <c r="CD276" s="103"/>
      <c r="CE276" s="103"/>
      <c r="CF276" s="103"/>
      <c r="CG276" s="103"/>
      <c r="CH276" s="103"/>
      <c r="CI276" s="103"/>
      <c r="CJ276" s="107"/>
      <c r="CK276" s="1"/>
      <c r="CL276" s="51"/>
      <c r="CM276" s="51"/>
      <c r="CN276" s="51"/>
      <c r="CO276" s="51"/>
      <c r="CP276" s="51"/>
      <c r="CQ276" s="51"/>
      <c r="CR276" s="51"/>
      <c r="CS276" s="51"/>
      <c r="CT276" s="51"/>
      <c r="CU276" s="51"/>
      <c r="CV276" s="51"/>
      <c r="CW276" s="51"/>
      <c r="CX276" s="51"/>
      <c r="CY276" s="51"/>
      <c r="CZ276" s="51"/>
      <c r="DA276" s="51"/>
      <c r="DB276" s="51"/>
      <c r="DC276" s="51"/>
      <c r="DF276" s="465"/>
      <c r="DI276" s="465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3"/>
      <c r="EP276" s="53"/>
      <c r="EQ276" s="1"/>
      <c r="ER276" s="103"/>
      <c r="ES276" s="103"/>
      <c r="ET276" s="1"/>
      <c r="EU276" s="103"/>
      <c r="EV276" s="1"/>
      <c r="EW276" s="1"/>
      <c r="EX276" s="1"/>
      <c r="EY276" s="103"/>
      <c r="FN276" s="657">
        <v>32</v>
      </c>
      <c r="FO276" s="469" t="str">
        <f ca="1">IF($FN276+FO$244&gt;73,"",PRODUCT(INDEX($T$19:$T$93,FO$244):INDEX($T$19:$T$93,FO$244+$FN276-1)))</f>
        <v/>
      </c>
      <c r="FP276" s="469" t="str">
        <f ca="1">IF($FN276+FP$244&gt;73,"",PRODUCT(INDEX($T$19:$T$93,FP$244):INDEX($T$19:$T$93,FP$244+$FN276-1)))</f>
        <v/>
      </c>
      <c r="FQ276" s="469" t="str">
        <f ca="1">IF($FN276+FQ$244&gt;73,"",PRODUCT(INDEX($T$19:$T$93,FQ$244):INDEX($T$19:$T$93,FQ$244+$FN276-1)))</f>
        <v/>
      </c>
      <c r="FR276" s="469" t="str">
        <f ca="1">IF($FN276+FR$244&gt;73,"",PRODUCT(INDEX($T$19:$T$93,FR$244):INDEX($T$19:$T$93,FR$244+$FN276-1)))</f>
        <v/>
      </c>
      <c r="FS276" s="469" t="str">
        <f ca="1">IF($FN276+FS$244&gt;73,"",PRODUCT(INDEX($T$19:$T$93,FS$244):INDEX($T$19:$T$93,FS$244+$FN276-1)))</f>
        <v/>
      </c>
      <c r="FT276" s="469" t="str">
        <f ca="1">IF($FN276+FT$244&gt;73,"",PRODUCT(INDEX($T$19:$T$93,FT$244):INDEX($T$19:$T$93,FT$244+$FN276-1)))</f>
        <v/>
      </c>
      <c r="FU276" s="469" t="str">
        <f ca="1">IF($FN276+FU$244&gt;73,"",PRODUCT(INDEX($T$19:$T$93,FU$244):INDEX($T$19:$T$93,FU$244+$FN276-1)))</f>
        <v/>
      </c>
      <c r="FV276" s="469" t="str">
        <f ca="1">IF($FN276+FV$244&gt;73,"",PRODUCT(INDEX($T$19:$T$93,FV$244):INDEX($T$19:$T$93,FV$244+$FN276-1)))</f>
        <v/>
      </c>
      <c r="FW276" s="469" t="str">
        <f ca="1">IF($FN276+FW$244&gt;73,"",PRODUCT(INDEX($T$19:$T$93,FW$244):INDEX($T$19:$T$93,FW$244+$FN276-1)))</f>
        <v/>
      </c>
      <c r="FX276" s="469" t="str">
        <f ca="1">IF($FN276+FX$244&gt;73,"",PRODUCT(INDEX($T$19:$T$93,FX$244):INDEX($T$19:$T$93,FX$244+$FN276-1)))</f>
        <v/>
      </c>
      <c r="FY276" s="469" t="str">
        <f ca="1">IF($FN276+FY$244&gt;73,"",PRODUCT(INDEX($T$19:$T$93,FY$244):INDEX($T$19:$T$93,FY$244+$FN276-1)))</f>
        <v/>
      </c>
      <c r="FZ276" s="469" t="str">
        <f ca="1">IF($FN276+FZ$244&gt;73,"",PRODUCT(INDEX($T$19:$T$93,FZ$244):INDEX($T$19:$T$93,FZ$244+$FN276-1)))</f>
        <v/>
      </c>
      <c r="GA276" s="469" t="str">
        <f ca="1">IF($FN276+GA$244&gt;73,"",PRODUCT(INDEX($T$19:$T$93,GA$244):INDEX($T$19:$T$93,GA$244+$FN276-1)))</f>
        <v/>
      </c>
      <c r="GB276" s="469" t="str">
        <f ca="1">IF($FN276+GB$244&gt;73,"",PRODUCT(INDEX($T$19:$T$93,GB$244):INDEX($T$19:$T$93,GB$244+$FN276-1)))</f>
        <v/>
      </c>
      <c r="GC276" s="469" t="str">
        <f ca="1">IF($FN276+GC$244&gt;73,"",PRODUCT(INDEX($T$19:$T$93,GC$244):INDEX($T$19:$T$93,GC$244+$FN276-1)))</f>
        <v/>
      </c>
      <c r="GD276" s="469" t="str">
        <f ca="1">IF($FN276+GD$244&gt;73,"",PRODUCT(INDEX($T$19:$T$93,GD$244):INDEX($T$19:$T$93,GD$244+$FN276-1)))</f>
        <v/>
      </c>
      <c r="GE276" s="469" t="str">
        <f ca="1">IF($FN276+GE$244&gt;73,"",PRODUCT(INDEX($T$19:$T$93,GE$244):INDEX($T$19:$T$93,GE$244+$FN276-1)))</f>
        <v/>
      </c>
      <c r="GF276" s="469" t="str">
        <f ca="1">IF($FN276+GF$244&gt;73,"",PRODUCT(INDEX($T$19:$T$93,GF$244):INDEX($T$19:$T$93,GF$244+$FN276-1)))</f>
        <v/>
      </c>
      <c r="GG276" s="469" t="str">
        <f ca="1">IF($FN276+GG$244&gt;73,"",PRODUCT(INDEX($T$19:$T$93,GG$244):INDEX($T$19:$T$93,GG$244+$FN276-1)))</f>
        <v/>
      </c>
      <c r="GH276" s="469" t="str">
        <f ca="1">IF($FN276+GH$244&gt;73,"",PRODUCT(INDEX($T$19:$T$93,GH$244):INDEX($T$19:$T$93,GH$244+$FN276-1)))</f>
        <v/>
      </c>
      <c r="GI276" s="469" t="str">
        <f ca="1">IF($FN276+GI$244&gt;73,"",PRODUCT(INDEX($T$19:$T$93,GI$244):INDEX($T$19:$T$93,GI$244+$FN276-1)))</f>
        <v/>
      </c>
      <c r="GJ276" s="469" t="str">
        <f ca="1">IF($FN276+GJ$244&gt;73,"",PRODUCT(INDEX($T$19:$T$93,GJ$244):INDEX($T$19:$T$93,GJ$244+$FN276-1)))</f>
        <v/>
      </c>
      <c r="GK276" s="469" t="str">
        <f ca="1">IF($FN276+GK$244&gt;73,"",PRODUCT(INDEX($T$19:$T$93,GK$244):INDEX($T$19:$T$93,GK$244+$FN276-1)))</f>
        <v/>
      </c>
      <c r="GL276" s="469" t="str">
        <f ca="1">IF($FN276+GL$244&gt;73,"",PRODUCT(INDEX($T$19:$T$93,GL$244):INDEX($T$19:$T$93,GL$244+$FN276-1)))</f>
        <v/>
      </c>
      <c r="GM276" s="469" t="str">
        <f ca="1">IF($FN276+GM$244&gt;73,"",PRODUCT(INDEX($T$19:$T$93,GM$244):INDEX($T$19:$T$93,GM$244+$FN276-1)))</f>
        <v/>
      </c>
      <c r="GN276" s="469" t="str">
        <f ca="1">IF($FN276+GN$244&gt;73,"",PRODUCT(INDEX($T$19:$T$93,GN$244):INDEX($T$19:$T$93,GN$244+$FN276-1)))</f>
        <v/>
      </c>
      <c r="GO276" s="469" t="str">
        <f ca="1">IF($FN276+GO$244&gt;73,"",PRODUCT(INDEX($T$19:$T$93,GO$244):INDEX($T$19:$T$93,GO$244+$FN276-1)))</f>
        <v/>
      </c>
      <c r="GP276" s="469" t="str">
        <f ca="1">IF($FN276+GP$244&gt;73,"",PRODUCT(INDEX($T$19:$T$93,GP$244):INDEX($T$19:$T$93,GP$244+$FN276-1)))</f>
        <v/>
      </c>
      <c r="GQ276" s="469" t="str">
        <f ca="1">IF($FN276+GQ$244&gt;73,"",PRODUCT(INDEX($T$19:$T$93,GQ$244):INDEX($T$19:$T$93,GQ$244+$FN276-1)))</f>
        <v/>
      </c>
      <c r="GR276" s="469" t="str">
        <f ca="1">IF($FN276+GR$244&gt;73,"",PRODUCT(INDEX($T$19:$T$93,GR$244):INDEX($T$19:$T$93,GR$244+$FN276-1)))</f>
        <v/>
      </c>
      <c r="GS276" s="469" t="str">
        <f ca="1">IF($FN276+GS$244&gt;73,"",PRODUCT(INDEX($T$19:$T$93,GS$244):INDEX($T$19:$T$93,GS$244+$FN276-1)))</f>
        <v/>
      </c>
      <c r="GT276" s="469">
        <f ca="1">IF($FN276+GT$244&gt;73,"",PRODUCT(INDEX($T$19:$T$93,GT$244):INDEX($T$19:$T$93,GT$244+$FN276-1)))</f>
        <v>0.98768742497544582</v>
      </c>
      <c r="GU276" s="469">
        <f ca="1">IF($FN276+GU$244&gt;73,"",PRODUCT(INDEX($T$19:$T$93,GU$244):INDEX($T$19:$T$93,GU$244+$FN276-1)))</f>
        <v>0.98632761048539086</v>
      </c>
      <c r="GV276" s="469">
        <f ca="1">IF($FN276+GV$244&gt;73,"",PRODUCT(INDEX($T$19:$T$93,GV$244):INDEX($T$19:$T$93,GV$244+$FN276-1)))</f>
        <v>0.98481862436603373</v>
      </c>
      <c r="GW276" s="469">
        <f ca="1">IF($FN276+GW$244&gt;73,"",PRODUCT(INDEX($T$19:$T$93,GW$244):INDEX($T$19:$T$93,GW$244+$FN276-1)))</f>
        <v>0.98314433647996302</v>
      </c>
      <c r="GX276" s="469">
        <f ca="1">IF($FN276+GX$244&gt;73,"",PRODUCT(INDEX($T$19:$T$93,GX$244):INDEX($T$19:$T$93,GX$244+$FN276-1)))</f>
        <v>0.98128692676723461</v>
      </c>
      <c r="GY276" s="469">
        <f ca="1">IF($FN276+GY$244&gt;73,"",PRODUCT(INDEX($T$19:$T$93,GY$244):INDEX($T$19:$T$93,GY$244+$FN276-1)))</f>
        <v>0.97922672080287076</v>
      </c>
      <c r="GZ276" s="469">
        <f ca="1">IF($FN276+GZ$244&gt;73,"",PRODUCT(INDEX($T$19:$T$93,GZ$244):INDEX($T$19:$T$93,GZ$244+$FN276-1)))</f>
        <v>0.97694201232332756</v>
      </c>
      <c r="HA276" s="469">
        <f ca="1">IF($FN276+HA$244&gt;73,"",PRODUCT(INDEX($T$19:$T$93,HA$244):INDEX($T$19:$T$93,HA$244+$FN276-1)))</f>
        <v>0.97440887242450391</v>
      </c>
      <c r="HB276" s="469">
        <f ca="1">IF($FN276+HB$244&gt;73,"",PRODUCT(INDEX($T$19:$T$93,HB$244):INDEX($T$19:$T$93,HB$244+$FN276-1)))</f>
        <v>0.97160094534419905</v>
      </c>
      <c r="HC276" s="469">
        <f ca="1">IF($FN276+HC$244&gt;73,"",PRODUCT(INDEX($T$19:$T$93,HC$244):INDEX($T$19:$T$93,HC$244+$FN276-1)))</f>
        <v>0.96848923102411499</v>
      </c>
      <c r="HD276" s="469">
        <f ca="1">IF($FN276+HD$244&gt;73,"",PRODUCT(INDEX($T$19:$T$93,HD$244):INDEX($T$19:$T$93,HD$244+$FN276-1)))</f>
        <v>0.96504185501698558</v>
      </c>
      <c r="HE276" s="469">
        <f ca="1">IF($FN276+HE$244&gt;73,"",PRODUCT(INDEX($T$19:$T$93,HE$244):INDEX($T$19:$T$93,HE$244+$FN276-1)))</f>
        <v>0.96122382678288965</v>
      </c>
      <c r="HF276" s="469">
        <f ca="1">IF($FN276+HF$244&gt;73,"",PRODUCT(INDEX($T$19:$T$93,HF$244):INDEX($T$19:$T$93,HF$244+$FN276-1)))</f>
        <v>0.95699678802829335</v>
      </c>
      <c r="HG276" s="469">
        <f ca="1">IF($FN276+HG$244&gt;73,"",PRODUCT(INDEX($T$19:$T$93,HG$244):INDEX($T$19:$T$93,HG$244+$FN276-1)))</f>
        <v>0.95231875350859208</v>
      </c>
      <c r="HH276" s="469">
        <f ca="1">IF($FN276+HH$244&gt;73,"",PRODUCT(INDEX($T$19:$T$93,HH$244):INDEX($T$19:$T$93,HH$244+$FN276-1)))</f>
        <v>0.94714384767107496</v>
      </c>
      <c r="HI276" s="469">
        <f ca="1">IF($FN276+HI$244&gt;73,"",PRODUCT(INDEX($T$19:$T$93,HI$244):INDEX($T$19:$T$93,HI$244+$FN276-1)))</f>
        <v>0.94142204169569665</v>
      </c>
      <c r="HJ276" s="469">
        <f ca="1">IF($FN276+HJ$244&gt;73,"",PRODUCT(INDEX($T$19:$T$93,HJ$244):INDEX($T$19:$T$93,HJ$244+$FN276-1)))</f>
        <v>0.93509889693636761</v>
      </c>
      <c r="HK276" s="469">
        <f ca="1">IF($FN276+HK$244&gt;73,"",PRODUCT(INDEX($T$19:$T$93,HK$244):INDEX($T$19:$T$93,HK$244+$FN276-1)))</f>
        <v>0.928115322521056</v>
      </c>
      <c r="HL276" s="469">
        <f ca="1">IF($FN276+HL$244&gt;73,"",PRODUCT(INDEX($T$19:$T$93,HL$244):INDEX($T$19:$T$93,HL$244+$FN276-1)))</f>
        <v>0.92040735698564224</v>
      </c>
      <c r="HM276" s="469">
        <f ca="1">IF($FN276+HM$244&gt;73,"",PRODUCT(INDEX($T$19:$T$93,HM$244):INDEX($T$19:$T$93,HM$244+$FN276-1)))</f>
        <v>0.91190598635015152</v>
      </c>
      <c r="HN276" s="469">
        <f ca="1">IF($FN276+HN$244&gt;73,"",PRODUCT(INDEX($T$19:$T$93,HN$244):INDEX($T$19:$T$93,HN$244+$FN276-1)))</f>
        <v>0.90253701405825149</v>
      </c>
      <c r="HO276" s="469">
        <f ca="1">IF($FN276+HO$244&gt;73,"",PRODUCT(INDEX($T$19:$T$93,HO$244):INDEX($T$19:$T$93,HO$244+$FN276-1)))</f>
        <v>0.89222100175840802</v>
      </c>
      <c r="HP276" s="469">
        <f ca="1">IF($FN276+HP$244&gt;73,"",PRODUCT(INDEX($T$19:$T$93,HP$244):INDEX($T$19:$T$93,HP$244+$FN276-1)))</f>
        <v>0.88087330408043729</v>
      </c>
      <c r="HQ276" s="469">
        <f ca="1">IF($FN276+HQ$244&gt;73,"",PRODUCT(INDEX($T$19:$T$93,HQ$244):INDEX($T$19:$T$93,HQ$244+$FN276-1)))</f>
        <v>0.86840422543263873</v>
      </c>
      <c r="HR276" s="469">
        <f ca="1">IF($FN276+HR$244&gt;73,"",PRODUCT(INDEX($T$19:$T$93,HR$244):INDEX($T$19:$T$93,HR$244+$FN276-1)))</f>
        <v>0.85471933249800147</v>
      </c>
      <c r="HS276" s="469">
        <f ca="1">IF($FN276+HS$244&gt;73,"",PRODUCT(INDEX($T$19:$T$93,HS$244):INDEX($T$19:$T$93,HS$244+$FN276-1)))</f>
        <v>0.83971996263728022</v>
      </c>
      <c r="HT276" s="469">
        <f ca="1">IF($FN276+HT$244&gt;73,"",PRODUCT(INDEX($T$19:$T$93,HT$244):INDEX($T$19:$T$93,HT$244+$FN276-1)))</f>
        <v>0.82330397591780879</v>
      </c>
      <c r="HU276" s="469">
        <f ca="1">IF($FN276+HU$244&gt;73,"",PRODUCT(INDEX($T$19:$T$93,HU$244):INDEX($T$19:$T$93,HU$244+$FN276-1)))</f>
        <v>0.80536680709949304</v>
      </c>
      <c r="HV276" s="469">
        <f ca="1">IF($FN276+HV$244&gt;73,"",PRODUCT(INDEX($T$19:$T$93,HV$244):INDEX($T$19:$T$93,HV$244+$FN276-1)))</f>
        <v>0.78580288375942009</v>
      </c>
      <c r="HW276" s="469">
        <f ca="1">IF($FN276+HW$244&gt;73,"",PRODUCT(INDEX($T$19:$T$93,HW$244):INDEX($T$19:$T$93,HW$244+$FN276-1)))</f>
        <v>0.76450748797288903</v>
      </c>
      <c r="HX276" s="469">
        <f ca="1">IF($FN276+HX$244&gt;73,"",PRODUCT(INDEX($T$19:$T$93,HX$244):INDEX($T$19:$T$93,HX$244+$FN276-1)))</f>
        <v>0.74137915173858215</v>
      </c>
      <c r="HY276" s="469">
        <f ca="1">IF($FN276+HY$244&gt;73,"",PRODUCT(INDEX($T$19:$T$93,HY$244):INDEX($T$19:$T$93,HY$244+$FN276-1)))</f>
        <v>0.7163226907422473</v>
      </c>
      <c r="HZ276" s="469">
        <f ca="1">IF($FN276+HZ$244&gt;73,"",PRODUCT(INDEX($T$19:$T$93,HZ$244):INDEX($T$19:$T$93,HZ$244+$FN276-1)))</f>
        <v>0.68925299706050513</v>
      </c>
      <c r="IA276" s="469">
        <f ca="1">IF($FN276+IA$244&gt;73,"",PRODUCT(INDEX($T$19:$T$93,IA$244):INDEX($T$19:$T$93,IA$244+$FN276-1)))</f>
        <v>0.66009972864424005</v>
      </c>
      <c r="IB276" s="469">
        <f ca="1">IF($FN276+IB$244&gt;73,"",PRODUCT(INDEX($T$19:$T$93,IB$244):INDEX($T$19:$T$93,IB$244+$FN276-1)))</f>
        <v>0.62881305081693251</v>
      </c>
      <c r="IC276" s="469">
        <f ca="1">IF($FN276+IC$244&gt;73,"",PRODUCT(INDEX($T$19:$T$93,IC$244):INDEX($T$19:$T$93,IC$244+$FN276-1)))</f>
        <v>0.5953706001435829</v>
      </c>
      <c r="ID276" s="469">
        <f ca="1">IF($FN276+ID$244&gt;73,"",PRODUCT(INDEX($T$19:$T$93,ID$244):INDEX($T$19:$T$93,ID$244+$FN276-1)))</f>
        <v>0.55978584895566785</v>
      </c>
      <c r="IE276" s="469">
        <f ca="1">IF($FN276+IE$244&gt;73,"",PRODUCT(INDEX($T$19:$T$93,IE$244):INDEX($T$19:$T$93,IE$244+$FN276-1)))</f>
        <v>0.52211804035053866</v>
      </c>
      <c r="IF276" s="469">
        <f ca="1">IF($FN276+IF$244&gt;73,"",PRODUCT(INDEX($T$19:$T$93,IF$244):INDEX($T$19:$T$93,IF$244+$FN276-1)))</f>
        <v>0.48248382235280024</v>
      </c>
      <c r="IG276" s="469">
        <f ca="1">IF($FN276+IG$244&gt;73,"",PRODUCT(INDEX($T$19:$T$93,IG$244):INDEX($T$19:$T$93,IG$244+$FN276-1)))</f>
        <v>0.44107060885424237</v>
      </c>
      <c r="IH276" s="662">
        <f ca="1">IF($FN276+IH$244&gt;73,"",PRODUCT(INDEX($T$19:$T$93,IH$244):INDEX($T$19:$T$93,IH$244+$FN276-1)))</f>
        <v>0.39815149057704508</v>
      </c>
      <c r="II276" s="242"/>
    </row>
    <row r="277" spans="9:243">
      <c r="I277" s="132"/>
      <c r="J277" s="365"/>
      <c r="K277" s="133"/>
      <c r="L277" s="1"/>
      <c r="M277" s="366"/>
      <c r="P277" s="365"/>
      <c r="S277" s="53"/>
      <c r="T277" s="365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03"/>
      <c r="AM277" s="103"/>
      <c r="AN277" s="103"/>
      <c r="AO277" s="364">
        <v>6.4817769447199899E-2</v>
      </c>
      <c r="AP277" s="31"/>
      <c r="AQ277" s="364">
        <v>5.9063988523663499E-2</v>
      </c>
      <c r="AR277" s="31"/>
      <c r="AS277" s="31"/>
      <c r="AT277" s="31"/>
      <c r="AU277" s="31"/>
      <c r="AV277" s="146"/>
      <c r="AW277" s="103"/>
      <c r="AX277" s="103"/>
      <c r="AY277" s="103"/>
      <c r="AZ277" s="103"/>
      <c r="BA277" s="103"/>
      <c r="BB277" s="103"/>
      <c r="BC277" s="104"/>
      <c r="BD277" s="104"/>
      <c r="BE277" s="104"/>
      <c r="BF277" s="102"/>
      <c r="BG277" s="104"/>
      <c r="BH277" s="104"/>
      <c r="BI277" s="152"/>
      <c r="BJ277" s="103"/>
      <c r="BK277" s="103"/>
      <c r="BL277" s="103"/>
      <c r="BM277" s="103"/>
      <c r="BN277" s="103"/>
      <c r="BO277" s="103"/>
      <c r="BP277" s="103"/>
      <c r="BQ277" s="103"/>
      <c r="BR277" s="103"/>
      <c r="BS277" s="103"/>
      <c r="BT277" s="104"/>
      <c r="BU277" s="104"/>
      <c r="BV277" s="104"/>
      <c r="BW277" s="104"/>
      <c r="BX277" s="104"/>
      <c r="BY277" s="104"/>
      <c r="BZ277" s="104"/>
      <c r="CA277" s="104"/>
      <c r="CB277" s="104"/>
      <c r="CC277" s="104"/>
      <c r="CD277" s="103"/>
      <c r="CE277" s="103"/>
      <c r="CF277" s="103"/>
      <c r="CG277" s="103"/>
      <c r="CH277" s="103"/>
      <c r="CI277" s="103"/>
      <c r="CJ277" s="107"/>
      <c r="CK277" s="1"/>
      <c r="CL277" s="51"/>
      <c r="CM277" s="51"/>
      <c r="CN277" s="51"/>
      <c r="CO277" s="51"/>
      <c r="CP277" s="51"/>
      <c r="CQ277" s="51"/>
      <c r="CR277" s="51"/>
      <c r="CS277" s="51"/>
      <c r="CT277" s="51"/>
      <c r="CU277" s="51"/>
      <c r="CV277" s="51"/>
      <c r="CW277" s="51"/>
      <c r="CX277" s="51"/>
      <c r="CY277" s="51"/>
      <c r="CZ277" s="51"/>
      <c r="DA277" s="51"/>
      <c r="DB277" s="51"/>
      <c r="DC277" s="51"/>
      <c r="DF277" s="465"/>
      <c r="DI277" s="465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3"/>
      <c r="EP277" s="53"/>
      <c r="EQ277" s="1"/>
      <c r="ER277" s="103"/>
      <c r="ES277" s="103"/>
      <c r="ET277" s="1"/>
      <c r="EU277" s="103"/>
      <c r="EV277" s="1"/>
      <c r="EW277" s="1"/>
      <c r="EX277" s="1"/>
      <c r="EY277" s="103"/>
      <c r="FN277" s="657">
        <v>33</v>
      </c>
      <c r="FO277" s="469" t="str">
        <f ca="1">IF($FN277+FO$244&gt;73,"",PRODUCT(INDEX($T$19:$T$93,FO$244):INDEX($T$19:$T$93,FO$244+$FN277-1)))</f>
        <v/>
      </c>
      <c r="FP277" s="469" t="str">
        <f ca="1">IF($FN277+FP$244&gt;73,"",PRODUCT(INDEX($T$19:$T$93,FP$244):INDEX($T$19:$T$93,FP$244+$FN277-1)))</f>
        <v/>
      </c>
      <c r="FQ277" s="469" t="str">
        <f ca="1">IF($FN277+FQ$244&gt;73,"",PRODUCT(INDEX($T$19:$T$93,FQ$244):INDEX($T$19:$T$93,FQ$244+$FN277-1)))</f>
        <v/>
      </c>
      <c r="FR277" s="469" t="str">
        <f ca="1">IF($FN277+FR$244&gt;73,"",PRODUCT(INDEX($T$19:$T$93,FR$244):INDEX($T$19:$T$93,FR$244+$FN277-1)))</f>
        <v/>
      </c>
      <c r="FS277" s="469" t="str">
        <f ca="1">IF($FN277+FS$244&gt;73,"",PRODUCT(INDEX($T$19:$T$93,FS$244):INDEX($T$19:$T$93,FS$244+$FN277-1)))</f>
        <v/>
      </c>
      <c r="FT277" s="469" t="str">
        <f ca="1">IF($FN277+FT$244&gt;73,"",PRODUCT(INDEX($T$19:$T$93,FT$244):INDEX($T$19:$T$93,FT$244+$FN277-1)))</f>
        <v/>
      </c>
      <c r="FU277" s="469" t="str">
        <f ca="1">IF($FN277+FU$244&gt;73,"",PRODUCT(INDEX($T$19:$T$93,FU$244):INDEX($T$19:$T$93,FU$244+$FN277-1)))</f>
        <v/>
      </c>
      <c r="FV277" s="469" t="str">
        <f ca="1">IF($FN277+FV$244&gt;73,"",PRODUCT(INDEX($T$19:$T$93,FV$244):INDEX($T$19:$T$93,FV$244+$FN277-1)))</f>
        <v/>
      </c>
      <c r="FW277" s="469" t="str">
        <f ca="1">IF($FN277+FW$244&gt;73,"",PRODUCT(INDEX($T$19:$T$93,FW$244):INDEX($T$19:$T$93,FW$244+$FN277-1)))</f>
        <v/>
      </c>
      <c r="FX277" s="469" t="str">
        <f ca="1">IF($FN277+FX$244&gt;73,"",PRODUCT(INDEX($T$19:$T$93,FX$244):INDEX($T$19:$T$93,FX$244+$FN277-1)))</f>
        <v/>
      </c>
      <c r="FY277" s="469" t="str">
        <f ca="1">IF($FN277+FY$244&gt;73,"",PRODUCT(INDEX($T$19:$T$93,FY$244):INDEX($T$19:$T$93,FY$244+$FN277-1)))</f>
        <v/>
      </c>
      <c r="FZ277" s="469" t="str">
        <f ca="1">IF($FN277+FZ$244&gt;73,"",PRODUCT(INDEX($T$19:$T$93,FZ$244):INDEX($T$19:$T$93,FZ$244+$FN277-1)))</f>
        <v/>
      </c>
      <c r="GA277" s="469" t="str">
        <f ca="1">IF($FN277+GA$244&gt;73,"",PRODUCT(INDEX($T$19:$T$93,GA$244):INDEX($T$19:$T$93,GA$244+$FN277-1)))</f>
        <v/>
      </c>
      <c r="GB277" s="469" t="str">
        <f ca="1">IF($FN277+GB$244&gt;73,"",PRODUCT(INDEX($T$19:$T$93,GB$244):INDEX($T$19:$T$93,GB$244+$FN277-1)))</f>
        <v/>
      </c>
      <c r="GC277" s="469" t="str">
        <f ca="1">IF($FN277+GC$244&gt;73,"",PRODUCT(INDEX($T$19:$T$93,GC$244):INDEX($T$19:$T$93,GC$244+$FN277-1)))</f>
        <v/>
      </c>
      <c r="GD277" s="469" t="str">
        <f ca="1">IF($FN277+GD$244&gt;73,"",PRODUCT(INDEX($T$19:$T$93,GD$244):INDEX($T$19:$T$93,GD$244+$FN277-1)))</f>
        <v/>
      </c>
      <c r="GE277" s="469" t="str">
        <f ca="1">IF($FN277+GE$244&gt;73,"",PRODUCT(INDEX($T$19:$T$93,GE$244):INDEX($T$19:$T$93,GE$244+$FN277-1)))</f>
        <v/>
      </c>
      <c r="GF277" s="469" t="str">
        <f ca="1">IF($FN277+GF$244&gt;73,"",PRODUCT(INDEX($T$19:$T$93,GF$244):INDEX($T$19:$T$93,GF$244+$FN277-1)))</f>
        <v/>
      </c>
      <c r="GG277" s="469" t="str">
        <f ca="1">IF($FN277+GG$244&gt;73,"",PRODUCT(INDEX($T$19:$T$93,GG$244):INDEX($T$19:$T$93,GG$244+$FN277-1)))</f>
        <v/>
      </c>
      <c r="GH277" s="469" t="str">
        <f ca="1">IF($FN277+GH$244&gt;73,"",PRODUCT(INDEX($T$19:$T$93,GH$244):INDEX($T$19:$T$93,GH$244+$FN277-1)))</f>
        <v/>
      </c>
      <c r="GI277" s="469" t="str">
        <f ca="1">IF($FN277+GI$244&gt;73,"",PRODUCT(INDEX($T$19:$T$93,GI$244):INDEX($T$19:$T$93,GI$244+$FN277-1)))</f>
        <v/>
      </c>
      <c r="GJ277" s="469" t="str">
        <f ca="1">IF($FN277+GJ$244&gt;73,"",PRODUCT(INDEX($T$19:$T$93,GJ$244):INDEX($T$19:$T$93,GJ$244+$FN277-1)))</f>
        <v/>
      </c>
      <c r="GK277" s="469" t="str">
        <f ca="1">IF($FN277+GK$244&gt;73,"",PRODUCT(INDEX($T$19:$T$93,GK$244):INDEX($T$19:$T$93,GK$244+$FN277-1)))</f>
        <v/>
      </c>
      <c r="GL277" s="469" t="str">
        <f ca="1">IF($FN277+GL$244&gt;73,"",PRODUCT(INDEX($T$19:$T$93,GL$244):INDEX($T$19:$T$93,GL$244+$FN277-1)))</f>
        <v/>
      </c>
      <c r="GM277" s="469" t="str">
        <f ca="1">IF($FN277+GM$244&gt;73,"",PRODUCT(INDEX($T$19:$T$93,GM$244):INDEX($T$19:$T$93,GM$244+$FN277-1)))</f>
        <v/>
      </c>
      <c r="GN277" s="469" t="str">
        <f ca="1">IF($FN277+GN$244&gt;73,"",PRODUCT(INDEX($T$19:$T$93,GN$244):INDEX($T$19:$T$93,GN$244+$FN277-1)))</f>
        <v/>
      </c>
      <c r="GO277" s="469" t="str">
        <f ca="1">IF($FN277+GO$244&gt;73,"",PRODUCT(INDEX($T$19:$T$93,GO$244):INDEX($T$19:$T$93,GO$244+$FN277-1)))</f>
        <v/>
      </c>
      <c r="GP277" s="469" t="str">
        <f ca="1">IF($FN277+GP$244&gt;73,"",PRODUCT(INDEX($T$19:$T$93,GP$244):INDEX($T$19:$T$93,GP$244+$FN277-1)))</f>
        <v/>
      </c>
      <c r="GQ277" s="469" t="str">
        <f ca="1">IF($FN277+GQ$244&gt;73,"",PRODUCT(INDEX($T$19:$T$93,GQ$244):INDEX($T$19:$T$93,GQ$244+$FN277-1)))</f>
        <v/>
      </c>
      <c r="GR277" s="469" t="str">
        <f ca="1">IF($FN277+GR$244&gt;73,"",PRODUCT(INDEX($T$19:$T$93,GR$244):INDEX($T$19:$T$93,GR$244+$FN277-1)))</f>
        <v/>
      </c>
      <c r="GS277" s="469" t="str">
        <f ca="1">IF($FN277+GS$244&gt;73,"",PRODUCT(INDEX($T$19:$T$93,GS$244):INDEX($T$19:$T$93,GS$244+$FN277-1)))</f>
        <v/>
      </c>
      <c r="GT277" s="469" t="str">
        <f ca="1">IF($FN277+GT$244&gt;73,"",PRODUCT(INDEX($T$19:$T$93,GT$244):INDEX($T$19:$T$93,GT$244+$FN277-1)))</f>
        <v/>
      </c>
      <c r="GU277" s="469">
        <f ca="1">IF($FN277+GU$244&gt;73,"",PRODUCT(INDEX($T$19:$T$93,GU$244):INDEX($T$19:$T$93,GU$244+$FN277-1)))</f>
        <v>0.98627936652504899</v>
      </c>
      <c r="GV277" s="469">
        <f ca="1">IF($FN277+GV$244&gt;73,"",PRODUCT(INDEX($T$19:$T$93,GV$244):INDEX($T$19:$T$93,GV$244+$FN277-1)))</f>
        <v>0.98476510182682098</v>
      </c>
      <c r="GW277" s="469">
        <f ca="1">IF($FN277+GW$244&gt;73,"",PRODUCT(INDEX($T$19:$T$93,GW$244):INDEX($T$19:$T$93,GW$244+$FN277-1)))</f>
        <v>0.9830849679127035</v>
      </c>
      <c r="GX277" s="469">
        <f ca="1">IF($FN277+GX$244&gt;73,"",PRODUCT(INDEX($T$19:$T$93,GX$244):INDEX($T$19:$T$93,GX$244+$FN277-1)))</f>
        <v>0.98122108609118863</v>
      </c>
      <c r="GY277" s="469">
        <f ca="1">IF($FN277+GY$244&gt;73,"",PRODUCT(INDEX($T$19:$T$93,GY$244):INDEX($T$19:$T$93,GY$244+$FN277-1)))</f>
        <v>0.97915371780828664</v>
      </c>
      <c r="GZ277" s="469">
        <f ca="1">IF($FN277+GZ$244&gt;73,"",PRODUCT(INDEX($T$19:$T$93,GZ$244):INDEX($T$19:$T$93,GZ$244+$FN277-1)))</f>
        <v>0.97686108679473715</v>
      </c>
      <c r="HA277" s="469">
        <f ca="1">IF($FN277+HA$244&gt;73,"",PRODUCT(INDEX($T$19:$T$93,HA$244):INDEX($T$19:$T$93,HA$244+$FN277-1)))</f>
        <v>0.9743191878943932</v>
      </c>
      <c r="HB277" s="469">
        <f ca="1">IF($FN277+HB$244&gt;73,"",PRODUCT(INDEX($T$19:$T$93,HB$244):INDEX($T$19:$T$93,HB$244+$FN277-1)))</f>
        <v>0.97150158249897978</v>
      </c>
      <c r="HC277" s="469">
        <f ca="1">IF($FN277+HC$244&gt;73,"",PRODUCT(INDEX($T$19:$T$93,HC$244):INDEX($T$19:$T$93,HC$244+$FN277-1)))</f>
        <v>0.96837918080029506</v>
      </c>
      <c r="HD277" s="469">
        <f ca="1">IF($FN277+HD$244&gt;73,"",PRODUCT(INDEX($T$19:$T$93,HD$244):INDEX($T$19:$T$93,HD$244+$FN277-1)))</f>
        <v>0.96492001144591144</v>
      </c>
      <c r="HE277" s="469">
        <f ca="1">IF($FN277+HE$244&gt;73,"",PRODUCT(INDEX($T$19:$T$93,HE$244):INDEX($T$19:$T$93,HE$244+$FN277-1)))</f>
        <v>0.96108897966841056</v>
      </c>
      <c r="HF277" s="469">
        <f ca="1">IF($FN277+HF$244&gt;73,"",PRODUCT(INDEX($T$19:$T$93,HF$244):INDEX($T$19:$T$93,HF$244+$FN277-1)))</f>
        <v>0.95684761557432918</v>
      </c>
      <c r="HG277" s="469">
        <f ca="1">IF($FN277+HG$244&gt;73,"",PRODUCT(INDEX($T$19:$T$93,HG$244):INDEX($T$19:$T$93,HG$244+$FN277-1)))</f>
        <v>0.95215381505422991</v>
      </c>
      <c r="HH277" s="469">
        <f ca="1">IF($FN277+HH$244&gt;73,"",PRODUCT(INDEX($T$19:$T$93,HH$244):INDEX($T$19:$T$93,HH$244+$FN277-1)))</f>
        <v>0.94696157674101877</v>
      </c>
      <c r="HI277" s="469">
        <f ca="1">IF($FN277+HI$244&gt;73,"",PRODUCT(INDEX($T$19:$T$93,HI$244):INDEX($T$19:$T$93,HI$244+$FN277-1)))</f>
        <v>0.94122073963541542</v>
      </c>
      <c r="HJ277" s="469">
        <f ca="1">IF($FN277+HJ$244&gt;73,"",PRODUCT(INDEX($T$19:$T$93,HJ$244):INDEX($T$19:$T$93,HJ$244+$FN277-1)))</f>
        <v>0.93487672747608186</v>
      </c>
      <c r="HK277" s="469">
        <f ca="1">IF($FN277+HK$244&gt;73,"",PRODUCT(INDEX($T$19:$T$93,HK$244):INDEX($T$19:$T$93,HK$244+$FN277-1)))</f>
        <v>0.9278703077029038</v>
      </c>
      <c r="HL277" s="469">
        <f ca="1">IF($FN277+HL$244&gt;73,"",PRODUCT(INDEX($T$19:$T$93,HL$244):INDEX($T$19:$T$93,HL$244+$FN277-1)))</f>
        <v>0.92013737499622317</v>
      </c>
      <c r="HM277" s="469">
        <f ca="1">IF($FN277+HM$244&gt;73,"",PRODUCT(INDEX($T$19:$T$93,HM$244):INDEX($T$19:$T$93,HM$244+$FN277-1)))</f>
        <v>0.91160877192842893</v>
      </c>
      <c r="HN277" s="469">
        <f ca="1">IF($FN277+HN$244&gt;73,"",PRODUCT(INDEX($T$19:$T$93,HN$244):INDEX($T$19:$T$93,HN$244+$FN277-1)))</f>
        <v>0.9022101622986336</v>
      </c>
      <c r="HO277" s="469">
        <f ca="1">IF($FN277+HO$244&gt;73,"",PRODUCT(INDEX($T$19:$T$93,HO$244):INDEX($T$19:$T$93,HO$244+$FN277-1)))</f>
        <v>0.89186197630248865</v>
      </c>
      <c r="HP277" s="469">
        <f ca="1">IF($FN277+HP$244&gt;73,"",PRODUCT(INDEX($T$19:$T$93,HP$244):INDEX($T$19:$T$93,HP$244+$FN277-1)))</f>
        <v>0.88047945088938473</v>
      </c>
      <c r="HQ277" s="469">
        <f ca="1">IF($FN277+HQ$244&gt;73,"",PRODUCT(INDEX($T$19:$T$93,HQ$244):INDEX($T$19:$T$93,HQ$244+$FN277-1)))</f>
        <v>0.86797279355536128</v>
      </c>
      <c r="HR277" s="469">
        <f ca="1">IF($FN277+HR$244&gt;73,"",PRODUCT(INDEX($T$19:$T$93,HR$244):INDEX($T$19:$T$93,HR$244+$FN277-1)))</f>
        <v>0.85424750349580858</v>
      </c>
      <c r="HS277" s="469">
        <f ca="1">IF($FN277+HS$244&gt;73,"",PRODUCT(INDEX($T$19:$T$93,HS$244):INDEX($T$19:$T$93,HS$244+$FN277-1)))</f>
        <v>0.83920489058861814</v>
      </c>
      <c r="HT277" s="469">
        <f ca="1">IF($FN277+HT$244&gt;73,"",PRODUCT(INDEX($T$19:$T$93,HT$244):INDEX($T$19:$T$93,HT$244+$FN277-1)))</f>
        <v>0.82274284019721988</v>
      </c>
      <c r="HU277" s="469">
        <f ca="1">IF($FN277+HU$244&gt;73,"",PRODUCT(INDEX($T$19:$T$93,HU$244):INDEX($T$19:$T$93,HU$244+$FN277-1)))</f>
        <v>0.80475688038732951</v>
      </c>
      <c r="HV277" s="469">
        <f ca="1">IF($FN277+HV$244&gt;73,"",PRODUCT(INDEX($T$19:$T$93,HV$244):INDEX($T$19:$T$93,HV$244+$FN277-1)))</f>
        <v>0.78514161796821968</v>
      </c>
      <c r="HW277" s="469">
        <f ca="1">IF($FN277+HW$244&gt;73,"",PRODUCT(INDEX($T$19:$T$93,HW$244):INDEX($T$19:$T$93,HW$244+$FN277-1)))</f>
        <v>0.76379262093541012</v>
      </c>
      <c r="HX277" s="469">
        <f ca="1">IF($FN277+HX$244&gt;73,"",PRODUCT(INDEX($T$19:$T$93,HX$244):INDEX($T$19:$T$93,HX$244+$FN277-1)))</f>
        <v>0.74060883753686757</v>
      </c>
      <c r="HY277" s="469">
        <f ca="1">IF($FN277+HY$244&gt;73,"",PRODUCT(INDEX($T$19:$T$93,HY$244):INDEX($T$19:$T$93,HY$244+$FN277-1)))</f>
        <v>0.71549565638896739</v>
      </c>
      <c r="HZ277" s="469">
        <f ca="1">IF($FN277+HZ$244&gt;73,"",PRODUCT(INDEX($T$19:$T$93,HZ$244):INDEX($T$19:$T$93,HZ$244+$FN277-1)))</f>
        <v>0.68836872776409297</v>
      </c>
      <c r="IA277" s="469">
        <f ca="1">IF($FN277+IA$244&gt;73,"",PRODUCT(INDEX($T$19:$T$93,IA$244):INDEX($T$19:$T$93,IA$244+$FN277-1)))</f>
        <v>0.65915868294747504</v>
      </c>
      <c r="IB277" s="469">
        <f ca="1">IF($FN277+IB$244&gt;73,"",PRODUCT(INDEX($T$19:$T$93,IB$244):INDEX($T$19:$T$93,IB$244+$FN277-1)))</f>
        <v>0.62781690529076228</v>
      </c>
      <c r="IC277" s="469">
        <f ca="1">IF($FN277+IC$244&gt;73,"",PRODUCT(INDEX($T$19:$T$93,IC$244):INDEX($T$19:$T$93,IC$244+$FN277-1)))</f>
        <v>0.59432252077391556</v>
      </c>
      <c r="ID277" s="469">
        <f ca="1">IF($FN277+ID$244&gt;73,"",PRODUCT(INDEX($T$19:$T$93,ID$244):INDEX($T$19:$T$93,ID$244+$FN277-1)))</f>
        <v>0.55869078253287896</v>
      </c>
      <c r="IE277" s="469">
        <f ca="1">IF($FN277+IE$244&gt;73,"",PRODUCT(INDEX($T$19:$T$93,IE$244):INDEX($T$19:$T$93,IE$244+$FN277-1)))</f>
        <v>0.52098301363111266</v>
      </c>
      <c r="IF277" s="469">
        <f ca="1">IF($FN277+IF$244&gt;73,"",PRODUCT(INDEX($T$19:$T$93,IF$244):INDEX($T$19:$T$93,IF$244+$FN277-1)))</f>
        <v>0.4813182290185048</v>
      </c>
      <c r="IG277" s="469">
        <f ca="1">IF($FN277+IG$244&gt;73,"",PRODUCT(INDEX($T$19:$T$93,IG$244):INDEX($T$19:$T$93,IG$244+$FN277-1)))</f>
        <v>0.4398864538550763</v>
      </c>
      <c r="IH277" s="662">
        <f ca="1">IF($FN277+IH$244&gt;73,"",PRODUCT(INDEX($T$19:$T$93,IH$244):INDEX($T$19:$T$93,IH$244+$FN277-1)))</f>
        <v>0.39696354796881839</v>
      </c>
      <c r="II277" s="242"/>
    </row>
    <row r="278" spans="9:243">
      <c r="I278" s="132"/>
      <c r="J278" s="365"/>
      <c r="K278" s="133"/>
      <c r="L278" s="1"/>
      <c r="M278" s="366"/>
      <c r="P278" s="365"/>
      <c r="S278" s="53"/>
      <c r="T278" s="365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364">
        <v>6.48284172224107E-2</v>
      </c>
      <c r="AP278" s="1"/>
      <c r="AQ278" s="364">
        <v>5.9024757680636898E-2</v>
      </c>
      <c r="AR278" s="1"/>
      <c r="AS278" s="1"/>
      <c r="AT278" s="103"/>
      <c r="AU278" s="103"/>
      <c r="AV278" s="103"/>
      <c r="AW278" s="31"/>
      <c r="AX278" s="31"/>
      <c r="AY278" s="31"/>
      <c r="AZ278" s="31"/>
      <c r="BA278" s="146"/>
      <c r="BB278" s="146"/>
      <c r="BC278" s="103"/>
      <c r="BD278" s="103"/>
      <c r="BE278" s="103"/>
      <c r="BF278" s="104"/>
      <c r="BG278" s="104"/>
      <c r="BH278" s="104"/>
      <c r="BI278" s="102"/>
      <c r="BJ278" s="104"/>
      <c r="BK278" s="104"/>
      <c r="BL278" s="103"/>
      <c r="BM278" s="103"/>
      <c r="BN278" s="103"/>
      <c r="BO278" s="103"/>
      <c r="BP278" s="103"/>
      <c r="BQ278" s="103"/>
      <c r="BR278" s="103"/>
      <c r="BS278" s="103"/>
      <c r="BT278" s="103"/>
      <c r="BU278" s="103"/>
      <c r="BV278" s="103"/>
      <c r="BW278" s="103"/>
      <c r="BX278" s="103"/>
      <c r="BY278" s="103"/>
      <c r="BZ278" s="103"/>
      <c r="CA278" s="103"/>
      <c r="CB278" s="104"/>
      <c r="CC278" s="104"/>
      <c r="CD278" s="104"/>
      <c r="CE278" s="104"/>
      <c r="CF278" s="104"/>
      <c r="CG278" s="104"/>
      <c r="CH278" s="103"/>
      <c r="CI278" s="103"/>
      <c r="CJ278" s="103"/>
      <c r="CK278" s="103"/>
      <c r="CL278" s="103"/>
      <c r="CM278" s="103"/>
      <c r="CN278" s="103"/>
      <c r="CO278" s="103"/>
      <c r="CP278" s="103"/>
      <c r="CQ278" s="103"/>
      <c r="CR278" s="103"/>
      <c r="CS278" s="103"/>
      <c r="CT278" s="103"/>
      <c r="CU278" s="103"/>
      <c r="CV278" s="103"/>
      <c r="CW278" s="103"/>
      <c r="CX278" s="103"/>
      <c r="CY278" s="103"/>
      <c r="CZ278" s="103"/>
      <c r="DA278" s="103"/>
      <c r="DB278" s="103"/>
      <c r="DC278" s="103"/>
      <c r="DD278" s="103"/>
      <c r="DE278" s="103"/>
      <c r="DF278" s="465"/>
      <c r="DG278" s="107"/>
      <c r="DH278" s="107"/>
      <c r="DI278" s="465"/>
      <c r="DJ278" s="51"/>
      <c r="DK278" s="52"/>
      <c r="DL278" s="52"/>
      <c r="DM278" s="52"/>
      <c r="DN278" s="52"/>
      <c r="DO278" s="52"/>
      <c r="DP278" s="52"/>
      <c r="DQ278" s="52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P278" s="53"/>
      <c r="EQ278" s="1"/>
      <c r="ER278" s="103"/>
      <c r="ES278" s="102"/>
      <c r="ET278" s="1"/>
      <c r="EU278" s="103"/>
      <c r="EV278" s="1"/>
      <c r="EW278" s="1"/>
      <c r="EX278" s="1"/>
      <c r="EY278" s="104"/>
      <c r="FN278" s="657">
        <v>34</v>
      </c>
      <c r="FO278" s="469" t="str">
        <f ca="1">IF($FN278+FO$244&gt;73,"",PRODUCT(INDEX($T$19:$T$93,FO$244):INDEX($T$19:$T$93,FO$244+$FN278-1)))</f>
        <v/>
      </c>
      <c r="FP278" s="469" t="str">
        <f ca="1">IF($FN278+FP$244&gt;73,"",PRODUCT(INDEX($T$19:$T$93,FP$244):INDEX($T$19:$T$93,FP$244+$FN278-1)))</f>
        <v/>
      </c>
      <c r="FQ278" s="469" t="str">
        <f ca="1">IF($FN278+FQ$244&gt;73,"",PRODUCT(INDEX($T$19:$T$93,FQ$244):INDEX($T$19:$T$93,FQ$244+$FN278-1)))</f>
        <v/>
      </c>
      <c r="FR278" s="469" t="str">
        <f ca="1">IF($FN278+FR$244&gt;73,"",PRODUCT(INDEX($T$19:$T$93,FR$244):INDEX($T$19:$T$93,FR$244+$FN278-1)))</f>
        <v/>
      </c>
      <c r="FS278" s="469" t="str">
        <f ca="1">IF($FN278+FS$244&gt;73,"",PRODUCT(INDEX($T$19:$T$93,FS$244):INDEX($T$19:$T$93,FS$244+$FN278-1)))</f>
        <v/>
      </c>
      <c r="FT278" s="469" t="str">
        <f ca="1">IF($FN278+FT$244&gt;73,"",PRODUCT(INDEX($T$19:$T$93,FT$244):INDEX($T$19:$T$93,FT$244+$FN278-1)))</f>
        <v/>
      </c>
      <c r="FU278" s="469" t="str">
        <f ca="1">IF($FN278+FU$244&gt;73,"",PRODUCT(INDEX($T$19:$T$93,FU$244):INDEX($T$19:$T$93,FU$244+$FN278-1)))</f>
        <v/>
      </c>
      <c r="FV278" s="469" t="str">
        <f ca="1">IF($FN278+FV$244&gt;73,"",PRODUCT(INDEX($T$19:$T$93,FV$244):INDEX($T$19:$T$93,FV$244+$FN278-1)))</f>
        <v/>
      </c>
      <c r="FW278" s="469" t="str">
        <f ca="1">IF($FN278+FW$244&gt;73,"",PRODUCT(INDEX($T$19:$T$93,FW$244):INDEX($T$19:$T$93,FW$244+$FN278-1)))</f>
        <v/>
      </c>
      <c r="FX278" s="469" t="str">
        <f ca="1">IF($FN278+FX$244&gt;73,"",PRODUCT(INDEX($T$19:$T$93,FX$244):INDEX($T$19:$T$93,FX$244+$FN278-1)))</f>
        <v/>
      </c>
      <c r="FY278" s="469" t="str">
        <f ca="1">IF($FN278+FY$244&gt;73,"",PRODUCT(INDEX($T$19:$T$93,FY$244):INDEX($T$19:$T$93,FY$244+$FN278-1)))</f>
        <v/>
      </c>
      <c r="FZ278" s="469" t="str">
        <f ca="1">IF($FN278+FZ$244&gt;73,"",PRODUCT(INDEX($T$19:$T$93,FZ$244):INDEX($T$19:$T$93,FZ$244+$FN278-1)))</f>
        <v/>
      </c>
      <c r="GA278" s="469" t="str">
        <f ca="1">IF($FN278+GA$244&gt;73,"",PRODUCT(INDEX($T$19:$T$93,GA$244):INDEX($T$19:$T$93,GA$244+$FN278-1)))</f>
        <v/>
      </c>
      <c r="GB278" s="469" t="str">
        <f ca="1">IF($FN278+GB$244&gt;73,"",PRODUCT(INDEX($T$19:$T$93,GB$244):INDEX($T$19:$T$93,GB$244+$FN278-1)))</f>
        <v/>
      </c>
      <c r="GC278" s="469" t="str">
        <f ca="1">IF($FN278+GC$244&gt;73,"",PRODUCT(INDEX($T$19:$T$93,GC$244):INDEX($T$19:$T$93,GC$244+$FN278-1)))</f>
        <v/>
      </c>
      <c r="GD278" s="469" t="str">
        <f ca="1">IF($FN278+GD$244&gt;73,"",PRODUCT(INDEX($T$19:$T$93,GD$244):INDEX($T$19:$T$93,GD$244+$FN278-1)))</f>
        <v/>
      </c>
      <c r="GE278" s="469" t="str">
        <f ca="1">IF($FN278+GE$244&gt;73,"",PRODUCT(INDEX($T$19:$T$93,GE$244):INDEX($T$19:$T$93,GE$244+$FN278-1)))</f>
        <v/>
      </c>
      <c r="GF278" s="469" t="str">
        <f ca="1">IF($FN278+GF$244&gt;73,"",PRODUCT(INDEX($T$19:$T$93,GF$244):INDEX($T$19:$T$93,GF$244+$FN278-1)))</f>
        <v/>
      </c>
      <c r="GG278" s="469" t="str">
        <f ca="1">IF($FN278+GG$244&gt;73,"",PRODUCT(INDEX($T$19:$T$93,GG$244):INDEX($T$19:$T$93,GG$244+$FN278-1)))</f>
        <v/>
      </c>
      <c r="GH278" s="469" t="str">
        <f ca="1">IF($FN278+GH$244&gt;73,"",PRODUCT(INDEX($T$19:$T$93,GH$244):INDEX($T$19:$T$93,GH$244+$FN278-1)))</f>
        <v/>
      </c>
      <c r="GI278" s="469" t="str">
        <f ca="1">IF($FN278+GI$244&gt;73,"",PRODUCT(INDEX($T$19:$T$93,GI$244):INDEX($T$19:$T$93,GI$244+$FN278-1)))</f>
        <v/>
      </c>
      <c r="GJ278" s="469" t="str">
        <f ca="1">IF($FN278+GJ$244&gt;73,"",PRODUCT(INDEX($T$19:$T$93,GJ$244):INDEX($T$19:$T$93,GJ$244+$FN278-1)))</f>
        <v/>
      </c>
      <c r="GK278" s="469" t="str">
        <f ca="1">IF($FN278+GK$244&gt;73,"",PRODUCT(INDEX($T$19:$T$93,GK$244):INDEX($T$19:$T$93,GK$244+$FN278-1)))</f>
        <v/>
      </c>
      <c r="GL278" s="469" t="str">
        <f ca="1">IF($FN278+GL$244&gt;73,"",PRODUCT(INDEX($T$19:$T$93,GL$244):INDEX($T$19:$T$93,GL$244+$FN278-1)))</f>
        <v/>
      </c>
      <c r="GM278" s="469" t="str">
        <f ca="1">IF($FN278+GM$244&gt;73,"",PRODUCT(INDEX($T$19:$T$93,GM$244):INDEX($T$19:$T$93,GM$244+$FN278-1)))</f>
        <v/>
      </c>
      <c r="GN278" s="469" t="str">
        <f ca="1">IF($FN278+GN$244&gt;73,"",PRODUCT(INDEX($T$19:$T$93,GN$244):INDEX($T$19:$T$93,GN$244+$FN278-1)))</f>
        <v/>
      </c>
      <c r="GO278" s="469" t="str">
        <f ca="1">IF($FN278+GO$244&gt;73,"",PRODUCT(INDEX($T$19:$T$93,GO$244):INDEX($T$19:$T$93,GO$244+$FN278-1)))</f>
        <v/>
      </c>
      <c r="GP278" s="469" t="str">
        <f ca="1">IF($FN278+GP$244&gt;73,"",PRODUCT(INDEX($T$19:$T$93,GP$244):INDEX($T$19:$T$93,GP$244+$FN278-1)))</f>
        <v/>
      </c>
      <c r="GQ278" s="469" t="str">
        <f ca="1">IF($FN278+GQ$244&gt;73,"",PRODUCT(INDEX($T$19:$T$93,GQ$244):INDEX($T$19:$T$93,GQ$244+$FN278-1)))</f>
        <v/>
      </c>
      <c r="GR278" s="469" t="str">
        <f ca="1">IF($FN278+GR$244&gt;73,"",PRODUCT(INDEX($T$19:$T$93,GR$244):INDEX($T$19:$T$93,GR$244+$FN278-1)))</f>
        <v/>
      </c>
      <c r="GS278" s="469" t="str">
        <f ca="1">IF($FN278+GS$244&gt;73,"",PRODUCT(INDEX($T$19:$T$93,GS$244):INDEX($T$19:$T$93,GS$244+$FN278-1)))</f>
        <v/>
      </c>
      <c r="GT278" s="469" t="str">
        <f ca="1">IF($FN278+GT$244&gt;73,"",PRODUCT(INDEX($T$19:$T$93,GT$244):INDEX($T$19:$T$93,GT$244+$FN278-1)))</f>
        <v/>
      </c>
      <c r="GU278" s="469" t="str">
        <f ca="1">IF($FN278+GU$244&gt;73,"",PRODUCT(INDEX($T$19:$T$93,GU$244):INDEX($T$19:$T$93,GU$244+$FN278-1)))</f>
        <v/>
      </c>
      <c r="GV278" s="469">
        <f ca="1">IF($FN278+GV$244&gt;73,"",PRODUCT(INDEX($T$19:$T$93,GV$244):INDEX($T$19:$T$93,GV$244+$FN278-1)))</f>
        <v>0.98471693429301821</v>
      </c>
      <c r="GW278" s="469">
        <f ca="1">IF($FN278+GW$244&gt;73,"",PRODUCT(INDEX($T$19:$T$93,GW$244):INDEX($T$19:$T$93,GW$244+$FN278-1)))</f>
        <v>0.98303153959357681</v>
      </c>
      <c r="GX278" s="469">
        <f ca="1">IF($FN278+GX$244&gt;73,"",PRODUCT(INDEX($T$19:$T$93,GX$244):INDEX($T$19:$T$93,GX$244+$FN278-1)))</f>
        <v>0.98116183366213572</v>
      </c>
      <c r="GY278" s="469">
        <f ca="1">IF($FN278+GY$244&gt;73,"",PRODUCT(INDEX($T$19:$T$93,GY$244):INDEX($T$19:$T$93,GY$244+$FN278-1)))</f>
        <v>0.97908802026256903</v>
      </c>
      <c r="GZ278" s="469">
        <f ca="1">IF($FN278+GZ$244&gt;73,"",PRODUCT(INDEX($T$19:$T$93,GZ$244):INDEX($T$19:$T$93,GZ$244+$FN278-1)))</f>
        <v>0.97678826016213638</v>
      </c>
      <c r="HA278" s="469">
        <f ca="1">IF($FN278+HA$244&gt;73,"",PRODUCT(INDEX($T$19:$T$93,HA$244):INDEX($T$19:$T$93,HA$244+$FN278-1)))</f>
        <v>0.97423847962890608</v>
      </c>
      <c r="HB278" s="469">
        <f ca="1">IF($FN278+HB$244&gt;73,"",PRODUCT(INDEX($T$19:$T$93,HB$244):INDEX($T$19:$T$93,HB$244+$FN278-1)))</f>
        <v>0.97141216555564724</v>
      </c>
      <c r="HC278" s="469">
        <f ca="1">IF($FN278+HC$244&gt;73,"",PRODUCT(INDEX($T$19:$T$93,HC$244):INDEX($T$19:$T$93,HC$244+$FN278-1)))</f>
        <v>0.9682801474357059</v>
      </c>
      <c r="HD278" s="469">
        <f ca="1">IF($FN278+HD$244&gt;73,"",PRODUCT(INDEX($T$19:$T$93,HD$244):INDEX($T$19:$T$93,HD$244+$FN278-1)))</f>
        <v>0.96481036679543275</v>
      </c>
      <c r="HE278" s="469">
        <f ca="1">IF($FN278+HE$244&gt;73,"",PRODUCT(INDEX($T$19:$T$93,HE$244):INDEX($T$19:$T$93,HE$244+$FN278-1)))</f>
        <v>0.96096763517667272</v>
      </c>
      <c r="HF278" s="469">
        <f ca="1">IF($FN278+HF$244&gt;73,"",PRODUCT(INDEX($T$19:$T$93,HF$244):INDEX($T$19:$T$93,HF$244+$FN278-1)))</f>
        <v>0.95671338238497072</v>
      </c>
      <c r="HG278" s="469">
        <f ca="1">IF($FN278+HG$244&gt;73,"",PRODUCT(INDEX($T$19:$T$93,HG$244):INDEX($T$19:$T$93,HG$244+$FN278-1)))</f>
        <v>0.95200539750161128</v>
      </c>
      <c r="HH278" s="469">
        <f ca="1">IF($FN278+HH$244&gt;73,"",PRODUCT(INDEX($T$19:$T$93,HH$244):INDEX($T$19:$T$93,HH$244+$FN278-1)))</f>
        <v>0.94679756613193167</v>
      </c>
      <c r="HI278" s="469">
        <f ca="1">IF($FN278+HI$244&gt;73,"",PRODUCT(INDEX($T$19:$T$93,HI$244):INDEX($T$19:$T$93,HI$244+$FN278-1)))</f>
        <v>0.941039608564329</v>
      </c>
      <c r="HJ278" s="469">
        <f ca="1">IF($FN278+HJ$244&gt;73,"",PRODUCT(INDEX($T$19:$T$93,HJ$244):INDEX($T$19:$T$93,HJ$244+$FN278-1)))</f>
        <v>0.93467682498494098</v>
      </c>
      <c r="HK278" s="469">
        <f ca="1">IF($FN278+HK$244&gt;73,"",PRODUCT(INDEX($T$19:$T$93,HK$244):INDEX($T$19:$T$93,HK$244+$FN278-1)))</f>
        <v>0.9276498556778261</v>
      </c>
      <c r="HL278" s="469">
        <f ca="1">IF($FN278+HL$244&gt;73,"",PRODUCT(INDEX($T$19:$T$93,HL$244):INDEX($T$19:$T$93,HL$244+$FN278-1)))</f>
        <v>0.91989446629065696</v>
      </c>
      <c r="HM278" s="469">
        <f ca="1">IF($FN278+HM$244&gt;73,"",PRODUCT(INDEX($T$19:$T$93,HM$244):INDEX($T$19:$T$93,HM$244+$FN278-1)))</f>
        <v>0.91134137081744349</v>
      </c>
      <c r="HN278" s="469">
        <f ca="1">IF($FN278+HN$244&gt;73,"",PRODUCT(INDEX($T$19:$T$93,HN$244):INDEX($T$19:$T$93,HN$244+$FN278-1)))</f>
        <v>0.90191610800392163</v>
      </c>
      <c r="HO278" s="469">
        <f ca="1">IF($FN278+HO$244&gt;73,"",PRODUCT(INDEX($T$19:$T$93,HO$244):INDEX($T$19:$T$93,HO$244+$FN278-1)))</f>
        <v>0.89153899048390151</v>
      </c>
      <c r="HP278" s="469">
        <f ca="1">IF($FN278+HP$244&gt;73,"",PRODUCT(INDEX($T$19:$T$93,HP$244):INDEX($T$19:$T$93,HP$244+$FN278-1)))</f>
        <v>0.880125150177274</v>
      </c>
      <c r="HQ278" s="469">
        <f ca="1">IF($FN278+HQ$244&gt;73,"",PRODUCT(INDEX($T$19:$T$93,HQ$244):INDEX($T$19:$T$93,HQ$244+$FN278-1)))</f>
        <v>0.86758470839838686</v>
      </c>
      <c r="HR278" s="469">
        <f ca="1">IF($FN278+HR$244&gt;73,"",PRODUCT(INDEX($T$19:$T$93,HR$244):INDEX($T$19:$T$93,HR$244+$FN278-1)))</f>
        <v>0.85382310481913337</v>
      </c>
      <c r="HS278" s="469">
        <f ca="1">IF($FN278+HS$244&gt;73,"",PRODUCT(INDEX($T$19:$T$93,HS$244):INDEX($T$19:$T$93,HS$244+$FN278-1)))</f>
        <v>0.83874162599273661</v>
      </c>
      <c r="HT278" s="469">
        <f ca="1">IF($FN278+HT$244&gt;73,"",PRODUCT(INDEX($T$19:$T$93,HT$244):INDEX($T$19:$T$93,HT$244+$FN278-1)))</f>
        <v>0.82223818166928453</v>
      </c>
      <c r="HU278" s="469">
        <f ca="1">IF($FN278+HU$244&gt;73,"",PRODUCT(INDEX($T$19:$T$93,HU$244):INDEX($T$19:$T$93,HU$244+$FN278-1)))</f>
        <v>0.80420838573021136</v>
      </c>
      <c r="HV278" s="469">
        <f ca="1">IF($FN278+HV$244&gt;73,"",PRODUCT(INDEX($T$19:$T$93,HV$244):INDEX($T$19:$T$93,HV$244+$FN278-1)))</f>
        <v>0.78454700835504887</v>
      </c>
      <c r="HW278" s="469">
        <f ca="1">IF($FN278+HW$244&gt;73,"",PRODUCT(INDEX($T$19:$T$93,HW$244):INDEX($T$19:$T$93,HW$244+$FN278-1)))</f>
        <v>0.76314987713510807</v>
      </c>
      <c r="HX278" s="469">
        <f ca="1">IF($FN278+HX$244&gt;73,"",PRODUCT(INDEX($T$19:$T$93,HX$244):INDEX($T$19:$T$93,HX$244+$FN278-1)))</f>
        <v>0.73991631737983876</v>
      </c>
      <c r="HY278" s="469">
        <f ca="1">IF($FN278+HY$244&gt;73,"",PRODUCT(INDEX($T$19:$T$93,HY$244):INDEX($T$19:$T$93,HY$244+$FN278-1)))</f>
        <v>0.71475223588127035</v>
      </c>
      <c r="HZ278" s="469">
        <f ca="1">IF($FN278+HZ$244&gt;73,"",PRODUCT(INDEX($T$19:$T$93,HZ$244):INDEX($T$19:$T$93,HZ$244+$FN278-1)))</f>
        <v>0.68757396781450297</v>
      </c>
      <c r="IA278" s="469">
        <f ca="1">IF($FN278+IA$244&gt;73,"",PRODUCT(INDEX($T$19:$T$93,IA$244):INDEX($T$19:$T$93,IA$244+$FN278-1)))</f>
        <v>0.65831302280920978</v>
      </c>
      <c r="IB278" s="469">
        <f ca="1">IF($FN278+IB$244&gt;73,"",PRODUCT(INDEX($T$19:$T$93,IB$244):INDEX($T$19:$T$93,IB$244+$FN278-1)))</f>
        <v>0.62692188235491952</v>
      </c>
      <c r="IC278" s="469">
        <f ca="1">IF($FN278+IC$244&gt;73,"",PRODUCT(INDEX($T$19:$T$93,IC$244):INDEX($T$19:$T$93,IC$244+$FN278-1)))</f>
        <v>0.59338101404246024</v>
      </c>
      <c r="ID278" s="469">
        <f ca="1">IF($FN278+ID$244&gt;73,"",PRODUCT(INDEX($T$19:$T$93,ID$244):INDEX($T$19:$T$93,ID$244+$FN278-1)))</f>
        <v>0.55770727363429584</v>
      </c>
      <c r="IE278" s="469">
        <f ca="1">IF($FN278+IE$244&gt;73,"",PRODUCT(INDEX($T$19:$T$93,IE$244):INDEX($T$19:$T$93,IE$244+$FN278-1)))</f>
        <v>0.51996385423982905</v>
      </c>
      <c r="IF278" s="469">
        <f ca="1">IF($FN278+IF$244&gt;73,"",PRODUCT(INDEX($T$19:$T$93,IF$244):INDEX($T$19:$T$93,IF$244+$FN278-1)))</f>
        <v>0.48027189656441832</v>
      </c>
      <c r="IG278" s="469">
        <f ca="1">IF($FN278+IG$244&gt;73,"",PRODUCT(INDEX($T$19:$T$93,IG$244):INDEX($T$19:$T$93,IG$244+$FN278-1)))</f>
        <v>0.43882376803079304</v>
      </c>
      <c r="IH278" s="662">
        <f ca="1">IF($FN278+IH$244&gt;73,"",PRODUCT(INDEX($T$19:$T$93,IH$244):INDEX($T$19:$T$93,IH$244+$FN278-1)))</f>
        <v>0.3958978084695689</v>
      </c>
      <c r="II278" s="242"/>
    </row>
    <row r="279" spans="9:243">
      <c r="I279" s="132"/>
      <c r="J279" s="365"/>
      <c r="K279" s="133"/>
      <c r="L279" s="1"/>
      <c r="M279" s="366"/>
      <c r="P279" s="365"/>
      <c r="S279" s="53"/>
      <c r="T279" s="365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364">
        <v>6.4838721521038006E-2</v>
      </c>
      <c r="AP279" s="1"/>
      <c r="AQ279" s="364">
        <v>5.8986792358905103E-2</v>
      </c>
      <c r="AR279" s="1"/>
      <c r="AS279" s="1"/>
      <c r="AT279" s="103"/>
      <c r="AU279" s="103"/>
      <c r="AV279" s="103"/>
      <c r="AW279" s="31"/>
      <c r="AX279" s="31"/>
      <c r="AY279" s="31"/>
      <c r="AZ279" s="31"/>
      <c r="BA279" s="146"/>
      <c r="BB279" s="146"/>
      <c r="BC279" s="103"/>
      <c r="BD279" s="103"/>
      <c r="BE279" s="103"/>
      <c r="BF279" s="104"/>
      <c r="BG279" s="104"/>
      <c r="BH279" s="104"/>
      <c r="BI279" s="102"/>
      <c r="BJ279" s="104"/>
      <c r="BK279" s="104"/>
      <c r="BL279" s="103"/>
      <c r="BM279" s="103"/>
      <c r="BN279" s="103"/>
      <c r="BO279" s="103"/>
      <c r="BP279" s="103"/>
      <c r="BQ279" s="103"/>
      <c r="BR279" s="103"/>
      <c r="BS279" s="103"/>
      <c r="BT279" s="103"/>
      <c r="BU279" s="103"/>
      <c r="BV279" s="103"/>
      <c r="BW279" s="103"/>
      <c r="BX279" s="103"/>
      <c r="BY279" s="103"/>
      <c r="BZ279" s="103"/>
      <c r="CA279" s="103"/>
      <c r="CB279" s="104"/>
      <c r="CC279" s="104"/>
      <c r="CD279" s="104"/>
      <c r="CE279" s="104"/>
      <c r="CF279" s="104"/>
      <c r="CG279" s="104"/>
      <c r="CH279" s="103"/>
      <c r="CI279" s="103"/>
      <c r="CJ279" s="103"/>
      <c r="CK279" s="103"/>
      <c r="CL279" s="103"/>
      <c r="CM279" s="103"/>
      <c r="CN279" s="103"/>
      <c r="CO279" s="103"/>
      <c r="CP279" s="103"/>
      <c r="CQ279" s="103"/>
      <c r="CR279" s="103"/>
      <c r="CS279" s="103"/>
      <c r="CT279" s="103"/>
      <c r="CU279" s="103"/>
      <c r="CV279" s="103"/>
      <c r="CW279" s="103"/>
      <c r="CX279" s="103"/>
      <c r="CY279" s="103"/>
      <c r="CZ279" s="103"/>
      <c r="DA279" s="103"/>
      <c r="DB279" s="103"/>
      <c r="DC279" s="103"/>
      <c r="DD279" s="103"/>
      <c r="DE279" s="103"/>
      <c r="DF279" s="465"/>
      <c r="DG279" s="107"/>
      <c r="DH279" s="107"/>
      <c r="DI279" s="465"/>
      <c r="DJ279" s="51"/>
      <c r="DK279" s="52"/>
      <c r="DL279" s="52"/>
      <c r="DM279" s="52"/>
      <c r="DN279" s="52"/>
      <c r="DO279" s="52"/>
      <c r="DP279" s="52"/>
      <c r="DQ279" s="52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P279" s="53"/>
      <c r="EQ279" s="1"/>
      <c r="ER279" s="103"/>
      <c r="ES279" s="102"/>
      <c r="ET279" s="1"/>
      <c r="EU279" s="103"/>
      <c r="EV279" s="1"/>
      <c r="EW279" s="1"/>
      <c r="EX279" s="1"/>
      <c r="EY279" s="104"/>
      <c r="FN279" s="657">
        <v>35</v>
      </c>
      <c r="FO279" s="469" t="str">
        <f ca="1">IF($FN279+FO$244&gt;73,"",PRODUCT(INDEX($T$19:$T$93,FO$244):INDEX($T$19:$T$93,FO$244+$FN279-1)))</f>
        <v/>
      </c>
      <c r="FP279" s="469" t="str">
        <f ca="1">IF($FN279+FP$244&gt;73,"",PRODUCT(INDEX($T$19:$T$93,FP$244):INDEX($T$19:$T$93,FP$244+$FN279-1)))</f>
        <v/>
      </c>
      <c r="FQ279" s="469" t="str">
        <f ca="1">IF($FN279+FQ$244&gt;73,"",PRODUCT(INDEX($T$19:$T$93,FQ$244):INDEX($T$19:$T$93,FQ$244+$FN279-1)))</f>
        <v/>
      </c>
      <c r="FR279" s="469" t="str">
        <f ca="1">IF($FN279+FR$244&gt;73,"",PRODUCT(INDEX($T$19:$T$93,FR$244):INDEX($T$19:$T$93,FR$244+$FN279-1)))</f>
        <v/>
      </c>
      <c r="FS279" s="469" t="str">
        <f ca="1">IF($FN279+FS$244&gt;73,"",PRODUCT(INDEX($T$19:$T$93,FS$244):INDEX($T$19:$T$93,FS$244+$FN279-1)))</f>
        <v/>
      </c>
      <c r="FT279" s="469" t="str">
        <f ca="1">IF($FN279+FT$244&gt;73,"",PRODUCT(INDEX($T$19:$T$93,FT$244):INDEX($T$19:$T$93,FT$244+$FN279-1)))</f>
        <v/>
      </c>
      <c r="FU279" s="469" t="str">
        <f ca="1">IF($FN279+FU$244&gt;73,"",PRODUCT(INDEX($T$19:$T$93,FU$244):INDEX($T$19:$T$93,FU$244+$FN279-1)))</f>
        <v/>
      </c>
      <c r="FV279" s="469" t="str">
        <f ca="1">IF($FN279+FV$244&gt;73,"",PRODUCT(INDEX($T$19:$T$93,FV$244):INDEX($T$19:$T$93,FV$244+$FN279-1)))</f>
        <v/>
      </c>
      <c r="FW279" s="469" t="str">
        <f ca="1">IF($FN279+FW$244&gt;73,"",PRODUCT(INDEX($T$19:$T$93,FW$244):INDEX($T$19:$T$93,FW$244+$FN279-1)))</f>
        <v/>
      </c>
      <c r="FX279" s="469" t="str">
        <f ca="1">IF($FN279+FX$244&gt;73,"",PRODUCT(INDEX($T$19:$T$93,FX$244):INDEX($T$19:$T$93,FX$244+$FN279-1)))</f>
        <v/>
      </c>
      <c r="FY279" s="469" t="str">
        <f ca="1">IF($FN279+FY$244&gt;73,"",PRODUCT(INDEX($T$19:$T$93,FY$244):INDEX($T$19:$T$93,FY$244+$FN279-1)))</f>
        <v/>
      </c>
      <c r="FZ279" s="469" t="str">
        <f ca="1">IF($FN279+FZ$244&gt;73,"",PRODUCT(INDEX($T$19:$T$93,FZ$244):INDEX($T$19:$T$93,FZ$244+$FN279-1)))</f>
        <v/>
      </c>
      <c r="GA279" s="469" t="str">
        <f ca="1">IF($FN279+GA$244&gt;73,"",PRODUCT(INDEX($T$19:$T$93,GA$244):INDEX($T$19:$T$93,GA$244+$FN279-1)))</f>
        <v/>
      </c>
      <c r="GB279" s="469" t="str">
        <f ca="1">IF($FN279+GB$244&gt;73,"",PRODUCT(INDEX($T$19:$T$93,GB$244):INDEX($T$19:$T$93,GB$244+$FN279-1)))</f>
        <v/>
      </c>
      <c r="GC279" s="469" t="str">
        <f ca="1">IF($FN279+GC$244&gt;73,"",PRODUCT(INDEX($T$19:$T$93,GC$244):INDEX($T$19:$T$93,GC$244+$FN279-1)))</f>
        <v/>
      </c>
      <c r="GD279" s="469" t="str">
        <f ca="1">IF($FN279+GD$244&gt;73,"",PRODUCT(INDEX($T$19:$T$93,GD$244):INDEX($T$19:$T$93,GD$244+$FN279-1)))</f>
        <v/>
      </c>
      <c r="GE279" s="469" t="str">
        <f ca="1">IF($FN279+GE$244&gt;73,"",PRODUCT(INDEX($T$19:$T$93,GE$244):INDEX($T$19:$T$93,GE$244+$FN279-1)))</f>
        <v/>
      </c>
      <c r="GF279" s="469" t="str">
        <f ca="1">IF($FN279+GF$244&gt;73,"",PRODUCT(INDEX($T$19:$T$93,GF$244):INDEX($T$19:$T$93,GF$244+$FN279-1)))</f>
        <v/>
      </c>
      <c r="GG279" s="469" t="str">
        <f ca="1">IF($FN279+GG$244&gt;73,"",PRODUCT(INDEX($T$19:$T$93,GG$244):INDEX($T$19:$T$93,GG$244+$FN279-1)))</f>
        <v/>
      </c>
      <c r="GH279" s="469" t="str">
        <f ca="1">IF($FN279+GH$244&gt;73,"",PRODUCT(INDEX($T$19:$T$93,GH$244):INDEX($T$19:$T$93,GH$244+$FN279-1)))</f>
        <v/>
      </c>
      <c r="GI279" s="469" t="str">
        <f ca="1">IF($FN279+GI$244&gt;73,"",PRODUCT(INDEX($T$19:$T$93,GI$244):INDEX($T$19:$T$93,GI$244+$FN279-1)))</f>
        <v/>
      </c>
      <c r="GJ279" s="469" t="str">
        <f ca="1">IF($FN279+GJ$244&gt;73,"",PRODUCT(INDEX($T$19:$T$93,GJ$244):INDEX($T$19:$T$93,GJ$244+$FN279-1)))</f>
        <v/>
      </c>
      <c r="GK279" s="469" t="str">
        <f ca="1">IF($FN279+GK$244&gt;73,"",PRODUCT(INDEX($T$19:$T$93,GK$244):INDEX($T$19:$T$93,GK$244+$FN279-1)))</f>
        <v/>
      </c>
      <c r="GL279" s="469" t="str">
        <f ca="1">IF($FN279+GL$244&gt;73,"",PRODUCT(INDEX($T$19:$T$93,GL$244):INDEX($T$19:$T$93,GL$244+$FN279-1)))</f>
        <v/>
      </c>
      <c r="GM279" s="469" t="str">
        <f ca="1">IF($FN279+GM$244&gt;73,"",PRODUCT(INDEX($T$19:$T$93,GM$244):INDEX($T$19:$T$93,GM$244+$FN279-1)))</f>
        <v/>
      </c>
      <c r="GN279" s="469" t="str">
        <f ca="1">IF($FN279+GN$244&gt;73,"",PRODUCT(INDEX($T$19:$T$93,GN$244):INDEX($T$19:$T$93,GN$244+$FN279-1)))</f>
        <v/>
      </c>
      <c r="GO279" s="469" t="str">
        <f ca="1">IF($FN279+GO$244&gt;73,"",PRODUCT(INDEX($T$19:$T$93,GO$244):INDEX($T$19:$T$93,GO$244+$FN279-1)))</f>
        <v/>
      </c>
      <c r="GP279" s="469" t="str">
        <f ca="1">IF($FN279+GP$244&gt;73,"",PRODUCT(INDEX($T$19:$T$93,GP$244):INDEX($T$19:$T$93,GP$244+$FN279-1)))</f>
        <v/>
      </c>
      <c r="GQ279" s="469" t="str">
        <f ca="1">IF($FN279+GQ$244&gt;73,"",PRODUCT(INDEX($T$19:$T$93,GQ$244):INDEX($T$19:$T$93,GQ$244+$FN279-1)))</f>
        <v/>
      </c>
      <c r="GR279" s="469" t="str">
        <f ca="1">IF($FN279+GR$244&gt;73,"",PRODUCT(INDEX($T$19:$T$93,GR$244):INDEX($T$19:$T$93,GR$244+$FN279-1)))</f>
        <v/>
      </c>
      <c r="GS279" s="469" t="str">
        <f ca="1">IF($FN279+GS$244&gt;73,"",PRODUCT(INDEX($T$19:$T$93,GS$244):INDEX($T$19:$T$93,GS$244+$FN279-1)))</f>
        <v/>
      </c>
      <c r="GT279" s="469" t="str">
        <f ca="1">IF($FN279+GT$244&gt;73,"",PRODUCT(INDEX($T$19:$T$93,GT$244):INDEX($T$19:$T$93,GT$244+$FN279-1)))</f>
        <v/>
      </c>
      <c r="GU279" s="469" t="str">
        <f ca="1">IF($FN279+GU$244&gt;73,"",PRODUCT(INDEX($T$19:$T$93,GU$244):INDEX($T$19:$T$93,GU$244+$FN279-1)))</f>
        <v/>
      </c>
      <c r="GV279" s="469" t="str">
        <f ca="1">IF($FN279+GV$244&gt;73,"",PRODUCT(INDEX($T$19:$T$93,GV$244):INDEX($T$19:$T$93,GV$244+$FN279-1)))</f>
        <v/>
      </c>
      <c r="GW279" s="469">
        <f ca="1">IF($FN279+GW$244&gt;73,"",PRODUCT(INDEX($T$19:$T$93,GW$244):INDEX($T$19:$T$93,GW$244+$FN279-1)))</f>
        <v>0.98298345685300781</v>
      </c>
      <c r="GX279" s="469">
        <f ca="1">IF($FN279+GX$244&gt;73,"",PRODUCT(INDEX($T$19:$T$93,GX$244):INDEX($T$19:$T$93,GX$244+$FN279-1)))</f>
        <v>0.98110850986076059</v>
      </c>
      <c r="GY279" s="469">
        <f ca="1">IF($FN279+GY$244&gt;73,"",PRODUCT(INDEX($T$19:$T$93,GY$244):INDEX($T$19:$T$93,GY$244+$FN279-1)))</f>
        <v>0.9790288966417261</v>
      </c>
      <c r="GZ279" s="469">
        <f ca="1">IF($FN279+GZ$244&gt;73,"",PRODUCT(INDEX($T$19:$T$93,GZ$244):INDEX($T$19:$T$93,GZ$244+$FN279-1)))</f>
        <v>0.97672272132976379</v>
      </c>
      <c r="HA279" s="469">
        <f ca="1">IF($FN279+HA$244&gt;73,"",PRODUCT(INDEX($T$19:$T$93,HA$244):INDEX($T$19:$T$93,HA$244+$FN279-1)))</f>
        <v>0.97416584851606869</v>
      </c>
      <c r="HB279" s="469">
        <f ca="1">IF($FN279+HB$244&gt;73,"",PRODUCT(INDEX($T$19:$T$93,HB$244):INDEX($T$19:$T$93,HB$244+$FN279-1)))</f>
        <v>0.97133169809495346</v>
      </c>
      <c r="HC279" s="469">
        <f ca="1">IF($FN279+HC$244&gt;73,"",PRODUCT(INDEX($T$19:$T$93,HC$244):INDEX($T$19:$T$93,HC$244+$FN279-1)))</f>
        <v>0.96819102699304993</v>
      </c>
      <c r="HD279" s="469">
        <f ca="1">IF($FN279+HD$244&gt;73,"",PRODUCT(INDEX($T$19:$T$93,HD$244):INDEX($T$19:$T$93,HD$244+$FN279-1)))</f>
        <v>0.96471169840322779</v>
      </c>
      <c r="HE279" s="469">
        <f ca="1">IF($FN279+HE$244&gt;73,"",PRODUCT(INDEX($T$19:$T$93,HE$244):INDEX($T$19:$T$93,HE$244+$FN279-1)))</f>
        <v>0.96085843963794371</v>
      </c>
      <c r="HF279" s="469">
        <f ca="1">IF($FN279+HF$244&gt;73,"",PRODUCT(INDEX($T$19:$T$93,HF$244):INDEX($T$19:$T$93,HF$244+$FN279-1)))</f>
        <v>0.95659259034429589</v>
      </c>
      <c r="HG279" s="469">
        <f ca="1">IF($FN279+HG$244&gt;73,"",PRODUCT(INDEX($T$19:$T$93,HG$244):INDEX($T$19:$T$93,HG$244+$FN279-1)))</f>
        <v>0.95187184361203359</v>
      </c>
      <c r="HH279" s="469">
        <f ca="1">IF($FN279+HH$244&gt;73,"",PRODUCT(INDEX($T$19:$T$93,HH$244):INDEX($T$19:$T$93,HH$244+$FN279-1)))</f>
        <v>0.946649983487858</v>
      </c>
      <c r="HI279" s="469">
        <f ca="1">IF($FN279+HI$244&gt;73,"",PRODUCT(INDEX($T$19:$T$93,HI$244):INDEX($T$19:$T$93,HI$244+$FN279-1)))</f>
        <v>0.9408766236205186</v>
      </c>
      <c r="HJ279" s="469">
        <f ca="1">IF($FN279+HJ$244&gt;73,"",PRODUCT(INDEX($T$19:$T$93,HJ$244):INDEX($T$19:$T$93,HJ$244+$FN279-1)))</f>
        <v>0.93449695324253257</v>
      </c>
      <c r="HK279" s="469">
        <f ca="1">IF($FN279+HK$244&gt;73,"",PRODUCT(INDEX($T$19:$T$93,HK$244):INDEX($T$19:$T$93,HK$244+$FN279-1)))</f>
        <v>0.92745149849167907</v>
      </c>
      <c r="HL279" s="469">
        <f ca="1">IF($FN279+HL$244&gt;73,"",PRODUCT(INDEX($T$19:$T$93,HL$244):INDEX($T$19:$T$93,HL$244+$FN279-1)))</f>
        <v>0.91967590923988385</v>
      </c>
      <c r="HM279" s="469">
        <f ca="1">IF($FN279+HM$244&gt;73,"",PRODUCT(INDEX($T$19:$T$93,HM$244):INDEX($T$19:$T$93,HM$244+$FN279-1)))</f>
        <v>0.91110078418469731</v>
      </c>
      <c r="HN279" s="469">
        <f ca="1">IF($FN279+HN$244&gt;73,"",PRODUCT(INDEX($T$19:$T$93,HN$244):INDEX($T$19:$T$93,HN$244+$FN279-1)))</f>
        <v>0.90165155003045483</v>
      </c>
      <c r="HO279" s="469">
        <f ca="1">IF($FN279+HO$244&gt;73,"",PRODUCT(INDEX($T$19:$T$93,HO$244):INDEX($T$19:$T$93,HO$244+$FN279-1)))</f>
        <v>0.89124841420798473</v>
      </c>
      <c r="HP279" s="469">
        <f ca="1">IF($FN279+HP$244&gt;73,"",PRODUCT(INDEX($T$19:$T$93,HP$244):INDEX($T$19:$T$93,HP$244+$FN279-1)))</f>
        <v>0.87980641482399924</v>
      </c>
      <c r="HQ279" s="469">
        <f ca="1">IF($FN279+HQ$244&gt;73,"",PRODUCT(INDEX($T$19:$T$93,HQ$244):INDEX($T$19:$T$93,HQ$244+$FN279-1)))</f>
        <v>0.86723559646886772</v>
      </c>
      <c r="HR279" s="469">
        <f ca="1">IF($FN279+HR$244&gt;73,"",PRODUCT(INDEX($T$19:$T$93,HR$244):INDEX($T$19:$T$93,HR$244+$FN279-1)))</f>
        <v>0.85344134622471379</v>
      </c>
      <c r="HS279" s="469">
        <f ca="1">IF($FN279+HS$244&gt;73,"",PRODUCT(INDEX($T$19:$T$93,HS$244):INDEX($T$19:$T$93,HS$244+$FN279-1)))</f>
        <v>0.83832493079060022</v>
      </c>
      <c r="HT279" s="469">
        <f ca="1">IF($FN279+HT$244&gt;73,"",PRODUCT(INDEX($T$19:$T$93,HT$244):INDEX($T$19:$T$93,HT$244+$FN279-1)))</f>
        <v>0.82178428317176477</v>
      </c>
      <c r="HU279" s="469">
        <f ca="1">IF($FN279+HU$244&gt;73,"",PRODUCT(INDEX($T$19:$T$93,HU$244):INDEX($T$19:$T$93,HU$244+$FN279-1)))</f>
        <v>0.80371509596788582</v>
      </c>
      <c r="HV279" s="469">
        <f ca="1">IF($FN279+HV$244&gt;73,"",PRODUCT(INDEX($T$19:$T$93,HV$244):INDEX($T$19:$T$93,HV$244+$FN279-1)))</f>
        <v>0.78401228805277112</v>
      </c>
      <c r="HW279" s="469">
        <f ca="1">IF($FN279+HW$244&gt;73,"",PRODUCT(INDEX($T$19:$T$93,HW$244):INDEX($T$19:$T$93,HW$244+$FN279-1)))</f>
        <v>0.76257192247973138</v>
      </c>
      <c r="HX279" s="469">
        <f ca="1">IF($FN279+HX$244&gt;73,"",PRODUCT(INDEX($T$19:$T$93,HX$244):INDEX($T$19:$T$93,HX$244+$FN279-1)))</f>
        <v>0.73929366587378498</v>
      </c>
      <c r="HY279" s="469">
        <f ca="1">IF($FN279+HY$244&gt;73,"",PRODUCT(INDEX($T$19:$T$93,HY$244):INDEX($T$19:$T$93,HY$244+$FN279-1)))</f>
        <v>0.71408389342363054</v>
      </c>
      <c r="HZ279" s="469">
        <f ca="1">IF($FN279+HZ$244&gt;73,"",PRODUCT(INDEX($T$19:$T$93,HZ$244):INDEX($T$19:$T$93,HZ$244+$FN279-1)))</f>
        <v>0.6868595587420403</v>
      </c>
      <c r="IA279" s="469">
        <f ca="1">IF($FN279+IA$244&gt;73,"",PRODUCT(INDEX($T$19:$T$93,IA$244):INDEX($T$19:$T$93,IA$244+$FN279-1)))</f>
        <v>0.65755296384121786</v>
      </c>
      <c r="IB279" s="469">
        <f ca="1">IF($FN279+IB$244&gt;73,"",PRODUCT(INDEX($T$19:$T$93,IB$244):INDEX($T$19:$T$93,IB$244+$FN279-1)))</f>
        <v>0.62611758005347207</v>
      </c>
      <c r="IC279" s="469">
        <f ca="1">IF($FN279+IC$244&gt;73,"",PRODUCT(INDEX($T$19:$T$93,IC$244):INDEX($T$19:$T$93,IC$244+$FN279-1)))</f>
        <v>0.59253508330567051</v>
      </c>
      <c r="ID279" s="469">
        <f ca="1">IF($FN279+ID$244&gt;73,"",PRODUCT(INDEX($T$19:$T$93,ID$244):INDEX($T$19:$T$93,ID$244+$FN279-1)))</f>
        <v>0.55682377160643304</v>
      </c>
      <c r="IE279" s="469">
        <f ca="1">IF($FN279+IE$244&gt;73,"",PRODUCT(INDEX($T$19:$T$93,IE$244):INDEX($T$19:$T$93,IE$244+$FN279-1)))</f>
        <v>0.51904851950803332</v>
      </c>
      <c r="IF279" s="469">
        <f ca="1">IF($FN279+IF$244&gt;73,"",PRODUCT(INDEX($T$19:$T$93,IF$244):INDEX($T$19:$T$93,IF$244+$FN279-1)))</f>
        <v>0.47933237723087668</v>
      </c>
      <c r="IG279" s="469">
        <f ca="1">IF($FN279+IG$244&gt;73,"",PRODUCT(INDEX($T$19:$T$93,IG$244):INDEX($T$19:$T$93,IG$244+$FN279-1)))</f>
        <v>0.43786981382246926</v>
      </c>
      <c r="IH279" s="662">
        <f ca="1">IF($FN279+IH$244&gt;73,"",PRODUCT(INDEX($T$19:$T$93,IH$244):INDEX($T$19:$T$93,IH$244+$FN279-1)))</f>
        <v>0.39494139122771393</v>
      </c>
      <c r="II279" s="242"/>
    </row>
    <row r="280" spans="9:243">
      <c r="I280" s="132"/>
      <c r="J280" s="365"/>
      <c r="K280" s="133"/>
      <c r="L280" s="1"/>
      <c r="M280" s="366"/>
      <c r="P280" s="365"/>
      <c r="S280" s="53"/>
      <c r="T280" s="365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364">
        <v>6.4849369296322595E-2</v>
      </c>
      <c r="AP280" s="1"/>
      <c r="AQ280" s="364">
        <v>5.8947561537019903E-2</v>
      </c>
      <c r="AR280" s="1"/>
      <c r="AS280" s="1"/>
      <c r="AT280" s="103"/>
      <c r="AU280" s="103"/>
      <c r="AV280" s="103"/>
      <c r="AW280" s="31"/>
      <c r="AX280" s="31"/>
      <c r="AY280" s="31"/>
      <c r="AZ280" s="31"/>
      <c r="BA280" s="146"/>
      <c r="BB280" s="146"/>
      <c r="BC280" s="103"/>
      <c r="BD280" s="103"/>
      <c r="BE280" s="103"/>
      <c r="BF280" s="104"/>
      <c r="BG280" s="104"/>
      <c r="BH280" s="104"/>
      <c r="BI280" s="102"/>
      <c r="BJ280" s="104"/>
      <c r="BK280" s="104"/>
      <c r="BL280" s="103"/>
      <c r="BM280" s="103"/>
      <c r="BN280" s="103"/>
      <c r="BO280" s="103"/>
      <c r="BP280" s="103"/>
      <c r="BQ280" s="103"/>
      <c r="BR280" s="103"/>
      <c r="BS280" s="103"/>
      <c r="BT280" s="103"/>
      <c r="BU280" s="103"/>
      <c r="BV280" s="103"/>
      <c r="BW280" s="103"/>
      <c r="BX280" s="103"/>
      <c r="BY280" s="103"/>
      <c r="BZ280" s="103"/>
      <c r="CA280" s="103"/>
      <c r="CB280" s="104"/>
      <c r="CC280" s="104"/>
      <c r="CD280" s="104"/>
      <c r="CE280" s="104"/>
      <c r="CF280" s="104"/>
      <c r="CG280" s="104"/>
      <c r="CH280" s="103"/>
      <c r="CI280" s="103"/>
      <c r="CJ280" s="103"/>
      <c r="CK280" s="103"/>
      <c r="CL280" s="103"/>
      <c r="CM280" s="103"/>
      <c r="CN280" s="103"/>
      <c r="CO280" s="103"/>
      <c r="CP280" s="103"/>
      <c r="CQ280" s="103"/>
      <c r="CR280" s="103"/>
      <c r="CS280" s="103"/>
      <c r="CT280" s="103"/>
      <c r="CU280" s="103"/>
      <c r="CV280" s="103"/>
      <c r="CW280" s="103"/>
      <c r="CX280" s="103"/>
      <c r="CY280" s="103"/>
      <c r="CZ280" s="103"/>
      <c r="DA280" s="103"/>
      <c r="DB280" s="103"/>
      <c r="DC280" s="103"/>
      <c r="DD280" s="103"/>
      <c r="DE280" s="103"/>
      <c r="DF280" s="465"/>
      <c r="DG280" s="107"/>
      <c r="DH280" s="107"/>
      <c r="DI280" s="465"/>
      <c r="DJ280" s="51"/>
      <c r="DK280" s="52"/>
      <c r="DL280" s="52"/>
      <c r="DM280" s="52"/>
      <c r="DN280" s="52"/>
      <c r="DO280" s="52"/>
      <c r="DP280" s="52"/>
      <c r="DQ280" s="52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P280" s="53"/>
      <c r="EQ280" s="1"/>
      <c r="ER280" s="103"/>
      <c r="ES280" s="102"/>
      <c r="ET280" s="1"/>
      <c r="EU280" s="103"/>
      <c r="EV280" s="1"/>
      <c r="EW280" s="1"/>
      <c r="EX280" s="1"/>
      <c r="EY280" s="104"/>
      <c r="FN280" s="657">
        <v>36</v>
      </c>
      <c r="FO280" s="469" t="str">
        <f ca="1">IF($FN280+FO$244&gt;73,"",PRODUCT(INDEX($T$19:$T$93,FO$244):INDEX($T$19:$T$93,FO$244+$FN280-1)))</f>
        <v/>
      </c>
      <c r="FP280" s="469" t="str">
        <f ca="1">IF($FN280+FP$244&gt;73,"",PRODUCT(INDEX($T$19:$T$93,FP$244):INDEX($T$19:$T$93,FP$244+$FN280-1)))</f>
        <v/>
      </c>
      <c r="FQ280" s="469" t="str">
        <f ca="1">IF($FN280+FQ$244&gt;73,"",PRODUCT(INDEX($T$19:$T$93,FQ$244):INDEX($T$19:$T$93,FQ$244+$FN280-1)))</f>
        <v/>
      </c>
      <c r="FR280" s="469" t="str">
        <f ca="1">IF($FN280+FR$244&gt;73,"",PRODUCT(INDEX($T$19:$T$93,FR$244):INDEX($T$19:$T$93,FR$244+$FN280-1)))</f>
        <v/>
      </c>
      <c r="FS280" s="469" t="str">
        <f ca="1">IF($FN280+FS$244&gt;73,"",PRODUCT(INDEX($T$19:$T$93,FS$244):INDEX($T$19:$T$93,FS$244+$FN280-1)))</f>
        <v/>
      </c>
      <c r="FT280" s="469" t="str">
        <f ca="1">IF($FN280+FT$244&gt;73,"",PRODUCT(INDEX($T$19:$T$93,FT$244):INDEX($T$19:$T$93,FT$244+$FN280-1)))</f>
        <v/>
      </c>
      <c r="FU280" s="469" t="str">
        <f ca="1">IF($FN280+FU$244&gt;73,"",PRODUCT(INDEX($T$19:$T$93,FU$244):INDEX($T$19:$T$93,FU$244+$FN280-1)))</f>
        <v/>
      </c>
      <c r="FV280" s="469" t="str">
        <f ca="1">IF($FN280+FV$244&gt;73,"",PRODUCT(INDEX($T$19:$T$93,FV$244):INDEX($T$19:$T$93,FV$244+$FN280-1)))</f>
        <v/>
      </c>
      <c r="FW280" s="469" t="str">
        <f ca="1">IF($FN280+FW$244&gt;73,"",PRODUCT(INDEX($T$19:$T$93,FW$244):INDEX($T$19:$T$93,FW$244+$FN280-1)))</f>
        <v/>
      </c>
      <c r="FX280" s="469" t="str">
        <f ca="1">IF($FN280+FX$244&gt;73,"",PRODUCT(INDEX($T$19:$T$93,FX$244):INDEX($T$19:$T$93,FX$244+$FN280-1)))</f>
        <v/>
      </c>
      <c r="FY280" s="469" t="str">
        <f ca="1">IF($FN280+FY$244&gt;73,"",PRODUCT(INDEX($T$19:$T$93,FY$244):INDEX($T$19:$T$93,FY$244+$FN280-1)))</f>
        <v/>
      </c>
      <c r="FZ280" s="469" t="str">
        <f ca="1">IF($FN280+FZ$244&gt;73,"",PRODUCT(INDEX($T$19:$T$93,FZ$244):INDEX($T$19:$T$93,FZ$244+$FN280-1)))</f>
        <v/>
      </c>
      <c r="GA280" s="469" t="str">
        <f ca="1">IF($FN280+GA$244&gt;73,"",PRODUCT(INDEX($T$19:$T$93,GA$244):INDEX($T$19:$T$93,GA$244+$FN280-1)))</f>
        <v/>
      </c>
      <c r="GB280" s="469" t="str">
        <f ca="1">IF($FN280+GB$244&gt;73,"",PRODUCT(INDEX($T$19:$T$93,GB$244):INDEX($T$19:$T$93,GB$244+$FN280-1)))</f>
        <v/>
      </c>
      <c r="GC280" s="469" t="str">
        <f ca="1">IF($FN280+GC$244&gt;73,"",PRODUCT(INDEX($T$19:$T$93,GC$244):INDEX($T$19:$T$93,GC$244+$FN280-1)))</f>
        <v/>
      </c>
      <c r="GD280" s="469" t="str">
        <f ca="1">IF($FN280+GD$244&gt;73,"",PRODUCT(INDEX($T$19:$T$93,GD$244):INDEX($T$19:$T$93,GD$244+$FN280-1)))</f>
        <v/>
      </c>
      <c r="GE280" s="469" t="str">
        <f ca="1">IF($FN280+GE$244&gt;73,"",PRODUCT(INDEX($T$19:$T$93,GE$244):INDEX($T$19:$T$93,GE$244+$FN280-1)))</f>
        <v/>
      </c>
      <c r="GF280" s="469" t="str">
        <f ca="1">IF($FN280+GF$244&gt;73,"",PRODUCT(INDEX($T$19:$T$93,GF$244):INDEX($T$19:$T$93,GF$244+$FN280-1)))</f>
        <v/>
      </c>
      <c r="GG280" s="469" t="str">
        <f ca="1">IF($FN280+GG$244&gt;73,"",PRODUCT(INDEX($T$19:$T$93,GG$244):INDEX($T$19:$T$93,GG$244+$FN280-1)))</f>
        <v/>
      </c>
      <c r="GH280" s="469" t="str">
        <f ca="1">IF($FN280+GH$244&gt;73,"",PRODUCT(INDEX($T$19:$T$93,GH$244):INDEX($T$19:$T$93,GH$244+$FN280-1)))</f>
        <v/>
      </c>
      <c r="GI280" s="469" t="str">
        <f ca="1">IF($FN280+GI$244&gt;73,"",PRODUCT(INDEX($T$19:$T$93,GI$244):INDEX($T$19:$T$93,GI$244+$FN280-1)))</f>
        <v/>
      </c>
      <c r="GJ280" s="469" t="str">
        <f ca="1">IF($FN280+GJ$244&gt;73,"",PRODUCT(INDEX($T$19:$T$93,GJ$244):INDEX($T$19:$T$93,GJ$244+$FN280-1)))</f>
        <v/>
      </c>
      <c r="GK280" s="469" t="str">
        <f ca="1">IF($FN280+GK$244&gt;73,"",PRODUCT(INDEX($T$19:$T$93,GK$244):INDEX($T$19:$T$93,GK$244+$FN280-1)))</f>
        <v/>
      </c>
      <c r="GL280" s="469" t="str">
        <f ca="1">IF($FN280+GL$244&gt;73,"",PRODUCT(INDEX($T$19:$T$93,GL$244):INDEX($T$19:$T$93,GL$244+$FN280-1)))</f>
        <v/>
      </c>
      <c r="GM280" s="469" t="str">
        <f ca="1">IF($FN280+GM$244&gt;73,"",PRODUCT(INDEX($T$19:$T$93,GM$244):INDEX($T$19:$T$93,GM$244+$FN280-1)))</f>
        <v/>
      </c>
      <c r="GN280" s="469" t="str">
        <f ca="1">IF($FN280+GN$244&gt;73,"",PRODUCT(INDEX($T$19:$T$93,GN$244):INDEX($T$19:$T$93,GN$244+$FN280-1)))</f>
        <v/>
      </c>
      <c r="GO280" s="469" t="str">
        <f ca="1">IF($FN280+GO$244&gt;73,"",PRODUCT(INDEX($T$19:$T$93,GO$244):INDEX($T$19:$T$93,GO$244+$FN280-1)))</f>
        <v/>
      </c>
      <c r="GP280" s="469" t="str">
        <f ca="1">IF($FN280+GP$244&gt;73,"",PRODUCT(INDEX($T$19:$T$93,GP$244):INDEX($T$19:$T$93,GP$244+$FN280-1)))</f>
        <v/>
      </c>
      <c r="GQ280" s="469" t="str">
        <f ca="1">IF($FN280+GQ$244&gt;73,"",PRODUCT(INDEX($T$19:$T$93,GQ$244):INDEX($T$19:$T$93,GQ$244+$FN280-1)))</f>
        <v/>
      </c>
      <c r="GR280" s="469" t="str">
        <f ca="1">IF($FN280+GR$244&gt;73,"",PRODUCT(INDEX($T$19:$T$93,GR$244):INDEX($T$19:$T$93,GR$244+$FN280-1)))</f>
        <v/>
      </c>
      <c r="GS280" s="469" t="str">
        <f ca="1">IF($FN280+GS$244&gt;73,"",PRODUCT(INDEX($T$19:$T$93,GS$244):INDEX($T$19:$T$93,GS$244+$FN280-1)))</f>
        <v/>
      </c>
      <c r="GT280" s="469" t="str">
        <f ca="1">IF($FN280+GT$244&gt;73,"",PRODUCT(INDEX($T$19:$T$93,GT$244):INDEX($T$19:$T$93,GT$244+$FN280-1)))</f>
        <v/>
      </c>
      <c r="GU280" s="469" t="str">
        <f ca="1">IF($FN280+GU$244&gt;73,"",PRODUCT(INDEX($T$19:$T$93,GU$244):INDEX($T$19:$T$93,GU$244+$FN280-1)))</f>
        <v/>
      </c>
      <c r="GV280" s="469" t="str">
        <f ca="1">IF($FN280+GV$244&gt;73,"",PRODUCT(INDEX($T$19:$T$93,GV$244):INDEX($T$19:$T$93,GV$244+$FN280-1)))</f>
        <v/>
      </c>
      <c r="GW280" s="469" t="str">
        <f ca="1">IF($FN280+GW$244&gt;73,"",PRODUCT(INDEX($T$19:$T$93,GW$244):INDEX($T$19:$T$93,GW$244+$FN280-1)))</f>
        <v/>
      </c>
      <c r="GX280" s="469">
        <f ca="1">IF($FN280+GX$244&gt;73,"",PRODUCT(INDEX($T$19:$T$93,GX$244):INDEX($T$19:$T$93,GX$244+$FN280-1)))</f>
        <v>0.98106052118079501</v>
      </c>
      <c r="GY280" s="469">
        <f ca="1">IF($FN280+GY$244&gt;73,"",PRODUCT(INDEX($T$19:$T$93,GY$244):INDEX($T$19:$T$93,GY$244+$FN280-1)))</f>
        <v>0.97897568876038177</v>
      </c>
      <c r="GZ280" s="469">
        <f ca="1">IF($FN280+GZ$244&gt;73,"",PRODUCT(INDEX($T$19:$T$93,GZ$244):INDEX($T$19:$T$93,GZ$244+$FN280-1)))</f>
        <v>0.9766637405408567</v>
      </c>
      <c r="HA280" s="469">
        <f ca="1">IF($FN280+HA$244&gt;73,"",PRODUCT(INDEX($T$19:$T$93,HA$244):INDEX($T$19:$T$93,HA$244+$FN280-1)))</f>
        <v>0.97410048563769169</v>
      </c>
      <c r="HB280" s="469">
        <f ca="1">IF($FN280+HB$244&gt;73,"",PRODUCT(INDEX($T$19:$T$93,HB$244):INDEX($T$19:$T$93,HB$244+$FN280-1)))</f>
        <v>0.97125928368755521</v>
      </c>
      <c r="HC280" s="469">
        <f ca="1">IF($FN280+HC$244&gt;73,"",PRODUCT(INDEX($T$19:$T$93,HC$244):INDEX($T$19:$T$93,HC$244+$FN280-1)))</f>
        <v>0.96811082635713963</v>
      </c>
      <c r="HD280" s="469">
        <f ca="1">IF($FN280+HD$244&gt;73,"",PRODUCT(INDEX($T$19:$T$93,HD$244):INDEX($T$19:$T$93,HD$244+$FN280-1)))</f>
        <v>0.96462290640039194</v>
      </c>
      <c r="HE280" s="469">
        <f ca="1">IF($FN280+HE$244&gt;73,"",PRODUCT(INDEX($T$19:$T$93,HE$244):INDEX($T$19:$T$93,HE$244+$FN280-1)))</f>
        <v>0.96076017539800762</v>
      </c>
      <c r="HF280" s="469">
        <f ca="1">IF($FN280+HF$244&gt;73,"",PRODUCT(INDEX($T$19:$T$93,HF$244):INDEX($T$19:$T$93,HF$244+$FN280-1)))</f>
        <v>0.95648389194549122</v>
      </c>
      <c r="HG280" s="469">
        <f ca="1">IF($FN280+HG$244&gt;73,"",PRODUCT(INDEX($T$19:$T$93,HG$244):INDEX($T$19:$T$93,HG$244+$FN280-1)))</f>
        <v>0.95175166285093227</v>
      </c>
      <c r="HH280" s="469">
        <f ca="1">IF($FN280+HH$244&gt;73,"",PRODUCT(INDEX($T$19:$T$93,HH$244):INDEX($T$19:$T$93,HH$244+$FN280-1)))</f>
        <v>0.94651718089273063</v>
      </c>
      <c r="HI280" s="469">
        <f ca="1">IF($FN280+HI$244&gt;73,"",PRODUCT(INDEX($T$19:$T$93,HI$244):INDEX($T$19:$T$93,HI$244+$FN280-1)))</f>
        <v>0.94072996390694508</v>
      </c>
      <c r="HJ280" s="469">
        <f ca="1">IF($FN280+HJ$244&gt;73,"",PRODUCT(INDEX($T$19:$T$93,HJ$244):INDEX($T$19:$T$93,HJ$244+$FN280-1)))</f>
        <v>0.93433510146495691</v>
      </c>
      <c r="HK280" s="469">
        <f ca="1">IF($FN280+HK$244&gt;73,"",PRODUCT(INDEX($T$19:$T$93,HK$244):INDEX($T$19:$T$93,HK$244+$FN280-1)))</f>
        <v>0.92727301721069122</v>
      </c>
      <c r="HL280" s="469">
        <f ca="1">IF($FN280+HL$244&gt;73,"",PRODUCT(INDEX($T$19:$T$93,HL$244):INDEX($T$19:$T$93,HL$244+$FN280-1)))</f>
        <v>0.91947925710394329</v>
      </c>
      <c r="HM280" s="469">
        <f ca="1">IF($FN280+HM$244&gt;73,"",PRODUCT(INDEX($T$19:$T$93,HM$244):INDEX($T$19:$T$93,HM$244+$FN280-1)))</f>
        <v>0.91088431641839851</v>
      </c>
      <c r="HN280" s="469">
        <f ca="1">IF($FN280+HN$244&gt;73,"",PRODUCT(INDEX($T$19:$T$93,HN$244):INDEX($T$19:$T$93,HN$244+$FN280-1)))</f>
        <v>0.90141352143076814</v>
      </c>
      <c r="HO280" s="469">
        <f ca="1">IF($FN280+HO$244&gt;73,"",PRODUCT(INDEX($T$19:$T$93,HO$244):INDEX($T$19:$T$93,HO$244+$FN280-1)))</f>
        <v>0.89098698537638288</v>
      </c>
      <c r="HP280" s="469">
        <f ca="1">IF($FN280+HP$244&gt;73,"",PRODUCT(INDEX($T$19:$T$93,HP$244):INDEX($T$19:$T$93,HP$244+$FN280-1)))</f>
        <v>0.87951966250662894</v>
      </c>
      <c r="HQ280" s="469">
        <f ca="1">IF($FN280+HQ$244&gt;73,"",PRODUCT(INDEX($T$19:$T$93,HQ$244):INDEX($T$19:$T$93,HQ$244+$FN280-1)))</f>
        <v>0.86692152903861952</v>
      </c>
      <c r="HR280" s="469">
        <f ca="1">IF($FN280+HR$244&gt;73,"",PRODUCT(INDEX($T$19:$T$93,HR$244):INDEX($T$19:$T$93,HR$244+$FN280-1)))</f>
        <v>0.85309792551636365</v>
      </c>
      <c r="HS280" s="469">
        <f ca="1">IF($FN280+HS$244&gt;73,"",PRODUCT(INDEX($T$19:$T$93,HS$244):INDEX($T$19:$T$93,HS$244+$FN280-1)))</f>
        <v>0.83795010168906958</v>
      </c>
      <c r="HT280" s="469">
        <f ca="1">IF($FN280+HT$244&gt;73,"",PRODUCT(INDEX($T$19:$T$93,HT$244):INDEX($T$19:$T$93,HT$244+$FN280-1)))</f>
        <v>0.8213760125466083</v>
      </c>
      <c r="HU280" s="469">
        <f ca="1">IF($FN280+HU$244&gt;73,"",PRODUCT(INDEX($T$19:$T$93,HU$244):INDEX($T$19:$T$93,HU$244+$FN280-1)))</f>
        <v>0.80327142273228735</v>
      </c>
      <c r="HV280" s="469">
        <f ca="1">IF($FN280+HV$244&gt;73,"",PRODUCT(INDEX($T$19:$T$93,HV$244):INDEX($T$19:$T$93,HV$244+$FN280-1)))</f>
        <v>0.78353138628390595</v>
      </c>
      <c r="HW280" s="469">
        <f ca="1">IF($FN280+HW$244&gt;73,"",PRODUCT(INDEX($T$19:$T$93,HW$244):INDEX($T$19:$T$93,HW$244+$FN280-1)))</f>
        <v>0.76205217964143823</v>
      </c>
      <c r="HX280" s="469">
        <f ca="1">IF($FN280+HX$244&gt;73,"",PRODUCT(INDEX($T$19:$T$93,HX$244):INDEX($T$19:$T$93,HX$244+$FN280-1)))</f>
        <v>0.73873377819158259</v>
      </c>
      <c r="HY280" s="469">
        <f ca="1">IF($FN280+HY$244&gt;73,"",PRODUCT(INDEX($T$19:$T$93,HY$244):INDEX($T$19:$T$93,HY$244+$FN280-1)))</f>
        <v>0.71348298031866819</v>
      </c>
      <c r="HZ280" s="469">
        <f ca="1">IF($FN280+HZ$244&gt;73,"",PRODUCT(INDEX($T$19:$T$93,HZ$244):INDEX($T$19:$T$93,HZ$244+$FN280-1)))</f>
        <v>0.68621729785428376</v>
      </c>
      <c r="IA280" s="469">
        <f ca="1">IF($FN280+IA$244&gt;73,"",PRODUCT(INDEX($T$19:$T$93,IA$244):INDEX($T$19:$T$93,IA$244+$FN280-1)))</f>
        <v>0.65686974745289817</v>
      </c>
      <c r="IB280" s="469">
        <f ca="1">IF($FN280+IB$244&gt;73,"",PRODUCT(INDEX($T$19:$T$93,IB$244):INDEX($T$19:$T$93,IB$244+$FN280-1)))</f>
        <v>0.62539469251327684</v>
      </c>
      <c r="IC280" s="469">
        <f ca="1">IF($FN280+IC$244&gt;73,"",PRODUCT(INDEX($T$19:$T$93,IC$244):INDEX($T$19:$T$93,IC$244+$FN280-1)))</f>
        <v>0.59177489715711729</v>
      </c>
      <c r="ID280" s="469">
        <f ca="1">IF($FN280+ID$244&gt;73,"",PRODUCT(INDEX($T$19:$T$93,ID$244):INDEX($T$19:$T$93,ID$244+$FN280-1)))</f>
        <v>0.55602995729112814</v>
      </c>
      <c r="IE280" s="469">
        <f ca="1">IF($FN280+IE$244&gt;73,"",PRODUCT(INDEX($T$19:$T$93,IE$244):INDEX($T$19:$T$93,IE$244+$FN280-1)))</f>
        <v>0.51822625944218159</v>
      </c>
      <c r="IF280" s="469">
        <f ca="1">IF($FN280+IF$244&gt;73,"",PRODUCT(INDEX($T$19:$T$93,IF$244):INDEX($T$19:$T$93,IF$244+$FN280-1)))</f>
        <v>0.47848856939812828</v>
      </c>
      <c r="IG280" s="469">
        <f ca="1">IF($FN280+IG$244&gt;73,"",PRODUCT(INDEX($T$19:$T$93,IG$244):INDEX($T$19:$T$93,IG$244+$FN280-1)))</f>
        <v>0.43701324245403544</v>
      </c>
      <c r="IH280" s="662">
        <f ca="1">IF($FN280+IH$244&gt;73,"",PRODUCT(INDEX($T$19:$T$93,IH$244):INDEX($T$19:$T$93,IH$244+$FN280-1)))</f>
        <v>0.39408283244022252</v>
      </c>
      <c r="II280" s="242"/>
    </row>
    <row r="281" spans="9:243">
      <c r="I281" s="132"/>
      <c r="J281" s="365"/>
      <c r="K281" s="133"/>
      <c r="L281" s="1"/>
      <c r="M281" s="366"/>
      <c r="P281" s="365"/>
      <c r="S281" s="53"/>
      <c r="T281" s="365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364">
        <v>6.486001707164539E-2</v>
      </c>
      <c r="AP281" s="1"/>
      <c r="AQ281" s="364">
        <v>5.8908330725878401E-2</v>
      </c>
      <c r="AR281" s="1"/>
      <c r="AS281" s="1"/>
      <c r="AT281" s="103"/>
      <c r="AU281" s="103"/>
      <c r="AV281" s="103"/>
      <c r="AW281" s="31"/>
      <c r="AX281" s="31"/>
      <c r="AY281" s="31"/>
      <c r="AZ281" s="31"/>
      <c r="BA281" s="146"/>
      <c r="BB281" s="146"/>
      <c r="BC281" s="103"/>
      <c r="BD281" s="103"/>
      <c r="BE281" s="103"/>
      <c r="BF281" s="104"/>
      <c r="BG281" s="104"/>
      <c r="BH281" s="104"/>
      <c r="BI281" s="102"/>
      <c r="BJ281" s="104"/>
      <c r="BK281" s="104"/>
      <c r="BL281" s="103"/>
      <c r="BM281" s="103"/>
      <c r="BN281" s="103"/>
      <c r="BO281" s="103"/>
      <c r="BP281" s="103"/>
      <c r="BQ281" s="103"/>
      <c r="BR281" s="103"/>
      <c r="BS281" s="103"/>
      <c r="BT281" s="103"/>
      <c r="BU281" s="103"/>
      <c r="BV281" s="103"/>
      <c r="BW281" s="103"/>
      <c r="BX281" s="103"/>
      <c r="BY281" s="103"/>
      <c r="BZ281" s="103"/>
      <c r="CA281" s="103"/>
      <c r="CB281" s="104"/>
      <c r="CC281" s="104"/>
      <c r="CD281" s="104"/>
      <c r="CE281" s="104"/>
      <c r="CF281" s="104"/>
      <c r="CG281" s="104"/>
      <c r="CH281" s="103"/>
      <c r="CI281" s="103"/>
      <c r="CJ281" s="103"/>
      <c r="CK281" s="103"/>
      <c r="CL281" s="103"/>
      <c r="CM281" s="103"/>
      <c r="CN281" s="103"/>
      <c r="CO281" s="103"/>
      <c r="CP281" s="103"/>
      <c r="CQ281" s="103"/>
      <c r="CR281" s="103"/>
      <c r="CS281" s="103"/>
      <c r="CT281" s="103"/>
      <c r="CU281" s="103"/>
      <c r="CV281" s="103"/>
      <c r="CW281" s="103"/>
      <c r="CX281" s="103"/>
      <c r="CY281" s="103"/>
      <c r="CZ281" s="103"/>
      <c r="DA281" s="103"/>
      <c r="DB281" s="103"/>
      <c r="DC281" s="103"/>
      <c r="DD281" s="103"/>
      <c r="DE281" s="103"/>
      <c r="DF281" s="465"/>
      <c r="DG281" s="107"/>
      <c r="DH281" s="107"/>
      <c r="DI281" s="465"/>
      <c r="DJ281" s="51"/>
      <c r="DK281" s="52"/>
      <c r="DL281" s="52"/>
      <c r="DM281" s="52"/>
      <c r="DN281" s="52"/>
      <c r="DO281" s="52"/>
      <c r="DP281" s="52"/>
      <c r="DQ281" s="52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P281" s="53"/>
      <c r="EQ281" s="1"/>
      <c r="ER281" s="103"/>
      <c r="ES281" s="102"/>
      <c r="ET281" s="1"/>
      <c r="EU281" s="103"/>
      <c r="EV281" s="1"/>
      <c r="EW281" s="1"/>
      <c r="EX281" s="1"/>
      <c r="EY281" s="104"/>
      <c r="FN281" s="657">
        <v>37</v>
      </c>
      <c r="FO281" s="469" t="str">
        <f ca="1">IF($FN281+FO$244&gt;73,"",PRODUCT(INDEX($T$19:$T$93,FO$244):INDEX($T$19:$T$93,FO$244+$FN281-1)))</f>
        <v/>
      </c>
      <c r="FP281" s="469" t="str">
        <f ca="1">IF($FN281+FP$244&gt;73,"",PRODUCT(INDEX($T$19:$T$93,FP$244):INDEX($T$19:$T$93,FP$244+$FN281-1)))</f>
        <v/>
      </c>
      <c r="FQ281" s="469" t="str">
        <f ca="1">IF($FN281+FQ$244&gt;73,"",PRODUCT(INDEX($T$19:$T$93,FQ$244):INDEX($T$19:$T$93,FQ$244+$FN281-1)))</f>
        <v/>
      </c>
      <c r="FR281" s="469" t="str">
        <f ca="1">IF($FN281+FR$244&gt;73,"",PRODUCT(INDEX($T$19:$T$93,FR$244):INDEX($T$19:$T$93,FR$244+$FN281-1)))</f>
        <v/>
      </c>
      <c r="FS281" s="469" t="str">
        <f ca="1">IF($FN281+FS$244&gt;73,"",PRODUCT(INDEX($T$19:$T$93,FS$244):INDEX($T$19:$T$93,FS$244+$FN281-1)))</f>
        <v/>
      </c>
      <c r="FT281" s="469" t="str">
        <f ca="1">IF($FN281+FT$244&gt;73,"",PRODUCT(INDEX($T$19:$T$93,FT$244):INDEX($T$19:$T$93,FT$244+$FN281-1)))</f>
        <v/>
      </c>
      <c r="FU281" s="469" t="str">
        <f ca="1">IF($FN281+FU$244&gt;73,"",PRODUCT(INDEX($T$19:$T$93,FU$244):INDEX($T$19:$T$93,FU$244+$FN281-1)))</f>
        <v/>
      </c>
      <c r="FV281" s="469" t="str">
        <f ca="1">IF($FN281+FV$244&gt;73,"",PRODUCT(INDEX($T$19:$T$93,FV$244):INDEX($T$19:$T$93,FV$244+$FN281-1)))</f>
        <v/>
      </c>
      <c r="FW281" s="469" t="str">
        <f ca="1">IF($FN281+FW$244&gt;73,"",PRODUCT(INDEX($T$19:$T$93,FW$244):INDEX($T$19:$T$93,FW$244+$FN281-1)))</f>
        <v/>
      </c>
      <c r="FX281" s="469" t="str">
        <f ca="1">IF($FN281+FX$244&gt;73,"",PRODUCT(INDEX($T$19:$T$93,FX$244):INDEX($T$19:$T$93,FX$244+$FN281-1)))</f>
        <v/>
      </c>
      <c r="FY281" s="469" t="str">
        <f ca="1">IF($FN281+FY$244&gt;73,"",PRODUCT(INDEX($T$19:$T$93,FY$244):INDEX($T$19:$T$93,FY$244+$FN281-1)))</f>
        <v/>
      </c>
      <c r="FZ281" s="469" t="str">
        <f ca="1">IF($FN281+FZ$244&gt;73,"",PRODUCT(INDEX($T$19:$T$93,FZ$244):INDEX($T$19:$T$93,FZ$244+$FN281-1)))</f>
        <v/>
      </c>
      <c r="GA281" s="469" t="str">
        <f ca="1">IF($FN281+GA$244&gt;73,"",PRODUCT(INDEX($T$19:$T$93,GA$244):INDEX($T$19:$T$93,GA$244+$FN281-1)))</f>
        <v/>
      </c>
      <c r="GB281" s="469" t="str">
        <f ca="1">IF($FN281+GB$244&gt;73,"",PRODUCT(INDEX($T$19:$T$93,GB$244):INDEX($T$19:$T$93,GB$244+$FN281-1)))</f>
        <v/>
      </c>
      <c r="GC281" s="469" t="str">
        <f ca="1">IF($FN281+GC$244&gt;73,"",PRODUCT(INDEX($T$19:$T$93,GC$244):INDEX($T$19:$T$93,GC$244+$FN281-1)))</f>
        <v/>
      </c>
      <c r="GD281" s="469" t="str">
        <f ca="1">IF($FN281+GD$244&gt;73,"",PRODUCT(INDEX($T$19:$T$93,GD$244):INDEX($T$19:$T$93,GD$244+$FN281-1)))</f>
        <v/>
      </c>
      <c r="GE281" s="469" t="str">
        <f ca="1">IF($FN281+GE$244&gt;73,"",PRODUCT(INDEX($T$19:$T$93,GE$244):INDEX($T$19:$T$93,GE$244+$FN281-1)))</f>
        <v/>
      </c>
      <c r="GF281" s="469" t="str">
        <f ca="1">IF($FN281+GF$244&gt;73,"",PRODUCT(INDEX($T$19:$T$93,GF$244):INDEX($T$19:$T$93,GF$244+$FN281-1)))</f>
        <v/>
      </c>
      <c r="GG281" s="469" t="str">
        <f ca="1">IF($FN281+GG$244&gt;73,"",PRODUCT(INDEX($T$19:$T$93,GG$244):INDEX($T$19:$T$93,GG$244+$FN281-1)))</f>
        <v/>
      </c>
      <c r="GH281" s="469" t="str">
        <f ca="1">IF($FN281+GH$244&gt;73,"",PRODUCT(INDEX($T$19:$T$93,GH$244):INDEX($T$19:$T$93,GH$244+$FN281-1)))</f>
        <v/>
      </c>
      <c r="GI281" s="469" t="str">
        <f ca="1">IF($FN281+GI$244&gt;73,"",PRODUCT(INDEX($T$19:$T$93,GI$244):INDEX($T$19:$T$93,GI$244+$FN281-1)))</f>
        <v/>
      </c>
      <c r="GJ281" s="469" t="str">
        <f ca="1">IF($FN281+GJ$244&gt;73,"",PRODUCT(INDEX($T$19:$T$93,GJ$244):INDEX($T$19:$T$93,GJ$244+$FN281-1)))</f>
        <v/>
      </c>
      <c r="GK281" s="469" t="str">
        <f ca="1">IF($FN281+GK$244&gt;73,"",PRODUCT(INDEX($T$19:$T$93,GK$244):INDEX($T$19:$T$93,GK$244+$FN281-1)))</f>
        <v/>
      </c>
      <c r="GL281" s="469" t="str">
        <f ca="1">IF($FN281+GL$244&gt;73,"",PRODUCT(INDEX($T$19:$T$93,GL$244):INDEX($T$19:$T$93,GL$244+$FN281-1)))</f>
        <v/>
      </c>
      <c r="GM281" s="469" t="str">
        <f ca="1">IF($FN281+GM$244&gt;73,"",PRODUCT(INDEX($T$19:$T$93,GM$244):INDEX($T$19:$T$93,GM$244+$FN281-1)))</f>
        <v/>
      </c>
      <c r="GN281" s="469" t="str">
        <f ca="1">IF($FN281+GN$244&gt;73,"",PRODUCT(INDEX($T$19:$T$93,GN$244):INDEX($T$19:$T$93,GN$244+$FN281-1)))</f>
        <v/>
      </c>
      <c r="GO281" s="469" t="str">
        <f ca="1">IF($FN281+GO$244&gt;73,"",PRODUCT(INDEX($T$19:$T$93,GO$244):INDEX($T$19:$T$93,GO$244+$FN281-1)))</f>
        <v/>
      </c>
      <c r="GP281" s="469" t="str">
        <f ca="1">IF($FN281+GP$244&gt;73,"",PRODUCT(INDEX($T$19:$T$93,GP$244):INDEX($T$19:$T$93,GP$244+$FN281-1)))</f>
        <v/>
      </c>
      <c r="GQ281" s="469" t="str">
        <f ca="1">IF($FN281+GQ$244&gt;73,"",PRODUCT(INDEX($T$19:$T$93,GQ$244):INDEX($T$19:$T$93,GQ$244+$FN281-1)))</f>
        <v/>
      </c>
      <c r="GR281" s="469" t="str">
        <f ca="1">IF($FN281+GR$244&gt;73,"",PRODUCT(INDEX($T$19:$T$93,GR$244):INDEX($T$19:$T$93,GR$244+$FN281-1)))</f>
        <v/>
      </c>
      <c r="GS281" s="469" t="str">
        <f ca="1">IF($FN281+GS$244&gt;73,"",PRODUCT(INDEX($T$19:$T$93,GS$244):INDEX($T$19:$T$93,GS$244+$FN281-1)))</f>
        <v/>
      </c>
      <c r="GT281" s="469" t="str">
        <f ca="1">IF($FN281+GT$244&gt;73,"",PRODUCT(INDEX($T$19:$T$93,GT$244):INDEX($T$19:$T$93,GT$244+$FN281-1)))</f>
        <v/>
      </c>
      <c r="GU281" s="469" t="str">
        <f ca="1">IF($FN281+GU$244&gt;73,"",PRODUCT(INDEX($T$19:$T$93,GU$244):INDEX($T$19:$T$93,GU$244+$FN281-1)))</f>
        <v/>
      </c>
      <c r="GV281" s="469" t="str">
        <f ca="1">IF($FN281+GV$244&gt;73,"",PRODUCT(INDEX($T$19:$T$93,GV$244):INDEX($T$19:$T$93,GV$244+$FN281-1)))</f>
        <v/>
      </c>
      <c r="GW281" s="469" t="str">
        <f ca="1">IF($FN281+GW$244&gt;73,"",PRODUCT(INDEX($T$19:$T$93,GW$244):INDEX($T$19:$T$93,GW$244+$FN281-1)))</f>
        <v/>
      </c>
      <c r="GX281" s="469" t="str">
        <f ca="1">IF($FN281+GX$244&gt;73,"",PRODUCT(INDEX($T$19:$T$93,GX$244):INDEX($T$19:$T$93,GX$244+$FN281-1)))</f>
        <v/>
      </c>
      <c r="GY281" s="469">
        <f ca="1">IF($FN281+GY$244&gt;73,"",PRODUCT(INDEX($T$19:$T$93,GY$244):INDEX($T$19:$T$93,GY$244+$FN281-1)))</f>
        <v>0.97892780440248472</v>
      </c>
      <c r="GZ281" s="469">
        <f ca="1">IF($FN281+GZ$244&gt;73,"",PRODUCT(INDEX($T$19:$T$93,GZ$244):INDEX($T$19:$T$93,GZ$244+$FN281-1)))</f>
        <v>0.97661066120009543</v>
      </c>
      <c r="HA281" s="469">
        <f ca="1">IF($FN281+HA$244&gt;73,"",PRODUCT(INDEX($T$19:$T$93,HA$244):INDEX($T$19:$T$93,HA$244+$FN281-1)))</f>
        <v>0.97404166319621155</v>
      </c>
      <c r="HB281" s="469">
        <f ca="1">IF($FN281+HB$244&gt;73,"",PRODUCT(INDEX($T$19:$T$93,HB$244):INDEX($T$19:$T$93,HB$244+$FN281-1)))</f>
        <v>0.97119411582878779</v>
      </c>
      <c r="HC281" s="469">
        <f ca="1">IF($FN281+HC$244&gt;73,"",PRODUCT(INDEX($T$19:$T$93,HC$244):INDEX($T$19:$T$93,HC$244+$FN281-1)))</f>
        <v>0.96803865207113216</v>
      </c>
      <c r="HD281" s="469">
        <f ca="1">IF($FN281+HD$244&gt;73,"",PRODUCT(INDEX($T$19:$T$93,HD$244):INDEX($T$19:$T$93,HD$244+$FN281-1)))</f>
        <v>0.96454300133171222</v>
      </c>
      <c r="HE281" s="469">
        <f ca="1">IF($FN281+HE$244&gt;73,"",PRODUCT(INDEX($T$19:$T$93,HE$244):INDEX($T$19:$T$93,HE$244+$FN281-1)))</f>
        <v>0.96067174709309566</v>
      </c>
      <c r="HF281" s="469">
        <f ca="1">IF($FN281+HF$244&gt;73,"",PRODUCT(INDEX($T$19:$T$93,HF$244):INDEX($T$19:$T$93,HF$244+$FN281-1)))</f>
        <v>0.95638607507801532</v>
      </c>
      <c r="HG281" s="469">
        <f ca="1">IF($FN281+HG$244&gt;73,"",PRODUCT(INDEX($T$19:$T$93,HG$244):INDEX($T$19:$T$93,HG$244+$FN281-1)))</f>
        <v>0.95164351453067997</v>
      </c>
      <c r="HH281" s="469">
        <f ca="1">IF($FN281+HH$244&gt;73,"",PRODUCT(INDEX($T$19:$T$93,HH$244):INDEX($T$19:$T$93,HH$244+$FN281-1)))</f>
        <v>0.94639767619684267</v>
      </c>
      <c r="HI281" s="469">
        <f ca="1">IF($FN281+HI$244&gt;73,"",PRODUCT(INDEX($T$19:$T$93,HI$244):INDEX($T$19:$T$93,HI$244+$FN281-1)))</f>
        <v>0.94059799181303494</v>
      </c>
      <c r="HJ281" s="469">
        <f ca="1">IF($FN281+HJ$244&gt;73,"",PRODUCT(INDEX($T$19:$T$93,HJ$244):INDEX($T$19:$T$93,HJ$244+$FN281-1)))</f>
        <v>0.93418946141511139</v>
      </c>
      <c r="HK281" s="469">
        <f ca="1">IF($FN281+HK$244&gt;73,"",PRODUCT(INDEX($T$19:$T$93,HK$244):INDEX($T$19:$T$93,HK$244+$FN281-1)))</f>
        <v>0.92711241659491317</v>
      </c>
      <c r="HL281" s="469">
        <f ca="1">IF($FN281+HL$244&gt;73,"",PRODUCT(INDEX($T$19:$T$93,HL$244):INDEX($T$19:$T$93,HL$244+$FN281-1)))</f>
        <v>0.91930231002270335</v>
      </c>
      <c r="HM281" s="469">
        <f ca="1">IF($FN281+HM$244&gt;73,"",PRODUCT(INDEX($T$19:$T$93,HM$244):INDEX($T$19:$T$93,HM$244+$FN281-1)))</f>
        <v>0.91068954416806691</v>
      </c>
      <c r="HN281" s="469">
        <f ca="1">IF($FN281+HN$244&gt;73,"",PRODUCT(INDEX($T$19:$T$93,HN$244):INDEX($T$19:$T$93,HN$244+$FN281-1)))</f>
        <v>0.90119935525411377</v>
      </c>
      <c r="HO281" s="469">
        <f ca="1">IF($FN281+HO$244&gt;73,"",PRODUCT(INDEX($T$19:$T$93,HO$244):INDEX($T$19:$T$93,HO$244+$FN281-1)))</f>
        <v>0.89075177213412648</v>
      </c>
      <c r="HP281" s="469">
        <f ca="1">IF($FN281+HP$244&gt;73,"",PRODUCT(INDEX($T$19:$T$93,HP$244):INDEX($T$19:$T$93,HP$244+$FN281-1)))</f>
        <v>0.87926167405573863</v>
      </c>
      <c r="HQ281" s="469">
        <f ca="1">IF($FN281+HQ$244&gt;73,"",PRODUCT(INDEX($T$19:$T$93,HQ$244):INDEX($T$19:$T$93,HQ$244+$FN281-1)))</f>
        <v>0.8666389762483222</v>
      </c>
      <c r="HR281" s="469">
        <f ca="1">IF($FN281+HR$244&gt;73,"",PRODUCT(INDEX($T$19:$T$93,HR$244):INDEX($T$19:$T$93,HR$244+$FN281-1)))</f>
        <v>0.85278897801200859</v>
      </c>
      <c r="HS281" s="469">
        <f ca="1">IF($FN281+HS$244&gt;73,"",PRODUCT(INDEX($T$19:$T$93,HS$244):INDEX($T$19:$T$93,HS$244+$FN281-1)))</f>
        <v>0.83761291458329235</v>
      </c>
      <c r="HT281" s="469">
        <f ca="1">IF($FN281+HT$244&gt;73,"",PRODUCT(INDEX($T$19:$T$93,HT$244):INDEX($T$19:$T$93,HT$244+$FN281-1)))</f>
        <v>0.82100876158997582</v>
      </c>
      <c r="HU281" s="469">
        <f ca="1">IF($FN281+HU$244&gt;73,"",PRODUCT(INDEX($T$19:$T$93,HU$244):INDEX($T$19:$T$93,HU$244+$FN281-1)))</f>
        <v>0.80287234948077246</v>
      </c>
      <c r="HV281" s="469">
        <f ca="1">IF($FN281+HV$244&gt;73,"",PRODUCT(INDEX($T$19:$T$93,HV$244):INDEX($T$19:$T$93,HV$244+$FN281-1)))</f>
        <v>0.78309885502116183</v>
      </c>
      <c r="HW281" s="469">
        <f ca="1">IF($FN281+HW$244&gt;73,"",PRODUCT(INDEX($T$19:$T$93,HW$244):INDEX($T$19:$T$93,HW$244+$FN281-1)))</f>
        <v>0.76158474788463848</v>
      </c>
      <c r="HX281" s="469">
        <f ca="1">IF($FN281+HX$244&gt;73,"",PRODUCT(INDEX($T$19:$T$93,HX$244):INDEX($T$19:$T$93,HX$244+$FN281-1)))</f>
        <v>0.73823028261391721</v>
      </c>
      <c r="HY281" s="469">
        <f ca="1">IF($FN281+HY$244&gt;73,"",PRODUCT(INDEX($T$19:$T$93,HY$244):INDEX($T$19:$T$93,HY$244+$FN281-1)))</f>
        <v>0.71294263978745409</v>
      </c>
      <c r="HZ281" s="469">
        <f ca="1">IF($FN281+HZ$244&gt;73,"",PRODUCT(INDEX($T$19:$T$93,HZ$244):INDEX($T$19:$T$93,HZ$244+$FN281-1)))</f>
        <v>0.68563983493860947</v>
      </c>
      <c r="IA281" s="469">
        <f ca="1">IF($FN281+IA$244&gt;73,"",PRODUCT(INDEX($T$19:$T$93,IA$244):INDEX($T$19:$T$93,IA$244+$FN281-1)))</f>
        <v>0.65625552909956819</v>
      </c>
      <c r="IB281" s="469">
        <f ca="1">IF($FN281+IB$244&gt;73,"",PRODUCT(INDEX($T$19:$T$93,IB$244):INDEX($T$19:$T$93,IB$244+$FN281-1)))</f>
        <v>0.62474488949117923</v>
      </c>
      <c r="IC281" s="469">
        <f ca="1">IF($FN281+IC$244&gt;73,"",PRODUCT(INDEX($T$19:$T$93,IC$244):INDEX($T$19:$T$93,IC$244+$FN281-1)))</f>
        <v>0.59109166015278547</v>
      </c>
      <c r="ID281" s="469">
        <f ca="1">IF($FN281+ID$244&gt;73,"",PRODUCT(INDEX($T$19:$T$93,ID$244):INDEX($T$19:$T$93,ID$244+$FN281-1)))</f>
        <v>0.55531660497896584</v>
      </c>
      <c r="IE281" s="469">
        <f ca="1">IF($FN281+IE$244&gt;73,"",PRODUCT(INDEX($T$19:$T$93,IE$244):INDEX($T$19:$T$93,IE$244+$FN281-1)))</f>
        <v>0.51748747018014041</v>
      </c>
      <c r="IF281" s="469">
        <f ca="1">IF($FN281+IF$244&gt;73,"",PRODUCT(INDEX($T$19:$T$93,IF$244):INDEX($T$19:$T$93,IF$244+$FN281-1)))</f>
        <v>0.47773056310816614</v>
      </c>
      <c r="IG281" s="469">
        <f ca="1">IF($FN281+IG$244&gt;73,"",PRODUCT(INDEX($T$19:$T$93,IG$244):INDEX($T$19:$T$93,IG$244+$FN281-1)))</f>
        <v>0.43624393244178922</v>
      </c>
      <c r="IH281" s="662">
        <f ca="1">IF($FN281+IH$244&gt;73,"",PRODUCT(INDEX($T$19:$T$93,IH$244):INDEX($T$19:$T$93,IH$244+$FN281-1)))</f>
        <v>0.39331191820863209</v>
      </c>
      <c r="II281" s="242"/>
    </row>
    <row r="282" spans="9:243">
      <c r="I282" s="132"/>
      <c r="J282" s="365"/>
      <c r="K282" s="133"/>
      <c r="L282" s="1"/>
      <c r="M282" s="366"/>
      <c r="P282" s="365"/>
      <c r="S282" s="53"/>
      <c r="T282" s="365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364">
        <v>6.4869634417129798E-2</v>
      </c>
      <c r="AP282" s="1"/>
      <c r="AQ282" s="364">
        <v>5.8872896454083001E-2</v>
      </c>
      <c r="AR282" s="1"/>
      <c r="AS282" s="1"/>
      <c r="AT282" s="103"/>
      <c r="AU282" s="103"/>
      <c r="AV282" s="103"/>
      <c r="AW282" s="31"/>
      <c r="AX282" s="31"/>
      <c r="AY282" s="31"/>
      <c r="AZ282" s="31"/>
      <c r="BA282" s="146"/>
      <c r="BB282" s="146"/>
      <c r="BC282" s="103"/>
      <c r="BD282" s="103"/>
      <c r="BE282" s="103"/>
      <c r="BF282" s="104"/>
      <c r="BG282" s="104"/>
      <c r="BH282" s="104"/>
      <c r="BI282" s="102"/>
      <c r="BJ282" s="104"/>
      <c r="BK282" s="104"/>
      <c r="BL282" s="103"/>
      <c r="BM282" s="103"/>
      <c r="BN282" s="103"/>
      <c r="BO282" s="103"/>
      <c r="BP282" s="103"/>
      <c r="BQ282" s="103"/>
      <c r="BR282" s="103"/>
      <c r="BS282" s="103"/>
      <c r="BT282" s="103"/>
      <c r="BU282" s="103"/>
      <c r="BV282" s="103"/>
      <c r="BW282" s="103"/>
      <c r="BX282" s="103"/>
      <c r="BY282" s="103"/>
      <c r="BZ282" s="103"/>
      <c r="CA282" s="103"/>
      <c r="CB282" s="104"/>
      <c r="CC282" s="104"/>
      <c r="CD282" s="104"/>
      <c r="CE282" s="104"/>
      <c r="CF282" s="104"/>
      <c r="CG282" s="104"/>
      <c r="CH282" s="103"/>
      <c r="CI282" s="103"/>
      <c r="CJ282" s="103"/>
      <c r="CK282" s="103"/>
      <c r="CL282" s="103"/>
      <c r="CM282" s="103"/>
      <c r="CN282" s="103"/>
      <c r="CO282" s="103"/>
      <c r="CP282" s="103"/>
      <c r="CQ282" s="103"/>
      <c r="CR282" s="103"/>
      <c r="CS282" s="103"/>
      <c r="CT282" s="103"/>
      <c r="CU282" s="103"/>
      <c r="CV282" s="103"/>
      <c r="CW282" s="103"/>
      <c r="CX282" s="103"/>
      <c r="CY282" s="103"/>
      <c r="CZ282" s="103"/>
      <c r="DA282" s="103"/>
      <c r="DB282" s="103"/>
      <c r="DC282" s="103"/>
      <c r="DD282" s="103"/>
      <c r="DE282" s="103"/>
      <c r="DF282" s="465"/>
      <c r="DG282" s="107"/>
      <c r="DH282" s="107"/>
      <c r="DI282" s="465"/>
      <c r="DJ282" s="51"/>
      <c r="DK282" s="52"/>
      <c r="DL282" s="52"/>
      <c r="DM282" s="52"/>
      <c r="DN282" s="52"/>
      <c r="DO282" s="52"/>
      <c r="DP282" s="52"/>
      <c r="DQ282" s="52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P282" s="53"/>
      <c r="EQ282" s="1"/>
      <c r="ER282" s="103"/>
      <c r="ES282" s="102"/>
      <c r="ET282" s="1"/>
      <c r="EU282" s="103"/>
      <c r="EV282" s="1"/>
      <c r="EW282" s="1"/>
      <c r="EX282" s="1"/>
      <c r="EY282" s="104"/>
      <c r="FN282" s="657">
        <v>38</v>
      </c>
      <c r="FO282" s="469" t="str">
        <f ca="1">IF($FN282+FO$244&gt;73,"",PRODUCT(INDEX($T$19:$T$93,FO$244):INDEX($T$19:$T$93,FO$244+$FN282-1)))</f>
        <v/>
      </c>
      <c r="FP282" s="469" t="str">
        <f ca="1">IF($FN282+FP$244&gt;73,"",PRODUCT(INDEX($T$19:$T$93,FP$244):INDEX($T$19:$T$93,FP$244+$FN282-1)))</f>
        <v/>
      </c>
      <c r="FQ282" s="469" t="str">
        <f ca="1">IF($FN282+FQ$244&gt;73,"",PRODUCT(INDEX($T$19:$T$93,FQ$244):INDEX($T$19:$T$93,FQ$244+$FN282-1)))</f>
        <v/>
      </c>
      <c r="FR282" s="469" t="str">
        <f ca="1">IF($FN282+FR$244&gt;73,"",PRODUCT(INDEX($T$19:$T$93,FR$244):INDEX($T$19:$T$93,FR$244+$FN282-1)))</f>
        <v/>
      </c>
      <c r="FS282" s="469" t="str">
        <f ca="1">IF($FN282+FS$244&gt;73,"",PRODUCT(INDEX($T$19:$T$93,FS$244):INDEX($T$19:$T$93,FS$244+$FN282-1)))</f>
        <v/>
      </c>
      <c r="FT282" s="469" t="str">
        <f ca="1">IF($FN282+FT$244&gt;73,"",PRODUCT(INDEX($T$19:$T$93,FT$244):INDEX($T$19:$T$93,FT$244+$FN282-1)))</f>
        <v/>
      </c>
      <c r="FU282" s="469" t="str">
        <f ca="1">IF($FN282+FU$244&gt;73,"",PRODUCT(INDEX($T$19:$T$93,FU$244):INDEX($T$19:$T$93,FU$244+$FN282-1)))</f>
        <v/>
      </c>
      <c r="FV282" s="469" t="str">
        <f ca="1">IF($FN282+FV$244&gt;73,"",PRODUCT(INDEX($T$19:$T$93,FV$244):INDEX($T$19:$T$93,FV$244+$FN282-1)))</f>
        <v/>
      </c>
      <c r="FW282" s="469" t="str">
        <f ca="1">IF($FN282+FW$244&gt;73,"",PRODUCT(INDEX($T$19:$T$93,FW$244):INDEX($T$19:$T$93,FW$244+$FN282-1)))</f>
        <v/>
      </c>
      <c r="FX282" s="469" t="str">
        <f ca="1">IF($FN282+FX$244&gt;73,"",PRODUCT(INDEX($T$19:$T$93,FX$244):INDEX($T$19:$T$93,FX$244+$FN282-1)))</f>
        <v/>
      </c>
      <c r="FY282" s="469" t="str">
        <f ca="1">IF($FN282+FY$244&gt;73,"",PRODUCT(INDEX($T$19:$T$93,FY$244):INDEX($T$19:$T$93,FY$244+$FN282-1)))</f>
        <v/>
      </c>
      <c r="FZ282" s="469" t="str">
        <f ca="1">IF($FN282+FZ$244&gt;73,"",PRODUCT(INDEX($T$19:$T$93,FZ$244):INDEX($T$19:$T$93,FZ$244+$FN282-1)))</f>
        <v/>
      </c>
      <c r="GA282" s="469" t="str">
        <f ca="1">IF($FN282+GA$244&gt;73,"",PRODUCT(INDEX($T$19:$T$93,GA$244):INDEX($T$19:$T$93,GA$244+$FN282-1)))</f>
        <v/>
      </c>
      <c r="GB282" s="469" t="str">
        <f ca="1">IF($FN282+GB$244&gt;73,"",PRODUCT(INDEX($T$19:$T$93,GB$244):INDEX($T$19:$T$93,GB$244+$FN282-1)))</f>
        <v/>
      </c>
      <c r="GC282" s="469" t="str">
        <f ca="1">IF($FN282+GC$244&gt;73,"",PRODUCT(INDEX($T$19:$T$93,GC$244):INDEX($T$19:$T$93,GC$244+$FN282-1)))</f>
        <v/>
      </c>
      <c r="GD282" s="469" t="str">
        <f ca="1">IF($FN282+GD$244&gt;73,"",PRODUCT(INDEX($T$19:$T$93,GD$244):INDEX($T$19:$T$93,GD$244+$FN282-1)))</f>
        <v/>
      </c>
      <c r="GE282" s="469" t="str">
        <f ca="1">IF($FN282+GE$244&gt;73,"",PRODUCT(INDEX($T$19:$T$93,GE$244):INDEX($T$19:$T$93,GE$244+$FN282-1)))</f>
        <v/>
      </c>
      <c r="GF282" s="469" t="str">
        <f ca="1">IF($FN282+GF$244&gt;73,"",PRODUCT(INDEX($T$19:$T$93,GF$244):INDEX($T$19:$T$93,GF$244+$FN282-1)))</f>
        <v/>
      </c>
      <c r="GG282" s="469" t="str">
        <f ca="1">IF($FN282+GG$244&gt;73,"",PRODUCT(INDEX($T$19:$T$93,GG$244):INDEX($T$19:$T$93,GG$244+$FN282-1)))</f>
        <v/>
      </c>
      <c r="GH282" s="469" t="str">
        <f ca="1">IF($FN282+GH$244&gt;73,"",PRODUCT(INDEX($T$19:$T$93,GH$244):INDEX($T$19:$T$93,GH$244+$FN282-1)))</f>
        <v/>
      </c>
      <c r="GI282" s="469" t="str">
        <f ca="1">IF($FN282+GI$244&gt;73,"",PRODUCT(INDEX($T$19:$T$93,GI$244):INDEX($T$19:$T$93,GI$244+$FN282-1)))</f>
        <v/>
      </c>
      <c r="GJ282" s="469" t="str">
        <f ca="1">IF($FN282+GJ$244&gt;73,"",PRODUCT(INDEX($T$19:$T$93,GJ$244):INDEX($T$19:$T$93,GJ$244+$FN282-1)))</f>
        <v/>
      </c>
      <c r="GK282" s="469" t="str">
        <f ca="1">IF($FN282+GK$244&gt;73,"",PRODUCT(INDEX($T$19:$T$93,GK$244):INDEX($T$19:$T$93,GK$244+$FN282-1)))</f>
        <v/>
      </c>
      <c r="GL282" s="469" t="str">
        <f ca="1">IF($FN282+GL$244&gt;73,"",PRODUCT(INDEX($T$19:$T$93,GL$244):INDEX($T$19:$T$93,GL$244+$FN282-1)))</f>
        <v/>
      </c>
      <c r="GM282" s="469" t="str">
        <f ca="1">IF($FN282+GM$244&gt;73,"",PRODUCT(INDEX($T$19:$T$93,GM$244):INDEX($T$19:$T$93,GM$244+$FN282-1)))</f>
        <v/>
      </c>
      <c r="GN282" s="469" t="str">
        <f ca="1">IF($FN282+GN$244&gt;73,"",PRODUCT(INDEX($T$19:$T$93,GN$244):INDEX($T$19:$T$93,GN$244+$FN282-1)))</f>
        <v/>
      </c>
      <c r="GO282" s="469" t="str">
        <f ca="1">IF($FN282+GO$244&gt;73,"",PRODUCT(INDEX($T$19:$T$93,GO$244):INDEX($T$19:$T$93,GO$244+$FN282-1)))</f>
        <v/>
      </c>
      <c r="GP282" s="469" t="str">
        <f ca="1">IF($FN282+GP$244&gt;73,"",PRODUCT(INDEX($T$19:$T$93,GP$244):INDEX($T$19:$T$93,GP$244+$FN282-1)))</f>
        <v/>
      </c>
      <c r="GQ282" s="469" t="str">
        <f ca="1">IF($FN282+GQ$244&gt;73,"",PRODUCT(INDEX($T$19:$T$93,GQ$244):INDEX($T$19:$T$93,GQ$244+$FN282-1)))</f>
        <v/>
      </c>
      <c r="GR282" s="469" t="str">
        <f ca="1">IF($FN282+GR$244&gt;73,"",PRODUCT(INDEX($T$19:$T$93,GR$244):INDEX($T$19:$T$93,GR$244+$FN282-1)))</f>
        <v/>
      </c>
      <c r="GS282" s="469" t="str">
        <f ca="1">IF($FN282+GS$244&gt;73,"",PRODUCT(INDEX($T$19:$T$93,GS$244):INDEX($T$19:$T$93,GS$244+$FN282-1)))</f>
        <v/>
      </c>
      <c r="GT282" s="469" t="str">
        <f ca="1">IF($FN282+GT$244&gt;73,"",PRODUCT(INDEX($T$19:$T$93,GT$244):INDEX($T$19:$T$93,GT$244+$FN282-1)))</f>
        <v/>
      </c>
      <c r="GU282" s="469" t="str">
        <f ca="1">IF($FN282+GU$244&gt;73,"",PRODUCT(INDEX($T$19:$T$93,GU$244):INDEX($T$19:$T$93,GU$244+$FN282-1)))</f>
        <v/>
      </c>
      <c r="GV282" s="469" t="str">
        <f ca="1">IF($FN282+GV$244&gt;73,"",PRODUCT(INDEX($T$19:$T$93,GV$244):INDEX($T$19:$T$93,GV$244+$FN282-1)))</f>
        <v/>
      </c>
      <c r="GW282" s="469" t="str">
        <f ca="1">IF($FN282+GW$244&gt;73,"",PRODUCT(INDEX($T$19:$T$93,GW$244):INDEX($T$19:$T$93,GW$244+$FN282-1)))</f>
        <v/>
      </c>
      <c r="GX282" s="469" t="str">
        <f ca="1">IF($FN282+GX$244&gt;73,"",PRODUCT(INDEX($T$19:$T$93,GX$244):INDEX($T$19:$T$93,GX$244+$FN282-1)))</f>
        <v/>
      </c>
      <c r="GY282" s="469" t="str">
        <f ca="1">IF($FN282+GY$244&gt;73,"",PRODUCT(INDEX($T$19:$T$93,GY$244):INDEX($T$19:$T$93,GY$244+$FN282-1)))</f>
        <v/>
      </c>
      <c r="GZ282" s="469">
        <f ca="1">IF($FN282+GZ$244&gt;73,"",PRODUCT(INDEX($T$19:$T$93,GZ$244):INDEX($T$19:$T$93,GZ$244+$FN282-1)))</f>
        <v>0.97656289252211503</v>
      </c>
      <c r="HA282" s="469">
        <f ca="1">IF($FN282+HA$244&gt;73,"",PRODUCT(INDEX($T$19:$T$93,HA$244):INDEX($T$19:$T$93,HA$244+$FN282-1)))</f>
        <v>0.97398872635908906</v>
      </c>
      <c r="HB282" s="469">
        <f ca="1">IF($FN282+HB$244&gt;73,"",PRODUCT(INDEX($T$19:$T$93,HB$244):INDEX($T$19:$T$93,HB$244+$FN282-1)))</f>
        <v>0.97113546889257685</v>
      </c>
      <c r="HC282" s="469">
        <f ca="1">IF($FN282+HC$244&gt;73,"",PRODUCT(INDEX($T$19:$T$93,HC$244):INDEX($T$19:$T$93,HC$244+$FN282-1)))</f>
        <v>0.96797370030467889</v>
      </c>
      <c r="HD282" s="469">
        <f ca="1">IF($FN282+HD$244&gt;73,"",PRODUCT(INDEX($T$19:$T$93,HD$244):INDEX($T$19:$T$93,HD$244+$FN282-1)))</f>
        <v>0.96447109303304501</v>
      </c>
      <c r="HE282" s="469">
        <f ca="1">IF($FN282+HE$244&gt;73,"",PRODUCT(INDEX($T$19:$T$93,HE$244):INDEX($T$19:$T$93,HE$244+$FN282-1)))</f>
        <v>0.96059216932086899</v>
      </c>
      <c r="HF282" s="469">
        <f ca="1">IF($FN282+HF$244&gt;73,"",PRODUCT(INDEX($T$19:$T$93,HF$244):INDEX($T$19:$T$93,HF$244+$FN282-1)))</f>
        <v>0.95629804936501617</v>
      </c>
      <c r="HG282" s="469">
        <f ca="1">IF($FN282+HG$244&gt;73,"",PRODUCT(INDEX($T$19:$T$93,HG$244):INDEX($T$19:$T$93,HG$244+$FN282-1)))</f>
        <v>0.9515461926747355</v>
      </c>
      <c r="HH282" s="469">
        <f ca="1">IF($FN282+HH$244&gt;73,"",PRODUCT(INDEX($T$19:$T$93,HH$244):INDEX($T$19:$T$93,HH$244+$FN282-1)))</f>
        <v>0.94629013625447489</v>
      </c>
      <c r="HI282" s="469">
        <f ca="1">IF($FN282+HI$244&gt;73,"",PRODUCT(INDEX($T$19:$T$93,HI$244):INDEX($T$19:$T$93,HI$244+$FN282-1)))</f>
        <v>0.94047923445792969</v>
      </c>
      <c r="HJ282" s="469">
        <f ca="1">IF($FN282+HJ$244&gt;73,"",PRODUCT(INDEX($T$19:$T$93,HJ$244):INDEX($T$19:$T$93,HJ$244+$FN282-1)))</f>
        <v>0.93405840686804487</v>
      </c>
      <c r="HK282" s="469">
        <f ca="1">IF($FN282+HK$244&gt;73,"",PRODUCT(INDEX($T$19:$T$93,HK$244):INDEX($T$19:$T$93,HK$244+$FN282-1)))</f>
        <v>0.92696790238544635</v>
      </c>
      <c r="HL282" s="469">
        <f ca="1">IF($FN282+HL$244&gt;73,"",PRODUCT(INDEX($T$19:$T$93,HL$244):INDEX($T$19:$T$93,HL$244+$FN282-1)))</f>
        <v>0.9191430899070141</v>
      </c>
      <c r="HM282" s="469">
        <f ca="1">IF($FN282+HM$244&gt;73,"",PRODUCT(INDEX($T$19:$T$93,HM$244):INDEX($T$19:$T$93,HM$244+$FN282-1)))</f>
        <v>0.91051428860301609</v>
      </c>
      <c r="HN282" s="469">
        <f ca="1">IF($FN282+HN$244&gt;73,"",PRODUCT(INDEX($T$19:$T$93,HN$244):INDEX($T$19:$T$93,HN$244+$FN282-1)))</f>
        <v>0.90100665391624202</v>
      </c>
      <c r="HO282" s="469">
        <f ca="1">IF($FN282+HO$244&gt;73,"",PRODUCT(INDEX($T$19:$T$93,HO$244):INDEX($T$19:$T$93,HO$244+$FN282-1)))</f>
        <v>0.89054013907465868</v>
      </c>
      <c r="HP282" s="469">
        <f ca="1">IF($FN282+HP$244&gt;73,"",PRODUCT(INDEX($T$19:$T$93,HP$244):INDEX($T$19:$T$93,HP$244+$FN282-1)))</f>
        <v>0.87902955619931555</v>
      </c>
      <c r="HQ282" s="469">
        <f ca="1">IF($FN282+HQ$244&gt;73,"",PRODUCT(INDEX($T$19:$T$93,HQ$244):INDEX($T$19:$T$93,HQ$244+$FN282-1)))</f>
        <v>0.86638476607372961</v>
      </c>
      <c r="HR282" s="469">
        <f ca="1">IF($FN282+HR$244&gt;73,"",PRODUCT(INDEX($T$19:$T$93,HR$244):INDEX($T$19:$T$93,HR$244+$FN282-1)))</f>
        <v>0.85251103139607975</v>
      </c>
      <c r="HS282" s="469">
        <f ca="1">IF($FN282+HS$244&gt;73,"",PRODUCT(INDEX($T$19:$T$93,HS$244):INDEX($T$19:$T$93,HS$244+$FN282-1)))</f>
        <v>0.83730957494098868</v>
      </c>
      <c r="HT282" s="469">
        <f ca="1">IF($FN282+HT$244&gt;73,"",PRODUCT(INDEX($T$19:$T$93,HT$244):INDEX($T$19:$T$93,HT$244+$FN282-1)))</f>
        <v>0.82067839159827793</v>
      </c>
      <c r="HU282" s="469">
        <f ca="1">IF($FN282+HU$244&gt;73,"",PRODUCT(INDEX($T$19:$T$93,HU$244):INDEX($T$19:$T$93,HU$244+$FN282-1)))</f>
        <v>0.80251337182145854</v>
      </c>
      <c r="HV282" s="469">
        <f ca="1">IF($FN282+HV$244&gt;73,"",PRODUCT(INDEX($T$19:$T$93,HV$244):INDEX($T$19:$T$93,HV$244+$FN282-1)))</f>
        <v>0.78270980370240839</v>
      </c>
      <c r="HW282" s="469">
        <f ca="1">IF($FN282+HW$244&gt;73,"",PRODUCT(INDEX($T$19:$T$93,HW$244):INDEX($T$19:$T$93,HW$244+$FN282-1)))</f>
        <v>0.76116433178075849</v>
      </c>
      <c r="HX282" s="469">
        <f ca="1">IF($FN282+HX$244&gt;73,"",PRODUCT(INDEX($T$19:$T$93,HX$244):INDEX($T$19:$T$93,HX$244+$FN282-1)))</f>
        <v>0.73777746286332302</v>
      </c>
      <c r="HY282" s="469">
        <f ca="1">IF($FN282+HY$244&gt;73,"",PRODUCT(INDEX($T$19:$T$93,HY$244):INDEX($T$19:$T$93,HY$244+$FN282-1)))</f>
        <v>0.71245672256414694</v>
      </c>
      <c r="HZ282" s="469">
        <f ca="1">IF($FN282+HZ$244&gt;73,"",PRODUCT(INDEX($T$19:$T$93,HZ$244):INDEX($T$19:$T$93,HZ$244+$FN282-1)))</f>
        <v>0.68512058079681226</v>
      </c>
      <c r="IA282" s="469">
        <f ca="1">IF($FN282+IA$244&gt;73,"",PRODUCT(INDEX($T$19:$T$93,IA$244):INDEX($T$19:$T$93,IA$244+$FN282-1)))</f>
        <v>0.65570327949518459</v>
      </c>
      <c r="IB282" s="469">
        <f ca="1">IF($FN282+IB$244&gt;73,"",PRODUCT(INDEX($T$19:$T$93,IB$244):INDEX($T$19:$T$93,IB$244+$FN282-1)))</f>
        <v>0.62416071008763296</v>
      </c>
      <c r="IC282" s="469">
        <f ca="1">IF($FN282+IC$244&gt;73,"",PRODUCT(INDEX($T$19:$T$93,IC$244):INDEX($T$19:$T$93,IC$244+$FN282-1)))</f>
        <v>0.59047749896513546</v>
      </c>
      <c r="ID282" s="469">
        <f ca="1">IF($FN282+ID$244&gt;73,"",PRODUCT(INDEX($T$19:$T$93,ID$244):INDEX($T$19:$T$93,ID$244+$FN282-1)))</f>
        <v>0.55467546109898003</v>
      </c>
      <c r="IE282" s="469">
        <f ca="1">IF($FN282+IE$244&gt;73,"",PRODUCT(INDEX($T$19:$T$93,IE$244):INDEX($T$19:$T$93,IE$244+$FN282-1)))</f>
        <v>0.51682356551362485</v>
      </c>
      <c r="IF282" s="469">
        <f ca="1">IF($FN282+IF$244&gt;73,"",PRODUCT(INDEX($T$19:$T$93,IF$244):INDEX($T$19:$T$93,IF$244+$FN282-1)))</f>
        <v>0.47704950497237597</v>
      </c>
      <c r="IG282" s="469">
        <f ca="1">IF($FN282+IG$244&gt;73,"",PRODUCT(INDEX($T$19:$T$93,IG$244):INDEX($T$19:$T$93,IG$244+$FN282-1)))</f>
        <v>0.43555284875474393</v>
      </c>
      <c r="IH282" s="662">
        <f ca="1">IF($FN282+IH$244&gt;73,"",PRODUCT(INDEX($T$19:$T$93,IH$244):INDEX($T$19:$T$93,IH$244+$FN282-1)))</f>
        <v>0.3926195391976105</v>
      </c>
      <c r="II282" s="242"/>
    </row>
    <row r="283" spans="9:243">
      <c r="I283" s="132"/>
      <c r="J283" s="365"/>
      <c r="K283" s="133"/>
      <c r="L283" s="1"/>
      <c r="M283" s="366"/>
      <c r="P283" s="365"/>
      <c r="S283" s="53"/>
      <c r="T283" s="365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364">
        <v>6.4880282192524105E-2</v>
      </c>
      <c r="AP283" s="1"/>
      <c r="AQ283" s="364">
        <v>5.8833665663391405E-2</v>
      </c>
      <c r="AR283" s="1"/>
      <c r="AS283" s="1"/>
      <c r="AT283" s="103"/>
      <c r="AU283" s="103"/>
      <c r="AV283" s="103"/>
      <c r="AW283" s="31"/>
      <c r="AX283" s="31"/>
      <c r="AY283" s="31"/>
      <c r="AZ283" s="31"/>
      <c r="BA283" s="146"/>
      <c r="BB283" s="146"/>
      <c r="BC283" s="103"/>
      <c r="BD283" s="103"/>
      <c r="BE283" s="103"/>
      <c r="BF283" s="104"/>
      <c r="BG283" s="104"/>
      <c r="BH283" s="104"/>
      <c r="BI283" s="102"/>
      <c r="BJ283" s="104"/>
      <c r="BK283" s="104"/>
      <c r="BL283" s="103"/>
      <c r="BM283" s="103"/>
      <c r="BN283" s="103"/>
      <c r="BO283" s="103"/>
      <c r="BP283" s="103"/>
      <c r="BQ283" s="103"/>
      <c r="BR283" s="103"/>
      <c r="BS283" s="103"/>
      <c r="BT283" s="103"/>
      <c r="BU283" s="103"/>
      <c r="BV283" s="103"/>
      <c r="BW283" s="103"/>
      <c r="BX283" s="103"/>
      <c r="BY283" s="103"/>
      <c r="BZ283" s="103"/>
      <c r="CA283" s="103"/>
      <c r="CB283" s="104"/>
      <c r="CC283" s="104"/>
      <c r="CD283" s="104"/>
      <c r="CE283" s="104"/>
      <c r="CF283" s="104"/>
      <c r="CG283" s="104"/>
      <c r="CH283" s="103"/>
      <c r="CI283" s="103"/>
      <c r="CJ283" s="103"/>
      <c r="CK283" s="103"/>
      <c r="CL283" s="103"/>
      <c r="CM283" s="103"/>
      <c r="CN283" s="103"/>
      <c r="CO283" s="103"/>
      <c r="CP283" s="103"/>
      <c r="CQ283" s="103"/>
      <c r="CR283" s="103"/>
      <c r="CS283" s="103"/>
      <c r="CT283" s="103"/>
      <c r="CU283" s="103"/>
      <c r="CV283" s="103"/>
      <c r="CW283" s="103"/>
      <c r="CX283" s="103"/>
      <c r="CY283" s="103"/>
      <c r="CZ283" s="103"/>
      <c r="DA283" s="103"/>
      <c r="DB283" s="103"/>
      <c r="DC283" s="103"/>
      <c r="DD283" s="103"/>
      <c r="DE283" s="103"/>
      <c r="DF283" s="465"/>
      <c r="DG283" s="107"/>
      <c r="DH283" s="107"/>
      <c r="DI283" s="465"/>
      <c r="DJ283" s="51"/>
      <c r="DK283" s="52"/>
      <c r="DL283" s="52"/>
      <c r="DM283" s="52"/>
      <c r="DN283" s="52"/>
      <c r="DO283" s="52"/>
      <c r="DP283" s="52"/>
      <c r="DQ283" s="52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P283" s="53"/>
      <c r="EQ283" s="1"/>
      <c r="ER283" s="103"/>
      <c r="ES283" s="102"/>
      <c r="ET283" s="1"/>
      <c r="EU283" s="103"/>
      <c r="EV283" s="1"/>
      <c r="EW283" s="1"/>
      <c r="EX283" s="1"/>
      <c r="EY283" s="104"/>
      <c r="FN283" s="657">
        <v>39</v>
      </c>
      <c r="FO283" s="469" t="str">
        <f ca="1">IF($FN283+FO$244&gt;73,"",PRODUCT(INDEX($T$19:$T$93,FO$244):INDEX($T$19:$T$93,FO$244+$FN283-1)))</f>
        <v/>
      </c>
      <c r="FP283" s="469" t="str">
        <f ca="1">IF($FN283+FP$244&gt;73,"",PRODUCT(INDEX($T$19:$T$93,FP$244):INDEX($T$19:$T$93,FP$244+$FN283-1)))</f>
        <v/>
      </c>
      <c r="FQ283" s="469" t="str">
        <f ca="1">IF($FN283+FQ$244&gt;73,"",PRODUCT(INDEX($T$19:$T$93,FQ$244):INDEX($T$19:$T$93,FQ$244+$FN283-1)))</f>
        <v/>
      </c>
      <c r="FR283" s="469" t="str">
        <f ca="1">IF($FN283+FR$244&gt;73,"",PRODUCT(INDEX($T$19:$T$93,FR$244):INDEX($T$19:$T$93,FR$244+$FN283-1)))</f>
        <v/>
      </c>
      <c r="FS283" s="469" t="str">
        <f ca="1">IF($FN283+FS$244&gt;73,"",PRODUCT(INDEX($T$19:$T$93,FS$244):INDEX($T$19:$T$93,FS$244+$FN283-1)))</f>
        <v/>
      </c>
      <c r="FT283" s="469" t="str">
        <f ca="1">IF($FN283+FT$244&gt;73,"",PRODUCT(INDEX($T$19:$T$93,FT$244):INDEX($T$19:$T$93,FT$244+$FN283-1)))</f>
        <v/>
      </c>
      <c r="FU283" s="469" t="str">
        <f ca="1">IF($FN283+FU$244&gt;73,"",PRODUCT(INDEX($T$19:$T$93,FU$244):INDEX($T$19:$T$93,FU$244+$FN283-1)))</f>
        <v/>
      </c>
      <c r="FV283" s="469" t="str">
        <f ca="1">IF($FN283+FV$244&gt;73,"",PRODUCT(INDEX($T$19:$T$93,FV$244):INDEX($T$19:$T$93,FV$244+$FN283-1)))</f>
        <v/>
      </c>
      <c r="FW283" s="469" t="str">
        <f ca="1">IF($FN283+FW$244&gt;73,"",PRODUCT(INDEX($T$19:$T$93,FW$244):INDEX($T$19:$T$93,FW$244+$FN283-1)))</f>
        <v/>
      </c>
      <c r="FX283" s="469" t="str">
        <f ca="1">IF($FN283+FX$244&gt;73,"",PRODUCT(INDEX($T$19:$T$93,FX$244):INDEX($T$19:$T$93,FX$244+$FN283-1)))</f>
        <v/>
      </c>
      <c r="FY283" s="469" t="str">
        <f ca="1">IF($FN283+FY$244&gt;73,"",PRODUCT(INDEX($T$19:$T$93,FY$244):INDEX($T$19:$T$93,FY$244+$FN283-1)))</f>
        <v/>
      </c>
      <c r="FZ283" s="469" t="str">
        <f ca="1">IF($FN283+FZ$244&gt;73,"",PRODUCT(INDEX($T$19:$T$93,FZ$244):INDEX($T$19:$T$93,FZ$244+$FN283-1)))</f>
        <v/>
      </c>
      <c r="GA283" s="469" t="str">
        <f ca="1">IF($FN283+GA$244&gt;73,"",PRODUCT(INDEX($T$19:$T$93,GA$244):INDEX($T$19:$T$93,GA$244+$FN283-1)))</f>
        <v/>
      </c>
      <c r="GB283" s="469" t="str">
        <f ca="1">IF($FN283+GB$244&gt;73,"",PRODUCT(INDEX($T$19:$T$93,GB$244):INDEX($T$19:$T$93,GB$244+$FN283-1)))</f>
        <v/>
      </c>
      <c r="GC283" s="469" t="str">
        <f ca="1">IF($FN283+GC$244&gt;73,"",PRODUCT(INDEX($T$19:$T$93,GC$244):INDEX($T$19:$T$93,GC$244+$FN283-1)))</f>
        <v/>
      </c>
      <c r="GD283" s="469" t="str">
        <f ca="1">IF($FN283+GD$244&gt;73,"",PRODUCT(INDEX($T$19:$T$93,GD$244):INDEX($T$19:$T$93,GD$244+$FN283-1)))</f>
        <v/>
      </c>
      <c r="GE283" s="469" t="str">
        <f ca="1">IF($FN283+GE$244&gt;73,"",PRODUCT(INDEX($T$19:$T$93,GE$244):INDEX($T$19:$T$93,GE$244+$FN283-1)))</f>
        <v/>
      </c>
      <c r="GF283" s="469" t="str">
        <f ca="1">IF($FN283+GF$244&gt;73,"",PRODUCT(INDEX($T$19:$T$93,GF$244):INDEX($T$19:$T$93,GF$244+$FN283-1)))</f>
        <v/>
      </c>
      <c r="GG283" s="469" t="str">
        <f ca="1">IF($FN283+GG$244&gt;73,"",PRODUCT(INDEX($T$19:$T$93,GG$244):INDEX($T$19:$T$93,GG$244+$FN283-1)))</f>
        <v/>
      </c>
      <c r="GH283" s="469" t="str">
        <f ca="1">IF($FN283+GH$244&gt;73,"",PRODUCT(INDEX($T$19:$T$93,GH$244):INDEX($T$19:$T$93,GH$244+$FN283-1)))</f>
        <v/>
      </c>
      <c r="GI283" s="469" t="str">
        <f ca="1">IF($FN283+GI$244&gt;73,"",PRODUCT(INDEX($T$19:$T$93,GI$244):INDEX($T$19:$T$93,GI$244+$FN283-1)))</f>
        <v/>
      </c>
      <c r="GJ283" s="469" t="str">
        <f ca="1">IF($FN283+GJ$244&gt;73,"",PRODUCT(INDEX($T$19:$T$93,GJ$244):INDEX($T$19:$T$93,GJ$244+$FN283-1)))</f>
        <v/>
      </c>
      <c r="GK283" s="469" t="str">
        <f ca="1">IF($FN283+GK$244&gt;73,"",PRODUCT(INDEX($T$19:$T$93,GK$244):INDEX($T$19:$T$93,GK$244+$FN283-1)))</f>
        <v/>
      </c>
      <c r="GL283" s="469" t="str">
        <f ca="1">IF($FN283+GL$244&gt;73,"",PRODUCT(INDEX($T$19:$T$93,GL$244):INDEX($T$19:$T$93,GL$244+$FN283-1)))</f>
        <v/>
      </c>
      <c r="GM283" s="469" t="str">
        <f ca="1">IF($FN283+GM$244&gt;73,"",PRODUCT(INDEX($T$19:$T$93,GM$244):INDEX($T$19:$T$93,GM$244+$FN283-1)))</f>
        <v/>
      </c>
      <c r="GN283" s="469" t="str">
        <f ca="1">IF($FN283+GN$244&gt;73,"",PRODUCT(INDEX($T$19:$T$93,GN$244):INDEX($T$19:$T$93,GN$244+$FN283-1)))</f>
        <v/>
      </c>
      <c r="GO283" s="469" t="str">
        <f ca="1">IF($FN283+GO$244&gt;73,"",PRODUCT(INDEX($T$19:$T$93,GO$244):INDEX($T$19:$T$93,GO$244+$FN283-1)))</f>
        <v/>
      </c>
      <c r="GP283" s="469" t="str">
        <f ca="1">IF($FN283+GP$244&gt;73,"",PRODUCT(INDEX($T$19:$T$93,GP$244):INDEX($T$19:$T$93,GP$244+$FN283-1)))</f>
        <v/>
      </c>
      <c r="GQ283" s="469" t="str">
        <f ca="1">IF($FN283+GQ$244&gt;73,"",PRODUCT(INDEX($T$19:$T$93,GQ$244):INDEX($T$19:$T$93,GQ$244+$FN283-1)))</f>
        <v/>
      </c>
      <c r="GR283" s="469" t="str">
        <f ca="1">IF($FN283+GR$244&gt;73,"",PRODUCT(INDEX($T$19:$T$93,GR$244):INDEX($T$19:$T$93,GR$244+$FN283-1)))</f>
        <v/>
      </c>
      <c r="GS283" s="469" t="str">
        <f ca="1">IF($FN283+GS$244&gt;73,"",PRODUCT(INDEX($T$19:$T$93,GS$244):INDEX($T$19:$T$93,GS$244+$FN283-1)))</f>
        <v/>
      </c>
      <c r="GT283" s="469" t="str">
        <f ca="1">IF($FN283+GT$244&gt;73,"",PRODUCT(INDEX($T$19:$T$93,GT$244):INDEX($T$19:$T$93,GT$244+$FN283-1)))</f>
        <v/>
      </c>
      <c r="GU283" s="469" t="str">
        <f ca="1">IF($FN283+GU$244&gt;73,"",PRODUCT(INDEX($T$19:$T$93,GU$244):INDEX($T$19:$T$93,GU$244+$FN283-1)))</f>
        <v/>
      </c>
      <c r="GV283" s="469" t="str">
        <f ca="1">IF($FN283+GV$244&gt;73,"",PRODUCT(INDEX($T$19:$T$93,GV$244):INDEX($T$19:$T$93,GV$244+$FN283-1)))</f>
        <v/>
      </c>
      <c r="GW283" s="469" t="str">
        <f ca="1">IF($FN283+GW$244&gt;73,"",PRODUCT(INDEX($T$19:$T$93,GW$244):INDEX($T$19:$T$93,GW$244+$FN283-1)))</f>
        <v/>
      </c>
      <c r="GX283" s="469" t="str">
        <f ca="1">IF($FN283+GX$244&gt;73,"",PRODUCT(INDEX($T$19:$T$93,GX$244):INDEX($T$19:$T$93,GX$244+$FN283-1)))</f>
        <v/>
      </c>
      <c r="GY283" s="469" t="str">
        <f ca="1">IF($FN283+GY$244&gt;73,"",PRODUCT(INDEX($T$19:$T$93,GY$244):INDEX($T$19:$T$93,GY$244+$FN283-1)))</f>
        <v/>
      </c>
      <c r="GZ283" s="469" t="str">
        <f ca="1">IF($FN283+GZ$244&gt;73,"",PRODUCT(INDEX($T$19:$T$93,GZ$244):INDEX($T$19:$T$93,GZ$244+$FN283-1)))</f>
        <v/>
      </c>
      <c r="HA283" s="469">
        <f ca="1">IF($FN283+HA$244&gt;73,"",PRODUCT(INDEX($T$19:$T$93,HA$244):INDEX($T$19:$T$93,HA$244+$FN283-1)))</f>
        <v>0.97394108592705775</v>
      </c>
      <c r="HB283" s="469">
        <f ca="1">IF($FN283+HB$244&gt;73,"",PRODUCT(INDEX($T$19:$T$93,HB$244):INDEX($T$19:$T$93,HB$244+$FN283-1)))</f>
        <v>0.971082690000171</v>
      </c>
      <c r="HC283" s="469">
        <f ca="1">IF($FN283+HC$244&gt;73,"",PRODUCT(INDEX($T$19:$T$93,HC$244):INDEX($T$19:$T$93,HC$244+$FN283-1)))</f>
        <v>0.96791524783783389</v>
      </c>
      <c r="HD283" s="469">
        <f ca="1">IF($FN283+HD$244&gt;73,"",PRODUCT(INDEX($T$19:$T$93,HD$244):INDEX($T$19:$T$93,HD$244+$FN283-1)))</f>
        <v>0.96440638063643613</v>
      </c>
      <c r="HE283" s="469">
        <f ca="1">IF($FN283+HE$244&gt;73,"",PRODUCT(INDEX($T$19:$T$93,HE$244):INDEX($T$19:$T$93,HE$244+$FN283-1)))</f>
        <v>0.96052055556335536</v>
      </c>
      <c r="HF283" s="469">
        <f ca="1">IF($FN283+HF$244&gt;73,"",PRODUCT(INDEX($T$19:$T$93,HF$244):INDEX($T$19:$T$93,HF$244+$FN283-1)))</f>
        <v>0.95621883389044493</v>
      </c>
      <c r="HG283" s="469">
        <f ca="1">IF($FN283+HG$244&gt;73,"",PRODUCT(INDEX($T$19:$T$93,HG$244):INDEX($T$19:$T$93,HG$244+$FN283-1)))</f>
        <v>0.95145861242420227</v>
      </c>
      <c r="HH283" s="469">
        <f ca="1">IF($FN283+HH$244&gt;73,"",PRODUCT(INDEX($T$19:$T$93,HH$244):INDEX($T$19:$T$93,HH$244+$FN283-1)))</f>
        <v>0.94619336187319025</v>
      </c>
      <c r="HI283" s="469">
        <f ca="1">IF($FN283+HI$244&gt;73,"",PRODUCT(INDEX($T$19:$T$93,HI$244):INDEX($T$19:$T$93,HI$244+$FN283-1)))</f>
        <v>0.94037236703293969</v>
      </c>
      <c r="HJ283" s="469">
        <f ca="1">IF($FN283+HJ$244&gt;73,"",PRODUCT(INDEX($T$19:$T$93,HJ$244):INDEX($T$19:$T$93,HJ$244+$FN283-1)))</f>
        <v>0.93394047518322421</v>
      </c>
      <c r="HK283" s="469">
        <f ca="1">IF($FN283+HK$244&gt;73,"",PRODUCT(INDEX($T$19:$T$93,HK$244):INDEX($T$19:$T$93,HK$244+$FN283-1)))</f>
        <v>0.92683786092853637</v>
      </c>
      <c r="HL283" s="469">
        <f ca="1">IF($FN283+HL$244&gt;73,"",PRODUCT(INDEX($T$19:$T$93,HL$244):INDEX($T$19:$T$93,HL$244+$FN283-1)))</f>
        <v>0.91899981792117169</v>
      </c>
      <c r="HM283" s="469">
        <f ca="1">IF($FN283+HM$244&gt;73,"",PRODUCT(INDEX($T$19:$T$93,HM$244):INDEX($T$19:$T$93,HM$244+$FN283-1)))</f>
        <v>0.91035659054353391</v>
      </c>
      <c r="HN283" s="469">
        <f ca="1">IF($FN283+HN$244&gt;73,"",PRODUCT(INDEX($T$19:$T$93,HN$244):INDEX($T$19:$T$93,HN$244+$FN283-1)))</f>
        <v>0.90083326175284473</v>
      </c>
      <c r="HO283" s="469">
        <f ca="1">IF($FN283+HO$244&gt;73,"",PRODUCT(INDEX($T$19:$T$93,HO$244):INDEX($T$19:$T$93,HO$244+$FN283-1)))</f>
        <v>0.89034971697190446</v>
      </c>
      <c r="HP283" s="469">
        <f ca="1">IF($FN283+HP$244&gt;73,"",PRODUCT(INDEX($T$19:$T$93,HP$244):INDEX($T$19:$T$93,HP$244+$FN283-1)))</f>
        <v>0.87882070821252412</v>
      </c>
      <c r="HQ283" s="469">
        <f ca="1">IF($FN283+HQ$244&gt;73,"",PRODUCT(INDEX($T$19:$T$93,HQ$244):INDEX($T$19:$T$93,HQ$244+$FN283-1)))</f>
        <v>0.86615604761519494</v>
      </c>
      <c r="HR283" s="469">
        <f ca="1">IF($FN283+HR$244&gt;73,"",PRODUCT(INDEX($T$19:$T$93,HR$244):INDEX($T$19:$T$93,HR$244+$FN283-1)))</f>
        <v>0.85226096535465667</v>
      </c>
      <c r="HS283" s="469">
        <f ca="1">IF($FN283+HS$244&gt;73,"",PRODUCT(INDEX($T$19:$T$93,HS$244):INDEX($T$19:$T$93,HS$244+$FN283-1)))</f>
        <v>0.83703667347434196</v>
      </c>
      <c r="HT283" s="469">
        <f ca="1">IF($FN283+HT$244&gt;73,"",PRODUCT(INDEX($T$19:$T$93,HT$244):INDEX($T$19:$T$93,HT$244+$FN283-1)))</f>
        <v>0.82038118475557109</v>
      </c>
      <c r="HU283" s="469">
        <f ca="1">IF($FN283+HU$244&gt;73,"",PRODUCT(INDEX($T$19:$T$93,HU$244):INDEX($T$19:$T$93,HU$244+$FN283-1)))</f>
        <v>0.80219044428598052</v>
      </c>
      <c r="HV283" s="469">
        <f ca="1">IF($FN283+HV$244&gt;73,"",PRODUCT(INDEX($T$19:$T$93,HV$244):INDEX($T$19:$T$93,HV$244+$FN283-1)))</f>
        <v>0.78235984105462653</v>
      </c>
      <c r="HW283" s="469">
        <f ca="1">IF($FN283+HW$244&gt;73,"",PRODUCT(INDEX($T$19:$T$93,HW$244):INDEX($T$19:$T$93,HW$244+$FN283-1)))</f>
        <v>0.76078617775184043</v>
      </c>
      <c r="HX283" s="469">
        <f ca="1">IF($FN283+HX$244&gt;73,"",PRODUCT(INDEX($T$19:$T$93,HX$244):INDEX($T$19:$T$93,HX$244+$FN283-1)))</f>
        <v>0.73737018904733731</v>
      </c>
      <c r="HY283" s="469">
        <f ca="1">IF($FN283+HY$244&gt;73,"",PRODUCT(INDEX($T$19:$T$93,HY$244):INDEX($T$19:$T$93,HY$244+$FN283-1)))</f>
        <v>0.71201971194155589</v>
      </c>
      <c r="HZ283" s="469">
        <f ca="1">IF($FN283+HZ$244&gt;73,"",PRODUCT(INDEX($T$19:$T$93,HZ$244):INDEX($T$19:$T$93,HZ$244+$FN283-1)))</f>
        <v>0.68465362613360037</v>
      </c>
      <c r="IA283" s="469">
        <f ca="1">IF($FN283+IA$244&gt;73,"",PRODUCT(INDEX($T$19:$T$93,IA$244):INDEX($T$19:$T$93,IA$244+$FN283-1)))</f>
        <v>0.65520669714054591</v>
      </c>
      <c r="IB283" s="469">
        <f ca="1">IF($FN283+IB$244&gt;73,"",PRODUCT(INDEX($T$19:$T$93,IB$244):INDEX($T$19:$T$93,IB$244+$FN283-1)))</f>
        <v>0.62363546879070919</v>
      </c>
      <c r="IC283" s="469">
        <f ca="1">IF($FN283+IC$244&gt;73,"",PRODUCT(INDEX($T$19:$T$93,IC$244):INDEX($T$19:$T$93,IC$244+$FN283-1)))</f>
        <v>0.58992536192655343</v>
      </c>
      <c r="ID283" s="469">
        <f ca="1">IF($FN283+ID$244&gt;73,"",PRODUCT(INDEX($T$19:$T$93,ID$244):INDEX($T$19:$T$93,ID$244+$FN283-1)))</f>
        <v>0.55409913738657846</v>
      </c>
      <c r="IE283" s="469">
        <f ca="1">IF($FN283+IE$244&gt;73,"",PRODUCT(INDEX($T$19:$T$93,IE$244):INDEX($T$19:$T$93,IE$244+$FN283-1)))</f>
        <v>0.51622686398680107</v>
      </c>
      <c r="IF283" s="469">
        <f ca="1">IF($FN283+IF$244&gt;73,"",PRODUCT(INDEX($T$19:$T$93,IF$244):INDEX($T$19:$T$93,IF$244+$FN283-1)))</f>
        <v>0.47643747973358164</v>
      </c>
      <c r="IG283" s="469">
        <f ca="1">IF($FN283+IG$244&gt;73,"",PRODUCT(INDEX($T$19:$T$93,IG$244):INDEX($T$19:$T$93,IG$244+$FN283-1)))</f>
        <v>0.43493191964926436</v>
      </c>
      <c r="IH283" s="662">
        <f ca="1">IF($FN283+IH$244&gt;73,"",PRODUCT(INDEX($T$19:$T$93,IH$244):INDEX($T$19:$T$93,IH$244+$FN283-1)))</f>
        <v>0.39199756387926971</v>
      </c>
      <c r="II283" s="242"/>
    </row>
    <row r="284" spans="9:243">
      <c r="I284" s="132"/>
      <c r="J284" s="365"/>
      <c r="K284" s="133"/>
      <c r="L284" s="1"/>
      <c r="M284" s="366"/>
      <c r="P284" s="365"/>
      <c r="S284" s="53"/>
      <c r="T284" s="365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364">
        <v>6.4890586491328103E-2</v>
      </c>
      <c r="AP284" s="1"/>
      <c r="AQ284" s="364">
        <v>5.87957003923072E-2</v>
      </c>
      <c r="AR284" s="1"/>
      <c r="AS284" s="1"/>
      <c r="AT284" s="103"/>
      <c r="AU284" s="103"/>
      <c r="AV284" s="103"/>
      <c r="AW284" s="31"/>
      <c r="AX284" s="31"/>
      <c r="AY284" s="31"/>
      <c r="AZ284" s="31"/>
      <c r="BA284" s="146"/>
      <c r="BB284" s="146"/>
      <c r="BC284" s="103"/>
      <c r="BD284" s="103"/>
      <c r="BE284" s="103"/>
      <c r="BF284" s="104"/>
      <c r="BG284" s="104"/>
      <c r="BH284" s="104"/>
      <c r="BI284" s="102"/>
      <c r="BJ284" s="104"/>
      <c r="BK284" s="104"/>
      <c r="BL284" s="103"/>
      <c r="BM284" s="103"/>
      <c r="BN284" s="103"/>
      <c r="BO284" s="103"/>
      <c r="BP284" s="103"/>
      <c r="BQ284" s="103"/>
      <c r="BR284" s="103"/>
      <c r="BS284" s="103"/>
      <c r="BT284" s="103"/>
      <c r="BU284" s="103"/>
      <c r="BV284" s="103"/>
      <c r="BW284" s="103"/>
      <c r="BX284" s="103"/>
      <c r="BY284" s="103"/>
      <c r="BZ284" s="103"/>
      <c r="CA284" s="103"/>
      <c r="CB284" s="104"/>
      <c r="CC284" s="104"/>
      <c r="CD284" s="104"/>
      <c r="CE284" s="104"/>
      <c r="CF284" s="104"/>
      <c r="CG284" s="104"/>
      <c r="CH284" s="103"/>
      <c r="CI284" s="103"/>
      <c r="CJ284" s="103"/>
      <c r="CK284" s="103"/>
      <c r="CL284" s="103"/>
      <c r="CM284" s="103"/>
      <c r="CN284" s="103"/>
      <c r="CO284" s="103"/>
      <c r="CP284" s="103"/>
      <c r="CQ284" s="103"/>
      <c r="CR284" s="103"/>
      <c r="CS284" s="103"/>
      <c r="CT284" s="103"/>
      <c r="CU284" s="103"/>
      <c r="CV284" s="103"/>
      <c r="CW284" s="103"/>
      <c r="CX284" s="103"/>
      <c r="CY284" s="103"/>
      <c r="CZ284" s="103"/>
      <c r="DA284" s="103"/>
      <c r="DB284" s="103"/>
      <c r="DC284" s="103"/>
      <c r="DD284" s="103"/>
      <c r="DE284" s="103"/>
      <c r="DF284" s="465"/>
      <c r="DG284" s="107"/>
      <c r="DH284" s="107"/>
      <c r="DI284" s="465"/>
      <c r="DJ284" s="51"/>
      <c r="DK284" s="52"/>
      <c r="DL284" s="52"/>
      <c r="DM284" s="52"/>
      <c r="DN284" s="52"/>
      <c r="DO284" s="52"/>
      <c r="DP284" s="52"/>
      <c r="DQ284" s="52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P284" s="53"/>
      <c r="EQ284" s="1"/>
      <c r="ER284" s="103"/>
      <c r="ES284" s="102"/>
      <c r="ET284" s="1"/>
      <c r="EU284" s="103"/>
      <c r="EV284" s="1"/>
      <c r="EW284" s="1"/>
      <c r="EX284" s="1"/>
      <c r="EY284" s="104"/>
      <c r="FN284" s="657">
        <v>40</v>
      </c>
      <c r="FO284" s="469" t="str">
        <f ca="1">IF($FN284+FO$244&gt;73,"",PRODUCT(INDEX($T$19:$T$93,FO$244):INDEX($T$19:$T$93,FO$244+$FN284-1)))</f>
        <v/>
      </c>
      <c r="FP284" s="469" t="str">
        <f ca="1">IF($FN284+FP$244&gt;73,"",PRODUCT(INDEX($T$19:$T$93,FP$244):INDEX($T$19:$T$93,FP$244+$FN284-1)))</f>
        <v/>
      </c>
      <c r="FQ284" s="469" t="str">
        <f ca="1">IF($FN284+FQ$244&gt;73,"",PRODUCT(INDEX($T$19:$T$93,FQ$244):INDEX($T$19:$T$93,FQ$244+$FN284-1)))</f>
        <v/>
      </c>
      <c r="FR284" s="469" t="str">
        <f ca="1">IF($FN284+FR$244&gt;73,"",PRODUCT(INDEX($T$19:$T$93,FR$244):INDEX($T$19:$T$93,FR$244+$FN284-1)))</f>
        <v/>
      </c>
      <c r="FS284" s="469" t="str">
        <f ca="1">IF($FN284+FS$244&gt;73,"",PRODUCT(INDEX($T$19:$T$93,FS$244):INDEX($T$19:$T$93,FS$244+$FN284-1)))</f>
        <v/>
      </c>
      <c r="FT284" s="469" t="str">
        <f ca="1">IF($FN284+FT$244&gt;73,"",PRODUCT(INDEX($T$19:$T$93,FT$244):INDEX($T$19:$T$93,FT$244+$FN284-1)))</f>
        <v/>
      </c>
      <c r="FU284" s="469" t="str">
        <f ca="1">IF($FN284+FU$244&gt;73,"",PRODUCT(INDEX($T$19:$T$93,FU$244):INDEX($T$19:$T$93,FU$244+$FN284-1)))</f>
        <v/>
      </c>
      <c r="FV284" s="469" t="str">
        <f ca="1">IF($FN284+FV$244&gt;73,"",PRODUCT(INDEX($T$19:$T$93,FV$244):INDEX($T$19:$T$93,FV$244+$FN284-1)))</f>
        <v/>
      </c>
      <c r="FW284" s="469" t="str">
        <f ca="1">IF($FN284+FW$244&gt;73,"",PRODUCT(INDEX($T$19:$T$93,FW$244):INDEX($T$19:$T$93,FW$244+$FN284-1)))</f>
        <v/>
      </c>
      <c r="FX284" s="469" t="str">
        <f ca="1">IF($FN284+FX$244&gt;73,"",PRODUCT(INDEX($T$19:$T$93,FX$244):INDEX($T$19:$T$93,FX$244+$FN284-1)))</f>
        <v/>
      </c>
      <c r="FY284" s="469" t="str">
        <f ca="1">IF($FN284+FY$244&gt;73,"",PRODUCT(INDEX($T$19:$T$93,FY$244):INDEX($T$19:$T$93,FY$244+$FN284-1)))</f>
        <v/>
      </c>
      <c r="FZ284" s="469" t="str">
        <f ca="1">IF($FN284+FZ$244&gt;73,"",PRODUCT(INDEX($T$19:$T$93,FZ$244):INDEX($T$19:$T$93,FZ$244+$FN284-1)))</f>
        <v/>
      </c>
      <c r="GA284" s="469" t="str">
        <f ca="1">IF($FN284+GA$244&gt;73,"",PRODUCT(INDEX($T$19:$T$93,GA$244):INDEX($T$19:$T$93,GA$244+$FN284-1)))</f>
        <v/>
      </c>
      <c r="GB284" s="469" t="str">
        <f ca="1">IF($FN284+GB$244&gt;73,"",PRODUCT(INDEX($T$19:$T$93,GB$244):INDEX($T$19:$T$93,GB$244+$FN284-1)))</f>
        <v/>
      </c>
      <c r="GC284" s="469" t="str">
        <f ca="1">IF($FN284+GC$244&gt;73,"",PRODUCT(INDEX($T$19:$T$93,GC$244):INDEX($T$19:$T$93,GC$244+$FN284-1)))</f>
        <v/>
      </c>
      <c r="GD284" s="469" t="str">
        <f ca="1">IF($FN284+GD$244&gt;73,"",PRODUCT(INDEX($T$19:$T$93,GD$244):INDEX($T$19:$T$93,GD$244+$FN284-1)))</f>
        <v/>
      </c>
      <c r="GE284" s="469" t="str">
        <f ca="1">IF($FN284+GE$244&gt;73,"",PRODUCT(INDEX($T$19:$T$93,GE$244):INDEX($T$19:$T$93,GE$244+$FN284-1)))</f>
        <v/>
      </c>
      <c r="GF284" s="469" t="str">
        <f ca="1">IF($FN284+GF$244&gt;73,"",PRODUCT(INDEX($T$19:$T$93,GF$244):INDEX($T$19:$T$93,GF$244+$FN284-1)))</f>
        <v/>
      </c>
      <c r="GG284" s="469" t="str">
        <f ca="1">IF($FN284+GG$244&gt;73,"",PRODUCT(INDEX($T$19:$T$93,GG$244):INDEX($T$19:$T$93,GG$244+$FN284-1)))</f>
        <v/>
      </c>
      <c r="GH284" s="469" t="str">
        <f ca="1">IF($FN284+GH$244&gt;73,"",PRODUCT(INDEX($T$19:$T$93,GH$244):INDEX($T$19:$T$93,GH$244+$FN284-1)))</f>
        <v/>
      </c>
      <c r="GI284" s="469" t="str">
        <f ca="1">IF($FN284+GI$244&gt;73,"",PRODUCT(INDEX($T$19:$T$93,GI$244):INDEX($T$19:$T$93,GI$244+$FN284-1)))</f>
        <v/>
      </c>
      <c r="GJ284" s="469" t="str">
        <f ca="1">IF($FN284+GJ$244&gt;73,"",PRODUCT(INDEX($T$19:$T$93,GJ$244):INDEX($T$19:$T$93,GJ$244+$FN284-1)))</f>
        <v/>
      </c>
      <c r="GK284" s="469" t="str">
        <f ca="1">IF($FN284+GK$244&gt;73,"",PRODUCT(INDEX($T$19:$T$93,GK$244):INDEX($T$19:$T$93,GK$244+$FN284-1)))</f>
        <v/>
      </c>
      <c r="GL284" s="469" t="str">
        <f ca="1">IF($FN284+GL$244&gt;73,"",PRODUCT(INDEX($T$19:$T$93,GL$244):INDEX($T$19:$T$93,GL$244+$FN284-1)))</f>
        <v/>
      </c>
      <c r="GM284" s="469" t="str">
        <f ca="1">IF($FN284+GM$244&gt;73,"",PRODUCT(INDEX($T$19:$T$93,GM$244):INDEX($T$19:$T$93,GM$244+$FN284-1)))</f>
        <v/>
      </c>
      <c r="GN284" s="469" t="str">
        <f ca="1">IF($FN284+GN$244&gt;73,"",PRODUCT(INDEX($T$19:$T$93,GN$244):INDEX($T$19:$T$93,GN$244+$FN284-1)))</f>
        <v/>
      </c>
      <c r="GO284" s="469" t="str">
        <f ca="1">IF($FN284+GO$244&gt;73,"",PRODUCT(INDEX($T$19:$T$93,GO$244):INDEX($T$19:$T$93,GO$244+$FN284-1)))</f>
        <v/>
      </c>
      <c r="GP284" s="469" t="str">
        <f ca="1">IF($FN284+GP$244&gt;73,"",PRODUCT(INDEX($T$19:$T$93,GP$244):INDEX($T$19:$T$93,GP$244+$FN284-1)))</f>
        <v/>
      </c>
      <c r="GQ284" s="469" t="str">
        <f ca="1">IF($FN284+GQ$244&gt;73,"",PRODUCT(INDEX($T$19:$T$93,GQ$244):INDEX($T$19:$T$93,GQ$244+$FN284-1)))</f>
        <v/>
      </c>
      <c r="GR284" s="469" t="str">
        <f ca="1">IF($FN284+GR$244&gt;73,"",PRODUCT(INDEX($T$19:$T$93,GR$244):INDEX($T$19:$T$93,GR$244+$FN284-1)))</f>
        <v/>
      </c>
      <c r="GS284" s="469" t="str">
        <f ca="1">IF($FN284+GS$244&gt;73,"",PRODUCT(INDEX($T$19:$T$93,GS$244):INDEX($T$19:$T$93,GS$244+$FN284-1)))</f>
        <v/>
      </c>
      <c r="GT284" s="469" t="str">
        <f ca="1">IF($FN284+GT$244&gt;73,"",PRODUCT(INDEX($T$19:$T$93,GT$244):INDEX($T$19:$T$93,GT$244+$FN284-1)))</f>
        <v/>
      </c>
      <c r="GU284" s="469" t="str">
        <f ca="1">IF($FN284+GU$244&gt;73,"",PRODUCT(INDEX($T$19:$T$93,GU$244):INDEX($T$19:$T$93,GU$244+$FN284-1)))</f>
        <v/>
      </c>
      <c r="GV284" s="469" t="str">
        <f ca="1">IF($FN284+GV$244&gt;73,"",PRODUCT(INDEX($T$19:$T$93,GV$244):INDEX($T$19:$T$93,GV$244+$FN284-1)))</f>
        <v/>
      </c>
      <c r="GW284" s="469" t="str">
        <f ca="1">IF($FN284+GW$244&gt;73,"",PRODUCT(INDEX($T$19:$T$93,GW$244):INDEX($T$19:$T$93,GW$244+$FN284-1)))</f>
        <v/>
      </c>
      <c r="GX284" s="469" t="str">
        <f ca="1">IF($FN284+GX$244&gt;73,"",PRODUCT(INDEX($T$19:$T$93,GX$244):INDEX($T$19:$T$93,GX$244+$FN284-1)))</f>
        <v/>
      </c>
      <c r="GY284" s="469" t="str">
        <f ca="1">IF($FN284+GY$244&gt;73,"",PRODUCT(INDEX($T$19:$T$93,GY$244):INDEX($T$19:$T$93,GY$244+$FN284-1)))</f>
        <v/>
      </c>
      <c r="GZ284" s="469" t="str">
        <f ca="1">IF($FN284+GZ$244&gt;73,"",PRODUCT(INDEX($T$19:$T$93,GZ$244):INDEX($T$19:$T$93,GZ$244+$FN284-1)))</f>
        <v/>
      </c>
      <c r="HA284" s="469" t="str">
        <f ca="1">IF($FN284+HA$244&gt;73,"",PRODUCT(INDEX($T$19:$T$93,HA$244):INDEX($T$19:$T$93,HA$244+$FN284-1)))</f>
        <v/>
      </c>
      <c r="HB284" s="469">
        <f ca="1">IF($FN284+HB$244&gt;73,"",PRODUCT(INDEX($T$19:$T$93,HB$244):INDEX($T$19:$T$93,HB$244+$FN284-1)))</f>
        <v>0.97103519171026509</v>
      </c>
      <c r="HC284" s="469">
        <f ca="1">IF($FN284+HC$244&gt;73,"",PRODUCT(INDEX($T$19:$T$93,HC$244):INDEX($T$19:$T$93,HC$244+$FN284-1)))</f>
        <v>0.96786264395674837</v>
      </c>
      <c r="HD284" s="469">
        <f ca="1">IF($FN284+HD$244&gt;73,"",PRODUCT(INDEX($T$19:$T$93,HD$244):INDEX($T$19:$T$93,HD$244+$FN284-1)))</f>
        <v>0.9643481435872564</v>
      </c>
      <c r="HE284" s="469">
        <f ca="1">IF($FN284+HE$244&gt;73,"",PRODUCT(INDEX($T$19:$T$93,HE$244):INDEX($T$19:$T$93,HE$244+$FN284-1)))</f>
        <v>0.96045610823300853</v>
      </c>
      <c r="HF284" s="469">
        <f ca="1">IF($FN284+HF$244&gt;73,"",PRODUCT(INDEX($T$19:$T$93,HF$244):INDEX($T$19:$T$93,HF$244+$FN284-1)))</f>
        <v>0.95614754617242337</v>
      </c>
      <c r="HG284" s="469">
        <f ca="1">IF($FN284+HG$244&gt;73,"",PRODUCT(INDEX($T$19:$T$93,HG$244):INDEX($T$19:$T$93,HG$244+$FN284-1)))</f>
        <v>0.95137979782705007</v>
      </c>
      <c r="HH284" s="469">
        <f ca="1">IF($FN284+HH$244&gt;73,"",PRODUCT(INDEX($T$19:$T$93,HH$244):INDEX($T$19:$T$93,HH$244+$FN284-1)))</f>
        <v>0.94610627429686067</v>
      </c>
      <c r="HI284" s="469">
        <f ca="1">IF($FN284+HI$244&gt;73,"",PRODUCT(INDEX($T$19:$T$93,HI$244):INDEX($T$19:$T$93,HI$244+$FN284-1)))</f>
        <v>0.94027619784496008</v>
      </c>
      <c r="HJ284" s="469">
        <f ca="1">IF($FN284+HJ$244&gt;73,"",PRODUCT(INDEX($T$19:$T$93,HJ$244):INDEX($T$19:$T$93,HJ$244+$FN284-1)))</f>
        <v>0.93383435076280108</v>
      </c>
      <c r="HK284" s="469">
        <f ca="1">IF($FN284+HK$244&gt;73,"",PRODUCT(INDEX($T$19:$T$93,HK$244):INDEX($T$19:$T$93,HK$244+$FN284-1)))</f>
        <v>0.92672084089029128</v>
      </c>
      <c r="HL284" s="469">
        <f ca="1">IF($FN284+HL$244&gt;73,"",PRODUCT(INDEX($T$19:$T$93,HL$244):INDEX($T$19:$T$93,HL$244+$FN284-1)))</f>
        <v>0.91887089428216018</v>
      </c>
      <c r="HM284" s="469">
        <f ca="1">IF($FN284+HM$244&gt;73,"",PRODUCT(INDEX($T$19:$T$93,HM$244):INDEX($T$19:$T$93,HM$244+$FN284-1)))</f>
        <v>0.91021468815860151</v>
      </c>
      <c r="HN284" s="469">
        <f ca="1">IF($FN284+HN$244&gt;73,"",PRODUCT(INDEX($T$19:$T$93,HN$244):INDEX($T$19:$T$93,HN$244+$FN284-1)))</f>
        <v>0.90067724041515274</v>
      </c>
      <c r="HO284" s="469">
        <f ca="1">IF($FN284+HO$244&gt;73,"",PRODUCT(INDEX($T$19:$T$93,HO$244):INDEX($T$19:$T$93,HO$244+$FN284-1)))</f>
        <v>0.89017837565834712</v>
      </c>
      <c r="HP284" s="469">
        <f ca="1">IF($FN284+HP$244&gt;73,"",PRODUCT(INDEX($T$19:$T$93,HP$244):INDEX($T$19:$T$93,HP$244+$FN284-1)))</f>
        <v>0.87863279204809874</v>
      </c>
      <c r="HQ284" s="469">
        <f ca="1">IF($FN284+HQ$244&gt;73,"",PRODUCT(INDEX($T$19:$T$93,HQ$244):INDEX($T$19:$T$93,HQ$244+$FN284-1)))</f>
        <v>0.86595025823585514</v>
      </c>
      <c r="HR284" s="469">
        <f ca="1">IF($FN284+HR$244&gt;73,"",PRODUCT(INDEX($T$19:$T$93,HR$244):INDEX($T$19:$T$93,HR$244+$FN284-1)))</f>
        <v>0.85203597546344634</v>
      </c>
      <c r="HS284" s="469">
        <f ca="1">IF($FN284+HS$244&gt;73,"",PRODUCT(INDEX($T$19:$T$93,HS$244):INDEX($T$19:$T$93,HS$244+$FN284-1)))</f>
        <v>0.83679114650782416</v>
      </c>
      <c r="HT284" s="469">
        <f ca="1">IF($FN284+HT$244&gt;73,"",PRODUCT(INDEX($T$19:$T$93,HT$244):INDEX($T$19:$T$93,HT$244+$FN284-1)))</f>
        <v>0.82011380070165663</v>
      </c>
      <c r="HU284" s="469">
        <f ca="1">IF($FN284+HU$244&gt;73,"",PRODUCT(INDEX($T$19:$T$93,HU$244):INDEX($T$19:$T$93,HU$244+$FN284-1)))</f>
        <v>0.80189993281201388</v>
      </c>
      <c r="HV284" s="469">
        <f ca="1">IF($FN284+HV$244&gt;73,"",PRODUCT(INDEX($T$19:$T$93,HV$244):INDEX($T$19:$T$93,HV$244+$FN284-1)))</f>
        <v>0.78204502320336089</v>
      </c>
      <c r="HW284" s="469">
        <f ca="1">IF($FN284+HW$244&gt;73,"",PRODUCT(INDEX($T$19:$T$93,HW$244):INDEX($T$19:$T$93,HW$244+$FN284-1)))</f>
        <v>0.7604460175239981</v>
      </c>
      <c r="HX284" s="469">
        <f ca="1">IF($FN284+HX$244&gt;73,"",PRODUCT(INDEX($T$19:$T$93,HX$244):INDEX($T$19:$T$93,HX$244+$FN284-1)))</f>
        <v>0.73700385618575937</v>
      </c>
      <c r="HY284" s="469">
        <f ca="1">IF($FN284+HY$244&gt;73,"",PRODUCT(INDEX($T$19:$T$93,HY$244):INDEX($T$19:$T$93,HY$244+$FN284-1)))</f>
        <v>0.71162665712525119</v>
      </c>
      <c r="HZ284" s="469">
        <f ca="1">IF($FN284+HZ$244&gt;73,"",PRODUCT(INDEX($T$19:$T$93,HZ$244):INDEX($T$19:$T$93,HZ$244+$FN284-1)))</f>
        <v>0.68423366952719911</v>
      </c>
      <c r="IA284" s="469">
        <f ca="1">IF($FN284+IA$244&gt;73,"",PRODUCT(INDEX($T$19:$T$93,IA$244):INDEX($T$19:$T$93,IA$244+$FN284-1)))</f>
        <v>0.65476013075329531</v>
      </c>
      <c r="IB284" s="469">
        <f ca="1">IF($FN284+IB$244&gt;73,"",PRODUCT(INDEX($T$19:$T$93,IB$244):INDEX($T$19:$T$93,IB$244+$FN284-1)))</f>
        <v>0.62316317228219287</v>
      </c>
      <c r="IC284" s="469">
        <f ca="1">IF($FN284+IC$244&gt;73,"",PRODUCT(INDEX($T$19:$T$93,IC$244):INDEX($T$19:$T$93,IC$244+$FN284-1)))</f>
        <v>0.5894289302268666</v>
      </c>
      <c r="ID284" s="469">
        <f ca="1">IF($FN284+ID$244&gt;73,"",PRODUCT(INDEX($T$19:$T$93,ID$244):INDEX($T$19:$T$93,ID$244+$FN284-1)))</f>
        <v>0.5535810166159586</v>
      </c>
      <c r="IE284" s="469">
        <f ca="1">IF($FN284+IE$244&gt;73,"",PRODUCT(INDEX($T$19:$T$93,IE$244):INDEX($T$19:$T$93,IE$244+$FN284-1)))</f>
        <v>0.51569048946952056</v>
      </c>
      <c r="IF284" s="469">
        <f ca="1">IF($FN284+IF$244&gt;73,"",PRODUCT(INDEX($T$19:$T$93,IF$244):INDEX($T$19:$T$93,IF$244+$FN284-1)))</f>
        <v>0.47588740618708891</v>
      </c>
      <c r="IG284" s="469">
        <f ca="1">IF($FN284+IG$244&gt;73,"",PRODUCT(INDEX($T$19:$T$93,IG$244):INDEX($T$19:$T$93,IG$244+$FN284-1)))</f>
        <v>0.43437392868772245</v>
      </c>
      <c r="IH284" s="662">
        <f ca="1">IF($FN284+IH$244&gt;73,"",PRODUCT(INDEX($T$19:$T$93,IH$244):INDEX($T$19:$T$93,IH$244+$FN284-1)))</f>
        <v>0.39143872768433807</v>
      </c>
      <c r="II284" s="242"/>
    </row>
    <row r="285" spans="9:243">
      <c r="I285" s="132"/>
      <c r="J285" s="365"/>
      <c r="K285" s="133"/>
      <c r="L285" s="1"/>
      <c r="M285" s="366"/>
      <c r="P285" s="365"/>
      <c r="S285" s="53"/>
      <c r="T285" s="365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364">
        <v>6.4901234266796101E-2</v>
      </c>
      <c r="AP285" s="1"/>
      <c r="AQ285" s="364">
        <v>5.8756469622758704E-2</v>
      </c>
      <c r="AR285" s="1"/>
      <c r="AS285" s="1"/>
      <c r="AT285" s="103"/>
      <c r="AU285" s="103"/>
      <c r="AV285" s="103"/>
      <c r="AW285" s="31"/>
      <c r="AX285" s="31"/>
      <c r="AY285" s="31"/>
      <c r="AZ285" s="31"/>
      <c r="BA285" s="146"/>
      <c r="BB285" s="146"/>
      <c r="BC285" s="103"/>
      <c r="BD285" s="103"/>
      <c r="BE285" s="103"/>
      <c r="BF285" s="104"/>
      <c r="BG285" s="104"/>
      <c r="BH285" s="104"/>
      <c r="BI285" s="102"/>
      <c r="BJ285" s="104"/>
      <c r="BK285" s="104"/>
      <c r="BL285" s="103"/>
      <c r="BM285" s="103"/>
      <c r="BN285" s="103"/>
      <c r="BO285" s="103"/>
      <c r="BP285" s="103"/>
      <c r="BQ285" s="103"/>
      <c r="BR285" s="103"/>
      <c r="BS285" s="103"/>
      <c r="BT285" s="103"/>
      <c r="BU285" s="103"/>
      <c r="BV285" s="103"/>
      <c r="BW285" s="103"/>
      <c r="BX285" s="103"/>
      <c r="BY285" s="103"/>
      <c r="BZ285" s="103"/>
      <c r="CA285" s="103"/>
      <c r="CB285" s="104"/>
      <c r="CC285" s="104"/>
      <c r="CD285" s="104"/>
      <c r="CE285" s="104"/>
      <c r="CF285" s="104"/>
      <c r="CG285" s="104"/>
      <c r="CH285" s="103"/>
      <c r="CI285" s="103"/>
      <c r="CJ285" s="103"/>
      <c r="CK285" s="103"/>
      <c r="CL285" s="103"/>
      <c r="CM285" s="103"/>
      <c r="CN285" s="103"/>
      <c r="CO285" s="103"/>
      <c r="CP285" s="103"/>
      <c r="CQ285" s="103"/>
      <c r="CR285" s="103"/>
      <c r="CS285" s="103"/>
      <c r="CT285" s="103"/>
      <c r="CU285" s="103"/>
      <c r="CV285" s="103"/>
      <c r="CW285" s="103"/>
      <c r="CX285" s="103"/>
      <c r="CY285" s="103"/>
      <c r="CZ285" s="103"/>
      <c r="DA285" s="103"/>
      <c r="DB285" s="103"/>
      <c r="DC285" s="103"/>
      <c r="DD285" s="103"/>
      <c r="DE285" s="103"/>
      <c r="DF285" s="465"/>
      <c r="DG285" s="107"/>
      <c r="DH285" s="107"/>
      <c r="DI285" s="465"/>
      <c r="DJ285" s="51"/>
      <c r="DK285" s="52"/>
      <c r="DL285" s="52"/>
      <c r="DM285" s="52"/>
      <c r="DN285" s="52"/>
      <c r="DO285" s="52"/>
      <c r="DP285" s="52"/>
      <c r="DQ285" s="52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P285" s="53"/>
      <c r="EQ285" s="1"/>
      <c r="ER285" s="103"/>
      <c r="ES285" s="102"/>
      <c r="ET285" s="1"/>
      <c r="EU285" s="103"/>
      <c r="EV285" s="1"/>
      <c r="EW285" s="1"/>
      <c r="EX285" s="1"/>
      <c r="EY285" s="104"/>
      <c r="FN285" s="657">
        <v>41</v>
      </c>
      <c r="FO285" s="469" t="str">
        <f ca="1">IF($FN285+FO$244&gt;73,"",PRODUCT(INDEX($T$19:$T$93,FO$244):INDEX($T$19:$T$93,FO$244+$FN285-1)))</f>
        <v/>
      </c>
      <c r="FP285" s="469" t="str">
        <f ca="1">IF($FN285+FP$244&gt;73,"",PRODUCT(INDEX($T$19:$T$93,FP$244):INDEX($T$19:$T$93,FP$244+$FN285-1)))</f>
        <v/>
      </c>
      <c r="FQ285" s="469" t="str">
        <f ca="1">IF($FN285+FQ$244&gt;73,"",PRODUCT(INDEX($T$19:$T$93,FQ$244):INDEX($T$19:$T$93,FQ$244+$FN285-1)))</f>
        <v/>
      </c>
      <c r="FR285" s="469" t="str">
        <f ca="1">IF($FN285+FR$244&gt;73,"",PRODUCT(INDEX($T$19:$T$93,FR$244):INDEX($T$19:$T$93,FR$244+$FN285-1)))</f>
        <v/>
      </c>
      <c r="FS285" s="469" t="str">
        <f ca="1">IF($FN285+FS$244&gt;73,"",PRODUCT(INDEX($T$19:$T$93,FS$244):INDEX($T$19:$T$93,FS$244+$FN285-1)))</f>
        <v/>
      </c>
      <c r="FT285" s="469" t="str">
        <f ca="1">IF($FN285+FT$244&gt;73,"",PRODUCT(INDEX($T$19:$T$93,FT$244):INDEX($T$19:$T$93,FT$244+$FN285-1)))</f>
        <v/>
      </c>
      <c r="FU285" s="469" t="str">
        <f ca="1">IF($FN285+FU$244&gt;73,"",PRODUCT(INDEX($T$19:$T$93,FU$244):INDEX($T$19:$T$93,FU$244+$FN285-1)))</f>
        <v/>
      </c>
      <c r="FV285" s="469" t="str">
        <f ca="1">IF($FN285+FV$244&gt;73,"",PRODUCT(INDEX($T$19:$T$93,FV$244):INDEX($T$19:$T$93,FV$244+$FN285-1)))</f>
        <v/>
      </c>
      <c r="FW285" s="469" t="str">
        <f ca="1">IF($FN285+FW$244&gt;73,"",PRODUCT(INDEX($T$19:$T$93,FW$244):INDEX($T$19:$T$93,FW$244+$FN285-1)))</f>
        <v/>
      </c>
      <c r="FX285" s="469" t="str">
        <f ca="1">IF($FN285+FX$244&gt;73,"",PRODUCT(INDEX($T$19:$T$93,FX$244):INDEX($T$19:$T$93,FX$244+$FN285-1)))</f>
        <v/>
      </c>
      <c r="FY285" s="469" t="str">
        <f ca="1">IF($FN285+FY$244&gt;73,"",PRODUCT(INDEX($T$19:$T$93,FY$244):INDEX($T$19:$T$93,FY$244+$FN285-1)))</f>
        <v/>
      </c>
      <c r="FZ285" s="469" t="str">
        <f ca="1">IF($FN285+FZ$244&gt;73,"",PRODUCT(INDEX($T$19:$T$93,FZ$244):INDEX($T$19:$T$93,FZ$244+$FN285-1)))</f>
        <v/>
      </c>
      <c r="GA285" s="469" t="str">
        <f ca="1">IF($FN285+GA$244&gt;73,"",PRODUCT(INDEX($T$19:$T$93,GA$244):INDEX($T$19:$T$93,GA$244+$FN285-1)))</f>
        <v/>
      </c>
      <c r="GB285" s="469" t="str">
        <f ca="1">IF($FN285+GB$244&gt;73,"",PRODUCT(INDEX($T$19:$T$93,GB$244):INDEX($T$19:$T$93,GB$244+$FN285-1)))</f>
        <v/>
      </c>
      <c r="GC285" s="469" t="str">
        <f ca="1">IF($FN285+GC$244&gt;73,"",PRODUCT(INDEX($T$19:$T$93,GC$244):INDEX($T$19:$T$93,GC$244+$FN285-1)))</f>
        <v/>
      </c>
      <c r="GD285" s="469" t="str">
        <f ca="1">IF($FN285+GD$244&gt;73,"",PRODUCT(INDEX($T$19:$T$93,GD$244):INDEX($T$19:$T$93,GD$244+$FN285-1)))</f>
        <v/>
      </c>
      <c r="GE285" s="469" t="str">
        <f ca="1">IF($FN285+GE$244&gt;73,"",PRODUCT(INDEX($T$19:$T$93,GE$244):INDEX($T$19:$T$93,GE$244+$FN285-1)))</f>
        <v/>
      </c>
      <c r="GF285" s="469" t="str">
        <f ca="1">IF($FN285+GF$244&gt;73,"",PRODUCT(INDEX($T$19:$T$93,GF$244):INDEX($T$19:$T$93,GF$244+$FN285-1)))</f>
        <v/>
      </c>
      <c r="GG285" s="469" t="str">
        <f ca="1">IF($FN285+GG$244&gt;73,"",PRODUCT(INDEX($T$19:$T$93,GG$244):INDEX($T$19:$T$93,GG$244+$FN285-1)))</f>
        <v/>
      </c>
      <c r="GH285" s="469" t="str">
        <f ca="1">IF($FN285+GH$244&gt;73,"",PRODUCT(INDEX($T$19:$T$93,GH$244):INDEX($T$19:$T$93,GH$244+$FN285-1)))</f>
        <v/>
      </c>
      <c r="GI285" s="469" t="str">
        <f ca="1">IF($FN285+GI$244&gt;73,"",PRODUCT(INDEX($T$19:$T$93,GI$244):INDEX($T$19:$T$93,GI$244+$FN285-1)))</f>
        <v/>
      </c>
      <c r="GJ285" s="469" t="str">
        <f ca="1">IF($FN285+GJ$244&gt;73,"",PRODUCT(INDEX($T$19:$T$93,GJ$244):INDEX($T$19:$T$93,GJ$244+$FN285-1)))</f>
        <v/>
      </c>
      <c r="GK285" s="469" t="str">
        <f ca="1">IF($FN285+GK$244&gt;73,"",PRODUCT(INDEX($T$19:$T$93,GK$244):INDEX($T$19:$T$93,GK$244+$FN285-1)))</f>
        <v/>
      </c>
      <c r="GL285" s="469" t="str">
        <f ca="1">IF($FN285+GL$244&gt;73,"",PRODUCT(INDEX($T$19:$T$93,GL$244):INDEX($T$19:$T$93,GL$244+$FN285-1)))</f>
        <v/>
      </c>
      <c r="GM285" s="469" t="str">
        <f ca="1">IF($FN285+GM$244&gt;73,"",PRODUCT(INDEX($T$19:$T$93,GM$244):INDEX($T$19:$T$93,GM$244+$FN285-1)))</f>
        <v/>
      </c>
      <c r="GN285" s="469" t="str">
        <f ca="1">IF($FN285+GN$244&gt;73,"",PRODUCT(INDEX($T$19:$T$93,GN$244):INDEX($T$19:$T$93,GN$244+$FN285-1)))</f>
        <v/>
      </c>
      <c r="GO285" s="469" t="str">
        <f ca="1">IF($FN285+GO$244&gt;73,"",PRODUCT(INDEX($T$19:$T$93,GO$244):INDEX($T$19:$T$93,GO$244+$FN285-1)))</f>
        <v/>
      </c>
      <c r="GP285" s="469" t="str">
        <f ca="1">IF($FN285+GP$244&gt;73,"",PRODUCT(INDEX($T$19:$T$93,GP$244):INDEX($T$19:$T$93,GP$244+$FN285-1)))</f>
        <v/>
      </c>
      <c r="GQ285" s="469" t="str">
        <f ca="1">IF($FN285+GQ$244&gt;73,"",PRODUCT(INDEX($T$19:$T$93,GQ$244):INDEX($T$19:$T$93,GQ$244+$FN285-1)))</f>
        <v/>
      </c>
      <c r="GR285" s="469" t="str">
        <f ca="1">IF($FN285+GR$244&gt;73,"",PRODUCT(INDEX($T$19:$T$93,GR$244):INDEX($T$19:$T$93,GR$244+$FN285-1)))</f>
        <v/>
      </c>
      <c r="GS285" s="469" t="str">
        <f ca="1">IF($FN285+GS$244&gt;73,"",PRODUCT(INDEX($T$19:$T$93,GS$244):INDEX($T$19:$T$93,GS$244+$FN285-1)))</f>
        <v/>
      </c>
      <c r="GT285" s="469" t="str">
        <f ca="1">IF($FN285+GT$244&gt;73,"",PRODUCT(INDEX($T$19:$T$93,GT$244):INDEX($T$19:$T$93,GT$244+$FN285-1)))</f>
        <v/>
      </c>
      <c r="GU285" s="469" t="str">
        <f ca="1">IF($FN285+GU$244&gt;73,"",PRODUCT(INDEX($T$19:$T$93,GU$244):INDEX($T$19:$T$93,GU$244+$FN285-1)))</f>
        <v/>
      </c>
      <c r="GV285" s="469" t="str">
        <f ca="1">IF($FN285+GV$244&gt;73,"",PRODUCT(INDEX($T$19:$T$93,GV$244):INDEX($T$19:$T$93,GV$244+$FN285-1)))</f>
        <v/>
      </c>
      <c r="GW285" s="469" t="str">
        <f ca="1">IF($FN285+GW$244&gt;73,"",PRODUCT(INDEX($T$19:$T$93,GW$244):INDEX($T$19:$T$93,GW$244+$FN285-1)))</f>
        <v/>
      </c>
      <c r="GX285" s="469" t="str">
        <f ca="1">IF($FN285+GX$244&gt;73,"",PRODUCT(INDEX($T$19:$T$93,GX$244):INDEX($T$19:$T$93,GX$244+$FN285-1)))</f>
        <v/>
      </c>
      <c r="GY285" s="469" t="str">
        <f ca="1">IF($FN285+GY$244&gt;73,"",PRODUCT(INDEX($T$19:$T$93,GY$244):INDEX($T$19:$T$93,GY$244+$FN285-1)))</f>
        <v/>
      </c>
      <c r="GZ285" s="469" t="str">
        <f ca="1">IF($FN285+GZ$244&gt;73,"",PRODUCT(INDEX($T$19:$T$93,GZ$244):INDEX($T$19:$T$93,GZ$244+$FN285-1)))</f>
        <v/>
      </c>
      <c r="HA285" s="469" t="str">
        <f ca="1">IF($FN285+HA$244&gt;73,"",PRODUCT(INDEX($T$19:$T$93,HA$244):INDEX($T$19:$T$93,HA$244+$FN285-1)))</f>
        <v/>
      </c>
      <c r="HB285" s="469" t="str">
        <f ca="1">IF($FN285+HB$244&gt;73,"",PRODUCT(INDEX($T$19:$T$93,HB$244):INDEX($T$19:$T$93,HB$244+$FN285-1)))</f>
        <v/>
      </c>
      <c r="HC285" s="469">
        <f ca="1">IF($FN285+HC$244&gt;73,"",PRODUCT(INDEX($T$19:$T$93,HC$244):INDEX($T$19:$T$93,HC$244+$FN285-1)))</f>
        <v>0.96781530316803366</v>
      </c>
      <c r="HD285" s="469">
        <f ca="1">IF($FN285+HD$244&gt;73,"",PRODUCT(INDEX($T$19:$T$93,HD$244):INDEX($T$19:$T$93,HD$244+$FN285-1)))</f>
        <v>0.96429573356976395</v>
      </c>
      <c r="HE285" s="469">
        <f ca="1">IF($FN285+HE$244&gt;73,"",PRODUCT(INDEX($T$19:$T$93,HE$244):INDEX($T$19:$T$93,HE$244+$FN285-1)))</f>
        <v>0.96039810972663908</v>
      </c>
      <c r="HF285" s="469">
        <f ca="1">IF($FN285+HF$244&gt;73,"",PRODUCT(INDEX($T$19:$T$93,HF$244):INDEX($T$19:$T$93,HF$244+$FN285-1)))</f>
        <v>0.95608339225462169</v>
      </c>
      <c r="HG285" s="469">
        <f ca="1">IF($FN285+HG$244&gt;73,"",PRODUCT(INDEX($T$19:$T$93,HG$244):INDEX($T$19:$T$93,HG$244+$FN285-1)))</f>
        <v>0.951308870867284</v>
      </c>
      <c r="HH285" s="469">
        <f ca="1">IF($FN285+HH$244&gt;73,"",PRODUCT(INDEX($T$19:$T$93,HH$244):INDEX($T$19:$T$93,HH$244+$FN285-1)))</f>
        <v>0.94602790306357931</v>
      </c>
      <c r="HI285" s="469">
        <f ca="1">IF($FN285+HI$244&gt;73,"",PRODUCT(INDEX($T$19:$T$93,HI$244):INDEX($T$19:$T$93,HI$244+$FN285-1)))</f>
        <v>0.94018965488402806</v>
      </c>
      <c r="HJ285" s="469">
        <f ca="1">IF($FN285+HJ$244&gt;73,"",PRODUCT(INDEX($T$19:$T$93,HJ$244):INDEX($T$19:$T$93,HJ$244+$FN285-1)))</f>
        <v>0.93373885019901515</v>
      </c>
      <c r="HK285" s="469">
        <f ca="1">IF($FN285+HK$244&gt;73,"",PRODUCT(INDEX($T$19:$T$93,HK$244):INDEX($T$19:$T$93,HK$244+$FN285-1)))</f>
        <v>0.92661553684282061</v>
      </c>
      <c r="HL285" s="469">
        <f ca="1">IF($FN285+HL$244&gt;73,"",PRODUCT(INDEX($T$19:$T$93,HL$244):INDEX($T$19:$T$93,HL$244+$FN285-1)))</f>
        <v>0.9187548801315476</v>
      </c>
      <c r="HM285" s="469">
        <f ca="1">IF($FN285+HM$244&gt;73,"",PRODUCT(INDEX($T$19:$T$93,HM$244):INDEX($T$19:$T$93,HM$244+$FN285-1)))</f>
        <v>0.91008699695824347</v>
      </c>
      <c r="HN285" s="469">
        <f ca="1">IF($FN285+HN$244&gt;73,"",PRODUCT(INDEX($T$19:$T$93,HN$244):INDEX($T$19:$T$93,HN$244+$FN285-1)))</f>
        <v>0.90053684680478419</v>
      </c>
      <c r="HO285" s="469">
        <f ca="1">IF($FN285+HO$244&gt;73,"",PRODUCT(INDEX($T$19:$T$93,HO$244):INDEX($T$19:$T$93,HO$244+$FN285-1)))</f>
        <v>0.89002419971164148</v>
      </c>
      <c r="HP285" s="469">
        <f ca="1">IF($FN285+HP$244&gt;73,"",PRODUCT(INDEX($T$19:$T$93,HP$244):INDEX($T$19:$T$93,HP$244+$FN285-1)))</f>
        <v>0.87846370557134201</v>
      </c>
      <c r="HQ285" s="469">
        <f ca="1">IF($FN285+HQ$244&gt;73,"",PRODUCT(INDEX($T$19:$T$93,HQ$244):INDEX($T$19:$T$93,HQ$244+$FN285-1)))</f>
        <v>0.86576509412946778</v>
      </c>
      <c r="HR285" s="469">
        <f ca="1">IF($FN285+HR$244&gt;73,"",PRODUCT(INDEX($T$19:$T$93,HR$244):INDEX($T$19:$T$93,HR$244+$FN285-1)))</f>
        <v>0.85183354086168073</v>
      </c>
      <c r="HS285" s="469">
        <f ca="1">IF($FN285+HS$244&gt;73,"",PRODUCT(INDEX($T$19:$T$93,HS$244):INDEX($T$19:$T$93,HS$244+$FN285-1)))</f>
        <v>0.83657024052166273</v>
      </c>
      <c r="HT285" s="469">
        <f ca="1">IF($FN285+HT$244&gt;73,"",PRODUCT(INDEX($T$19:$T$93,HT$244):INDEX($T$19:$T$93,HT$244+$FN285-1)))</f>
        <v>0.81987323770117315</v>
      </c>
      <c r="HU285" s="469">
        <f ca="1">IF($FN285+HU$244&gt;73,"",PRODUCT(INDEX($T$19:$T$93,HU$244):INDEX($T$19:$T$93,HU$244+$FN285-1)))</f>
        <v>0.80163857228979163</v>
      </c>
      <c r="HV285" s="469">
        <f ca="1">IF($FN285+HV$244&gt;73,"",PRODUCT(INDEX($T$19:$T$93,HV$244):INDEX($T$19:$T$93,HV$244+$FN285-1)))</f>
        <v>0.78176180734855061</v>
      </c>
      <c r="HW285" s="469">
        <f ca="1">IF($FN285+HW$244&gt;73,"",PRODUCT(INDEX($T$19:$T$93,HW$244):INDEX($T$19:$T$93,HW$244+$FN285-1)))</f>
        <v>0.76014001769031836</v>
      </c>
      <c r="HX285" s="469">
        <f ca="1">IF($FN285+HX$244&gt;73,"",PRODUCT(INDEX($T$19:$T$93,HX$244):INDEX($T$19:$T$93,HX$244+$FN285-1)))</f>
        <v>0.7366743294317617</v>
      </c>
      <c r="HY285" s="469">
        <f ca="1">IF($FN285+HY$244&gt;73,"",PRODUCT(INDEX($T$19:$T$93,HY$244):INDEX($T$19:$T$93,HY$244+$FN285-1)))</f>
        <v>0.71127311390699788</v>
      </c>
      <c r="HZ285" s="469">
        <f ca="1">IF($FN285+HZ$244&gt;73,"",PRODUCT(INDEX($T$19:$T$93,HZ$244):INDEX($T$19:$T$93,HZ$244+$FN285-1)))</f>
        <v>0.68385595338426797</v>
      </c>
      <c r="IA285" s="469">
        <f ca="1">IF($FN285+IA$244&gt;73,"",PRODUCT(INDEX($T$19:$T$93,IA$244):INDEX($T$19:$T$93,IA$244+$FN285-1)))</f>
        <v>0.65435851038348747</v>
      </c>
      <c r="IB285" s="469">
        <f ca="1">IF($FN285+IB$244&gt;73,"",PRODUCT(INDEX($T$19:$T$93,IB$244):INDEX($T$19:$T$93,IB$244+$FN285-1)))</f>
        <v>0.62273844566122249</v>
      </c>
      <c r="IC285" s="469">
        <f ca="1">IF($FN285+IC$244&gt;73,"",PRODUCT(INDEX($T$19:$T$93,IC$244):INDEX($T$19:$T$93,IC$244+$FN285-1)))</f>
        <v>0.58898253928264321</v>
      </c>
      <c r="ID285" s="469">
        <f ca="1">IF($FN285+ID$244&gt;73,"",PRODUCT(INDEX($T$19:$T$93,ID$244):INDEX($T$19:$T$93,ID$244+$FN285-1)))</f>
        <v>0.55311516926860005</v>
      </c>
      <c r="IE285" s="469">
        <f ca="1">IF($FN285+IE$244&gt;73,"",PRODUCT(INDEX($T$19:$T$93,IE$244):INDEX($T$19:$T$93,IE$244+$FN285-1)))</f>
        <v>0.51520828342410874</v>
      </c>
      <c r="IF285" s="469">
        <f ca="1">IF($FN285+IF$244&gt;73,"",PRODUCT(INDEX($T$19:$T$93,IF$244):INDEX($T$19:$T$93,IF$244+$FN285-1)))</f>
        <v>0.47539294552341455</v>
      </c>
      <c r="IG285" s="469">
        <f ca="1">IF($FN285+IG$244&gt;73,"",PRODUCT(INDEX($T$19:$T$93,IG$244):INDEX($T$19:$T$93,IG$244+$FN285-1)))</f>
        <v>0.43387241984842873</v>
      </c>
      <c r="IH285" s="662">
        <f ca="1">IF($FN285+IH$244&gt;73,"",PRODUCT(INDEX($T$19:$T$93,IH$244):INDEX($T$19:$T$93,IH$244+$FN285-1)))</f>
        <v>0.39093653581895038</v>
      </c>
      <c r="II285" s="242"/>
    </row>
    <row r="286" spans="9:243">
      <c r="I286" s="132"/>
      <c r="J286" s="365"/>
      <c r="K286" s="133"/>
      <c r="L286" s="1"/>
      <c r="M286" s="366"/>
      <c r="P286" s="365"/>
      <c r="S286" s="53"/>
      <c r="T286" s="365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364">
        <v>6.4911538565672E-2</v>
      </c>
      <c r="AP286" s="1"/>
      <c r="AQ286" s="364">
        <v>5.8718504372136299E-2</v>
      </c>
      <c r="AR286" s="1"/>
      <c r="AS286" s="1"/>
      <c r="AT286" s="103"/>
      <c r="AU286" s="103"/>
      <c r="AV286" s="103"/>
      <c r="AW286" s="31"/>
      <c r="AX286" s="31"/>
      <c r="AY286" s="31"/>
      <c r="AZ286" s="31"/>
      <c r="BA286" s="146"/>
      <c r="BB286" s="146"/>
      <c r="BC286" s="103"/>
      <c r="BD286" s="103"/>
      <c r="BE286" s="103"/>
      <c r="BF286" s="104"/>
      <c r="BG286" s="104"/>
      <c r="BH286" s="104"/>
      <c r="BI286" s="102"/>
      <c r="BJ286" s="104"/>
      <c r="BK286" s="104"/>
      <c r="BL286" s="103"/>
      <c r="BM286" s="103"/>
      <c r="BN286" s="103"/>
      <c r="BO286" s="103"/>
      <c r="BP286" s="103"/>
      <c r="BQ286" s="103"/>
      <c r="BR286" s="103"/>
      <c r="BS286" s="103"/>
      <c r="BT286" s="103"/>
      <c r="BU286" s="103"/>
      <c r="BV286" s="103"/>
      <c r="BW286" s="103"/>
      <c r="BX286" s="103"/>
      <c r="BY286" s="103"/>
      <c r="BZ286" s="103"/>
      <c r="CA286" s="103"/>
      <c r="CB286" s="104"/>
      <c r="CC286" s="104"/>
      <c r="CD286" s="104"/>
      <c r="CE286" s="104"/>
      <c r="CF286" s="104"/>
      <c r="CG286" s="104"/>
      <c r="CH286" s="103"/>
      <c r="CI286" s="103"/>
      <c r="CJ286" s="103"/>
      <c r="CK286" s="103"/>
      <c r="CL286" s="103"/>
      <c r="CM286" s="103"/>
      <c r="CN286" s="103"/>
      <c r="CO286" s="103"/>
      <c r="CP286" s="103"/>
      <c r="CQ286" s="103"/>
      <c r="CR286" s="103"/>
      <c r="CS286" s="103"/>
      <c r="CT286" s="103"/>
      <c r="CU286" s="103"/>
      <c r="CV286" s="103"/>
      <c r="CW286" s="103"/>
      <c r="CX286" s="103"/>
      <c r="CY286" s="103"/>
      <c r="CZ286" s="103"/>
      <c r="DA286" s="103"/>
      <c r="DB286" s="103"/>
      <c r="DC286" s="103"/>
      <c r="DD286" s="103"/>
      <c r="DE286" s="103"/>
      <c r="DF286" s="465"/>
      <c r="DG286" s="107"/>
      <c r="DH286" s="107"/>
      <c r="DI286" s="465"/>
      <c r="DJ286" s="51"/>
      <c r="DK286" s="52"/>
      <c r="DL286" s="52"/>
      <c r="DM286" s="52"/>
      <c r="DN286" s="52"/>
      <c r="DO286" s="52"/>
      <c r="DP286" s="52"/>
      <c r="DQ286" s="52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P286" s="53"/>
      <c r="EQ286" s="1"/>
      <c r="ER286" s="103"/>
      <c r="ES286" s="102"/>
      <c r="ET286" s="1"/>
      <c r="EU286" s="103"/>
      <c r="EV286" s="1"/>
      <c r="EW286" s="1"/>
      <c r="EX286" s="1"/>
      <c r="EY286" s="104"/>
      <c r="FN286" s="657">
        <v>42</v>
      </c>
      <c r="FO286" s="469" t="str">
        <f ca="1">IF($FN286+FO$244&gt;73,"",PRODUCT(INDEX($T$19:$T$93,FO$244):INDEX($T$19:$T$93,FO$244+$FN286-1)))</f>
        <v/>
      </c>
      <c r="FP286" s="469" t="str">
        <f ca="1">IF($FN286+FP$244&gt;73,"",PRODUCT(INDEX($T$19:$T$93,FP$244):INDEX($T$19:$T$93,FP$244+$FN286-1)))</f>
        <v/>
      </c>
      <c r="FQ286" s="469" t="str">
        <f ca="1">IF($FN286+FQ$244&gt;73,"",PRODUCT(INDEX($T$19:$T$93,FQ$244):INDEX($T$19:$T$93,FQ$244+$FN286-1)))</f>
        <v/>
      </c>
      <c r="FR286" s="469" t="str">
        <f ca="1">IF($FN286+FR$244&gt;73,"",PRODUCT(INDEX($T$19:$T$93,FR$244):INDEX($T$19:$T$93,FR$244+$FN286-1)))</f>
        <v/>
      </c>
      <c r="FS286" s="469" t="str">
        <f ca="1">IF($FN286+FS$244&gt;73,"",PRODUCT(INDEX($T$19:$T$93,FS$244):INDEX($T$19:$T$93,FS$244+$FN286-1)))</f>
        <v/>
      </c>
      <c r="FT286" s="469" t="str">
        <f ca="1">IF($FN286+FT$244&gt;73,"",PRODUCT(INDEX($T$19:$T$93,FT$244):INDEX($T$19:$T$93,FT$244+$FN286-1)))</f>
        <v/>
      </c>
      <c r="FU286" s="469" t="str">
        <f ca="1">IF($FN286+FU$244&gt;73,"",PRODUCT(INDEX($T$19:$T$93,FU$244):INDEX($T$19:$T$93,FU$244+$FN286-1)))</f>
        <v/>
      </c>
      <c r="FV286" s="469" t="str">
        <f ca="1">IF($FN286+FV$244&gt;73,"",PRODUCT(INDEX($T$19:$T$93,FV$244):INDEX($T$19:$T$93,FV$244+$FN286-1)))</f>
        <v/>
      </c>
      <c r="FW286" s="469" t="str">
        <f ca="1">IF($FN286+FW$244&gt;73,"",PRODUCT(INDEX($T$19:$T$93,FW$244):INDEX($T$19:$T$93,FW$244+$FN286-1)))</f>
        <v/>
      </c>
      <c r="FX286" s="469" t="str">
        <f ca="1">IF($FN286+FX$244&gt;73,"",PRODUCT(INDEX($T$19:$T$93,FX$244):INDEX($T$19:$T$93,FX$244+$FN286-1)))</f>
        <v/>
      </c>
      <c r="FY286" s="469" t="str">
        <f ca="1">IF($FN286+FY$244&gt;73,"",PRODUCT(INDEX($T$19:$T$93,FY$244):INDEX($T$19:$T$93,FY$244+$FN286-1)))</f>
        <v/>
      </c>
      <c r="FZ286" s="469" t="str">
        <f ca="1">IF($FN286+FZ$244&gt;73,"",PRODUCT(INDEX($T$19:$T$93,FZ$244):INDEX($T$19:$T$93,FZ$244+$FN286-1)))</f>
        <v/>
      </c>
      <c r="GA286" s="469" t="str">
        <f ca="1">IF($FN286+GA$244&gt;73,"",PRODUCT(INDEX($T$19:$T$93,GA$244):INDEX($T$19:$T$93,GA$244+$FN286-1)))</f>
        <v/>
      </c>
      <c r="GB286" s="469" t="str">
        <f ca="1">IF($FN286+GB$244&gt;73,"",PRODUCT(INDEX($T$19:$T$93,GB$244):INDEX($T$19:$T$93,GB$244+$FN286-1)))</f>
        <v/>
      </c>
      <c r="GC286" s="469" t="str">
        <f ca="1">IF($FN286+GC$244&gt;73,"",PRODUCT(INDEX($T$19:$T$93,GC$244):INDEX($T$19:$T$93,GC$244+$FN286-1)))</f>
        <v/>
      </c>
      <c r="GD286" s="469" t="str">
        <f ca="1">IF($FN286+GD$244&gt;73,"",PRODUCT(INDEX($T$19:$T$93,GD$244):INDEX($T$19:$T$93,GD$244+$FN286-1)))</f>
        <v/>
      </c>
      <c r="GE286" s="469" t="str">
        <f ca="1">IF($FN286+GE$244&gt;73,"",PRODUCT(INDEX($T$19:$T$93,GE$244):INDEX($T$19:$T$93,GE$244+$FN286-1)))</f>
        <v/>
      </c>
      <c r="GF286" s="469" t="str">
        <f ca="1">IF($FN286+GF$244&gt;73,"",PRODUCT(INDEX($T$19:$T$93,GF$244):INDEX($T$19:$T$93,GF$244+$FN286-1)))</f>
        <v/>
      </c>
      <c r="GG286" s="469" t="str">
        <f ca="1">IF($FN286+GG$244&gt;73,"",PRODUCT(INDEX($T$19:$T$93,GG$244):INDEX($T$19:$T$93,GG$244+$FN286-1)))</f>
        <v/>
      </c>
      <c r="GH286" s="469" t="str">
        <f ca="1">IF($FN286+GH$244&gt;73,"",PRODUCT(INDEX($T$19:$T$93,GH$244):INDEX($T$19:$T$93,GH$244+$FN286-1)))</f>
        <v/>
      </c>
      <c r="GI286" s="469" t="str">
        <f ca="1">IF($FN286+GI$244&gt;73,"",PRODUCT(INDEX($T$19:$T$93,GI$244):INDEX($T$19:$T$93,GI$244+$FN286-1)))</f>
        <v/>
      </c>
      <c r="GJ286" s="469" t="str">
        <f ca="1">IF($FN286+GJ$244&gt;73,"",PRODUCT(INDEX($T$19:$T$93,GJ$244):INDEX($T$19:$T$93,GJ$244+$FN286-1)))</f>
        <v/>
      </c>
      <c r="GK286" s="469" t="str">
        <f ca="1">IF($FN286+GK$244&gt;73,"",PRODUCT(INDEX($T$19:$T$93,GK$244):INDEX($T$19:$T$93,GK$244+$FN286-1)))</f>
        <v/>
      </c>
      <c r="GL286" s="469" t="str">
        <f ca="1">IF($FN286+GL$244&gt;73,"",PRODUCT(INDEX($T$19:$T$93,GL$244):INDEX($T$19:$T$93,GL$244+$FN286-1)))</f>
        <v/>
      </c>
      <c r="GM286" s="469" t="str">
        <f ca="1">IF($FN286+GM$244&gt;73,"",PRODUCT(INDEX($T$19:$T$93,GM$244):INDEX($T$19:$T$93,GM$244+$FN286-1)))</f>
        <v/>
      </c>
      <c r="GN286" s="469" t="str">
        <f ca="1">IF($FN286+GN$244&gt;73,"",PRODUCT(INDEX($T$19:$T$93,GN$244):INDEX($T$19:$T$93,GN$244+$FN286-1)))</f>
        <v/>
      </c>
      <c r="GO286" s="469" t="str">
        <f ca="1">IF($FN286+GO$244&gt;73,"",PRODUCT(INDEX($T$19:$T$93,GO$244):INDEX($T$19:$T$93,GO$244+$FN286-1)))</f>
        <v/>
      </c>
      <c r="GP286" s="469" t="str">
        <f ca="1">IF($FN286+GP$244&gt;73,"",PRODUCT(INDEX($T$19:$T$93,GP$244):INDEX($T$19:$T$93,GP$244+$FN286-1)))</f>
        <v/>
      </c>
      <c r="GQ286" s="469" t="str">
        <f ca="1">IF($FN286+GQ$244&gt;73,"",PRODUCT(INDEX($T$19:$T$93,GQ$244):INDEX($T$19:$T$93,GQ$244+$FN286-1)))</f>
        <v/>
      </c>
      <c r="GR286" s="469" t="str">
        <f ca="1">IF($FN286+GR$244&gt;73,"",PRODUCT(INDEX($T$19:$T$93,GR$244):INDEX($T$19:$T$93,GR$244+$FN286-1)))</f>
        <v/>
      </c>
      <c r="GS286" s="469" t="str">
        <f ca="1">IF($FN286+GS$244&gt;73,"",PRODUCT(INDEX($T$19:$T$93,GS$244):INDEX($T$19:$T$93,GS$244+$FN286-1)))</f>
        <v/>
      </c>
      <c r="GT286" s="469" t="str">
        <f ca="1">IF($FN286+GT$244&gt;73,"",PRODUCT(INDEX($T$19:$T$93,GT$244):INDEX($T$19:$T$93,GT$244+$FN286-1)))</f>
        <v/>
      </c>
      <c r="GU286" s="469" t="str">
        <f ca="1">IF($FN286+GU$244&gt;73,"",PRODUCT(INDEX($T$19:$T$93,GU$244):INDEX($T$19:$T$93,GU$244+$FN286-1)))</f>
        <v/>
      </c>
      <c r="GV286" s="469" t="str">
        <f ca="1">IF($FN286+GV$244&gt;73,"",PRODUCT(INDEX($T$19:$T$93,GV$244):INDEX($T$19:$T$93,GV$244+$FN286-1)))</f>
        <v/>
      </c>
      <c r="GW286" s="469" t="str">
        <f ca="1">IF($FN286+GW$244&gt;73,"",PRODUCT(INDEX($T$19:$T$93,GW$244):INDEX($T$19:$T$93,GW$244+$FN286-1)))</f>
        <v/>
      </c>
      <c r="GX286" s="469" t="str">
        <f ca="1">IF($FN286+GX$244&gt;73,"",PRODUCT(INDEX($T$19:$T$93,GX$244):INDEX($T$19:$T$93,GX$244+$FN286-1)))</f>
        <v/>
      </c>
      <c r="GY286" s="469" t="str">
        <f ca="1">IF($FN286+GY$244&gt;73,"",PRODUCT(INDEX($T$19:$T$93,GY$244):INDEX($T$19:$T$93,GY$244+$FN286-1)))</f>
        <v/>
      </c>
      <c r="GZ286" s="469" t="str">
        <f ca="1">IF($FN286+GZ$244&gt;73,"",PRODUCT(INDEX($T$19:$T$93,GZ$244):INDEX($T$19:$T$93,GZ$244+$FN286-1)))</f>
        <v/>
      </c>
      <c r="HA286" s="469" t="str">
        <f ca="1">IF($FN286+HA$244&gt;73,"",PRODUCT(INDEX($T$19:$T$93,HA$244):INDEX($T$19:$T$93,HA$244+$FN286-1)))</f>
        <v/>
      </c>
      <c r="HB286" s="469" t="str">
        <f ca="1">IF($FN286+HB$244&gt;73,"",PRODUCT(INDEX($T$19:$T$93,HB$244):INDEX($T$19:$T$93,HB$244+$FN286-1)))</f>
        <v/>
      </c>
      <c r="HC286" s="469" t="str">
        <f ca="1">IF($FN286+HC$244&gt;73,"",PRODUCT(INDEX($T$19:$T$93,HC$244):INDEX($T$19:$T$93,HC$244+$FN286-1)))</f>
        <v/>
      </c>
      <c r="HD286" s="469">
        <f ca="1">IF($FN286+HD$244&gt;73,"",PRODUCT(INDEX($T$19:$T$93,HD$244):INDEX($T$19:$T$93,HD$244+$FN286-1)))</f>
        <v>0.96424856724831698</v>
      </c>
      <c r="HE286" s="469">
        <f ca="1">IF($FN286+HE$244&gt;73,"",PRODUCT(INDEX($T$19:$T$93,HE$244):INDEX($T$19:$T$93,HE$244+$FN286-1)))</f>
        <v>0.96034591438404926</v>
      </c>
      <c r="HF286" s="469">
        <f ca="1">IF($FN286+HF$244&gt;73,"",PRODUCT(INDEX($T$19:$T$93,HF$244):INDEX($T$19:$T$93,HF$244+$FN286-1)))</f>
        <v>0.95602565780091775</v>
      </c>
      <c r="HG286" s="469">
        <f ca="1">IF($FN286+HG$244&gt;73,"",PRODUCT(INDEX($T$19:$T$93,HG$244):INDEX($T$19:$T$93,HG$244+$FN286-1)))</f>
        <v>0.9512450416064655</v>
      </c>
      <c r="HH286" s="469">
        <f ca="1">IF($FN286+HH$244&gt;73,"",PRODUCT(INDEX($T$19:$T$93,HH$244):INDEX($T$19:$T$93,HH$244+$FN286-1)))</f>
        <v>0.94595737509654509</v>
      </c>
      <c r="HI286" s="469">
        <f ca="1">IF($FN286+HI$244&gt;73,"",PRODUCT(INDEX($T$19:$T$93,HI$244):INDEX($T$19:$T$93,HI$244+$FN286-1)))</f>
        <v>0.94011177375716803</v>
      </c>
      <c r="HJ286" s="469">
        <f ca="1">IF($FN286+HJ$244&gt;73,"",PRODUCT(INDEX($T$19:$T$93,HJ$244):INDEX($T$19:$T$93,HJ$244+$FN286-1)))</f>
        <v>0.93365290893514108</v>
      </c>
      <c r="HK286" s="469">
        <f ca="1">IF($FN286+HK$244&gt;73,"",PRODUCT(INDEX($T$19:$T$93,HK$244):INDEX($T$19:$T$93,HK$244+$FN286-1)))</f>
        <v>0.92652077452645365</v>
      </c>
      <c r="HL286" s="469">
        <f ca="1">IF($FN286+HL$244&gt;73,"",PRODUCT(INDEX($T$19:$T$93,HL$244):INDEX($T$19:$T$93,HL$244+$FN286-1)))</f>
        <v>0.91865048126271642</v>
      </c>
      <c r="HM286" s="469">
        <f ca="1">IF($FN286+HM$244&gt;73,"",PRODUCT(INDEX($T$19:$T$93,HM$244):INDEX($T$19:$T$93,HM$244+$FN286-1)))</f>
        <v>0.9099720918387183</v>
      </c>
      <c r="HN286" s="469">
        <f ca="1">IF($FN286+HN$244&gt;73,"",PRODUCT(INDEX($T$19:$T$93,HN$244):INDEX($T$19:$T$93,HN$244+$FN286-1)))</f>
        <v>0.90041051327882471</v>
      </c>
      <c r="HO286" s="469">
        <f ca="1">IF($FN286+HO$244&gt;73,"",PRODUCT(INDEX($T$19:$T$93,HO$244):INDEX($T$19:$T$93,HO$244+$FN286-1)))</f>
        <v>0.88988546665044488</v>
      </c>
      <c r="HP286" s="469">
        <f ca="1">IF($FN286+HP$244&gt;73,"",PRODUCT(INDEX($T$19:$T$93,HP$244):INDEX($T$19:$T$93,HP$244+$FN286-1)))</f>
        <v>0.87831155856670062</v>
      </c>
      <c r="HQ286" s="469">
        <f ca="1">IF($FN286+HQ$244&gt;73,"",PRODUCT(INDEX($T$19:$T$93,HQ$244):INDEX($T$19:$T$93,HQ$244+$FN286-1)))</f>
        <v>0.86559848394738703</v>
      </c>
      <c r="HR286" s="469">
        <f ca="1">IF($FN286+HR$244&gt;73,"",PRODUCT(INDEX($T$19:$T$93,HR$244):INDEX($T$19:$T$93,HR$244+$FN286-1)))</f>
        <v>0.85165139529975697</v>
      </c>
      <c r="HS286" s="469">
        <f ca="1">IF($FN286+HS$244&gt;73,"",PRODUCT(INDEX($T$19:$T$93,HS$244):INDEX($T$19:$T$93,HS$244+$FN286-1)))</f>
        <v>0.83637148041250553</v>
      </c>
      <c r="HT286" s="469">
        <f ca="1">IF($FN286+HT$244&gt;73,"",PRODUCT(INDEX($T$19:$T$93,HT$244):INDEX($T$19:$T$93,HT$244+$FN286-1)))</f>
        <v>0.81965679790390999</v>
      </c>
      <c r="HU286" s="469">
        <f ca="1">IF($FN286+HU$244&gt;73,"",PRODUCT(INDEX($T$19:$T$93,HU$244):INDEX($T$19:$T$93,HU$244+$FN286-1)))</f>
        <v>0.80140342860596592</v>
      </c>
      <c r="HV286" s="469">
        <f ca="1">IF($FN286+HV$244&gt;73,"",PRODUCT(INDEX($T$19:$T$93,HV$244):INDEX($T$19:$T$93,HV$244+$FN286-1)))</f>
        <v>0.78150701037718096</v>
      </c>
      <c r="HW286" s="469">
        <f ca="1">IF($FN286+HW$244&gt;73,"",PRODUCT(INDEX($T$19:$T$93,HW$244):INDEX($T$19:$T$93,HW$244+$FN286-1)))</f>
        <v>0.75986473468422766</v>
      </c>
      <c r="HX286" s="469">
        <f ca="1">IF($FN286+HX$244&gt;73,"",PRODUCT(INDEX($T$19:$T$93,HX$244):INDEX($T$19:$T$93,HX$244+$FN286-1)))</f>
        <v>0.73637789521146535</v>
      </c>
      <c r="HY286" s="469">
        <f ca="1">IF($FN286+HY$244&gt;73,"",PRODUCT(INDEX($T$19:$T$93,HY$244):INDEX($T$19:$T$93,HY$244+$FN286-1)))</f>
        <v>0.71095509179834215</v>
      </c>
      <c r="HZ286" s="469">
        <f ca="1">IF($FN286+HZ$244&gt;73,"",PRODUCT(INDEX($T$19:$T$93,HZ$244):INDEX($T$19:$T$93,HZ$244+$FN286-1)))</f>
        <v>0.68351620692851012</v>
      </c>
      <c r="IA286" s="469">
        <f ca="1">IF($FN286+IA$244&gt;73,"",PRODUCT(INDEX($T$19:$T$93,IA$244):INDEX($T$19:$T$93,IA$244+$FN286-1)))</f>
        <v>0.65399728616485608</v>
      </c>
      <c r="IB286" s="469">
        <f ca="1">IF($FN286+IB$244&gt;73,"",PRODUCT(INDEX($T$19:$T$93,IB$244):INDEX($T$19:$T$93,IB$244+$FN286-1)))</f>
        <v>0.62235646692871738</v>
      </c>
      <c r="IC286" s="469">
        <f ca="1">IF($FN286+IC$244&gt;73,"",PRODUCT(INDEX($T$19:$T$93,IC$244):INDEX($T$19:$T$93,IC$244+$FN286-1)))</f>
        <v>0.58858110900748117</v>
      </c>
      <c r="ID286" s="469">
        <f ca="1">IF($FN286+ID$244&gt;73,"",PRODUCT(INDEX($T$19:$T$93,ID$244):INDEX($T$19:$T$93,ID$244+$FN286-1)))</f>
        <v>0.5526962797468743</v>
      </c>
      <c r="IE286" s="469">
        <f ca="1">IF($FN286+IE$244&gt;73,"",PRODUCT(INDEX($T$19:$T$93,IE$244):INDEX($T$19:$T$93,IE$244+$FN286-1)))</f>
        <v>0.51477472735017138</v>
      </c>
      <c r="IF286" s="469">
        <f ca="1">IF($FN286+IF$244&gt;73,"",PRODUCT(INDEX($T$19:$T$93,IF$244):INDEX($T$19:$T$93,IF$244+$FN286-1)))</f>
        <v>0.4749484204508011</v>
      </c>
      <c r="IG286" s="469">
        <f ca="1">IF($FN286+IG$244&gt;73,"",PRODUCT(INDEX($T$19:$T$93,IG$244):INDEX($T$19:$T$93,IG$244+$FN286-1)))</f>
        <v>0.43342161396056722</v>
      </c>
      <c r="IH286" s="662">
        <f ca="1">IF($FN286+IH$244&gt;73,"",PRODUCT(INDEX($T$19:$T$93,IH$244):INDEX($T$19:$T$93,IH$244+$FN286-1)))</f>
        <v>0.390485177863586</v>
      </c>
      <c r="II286" s="242"/>
    </row>
    <row r="287" spans="9:243">
      <c r="I287" s="132"/>
      <c r="J287" s="365"/>
      <c r="K287" s="133"/>
      <c r="L287" s="1"/>
      <c r="M287" s="366"/>
      <c r="P287" s="365"/>
      <c r="S287" s="53"/>
      <c r="T287" s="365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364">
        <v>6.4922186341213703E-2</v>
      </c>
      <c r="AP287" s="1"/>
      <c r="AQ287" s="364">
        <v>5.8679273623732299E-2</v>
      </c>
      <c r="AR287" s="1"/>
      <c r="AS287" s="1"/>
      <c r="AT287" s="103"/>
      <c r="AU287" s="103"/>
      <c r="AV287" s="103"/>
      <c r="AW287" s="31"/>
      <c r="AX287" s="31"/>
      <c r="AY287" s="31"/>
      <c r="AZ287" s="31"/>
      <c r="BA287" s="146"/>
      <c r="BB287" s="146"/>
      <c r="BC287" s="103"/>
      <c r="BD287" s="103"/>
      <c r="BE287" s="103"/>
      <c r="BF287" s="104"/>
      <c r="BG287" s="104"/>
      <c r="BH287" s="104"/>
      <c r="BI287" s="102"/>
      <c r="BJ287" s="104"/>
      <c r="BK287" s="104"/>
      <c r="BL287" s="103"/>
      <c r="BM287" s="103"/>
      <c r="BN287" s="103"/>
      <c r="BO287" s="103"/>
      <c r="BP287" s="103"/>
      <c r="BQ287" s="103"/>
      <c r="BR287" s="103"/>
      <c r="BS287" s="103"/>
      <c r="BT287" s="103"/>
      <c r="BU287" s="103"/>
      <c r="BV287" s="103"/>
      <c r="BW287" s="103"/>
      <c r="BX287" s="103"/>
      <c r="BY287" s="103"/>
      <c r="BZ287" s="103"/>
      <c r="CA287" s="103"/>
      <c r="CB287" s="104"/>
      <c r="CC287" s="104"/>
      <c r="CD287" s="104"/>
      <c r="CE287" s="104"/>
      <c r="CF287" s="104"/>
      <c r="CG287" s="104"/>
      <c r="CH287" s="103"/>
      <c r="CI287" s="103"/>
      <c r="CJ287" s="103"/>
      <c r="CK287" s="103"/>
      <c r="CL287" s="103"/>
      <c r="CM287" s="103"/>
      <c r="CN287" s="103"/>
      <c r="CO287" s="103"/>
      <c r="CP287" s="103"/>
      <c r="CQ287" s="103"/>
      <c r="CR287" s="103"/>
      <c r="CS287" s="103"/>
      <c r="CT287" s="103"/>
      <c r="CU287" s="103"/>
      <c r="CV287" s="103"/>
      <c r="CW287" s="103"/>
      <c r="CX287" s="103"/>
      <c r="CY287" s="103"/>
      <c r="CZ287" s="103"/>
      <c r="DA287" s="103"/>
      <c r="DB287" s="103"/>
      <c r="DC287" s="103"/>
      <c r="DD287" s="103"/>
      <c r="DE287" s="103"/>
      <c r="DF287" s="465"/>
      <c r="DG287" s="107"/>
      <c r="DH287" s="107"/>
      <c r="DI287" s="465"/>
      <c r="DJ287" s="51"/>
      <c r="DK287" s="52"/>
      <c r="DL287" s="52"/>
      <c r="DM287" s="52"/>
      <c r="DN287" s="52"/>
      <c r="DO287" s="52"/>
      <c r="DP287" s="52"/>
      <c r="DQ287" s="52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P287" s="53"/>
      <c r="EQ287" s="1"/>
      <c r="ER287" s="103"/>
      <c r="ES287" s="102"/>
      <c r="ET287" s="1"/>
      <c r="EU287" s="103"/>
      <c r="EV287" s="1"/>
      <c r="EW287" s="1"/>
      <c r="EX287" s="1"/>
      <c r="EY287" s="104"/>
      <c r="FN287" s="657">
        <v>43</v>
      </c>
      <c r="FO287" s="469" t="str">
        <f ca="1">IF($FN287+FO$244&gt;73,"",PRODUCT(INDEX($T$19:$T$93,FO$244):INDEX($T$19:$T$93,FO$244+$FN287-1)))</f>
        <v/>
      </c>
      <c r="FP287" s="469" t="str">
        <f ca="1">IF($FN287+FP$244&gt;73,"",PRODUCT(INDEX($T$19:$T$93,FP$244):INDEX($T$19:$T$93,FP$244+$FN287-1)))</f>
        <v/>
      </c>
      <c r="FQ287" s="469" t="str">
        <f ca="1">IF($FN287+FQ$244&gt;73,"",PRODUCT(INDEX($T$19:$T$93,FQ$244):INDEX($T$19:$T$93,FQ$244+$FN287-1)))</f>
        <v/>
      </c>
      <c r="FR287" s="469" t="str">
        <f ca="1">IF($FN287+FR$244&gt;73,"",PRODUCT(INDEX($T$19:$T$93,FR$244):INDEX($T$19:$T$93,FR$244+$FN287-1)))</f>
        <v/>
      </c>
      <c r="FS287" s="469" t="str">
        <f ca="1">IF($FN287+FS$244&gt;73,"",PRODUCT(INDEX($T$19:$T$93,FS$244):INDEX($T$19:$T$93,FS$244+$FN287-1)))</f>
        <v/>
      </c>
      <c r="FT287" s="469" t="str">
        <f ca="1">IF($FN287+FT$244&gt;73,"",PRODUCT(INDEX($T$19:$T$93,FT$244):INDEX($T$19:$T$93,FT$244+$FN287-1)))</f>
        <v/>
      </c>
      <c r="FU287" s="469" t="str">
        <f ca="1">IF($FN287+FU$244&gt;73,"",PRODUCT(INDEX($T$19:$T$93,FU$244):INDEX($T$19:$T$93,FU$244+$FN287-1)))</f>
        <v/>
      </c>
      <c r="FV287" s="469" t="str">
        <f ca="1">IF($FN287+FV$244&gt;73,"",PRODUCT(INDEX($T$19:$T$93,FV$244):INDEX($T$19:$T$93,FV$244+$FN287-1)))</f>
        <v/>
      </c>
      <c r="FW287" s="469" t="str">
        <f ca="1">IF($FN287+FW$244&gt;73,"",PRODUCT(INDEX($T$19:$T$93,FW$244):INDEX($T$19:$T$93,FW$244+$FN287-1)))</f>
        <v/>
      </c>
      <c r="FX287" s="469" t="str">
        <f ca="1">IF($FN287+FX$244&gt;73,"",PRODUCT(INDEX($T$19:$T$93,FX$244):INDEX($T$19:$T$93,FX$244+$FN287-1)))</f>
        <v/>
      </c>
      <c r="FY287" s="469" t="str">
        <f ca="1">IF($FN287+FY$244&gt;73,"",PRODUCT(INDEX($T$19:$T$93,FY$244):INDEX($T$19:$T$93,FY$244+$FN287-1)))</f>
        <v/>
      </c>
      <c r="FZ287" s="469" t="str">
        <f ca="1">IF($FN287+FZ$244&gt;73,"",PRODUCT(INDEX($T$19:$T$93,FZ$244):INDEX($T$19:$T$93,FZ$244+$FN287-1)))</f>
        <v/>
      </c>
      <c r="GA287" s="469" t="str">
        <f ca="1">IF($FN287+GA$244&gt;73,"",PRODUCT(INDEX($T$19:$T$93,GA$244):INDEX($T$19:$T$93,GA$244+$FN287-1)))</f>
        <v/>
      </c>
      <c r="GB287" s="469" t="str">
        <f ca="1">IF($FN287+GB$244&gt;73,"",PRODUCT(INDEX($T$19:$T$93,GB$244):INDEX($T$19:$T$93,GB$244+$FN287-1)))</f>
        <v/>
      </c>
      <c r="GC287" s="469" t="str">
        <f ca="1">IF($FN287+GC$244&gt;73,"",PRODUCT(INDEX($T$19:$T$93,GC$244):INDEX($T$19:$T$93,GC$244+$FN287-1)))</f>
        <v/>
      </c>
      <c r="GD287" s="469" t="str">
        <f ca="1">IF($FN287+GD$244&gt;73,"",PRODUCT(INDEX($T$19:$T$93,GD$244):INDEX($T$19:$T$93,GD$244+$FN287-1)))</f>
        <v/>
      </c>
      <c r="GE287" s="469" t="str">
        <f ca="1">IF($FN287+GE$244&gt;73,"",PRODUCT(INDEX($T$19:$T$93,GE$244):INDEX($T$19:$T$93,GE$244+$FN287-1)))</f>
        <v/>
      </c>
      <c r="GF287" s="469" t="str">
        <f ca="1">IF($FN287+GF$244&gt;73,"",PRODUCT(INDEX($T$19:$T$93,GF$244):INDEX($T$19:$T$93,GF$244+$FN287-1)))</f>
        <v/>
      </c>
      <c r="GG287" s="469" t="str">
        <f ca="1">IF($FN287+GG$244&gt;73,"",PRODUCT(INDEX($T$19:$T$93,GG$244):INDEX($T$19:$T$93,GG$244+$FN287-1)))</f>
        <v/>
      </c>
      <c r="GH287" s="469" t="str">
        <f ca="1">IF($FN287+GH$244&gt;73,"",PRODUCT(INDEX($T$19:$T$93,GH$244):INDEX($T$19:$T$93,GH$244+$FN287-1)))</f>
        <v/>
      </c>
      <c r="GI287" s="469" t="str">
        <f ca="1">IF($FN287+GI$244&gt;73,"",PRODUCT(INDEX($T$19:$T$93,GI$244):INDEX($T$19:$T$93,GI$244+$FN287-1)))</f>
        <v/>
      </c>
      <c r="GJ287" s="469" t="str">
        <f ca="1">IF($FN287+GJ$244&gt;73,"",PRODUCT(INDEX($T$19:$T$93,GJ$244):INDEX($T$19:$T$93,GJ$244+$FN287-1)))</f>
        <v/>
      </c>
      <c r="GK287" s="469" t="str">
        <f ca="1">IF($FN287+GK$244&gt;73,"",PRODUCT(INDEX($T$19:$T$93,GK$244):INDEX($T$19:$T$93,GK$244+$FN287-1)))</f>
        <v/>
      </c>
      <c r="GL287" s="469" t="str">
        <f ca="1">IF($FN287+GL$244&gt;73,"",PRODUCT(INDEX($T$19:$T$93,GL$244):INDEX($T$19:$T$93,GL$244+$FN287-1)))</f>
        <v/>
      </c>
      <c r="GM287" s="469" t="str">
        <f ca="1">IF($FN287+GM$244&gt;73,"",PRODUCT(INDEX($T$19:$T$93,GM$244):INDEX($T$19:$T$93,GM$244+$FN287-1)))</f>
        <v/>
      </c>
      <c r="GN287" s="469" t="str">
        <f ca="1">IF($FN287+GN$244&gt;73,"",PRODUCT(INDEX($T$19:$T$93,GN$244):INDEX($T$19:$T$93,GN$244+$FN287-1)))</f>
        <v/>
      </c>
      <c r="GO287" s="469" t="str">
        <f ca="1">IF($FN287+GO$244&gt;73,"",PRODUCT(INDEX($T$19:$T$93,GO$244):INDEX($T$19:$T$93,GO$244+$FN287-1)))</f>
        <v/>
      </c>
      <c r="GP287" s="469" t="str">
        <f ca="1">IF($FN287+GP$244&gt;73,"",PRODUCT(INDEX($T$19:$T$93,GP$244):INDEX($T$19:$T$93,GP$244+$FN287-1)))</f>
        <v/>
      </c>
      <c r="GQ287" s="469" t="str">
        <f ca="1">IF($FN287+GQ$244&gt;73,"",PRODUCT(INDEX($T$19:$T$93,GQ$244):INDEX($T$19:$T$93,GQ$244+$FN287-1)))</f>
        <v/>
      </c>
      <c r="GR287" s="469" t="str">
        <f ca="1">IF($FN287+GR$244&gt;73,"",PRODUCT(INDEX($T$19:$T$93,GR$244):INDEX($T$19:$T$93,GR$244+$FN287-1)))</f>
        <v/>
      </c>
      <c r="GS287" s="469" t="str">
        <f ca="1">IF($FN287+GS$244&gt;73,"",PRODUCT(INDEX($T$19:$T$93,GS$244):INDEX($T$19:$T$93,GS$244+$FN287-1)))</f>
        <v/>
      </c>
      <c r="GT287" s="469" t="str">
        <f ca="1">IF($FN287+GT$244&gt;73,"",PRODUCT(INDEX($T$19:$T$93,GT$244):INDEX($T$19:$T$93,GT$244+$FN287-1)))</f>
        <v/>
      </c>
      <c r="GU287" s="469" t="str">
        <f ca="1">IF($FN287+GU$244&gt;73,"",PRODUCT(INDEX($T$19:$T$93,GU$244):INDEX($T$19:$T$93,GU$244+$FN287-1)))</f>
        <v/>
      </c>
      <c r="GV287" s="469" t="str">
        <f ca="1">IF($FN287+GV$244&gt;73,"",PRODUCT(INDEX($T$19:$T$93,GV$244):INDEX($T$19:$T$93,GV$244+$FN287-1)))</f>
        <v/>
      </c>
      <c r="GW287" s="469" t="str">
        <f ca="1">IF($FN287+GW$244&gt;73,"",PRODUCT(INDEX($T$19:$T$93,GW$244):INDEX($T$19:$T$93,GW$244+$FN287-1)))</f>
        <v/>
      </c>
      <c r="GX287" s="469" t="str">
        <f ca="1">IF($FN287+GX$244&gt;73,"",PRODUCT(INDEX($T$19:$T$93,GX$244):INDEX($T$19:$T$93,GX$244+$FN287-1)))</f>
        <v/>
      </c>
      <c r="GY287" s="469" t="str">
        <f ca="1">IF($FN287+GY$244&gt;73,"",PRODUCT(INDEX($T$19:$T$93,GY$244):INDEX($T$19:$T$93,GY$244+$FN287-1)))</f>
        <v/>
      </c>
      <c r="GZ287" s="469" t="str">
        <f ca="1">IF($FN287+GZ$244&gt;73,"",PRODUCT(INDEX($T$19:$T$93,GZ$244):INDEX($T$19:$T$93,GZ$244+$FN287-1)))</f>
        <v/>
      </c>
      <c r="HA287" s="469" t="str">
        <f ca="1">IF($FN287+HA$244&gt;73,"",PRODUCT(INDEX($T$19:$T$93,HA$244):INDEX($T$19:$T$93,HA$244+$FN287-1)))</f>
        <v/>
      </c>
      <c r="HB287" s="469" t="str">
        <f ca="1">IF($FN287+HB$244&gt;73,"",PRODUCT(INDEX($T$19:$T$93,HB$244):INDEX($T$19:$T$93,HB$244+$FN287-1)))</f>
        <v/>
      </c>
      <c r="HC287" s="469" t="str">
        <f ca="1">IF($FN287+HC$244&gt;73,"",PRODUCT(INDEX($T$19:$T$93,HC$244):INDEX($T$19:$T$93,HC$244+$FN287-1)))</f>
        <v/>
      </c>
      <c r="HD287" s="469" t="str">
        <f ca="1">IF($FN287+HD$244&gt;73,"",PRODUCT(INDEX($T$19:$T$93,HD$244):INDEX($T$19:$T$93,HD$244+$FN287-1)))</f>
        <v/>
      </c>
      <c r="HE287" s="469">
        <f ca="1">IF($FN287+HE$244&gt;73,"",PRODUCT(INDEX($T$19:$T$93,HE$244):INDEX($T$19:$T$93,HE$244+$FN287-1)))</f>
        <v>0.96029894125897852</v>
      </c>
      <c r="HF287" s="469">
        <f ca="1">IF($FN287+HF$244&gt;73,"",PRODUCT(INDEX($T$19:$T$93,HF$244):INDEX($T$19:$T$93,HF$244+$FN287-1)))</f>
        <v>0.95597370009064297</v>
      </c>
      <c r="HG287" s="469">
        <f ca="1">IF($FN287+HG$244&gt;73,"",PRODUCT(INDEX($T$19:$T$93,HG$244):INDEX($T$19:$T$93,HG$244+$FN287-1)))</f>
        <v>0.9511875993234381</v>
      </c>
      <c r="HH287" s="469">
        <f ca="1">IF($FN287+HH$244&gt;73,"",PRODUCT(INDEX($T$19:$T$93,HH$244):INDEX($T$19:$T$93,HH$244+$FN287-1)))</f>
        <v>0.94589390490104153</v>
      </c>
      <c r="HI287" s="469">
        <f ca="1">IF($FN287+HI$244&gt;73,"",PRODUCT(INDEX($T$19:$T$93,HI$244):INDEX($T$19:$T$93,HI$244+$FN287-1)))</f>
        <v>0.94004168684749734</v>
      </c>
      <c r="HJ287" s="469">
        <f ca="1">IF($FN287+HJ$244&gt;73,"",PRODUCT(INDEX($T$19:$T$93,HJ$244):INDEX($T$19:$T$93,HJ$244+$FN287-1)))</f>
        <v>0.93357556928322483</v>
      </c>
      <c r="HK287" s="469">
        <f ca="1">IF($FN287+HK$244&gt;73,"",PRODUCT(INDEX($T$19:$T$93,HK$244):INDEX($T$19:$T$93,HK$244+$FN287-1)))</f>
        <v>0.92643549761380151</v>
      </c>
      <c r="HL287" s="469">
        <f ca="1">IF($FN287+HL$244&gt;73,"",PRODUCT(INDEX($T$19:$T$93,HL$244):INDEX($T$19:$T$93,HL$244+$FN287-1)))</f>
        <v>0.91855653350976518</v>
      </c>
      <c r="HM287" s="469">
        <f ca="1">IF($FN287+HM$244&gt;73,"",PRODUCT(INDEX($T$19:$T$93,HM$244):INDEX($T$19:$T$93,HM$244+$FN287-1)))</f>
        <v>0.90986869096530765</v>
      </c>
      <c r="HN287" s="469">
        <f ca="1">IF($FN287+HN$244&gt;73,"",PRODUCT(INDEX($T$19:$T$93,HN$244):INDEX($T$19:$T$93,HN$244+$FN287-1)))</f>
        <v>0.90029682988592297</v>
      </c>
      <c r="HO287" s="469">
        <f ca="1">IF($FN287+HO$244&gt;73,"",PRODUCT(INDEX($T$19:$T$93,HO$244):INDEX($T$19:$T$93,HO$244+$FN287-1)))</f>
        <v>0.88976062737362804</v>
      </c>
      <c r="HP287" s="469">
        <f ca="1">IF($FN287+HP$244&gt;73,"",PRODUCT(INDEX($T$19:$T$93,HP$244):INDEX($T$19:$T$93,HP$244+$FN287-1)))</f>
        <v>0.87817465122053651</v>
      </c>
      <c r="HQ287" s="469">
        <f ca="1">IF($FN287+HQ$244&gt;73,"",PRODUCT(INDEX($T$19:$T$93,HQ$244):INDEX($T$19:$T$93,HQ$244+$FN287-1)))</f>
        <v>0.8654485651565258</v>
      </c>
      <c r="HR287" s="469">
        <f ca="1">IF($FN287+HR$244&gt;73,"",PRODUCT(INDEX($T$19:$T$93,HR$244):INDEX($T$19:$T$93,HR$244+$FN287-1)))</f>
        <v>0.85148750119614569</v>
      </c>
      <c r="HS287" s="469">
        <f ca="1">IF($FN287+HS$244&gt;73,"",PRODUCT(INDEX($T$19:$T$93,HS$244):INDEX($T$19:$T$93,HS$244+$FN287-1)))</f>
        <v>0.83619264106658986</v>
      </c>
      <c r="HT287" s="469">
        <f ca="1">IF($FN287+HT$244&gt;73,"",PRODUCT(INDEX($T$19:$T$93,HT$244):INDEX($T$19:$T$93,HT$244+$FN287-1)))</f>
        <v>0.81946205624716495</v>
      </c>
      <c r="HU287" s="469">
        <f ca="1">IF($FN287+HU$244&gt;73,"",PRODUCT(INDEX($T$19:$T$93,HU$244):INDEX($T$19:$T$93,HU$244+$FN287-1)))</f>
        <v>0.80119186468652415</v>
      </c>
      <c r="HV287" s="469">
        <f ca="1">IF($FN287+HV$244&gt;73,"",PRODUCT(INDEX($T$19:$T$93,HV$244):INDEX($T$19:$T$93,HV$244+$FN287-1)))</f>
        <v>0.78127777186033809</v>
      </c>
      <c r="HW287" s="469">
        <f ca="1">IF($FN287+HW$244&gt;73,"",PRODUCT(INDEX($T$19:$T$93,HW$244):INDEX($T$19:$T$93,HW$244+$FN287-1)))</f>
        <v>0.75961707455139915</v>
      </c>
      <c r="HX287" s="469">
        <f ca="1">IF($FN287+HX$244&gt;73,"",PRODUCT(INDEX($T$19:$T$93,HX$244):INDEX($T$19:$T$93,HX$244+$FN287-1)))</f>
        <v>0.73611121760484688</v>
      </c>
      <c r="HY287" s="469">
        <f ca="1">IF($FN287+HY$244&gt;73,"",PRODUCT(INDEX($T$19:$T$93,HY$244):INDEX($T$19:$T$93,HY$244+$FN287-1)))</f>
        <v>0.71066900687603252</v>
      </c>
      <c r="HZ287" s="469">
        <f ca="1">IF($FN287+HZ$244&gt;73,"",PRODUCT(INDEX($T$19:$T$93,HZ$244):INDEX($T$19:$T$93,HZ$244+$FN287-1)))</f>
        <v>0.68321059539733087</v>
      </c>
      <c r="IA287" s="469">
        <f ca="1">IF($FN287+IA$244&gt;73,"",PRODUCT(INDEX($T$19:$T$93,IA$244):INDEX($T$19:$T$93,IA$244+$FN287-1)))</f>
        <v>0.65367237379266685</v>
      </c>
      <c r="IB287" s="469">
        <f ca="1">IF($FN287+IB$244&gt;73,"",PRODUCT(INDEX($T$19:$T$93,IB$244):INDEX($T$19:$T$93,IB$244+$FN287-1)))</f>
        <v>0.62201290873407455</v>
      </c>
      <c r="IC287" s="469">
        <f ca="1">IF($FN287+IC$244&gt;73,"",PRODUCT(INDEX($T$19:$T$93,IC$244):INDEX($T$19:$T$93,IC$244+$FN287-1)))</f>
        <v>0.58822008188997854</v>
      </c>
      <c r="ID287" s="469">
        <f ca="1">IF($FN287+ID$244&gt;73,"",PRODUCT(INDEX($T$19:$T$93,ID$244):INDEX($T$19:$T$93,ID$244+$FN287-1)))</f>
        <v>0.5523195809402679</v>
      </c>
      <c r="IE287" s="469">
        <f ca="1">IF($FN287+IE$244&gt;73,"",PRODUCT(INDEX($T$19:$T$93,IE$244):INDEX($T$19:$T$93,IE$244+$FN287-1)))</f>
        <v>0.51438487411287659</v>
      </c>
      <c r="IF287" s="469">
        <f ca="1">IF($FN287+IF$244&gt;73,"",PRODUCT(INDEX($T$19:$T$93,IF$244):INDEX($T$19:$T$93,IF$244+$FN287-1)))</f>
        <v>0.47454874370041022</v>
      </c>
      <c r="IG287" s="469">
        <f ca="1">IF($FN287+IG$244&gt;73,"",PRODUCT(INDEX($T$19:$T$93,IG$244):INDEX($T$19:$T$93,IG$244+$FN287-1)))</f>
        <v>0.43301633496719483</v>
      </c>
      <c r="IH287" s="662">
        <f ca="1">IF($FN287+IH$244&gt;73,"",PRODUCT(INDEX($T$19:$T$93,IH$244):INDEX($T$19:$T$93,IH$244+$FN287-1)))</f>
        <v>0.39007945256451065</v>
      </c>
      <c r="II287" s="242"/>
    </row>
    <row r="288" spans="9:243">
      <c r="I288" s="132"/>
      <c r="J288" s="365"/>
      <c r="K288" s="133"/>
      <c r="L288" s="1"/>
      <c r="M288" s="366"/>
      <c r="P288" s="365"/>
      <c r="S288" s="53"/>
      <c r="T288" s="365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364">
        <v>6.4932834116793195E-2</v>
      </c>
      <c r="AP288" s="1"/>
      <c r="AQ288" s="364">
        <v>5.8640042886073405E-2</v>
      </c>
      <c r="AR288" s="1"/>
      <c r="AS288" s="1"/>
      <c r="AT288" s="103"/>
      <c r="AU288" s="103"/>
      <c r="AV288" s="103"/>
      <c r="AW288" s="31"/>
      <c r="AX288" s="31"/>
      <c r="AY288" s="31"/>
      <c r="AZ288" s="31"/>
      <c r="BA288" s="146"/>
      <c r="BB288" s="146"/>
      <c r="BC288" s="103"/>
      <c r="BD288" s="103"/>
      <c r="BE288" s="103"/>
      <c r="BF288" s="104"/>
      <c r="BG288" s="104"/>
      <c r="BH288" s="104"/>
      <c r="BI288" s="102"/>
      <c r="BJ288" s="104"/>
      <c r="BK288" s="104"/>
      <c r="BL288" s="103"/>
      <c r="BM288" s="103"/>
      <c r="BN288" s="103"/>
      <c r="BO288" s="103"/>
      <c r="BP288" s="103"/>
      <c r="BQ288" s="103"/>
      <c r="BR288" s="103"/>
      <c r="BS288" s="103"/>
      <c r="BT288" s="103"/>
      <c r="BU288" s="103"/>
      <c r="BV288" s="103"/>
      <c r="BW288" s="103"/>
      <c r="BX288" s="103"/>
      <c r="BY288" s="103"/>
      <c r="BZ288" s="103"/>
      <c r="CA288" s="103"/>
      <c r="CB288" s="104"/>
      <c r="CC288" s="104"/>
      <c r="CD288" s="104"/>
      <c r="CE288" s="104"/>
      <c r="CF288" s="104"/>
      <c r="CG288" s="104"/>
      <c r="CH288" s="103"/>
      <c r="CI288" s="103"/>
      <c r="CJ288" s="103"/>
      <c r="CK288" s="103"/>
      <c r="CL288" s="103"/>
      <c r="CM288" s="103"/>
      <c r="CN288" s="103"/>
      <c r="CO288" s="103"/>
      <c r="CP288" s="103"/>
      <c r="CQ288" s="103"/>
      <c r="CR288" s="103"/>
      <c r="CS288" s="103"/>
      <c r="CT288" s="103"/>
      <c r="CU288" s="103"/>
      <c r="CV288" s="103"/>
      <c r="CW288" s="103"/>
      <c r="CX288" s="103"/>
      <c r="CY288" s="103"/>
      <c r="CZ288" s="103"/>
      <c r="DA288" s="103"/>
      <c r="DB288" s="103"/>
      <c r="DC288" s="103"/>
      <c r="DD288" s="103"/>
      <c r="DE288" s="103"/>
      <c r="DF288" s="465"/>
      <c r="DG288" s="107"/>
      <c r="DH288" s="107"/>
      <c r="DI288" s="465"/>
      <c r="DJ288" s="51"/>
      <c r="DK288" s="52"/>
      <c r="DL288" s="52"/>
      <c r="DM288" s="52"/>
      <c r="DN288" s="52"/>
      <c r="DO288" s="52"/>
      <c r="DP288" s="52"/>
      <c r="DQ288" s="52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P288" s="53"/>
      <c r="EQ288" s="1"/>
      <c r="ER288" s="103"/>
      <c r="ES288" s="102"/>
      <c r="ET288" s="1"/>
      <c r="EU288" s="103"/>
      <c r="EV288" s="1"/>
      <c r="EW288" s="1"/>
      <c r="EX288" s="1"/>
      <c r="EY288" s="104"/>
      <c r="FN288" s="657">
        <v>44</v>
      </c>
      <c r="FO288" s="469" t="str">
        <f ca="1">IF($FN288+FO$244&gt;73,"",PRODUCT(INDEX($T$19:$T$93,FO$244):INDEX($T$19:$T$93,FO$244+$FN288-1)))</f>
        <v/>
      </c>
      <c r="FP288" s="469" t="str">
        <f ca="1">IF($FN288+FP$244&gt;73,"",PRODUCT(INDEX($T$19:$T$93,FP$244):INDEX($T$19:$T$93,FP$244+$FN288-1)))</f>
        <v/>
      </c>
      <c r="FQ288" s="469" t="str">
        <f ca="1">IF($FN288+FQ$244&gt;73,"",PRODUCT(INDEX($T$19:$T$93,FQ$244):INDEX($T$19:$T$93,FQ$244+$FN288-1)))</f>
        <v/>
      </c>
      <c r="FR288" s="469" t="str">
        <f ca="1">IF($FN288+FR$244&gt;73,"",PRODUCT(INDEX($T$19:$T$93,FR$244):INDEX($T$19:$T$93,FR$244+$FN288-1)))</f>
        <v/>
      </c>
      <c r="FS288" s="469" t="str">
        <f ca="1">IF($FN288+FS$244&gt;73,"",PRODUCT(INDEX($T$19:$T$93,FS$244):INDEX($T$19:$T$93,FS$244+$FN288-1)))</f>
        <v/>
      </c>
      <c r="FT288" s="469" t="str">
        <f ca="1">IF($FN288+FT$244&gt;73,"",PRODUCT(INDEX($T$19:$T$93,FT$244):INDEX($T$19:$T$93,FT$244+$FN288-1)))</f>
        <v/>
      </c>
      <c r="FU288" s="469" t="str">
        <f ca="1">IF($FN288+FU$244&gt;73,"",PRODUCT(INDEX($T$19:$T$93,FU$244):INDEX($T$19:$T$93,FU$244+$FN288-1)))</f>
        <v/>
      </c>
      <c r="FV288" s="469" t="str">
        <f ca="1">IF($FN288+FV$244&gt;73,"",PRODUCT(INDEX($T$19:$T$93,FV$244):INDEX($T$19:$T$93,FV$244+$FN288-1)))</f>
        <v/>
      </c>
      <c r="FW288" s="469" t="str">
        <f ca="1">IF($FN288+FW$244&gt;73,"",PRODUCT(INDEX($T$19:$T$93,FW$244):INDEX($T$19:$T$93,FW$244+$FN288-1)))</f>
        <v/>
      </c>
      <c r="FX288" s="469" t="str">
        <f ca="1">IF($FN288+FX$244&gt;73,"",PRODUCT(INDEX($T$19:$T$93,FX$244):INDEX($T$19:$T$93,FX$244+$FN288-1)))</f>
        <v/>
      </c>
      <c r="FY288" s="469" t="str">
        <f ca="1">IF($FN288+FY$244&gt;73,"",PRODUCT(INDEX($T$19:$T$93,FY$244):INDEX($T$19:$T$93,FY$244+$FN288-1)))</f>
        <v/>
      </c>
      <c r="FZ288" s="469" t="str">
        <f ca="1">IF($FN288+FZ$244&gt;73,"",PRODUCT(INDEX($T$19:$T$93,FZ$244):INDEX($T$19:$T$93,FZ$244+$FN288-1)))</f>
        <v/>
      </c>
      <c r="GA288" s="469" t="str">
        <f ca="1">IF($FN288+GA$244&gt;73,"",PRODUCT(INDEX($T$19:$T$93,GA$244):INDEX($T$19:$T$93,GA$244+$FN288-1)))</f>
        <v/>
      </c>
      <c r="GB288" s="469" t="str">
        <f ca="1">IF($FN288+GB$244&gt;73,"",PRODUCT(INDEX($T$19:$T$93,GB$244):INDEX($T$19:$T$93,GB$244+$FN288-1)))</f>
        <v/>
      </c>
      <c r="GC288" s="469" t="str">
        <f ca="1">IF($FN288+GC$244&gt;73,"",PRODUCT(INDEX($T$19:$T$93,GC$244):INDEX($T$19:$T$93,GC$244+$FN288-1)))</f>
        <v/>
      </c>
      <c r="GD288" s="469" t="str">
        <f ca="1">IF($FN288+GD$244&gt;73,"",PRODUCT(INDEX($T$19:$T$93,GD$244):INDEX($T$19:$T$93,GD$244+$FN288-1)))</f>
        <v/>
      </c>
      <c r="GE288" s="469" t="str">
        <f ca="1">IF($FN288+GE$244&gt;73,"",PRODUCT(INDEX($T$19:$T$93,GE$244):INDEX($T$19:$T$93,GE$244+$FN288-1)))</f>
        <v/>
      </c>
      <c r="GF288" s="469" t="str">
        <f ca="1">IF($FN288+GF$244&gt;73,"",PRODUCT(INDEX($T$19:$T$93,GF$244):INDEX($T$19:$T$93,GF$244+$FN288-1)))</f>
        <v/>
      </c>
      <c r="GG288" s="469" t="str">
        <f ca="1">IF($FN288+GG$244&gt;73,"",PRODUCT(INDEX($T$19:$T$93,GG$244):INDEX($T$19:$T$93,GG$244+$FN288-1)))</f>
        <v/>
      </c>
      <c r="GH288" s="469" t="str">
        <f ca="1">IF($FN288+GH$244&gt;73,"",PRODUCT(INDEX($T$19:$T$93,GH$244):INDEX($T$19:$T$93,GH$244+$FN288-1)))</f>
        <v/>
      </c>
      <c r="GI288" s="469" t="str">
        <f ca="1">IF($FN288+GI$244&gt;73,"",PRODUCT(INDEX($T$19:$T$93,GI$244):INDEX($T$19:$T$93,GI$244+$FN288-1)))</f>
        <v/>
      </c>
      <c r="GJ288" s="469" t="str">
        <f ca="1">IF($FN288+GJ$244&gt;73,"",PRODUCT(INDEX($T$19:$T$93,GJ$244):INDEX($T$19:$T$93,GJ$244+$FN288-1)))</f>
        <v/>
      </c>
      <c r="GK288" s="469" t="str">
        <f ca="1">IF($FN288+GK$244&gt;73,"",PRODUCT(INDEX($T$19:$T$93,GK$244):INDEX($T$19:$T$93,GK$244+$FN288-1)))</f>
        <v/>
      </c>
      <c r="GL288" s="469" t="str">
        <f ca="1">IF($FN288+GL$244&gt;73,"",PRODUCT(INDEX($T$19:$T$93,GL$244):INDEX($T$19:$T$93,GL$244+$FN288-1)))</f>
        <v/>
      </c>
      <c r="GM288" s="469" t="str">
        <f ca="1">IF($FN288+GM$244&gt;73,"",PRODUCT(INDEX($T$19:$T$93,GM$244):INDEX($T$19:$T$93,GM$244+$FN288-1)))</f>
        <v/>
      </c>
      <c r="GN288" s="469" t="str">
        <f ca="1">IF($FN288+GN$244&gt;73,"",PRODUCT(INDEX($T$19:$T$93,GN$244):INDEX($T$19:$T$93,GN$244+$FN288-1)))</f>
        <v/>
      </c>
      <c r="GO288" s="469" t="str">
        <f ca="1">IF($FN288+GO$244&gt;73,"",PRODUCT(INDEX($T$19:$T$93,GO$244):INDEX($T$19:$T$93,GO$244+$FN288-1)))</f>
        <v/>
      </c>
      <c r="GP288" s="469" t="str">
        <f ca="1">IF($FN288+GP$244&gt;73,"",PRODUCT(INDEX($T$19:$T$93,GP$244):INDEX($T$19:$T$93,GP$244+$FN288-1)))</f>
        <v/>
      </c>
      <c r="GQ288" s="469" t="str">
        <f ca="1">IF($FN288+GQ$244&gt;73,"",PRODUCT(INDEX($T$19:$T$93,GQ$244):INDEX($T$19:$T$93,GQ$244+$FN288-1)))</f>
        <v/>
      </c>
      <c r="GR288" s="469" t="str">
        <f ca="1">IF($FN288+GR$244&gt;73,"",PRODUCT(INDEX($T$19:$T$93,GR$244):INDEX($T$19:$T$93,GR$244+$FN288-1)))</f>
        <v/>
      </c>
      <c r="GS288" s="469" t="str">
        <f ca="1">IF($FN288+GS$244&gt;73,"",PRODUCT(INDEX($T$19:$T$93,GS$244):INDEX($T$19:$T$93,GS$244+$FN288-1)))</f>
        <v/>
      </c>
      <c r="GT288" s="469" t="str">
        <f ca="1">IF($FN288+GT$244&gt;73,"",PRODUCT(INDEX($T$19:$T$93,GT$244):INDEX($T$19:$T$93,GT$244+$FN288-1)))</f>
        <v/>
      </c>
      <c r="GU288" s="469" t="str">
        <f ca="1">IF($FN288+GU$244&gt;73,"",PRODUCT(INDEX($T$19:$T$93,GU$244):INDEX($T$19:$T$93,GU$244+$FN288-1)))</f>
        <v/>
      </c>
      <c r="GV288" s="469" t="str">
        <f ca="1">IF($FN288+GV$244&gt;73,"",PRODUCT(INDEX($T$19:$T$93,GV$244):INDEX($T$19:$T$93,GV$244+$FN288-1)))</f>
        <v/>
      </c>
      <c r="GW288" s="469" t="str">
        <f ca="1">IF($FN288+GW$244&gt;73,"",PRODUCT(INDEX($T$19:$T$93,GW$244):INDEX($T$19:$T$93,GW$244+$FN288-1)))</f>
        <v/>
      </c>
      <c r="GX288" s="469" t="str">
        <f ca="1">IF($FN288+GX$244&gt;73,"",PRODUCT(INDEX($T$19:$T$93,GX$244):INDEX($T$19:$T$93,GX$244+$FN288-1)))</f>
        <v/>
      </c>
      <c r="GY288" s="469" t="str">
        <f ca="1">IF($FN288+GY$244&gt;73,"",PRODUCT(INDEX($T$19:$T$93,GY$244):INDEX($T$19:$T$93,GY$244+$FN288-1)))</f>
        <v/>
      </c>
      <c r="GZ288" s="469" t="str">
        <f ca="1">IF($FN288+GZ$244&gt;73,"",PRODUCT(INDEX($T$19:$T$93,GZ$244):INDEX($T$19:$T$93,GZ$244+$FN288-1)))</f>
        <v/>
      </c>
      <c r="HA288" s="469" t="str">
        <f ca="1">IF($FN288+HA$244&gt;73,"",PRODUCT(INDEX($T$19:$T$93,HA$244):INDEX($T$19:$T$93,HA$244+$FN288-1)))</f>
        <v/>
      </c>
      <c r="HB288" s="469" t="str">
        <f ca="1">IF($FN288+HB$244&gt;73,"",PRODUCT(INDEX($T$19:$T$93,HB$244):INDEX($T$19:$T$93,HB$244+$FN288-1)))</f>
        <v/>
      </c>
      <c r="HC288" s="469" t="str">
        <f ca="1">IF($FN288+HC$244&gt;73,"",PRODUCT(INDEX($T$19:$T$93,HC$244):INDEX($T$19:$T$93,HC$244+$FN288-1)))</f>
        <v/>
      </c>
      <c r="HD288" s="469" t="str">
        <f ca="1">IF($FN288+HD$244&gt;73,"",PRODUCT(INDEX($T$19:$T$93,HD$244):INDEX($T$19:$T$93,HD$244+$FN288-1)))</f>
        <v/>
      </c>
      <c r="HE288" s="469" t="str">
        <f ca="1">IF($FN288+HE$244&gt;73,"",PRODUCT(INDEX($T$19:$T$93,HE$244):INDEX($T$19:$T$93,HE$244+$FN288-1)))</f>
        <v/>
      </c>
      <c r="HF288" s="469">
        <f ca="1">IF($FN288+HF$244&gt;73,"",PRODUCT(INDEX($T$19:$T$93,HF$244):INDEX($T$19:$T$93,HF$244+$FN288-1)))</f>
        <v>0.95592694082243967</v>
      </c>
      <c r="HG288" s="469">
        <f ca="1">IF($FN288+HG$244&gt;73,"",PRODUCT(INDEX($T$19:$T$93,HG$244):INDEX($T$19:$T$93,HG$244+$FN288-1)))</f>
        <v>0.95113590455008201</v>
      </c>
      <c r="HH288" s="469">
        <f ca="1">IF($FN288+HH$244&gt;73,"",PRODUCT(INDEX($T$19:$T$93,HH$244):INDEX($T$19:$T$93,HH$244+$FN288-1)))</f>
        <v>0.94583678575400498</v>
      </c>
      <c r="HI288" s="469">
        <f ca="1">IF($FN288+HI$244&gt;73,"",PRODUCT(INDEX($T$19:$T$93,HI$244):INDEX($T$19:$T$93,HI$244+$FN288-1)))</f>
        <v>0.93997861357251</v>
      </c>
      <c r="HJ288" s="469">
        <f ca="1">IF($FN288+HJ$244&gt;73,"",PRODUCT(INDEX($T$19:$T$93,HJ$244):INDEX($T$19:$T$93,HJ$244+$FN288-1)))</f>
        <v>0.93350596965856147</v>
      </c>
      <c r="HK288" s="469">
        <f ca="1">IF($FN288+HK$244&gt;73,"",PRODUCT(INDEX($T$19:$T$93,HK$244):INDEX($T$19:$T$93,HK$244+$FN288-1)))</f>
        <v>0.92635875582011928</v>
      </c>
      <c r="HL288" s="469">
        <f ca="1">IF($FN288+HL$244&gt;73,"",PRODUCT(INDEX($T$19:$T$93,HL$244):INDEX($T$19:$T$93,HL$244+$FN288-1)))</f>
        <v>0.91847198962534526</v>
      </c>
      <c r="HM288" s="469">
        <f ca="1">IF($FN288+HM$244&gt;73,"",PRODUCT(INDEX($T$19:$T$93,HM$244):INDEX($T$19:$T$93,HM$244+$FN288-1)))</f>
        <v>0.90977564130089195</v>
      </c>
      <c r="HN288" s="469">
        <f ca="1">IF($FN288+HN$244&gt;73,"",PRODUCT(INDEX($T$19:$T$93,HN$244):INDEX($T$19:$T$93,HN$244+$FN288-1)))</f>
        <v>0.90019452842044512</v>
      </c>
      <c r="HO288" s="469">
        <f ca="1">IF($FN288+HO$244&gt;73,"",PRODUCT(INDEX($T$19:$T$93,HO$244):INDEX($T$19:$T$93,HO$244+$FN288-1)))</f>
        <v>0.88964828860647849</v>
      </c>
      <c r="HP288" s="469">
        <f ca="1">IF($FN288+HP$244&gt;73,"",PRODUCT(INDEX($T$19:$T$93,HP$244):INDEX($T$19:$T$93,HP$244+$FN288-1)))</f>
        <v>0.87805145481775682</v>
      </c>
      <c r="HQ288" s="469">
        <f ca="1">IF($FN288+HQ$244&gt;73,"",PRODUCT(INDEX($T$19:$T$93,HQ$244):INDEX($T$19:$T$93,HQ$244+$FN288-1)))</f>
        <v>0.86531366283725031</v>
      </c>
      <c r="HR288" s="469">
        <f ca="1">IF($FN288+HR$244&gt;73,"",PRODUCT(INDEX($T$19:$T$93,HR$244):INDEX($T$19:$T$93,HR$244+$FN288-1)))</f>
        <v>0.85134002638076633</v>
      </c>
      <c r="HS288" s="469">
        <f ca="1">IF($FN288+HS$244&gt;73,"",PRODUCT(INDEX($T$19:$T$93,HS$244):INDEX($T$19:$T$93,HS$244+$FN288-1)))</f>
        <v>0.83603172188755692</v>
      </c>
      <c r="HT288" s="469">
        <f ca="1">IF($FN288+HT$244&gt;73,"",PRODUCT(INDEX($T$19:$T$93,HT$244):INDEX($T$19:$T$93,HT$244+$FN288-1)))</f>
        <v>0.81928683260363555</v>
      </c>
      <c r="HU288" s="469">
        <f ca="1">IF($FN288+HU$244&gt;73,"",PRODUCT(INDEX($T$19:$T$93,HU$244):INDEX($T$19:$T$93,HU$244+$FN288-1)))</f>
        <v>0.80100151009970355</v>
      </c>
      <c r="HV288" s="469">
        <f ca="1">IF($FN288+HV$244&gt;73,"",PRODUCT(INDEX($T$19:$T$93,HV$244):INDEX($T$19:$T$93,HV$244+$FN288-1)))</f>
        <v>0.78107152094889021</v>
      </c>
      <c r="HW288" s="469">
        <f ca="1">IF($FN288+HW$244&gt;73,"",PRODUCT(INDEX($T$19:$T$93,HW$244):INDEX($T$19:$T$93,HW$244+$FN288-1)))</f>
        <v>0.75939425698325658</v>
      </c>
      <c r="HX288" s="469">
        <f ca="1">IF($FN288+HX$244&gt;73,"",PRODUCT(INDEX($T$19:$T$93,HX$244):INDEX($T$19:$T$93,HX$244+$FN288-1)))</f>
        <v>0.73587129937518425</v>
      </c>
      <c r="HY288" s="469">
        <f ca="1">IF($FN288+HY$244&gt;73,"",PRODUCT(INDEX($T$19:$T$93,HY$244):INDEX($T$19:$T$93,HY$244+$FN288-1)))</f>
        <v>0.71041163968578414</v>
      </c>
      <c r="HZ288" s="469">
        <f ca="1">IF($FN288+HZ$244&gt;73,"",PRODUCT(INDEX($T$19:$T$93,HZ$244):INDEX($T$19:$T$93,HZ$244+$FN288-1)))</f>
        <v>0.68293567472743177</v>
      </c>
      <c r="IA288" s="469">
        <f ca="1">IF($FN288+IA$244&gt;73,"",PRODUCT(INDEX($T$19:$T$93,IA$244):INDEX($T$19:$T$93,IA$244+$FN288-1)))</f>
        <v>0.65338010593856277</v>
      </c>
      <c r="IB288" s="469">
        <f ca="1">IF($FN288+IB$244&gt;73,"",PRODUCT(INDEX($T$19:$T$93,IB$244):INDEX($T$19:$T$93,IB$244+$FN288-1)))</f>
        <v>0.62170388651948061</v>
      </c>
      <c r="IC288" s="469">
        <f ca="1">IF($FN288+IC$244&gt;73,"",PRODUCT(INDEX($T$19:$T$93,IC$244):INDEX($T$19:$T$93,IC$244+$FN288-1)))</f>
        <v>0.58789536793563657</v>
      </c>
      <c r="ID288" s="469">
        <f ca="1">IF($FN288+ID$244&gt;73,"",PRODUCT(INDEX($T$19:$T$93,ID$244):INDEX($T$19:$T$93,ID$244+$FN288-1)))</f>
        <v>0.55198079611826889</v>
      </c>
      <c r="IE288" s="469">
        <f ca="1">IF($FN288+IE$244&gt;73,"",PRODUCT(INDEX($T$19:$T$93,IE$244):INDEX($T$19:$T$93,IE$244+$FN288-1)))</f>
        <v>0.51403428704486975</v>
      </c>
      <c r="IF288" s="469">
        <f ca="1">IF($FN288+IF$244&gt;73,"",PRODUCT(INDEX($T$19:$T$93,IF$244):INDEX($T$19:$T$93,IF$244+$FN288-1)))</f>
        <v>0.47418935472081108</v>
      </c>
      <c r="IG288" s="469">
        <f ca="1">IF($FN288+IG$244&gt;73,"",PRODUCT(INDEX($T$19:$T$93,IG$244):INDEX($T$19:$T$93,IG$244+$FN288-1)))</f>
        <v>0.43265194474254348</v>
      </c>
      <c r="IH288" s="662">
        <f ca="1">IF($FN288+IH$244&gt;73,"",PRODUCT(INDEX($T$19:$T$93,IH$244):INDEX($T$19:$T$93,IH$244+$FN288-1)))</f>
        <v>0.38971470147047549</v>
      </c>
      <c r="II288" s="242"/>
    </row>
    <row r="289" spans="9:243">
      <c r="I289" s="132"/>
      <c r="J289" s="365"/>
      <c r="K289" s="133"/>
      <c r="L289" s="1"/>
      <c r="M289" s="366"/>
      <c r="P289" s="365"/>
      <c r="S289" s="53"/>
      <c r="T289" s="365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364">
        <v>6.4943138415777008E-2</v>
      </c>
      <c r="AP289" s="1"/>
      <c r="AQ289" s="364">
        <v>5.8602077666313E-2</v>
      </c>
      <c r="AR289" s="1"/>
      <c r="AS289" s="1"/>
      <c r="AT289" s="103"/>
      <c r="AU289" s="103"/>
      <c r="AV289" s="103"/>
      <c r="AW289" s="31"/>
      <c r="AX289" s="31"/>
      <c r="AY289" s="31"/>
      <c r="AZ289" s="31"/>
      <c r="BA289" s="146"/>
      <c r="BB289" s="146"/>
      <c r="BC289" s="103"/>
      <c r="BD289" s="103"/>
      <c r="BE289" s="103"/>
      <c r="BF289" s="104"/>
      <c r="BG289" s="104"/>
      <c r="BH289" s="104"/>
      <c r="BI289" s="102"/>
      <c r="BJ289" s="104"/>
      <c r="BK289" s="104"/>
      <c r="BL289" s="103"/>
      <c r="BM289" s="103"/>
      <c r="BN289" s="103"/>
      <c r="BO289" s="103"/>
      <c r="BP289" s="103"/>
      <c r="BQ289" s="103"/>
      <c r="BR289" s="103"/>
      <c r="BS289" s="103"/>
      <c r="BT289" s="103"/>
      <c r="BU289" s="103"/>
      <c r="BV289" s="103"/>
      <c r="BW289" s="103"/>
      <c r="BX289" s="103"/>
      <c r="BY289" s="103"/>
      <c r="BZ289" s="103"/>
      <c r="CA289" s="103"/>
      <c r="CB289" s="104"/>
      <c r="CC289" s="104"/>
      <c r="CD289" s="104"/>
      <c r="CE289" s="104"/>
      <c r="CF289" s="104"/>
      <c r="CG289" s="104"/>
      <c r="CH289" s="103"/>
      <c r="CI289" s="103"/>
      <c r="CJ289" s="103"/>
      <c r="CK289" s="103"/>
      <c r="CL289" s="103"/>
      <c r="CM289" s="103"/>
      <c r="CN289" s="103"/>
      <c r="CO289" s="103"/>
      <c r="CP289" s="103"/>
      <c r="CQ289" s="103"/>
      <c r="CR289" s="103"/>
      <c r="CS289" s="103"/>
      <c r="CT289" s="103"/>
      <c r="CU289" s="103"/>
      <c r="CV289" s="103"/>
      <c r="CW289" s="103"/>
      <c r="CX289" s="103"/>
      <c r="CY289" s="103"/>
      <c r="CZ289" s="103"/>
      <c r="DA289" s="103"/>
      <c r="DB289" s="103"/>
      <c r="DC289" s="103"/>
      <c r="DD289" s="103"/>
      <c r="DE289" s="103"/>
      <c r="DF289" s="465"/>
      <c r="DG289" s="107"/>
      <c r="DH289" s="107"/>
      <c r="DI289" s="465"/>
      <c r="DJ289" s="51"/>
      <c r="DK289" s="52"/>
      <c r="DL289" s="52"/>
      <c r="DM289" s="52"/>
      <c r="DN289" s="52"/>
      <c r="DO289" s="52"/>
      <c r="DP289" s="52"/>
      <c r="DQ289" s="52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P289" s="53"/>
      <c r="EQ289" s="1"/>
      <c r="ER289" s="103"/>
      <c r="ES289" s="102"/>
      <c r="ET289" s="1"/>
      <c r="EU289" s="103"/>
      <c r="EV289" s="1"/>
      <c r="EW289" s="1"/>
      <c r="EX289" s="1"/>
      <c r="EY289" s="104"/>
      <c r="FN289" s="657">
        <v>45</v>
      </c>
      <c r="FO289" s="469" t="str">
        <f ca="1">IF($FN289+FO$244&gt;73,"",PRODUCT(INDEX($T$19:$T$93,FO$244):INDEX($T$19:$T$93,FO$244+$FN289-1)))</f>
        <v/>
      </c>
      <c r="FP289" s="469" t="str">
        <f ca="1">IF($FN289+FP$244&gt;73,"",PRODUCT(INDEX($T$19:$T$93,FP$244):INDEX($T$19:$T$93,FP$244+$FN289-1)))</f>
        <v/>
      </c>
      <c r="FQ289" s="469" t="str">
        <f ca="1">IF($FN289+FQ$244&gt;73,"",PRODUCT(INDEX($T$19:$T$93,FQ$244):INDEX($T$19:$T$93,FQ$244+$FN289-1)))</f>
        <v/>
      </c>
      <c r="FR289" s="469" t="str">
        <f ca="1">IF($FN289+FR$244&gt;73,"",PRODUCT(INDEX($T$19:$T$93,FR$244):INDEX($T$19:$T$93,FR$244+$FN289-1)))</f>
        <v/>
      </c>
      <c r="FS289" s="469" t="str">
        <f ca="1">IF($FN289+FS$244&gt;73,"",PRODUCT(INDEX($T$19:$T$93,FS$244):INDEX($T$19:$T$93,FS$244+$FN289-1)))</f>
        <v/>
      </c>
      <c r="FT289" s="469" t="str">
        <f ca="1">IF($FN289+FT$244&gt;73,"",PRODUCT(INDEX($T$19:$T$93,FT$244):INDEX($T$19:$T$93,FT$244+$FN289-1)))</f>
        <v/>
      </c>
      <c r="FU289" s="469" t="str">
        <f ca="1">IF($FN289+FU$244&gt;73,"",PRODUCT(INDEX($T$19:$T$93,FU$244):INDEX($T$19:$T$93,FU$244+$FN289-1)))</f>
        <v/>
      </c>
      <c r="FV289" s="469" t="str">
        <f ca="1">IF($FN289+FV$244&gt;73,"",PRODUCT(INDEX($T$19:$T$93,FV$244):INDEX($T$19:$T$93,FV$244+$FN289-1)))</f>
        <v/>
      </c>
      <c r="FW289" s="469" t="str">
        <f ca="1">IF($FN289+FW$244&gt;73,"",PRODUCT(INDEX($T$19:$T$93,FW$244):INDEX($T$19:$T$93,FW$244+$FN289-1)))</f>
        <v/>
      </c>
      <c r="FX289" s="469" t="str">
        <f ca="1">IF($FN289+FX$244&gt;73,"",PRODUCT(INDEX($T$19:$T$93,FX$244):INDEX($T$19:$T$93,FX$244+$FN289-1)))</f>
        <v/>
      </c>
      <c r="FY289" s="469" t="str">
        <f ca="1">IF($FN289+FY$244&gt;73,"",PRODUCT(INDEX($T$19:$T$93,FY$244):INDEX($T$19:$T$93,FY$244+$FN289-1)))</f>
        <v/>
      </c>
      <c r="FZ289" s="469" t="str">
        <f ca="1">IF($FN289+FZ$244&gt;73,"",PRODUCT(INDEX($T$19:$T$93,FZ$244):INDEX($T$19:$T$93,FZ$244+$FN289-1)))</f>
        <v/>
      </c>
      <c r="GA289" s="469" t="str">
        <f ca="1">IF($FN289+GA$244&gt;73,"",PRODUCT(INDEX($T$19:$T$93,GA$244):INDEX($T$19:$T$93,GA$244+$FN289-1)))</f>
        <v/>
      </c>
      <c r="GB289" s="469" t="str">
        <f ca="1">IF($FN289+GB$244&gt;73,"",PRODUCT(INDEX($T$19:$T$93,GB$244):INDEX($T$19:$T$93,GB$244+$FN289-1)))</f>
        <v/>
      </c>
      <c r="GC289" s="469" t="str">
        <f ca="1">IF($FN289+GC$244&gt;73,"",PRODUCT(INDEX($T$19:$T$93,GC$244):INDEX($T$19:$T$93,GC$244+$FN289-1)))</f>
        <v/>
      </c>
      <c r="GD289" s="469" t="str">
        <f ca="1">IF($FN289+GD$244&gt;73,"",PRODUCT(INDEX($T$19:$T$93,GD$244):INDEX($T$19:$T$93,GD$244+$FN289-1)))</f>
        <v/>
      </c>
      <c r="GE289" s="469" t="str">
        <f ca="1">IF($FN289+GE$244&gt;73,"",PRODUCT(INDEX($T$19:$T$93,GE$244):INDEX($T$19:$T$93,GE$244+$FN289-1)))</f>
        <v/>
      </c>
      <c r="GF289" s="469" t="str">
        <f ca="1">IF($FN289+GF$244&gt;73,"",PRODUCT(INDEX($T$19:$T$93,GF$244):INDEX($T$19:$T$93,GF$244+$FN289-1)))</f>
        <v/>
      </c>
      <c r="GG289" s="469" t="str">
        <f ca="1">IF($FN289+GG$244&gt;73,"",PRODUCT(INDEX($T$19:$T$93,GG$244):INDEX($T$19:$T$93,GG$244+$FN289-1)))</f>
        <v/>
      </c>
      <c r="GH289" s="469" t="str">
        <f ca="1">IF($FN289+GH$244&gt;73,"",PRODUCT(INDEX($T$19:$T$93,GH$244):INDEX($T$19:$T$93,GH$244+$FN289-1)))</f>
        <v/>
      </c>
      <c r="GI289" s="469" t="str">
        <f ca="1">IF($FN289+GI$244&gt;73,"",PRODUCT(INDEX($T$19:$T$93,GI$244):INDEX($T$19:$T$93,GI$244+$FN289-1)))</f>
        <v/>
      </c>
      <c r="GJ289" s="469" t="str">
        <f ca="1">IF($FN289+GJ$244&gt;73,"",PRODUCT(INDEX($T$19:$T$93,GJ$244):INDEX($T$19:$T$93,GJ$244+$FN289-1)))</f>
        <v/>
      </c>
      <c r="GK289" s="469" t="str">
        <f ca="1">IF($FN289+GK$244&gt;73,"",PRODUCT(INDEX($T$19:$T$93,GK$244):INDEX($T$19:$T$93,GK$244+$FN289-1)))</f>
        <v/>
      </c>
      <c r="GL289" s="469" t="str">
        <f ca="1">IF($FN289+GL$244&gt;73,"",PRODUCT(INDEX($T$19:$T$93,GL$244):INDEX($T$19:$T$93,GL$244+$FN289-1)))</f>
        <v/>
      </c>
      <c r="GM289" s="469" t="str">
        <f ca="1">IF($FN289+GM$244&gt;73,"",PRODUCT(INDEX($T$19:$T$93,GM$244):INDEX($T$19:$T$93,GM$244+$FN289-1)))</f>
        <v/>
      </c>
      <c r="GN289" s="469" t="str">
        <f ca="1">IF($FN289+GN$244&gt;73,"",PRODUCT(INDEX($T$19:$T$93,GN$244):INDEX($T$19:$T$93,GN$244+$FN289-1)))</f>
        <v/>
      </c>
      <c r="GO289" s="469" t="str">
        <f ca="1">IF($FN289+GO$244&gt;73,"",PRODUCT(INDEX($T$19:$T$93,GO$244):INDEX($T$19:$T$93,GO$244+$FN289-1)))</f>
        <v/>
      </c>
      <c r="GP289" s="469" t="str">
        <f ca="1">IF($FN289+GP$244&gt;73,"",PRODUCT(INDEX($T$19:$T$93,GP$244):INDEX($T$19:$T$93,GP$244+$FN289-1)))</f>
        <v/>
      </c>
      <c r="GQ289" s="469" t="str">
        <f ca="1">IF($FN289+GQ$244&gt;73,"",PRODUCT(INDEX($T$19:$T$93,GQ$244):INDEX($T$19:$T$93,GQ$244+$FN289-1)))</f>
        <v/>
      </c>
      <c r="GR289" s="469" t="str">
        <f ca="1">IF($FN289+GR$244&gt;73,"",PRODUCT(INDEX($T$19:$T$93,GR$244):INDEX($T$19:$T$93,GR$244+$FN289-1)))</f>
        <v/>
      </c>
      <c r="GS289" s="469" t="str">
        <f ca="1">IF($FN289+GS$244&gt;73,"",PRODUCT(INDEX($T$19:$T$93,GS$244):INDEX($T$19:$T$93,GS$244+$FN289-1)))</f>
        <v/>
      </c>
      <c r="GT289" s="469" t="str">
        <f ca="1">IF($FN289+GT$244&gt;73,"",PRODUCT(INDEX($T$19:$T$93,GT$244):INDEX($T$19:$T$93,GT$244+$FN289-1)))</f>
        <v/>
      </c>
      <c r="GU289" s="469" t="str">
        <f ca="1">IF($FN289+GU$244&gt;73,"",PRODUCT(INDEX($T$19:$T$93,GU$244):INDEX($T$19:$T$93,GU$244+$FN289-1)))</f>
        <v/>
      </c>
      <c r="GV289" s="469" t="str">
        <f ca="1">IF($FN289+GV$244&gt;73,"",PRODUCT(INDEX($T$19:$T$93,GV$244):INDEX($T$19:$T$93,GV$244+$FN289-1)))</f>
        <v/>
      </c>
      <c r="GW289" s="469" t="str">
        <f ca="1">IF($FN289+GW$244&gt;73,"",PRODUCT(INDEX($T$19:$T$93,GW$244):INDEX($T$19:$T$93,GW$244+$FN289-1)))</f>
        <v/>
      </c>
      <c r="GX289" s="469" t="str">
        <f ca="1">IF($FN289+GX$244&gt;73,"",PRODUCT(INDEX($T$19:$T$93,GX$244):INDEX($T$19:$T$93,GX$244+$FN289-1)))</f>
        <v/>
      </c>
      <c r="GY289" s="469" t="str">
        <f ca="1">IF($FN289+GY$244&gt;73,"",PRODUCT(INDEX($T$19:$T$93,GY$244):INDEX($T$19:$T$93,GY$244+$FN289-1)))</f>
        <v/>
      </c>
      <c r="GZ289" s="469" t="str">
        <f ca="1">IF($FN289+GZ$244&gt;73,"",PRODUCT(INDEX($T$19:$T$93,GZ$244):INDEX($T$19:$T$93,GZ$244+$FN289-1)))</f>
        <v/>
      </c>
      <c r="HA289" s="469" t="str">
        <f ca="1">IF($FN289+HA$244&gt;73,"",PRODUCT(INDEX($T$19:$T$93,HA$244):INDEX($T$19:$T$93,HA$244+$FN289-1)))</f>
        <v/>
      </c>
      <c r="HB289" s="469" t="str">
        <f ca="1">IF($FN289+HB$244&gt;73,"",PRODUCT(INDEX($T$19:$T$93,HB$244):INDEX($T$19:$T$93,HB$244+$FN289-1)))</f>
        <v/>
      </c>
      <c r="HC289" s="469" t="str">
        <f ca="1">IF($FN289+HC$244&gt;73,"",PRODUCT(INDEX($T$19:$T$93,HC$244):INDEX($T$19:$T$93,HC$244+$FN289-1)))</f>
        <v/>
      </c>
      <c r="HD289" s="469" t="str">
        <f ca="1">IF($FN289+HD$244&gt;73,"",PRODUCT(INDEX($T$19:$T$93,HD$244):INDEX($T$19:$T$93,HD$244+$FN289-1)))</f>
        <v/>
      </c>
      <c r="HE289" s="469" t="str">
        <f ca="1">IF($FN289+HE$244&gt;73,"",PRODUCT(INDEX($T$19:$T$93,HE$244):INDEX($T$19:$T$93,HE$244+$FN289-1)))</f>
        <v/>
      </c>
      <c r="HF289" s="469" t="str">
        <f ca="1">IF($FN289+HF$244&gt;73,"",PRODUCT(INDEX($T$19:$T$93,HF$244):INDEX($T$19:$T$93,HF$244+$FN289-1)))</f>
        <v/>
      </c>
      <c r="HG289" s="469">
        <f ca="1">IF($FN289+HG$244&gt;73,"",PRODUCT(INDEX($T$19:$T$93,HG$244):INDEX($T$19:$T$93,HG$244+$FN289-1)))</f>
        <v>0.95108938191158843</v>
      </c>
      <c r="HH289" s="469">
        <f ca="1">IF($FN289+HH$244&gt;73,"",PRODUCT(INDEX($T$19:$T$93,HH$244):INDEX($T$19:$T$93,HH$244+$FN289-1)))</f>
        <v>0.94578538178458171</v>
      </c>
      <c r="HI289" s="469">
        <f ca="1">IF($FN289+HI$244&gt;73,"",PRODUCT(INDEX($T$19:$T$93,HI$244):INDEX($T$19:$T$93,HI$244+$FN289-1)))</f>
        <v>0.93992185162874275</v>
      </c>
      <c r="HJ289" s="469">
        <f ca="1">IF($FN289+HJ$244&gt;73,"",PRODUCT(INDEX($T$19:$T$93,HJ$244):INDEX($T$19:$T$93,HJ$244+$FN289-1)))</f>
        <v>0.93344333490570919</v>
      </c>
      <c r="HK289" s="469">
        <f ca="1">IF($FN289+HK$244&gt;73,"",PRODUCT(INDEX($T$19:$T$93,HK$244):INDEX($T$19:$T$93,HK$244+$FN289-1)))</f>
        <v>0.92628969422100493</v>
      </c>
      <c r="HL289" s="469">
        <f ca="1">IF($FN289+HL$244&gt;73,"",PRODUCT(INDEX($T$19:$T$93,HL$244):INDEX($T$19:$T$93,HL$244+$FN289-1)))</f>
        <v>0.91839590749322453</v>
      </c>
      <c r="HM289" s="469">
        <f ca="1">IF($FN289+HM$244&gt;73,"",PRODUCT(INDEX($T$19:$T$93,HM$244):INDEX($T$19:$T$93,HM$244+$FN289-1)))</f>
        <v>0.90969190560922764</v>
      </c>
      <c r="HN289" s="469">
        <f ca="1">IF($FN289+HN$244&gt;73,"",PRODUCT(INDEX($T$19:$T$93,HN$244):INDEX($T$19:$T$93,HN$244+$FN289-1)))</f>
        <v>0.90010246810491812</v>
      </c>
      <c r="HO289" s="469">
        <f ca="1">IF($FN289+HO$244&gt;73,"",PRODUCT(INDEX($T$19:$T$93,HO$244):INDEX($T$19:$T$93,HO$244+$FN289-1)))</f>
        <v>0.88954719714345964</v>
      </c>
      <c r="HP289" s="469">
        <f ca="1">IF($FN289+HP$244&gt;73,"",PRODUCT(INDEX($T$19:$T$93,HP$244):INDEX($T$19:$T$93,HP$244+$FN289-1)))</f>
        <v>0.87794059441902317</v>
      </c>
      <c r="HQ289" s="469">
        <f ca="1">IF($FN289+HQ$244&gt;73,"",PRODUCT(INDEX($T$19:$T$93,HQ$244):INDEX($T$19:$T$93,HQ$244+$FN289-1)))</f>
        <v>0.86519227066271021</v>
      </c>
      <c r="HR289" s="469">
        <f ca="1">IF($FN289+HR$244&gt;73,"",PRODUCT(INDEX($T$19:$T$93,HR$244):INDEX($T$19:$T$93,HR$244+$FN289-1)))</f>
        <v>0.85120732323851778</v>
      </c>
      <c r="HS289" s="469">
        <f ca="1">IF($FN289+HS$244&gt;73,"",PRODUCT(INDEX($T$19:$T$93,HS$244):INDEX($T$19:$T$93,HS$244+$FN289-1)))</f>
        <v>0.83588692396196973</v>
      </c>
      <c r="HT289" s="469">
        <f ca="1">IF($FN289+HT$244&gt;73,"",PRODUCT(INDEX($T$19:$T$93,HT$244):INDEX($T$19:$T$93,HT$244+$FN289-1)))</f>
        <v>0.81912916682422021</v>
      </c>
      <c r="HU289" s="469">
        <f ca="1">IF($FN289+HU$244&gt;73,"",PRODUCT(INDEX($T$19:$T$93,HU$244):INDEX($T$19:$T$93,HU$244+$FN289-1)))</f>
        <v>0.80083023383132446</v>
      </c>
      <c r="HV289" s="469">
        <f ca="1">IF($FN289+HV$244&gt;73,"",PRODUCT(INDEX($T$19:$T$93,HV$244):INDEX($T$19:$T$93,HV$244+$FN289-1)))</f>
        <v>0.78088594673976397</v>
      </c>
      <c r="HW289" s="469">
        <f ca="1">IF($FN289+HW$244&gt;73,"",PRODUCT(INDEX($T$19:$T$93,HW$244):INDEX($T$19:$T$93,HW$244+$FN289-1)))</f>
        <v>0.7591937831399036</v>
      </c>
      <c r="HX289" s="469">
        <f ca="1">IF($FN289+HX$244&gt;73,"",PRODUCT(INDEX($T$19:$T$93,HX$244):INDEX($T$19:$T$93,HX$244+$FN289-1)))</f>
        <v>0.73565544712687936</v>
      </c>
      <c r="HY289" s="469">
        <f ca="1">IF($FN289+HY$244&gt;73,"",PRODUCT(INDEX($T$19:$T$93,HY$244):INDEX($T$19:$T$93,HY$244+$FN289-1)))</f>
        <v>0.71018009763228884</v>
      </c>
      <c r="HZ289" s="469">
        <f ca="1">IF($FN289+HZ$244&gt;73,"",PRODUCT(INDEX($T$19:$T$93,HZ$244):INDEX($T$19:$T$93,HZ$244+$FN289-1)))</f>
        <v>0.68268835110134929</v>
      </c>
      <c r="IA289" s="469">
        <f ca="1">IF($FN289+IA$244&gt;73,"",PRODUCT(INDEX($T$19:$T$93,IA$244):INDEX($T$19:$T$93,IA$244+$FN289-1)))</f>
        <v>0.6531171889146854</v>
      </c>
      <c r="IB289" s="469">
        <f ca="1">IF($FN289+IB$244&gt;73,"",PRODUCT(INDEX($T$19:$T$93,IB$244):INDEX($T$19:$T$93,IB$244+$FN289-1)))</f>
        <v>0.62142591231086142</v>
      </c>
      <c r="IC289" s="469">
        <f ca="1">IF($FN289+IC$244&gt;73,"",PRODUCT(INDEX($T$19:$T$93,IC$244):INDEX($T$19:$T$93,IC$244+$FN289-1)))</f>
        <v>0.58760329565546676</v>
      </c>
      <c r="ID289" s="469">
        <f ca="1">IF($FN289+ID$244&gt;73,"",PRODUCT(INDEX($T$19:$T$93,ID$244):INDEX($T$19:$T$93,ID$244+$FN289-1)))</f>
        <v>0.55167608726430983</v>
      </c>
      <c r="IE289" s="469">
        <f ca="1">IF($FN289+IE$244&gt;73,"",PRODUCT(INDEX($T$19:$T$93,IE$244):INDEX($T$19:$T$93,IE$244+$FN289-1)))</f>
        <v>0.5137189858669875</v>
      </c>
      <c r="IF289" s="469">
        <f ca="1">IF($FN289+IF$244&gt;73,"",PRODUCT(INDEX($T$19:$T$93,IF$244):INDEX($T$19:$T$93,IF$244+$FN289-1)))</f>
        <v>0.47386616353864747</v>
      </c>
      <c r="IG289" s="469">
        <f ca="1">IF($FN289+IG$244&gt;73,"",PRODUCT(INDEX($T$19:$T$93,IG$244):INDEX($T$19:$T$93,IG$244+$FN289-1)))</f>
        <v>0.43232428537560441</v>
      </c>
      <c r="IH289" s="662">
        <f ca="1">IF($FN289+IH$244&gt;73,"",PRODUCT(INDEX($T$19:$T$93,IH$244):INDEX($T$19:$T$93,IH$244+$FN289-1)))</f>
        <v>0.38938675026828928</v>
      </c>
      <c r="II289" s="242"/>
    </row>
    <row r="290" spans="9:243">
      <c r="I290" s="132"/>
      <c r="J290" s="365"/>
      <c r="K290" s="133"/>
      <c r="L290" s="1"/>
      <c r="M290" s="366"/>
      <c r="P290" s="365"/>
      <c r="S290" s="53"/>
      <c r="T290" s="365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364">
        <v>6.4953786191430704E-2</v>
      </c>
      <c r="AP290" s="1"/>
      <c r="AQ290" s="364">
        <v>5.8562846949799401E-2</v>
      </c>
      <c r="AR290" s="1"/>
      <c r="AS290" s="1"/>
      <c r="AT290" s="103"/>
      <c r="AU290" s="103"/>
      <c r="AV290" s="103"/>
      <c r="AW290" s="31"/>
      <c r="AX290" s="31"/>
      <c r="AY290" s="31"/>
      <c r="AZ290" s="31"/>
      <c r="BA290" s="146"/>
      <c r="BB290" s="146"/>
      <c r="BC290" s="103"/>
      <c r="BD290" s="103"/>
      <c r="BE290" s="103"/>
      <c r="BF290" s="104"/>
      <c r="BG290" s="104"/>
      <c r="BH290" s="104"/>
      <c r="BI290" s="102"/>
      <c r="BJ290" s="104"/>
      <c r="BK290" s="104"/>
      <c r="BL290" s="103"/>
      <c r="BM290" s="103"/>
      <c r="BN290" s="103"/>
      <c r="BO290" s="103"/>
      <c r="BP290" s="103"/>
      <c r="BQ290" s="103"/>
      <c r="BR290" s="103"/>
      <c r="BS290" s="103"/>
      <c r="BT290" s="103"/>
      <c r="BU290" s="103"/>
      <c r="BV290" s="103"/>
      <c r="BW290" s="103"/>
      <c r="BX290" s="103"/>
      <c r="BY290" s="103"/>
      <c r="BZ290" s="103"/>
      <c r="CA290" s="103"/>
      <c r="CB290" s="104"/>
      <c r="CC290" s="104"/>
      <c r="CD290" s="104"/>
      <c r="CE290" s="104"/>
      <c r="CF290" s="104"/>
      <c r="CG290" s="104"/>
      <c r="CH290" s="103"/>
      <c r="CI290" s="103"/>
      <c r="CJ290" s="103"/>
      <c r="CK290" s="103"/>
      <c r="CL290" s="103"/>
      <c r="CM290" s="103"/>
      <c r="CN290" s="103"/>
      <c r="CO290" s="103"/>
      <c r="CP290" s="103"/>
      <c r="CQ290" s="103"/>
      <c r="CR290" s="103"/>
      <c r="CS290" s="103"/>
      <c r="CT290" s="103"/>
      <c r="CU290" s="103"/>
      <c r="CV290" s="103"/>
      <c r="CW290" s="103"/>
      <c r="CX290" s="103"/>
      <c r="CY290" s="103"/>
      <c r="CZ290" s="103"/>
      <c r="DA290" s="103"/>
      <c r="DB290" s="103"/>
      <c r="DC290" s="103"/>
      <c r="DD290" s="103"/>
      <c r="DE290" s="103"/>
      <c r="DF290" s="465"/>
      <c r="DG290" s="107"/>
      <c r="DH290" s="107"/>
      <c r="DI290" s="465"/>
      <c r="DJ290" s="51"/>
      <c r="DK290" s="52"/>
      <c r="DL290" s="52"/>
      <c r="DM290" s="52"/>
      <c r="DN290" s="52"/>
      <c r="DO290" s="52"/>
      <c r="DP290" s="52"/>
      <c r="DQ290" s="52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P290" s="53"/>
      <c r="EQ290" s="1"/>
      <c r="ER290" s="103"/>
      <c r="ES290" s="102"/>
      <c r="ET290" s="1"/>
      <c r="EU290" s="103"/>
      <c r="EV290" s="1"/>
      <c r="EW290" s="1"/>
      <c r="EX290" s="1"/>
      <c r="EY290" s="104"/>
      <c r="FN290" s="657">
        <v>46</v>
      </c>
      <c r="FO290" s="469" t="str">
        <f ca="1">IF($FN290+FO$244&gt;73,"",PRODUCT(INDEX($T$19:$T$93,FO$244):INDEX($T$19:$T$93,FO$244+$FN290-1)))</f>
        <v/>
      </c>
      <c r="FP290" s="469" t="str">
        <f ca="1">IF($FN290+FP$244&gt;73,"",PRODUCT(INDEX($T$19:$T$93,FP$244):INDEX($T$19:$T$93,FP$244+$FN290-1)))</f>
        <v/>
      </c>
      <c r="FQ290" s="469" t="str">
        <f ca="1">IF($FN290+FQ$244&gt;73,"",PRODUCT(INDEX($T$19:$T$93,FQ$244):INDEX($T$19:$T$93,FQ$244+$FN290-1)))</f>
        <v/>
      </c>
      <c r="FR290" s="469" t="str">
        <f ca="1">IF($FN290+FR$244&gt;73,"",PRODUCT(INDEX($T$19:$T$93,FR$244):INDEX($T$19:$T$93,FR$244+$FN290-1)))</f>
        <v/>
      </c>
      <c r="FS290" s="469" t="str">
        <f ca="1">IF($FN290+FS$244&gt;73,"",PRODUCT(INDEX($T$19:$T$93,FS$244):INDEX($T$19:$T$93,FS$244+$FN290-1)))</f>
        <v/>
      </c>
      <c r="FT290" s="469" t="str">
        <f ca="1">IF($FN290+FT$244&gt;73,"",PRODUCT(INDEX($T$19:$T$93,FT$244):INDEX($T$19:$T$93,FT$244+$FN290-1)))</f>
        <v/>
      </c>
      <c r="FU290" s="469" t="str">
        <f ca="1">IF($FN290+FU$244&gt;73,"",PRODUCT(INDEX($T$19:$T$93,FU$244):INDEX($T$19:$T$93,FU$244+$FN290-1)))</f>
        <v/>
      </c>
      <c r="FV290" s="469" t="str">
        <f ca="1">IF($FN290+FV$244&gt;73,"",PRODUCT(INDEX($T$19:$T$93,FV$244):INDEX($T$19:$T$93,FV$244+$FN290-1)))</f>
        <v/>
      </c>
      <c r="FW290" s="469" t="str">
        <f ca="1">IF($FN290+FW$244&gt;73,"",PRODUCT(INDEX($T$19:$T$93,FW$244):INDEX($T$19:$T$93,FW$244+$FN290-1)))</f>
        <v/>
      </c>
      <c r="FX290" s="469" t="str">
        <f ca="1">IF($FN290+FX$244&gt;73,"",PRODUCT(INDEX($T$19:$T$93,FX$244):INDEX($T$19:$T$93,FX$244+$FN290-1)))</f>
        <v/>
      </c>
      <c r="FY290" s="469" t="str">
        <f ca="1">IF($FN290+FY$244&gt;73,"",PRODUCT(INDEX($T$19:$T$93,FY$244):INDEX($T$19:$T$93,FY$244+$FN290-1)))</f>
        <v/>
      </c>
      <c r="FZ290" s="469" t="str">
        <f ca="1">IF($FN290+FZ$244&gt;73,"",PRODUCT(INDEX($T$19:$T$93,FZ$244):INDEX($T$19:$T$93,FZ$244+$FN290-1)))</f>
        <v/>
      </c>
      <c r="GA290" s="469" t="str">
        <f ca="1">IF($FN290+GA$244&gt;73,"",PRODUCT(INDEX($T$19:$T$93,GA$244):INDEX($T$19:$T$93,GA$244+$FN290-1)))</f>
        <v/>
      </c>
      <c r="GB290" s="469" t="str">
        <f ca="1">IF($FN290+GB$244&gt;73,"",PRODUCT(INDEX($T$19:$T$93,GB$244):INDEX($T$19:$T$93,GB$244+$FN290-1)))</f>
        <v/>
      </c>
      <c r="GC290" s="469" t="str">
        <f ca="1">IF($FN290+GC$244&gt;73,"",PRODUCT(INDEX($T$19:$T$93,GC$244):INDEX($T$19:$T$93,GC$244+$FN290-1)))</f>
        <v/>
      </c>
      <c r="GD290" s="469" t="str">
        <f ca="1">IF($FN290+GD$244&gt;73,"",PRODUCT(INDEX($T$19:$T$93,GD$244):INDEX($T$19:$T$93,GD$244+$FN290-1)))</f>
        <v/>
      </c>
      <c r="GE290" s="469" t="str">
        <f ca="1">IF($FN290+GE$244&gt;73,"",PRODUCT(INDEX($T$19:$T$93,GE$244):INDEX($T$19:$T$93,GE$244+$FN290-1)))</f>
        <v/>
      </c>
      <c r="GF290" s="469" t="str">
        <f ca="1">IF($FN290+GF$244&gt;73,"",PRODUCT(INDEX($T$19:$T$93,GF$244):INDEX($T$19:$T$93,GF$244+$FN290-1)))</f>
        <v/>
      </c>
      <c r="GG290" s="469" t="str">
        <f ca="1">IF($FN290+GG$244&gt;73,"",PRODUCT(INDEX($T$19:$T$93,GG$244):INDEX($T$19:$T$93,GG$244+$FN290-1)))</f>
        <v/>
      </c>
      <c r="GH290" s="469" t="str">
        <f ca="1">IF($FN290+GH$244&gt;73,"",PRODUCT(INDEX($T$19:$T$93,GH$244):INDEX($T$19:$T$93,GH$244+$FN290-1)))</f>
        <v/>
      </c>
      <c r="GI290" s="469" t="str">
        <f ca="1">IF($FN290+GI$244&gt;73,"",PRODUCT(INDEX($T$19:$T$93,GI$244):INDEX($T$19:$T$93,GI$244+$FN290-1)))</f>
        <v/>
      </c>
      <c r="GJ290" s="469" t="str">
        <f ca="1">IF($FN290+GJ$244&gt;73,"",PRODUCT(INDEX($T$19:$T$93,GJ$244):INDEX($T$19:$T$93,GJ$244+$FN290-1)))</f>
        <v/>
      </c>
      <c r="GK290" s="469" t="str">
        <f ca="1">IF($FN290+GK$244&gt;73,"",PRODUCT(INDEX($T$19:$T$93,GK$244):INDEX($T$19:$T$93,GK$244+$FN290-1)))</f>
        <v/>
      </c>
      <c r="GL290" s="469" t="str">
        <f ca="1">IF($FN290+GL$244&gt;73,"",PRODUCT(INDEX($T$19:$T$93,GL$244):INDEX($T$19:$T$93,GL$244+$FN290-1)))</f>
        <v/>
      </c>
      <c r="GM290" s="469" t="str">
        <f ca="1">IF($FN290+GM$244&gt;73,"",PRODUCT(INDEX($T$19:$T$93,GM$244):INDEX($T$19:$T$93,GM$244+$FN290-1)))</f>
        <v/>
      </c>
      <c r="GN290" s="469" t="str">
        <f ca="1">IF($FN290+GN$244&gt;73,"",PRODUCT(INDEX($T$19:$T$93,GN$244):INDEX($T$19:$T$93,GN$244+$FN290-1)))</f>
        <v/>
      </c>
      <c r="GO290" s="469" t="str">
        <f ca="1">IF($FN290+GO$244&gt;73,"",PRODUCT(INDEX($T$19:$T$93,GO$244):INDEX($T$19:$T$93,GO$244+$FN290-1)))</f>
        <v/>
      </c>
      <c r="GP290" s="469" t="str">
        <f ca="1">IF($FN290+GP$244&gt;73,"",PRODUCT(INDEX($T$19:$T$93,GP$244):INDEX($T$19:$T$93,GP$244+$FN290-1)))</f>
        <v/>
      </c>
      <c r="GQ290" s="469" t="str">
        <f ca="1">IF($FN290+GQ$244&gt;73,"",PRODUCT(INDEX($T$19:$T$93,GQ$244):INDEX($T$19:$T$93,GQ$244+$FN290-1)))</f>
        <v/>
      </c>
      <c r="GR290" s="469" t="str">
        <f ca="1">IF($FN290+GR$244&gt;73,"",PRODUCT(INDEX($T$19:$T$93,GR$244):INDEX($T$19:$T$93,GR$244+$FN290-1)))</f>
        <v/>
      </c>
      <c r="GS290" s="469" t="str">
        <f ca="1">IF($FN290+GS$244&gt;73,"",PRODUCT(INDEX($T$19:$T$93,GS$244):INDEX($T$19:$T$93,GS$244+$FN290-1)))</f>
        <v/>
      </c>
      <c r="GT290" s="469" t="str">
        <f ca="1">IF($FN290+GT$244&gt;73,"",PRODUCT(INDEX($T$19:$T$93,GT$244):INDEX($T$19:$T$93,GT$244+$FN290-1)))</f>
        <v/>
      </c>
      <c r="GU290" s="469" t="str">
        <f ca="1">IF($FN290+GU$244&gt;73,"",PRODUCT(INDEX($T$19:$T$93,GU$244):INDEX($T$19:$T$93,GU$244+$FN290-1)))</f>
        <v/>
      </c>
      <c r="GV290" s="469" t="str">
        <f ca="1">IF($FN290+GV$244&gt;73,"",PRODUCT(INDEX($T$19:$T$93,GV$244):INDEX($T$19:$T$93,GV$244+$FN290-1)))</f>
        <v/>
      </c>
      <c r="GW290" s="469" t="str">
        <f ca="1">IF($FN290+GW$244&gt;73,"",PRODUCT(INDEX($T$19:$T$93,GW$244):INDEX($T$19:$T$93,GW$244+$FN290-1)))</f>
        <v/>
      </c>
      <c r="GX290" s="469" t="str">
        <f ca="1">IF($FN290+GX$244&gt;73,"",PRODUCT(INDEX($T$19:$T$93,GX$244):INDEX($T$19:$T$93,GX$244+$FN290-1)))</f>
        <v/>
      </c>
      <c r="GY290" s="469" t="str">
        <f ca="1">IF($FN290+GY$244&gt;73,"",PRODUCT(INDEX($T$19:$T$93,GY$244):INDEX($T$19:$T$93,GY$244+$FN290-1)))</f>
        <v/>
      </c>
      <c r="GZ290" s="469" t="str">
        <f ca="1">IF($FN290+GZ$244&gt;73,"",PRODUCT(INDEX($T$19:$T$93,GZ$244):INDEX($T$19:$T$93,GZ$244+$FN290-1)))</f>
        <v/>
      </c>
      <c r="HA290" s="469" t="str">
        <f ca="1">IF($FN290+HA$244&gt;73,"",PRODUCT(INDEX($T$19:$T$93,HA$244):INDEX($T$19:$T$93,HA$244+$FN290-1)))</f>
        <v/>
      </c>
      <c r="HB290" s="469" t="str">
        <f ca="1">IF($FN290+HB$244&gt;73,"",PRODUCT(INDEX($T$19:$T$93,HB$244):INDEX($T$19:$T$93,HB$244+$FN290-1)))</f>
        <v/>
      </c>
      <c r="HC290" s="469" t="str">
        <f ca="1">IF($FN290+HC$244&gt;73,"",PRODUCT(INDEX($T$19:$T$93,HC$244):INDEX($T$19:$T$93,HC$244+$FN290-1)))</f>
        <v/>
      </c>
      <c r="HD290" s="469" t="str">
        <f ca="1">IF($FN290+HD$244&gt;73,"",PRODUCT(INDEX($T$19:$T$93,HD$244):INDEX($T$19:$T$93,HD$244+$FN290-1)))</f>
        <v/>
      </c>
      <c r="HE290" s="469" t="str">
        <f ca="1">IF($FN290+HE$244&gt;73,"",PRODUCT(INDEX($T$19:$T$93,HE$244):INDEX($T$19:$T$93,HE$244+$FN290-1)))</f>
        <v/>
      </c>
      <c r="HF290" s="469" t="str">
        <f ca="1">IF($FN290+HF$244&gt;73,"",PRODUCT(INDEX($T$19:$T$93,HF$244):INDEX($T$19:$T$93,HF$244+$FN290-1)))</f>
        <v/>
      </c>
      <c r="HG290" s="469" t="str">
        <f ca="1">IF($FN290+HG$244&gt;73,"",PRODUCT(INDEX($T$19:$T$93,HG$244):INDEX($T$19:$T$93,HG$244+$FN290-1)))</f>
        <v/>
      </c>
      <c r="HH290" s="469">
        <f ca="1">IF($FN290+HH$244&gt;73,"",PRODUCT(INDEX($T$19:$T$93,HH$244):INDEX($T$19:$T$93,HH$244+$FN290-1)))</f>
        <v>0.94573912085467804</v>
      </c>
      <c r="HI290" s="469">
        <f ca="1">IF($FN290+HI$244&gt;73,"",PRODUCT(INDEX($T$19:$T$93,HI$244):INDEX($T$19:$T$93,HI$244+$FN290-1)))</f>
        <v>0.93987076912185674</v>
      </c>
      <c r="HJ290" s="469">
        <f ca="1">IF($FN290+HJ$244&gt;73,"",PRODUCT(INDEX($T$19:$T$93,HJ$244):INDEX($T$19:$T$93,HJ$244+$FN290-1)))</f>
        <v>0.93338696760402717</v>
      </c>
      <c r="HK290" s="469">
        <f ca="1">IF($FN290+HK$244&gt;73,"",PRODUCT(INDEX($T$19:$T$93,HK$244):INDEX($T$19:$T$93,HK$244+$FN290-1)))</f>
        <v>0.92622754365319615</v>
      </c>
      <c r="HL290" s="469">
        <f ca="1">IF($FN290+HL$244&gt;73,"",PRODUCT(INDEX($T$19:$T$93,HL$244):INDEX($T$19:$T$93,HL$244+$FN290-1)))</f>
        <v>0.91832743953780982</v>
      </c>
      <c r="HM290" s="469">
        <f ca="1">IF($FN290+HM$244&gt;73,"",PRODUCT(INDEX($T$19:$T$93,HM$244):INDEX($T$19:$T$93,HM$244+$FN290-1)))</f>
        <v>0.90961655078019255</v>
      </c>
      <c r="HN290" s="469">
        <f ca="1">IF($FN290+HN$244&gt;73,"",PRODUCT(INDEX($T$19:$T$93,HN$244):INDEX($T$19:$T$93,HN$244+$FN290-1)))</f>
        <v>0.90001962273149427</v>
      </c>
      <c r="HO290" s="469">
        <f ca="1">IF($FN290+HO$244&gt;73,"",PRODUCT(INDEX($T$19:$T$93,HO$244):INDEX($T$19:$T$93,HO$244+$FN290-1)))</f>
        <v>0.88945622569999971</v>
      </c>
      <c r="HP290" s="469">
        <f ca="1">IF($FN290+HP$244&gt;73,"",PRODUCT(INDEX($T$19:$T$93,HP$244):INDEX($T$19:$T$93,HP$244+$FN290-1)))</f>
        <v>0.87784083331087515</v>
      </c>
      <c r="HQ290" s="469">
        <f ca="1">IF($FN290+HQ$244&gt;73,"",PRODUCT(INDEX($T$19:$T$93,HQ$244):INDEX($T$19:$T$93,HQ$244+$FN290-1)))</f>
        <v>0.86508303382974261</v>
      </c>
      <c r="HR290" s="469">
        <f ca="1">IF($FN290+HR$244&gt;73,"",PRODUCT(INDEX($T$19:$T$93,HR$244):INDEX($T$19:$T$93,HR$244+$FN290-1)))</f>
        <v>0.85108790999868333</v>
      </c>
      <c r="HS290" s="469">
        <f ca="1">IF($FN290+HS$244&gt;73,"",PRODUCT(INDEX($T$19:$T$93,HS$244):INDEX($T$19:$T$93,HS$244+$FN290-1)))</f>
        <v>0.83575662958142027</v>
      </c>
      <c r="HT290" s="469">
        <f ca="1">IF($FN290+HT$244&gt;73,"",PRODUCT(INDEX($T$19:$T$93,HT$244):INDEX($T$19:$T$93,HT$244+$FN290-1)))</f>
        <v>0.81898729636519463</v>
      </c>
      <c r="HU290" s="469">
        <f ca="1">IF($FN290+HU$244&gt;73,"",PRODUCT(INDEX($T$19:$T$93,HU$244):INDEX($T$19:$T$93,HU$244+$FN290-1)))</f>
        <v>0.80067611988981868</v>
      </c>
      <c r="HV290" s="469">
        <f ca="1">IF($FN290+HV$244&gt;73,"",PRODUCT(INDEX($T$19:$T$93,HV$244):INDEX($T$19:$T$93,HV$244+$FN290-1)))</f>
        <v>0.78071897173497207</v>
      </c>
      <c r="HW290" s="469">
        <f ca="1">IF($FN290+HW$244&gt;73,"",PRODUCT(INDEX($T$19:$T$93,HW$244):INDEX($T$19:$T$93,HW$244+$FN290-1)))</f>
        <v>0.7590134068464387</v>
      </c>
      <c r="HX290" s="469">
        <f ca="1">IF($FN290+HX$244&gt;73,"",PRODUCT(INDEX($T$19:$T$93,HX$244):INDEX($T$19:$T$93,HX$244+$FN290-1)))</f>
        <v>0.73546124013424952</v>
      </c>
      <c r="HY290" s="469">
        <f ca="1">IF($FN290+HY$244&gt;73,"",PRODUCT(INDEX($T$19:$T$93,HY$244):INDEX($T$19:$T$93,HY$244+$FN290-1)))</f>
        <v>0.70997178135347006</v>
      </c>
      <c r="HZ290" s="469">
        <f ca="1">IF($FN290+HZ$244&gt;73,"",PRODUCT(INDEX($T$19:$T$93,HZ$244):INDEX($T$19:$T$93,HZ$244+$FN290-1)))</f>
        <v>0.68246584480516692</v>
      </c>
      <c r="IA290" s="469">
        <f ca="1">IF($FN290+IA$244&gt;73,"",PRODUCT(INDEX($T$19:$T$93,IA$244):INDEX($T$19:$T$93,IA$244+$FN290-1)))</f>
        <v>0.65288066398650146</v>
      </c>
      <c r="IB290" s="469">
        <f ca="1">IF($FN290+IB$244&gt;73,"",PRODUCT(INDEX($T$19:$T$93,IB$244):INDEX($T$19:$T$93,IB$244+$FN290-1)))</f>
        <v>0.62117585350138727</v>
      </c>
      <c r="IC290" s="469">
        <f ca="1">IF($FN290+IC$244&gt;73,"",PRODUCT(INDEX($T$19:$T$93,IC$244):INDEX($T$19:$T$93,IC$244+$FN290-1)))</f>
        <v>0.5873405683915176</v>
      </c>
      <c r="ID290" s="469">
        <f ca="1">IF($FN290+ID$244&gt;73,"",PRODUCT(INDEX($T$19:$T$93,ID$244):INDEX($T$19:$T$93,ID$244+$FN290-1)))</f>
        <v>0.5514020090838877</v>
      </c>
      <c r="IE290" s="469">
        <f ca="1">IF($FN290+IE$244&gt;73,"",PRODUCT(INDEX($T$19:$T$93,IE$244):INDEX($T$19:$T$93,IE$244+$FN290-1)))</f>
        <v>0.51343539860355125</v>
      </c>
      <c r="IF290" s="469">
        <f ca="1">IF($FN290+IF$244&gt;73,"",PRODUCT(INDEX($T$19:$T$93,IF$244):INDEX($T$19:$T$93,IF$244+$FN290-1)))</f>
        <v>0.47357550090526318</v>
      </c>
      <c r="IG290" s="469">
        <f ca="1">IF($FN290+IG$244&gt;73,"",PRODUCT(INDEX($T$19:$T$93,IG$244):INDEX($T$19:$T$93,IG$244+$FN290-1)))</f>
        <v>0.43202962798720557</v>
      </c>
      <c r="IH290" s="662">
        <f ca="1">IF($FN290+IH$244&gt;73,"",PRODUCT(INDEX($T$19:$T$93,IH$244):INDEX($T$19:$T$93,IH$244+$FN290-1)))</f>
        <v>0.38909185683804415</v>
      </c>
      <c r="II290" s="242"/>
    </row>
    <row r="291" spans="9:243">
      <c r="I291" s="132"/>
      <c r="J291" s="365"/>
      <c r="K291" s="133"/>
      <c r="L291" s="1"/>
      <c r="M291" s="366"/>
      <c r="P291" s="365"/>
      <c r="S291" s="53"/>
      <c r="T291" s="365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364">
        <v>6.4964090490486001E-2</v>
      </c>
      <c r="AP291" s="1"/>
      <c r="AQ291" s="364">
        <v>5.8524881750502203E-2</v>
      </c>
      <c r="AR291" s="1"/>
      <c r="AS291" s="1"/>
      <c r="AT291" s="103"/>
      <c r="AU291" s="103"/>
      <c r="AV291" s="103"/>
      <c r="AW291" s="31"/>
      <c r="AX291" s="31"/>
      <c r="AY291" s="31"/>
      <c r="AZ291" s="31"/>
      <c r="BA291" s="146"/>
      <c r="BB291" s="146"/>
      <c r="BC291" s="103"/>
      <c r="BD291" s="103"/>
      <c r="BE291" s="103"/>
      <c r="BF291" s="104"/>
      <c r="BG291" s="104"/>
      <c r="BH291" s="104"/>
      <c r="BI291" s="102"/>
      <c r="BJ291" s="104"/>
      <c r="BK291" s="104"/>
      <c r="BL291" s="103"/>
      <c r="BM291" s="103"/>
      <c r="BN291" s="103"/>
      <c r="BO291" s="103"/>
      <c r="BP291" s="103"/>
      <c r="BQ291" s="103"/>
      <c r="BR291" s="103"/>
      <c r="BS291" s="103"/>
      <c r="BT291" s="103"/>
      <c r="BU291" s="103"/>
      <c r="BV291" s="103"/>
      <c r="BW291" s="103"/>
      <c r="BX291" s="103"/>
      <c r="BY291" s="103"/>
      <c r="BZ291" s="103"/>
      <c r="CA291" s="103"/>
      <c r="CB291" s="104"/>
      <c r="CC291" s="104"/>
      <c r="CD291" s="104"/>
      <c r="CE291" s="104"/>
      <c r="CF291" s="104"/>
      <c r="CG291" s="104"/>
      <c r="CH291" s="103"/>
      <c r="CI291" s="103"/>
      <c r="CJ291" s="103"/>
      <c r="CK291" s="103"/>
      <c r="CL291" s="103"/>
      <c r="CM291" s="103"/>
      <c r="CN291" s="103"/>
      <c r="CO291" s="103"/>
      <c r="CP291" s="103"/>
      <c r="CQ291" s="103"/>
      <c r="CR291" s="103"/>
      <c r="CS291" s="103"/>
      <c r="CT291" s="103"/>
      <c r="CU291" s="103"/>
      <c r="CV291" s="103"/>
      <c r="CW291" s="103"/>
      <c r="CX291" s="103"/>
      <c r="CY291" s="103"/>
      <c r="CZ291" s="103"/>
      <c r="DA291" s="103"/>
      <c r="DB291" s="103"/>
      <c r="DC291" s="103"/>
      <c r="DD291" s="103"/>
      <c r="DE291" s="103"/>
      <c r="DF291" s="465"/>
      <c r="DG291" s="107"/>
      <c r="DH291" s="107"/>
      <c r="DI291" s="465"/>
      <c r="DJ291" s="51"/>
      <c r="DK291" s="52"/>
      <c r="DL291" s="52"/>
      <c r="DM291" s="52"/>
      <c r="DN291" s="52"/>
      <c r="DO291" s="52"/>
      <c r="DP291" s="52"/>
      <c r="DQ291" s="52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P291" s="53"/>
      <c r="EQ291" s="1"/>
      <c r="ER291" s="103"/>
      <c r="ES291" s="102"/>
      <c r="ET291" s="1"/>
      <c r="EU291" s="103"/>
      <c r="EV291" s="1"/>
      <c r="EW291" s="1"/>
      <c r="EX291" s="1"/>
      <c r="EY291" s="104"/>
      <c r="FN291" s="657">
        <v>47</v>
      </c>
      <c r="FO291" s="469" t="str">
        <f ca="1">IF($FN291+FO$244&gt;73,"",PRODUCT(INDEX($T$19:$T$93,FO$244):INDEX($T$19:$T$93,FO$244+$FN291-1)))</f>
        <v/>
      </c>
      <c r="FP291" s="469" t="str">
        <f ca="1">IF($FN291+FP$244&gt;73,"",PRODUCT(INDEX($T$19:$T$93,FP$244):INDEX($T$19:$T$93,FP$244+$FN291-1)))</f>
        <v/>
      </c>
      <c r="FQ291" s="469" t="str">
        <f ca="1">IF($FN291+FQ$244&gt;73,"",PRODUCT(INDEX($T$19:$T$93,FQ$244):INDEX($T$19:$T$93,FQ$244+$FN291-1)))</f>
        <v/>
      </c>
      <c r="FR291" s="469" t="str">
        <f ca="1">IF($FN291+FR$244&gt;73,"",PRODUCT(INDEX($T$19:$T$93,FR$244):INDEX($T$19:$T$93,FR$244+$FN291-1)))</f>
        <v/>
      </c>
      <c r="FS291" s="469" t="str">
        <f ca="1">IF($FN291+FS$244&gt;73,"",PRODUCT(INDEX($T$19:$T$93,FS$244):INDEX($T$19:$T$93,FS$244+$FN291-1)))</f>
        <v/>
      </c>
      <c r="FT291" s="469" t="str">
        <f ca="1">IF($FN291+FT$244&gt;73,"",PRODUCT(INDEX($T$19:$T$93,FT$244):INDEX($T$19:$T$93,FT$244+$FN291-1)))</f>
        <v/>
      </c>
      <c r="FU291" s="469" t="str">
        <f ca="1">IF($FN291+FU$244&gt;73,"",PRODUCT(INDEX($T$19:$T$93,FU$244):INDEX($T$19:$T$93,FU$244+$FN291-1)))</f>
        <v/>
      </c>
      <c r="FV291" s="469" t="str">
        <f ca="1">IF($FN291+FV$244&gt;73,"",PRODUCT(INDEX($T$19:$T$93,FV$244):INDEX($T$19:$T$93,FV$244+$FN291-1)))</f>
        <v/>
      </c>
      <c r="FW291" s="469" t="str">
        <f ca="1">IF($FN291+FW$244&gt;73,"",PRODUCT(INDEX($T$19:$T$93,FW$244):INDEX($T$19:$T$93,FW$244+$FN291-1)))</f>
        <v/>
      </c>
      <c r="FX291" s="469" t="str">
        <f ca="1">IF($FN291+FX$244&gt;73,"",PRODUCT(INDEX($T$19:$T$93,FX$244):INDEX($T$19:$T$93,FX$244+$FN291-1)))</f>
        <v/>
      </c>
      <c r="FY291" s="469" t="str">
        <f ca="1">IF($FN291+FY$244&gt;73,"",PRODUCT(INDEX($T$19:$T$93,FY$244):INDEX($T$19:$T$93,FY$244+$FN291-1)))</f>
        <v/>
      </c>
      <c r="FZ291" s="469" t="str">
        <f ca="1">IF($FN291+FZ$244&gt;73,"",PRODUCT(INDEX($T$19:$T$93,FZ$244):INDEX($T$19:$T$93,FZ$244+$FN291-1)))</f>
        <v/>
      </c>
      <c r="GA291" s="469" t="str">
        <f ca="1">IF($FN291+GA$244&gt;73,"",PRODUCT(INDEX($T$19:$T$93,GA$244):INDEX($T$19:$T$93,GA$244+$FN291-1)))</f>
        <v/>
      </c>
      <c r="GB291" s="469" t="str">
        <f ca="1">IF($FN291+GB$244&gt;73,"",PRODUCT(INDEX($T$19:$T$93,GB$244):INDEX($T$19:$T$93,GB$244+$FN291-1)))</f>
        <v/>
      </c>
      <c r="GC291" s="469" t="str">
        <f ca="1">IF($FN291+GC$244&gt;73,"",PRODUCT(INDEX($T$19:$T$93,GC$244):INDEX($T$19:$T$93,GC$244+$FN291-1)))</f>
        <v/>
      </c>
      <c r="GD291" s="469" t="str">
        <f ca="1">IF($FN291+GD$244&gt;73,"",PRODUCT(INDEX($T$19:$T$93,GD$244):INDEX($T$19:$T$93,GD$244+$FN291-1)))</f>
        <v/>
      </c>
      <c r="GE291" s="469" t="str">
        <f ca="1">IF($FN291+GE$244&gt;73,"",PRODUCT(INDEX($T$19:$T$93,GE$244):INDEX($T$19:$T$93,GE$244+$FN291-1)))</f>
        <v/>
      </c>
      <c r="GF291" s="469" t="str">
        <f ca="1">IF($FN291+GF$244&gt;73,"",PRODUCT(INDEX($T$19:$T$93,GF$244):INDEX($T$19:$T$93,GF$244+$FN291-1)))</f>
        <v/>
      </c>
      <c r="GG291" s="469" t="str">
        <f ca="1">IF($FN291+GG$244&gt;73,"",PRODUCT(INDEX($T$19:$T$93,GG$244):INDEX($T$19:$T$93,GG$244+$FN291-1)))</f>
        <v/>
      </c>
      <c r="GH291" s="469" t="str">
        <f ca="1">IF($FN291+GH$244&gt;73,"",PRODUCT(INDEX($T$19:$T$93,GH$244):INDEX($T$19:$T$93,GH$244+$FN291-1)))</f>
        <v/>
      </c>
      <c r="GI291" s="469" t="str">
        <f ca="1">IF($FN291+GI$244&gt;73,"",PRODUCT(INDEX($T$19:$T$93,GI$244):INDEX($T$19:$T$93,GI$244+$FN291-1)))</f>
        <v/>
      </c>
      <c r="GJ291" s="469" t="str">
        <f ca="1">IF($FN291+GJ$244&gt;73,"",PRODUCT(INDEX($T$19:$T$93,GJ$244):INDEX($T$19:$T$93,GJ$244+$FN291-1)))</f>
        <v/>
      </c>
      <c r="GK291" s="469" t="str">
        <f ca="1">IF($FN291+GK$244&gt;73,"",PRODUCT(INDEX($T$19:$T$93,GK$244):INDEX($T$19:$T$93,GK$244+$FN291-1)))</f>
        <v/>
      </c>
      <c r="GL291" s="469" t="str">
        <f ca="1">IF($FN291+GL$244&gt;73,"",PRODUCT(INDEX($T$19:$T$93,GL$244):INDEX($T$19:$T$93,GL$244+$FN291-1)))</f>
        <v/>
      </c>
      <c r="GM291" s="469" t="str">
        <f ca="1">IF($FN291+GM$244&gt;73,"",PRODUCT(INDEX($T$19:$T$93,GM$244):INDEX($T$19:$T$93,GM$244+$FN291-1)))</f>
        <v/>
      </c>
      <c r="GN291" s="469" t="str">
        <f ca="1">IF($FN291+GN$244&gt;73,"",PRODUCT(INDEX($T$19:$T$93,GN$244):INDEX($T$19:$T$93,GN$244+$FN291-1)))</f>
        <v/>
      </c>
      <c r="GO291" s="469" t="str">
        <f ca="1">IF($FN291+GO$244&gt;73,"",PRODUCT(INDEX($T$19:$T$93,GO$244):INDEX($T$19:$T$93,GO$244+$FN291-1)))</f>
        <v/>
      </c>
      <c r="GP291" s="469" t="str">
        <f ca="1">IF($FN291+GP$244&gt;73,"",PRODUCT(INDEX($T$19:$T$93,GP$244):INDEX($T$19:$T$93,GP$244+$FN291-1)))</f>
        <v/>
      </c>
      <c r="GQ291" s="469" t="str">
        <f ca="1">IF($FN291+GQ$244&gt;73,"",PRODUCT(INDEX($T$19:$T$93,GQ$244):INDEX($T$19:$T$93,GQ$244+$FN291-1)))</f>
        <v/>
      </c>
      <c r="GR291" s="469" t="str">
        <f ca="1">IF($FN291+GR$244&gt;73,"",PRODUCT(INDEX($T$19:$T$93,GR$244):INDEX($T$19:$T$93,GR$244+$FN291-1)))</f>
        <v/>
      </c>
      <c r="GS291" s="469" t="str">
        <f ca="1">IF($FN291+GS$244&gt;73,"",PRODUCT(INDEX($T$19:$T$93,GS$244):INDEX($T$19:$T$93,GS$244+$FN291-1)))</f>
        <v/>
      </c>
      <c r="GT291" s="469" t="str">
        <f ca="1">IF($FN291+GT$244&gt;73,"",PRODUCT(INDEX($T$19:$T$93,GT$244):INDEX($T$19:$T$93,GT$244+$FN291-1)))</f>
        <v/>
      </c>
      <c r="GU291" s="469" t="str">
        <f ca="1">IF($FN291+GU$244&gt;73,"",PRODUCT(INDEX($T$19:$T$93,GU$244):INDEX($T$19:$T$93,GU$244+$FN291-1)))</f>
        <v/>
      </c>
      <c r="GV291" s="469" t="str">
        <f ca="1">IF($FN291+GV$244&gt;73,"",PRODUCT(INDEX($T$19:$T$93,GV$244):INDEX($T$19:$T$93,GV$244+$FN291-1)))</f>
        <v/>
      </c>
      <c r="GW291" s="469" t="str">
        <f ca="1">IF($FN291+GW$244&gt;73,"",PRODUCT(INDEX($T$19:$T$93,GW$244):INDEX($T$19:$T$93,GW$244+$FN291-1)))</f>
        <v/>
      </c>
      <c r="GX291" s="469" t="str">
        <f ca="1">IF($FN291+GX$244&gt;73,"",PRODUCT(INDEX($T$19:$T$93,GX$244):INDEX($T$19:$T$93,GX$244+$FN291-1)))</f>
        <v/>
      </c>
      <c r="GY291" s="469" t="str">
        <f ca="1">IF($FN291+GY$244&gt;73,"",PRODUCT(INDEX($T$19:$T$93,GY$244):INDEX($T$19:$T$93,GY$244+$FN291-1)))</f>
        <v/>
      </c>
      <c r="GZ291" s="469" t="str">
        <f ca="1">IF($FN291+GZ$244&gt;73,"",PRODUCT(INDEX($T$19:$T$93,GZ$244):INDEX($T$19:$T$93,GZ$244+$FN291-1)))</f>
        <v/>
      </c>
      <c r="HA291" s="469" t="str">
        <f ca="1">IF($FN291+HA$244&gt;73,"",PRODUCT(INDEX($T$19:$T$93,HA$244):INDEX($T$19:$T$93,HA$244+$FN291-1)))</f>
        <v/>
      </c>
      <c r="HB291" s="469" t="str">
        <f ca="1">IF($FN291+HB$244&gt;73,"",PRODUCT(INDEX($T$19:$T$93,HB$244):INDEX($T$19:$T$93,HB$244+$FN291-1)))</f>
        <v/>
      </c>
      <c r="HC291" s="469" t="str">
        <f ca="1">IF($FN291+HC$244&gt;73,"",PRODUCT(INDEX($T$19:$T$93,HC$244):INDEX($T$19:$T$93,HC$244+$FN291-1)))</f>
        <v/>
      </c>
      <c r="HD291" s="469" t="str">
        <f ca="1">IF($FN291+HD$244&gt;73,"",PRODUCT(INDEX($T$19:$T$93,HD$244):INDEX($T$19:$T$93,HD$244+$FN291-1)))</f>
        <v/>
      </c>
      <c r="HE291" s="469" t="str">
        <f ca="1">IF($FN291+HE$244&gt;73,"",PRODUCT(INDEX($T$19:$T$93,HE$244):INDEX($T$19:$T$93,HE$244+$FN291-1)))</f>
        <v/>
      </c>
      <c r="HF291" s="469" t="str">
        <f ca="1">IF($FN291+HF$244&gt;73,"",PRODUCT(INDEX($T$19:$T$93,HF$244):INDEX($T$19:$T$93,HF$244+$FN291-1)))</f>
        <v/>
      </c>
      <c r="HG291" s="469" t="str">
        <f ca="1">IF($FN291+HG$244&gt;73,"",PRODUCT(INDEX($T$19:$T$93,HG$244):INDEX($T$19:$T$93,HG$244+$FN291-1)))</f>
        <v/>
      </c>
      <c r="HH291" s="469" t="str">
        <f ca="1">IF($FN291+HH$244&gt;73,"",PRODUCT(INDEX($T$19:$T$93,HH$244):INDEX($T$19:$T$93,HH$244+$FN291-1)))</f>
        <v/>
      </c>
      <c r="HI291" s="469">
        <f ca="1">IF($FN291+HI$244&gt;73,"",PRODUCT(INDEX($T$19:$T$93,HI$244):INDEX($T$19:$T$93,HI$244+$FN291-1)))</f>
        <v>0.93982479749171077</v>
      </c>
      <c r="HJ291" s="469">
        <f ca="1">IF($FN291+HJ$244&gt;73,"",PRODUCT(INDEX($T$19:$T$93,HJ$244):INDEX($T$19:$T$93,HJ$244+$FN291-1)))</f>
        <v>0.93333624025247408</v>
      </c>
      <c r="HK291" s="469">
        <f ca="1">IF($FN291+HK$244&gt;73,"",PRODUCT(INDEX($T$19:$T$93,HK$244):INDEX($T$19:$T$93,HK$244+$FN291-1)))</f>
        <v>0.92617161208731857</v>
      </c>
      <c r="HL291" s="469">
        <f ca="1">IF($FN291+HL$244&gt;73,"",PRODUCT(INDEX($T$19:$T$93,HL$244):INDEX($T$19:$T$93,HL$244+$FN291-1)))</f>
        <v>0.91826582320745687</v>
      </c>
      <c r="HM291" s="469">
        <f ca="1">IF($FN291+HM$244&gt;73,"",PRODUCT(INDEX($T$19:$T$93,HM$244):INDEX($T$19:$T$93,HM$244+$FN291-1)))</f>
        <v>0.9095487373405472</v>
      </c>
      <c r="HN291" s="469">
        <f ca="1">IF($FN291+HN$244&gt;73,"",PRODUCT(INDEX($T$19:$T$93,HN$244):INDEX($T$19:$T$93,HN$244+$FN291-1)))</f>
        <v>0.89994506911132799</v>
      </c>
      <c r="HO291" s="469">
        <f ca="1">IF($FN291+HO$244&gt;73,"",PRODUCT(INDEX($T$19:$T$93,HO$244):INDEX($T$19:$T$93,HO$244+$FN291-1)))</f>
        <v>0.88937436020604388</v>
      </c>
      <c r="HP291" s="469">
        <f ca="1">IF($FN291+HP$244&gt;73,"",PRODUCT(INDEX($T$19:$T$93,HP$244):INDEX($T$19:$T$93,HP$244+$FN291-1)))</f>
        <v>0.87775105904370776</v>
      </c>
      <c r="HQ291" s="469">
        <f ca="1">IF($FN291+HQ$244&gt;73,"",PRODUCT(INDEX($T$19:$T$93,HQ$244):INDEX($T$19:$T$93,HQ$244+$FN291-1)))</f>
        <v>0.86498473373672546</v>
      </c>
      <c r="HR291" s="469">
        <f ca="1">IF($FN291+HR$244&gt;73,"",PRODUCT(INDEX($T$19:$T$93,HR$244):INDEX($T$19:$T$93,HR$244+$FN291-1)))</f>
        <v>0.85098045394409549</v>
      </c>
      <c r="HS291" s="469">
        <f ca="1">IF($FN291+HS$244&gt;73,"",PRODUCT(INDEX($T$19:$T$93,HS$244):INDEX($T$19:$T$93,HS$244+$FN291-1)))</f>
        <v>0.83563938387156</v>
      </c>
      <c r="HT291" s="469">
        <f ca="1">IF($FN291+HT$244&gt;73,"",PRODUCT(INDEX($T$19:$T$93,HT$244):INDEX($T$19:$T$93,HT$244+$FN291-1)))</f>
        <v>0.81885963622433244</v>
      </c>
      <c r="HU291" s="469">
        <f ca="1">IF($FN291+HU$244&gt;73,"",PRODUCT(INDEX($T$19:$T$93,HU$244):INDEX($T$19:$T$93,HU$244+$FN291-1)))</f>
        <v>0.80053744543741212</v>
      </c>
      <c r="HV291" s="469">
        <f ca="1">IF($FN291+HV$244&gt;73,"",PRODUCT(INDEX($T$19:$T$93,HV$244):INDEX($T$19:$T$93,HV$244+$FN291-1)))</f>
        <v>0.78056872805927213</v>
      </c>
      <c r="HW291" s="469">
        <f ca="1">IF($FN291+HW$244&gt;73,"",PRODUCT(INDEX($T$19:$T$93,HW$244):INDEX($T$19:$T$93,HW$244+$FN291-1)))</f>
        <v>0.75885110879539242</v>
      </c>
      <c r="HX291" s="469">
        <f ca="1">IF($FN291+HX$244&gt;73,"",PRODUCT(INDEX($T$19:$T$93,HX$244):INDEX($T$19:$T$93,HX$244+$FN291-1)))</f>
        <v>0.73528650243825067</v>
      </c>
      <c r="HY291" s="469">
        <f ca="1">IF($FN291+HY$244&gt;73,"",PRODUCT(INDEX($T$19:$T$93,HY$244):INDEX($T$19:$T$93,HY$244+$FN291-1)))</f>
        <v>0.70978435463754319</v>
      </c>
      <c r="HZ291" s="469">
        <f ca="1">IF($FN291+HZ$244&gt;73,"",PRODUCT(INDEX($T$19:$T$93,HZ$244):INDEX($T$19:$T$93,HZ$244+$FN291-1)))</f>
        <v>0.68226565791498983</v>
      </c>
      <c r="IA291" s="469">
        <f ca="1">IF($FN291+IA$244&gt;73,"",PRODUCT(INDEX($T$19:$T$93,IA$244):INDEX($T$19:$T$93,IA$244+$FN291-1)))</f>
        <v>0.65266787280856742</v>
      </c>
      <c r="IB291" s="469">
        <f ca="1">IF($FN291+IB$244&gt;73,"",PRODUCT(INDEX($T$19:$T$93,IB$244):INDEX($T$19:$T$93,IB$244+$FN291-1)))</f>
        <v>0.62095089605633336</v>
      </c>
      <c r="IC291" s="469">
        <f ca="1">IF($FN291+IC$244&gt;73,"",PRODUCT(INDEX($T$19:$T$93,IC$244):INDEX($T$19:$T$93,IC$244+$FN291-1)))</f>
        <v>0.58710422536111251</v>
      </c>
      <c r="ID291" s="469">
        <f ca="1">IF($FN291+ID$244&gt;73,"",PRODUCT(INDEX($T$19:$T$93,ID$244):INDEX($T$19:$T$93,ID$244+$FN291-1)))</f>
        <v>0.55115546802080351</v>
      </c>
      <c r="IE291" s="469">
        <f ca="1">IF($FN291+IE$244&gt;73,"",PRODUCT(INDEX($T$19:$T$93,IE$244):INDEX($T$19:$T$93,IE$244+$FN291-1)))</f>
        <v>0.51318031877851944</v>
      </c>
      <c r="IF291" s="469">
        <f ca="1">IF($FN291+IF$244&gt;73,"",PRODUCT(INDEX($T$19:$T$93,IF$244):INDEX($T$19:$T$93,IF$244+$FN291-1)))</f>
        <v>0.4733140739694735</v>
      </c>
      <c r="IG291" s="469">
        <f ca="1">IF($FN291+IG$244&gt;73,"",PRODUCT(INDEX($T$19:$T$93,IG$244):INDEX($T$19:$T$93,IG$244+$FN291-1)))</f>
        <v>0.43176462727807485</v>
      </c>
      <c r="IH291" s="662">
        <f ca="1">IF($FN291+IH$244&gt;73,"",PRODUCT(INDEX($T$19:$T$93,IH$244):INDEX($T$19:$T$93,IH$244+$FN291-1)))</f>
        <v>0.38882666518848519</v>
      </c>
      <c r="II291" s="242"/>
    </row>
    <row r="292" spans="9:243">
      <c r="I292" s="132"/>
      <c r="J292" s="365"/>
      <c r="K292" s="133"/>
      <c r="L292" s="1"/>
      <c r="M292" s="366"/>
      <c r="P292" s="365"/>
      <c r="S292" s="53"/>
      <c r="T292" s="365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364">
        <v>6.4974738266213389E-2</v>
      </c>
      <c r="AP292" s="1"/>
      <c r="AQ292" s="364">
        <v>5.8485651055134799E-2</v>
      </c>
      <c r="AR292" s="1"/>
      <c r="AS292" s="1"/>
      <c r="AT292" s="103"/>
      <c r="AU292" s="103"/>
      <c r="AV292" s="103"/>
      <c r="AW292" s="31"/>
      <c r="AX292" s="31"/>
      <c r="AY292" s="31"/>
      <c r="AZ292" s="31"/>
      <c r="BA292" s="146"/>
      <c r="BB292" s="146"/>
      <c r="BC292" s="103"/>
      <c r="BD292" s="103"/>
      <c r="BE292" s="103"/>
      <c r="BF292" s="104"/>
      <c r="BG292" s="104"/>
      <c r="BH292" s="104"/>
      <c r="BI292" s="102"/>
      <c r="BJ292" s="104"/>
      <c r="BK292" s="104"/>
      <c r="BL292" s="103"/>
      <c r="BM292" s="103"/>
      <c r="BN292" s="103"/>
      <c r="BO292" s="103"/>
      <c r="BP292" s="103"/>
      <c r="BQ292" s="103"/>
      <c r="BR292" s="103"/>
      <c r="BS292" s="103"/>
      <c r="BT292" s="103"/>
      <c r="BU292" s="103"/>
      <c r="BV292" s="103"/>
      <c r="BW292" s="103"/>
      <c r="BX292" s="103"/>
      <c r="BY292" s="103"/>
      <c r="BZ292" s="103"/>
      <c r="CA292" s="103"/>
      <c r="CB292" s="104"/>
      <c r="CC292" s="104"/>
      <c r="CD292" s="104"/>
      <c r="CE292" s="104"/>
      <c r="CF292" s="104"/>
      <c r="CG292" s="104"/>
      <c r="CH292" s="103"/>
      <c r="CI292" s="103"/>
      <c r="CJ292" s="103"/>
      <c r="CK292" s="103"/>
      <c r="CL292" s="103"/>
      <c r="CM292" s="103"/>
      <c r="CN292" s="103"/>
      <c r="CO292" s="103"/>
      <c r="CP292" s="103"/>
      <c r="CQ292" s="103"/>
      <c r="CR292" s="103"/>
      <c r="CS292" s="103"/>
      <c r="CT292" s="103"/>
      <c r="CU292" s="103"/>
      <c r="CV292" s="103"/>
      <c r="CW292" s="103"/>
      <c r="CX292" s="103"/>
      <c r="CY292" s="103"/>
      <c r="CZ292" s="103"/>
      <c r="DA292" s="103"/>
      <c r="DB292" s="103"/>
      <c r="DC292" s="103"/>
      <c r="DD292" s="103"/>
      <c r="DE292" s="103"/>
      <c r="DF292" s="465"/>
      <c r="DG292" s="107"/>
      <c r="DH292" s="107"/>
      <c r="DI292" s="465"/>
      <c r="DJ292" s="51"/>
      <c r="DK292" s="52"/>
      <c r="DL292" s="52"/>
      <c r="DM292" s="52"/>
      <c r="DN292" s="52"/>
      <c r="DO292" s="52"/>
      <c r="DP292" s="52"/>
      <c r="DQ292" s="52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P292" s="53"/>
      <c r="EQ292" s="1"/>
      <c r="ER292" s="103"/>
      <c r="ES292" s="102"/>
      <c r="ET292" s="1"/>
      <c r="EU292" s="103"/>
      <c r="EV292" s="1"/>
      <c r="EW292" s="1"/>
      <c r="EX292" s="1"/>
      <c r="EY292" s="104"/>
      <c r="FN292" s="657">
        <v>48</v>
      </c>
      <c r="FO292" s="469" t="str">
        <f ca="1">IF($FN292+FO$244&gt;73,"",PRODUCT(INDEX($T$19:$T$93,FO$244):INDEX($T$19:$T$93,FO$244+$FN292-1)))</f>
        <v/>
      </c>
      <c r="FP292" s="469" t="str">
        <f ca="1">IF($FN292+FP$244&gt;73,"",PRODUCT(INDEX($T$19:$T$93,FP$244):INDEX($T$19:$T$93,FP$244+$FN292-1)))</f>
        <v/>
      </c>
      <c r="FQ292" s="469" t="str">
        <f ca="1">IF($FN292+FQ$244&gt;73,"",PRODUCT(INDEX($T$19:$T$93,FQ$244):INDEX($T$19:$T$93,FQ$244+$FN292-1)))</f>
        <v/>
      </c>
      <c r="FR292" s="469" t="str">
        <f ca="1">IF($FN292+FR$244&gt;73,"",PRODUCT(INDEX($T$19:$T$93,FR$244):INDEX($T$19:$T$93,FR$244+$FN292-1)))</f>
        <v/>
      </c>
      <c r="FS292" s="469" t="str">
        <f ca="1">IF($FN292+FS$244&gt;73,"",PRODUCT(INDEX($T$19:$T$93,FS$244):INDEX($T$19:$T$93,FS$244+$FN292-1)))</f>
        <v/>
      </c>
      <c r="FT292" s="469" t="str">
        <f ca="1">IF($FN292+FT$244&gt;73,"",PRODUCT(INDEX($T$19:$T$93,FT$244):INDEX($T$19:$T$93,FT$244+$FN292-1)))</f>
        <v/>
      </c>
      <c r="FU292" s="469" t="str">
        <f ca="1">IF($FN292+FU$244&gt;73,"",PRODUCT(INDEX($T$19:$T$93,FU$244):INDEX($T$19:$T$93,FU$244+$FN292-1)))</f>
        <v/>
      </c>
      <c r="FV292" s="469" t="str">
        <f ca="1">IF($FN292+FV$244&gt;73,"",PRODUCT(INDEX($T$19:$T$93,FV$244):INDEX($T$19:$T$93,FV$244+$FN292-1)))</f>
        <v/>
      </c>
      <c r="FW292" s="469" t="str">
        <f ca="1">IF($FN292+FW$244&gt;73,"",PRODUCT(INDEX($T$19:$T$93,FW$244):INDEX($T$19:$T$93,FW$244+$FN292-1)))</f>
        <v/>
      </c>
      <c r="FX292" s="469" t="str">
        <f ca="1">IF($FN292+FX$244&gt;73,"",PRODUCT(INDEX($T$19:$T$93,FX$244):INDEX($T$19:$T$93,FX$244+$FN292-1)))</f>
        <v/>
      </c>
      <c r="FY292" s="469" t="str">
        <f ca="1">IF($FN292+FY$244&gt;73,"",PRODUCT(INDEX($T$19:$T$93,FY$244):INDEX($T$19:$T$93,FY$244+$FN292-1)))</f>
        <v/>
      </c>
      <c r="FZ292" s="469" t="str">
        <f ca="1">IF($FN292+FZ$244&gt;73,"",PRODUCT(INDEX($T$19:$T$93,FZ$244):INDEX($T$19:$T$93,FZ$244+$FN292-1)))</f>
        <v/>
      </c>
      <c r="GA292" s="469" t="str">
        <f ca="1">IF($FN292+GA$244&gt;73,"",PRODUCT(INDEX($T$19:$T$93,GA$244):INDEX($T$19:$T$93,GA$244+$FN292-1)))</f>
        <v/>
      </c>
      <c r="GB292" s="469" t="str">
        <f ca="1">IF($FN292+GB$244&gt;73,"",PRODUCT(INDEX($T$19:$T$93,GB$244):INDEX($T$19:$T$93,GB$244+$FN292-1)))</f>
        <v/>
      </c>
      <c r="GC292" s="469" t="str">
        <f ca="1">IF($FN292+GC$244&gt;73,"",PRODUCT(INDEX($T$19:$T$93,GC$244):INDEX($T$19:$T$93,GC$244+$FN292-1)))</f>
        <v/>
      </c>
      <c r="GD292" s="469" t="str">
        <f ca="1">IF($FN292+GD$244&gt;73,"",PRODUCT(INDEX($T$19:$T$93,GD$244):INDEX($T$19:$T$93,GD$244+$FN292-1)))</f>
        <v/>
      </c>
      <c r="GE292" s="469" t="str">
        <f ca="1">IF($FN292+GE$244&gt;73,"",PRODUCT(INDEX($T$19:$T$93,GE$244):INDEX($T$19:$T$93,GE$244+$FN292-1)))</f>
        <v/>
      </c>
      <c r="GF292" s="469" t="str">
        <f ca="1">IF($FN292+GF$244&gt;73,"",PRODUCT(INDEX($T$19:$T$93,GF$244):INDEX($T$19:$T$93,GF$244+$FN292-1)))</f>
        <v/>
      </c>
      <c r="GG292" s="469" t="str">
        <f ca="1">IF($FN292+GG$244&gt;73,"",PRODUCT(INDEX($T$19:$T$93,GG$244):INDEX($T$19:$T$93,GG$244+$FN292-1)))</f>
        <v/>
      </c>
      <c r="GH292" s="469" t="str">
        <f ca="1">IF($FN292+GH$244&gt;73,"",PRODUCT(INDEX($T$19:$T$93,GH$244):INDEX($T$19:$T$93,GH$244+$FN292-1)))</f>
        <v/>
      </c>
      <c r="GI292" s="469" t="str">
        <f ca="1">IF($FN292+GI$244&gt;73,"",PRODUCT(INDEX($T$19:$T$93,GI$244):INDEX($T$19:$T$93,GI$244+$FN292-1)))</f>
        <v/>
      </c>
      <c r="GJ292" s="469" t="str">
        <f ca="1">IF($FN292+GJ$244&gt;73,"",PRODUCT(INDEX($T$19:$T$93,GJ$244):INDEX($T$19:$T$93,GJ$244+$FN292-1)))</f>
        <v/>
      </c>
      <c r="GK292" s="469" t="str">
        <f ca="1">IF($FN292+GK$244&gt;73,"",PRODUCT(INDEX($T$19:$T$93,GK$244):INDEX($T$19:$T$93,GK$244+$FN292-1)))</f>
        <v/>
      </c>
      <c r="GL292" s="469" t="str">
        <f ca="1">IF($FN292+GL$244&gt;73,"",PRODUCT(INDEX($T$19:$T$93,GL$244):INDEX($T$19:$T$93,GL$244+$FN292-1)))</f>
        <v/>
      </c>
      <c r="GM292" s="469" t="str">
        <f ca="1">IF($FN292+GM$244&gt;73,"",PRODUCT(INDEX($T$19:$T$93,GM$244):INDEX($T$19:$T$93,GM$244+$FN292-1)))</f>
        <v/>
      </c>
      <c r="GN292" s="469" t="str">
        <f ca="1">IF($FN292+GN$244&gt;73,"",PRODUCT(INDEX($T$19:$T$93,GN$244):INDEX($T$19:$T$93,GN$244+$FN292-1)))</f>
        <v/>
      </c>
      <c r="GO292" s="469" t="str">
        <f ca="1">IF($FN292+GO$244&gt;73,"",PRODUCT(INDEX($T$19:$T$93,GO$244):INDEX($T$19:$T$93,GO$244+$FN292-1)))</f>
        <v/>
      </c>
      <c r="GP292" s="469" t="str">
        <f ca="1">IF($FN292+GP$244&gt;73,"",PRODUCT(INDEX($T$19:$T$93,GP$244):INDEX($T$19:$T$93,GP$244+$FN292-1)))</f>
        <v/>
      </c>
      <c r="GQ292" s="469" t="str">
        <f ca="1">IF($FN292+GQ$244&gt;73,"",PRODUCT(INDEX($T$19:$T$93,GQ$244):INDEX($T$19:$T$93,GQ$244+$FN292-1)))</f>
        <v/>
      </c>
      <c r="GR292" s="469" t="str">
        <f ca="1">IF($FN292+GR$244&gt;73,"",PRODUCT(INDEX($T$19:$T$93,GR$244):INDEX($T$19:$T$93,GR$244+$FN292-1)))</f>
        <v/>
      </c>
      <c r="GS292" s="469" t="str">
        <f ca="1">IF($FN292+GS$244&gt;73,"",PRODUCT(INDEX($T$19:$T$93,GS$244):INDEX($T$19:$T$93,GS$244+$FN292-1)))</f>
        <v/>
      </c>
      <c r="GT292" s="469" t="str">
        <f ca="1">IF($FN292+GT$244&gt;73,"",PRODUCT(INDEX($T$19:$T$93,GT$244):INDEX($T$19:$T$93,GT$244+$FN292-1)))</f>
        <v/>
      </c>
      <c r="GU292" s="469" t="str">
        <f ca="1">IF($FN292+GU$244&gt;73,"",PRODUCT(INDEX($T$19:$T$93,GU$244):INDEX($T$19:$T$93,GU$244+$FN292-1)))</f>
        <v/>
      </c>
      <c r="GV292" s="469" t="str">
        <f ca="1">IF($FN292+GV$244&gt;73,"",PRODUCT(INDEX($T$19:$T$93,GV$244):INDEX($T$19:$T$93,GV$244+$FN292-1)))</f>
        <v/>
      </c>
      <c r="GW292" s="469" t="str">
        <f ca="1">IF($FN292+GW$244&gt;73,"",PRODUCT(INDEX($T$19:$T$93,GW$244):INDEX($T$19:$T$93,GW$244+$FN292-1)))</f>
        <v/>
      </c>
      <c r="GX292" s="469" t="str">
        <f ca="1">IF($FN292+GX$244&gt;73,"",PRODUCT(INDEX($T$19:$T$93,GX$244):INDEX($T$19:$T$93,GX$244+$FN292-1)))</f>
        <v/>
      </c>
      <c r="GY292" s="469" t="str">
        <f ca="1">IF($FN292+GY$244&gt;73,"",PRODUCT(INDEX($T$19:$T$93,GY$244):INDEX($T$19:$T$93,GY$244+$FN292-1)))</f>
        <v/>
      </c>
      <c r="GZ292" s="469" t="str">
        <f ca="1">IF($FN292+GZ$244&gt;73,"",PRODUCT(INDEX($T$19:$T$93,GZ$244):INDEX($T$19:$T$93,GZ$244+$FN292-1)))</f>
        <v/>
      </c>
      <c r="HA292" s="469" t="str">
        <f ca="1">IF($FN292+HA$244&gt;73,"",PRODUCT(INDEX($T$19:$T$93,HA$244):INDEX($T$19:$T$93,HA$244+$FN292-1)))</f>
        <v/>
      </c>
      <c r="HB292" s="469" t="str">
        <f ca="1">IF($FN292+HB$244&gt;73,"",PRODUCT(INDEX($T$19:$T$93,HB$244):INDEX($T$19:$T$93,HB$244+$FN292-1)))</f>
        <v/>
      </c>
      <c r="HC292" s="469" t="str">
        <f ca="1">IF($FN292+HC$244&gt;73,"",PRODUCT(INDEX($T$19:$T$93,HC$244):INDEX($T$19:$T$93,HC$244+$FN292-1)))</f>
        <v/>
      </c>
      <c r="HD292" s="469" t="str">
        <f ca="1">IF($FN292+HD$244&gt;73,"",PRODUCT(INDEX($T$19:$T$93,HD$244):INDEX($T$19:$T$93,HD$244+$FN292-1)))</f>
        <v/>
      </c>
      <c r="HE292" s="469" t="str">
        <f ca="1">IF($FN292+HE$244&gt;73,"",PRODUCT(INDEX($T$19:$T$93,HE$244):INDEX($T$19:$T$93,HE$244+$FN292-1)))</f>
        <v/>
      </c>
      <c r="HF292" s="469" t="str">
        <f ca="1">IF($FN292+HF$244&gt;73,"",PRODUCT(INDEX($T$19:$T$93,HF$244):INDEX($T$19:$T$93,HF$244+$FN292-1)))</f>
        <v/>
      </c>
      <c r="HG292" s="469" t="str">
        <f ca="1">IF($FN292+HG$244&gt;73,"",PRODUCT(INDEX($T$19:$T$93,HG$244):INDEX($T$19:$T$93,HG$244+$FN292-1)))</f>
        <v/>
      </c>
      <c r="HH292" s="469" t="str">
        <f ca="1">IF($FN292+HH$244&gt;73,"",PRODUCT(INDEX($T$19:$T$93,HH$244):INDEX($T$19:$T$93,HH$244+$FN292-1)))</f>
        <v/>
      </c>
      <c r="HI292" s="469" t="str">
        <f ca="1">IF($FN292+HI$244&gt;73,"",PRODUCT(INDEX($T$19:$T$93,HI$244):INDEX($T$19:$T$93,HI$244+$FN292-1)))</f>
        <v/>
      </c>
      <c r="HJ292" s="469">
        <f ca="1">IF($FN292+HJ$244&gt;73,"",PRODUCT(INDEX($T$19:$T$93,HJ$244):INDEX($T$19:$T$93,HJ$244+$FN292-1)))</f>
        <v>0.9332905882438699</v>
      </c>
      <c r="HK292" s="469">
        <f ca="1">IF($FN292+HK$244&gt;73,"",PRODUCT(INDEX($T$19:$T$93,HK$244):INDEX($T$19:$T$93,HK$244+$FN292-1)))</f>
        <v>0.9261212768730982</v>
      </c>
      <c r="HL292" s="469">
        <f ca="1">IF($FN292+HL$244&gt;73,"",PRODUCT(INDEX($T$19:$T$93,HL$244):INDEX($T$19:$T$93,HL$244+$FN292-1)))</f>
        <v>0.9182103724213776</v>
      </c>
      <c r="HM292" s="469">
        <f ca="1">IF($FN292+HM$244&gt;73,"",PRODUCT(INDEX($T$19:$T$93,HM$244):INDEX($T$19:$T$93,HM$244+$FN292-1)))</f>
        <v>0.90948771002821915</v>
      </c>
      <c r="HN292" s="469">
        <f ca="1">IF($FN292+HN$244&gt;73,"",PRODUCT(INDEX($T$19:$T$93,HN$244):INDEX($T$19:$T$93,HN$244+$FN292-1)))</f>
        <v>0.89987797669686398</v>
      </c>
      <c r="HO292" s="469">
        <f ca="1">IF($FN292+HO$244&gt;73,"",PRODUCT(INDEX($T$19:$T$93,HO$244):INDEX($T$19:$T$93,HO$244+$FN292-1)))</f>
        <v>0.88930068839205034</v>
      </c>
      <c r="HP292" s="469">
        <f ca="1">IF($FN292+HP$244&gt;73,"",PRODUCT(INDEX($T$19:$T$93,HP$244):INDEX($T$19:$T$93,HP$244+$FN292-1)))</f>
        <v>0.87767027089254013</v>
      </c>
      <c r="HQ292" s="469">
        <f ca="1">IF($FN292+HQ$244&gt;73,"",PRODUCT(INDEX($T$19:$T$93,HQ$244):INDEX($T$19:$T$93,HQ$244+$FN292-1)))</f>
        <v>0.8648962742260311</v>
      </c>
      <c r="HR292" s="469">
        <f ca="1">IF($FN292+HR$244&gt;73,"",PRODUCT(INDEX($T$19:$T$93,HR$244):INDEX($T$19:$T$93,HR$244+$FN292-1)))</f>
        <v>0.85088375633877067</v>
      </c>
      <c r="HS292" s="469">
        <f ca="1">IF($FN292+HS$244&gt;73,"",PRODUCT(INDEX($T$19:$T$93,HS$244):INDEX($T$19:$T$93,HS$244+$FN292-1)))</f>
        <v>0.83553387830604309</v>
      </c>
      <c r="HT292" s="469">
        <f ca="1">IF($FN292+HT$244&gt;73,"",PRODUCT(INDEX($T$19:$T$93,HT$244):INDEX($T$19:$T$93,HT$244+$FN292-1)))</f>
        <v>0.81874476094135307</v>
      </c>
      <c r="HU292" s="469">
        <f ca="1">IF($FN292+HU$244&gt;73,"",PRODUCT(INDEX($T$19:$T$93,HU$244):INDEX($T$19:$T$93,HU$244+$FN292-1)))</f>
        <v>0.80041266117823795</v>
      </c>
      <c r="HV292" s="469">
        <f ca="1">IF($FN292+HV$244&gt;73,"",PRODUCT(INDEX($T$19:$T$93,HV$244):INDEX($T$19:$T$93,HV$244+$FN292-1)))</f>
        <v>0.78043353614054201</v>
      </c>
      <c r="HW292" s="469">
        <f ca="1">IF($FN292+HW$244&gt;73,"",PRODUCT(INDEX($T$19:$T$93,HW$244):INDEX($T$19:$T$93,HW$244+$FN292-1)))</f>
        <v>0.7587050734305274</v>
      </c>
      <c r="HX292" s="469">
        <f ca="1">IF($FN292+HX$244&gt;73,"",PRODUCT(INDEX($T$19:$T$93,HX$244):INDEX($T$19:$T$93,HX$244+$FN292-1)))</f>
        <v>0.73512927785535143</v>
      </c>
      <c r="HY292" s="469">
        <f ca="1">IF($FN292+HY$244&gt;73,"",PRODUCT(INDEX($T$19:$T$93,HY$244):INDEX($T$19:$T$93,HY$244+$FN292-1)))</f>
        <v>0.70961571749391517</v>
      </c>
      <c r="HZ292" s="469">
        <f ca="1">IF($FN292+HZ$244&gt;73,"",PRODUCT(INDEX($T$19:$T$93,HZ$244):INDEX($T$19:$T$93,HZ$244+$FN292-1)))</f>
        <v>0.68208554538796951</v>
      </c>
      <c r="IA292" s="469">
        <f ca="1">IF($FN292+IA$244&gt;73,"",PRODUCT(INDEX($T$19:$T$93,IA$244):INDEX($T$19:$T$93,IA$244+$FN292-1)))</f>
        <v>0.6524764265218842</v>
      </c>
      <c r="IB292" s="469">
        <f ca="1">IF($FN292+IB$244&gt;73,"",PRODUCT(INDEX($T$19:$T$93,IB$244):INDEX($T$19:$T$93,IB$244+$FN292-1)))</f>
        <v>0.62074851163924216</v>
      </c>
      <c r="IC292" s="469">
        <f ca="1">IF($FN292+IC$244&gt;73,"",PRODUCT(INDEX($T$19:$T$93,IC$244):INDEX($T$19:$T$93,IC$244+$FN292-1)))</f>
        <v>0.5868916068799318</v>
      </c>
      <c r="ID292" s="469">
        <f ca="1">IF($FN292+ID$244&gt;73,"",PRODUCT(INDEX($T$19:$T$93,ID$244):INDEX($T$19:$T$93,ID$244+$FN292-1)))</f>
        <v>0.55093368570140211</v>
      </c>
      <c r="IE292" s="469">
        <f ca="1">IF($FN292+IE$244&gt;73,"",PRODUCT(INDEX($T$19:$T$93,IE$244):INDEX($T$19:$T$93,IE$244+$FN292-1)))</f>
        <v>0.51295086727261041</v>
      </c>
      <c r="IF292" s="469">
        <f ca="1">IF($FN292+IF$244&gt;73,"",PRODUCT(INDEX($T$19:$T$93,IF$244):INDEX($T$19:$T$93,IF$244+$FN292-1)))</f>
        <v>0.47307892681853381</v>
      </c>
      <c r="IG292" s="469">
        <f ca="1">IF($FN292+IG$244&gt;73,"",PRODUCT(INDEX($T$19:$T$93,IG$244):INDEX($T$19:$T$93,IG$244+$FN292-1)))</f>
        <v>0.43152628111515912</v>
      </c>
      <c r="IH292" s="662">
        <f ca="1">IF($FN292+IH$244&gt;73,"",PRODUCT(INDEX($T$19:$T$93,IH$244):INDEX($T$19:$T$93,IH$244+$FN292-1)))</f>
        <v>0.38858816455026751</v>
      </c>
      <c r="II292" s="242"/>
    </row>
    <row r="293" spans="9:243">
      <c r="I293" s="132"/>
      <c r="J293" s="365"/>
      <c r="K293" s="133"/>
      <c r="L293" s="1"/>
      <c r="M293" s="366"/>
      <c r="P293" s="365"/>
      <c r="S293" s="53"/>
      <c r="T293" s="365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364">
        <v>6.4985386041977997E-2</v>
      </c>
      <c r="AP293" s="1"/>
      <c r="AQ293" s="364">
        <v>5.8446420370514396E-2</v>
      </c>
      <c r="AR293" s="1"/>
      <c r="AS293" s="1"/>
      <c r="AT293" s="103"/>
      <c r="AU293" s="103"/>
      <c r="AV293" s="103"/>
      <c r="AW293" s="31"/>
      <c r="AX293" s="31"/>
      <c r="AY293" s="31"/>
      <c r="AZ293" s="31"/>
      <c r="BA293" s="146"/>
      <c r="BB293" s="146"/>
      <c r="BC293" s="103"/>
      <c r="BD293" s="103"/>
      <c r="BE293" s="103"/>
      <c r="BF293" s="104"/>
      <c r="BG293" s="104"/>
      <c r="BH293" s="104"/>
      <c r="BI293" s="102"/>
      <c r="BJ293" s="104"/>
      <c r="BK293" s="104"/>
      <c r="BL293" s="103"/>
      <c r="BM293" s="103"/>
      <c r="BN293" s="103"/>
      <c r="BO293" s="103"/>
      <c r="BP293" s="103"/>
      <c r="BQ293" s="103"/>
      <c r="BR293" s="103"/>
      <c r="BS293" s="103"/>
      <c r="BT293" s="103"/>
      <c r="BU293" s="103"/>
      <c r="BV293" s="103"/>
      <c r="BW293" s="103"/>
      <c r="BX293" s="103"/>
      <c r="BY293" s="103"/>
      <c r="BZ293" s="103"/>
      <c r="CA293" s="103"/>
      <c r="CB293" s="104"/>
      <c r="CC293" s="104"/>
      <c r="CD293" s="104"/>
      <c r="CE293" s="104"/>
      <c r="CF293" s="104"/>
      <c r="CG293" s="104"/>
      <c r="CH293" s="103"/>
      <c r="CI293" s="103"/>
      <c r="CJ293" s="103"/>
      <c r="CK293" s="103"/>
      <c r="CL293" s="103"/>
      <c r="CM293" s="103"/>
      <c r="CN293" s="103"/>
      <c r="CO293" s="103"/>
      <c r="CP293" s="103"/>
      <c r="CQ293" s="103"/>
      <c r="CR293" s="103"/>
      <c r="CS293" s="103"/>
      <c r="CT293" s="103"/>
      <c r="CU293" s="103"/>
      <c r="CV293" s="103"/>
      <c r="CW293" s="103"/>
      <c r="CX293" s="103"/>
      <c r="CY293" s="103"/>
      <c r="CZ293" s="103"/>
      <c r="DA293" s="103"/>
      <c r="DB293" s="103"/>
      <c r="DC293" s="103"/>
      <c r="DD293" s="103"/>
      <c r="DE293" s="103"/>
      <c r="DF293" s="465"/>
      <c r="DG293" s="107"/>
      <c r="DH293" s="107"/>
      <c r="DI293" s="465"/>
      <c r="DJ293" s="51"/>
      <c r="DK293" s="52"/>
      <c r="DL293" s="52"/>
      <c r="DM293" s="52"/>
      <c r="DN293" s="52"/>
      <c r="DO293" s="52"/>
      <c r="DP293" s="52"/>
      <c r="DQ293" s="52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P293" s="53"/>
      <c r="EQ293" s="1"/>
      <c r="ER293" s="103"/>
      <c r="ES293" s="102"/>
      <c r="ET293" s="1"/>
      <c r="EU293" s="103"/>
      <c r="EV293" s="1"/>
      <c r="EW293" s="1"/>
      <c r="EX293" s="1"/>
      <c r="EY293" s="104"/>
      <c r="FN293" s="657">
        <v>49</v>
      </c>
      <c r="FO293" s="469" t="str">
        <f ca="1">IF($FN293+FO$244&gt;73,"",PRODUCT(INDEX($T$19:$T$93,FO$244):INDEX($T$19:$T$93,FO$244+$FN293-1)))</f>
        <v/>
      </c>
      <c r="FP293" s="469" t="str">
        <f ca="1">IF($FN293+FP$244&gt;73,"",PRODUCT(INDEX($T$19:$T$93,FP$244):INDEX($T$19:$T$93,FP$244+$FN293-1)))</f>
        <v/>
      </c>
      <c r="FQ293" s="469" t="str">
        <f ca="1">IF($FN293+FQ$244&gt;73,"",PRODUCT(INDEX($T$19:$T$93,FQ$244):INDEX($T$19:$T$93,FQ$244+$FN293-1)))</f>
        <v/>
      </c>
      <c r="FR293" s="469" t="str">
        <f ca="1">IF($FN293+FR$244&gt;73,"",PRODUCT(INDEX($T$19:$T$93,FR$244):INDEX($T$19:$T$93,FR$244+$FN293-1)))</f>
        <v/>
      </c>
      <c r="FS293" s="469" t="str">
        <f ca="1">IF($FN293+FS$244&gt;73,"",PRODUCT(INDEX($T$19:$T$93,FS$244):INDEX($T$19:$T$93,FS$244+$FN293-1)))</f>
        <v/>
      </c>
      <c r="FT293" s="469" t="str">
        <f ca="1">IF($FN293+FT$244&gt;73,"",PRODUCT(INDEX($T$19:$T$93,FT$244):INDEX($T$19:$T$93,FT$244+$FN293-1)))</f>
        <v/>
      </c>
      <c r="FU293" s="469" t="str">
        <f ca="1">IF($FN293+FU$244&gt;73,"",PRODUCT(INDEX($T$19:$T$93,FU$244):INDEX($T$19:$T$93,FU$244+$FN293-1)))</f>
        <v/>
      </c>
      <c r="FV293" s="469" t="str">
        <f ca="1">IF($FN293+FV$244&gt;73,"",PRODUCT(INDEX($T$19:$T$93,FV$244):INDEX($T$19:$T$93,FV$244+$FN293-1)))</f>
        <v/>
      </c>
      <c r="FW293" s="469" t="str">
        <f ca="1">IF($FN293+FW$244&gt;73,"",PRODUCT(INDEX($T$19:$T$93,FW$244):INDEX($T$19:$T$93,FW$244+$FN293-1)))</f>
        <v/>
      </c>
      <c r="FX293" s="469" t="str">
        <f ca="1">IF($FN293+FX$244&gt;73,"",PRODUCT(INDEX($T$19:$T$93,FX$244):INDEX($T$19:$T$93,FX$244+$FN293-1)))</f>
        <v/>
      </c>
      <c r="FY293" s="469" t="str">
        <f ca="1">IF($FN293+FY$244&gt;73,"",PRODUCT(INDEX($T$19:$T$93,FY$244):INDEX($T$19:$T$93,FY$244+$FN293-1)))</f>
        <v/>
      </c>
      <c r="FZ293" s="469" t="str">
        <f ca="1">IF($FN293+FZ$244&gt;73,"",PRODUCT(INDEX($T$19:$T$93,FZ$244):INDEX($T$19:$T$93,FZ$244+$FN293-1)))</f>
        <v/>
      </c>
      <c r="GA293" s="469" t="str">
        <f ca="1">IF($FN293+GA$244&gt;73,"",PRODUCT(INDEX($T$19:$T$93,GA$244):INDEX($T$19:$T$93,GA$244+$FN293-1)))</f>
        <v/>
      </c>
      <c r="GB293" s="469" t="str">
        <f ca="1">IF($FN293+GB$244&gt;73,"",PRODUCT(INDEX($T$19:$T$93,GB$244):INDEX($T$19:$T$93,GB$244+$FN293-1)))</f>
        <v/>
      </c>
      <c r="GC293" s="469" t="str">
        <f ca="1">IF($FN293+GC$244&gt;73,"",PRODUCT(INDEX($T$19:$T$93,GC$244):INDEX($T$19:$T$93,GC$244+$FN293-1)))</f>
        <v/>
      </c>
      <c r="GD293" s="469" t="str">
        <f ca="1">IF($FN293+GD$244&gt;73,"",PRODUCT(INDEX($T$19:$T$93,GD$244):INDEX($T$19:$T$93,GD$244+$FN293-1)))</f>
        <v/>
      </c>
      <c r="GE293" s="469" t="str">
        <f ca="1">IF($FN293+GE$244&gt;73,"",PRODUCT(INDEX($T$19:$T$93,GE$244):INDEX($T$19:$T$93,GE$244+$FN293-1)))</f>
        <v/>
      </c>
      <c r="GF293" s="469" t="str">
        <f ca="1">IF($FN293+GF$244&gt;73,"",PRODUCT(INDEX($T$19:$T$93,GF$244):INDEX($T$19:$T$93,GF$244+$FN293-1)))</f>
        <v/>
      </c>
      <c r="GG293" s="469" t="str">
        <f ca="1">IF($FN293+GG$244&gt;73,"",PRODUCT(INDEX($T$19:$T$93,GG$244):INDEX($T$19:$T$93,GG$244+$FN293-1)))</f>
        <v/>
      </c>
      <c r="GH293" s="469" t="str">
        <f ca="1">IF($FN293+GH$244&gt;73,"",PRODUCT(INDEX($T$19:$T$93,GH$244):INDEX($T$19:$T$93,GH$244+$FN293-1)))</f>
        <v/>
      </c>
      <c r="GI293" s="469" t="str">
        <f ca="1">IF($FN293+GI$244&gt;73,"",PRODUCT(INDEX($T$19:$T$93,GI$244):INDEX($T$19:$T$93,GI$244+$FN293-1)))</f>
        <v/>
      </c>
      <c r="GJ293" s="469" t="str">
        <f ca="1">IF($FN293+GJ$244&gt;73,"",PRODUCT(INDEX($T$19:$T$93,GJ$244):INDEX($T$19:$T$93,GJ$244+$FN293-1)))</f>
        <v/>
      </c>
      <c r="GK293" s="469" t="str">
        <f ca="1">IF($FN293+GK$244&gt;73,"",PRODUCT(INDEX($T$19:$T$93,GK$244):INDEX($T$19:$T$93,GK$244+$FN293-1)))</f>
        <v/>
      </c>
      <c r="GL293" s="469" t="str">
        <f ca="1">IF($FN293+GL$244&gt;73,"",PRODUCT(INDEX($T$19:$T$93,GL$244):INDEX($T$19:$T$93,GL$244+$FN293-1)))</f>
        <v/>
      </c>
      <c r="GM293" s="469" t="str">
        <f ca="1">IF($FN293+GM$244&gt;73,"",PRODUCT(INDEX($T$19:$T$93,GM$244):INDEX($T$19:$T$93,GM$244+$FN293-1)))</f>
        <v/>
      </c>
      <c r="GN293" s="469" t="str">
        <f ca="1">IF($FN293+GN$244&gt;73,"",PRODUCT(INDEX($T$19:$T$93,GN$244):INDEX($T$19:$T$93,GN$244+$FN293-1)))</f>
        <v/>
      </c>
      <c r="GO293" s="469" t="str">
        <f ca="1">IF($FN293+GO$244&gt;73,"",PRODUCT(INDEX($T$19:$T$93,GO$244):INDEX($T$19:$T$93,GO$244+$FN293-1)))</f>
        <v/>
      </c>
      <c r="GP293" s="469" t="str">
        <f ca="1">IF($FN293+GP$244&gt;73,"",PRODUCT(INDEX($T$19:$T$93,GP$244):INDEX($T$19:$T$93,GP$244+$FN293-1)))</f>
        <v/>
      </c>
      <c r="GQ293" s="469" t="str">
        <f ca="1">IF($FN293+GQ$244&gt;73,"",PRODUCT(INDEX($T$19:$T$93,GQ$244):INDEX($T$19:$T$93,GQ$244+$FN293-1)))</f>
        <v/>
      </c>
      <c r="GR293" s="469" t="str">
        <f ca="1">IF($FN293+GR$244&gt;73,"",PRODUCT(INDEX($T$19:$T$93,GR$244):INDEX($T$19:$T$93,GR$244+$FN293-1)))</f>
        <v/>
      </c>
      <c r="GS293" s="469" t="str">
        <f ca="1">IF($FN293+GS$244&gt;73,"",PRODUCT(INDEX($T$19:$T$93,GS$244):INDEX($T$19:$T$93,GS$244+$FN293-1)))</f>
        <v/>
      </c>
      <c r="GT293" s="469" t="str">
        <f ca="1">IF($FN293+GT$244&gt;73,"",PRODUCT(INDEX($T$19:$T$93,GT$244):INDEX($T$19:$T$93,GT$244+$FN293-1)))</f>
        <v/>
      </c>
      <c r="GU293" s="469" t="str">
        <f ca="1">IF($FN293+GU$244&gt;73,"",PRODUCT(INDEX($T$19:$T$93,GU$244):INDEX($T$19:$T$93,GU$244+$FN293-1)))</f>
        <v/>
      </c>
      <c r="GV293" s="469" t="str">
        <f ca="1">IF($FN293+GV$244&gt;73,"",PRODUCT(INDEX($T$19:$T$93,GV$244):INDEX($T$19:$T$93,GV$244+$FN293-1)))</f>
        <v/>
      </c>
      <c r="GW293" s="469" t="str">
        <f ca="1">IF($FN293+GW$244&gt;73,"",PRODUCT(INDEX($T$19:$T$93,GW$244):INDEX($T$19:$T$93,GW$244+$FN293-1)))</f>
        <v/>
      </c>
      <c r="GX293" s="469" t="str">
        <f ca="1">IF($FN293+GX$244&gt;73,"",PRODUCT(INDEX($T$19:$T$93,GX$244):INDEX($T$19:$T$93,GX$244+$FN293-1)))</f>
        <v/>
      </c>
      <c r="GY293" s="469" t="str">
        <f ca="1">IF($FN293+GY$244&gt;73,"",PRODUCT(INDEX($T$19:$T$93,GY$244):INDEX($T$19:$T$93,GY$244+$FN293-1)))</f>
        <v/>
      </c>
      <c r="GZ293" s="469" t="str">
        <f ca="1">IF($FN293+GZ$244&gt;73,"",PRODUCT(INDEX($T$19:$T$93,GZ$244):INDEX($T$19:$T$93,GZ$244+$FN293-1)))</f>
        <v/>
      </c>
      <c r="HA293" s="469" t="str">
        <f ca="1">IF($FN293+HA$244&gt;73,"",PRODUCT(INDEX($T$19:$T$93,HA$244):INDEX($T$19:$T$93,HA$244+$FN293-1)))</f>
        <v/>
      </c>
      <c r="HB293" s="469" t="str">
        <f ca="1">IF($FN293+HB$244&gt;73,"",PRODUCT(INDEX($T$19:$T$93,HB$244):INDEX($T$19:$T$93,HB$244+$FN293-1)))</f>
        <v/>
      </c>
      <c r="HC293" s="469" t="str">
        <f ca="1">IF($FN293+HC$244&gt;73,"",PRODUCT(INDEX($T$19:$T$93,HC$244):INDEX($T$19:$T$93,HC$244+$FN293-1)))</f>
        <v/>
      </c>
      <c r="HD293" s="469" t="str">
        <f ca="1">IF($FN293+HD$244&gt;73,"",PRODUCT(INDEX($T$19:$T$93,HD$244):INDEX($T$19:$T$93,HD$244+$FN293-1)))</f>
        <v/>
      </c>
      <c r="HE293" s="469" t="str">
        <f ca="1">IF($FN293+HE$244&gt;73,"",PRODUCT(INDEX($T$19:$T$93,HE$244):INDEX($T$19:$T$93,HE$244+$FN293-1)))</f>
        <v/>
      </c>
      <c r="HF293" s="469" t="str">
        <f ca="1">IF($FN293+HF$244&gt;73,"",PRODUCT(INDEX($T$19:$T$93,HF$244):INDEX($T$19:$T$93,HF$244+$FN293-1)))</f>
        <v/>
      </c>
      <c r="HG293" s="469" t="str">
        <f ca="1">IF($FN293+HG$244&gt;73,"",PRODUCT(INDEX($T$19:$T$93,HG$244):INDEX($T$19:$T$93,HG$244+$FN293-1)))</f>
        <v/>
      </c>
      <c r="HH293" s="469" t="str">
        <f ca="1">IF($FN293+HH$244&gt;73,"",PRODUCT(INDEX($T$19:$T$93,HH$244):INDEX($T$19:$T$93,HH$244+$FN293-1)))</f>
        <v/>
      </c>
      <c r="HI293" s="469" t="str">
        <f ca="1">IF($FN293+HI$244&gt;73,"",PRODUCT(INDEX($T$19:$T$93,HI$244):INDEX($T$19:$T$93,HI$244+$FN293-1)))</f>
        <v/>
      </c>
      <c r="HJ293" s="469" t="str">
        <f ca="1">IF($FN293+HJ$244&gt;73,"",PRODUCT(INDEX($T$19:$T$93,HJ$244):INDEX($T$19:$T$93,HJ$244+$FN293-1)))</f>
        <v/>
      </c>
      <c r="HK293" s="469">
        <f ca="1">IF($FN293+HK$244&gt;73,"",PRODUCT(INDEX($T$19:$T$93,HK$244):INDEX($T$19:$T$93,HK$244+$FN293-1)))</f>
        <v>0.92607597776793449</v>
      </c>
      <c r="HL293" s="469">
        <f ca="1">IF($FN293+HL$244&gt;73,"",PRODUCT(INDEX($T$19:$T$93,HL$244):INDEX($T$19:$T$93,HL$244+$FN293-1)))</f>
        <v>0.91816046988151134</v>
      </c>
      <c r="HM293" s="469">
        <f ca="1">IF($FN293+HM$244&gt;73,"",PRODUCT(INDEX($T$19:$T$93,HM$244):INDEX($T$19:$T$93,HM$244+$FN293-1)))</f>
        <v>0.90943278932097305</v>
      </c>
      <c r="HN293" s="469">
        <f ca="1">IF($FN293+HN$244&gt;73,"",PRODUCT(INDEX($T$19:$T$93,HN$244):INDEX($T$19:$T$93,HN$244+$FN293-1)))</f>
        <v>0.89981759825634022</v>
      </c>
      <c r="HO293" s="469">
        <f ca="1">IF($FN293+HO$244&gt;73,"",PRODUCT(INDEX($T$19:$T$93,HO$244):INDEX($T$19:$T$93,HO$244+$FN293-1)))</f>
        <v>0.88923438953402378</v>
      </c>
      <c r="HP293" s="469">
        <f ca="1">IF($FN293+HP$244&gt;73,"",PRODUCT(INDEX($T$19:$T$93,HP$244):INDEX($T$19:$T$93,HP$244+$FN293-1)))</f>
        <v>0.87759756859321825</v>
      </c>
      <c r="HQ293" s="469">
        <f ca="1">IF($FN293+HQ$244&gt;73,"",PRODUCT(INDEX($T$19:$T$93,HQ$244):INDEX($T$19:$T$93,HQ$244+$FN293-1)))</f>
        <v>0.86481666922843348</v>
      </c>
      <c r="HR293" s="469">
        <f ca="1">IF($FN293+HR$244&gt;73,"",PRODUCT(INDEX($T$19:$T$93,HR$244):INDEX($T$19:$T$93,HR$244+$FN293-1)))</f>
        <v>0.85079673889463803</v>
      </c>
      <c r="HS293" s="469">
        <f ca="1">IF($FN293+HS$244&gt;73,"",PRODUCT(INDEX($T$19:$T$93,HS$244):INDEX($T$19:$T$93,HS$244+$FN293-1)))</f>
        <v>0.83543893590774765</v>
      </c>
      <c r="HT293" s="469">
        <f ca="1">IF($FN293+HT$244&gt;73,"",PRODUCT(INDEX($T$19:$T$93,HT$244):INDEX($T$19:$T$93,HT$244+$FN293-1)))</f>
        <v>0.81864138844517309</v>
      </c>
      <c r="HU293" s="469">
        <f ca="1">IF($FN293+HU$244&gt;73,"",PRODUCT(INDEX($T$19:$T$93,HU$244):INDEX($T$19:$T$93,HU$244+$FN293-1)))</f>
        <v>0.80030037376427143</v>
      </c>
      <c r="HV293" s="469">
        <f ca="1">IF($FN293+HV$244&gt;73,"",PRODUCT(INDEX($T$19:$T$93,HV$244):INDEX($T$19:$T$93,HV$244+$FN293-1)))</f>
        <v>0.78031188559040598</v>
      </c>
      <c r="HW293" s="469">
        <f ca="1">IF($FN293+HW$244&gt;73,"",PRODUCT(INDEX($T$19:$T$93,HW$244):INDEX($T$19:$T$93,HW$244+$FN293-1)))</f>
        <v>0.75857366822437422</v>
      </c>
      <c r="HX293" s="469">
        <f ca="1">IF($FN293+HX$244&gt;73,"",PRODUCT(INDEX($T$19:$T$93,HX$244):INDEX($T$19:$T$93,HX$244+$FN293-1)))</f>
        <v>0.73498780758394999</v>
      </c>
      <c r="HY293" s="469">
        <f ca="1">IF($FN293+HY$244&gt;73,"",PRODUCT(INDEX($T$19:$T$93,HY$244):INDEX($T$19:$T$93,HY$244+$FN293-1)))</f>
        <v>0.70946398203456462</v>
      </c>
      <c r="HZ293" s="469">
        <f ca="1">IF($FN293+HZ$244&gt;73,"",PRODUCT(INDEX($T$19:$T$93,HZ$244):INDEX($T$19:$T$93,HZ$244+$FN293-1)))</f>
        <v>0.68192348918409196</v>
      </c>
      <c r="IA293" s="469">
        <f ca="1">IF($FN293+IA$244&gt;73,"",PRODUCT(INDEX($T$19:$T$93,IA$244):INDEX($T$19:$T$93,IA$244+$FN293-1)))</f>
        <v>0.65230417810715202</v>
      </c>
      <c r="IB293" s="469">
        <f ca="1">IF($FN293+IB$244&gt;73,"",PRODUCT(INDEX($T$19:$T$93,IB$244):INDEX($T$19:$T$93,IB$244+$FN293-1)))</f>
        <v>0.62056642822060215</v>
      </c>
      <c r="IC293" s="469">
        <f ca="1">IF($FN293+IC$244&gt;73,"",PRODUCT(INDEX($T$19:$T$93,IC$244):INDEX($T$19:$T$93,IC$244+$FN293-1)))</f>
        <v>0.58670032329131228</v>
      </c>
      <c r="ID293" s="469">
        <f ca="1">IF($FN293+ID$244&gt;73,"",PRODUCT(INDEX($T$19:$T$93,ID$244):INDEX($T$19:$T$93,ID$244+$FN293-1)))</f>
        <v>0.55073416630020366</v>
      </c>
      <c r="IE293" s="469">
        <f ca="1">IF($FN293+IE$244&gt;73,"",PRODUCT(INDEX($T$19:$T$93,IE$244):INDEX($T$19:$T$93,IE$244+$FN293-1)))</f>
        <v>0.51274445830148796</v>
      </c>
      <c r="IF293" s="469">
        <f ca="1">IF($FN293+IF$244&gt;73,"",PRODUCT(INDEX($T$19:$T$93,IF$244):INDEX($T$19:$T$93,IF$244+$FN293-1)))</f>
        <v>0.47286740531585675</v>
      </c>
      <c r="IG293" s="469">
        <f ca="1">IF($FN293+IG$244&gt;73,"",PRODUCT(INDEX($T$19:$T$93,IG$244):INDEX($T$19:$T$93,IG$244+$FN293-1)))</f>
        <v>0.43131189455633817</v>
      </c>
      <c r="IH293" s="662">
        <f ca="1">IF($FN293+IH$244&gt;73,"",PRODUCT(INDEX($T$19:$T$93,IH$244):INDEX($T$19:$T$93,IH$244+$FN293-1)))</f>
        <v>0.38837365300364335</v>
      </c>
      <c r="II293" s="242"/>
    </row>
    <row r="294" spans="9:243">
      <c r="I294" s="132"/>
      <c r="J294" s="365"/>
      <c r="K294" s="133"/>
      <c r="L294" s="1"/>
      <c r="M294" s="366"/>
      <c r="P294" s="365"/>
      <c r="S294" s="53"/>
      <c r="T294" s="365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364">
        <v>6.4995346864502201E-2</v>
      </c>
      <c r="AP294" s="1"/>
      <c r="AQ294" s="364">
        <v>5.8409720707533801E-2</v>
      </c>
      <c r="AR294" s="1"/>
      <c r="AS294" s="1"/>
      <c r="AT294" s="103"/>
      <c r="AU294" s="103"/>
      <c r="AV294" s="103"/>
      <c r="AW294" s="31"/>
      <c r="AX294" s="31"/>
      <c r="AY294" s="31"/>
      <c r="AZ294" s="31"/>
      <c r="BA294" s="146"/>
      <c r="BB294" s="146"/>
      <c r="BC294" s="103"/>
      <c r="BD294" s="103"/>
      <c r="BE294" s="103"/>
      <c r="BF294" s="104"/>
      <c r="BG294" s="104"/>
      <c r="BH294" s="104"/>
      <c r="BI294" s="102"/>
      <c r="BJ294" s="104"/>
      <c r="BK294" s="104"/>
      <c r="BL294" s="103"/>
      <c r="BM294" s="103"/>
      <c r="BN294" s="103"/>
      <c r="BO294" s="103"/>
      <c r="BP294" s="103"/>
      <c r="BQ294" s="103"/>
      <c r="BR294" s="103"/>
      <c r="BS294" s="103"/>
      <c r="BT294" s="103"/>
      <c r="BU294" s="103"/>
      <c r="BV294" s="103"/>
      <c r="BW294" s="103"/>
      <c r="BX294" s="103"/>
      <c r="BY294" s="103"/>
      <c r="BZ294" s="103"/>
      <c r="CA294" s="103"/>
      <c r="CB294" s="104"/>
      <c r="CC294" s="104"/>
      <c r="CD294" s="104"/>
      <c r="CE294" s="104"/>
      <c r="CF294" s="104"/>
      <c r="CG294" s="104"/>
      <c r="CH294" s="103"/>
      <c r="CI294" s="103"/>
      <c r="CJ294" s="103"/>
      <c r="CK294" s="103"/>
      <c r="CL294" s="103"/>
      <c r="CM294" s="103"/>
      <c r="CN294" s="103"/>
      <c r="CO294" s="103"/>
      <c r="CP294" s="103"/>
      <c r="CQ294" s="103"/>
      <c r="CR294" s="103"/>
      <c r="CS294" s="103"/>
      <c r="CT294" s="103"/>
      <c r="CU294" s="103"/>
      <c r="CV294" s="103"/>
      <c r="CW294" s="103"/>
      <c r="CX294" s="103"/>
      <c r="CY294" s="103"/>
      <c r="CZ294" s="103"/>
      <c r="DA294" s="103"/>
      <c r="DB294" s="103"/>
      <c r="DC294" s="103"/>
      <c r="DD294" s="103"/>
      <c r="DE294" s="103"/>
      <c r="DF294" s="465"/>
      <c r="DG294" s="107"/>
      <c r="DH294" s="107"/>
      <c r="DI294" s="465"/>
      <c r="DJ294" s="51"/>
      <c r="DK294" s="52"/>
      <c r="DL294" s="52"/>
      <c r="DM294" s="52"/>
      <c r="DN294" s="52"/>
      <c r="DO294" s="52"/>
      <c r="DP294" s="52"/>
      <c r="DQ294" s="52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P294" s="53"/>
      <c r="EQ294" s="1"/>
      <c r="ER294" s="103"/>
      <c r="ES294" s="102"/>
      <c r="ET294" s="1"/>
      <c r="EU294" s="103"/>
      <c r="EV294" s="1"/>
      <c r="EW294" s="1"/>
      <c r="EX294" s="1"/>
      <c r="EY294" s="104"/>
      <c r="FN294" s="657">
        <v>50</v>
      </c>
      <c r="FO294" s="469" t="str">
        <f ca="1">IF($FN294+FO$244&gt;73,"",PRODUCT(INDEX($T$19:$T$93,FO$244):INDEX($T$19:$T$93,FO$244+$FN294-1)))</f>
        <v/>
      </c>
      <c r="FP294" s="469" t="str">
        <f ca="1">IF($FN294+FP$244&gt;73,"",PRODUCT(INDEX($T$19:$T$93,FP$244):INDEX($T$19:$T$93,FP$244+$FN294-1)))</f>
        <v/>
      </c>
      <c r="FQ294" s="469" t="str">
        <f ca="1">IF($FN294+FQ$244&gt;73,"",PRODUCT(INDEX($T$19:$T$93,FQ$244):INDEX($T$19:$T$93,FQ$244+$FN294-1)))</f>
        <v/>
      </c>
      <c r="FR294" s="469" t="str">
        <f ca="1">IF($FN294+FR$244&gt;73,"",PRODUCT(INDEX($T$19:$T$93,FR$244):INDEX($T$19:$T$93,FR$244+$FN294-1)))</f>
        <v/>
      </c>
      <c r="FS294" s="469" t="str">
        <f ca="1">IF($FN294+FS$244&gt;73,"",PRODUCT(INDEX($T$19:$T$93,FS$244):INDEX($T$19:$T$93,FS$244+$FN294-1)))</f>
        <v/>
      </c>
      <c r="FT294" s="469" t="str">
        <f ca="1">IF($FN294+FT$244&gt;73,"",PRODUCT(INDEX($T$19:$T$93,FT$244):INDEX($T$19:$T$93,FT$244+$FN294-1)))</f>
        <v/>
      </c>
      <c r="FU294" s="469" t="str">
        <f ca="1">IF($FN294+FU$244&gt;73,"",PRODUCT(INDEX($T$19:$T$93,FU$244):INDEX($T$19:$T$93,FU$244+$FN294-1)))</f>
        <v/>
      </c>
      <c r="FV294" s="469" t="str">
        <f ca="1">IF($FN294+FV$244&gt;73,"",PRODUCT(INDEX($T$19:$T$93,FV$244):INDEX($T$19:$T$93,FV$244+$FN294-1)))</f>
        <v/>
      </c>
      <c r="FW294" s="469" t="str">
        <f ca="1">IF($FN294+FW$244&gt;73,"",PRODUCT(INDEX($T$19:$T$93,FW$244):INDEX($T$19:$T$93,FW$244+$FN294-1)))</f>
        <v/>
      </c>
      <c r="FX294" s="469" t="str">
        <f ca="1">IF($FN294+FX$244&gt;73,"",PRODUCT(INDEX($T$19:$T$93,FX$244):INDEX($T$19:$T$93,FX$244+$FN294-1)))</f>
        <v/>
      </c>
      <c r="FY294" s="469" t="str">
        <f ca="1">IF($FN294+FY$244&gt;73,"",PRODUCT(INDEX($T$19:$T$93,FY$244):INDEX($T$19:$T$93,FY$244+$FN294-1)))</f>
        <v/>
      </c>
      <c r="FZ294" s="469" t="str">
        <f ca="1">IF($FN294+FZ$244&gt;73,"",PRODUCT(INDEX($T$19:$T$93,FZ$244):INDEX($T$19:$T$93,FZ$244+$FN294-1)))</f>
        <v/>
      </c>
      <c r="GA294" s="469" t="str">
        <f ca="1">IF($FN294+GA$244&gt;73,"",PRODUCT(INDEX($T$19:$T$93,GA$244):INDEX($T$19:$T$93,GA$244+$FN294-1)))</f>
        <v/>
      </c>
      <c r="GB294" s="469" t="str">
        <f ca="1">IF($FN294+GB$244&gt;73,"",PRODUCT(INDEX($T$19:$T$93,GB$244):INDEX($T$19:$T$93,GB$244+$FN294-1)))</f>
        <v/>
      </c>
      <c r="GC294" s="469" t="str">
        <f ca="1">IF($FN294+GC$244&gt;73,"",PRODUCT(INDEX($T$19:$T$93,GC$244):INDEX($T$19:$T$93,GC$244+$FN294-1)))</f>
        <v/>
      </c>
      <c r="GD294" s="469" t="str">
        <f ca="1">IF($FN294+GD$244&gt;73,"",PRODUCT(INDEX($T$19:$T$93,GD$244):INDEX($T$19:$T$93,GD$244+$FN294-1)))</f>
        <v/>
      </c>
      <c r="GE294" s="469" t="str">
        <f ca="1">IF($FN294+GE$244&gt;73,"",PRODUCT(INDEX($T$19:$T$93,GE$244):INDEX($T$19:$T$93,GE$244+$FN294-1)))</f>
        <v/>
      </c>
      <c r="GF294" s="469" t="str">
        <f ca="1">IF($FN294+GF$244&gt;73,"",PRODUCT(INDEX($T$19:$T$93,GF$244):INDEX($T$19:$T$93,GF$244+$FN294-1)))</f>
        <v/>
      </c>
      <c r="GG294" s="469" t="str">
        <f ca="1">IF($FN294+GG$244&gt;73,"",PRODUCT(INDEX($T$19:$T$93,GG$244):INDEX($T$19:$T$93,GG$244+$FN294-1)))</f>
        <v/>
      </c>
      <c r="GH294" s="469" t="str">
        <f ca="1">IF($FN294+GH$244&gt;73,"",PRODUCT(INDEX($T$19:$T$93,GH$244):INDEX($T$19:$T$93,GH$244+$FN294-1)))</f>
        <v/>
      </c>
      <c r="GI294" s="469" t="str">
        <f ca="1">IF($FN294+GI$244&gt;73,"",PRODUCT(INDEX($T$19:$T$93,GI$244):INDEX($T$19:$T$93,GI$244+$FN294-1)))</f>
        <v/>
      </c>
      <c r="GJ294" s="469" t="str">
        <f ca="1">IF($FN294+GJ$244&gt;73,"",PRODUCT(INDEX($T$19:$T$93,GJ$244):INDEX($T$19:$T$93,GJ$244+$FN294-1)))</f>
        <v/>
      </c>
      <c r="GK294" s="469" t="str">
        <f ca="1">IF($FN294+GK$244&gt;73,"",PRODUCT(INDEX($T$19:$T$93,GK$244):INDEX($T$19:$T$93,GK$244+$FN294-1)))</f>
        <v/>
      </c>
      <c r="GL294" s="469" t="str">
        <f ca="1">IF($FN294+GL$244&gt;73,"",PRODUCT(INDEX($T$19:$T$93,GL$244):INDEX($T$19:$T$93,GL$244+$FN294-1)))</f>
        <v/>
      </c>
      <c r="GM294" s="469" t="str">
        <f ca="1">IF($FN294+GM$244&gt;73,"",PRODUCT(INDEX($T$19:$T$93,GM$244):INDEX($T$19:$T$93,GM$244+$FN294-1)))</f>
        <v/>
      </c>
      <c r="GN294" s="469" t="str">
        <f ca="1">IF($FN294+GN$244&gt;73,"",PRODUCT(INDEX($T$19:$T$93,GN$244):INDEX($T$19:$T$93,GN$244+$FN294-1)))</f>
        <v/>
      </c>
      <c r="GO294" s="469" t="str">
        <f ca="1">IF($FN294+GO$244&gt;73,"",PRODUCT(INDEX($T$19:$T$93,GO$244):INDEX($T$19:$T$93,GO$244+$FN294-1)))</f>
        <v/>
      </c>
      <c r="GP294" s="469" t="str">
        <f ca="1">IF($FN294+GP$244&gt;73,"",PRODUCT(INDEX($T$19:$T$93,GP$244):INDEX($T$19:$T$93,GP$244+$FN294-1)))</f>
        <v/>
      </c>
      <c r="GQ294" s="469" t="str">
        <f ca="1">IF($FN294+GQ$244&gt;73,"",PRODUCT(INDEX($T$19:$T$93,GQ$244):INDEX($T$19:$T$93,GQ$244+$FN294-1)))</f>
        <v/>
      </c>
      <c r="GR294" s="469" t="str">
        <f ca="1">IF($FN294+GR$244&gt;73,"",PRODUCT(INDEX($T$19:$T$93,GR$244):INDEX($T$19:$T$93,GR$244+$FN294-1)))</f>
        <v/>
      </c>
      <c r="GS294" s="469" t="str">
        <f ca="1">IF($FN294+GS$244&gt;73,"",PRODUCT(INDEX($T$19:$T$93,GS$244):INDEX($T$19:$T$93,GS$244+$FN294-1)))</f>
        <v/>
      </c>
      <c r="GT294" s="469" t="str">
        <f ca="1">IF($FN294+GT$244&gt;73,"",PRODUCT(INDEX($T$19:$T$93,GT$244):INDEX($T$19:$T$93,GT$244+$FN294-1)))</f>
        <v/>
      </c>
      <c r="GU294" s="469" t="str">
        <f ca="1">IF($FN294+GU$244&gt;73,"",PRODUCT(INDEX($T$19:$T$93,GU$244):INDEX($T$19:$T$93,GU$244+$FN294-1)))</f>
        <v/>
      </c>
      <c r="GV294" s="469" t="str">
        <f ca="1">IF($FN294+GV$244&gt;73,"",PRODUCT(INDEX($T$19:$T$93,GV$244):INDEX($T$19:$T$93,GV$244+$FN294-1)))</f>
        <v/>
      </c>
      <c r="GW294" s="469" t="str">
        <f ca="1">IF($FN294+GW$244&gt;73,"",PRODUCT(INDEX($T$19:$T$93,GW$244):INDEX($T$19:$T$93,GW$244+$FN294-1)))</f>
        <v/>
      </c>
      <c r="GX294" s="469" t="str">
        <f ca="1">IF($FN294+GX$244&gt;73,"",PRODUCT(INDEX($T$19:$T$93,GX$244):INDEX($T$19:$T$93,GX$244+$FN294-1)))</f>
        <v/>
      </c>
      <c r="GY294" s="469" t="str">
        <f ca="1">IF($FN294+GY$244&gt;73,"",PRODUCT(INDEX($T$19:$T$93,GY$244):INDEX($T$19:$T$93,GY$244+$FN294-1)))</f>
        <v/>
      </c>
      <c r="GZ294" s="469" t="str">
        <f ca="1">IF($FN294+GZ$244&gt;73,"",PRODUCT(INDEX($T$19:$T$93,GZ$244):INDEX($T$19:$T$93,GZ$244+$FN294-1)))</f>
        <v/>
      </c>
      <c r="HA294" s="469" t="str">
        <f ca="1">IF($FN294+HA$244&gt;73,"",PRODUCT(INDEX($T$19:$T$93,HA$244):INDEX($T$19:$T$93,HA$244+$FN294-1)))</f>
        <v/>
      </c>
      <c r="HB294" s="469" t="str">
        <f ca="1">IF($FN294+HB$244&gt;73,"",PRODUCT(INDEX($T$19:$T$93,HB$244):INDEX($T$19:$T$93,HB$244+$FN294-1)))</f>
        <v/>
      </c>
      <c r="HC294" s="469" t="str">
        <f ca="1">IF($FN294+HC$244&gt;73,"",PRODUCT(INDEX($T$19:$T$93,HC$244):INDEX($T$19:$T$93,HC$244+$FN294-1)))</f>
        <v/>
      </c>
      <c r="HD294" s="469" t="str">
        <f ca="1">IF($FN294+HD$244&gt;73,"",PRODUCT(INDEX($T$19:$T$93,HD$244):INDEX($T$19:$T$93,HD$244+$FN294-1)))</f>
        <v/>
      </c>
      <c r="HE294" s="469" t="str">
        <f ca="1">IF($FN294+HE$244&gt;73,"",PRODUCT(INDEX($T$19:$T$93,HE$244):INDEX($T$19:$T$93,HE$244+$FN294-1)))</f>
        <v/>
      </c>
      <c r="HF294" s="469" t="str">
        <f ca="1">IF($FN294+HF$244&gt;73,"",PRODUCT(INDEX($T$19:$T$93,HF$244):INDEX($T$19:$T$93,HF$244+$FN294-1)))</f>
        <v/>
      </c>
      <c r="HG294" s="469" t="str">
        <f ca="1">IF($FN294+HG$244&gt;73,"",PRODUCT(INDEX($T$19:$T$93,HG$244):INDEX($T$19:$T$93,HG$244+$FN294-1)))</f>
        <v/>
      </c>
      <c r="HH294" s="469" t="str">
        <f ca="1">IF($FN294+HH$244&gt;73,"",PRODUCT(INDEX($T$19:$T$93,HH$244):INDEX($T$19:$T$93,HH$244+$FN294-1)))</f>
        <v/>
      </c>
      <c r="HI294" s="469" t="str">
        <f ca="1">IF($FN294+HI$244&gt;73,"",PRODUCT(INDEX($T$19:$T$93,HI$244):INDEX($T$19:$T$93,HI$244+$FN294-1)))</f>
        <v/>
      </c>
      <c r="HJ294" s="469" t="str">
        <f ca="1">IF($FN294+HJ$244&gt;73,"",PRODUCT(INDEX($T$19:$T$93,HJ$244):INDEX($T$19:$T$93,HJ$244+$FN294-1)))</f>
        <v/>
      </c>
      <c r="HK294" s="469" t="str">
        <f ca="1">IF($FN294+HK$244&gt;73,"",PRODUCT(INDEX($T$19:$T$93,HK$244):INDEX($T$19:$T$93,HK$244+$FN294-1)))</f>
        <v/>
      </c>
      <c r="HL294" s="469">
        <f ca="1">IF($FN294+HL$244&gt;73,"",PRODUCT(INDEX($T$19:$T$93,HL$244):INDEX($T$19:$T$93,HL$244+$FN294-1)))</f>
        <v>0.91811556016102336</v>
      </c>
      <c r="HM294" s="469">
        <f ca="1">IF($FN294+HM$244&gt;73,"",PRODUCT(INDEX($T$19:$T$93,HM$244):INDEX($T$19:$T$93,HM$244+$FN294-1)))</f>
        <v>0.90938336382177609</v>
      </c>
      <c r="HN294" s="469">
        <f ca="1">IF($FN294+HN$244&gt;73,"",PRODUCT(INDEX($T$19:$T$93,HN$244):INDEX($T$19:$T$93,HN$244+$FN294-1)))</f>
        <v>0.89976326149252928</v>
      </c>
      <c r="HO294" s="469">
        <f ca="1">IF($FN294+HO$244&gt;73,"",PRODUCT(INDEX($T$19:$T$93,HO$244):INDEX($T$19:$T$93,HO$244+$FN294-1)))</f>
        <v>0.88917472523831864</v>
      </c>
      <c r="HP294" s="469">
        <f ca="1">IF($FN294+HP$244&gt;73,"",PRODUCT(INDEX($T$19:$T$93,HP$244):INDEX($T$19:$T$93,HP$244+$FN294-1)))</f>
        <v>0.87753214222240339</v>
      </c>
      <c r="HQ294" s="469">
        <f ca="1">IF($FN294+HQ$244&gt;73,"",PRODUCT(INDEX($T$19:$T$93,HQ$244):INDEX($T$19:$T$93,HQ$244+$FN294-1)))</f>
        <v>0.86474503166427075</v>
      </c>
      <c r="HR294" s="469">
        <f ca="1">IF($FN294+HR$244&gt;73,"",PRODUCT(INDEX($T$19:$T$93,HR$244):INDEX($T$19:$T$93,HR$244+$FN294-1)))</f>
        <v>0.85071843161736782</v>
      </c>
      <c r="HS294" s="469">
        <f ca="1">IF($FN294+HS$244&gt;73,"",PRODUCT(INDEX($T$19:$T$93,HS$244):INDEX($T$19:$T$93,HS$244+$FN294-1)))</f>
        <v>0.83535349796115388</v>
      </c>
      <c r="HT294" s="469">
        <f ca="1">IF($FN294+HT$244&gt;73,"",PRODUCT(INDEX($T$19:$T$93,HT$244):INDEX($T$19:$T$93,HT$244+$FN294-1)))</f>
        <v>0.81854836555432342</v>
      </c>
      <c r="HU294" s="469">
        <f ca="1">IF($FN294+HU$244&gt;73,"",PRODUCT(INDEX($T$19:$T$93,HU$244):INDEX($T$19:$T$93,HU$244+$FN294-1)))</f>
        <v>0.80019933000646504</v>
      </c>
      <c r="HV294" s="469">
        <f ca="1">IF($FN294+HV$244&gt;73,"",PRODUCT(INDEX($T$19:$T$93,HV$244):INDEX($T$19:$T$93,HV$244+$FN294-1)))</f>
        <v>0.78020241805200985</v>
      </c>
      <c r="HW294" s="469">
        <f ca="1">IF($FN294+HW$244&gt;73,"",PRODUCT(INDEX($T$19:$T$93,HW$244):INDEX($T$19:$T$93,HW$244+$FN294-1)))</f>
        <v>0.75845542509438968</v>
      </c>
      <c r="HX294" s="469">
        <f ca="1">IF($FN294+HX$244&gt;73,"",PRODUCT(INDEX($T$19:$T$93,HX$244):INDEX($T$19:$T$93,HX$244+$FN294-1)))</f>
        <v>0.73486051012969811</v>
      </c>
      <c r="HY294" s="469">
        <f ca="1">IF($FN294+HY$244&gt;73,"",PRODUCT(INDEX($T$19:$T$93,HY$244):INDEX($T$19:$T$93,HY$244+$FN294-1)))</f>
        <v>0.70932745086227778</v>
      </c>
      <c r="HZ294" s="469">
        <f ca="1">IF($FN294+HZ$244&gt;73,"",PRODUCT(INDEX($T$19:$T$93,HZ$244):INDEX($T$19:$T$93,HZ$244+$FN294-1)))</f>
        <v>0.68177767508876908</v>
      </c>
      <c r="IA294" s="469">
        <f ca="1">IF($FN294+IA$244&gt;73,"",PRODUCT(INDEX($T$19:$T$93,IA$244):INDEX($T$19:$T$93,IA$244+$FN294-1)))</f>
        <v>0.65214919763645851</v>
      </c>
      <c r="IB294" s="469">
        <f ca="1">IF($FN294+IB$244&gt;73,"",PRODUCT(INDEX($T$19:$T$93,IB$244):INDEX($T$19:$T$93,IB$244+$FN294-1)))</f>
        <v>0.62040260378319401</v>
      </c>
      <c r="IC294" s="469">
        <f ca="1">IF($FN294+IC$244&gt;73,"",PRODUCT(INDEX($T$19:$T$93,IC$244):INDEX($T$19:$T$93,IC$244+$FN294-1)))</f>
        <v>0.58652822718704622</v>
      </c>
      <c r="ID294" s="469">
        <f ca="1">IF($FN294+ID$244&gt;73,"",PRODUCT(INDEX($T$19:$T$93,ID$244):INDEX($T$19:$T$93,ID$244+$FN294-1)))</f>
        <v>0.55055466738341852</v>
      </c>
      <c r="IE294" s="469">
        <f ca="1">IF($FN294+IE$244&gt;73,"",PRODUCT(INDEX($T$19:$T$93,IE$244):INDEX($T$19:$T$93,IE$244+$FN294-1)))</f>
        <v>0.51255876904351882</v>
      </c>
      <c r="IF294" s="469">
        <f ca="1">IF($FN294+IF$244&gt;73,"",PRODUCT(INDEX($T$19:$T$93,IF$244):INDEX($T$19:$T$93,IF$244+$FN294-1)))</f>
        <v>0.47267712573776083</v>
      </c>
      <c r="IG294" s="469">
        <f ca="1">IF($FN294+IG$244&gt;73,"",PRODUCT(INDEX($T$19:$T$93,IG$244):INDEX($T$19:$T$93,IG$244+$FN294-1)))</f>
        <v>0.4311190477925379</v>
      </c>
      <c r="IH294" s="662">
        <f ca="1">IF($FN294+IH$244&gt;73,"",PRODUCT(INDEX($T$19:$T$93,IH$244):INDEX($T$19:$T$93,IH$244+$FN294-1)))</f>
        <v>0.38818070510070452</v>
      </c>
      <c r="II294" s="242"/>
    </row>
    <row r="295" spans="9:243">
      <c r="I295" s="132"/>
      <c r="J295" s="365"/>
      <c r="K295" s="133"/>
      <c r="L295" s="1"/>
      <c r="M295" s="366"/>
      <c r="P295" s="365"/>
      <c r="S295" s="53"/>
      <c r="T295" s="365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364">
        <v>6.5005994640339598E-2</v>
      </c>
      <c r="AP295" s="1"/>
      <c r="AQ295" s="364">
        <v>5.8370490043714106E-2</v>
      </c>
      <c r="AR295" s="1"/>
      <c r="AS295" s="1"/>
      <c r="AT295" s="103"/>
      <c r="AU295" s="103"/>
      <c r="AV295" s="103"/>
      <c r="AW295" s="31"/>
      <c r="AX295" s="31"/>
      <c r="AY295" s="31"/>
      <c r="AZ295" s="31"/>
      <c r="BA295" s="146"/>
      <c r="BB295" s="146"/>
      <c r="BC295" s="103"/>
      <c r="BD295" s="103"/>
      <c r="BE295" s="103"/>
      <c r="BF295" s="104"/>
      <c r="BG295" s="104"/>
      <c r="BH295" s="104"/>
      <c r="BI295" s="102"/>
      <c r="BJ295" s="104"/>
      <c r="BK295" s="104"/>
      <c r="BL295" s="103"/>
      <c r="BM295" s="103"/>
      <c r="BN295" s="103"/>
      <c r="BO295" s="103"/>
      <c r="BP295" s="103"/>
      <c r="BQ295" s="103"/>
      <c r="BR295" s="103"/>
      <c r="BS295" s="103"/>
      <c r="BT295" s="103"/>
      <c r="BU295" s="103"/>
      <c r="BV295" s="103"/>
      <c r="BW295" s="103"/>
      <c r="BX295" s="103"/>
      <c r="BY295" s="103"/>
      <c r="BZ295" s="103"/>
      <c r="CA295" s="103"/>
      <c r="CB295" s="104"/>
      <c r="CC295" s="104"/>
      <c r="CD295" s="104"/>
      <c r="CE295" s="104"/>
      <c r="CF295" s="104"/>
      <c r="CG295" s="104"/>
      <c r="CH295" s="103"/>
      <c r="CI295" s="103"/>
      <c r="CJ295" s="103"/>
      <c r="CK295" s="103"/>
      <c r="CL295" s="103"/>
      <c r="CM295" s="103"/>
      <c r="CN295" s="103"/>
      <c r="CO295" s="103"/>
      <c r="CP295" s="103"/>
      <c r="CQ295" s="103"/>
      <c r="CR295" s="103"/>
      <c r="CS295" s="103"/>
      <c r="CT295" s="103"/>
      <c r="CU295" s="103"/>
      <c r="CV295" s="103"/>
      <c r="CW295" s="103"/>
      <c r="CX295" s="103"/>
      <c r="CY295" s="103"/>
      <c r="CZ295" s="103"/>
      <c r="DA295" s="103"/>
      <c r="DB295" s="103"/>
      <c r="DC295" s="103"/>
      <c r="DD295" s="103"/>
      <c r="DE295" s="103"/>
      <c r="DF295" s="465"/>
      <c r="DG295" s="107"/>
      <c r="DH295" s="107"/>
      <c r="DI295" s="465"/>
      <c r="DJ295" s="51"/>
      <c r="DK295" s="52"/>
      <c r="DL295" s="52"/>
      <c r="DM295" s="52"/>
      <c r="DN295" s="52"/>
      <c r="DO295" s="52"/>
      <c r="DP295" s="52"/>
      <c r="DQ295" s="52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P295" s="53"/>
      <c r="EQ295" s="1"/>
      <c r="ER295" s="103"/>
      <c r="ES295" s="102"/>
      <c r="ET295" s="1"/>
      <c r="EU295" s="103"/>
      <c r="EV295" s="1"/>
      <c r="EW295" s="1"/>
      <c r="EX295" s="1"/>
      <c r="EY295" s="104"/>
      <c r="FN295" s="657">
        <v>51</v>
      </c>
      <c r="FO295" s="469" t="str">
        <f ca="1">IF($FN295+FO$244&gt;73,"",PRODUCT(INDEX($T$19:$T$93,FO$244):INDEX($T$19:$T$93,FO$244+$FN295-1)))</f>
        <v/>
      </c>
      <c r="FP295" s="469" t="str">
        <f ca="1">IF($FN295+FP$244&gt;73,"",PRODUCT(INDEX($T$19:$T$93,FP$244):INDEX($T$19:$T$93,FP$244+$FN295-1)))</f>
        <v/>
      </c>
      <c r="FQ295" s="469" t="str">
        <f ca="1">IF($FN295+FQ$244&gt;73,"",PRODUCT(INDEX($T$19:$T$93,FQ$244):INDEX($T$19:$T$93,FQ$244+$FN295-1)))</f>
        <v/>
      </c>
      <c r="FR295" s="469" t="str">
        <f ca="1">IF($FN295+FR$244&gt;73,"",PRODUCT(INDEX($T$19:$T$93,FR$244):INDEX($T$19:$T$93,FR$244+$FN295-1)))</f>
        <v/>
      </c>
      <c r="FS295" s="469" t="str">
        <f ca="1">IF($FN295+FS$244&gt;73,"",PRODUCT(INDEX($T$19:$T$93,FS$244):INDEX($T$19:$T$93,FS$244+$FN295-1)))</f>
        <v/>
      </c>
      <c r="FT295" s="469" t="str">
        <f ca="1">IF($FN295+FT$244&gt;73,"",PRODUCT(INDEX($T$19:$T$93,FT$244):INDEX($T$19:$T$93,FT$244+$FN295-1)))</f>
        <v/>
      </c>
      <c r="FU295" s="469" t="str">
        <f ca="1">IF($FN295+FU$244&gt;73,"",PRODUCT(INDEX($T$19:$T$93,FU$244):INDEX($T$19:$T$93,FU$244+$FN295-1)))</f>
        <v/>
      </c>
      <c r="FV295" s="469" t="str">
        <f ca="1">IF($FN295+FV$244&gt;73,"",PRODUCT(INDEX($T$19:$T$93,FV$244):INDEX($T$19:$T$93,FV$244+$FN295-1)))</f>
        <v/>
      </c>
      <c r="FW295" s="469" t="str">
        <f ca="1">IF($FN295+FW$244&gt;73,"",PRODUCT(INDEX($T$19:$T$93,FW$244):INDEX($T$19:$T$93,FW$244+$FN295-1)))</f>
        <v/>
      </c>
      <c r="FX295" s="469" t="str">
        <f ca="1">IF($FN295+FX$244&gt;73,"",PRODUCT(INDEX($T$19:$T$93,FX$244):INDEX($T$19:$T$93,FX$244+$FN295-1)))</f>
        <v/>
      </c>
      <c r="FY295" s="469" t="str">
        <f ca="1">IF($FN295+FY$244&gt;73,"",PRODUCT(INDEX($T$19:$T$93,FY$244):INDEX($T$19:$T$93,FY$244+$FN295-1)))</f>
        <v/>
      </c>
      <c r="FZ295" s="469" t="str">
        <f ca="1">IF($FN295+FZ$244&gt;73,"",PRODUCT(INDEX($T$19:$T$93,FZ$244):INDEX($T$19:$T$93,FZ$244+$FN295-1)))</f>
        <v/>
      </c>
      <c r="GA295" s="469" t="str">
        <f ca="1">IF($FN295+GA$244&gt;73,"",PRODUCT(INDEX($T$19:$T$93,GA$244):INDEX($T$19:$T$93,GA$244+$FN295-1)))</f>
        <v/>
      </c>
      <c r="GB295" s="469" t="str">
        <f ca="1">IF($FN295+GB$244&gt;73,"",PRODUCT(INDEX($T$19:$T$93,GB$244):INDEX($T$19:$T$93,GB$244+$FN295-1)))</f>
        <v/>
      </c>
      <c r="GC295" s="469" t="str">
        <f ca="1">IF($FN295+GC$244&gt;73,"",PRODUCT(INDEX($T$19:$T$93,GC$244):INDEX($T$19:$T$93,GC$244+$FN295-1)))</f>
        <v/>
      </c>
      <c r="GD295" s="469" t="str">
        <f ca="1">IF($FN295+GD$244&gt;73,"",PRODUCT(INDEX($T$19:$T$93,GD$244):INDEX($T$19:$T$93,GD$244+$FN295-1)))</f>
        <v/>
      </c>
      <c r="GE295" s="469" t="str">
        <f ca="1">IF($FN295+GE$244&gt;73,"",PRODUCT(INDEX($T$19:$T$93,GE$244):INDEX($T$19:$T$93,GE$244+$FN295-1)))</f>
        <v/>
      </c>
      <c r="GF295" s="469" t="str">
        <f ca="1">IF($FN295+GF$244&gt;73,"",PRODUCT(INDEX($T$19:$T$93,GF$244):INDEX($T$19:$T$93,GF$244+$FN295-1)))</f>
        <v/>
      </c>
      <c r="GG295" s="469" t="str">
        <f ca="1">IF($FN295+GG$244&gt;73,"",PRODUCT(INDEX($T$19:$T$93,GG$244):INDEX($T$19:$T$93,GG$244+$FN295-1)))</f>
        <v/>
      </c>
      <c r="GH295" s="469" t="str">
        <f ca="1">IF($FN295+GH$244&gt;73,"",PRODUCT(INDEX($T$19:$T$93,GH$244):INDEX($T$19:$T$93,GH$244+$FN295-1)))</f>
        <v/>
      </c>
      <c r="GI295" s="469" t="str">
        <f ca="1">IF($FN295+GI$244&gt;73,"",PRODUCT(INDEX($T$19:$T$93,GI$244):INDEX($T$19:$T$93,GI$244+$FN295-1)))</f>
        <v/>
      </c>
      <c r="GJ295" s="469" t="str">
        <f ca="1">IF($FN295+GJ$244&gt;73,"",PRODUCT(INDEX($T$19:$T$93,GJ$244):INDEX($T$19:$T$93,GJ$244+$FN295-1)))</f>
        <v/>
      </c>
      <c r="GK295" s="469" t="str">
        <f ca="1">IF($FN295+GK$244&gt;73,"",PRODUCT(INDEX($T$19:$T$93,GK$244):INDEX($T$19:$T$93,GK$244+$FN295-1)))</f>
        <v/>
      </c>
      <c r="GL295" s="469" t="str">
        <f ca="1">IF($FN295+GL$244&gt;73,"",PRODUCT(INDEX($T$19:$T$93,GL$244):INDEX($T$19:$T$93,GL$244+$FN295-1)))</f>
        <v/>
      </c>
      <c r="GM295" s="469" t="str">
        <f ca="1">IF($FN295+GM$244&gt;73,"",PRODUCT(INDEX($T$19:$T$93,GM$244):INDEX($T$19:$T$93,GM$244+$FN295-1)))</f>
        <v/>
      </c>
      <c r="GN295" s="469" t="str">
        <f ca="1">IF($FN295+GN$244&gt;73,"",PRODUCT(INDEX($T$19:$T$93,GN$244):INDEX($T$19:$T$93,GN$244+$FN295-1)))</f>
        <v/>
      </c>
      <c r="GO295" s="469" t="str">
        <f ca="1">IF($FN295+GO$244&gt;73,"",PRODUCT(INDEX($T$19:$T$93,GO$244):INDEX($T$19:$T$93,GO$244+$FN295-1)))</f>
        <v/>
      </c>
      <c r="GP295" s="469" t="str">
        <f ca="1">IF($FN295+GP$244&gt;73,"",PRODUCT(INDEX($T$19:$T$93,GP$244):INDEX($T$19:$T$93,GP$244+$FN295-1)))</f>
        <v/>
      </c>
      <c r="GQ295" s="469" t="str">
        <f ca="1">IF($FN295+GQ$244&gt;73,"",PRODUCT(INDEX($T$19:$T$93,GQ$244):INDEX($T$19:$T$93,GQ$244+$FN295-1)))</f>
        <v/>
      </c>
      <c r="GR295" s="469" t="str">
        <f ca="1">IF($FN295+GR$244&gt;73,"",PRODUCT(INDEX($T$19:$T$93,GR$244):INDEX($T$19:$T$93,GR$244+$FN295-1)))</f>
        <v/>
      </c>
      <c r="GS295" s="469" t="str">
        <f ca="1">IF($FN295+GS$244&gt;73,"",PRODUCT(INDEX($T$19:$T$93,GS$244):INDEX($T$19:$T$93,GS$244+$FN295-1)))</f>
        <v/>
      </c>
      <c r="GT295" s="469" t="str">
        <f ca="1">IF($FN295+GT$244&gt;73,"",PRODUCT(INDEX($T$19:$T$93,GT$244):INDEX($T$19:$T$93,GT$244+$FN295-1)))</f>
        <v/>
      </c>
      <c r="GU295" s="469" t="str">
        <f ca="1">IF($FN295+GU$244&gt;73,"",PRODUCT(INDEX($T$19:$T$93,GU$244):INDEX($T$19:$T$93,GU$244+$FN295-1)))</f>
        <v/>
      </c>
      <c r="GV295" s="469" t="str">
        <f ca="1">IF($FN295+GV$244&gt;73,"",PRODUCT(INDEX($T$19:$T$93,GV$244):INDEX($T$19:$T$93,GV$244+$FN295-1)))</f>
        <v/>
      </c>
      <c r="GW295" s="469" t="str">
        <f ca="1">IF($FN295+GW$244&gt;73,"",PRODUCT(INDEX($T$19:$T$93,GW$244):INDEX($T$19:$T$93,GW$244+$FN295-1)))</f>
        <v/>
      </c>
      <c r="GX295" s="469" t="str">
        <f ca="1">IF($FN295+GX$244&gt;73,"",PRODUCT(INDEX($T$19:$T$93,GX$244):INDEX($T$19:$T$93,GX$244+$FN295-1)))</f>
        <v/>
      </c>
      <c r="GY295" s="469" t="str">
        <f ca="1">IF($FN295+GY$244&gt;73,"",PRODUCT(INDEX($T$19:$T$93,GY$244):INDEX($T$19:$T$93,GY$244+$FN295-1)))</f>
        <v/>
      </c>
      <c r="GZ295" s="469" t="str">
        <f ca="1">IF($FN295+GZ$244&gt;73,"",PRODUCT(INDEX($T$19:$T$93,GZ$244):INDEX($T$19:$T$93,GZ$244+$FN295-1)))</f>
        <v/>
      </c>
      <c r="HA295" s="469" t="str">
        <f ca="1">IF($FN295+HA$244&gt;73,"",PRODUCT(INDEX($T$19:$T$93,HA$244):INDEX($T$19:$T$93,HA$244+$FN295-1)))</f>
        <v/>
      </c>
      <c r="HB295" s="469" t="str">
        <f ca="1">IF($FN295+HB$244&gt;73,"",PRODUCT(INDEX($T$19:$T$93,HB$244):INDEX($T$19:$T$93,HB$244+$FN295-1)))</f>
        <v/>
      </c>
      <c r="HC295" s="469" t="str">
        <f ca="1">IF($FN295+HC$244&gt;73,"",PRODUCT(INDEX($T$19:$T$93,HC$244):INDEX($T$19:$T$93,HC$244+$FN295-1)))</f>
        <v/>
      </c>
      <c r="HD295" s="469" t="str">
        <f ca="1">IF($FN295+HD$244&gt;73,"",PRODUCT(INDEX($T$19:$T$93,HD$244):INDEX($T$19:$T$93,HD$244+$FN295-1)))</f>
        <v/>
      </c>
      <c r="HE295" s="469" t="str">
        <f ca="1">IF($FN295+HE$244&gt;73,"",PRODUCT(INDEX($T$19:$T$93,HE$244):INDEX($T$19:$T$93,HE$244+$FN295-1)))</f>
        <v/>
      </c>
      <c r="HF295" s="469" t="str">
        <f ca="1">IF($FN295+HF$244&gt;73,"",PRODUCT(INDEX($T$19:$T$93,HF$244):INDEX($T$19:$T$93,HF$244+$FN295-1)))</f>
        <v/>
      </c>
      <c r="HG295" s="469" t="str">
        <f ca="1">IF($FN295+HG$244&gt;73,"",PRODUCT(INDEX($T$19:$T$93,HG$244):INDEX($T$19:$T$93,HG$244+$FN295-1)))</f>
        <v/>
      </c>
      <c r="HH295" s="469" t="str">
        <f ca="1">IF($FN295+HH$244&gt;73,"",PRODUCT(INDEX($T$19:$T$93,HH$244):INDEX($T$19:$T$93,HH$244+$FN295-1)))</f>
        <v/>
      </c>
      <c r="HI295" s="469" t="str">
        <f ca="1">IF($FN295+HI$244&gt;73,"",PRODUCT(INDEX($T$19:$T$93,HI$244):INDEX($T$19:$T$93,HI$244+$FN295-1)))</f>
        <v/>
      </c>
      <c r="HJ295" s="469" t="str">
        <f ca="1">IF($FN295+HJ$244&gt;73,"",PRODUCT(INDEX($T$19:$T$93,HJ$244):INDEX($T$19:$T$93,HJ$244+$FN295-1)))</f>
        <v/>
      </c>
      <c r="HK295" s="469" t="str">
        <f ca="1">IF($FN295+HK$244&gt;73,"",PRODUCT(INDEX($T$19:$T$93,HK$244):INDEX($T$19:$T$93,HK$244+$FN295-1)))</f>
        <v/>
      </c>
      <c r="HL295" s="469" t="str">
        <f ca="1">IF($FN295+HL$244&gt;73,"",PRODUCT(INDEX($T$19:$T$93,HL$244):INDEX($T$19:$T$93,HL$244+$FN295-1)))</f>
        <v/>
      </c>
      <c r="HM295" s="469">
        <f ca="1">IF($FN295+HM$244&gt;73,"",PRODUCT(INDEX($T$19:$T$93,HM$244):INDEX($T$19:$T$93,HM$244+$FN295-1)))</f>
        <v>0.90933888341336677</v>
      </c>
      <c r="HN295" s="469">
        <f ca="1">IF($FN295+HN$244&gt;73,"",PRODUCT(INDEX($T$19:$T$93,HN$244):INDEX($T$19:$T$93,HN$244+$FN295-1)))</f>
        <v>0.89971436150906647</v>
      </c>
      <c r="HO295" s="469">
        <f ca="1">IF($FN295+HO$244&gt;73,"",PRODUCT(INDEX($T$19:$T$93,HO$244):INDEX($T$19:$T$93,HO$244+$FN295-1)))</f>
        <v>0.88912103115951246</v>
      </c>
      <c r="HP295" s="469">
        <f ca="1">IF($FN295+HP$244&gt;73,"",PRODUCT(INDEX($T$19:$T$93,HP$244):INDEX($T$19:$T$93,HP$244+$FN295-1)))</f>
        <v>0.87747326310364626</v>
      </c>
      <c r="HQ295" s="469">
        <f ca="1">IF($FN295+HQ$244&gt;73,"",PRODUCT(INDEX($T$19:$T$93,HQ$244):INDEX($T$19:$T$93,HQ$244+$FN295-1)))</f>
        <v>0.86468056347164268</v>
      </c>
      <c r="HR295" s="469">
        <f ca="1">IF($FN295+HR$244&gt;73,"",PRODUCT(INDEX($T$19:$T$93,HR$244):INDEX($T$19:$T$93,HR$244+$FN295-1)))</f>
        <v>0.85064796188846703</v>
      </c>
      <c r="HS295" s="469">
        <f ca="1">IF($FN295+HS$244&gt;73,"",PRODUCT(INDEX($T$19:$T$93,HS$244):INDEX($T$19:$T$93,HS$244+$FN295-1)))</f>
        <v>0.83527661207878845</v>
      </c>
      <c r="HT295" s="469">
        <f ca="1">IF($FN295+HT$244&gt;73,"",PRODUCT(INDEX($T$19:$T$93,HT$244):INDEX($T$19:$T$93,HT$244+$FN295-1)))</f>
        <v>0.81846465495797127</v>
      </c>
      <c r="HU295" s="469">
        <f ca="1">IF($FN295+HU$244&gt;73,"",PRODUCT(INDEX($T$19:$T$93,HU$244):INDEX($T$19:$T$93,HU$244+$FN295-1)))</f>
        <v>0.80010840270180661</v>
      </c>
      <c r="HV295" s="469">
        <f ca="1">IF($FN295+HV$244&gt;73,"",PRODUCT(INDEX($T$19:$T$93,HV$244):INDEX($T$19:$T$93,HV$244+$FN295-1)))</f>
        <v>0.78010391180766214</v>
      </c>
      <c r="HW295" s="469">
        <f ca="1">IF($FN295+HW$244&gt;73,"",PRODUCT(INDEX($T$19:$T$93,HW$244):INDEX($T$19:$T$93,HW$244+$FN295-1)))</f>
        <v>0.75834902373116375</v>
      </c>
      <c r="HX295" s="469">
        <f ca="1">IF($FN295+HX$244&gt;73,"",PRODUCT(INDEX($T$19:$T$93,HX$244):INDEX($T$19:$T$93,HX$244+$FN295-1)))</f>
        <v>0.73474596330259401</v>
      </c>
      <c r="HY295" s="469">
        <f ca="1">IF($FN295+HY$244&gt;73,"",PRODUCT(INDEX($T$19:$T$93,HY$244):INDEX($T$19:$T$93,HY$244+$FN295-1)))</f>
        <v>0.70920459769683208</v>
      </c>
      <c r="HZ295" s="469">
        <f ca="1">IF($FN295+HZ$244&gt;73,"",PRODUCT(INDEX($T$19:$T$93,HZ$244):INDEX($T$19:$T$93,HZ$244+$FN295-1)))</f>
        <v>0.68164647194445727</v>
      </c>
      <c r="IA295" s="469">
        <f ca="1">IF($FN295+IA$244&gt;73,"",PRODUCT(INDEX($T$19:$T$93,IA$244):INDEX($T$19:$T$93,IA$244+$FN295-1)))</f>
        <v>0.6520097501078469</v>
      </c>
      <c r="IB295" s="469">
        <f ca="1">IF($FN295+IB$244&gt;73,"",PRODUCT(INDEX($T$19:$T$93,IB$244):INDEX($T$19:$T$93,IB$244+$FN295-1)))</f>
        <v>0.62025520278411894</v>
      </c>
      <c r="IC295" s="469">
        <f ca="1">IF($FN295+IC$244&gt;73,"",PRODUCT(INDEX($T$19:$T$93,IC$244):INDEX($T$19:$T$93,IC$244+$FN295-1)))</f>
        <v>0.58637338855499455</v>
      </c>
      <c r="ID295" s="469">
        <f ca="1">IF($FN295+ID$244&gt;73,"",PRODUCT(INDEX($T$19:$T$93,ID$244):INDEX($T$19:$T$93,ID$244+$FN295-1)))</f>
        <v>0.5503931738411777</v>
      </c>
      <c r="IE295" s="469">
        <f ca="1">IF($FN295+IE$244&gt;73,"",PRODUCT(INDEX($T$19:$T$93,IE$244):INDEX($T$19:$T$93,IE$244+$FN295-1)))</f>
        <v>0.51239171250433557</v>
      </c>
      <c r="IF295" s="469">
        <f ca="1">IF($FN295+IF$244&gt;73,"",PRODUCT(INDEX($T$19:$T$93,IF$244):INDEX($T$19:$T$93,IF$244+$FN295-1)))</f>
        <v>0.4725059467746025</v>
      </c>
      <c r="IG295" s="469">
        <f ca="1">IF($FN295+IG$244&gt;73,"",PRODUCT(INDEX($T$19:$T$93,IG$244):INDEX($T$19:$T$93,IG$244+$FN295-1)))</f>
        <v>0.43094556755346686</v>
      </c>
      <c r="IH295" s="662">
        <f ca="1">IF($FN295+IH$244&gt;73,"",PRODUCT(INDEX($T$19:$T$93,IH$244):INDEX($T$19:$T$93,IH$244+$FN295-1)))</f>
        <v>0.38800714301328426</v>
      </c>
      <c r="II295" s="242"/>
    </row>
    <row r="296" spans="9:243">
      <c r="I296" s="132"/>
      <c r="J296" s="365"/>
      <c r="K296" s="133"/>
      <c r="L296" s="1"/>
      <c r="M296" s="366"/>
      <c r="P296" s="365"/>
      <c r="S296" s="53"/>
      <c r="T296" s="365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364">
        <v>6.5016298939573502E-2</v>
      </c>
      <c r="AP296" s="1"/>
      <c r="AQ296" s="364">
        <v>5.83325248954112E-2</v>
      </c>
      <c r="AR296" s="1"/>
      <c r="AS296" s="1"/>
      <c r="AT296" s="103"/>
      <c r="AU296" s="103"/>
      <c r="AV296" s="103"/>
      <c r="AW296" s="31"/>
      <c r="AX296" s="31"/>
      <c r="AY296" s="31"/>
      <c r="AZ296" s="31"/>
      <c r="BA296" s="146"/>
      <c r="BB296" s="146"/>
      <c r="BC296" s="103"/>
      <c r="BD296" s="103"/>
      <c r="BE296" s="103"/>
      <c r="BF296" s="104"/>
      <c r="BG296" s="104"/>
      <c r="BH296" s="104"/>
      <c r="BI296" s="102"/>
      <c r="BJ296" s="104"/>
      <c r="BK296" s="104"/>
      <c r="BL296" s="103"/>
      <c r="BM296" s="103"/>
      <c r="BN296" s="103"/>
      <c r="BO296" s="103"/>
      <c r="BP296" s="103"/>
      <c r="BQ296" s="103"/>
      <c r="BR296" s="103"/>
      <c r="BS296" s="103"/>
      <c r="BT296" s="103"/>
      <c r="BU296" s="103"/>
      <c r="BV296" s="103"/>
      <c r="BW296" s="103"/>
      <c r="BX296" s="103"/>
      <c r="BY296" s="103"/>
      <c r="BZ296" s="103"/>
      <c r="CA296" s="103"/>
      <c r="CB296" s="104"/>
      <c r="CC296" s="104"/>
      <c r="CD296" s="104"/>
      <c r="CE296" s="104"/>
      <c r="CF296" s="104"/>
      <c r="CG296" s="104"/>
      <c r="CH296" s="103"/>
      <c r="CI296" s="103"/>
      <c r="CJ296" s="103"/>
      <c r="CK296" s="103"/>
      <c r="CL296" s="103"/>
      <c r="CM296" s="103"/>
      <c r="CN296" s="103"/>
      <c r="CO296" s="103"/>
      <c r="CP296" s="103"/>
      <c r="CQ296" s="103"/>
      <c r="CR296" s="103"/>
      <c r="CS296" s="103"/>
      <c r="CT296" s="103"/>
      <c r="CU296" s="103"/>
      <c r="CV296" s="103"/>
      <c r="CW296" s="103"/>
      <c r="CX296" s="103"/>
      <c r="CY296" s="103"/>
      <c r="CZ296" s="103"/>
      <c r="DA296" s="103"/>
      <c r="DB296" s="103"/>
      <c r="DC296" s="103"/>
      <c r="DD296" s="103"/>
      <c r="DE296" s="103"/>
      <c r="DF296" s="465"/>
      <c r="DG296" s="107"/>
      <c r="DH296" s="107"/>
      <c r="DI296" s="465"/>
      <c r="DJ296" s="51"/>
      <c r="DK296" s="52"/>
      <c r="DL296" s="52"/>
      <c r="DM296" s="52"/>
      <c r="DN296" s="52"/>
      <c r="DO296" s="52"/>
      <c r="DP296" s="52"/>
      <c r="DQ296" s="52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P296" s="53"/>
      <c r="EQ296" s="1"/>
      <c r="ER296" s="103"/>
      <c r="ES296" s="102"/>
      <c r="ET296" s="1"/>
      <c r="EU296" s="103"/>
      <c r="EV296" s="1"/>
      <c r="EW296" s="1"/>
      <c r="EX296" s="1"/>
      <c r="EY296" s="104"/>
      <c r="FN296" s="657">
        <v>52</v>
      </c>
      <c r="FO296" s="469" t="str">
        <f ca="1">IF($FN296+FO$244&gt;73,"",PRODUCT(INDEX($T$19:$T$93,FO$244):INDEX($T$19:$T$93,FO$244+$FN296-1)))</f>
        <v/>
      </c>
      <c r="FP296" s="469" t="str">
        <f ca="1">IF($FN296+FP$244&gt;73,"",PRODUCT(INDEX($T$19:$T$93,FP$244):INDEX($T$19:$T$93,FP$244+$FN296-1)))</f>
        <v/>
      </c>
      <c r="FQ296" s="469" t="str">
        <f ca="1">IF($FN296+FQ$244&gt;73,"",PRODUCT(INDEX($T$19:$T$93,FQ$244):INDEX($T$19:$T$93,FQ$244+$FN296-1)))</f>
        <v/>
      </c>
      <c r="FR296" s="469" t="str">
        <f ca="1">IF($FN296+FR$244&gt;73,"",PRODUCT(INDEX($T$19:$T$93,FR$244):INDEX($T$19:$T$93,FR$244+$FN296-1)))</f>
        <v/>
      </c>
      <c r="FS296" s="469" t="str">
        <f ca="1">IF($FN296+FS$244&gt;73,"",PRODUCT(INDEX($T$19:$T$93,FS$244):INDEX($T$19:$T$93,FS$244+$FN296-1)))</f>
        <v/>
      </c>
      <c r="FT296" s="469" t="str">
        <f ca="1">IF($FN296+FT$244&gt;73,"",PRODUCT(INDEX($T$19:$T$93,FT$244):INDEX($T$19:$T$93,FT$244+$FN296-1)))</f>
        <v/>
      </c>
      <c r="FU296" s="469" t="str">
        <f ca="1">IF($FN296+FU$244&gt;73,"",PRODUCT(INDEX($T$19:$T$93,FU$244):INDEX($T$19:$T$93,FU$244+$FN296-1)))</f>
        <v/>
      </c>
      <c r="FV296" s="469" t="str">
        <f ca="1">IF($FN296+FV$244&gt;73,"",PRODUCT(INDEX($T$19:$T$93,FV$244):INDEX($T$19:$T$93,FV$244+$FN296-1)))</f>
        <v/>
      </c>
      <c r="FW296" s="469" t="str">
        <f ca="1">IF($FN296+FW$244&gt;73,"",PRODUCT(INDEX($T$19:$T$93,FW$244):INDEX($T$19:$T$93,FW$244+$FN296-1)))</f>
        <v/>
      </c>
      <c r="FX296" s="469" t="str">
        <f ca="1">IF($FN296+FX$244&gt;73,"",PRODUCT(INDEX($T$19:$T$93,FX$244):INDEX($T$19:$T$93,FX$244+$FN296-1)))</f>
        <v/>
      </c>
      <c r="FY296" s="469" t="str">
        <f ca="1">IF($FN296+FY$244&gt;73,"",PRODUCT(INDEX($T$19:$T$93,FY$244):INDEX($T$19:$T$93,FY$244+$FN296-1)))</f>
        <v/>
      </c>
      <c r="FZ296" s="469" t="str">
        <f ca="1">IF($FN296+FZ$244&gt;73,"",PRODUCT(INDEX($T$19:$T$93,FZ$244):INDEX($T$19:$T$93,FZ$244+$FN296-1)))</f>
        <v/>
      </c>
      <c r="GA296" s="469" t="str">
        <f ca="1">IF($FN296+GA$244&gt;73,"",PRODUCT(INDEX($T$19:$T$93,GA$244):INDEX($T$19:$T$93,GA$244+$FN296-1)))</f>
        <v/>
      </c>
      <c r="GB296" s="469" t="str">
        <f ca="1">IF($FN296+GB$244&gt;73,"",PRODUCT(INDEX($T$19:$T$93,GB$244):INDEX($T$19:$T$93,GB$244+$FN296-1)))</f>
        <v/>
      </c>
      <c r="GC296" s="469" t="str">
        <f ca="1">IF($FN296+GC$244&gt;73,"",PRODUCT(INDEX($T$19:$T$93,GC$244):INDEX($T$19:$T$93,GC$244+$FN296-1)))</f>
        <v/>
      </c>
      <c r="GD296" s="469" t="str">
        <f ca="1">IF($FN296+GD$244&gt;73,"",PRODUCT(INDEX($T$19:$T$93,GD$244):INDEX($T$19:$T$93,GD$244+$FN296-1)))</f>
        <v/>
      </c>
      <c r="GE296" s="469" t="str">
        <f ca="1">IF($FN296+GE$244&gt;73,"",PRODUCT(INDEX($T$19:$T$93,GE$244):INDEX($T$19:$T$93,GE$244+$FN296-1)))</f>
        <v/>
      </c>
      <c r="GF296" s="469" t="str">
        <f ca="1">IF($FN296+GF$244&gt;73,"",PRODUCT(INDEX($T$19:$T$93,GF$244):INDEX($T$19:$T$93,GF$244+$FN296-1)))</f>
        <v/>
      </c>
      <c r="GG296" s="469" t="str">
        <f ca="1">IF($FN296+GG$244&gt;73,"",PRODUCT(INDEX($T$19:$T$93,GG$244):INDEX($T$19:$T$93,GG$244+$FN296-1)))</f>
        <v/>
      </c>
      <c r="GH296" s="469" t="str">
        <f ca="1">IF($FN296+GH$244&gt;73,"",PRODUCT(INDEX($T$19:$T$93,GH$244):INDEX($T$19:$T$93,GH$244+$FN296-1)))</f>
        <v/>
      </c>
      <c r="GI296" s="469" t="str">
        <f ca="1">IF($FN296+GI$244&gt;73,"",PRODUCT(INDEX($T$19:$T$93,GI$244):INDEX($T$19:$T$93,GI$244+$FN296-1)))</f>
        <v/>
      </c>
      <c r="GJ296" s="469" t="str">
        <f ca="1">IF($FN296+GJ$244&gt;73,"",PRODUCT(INDEX($T$19:$T$93,GJ$244):INDEX($T$19:$T$93,GJ$244+$FN296-1)))</f>
        <v/>
      </c>
      <c r="GK296" s="469" t="str">
        <f ca="1">IF($FN296+GK$244&gt;73,"",PRODUCT(INDEX($T$19:$T$93,GK$244):INDEX($T$19:$T$93,GK$244+$FN296-1)))</f>
        <v/>
      </c>
      <c r="GL296" s="469" t="str">
        <f ca="1">IF($FN296+GL$244&gt;73,"",PRODUCT(INDEX($T$19:$T$93,GL$244):INDEX($T$19:$T$93,GL$244+$FN296-1)))</f>
        <v/>
      </c>
      <c r="GM296" s="469" t="str">
        <f ca="1">IF($FN296+GM$244&gt;73,"",PRODUCT(INDEX($T$19:$T$93,GM$244):INDEX($T$19:$T$93,GM$244+$FN296-1)))</f>
        <v/>
      </c>
      <c r="GN296" s="469" t="str">
        <f ca="1">IF($FN296+GN$244&gt;73,"",PRODUCT(INDEX($T$19:$T$93,GN$244):INDEX($T$19:$T$93,GN$244+$FN296-1)))</f>
        <v/>
      </c>
      <c r="GO296" s="469" t="str">
        <f ca="1">IF($FN296+GO$244&gt;73,"",PRODUCT(INDEX($T$19:$T$93,GO$244):INDEX($T$19:$T$93,GO$244+$FN296-1)))</f>
        <v/>
      </c>
      <c r="GP296" s="469" t="str">
        <f ca="1">IF($FN296+GP$244&gt;73,"",PRODUCT(INDEX($T$19:$T$93,GP$244):INDEX($T$19:$T$93,GP$244+$FN296-1)))</f>
        <v/>
      </c>
      <c r="GQ296" s="469" t="str">
        <f ca="1">IF($FN296+GQ$244&gt;73,"",PRODUCT(INDEX($T$19:$T$93,GQ$244):INDEX($T$19:$T$93,GQ$244+$FN296-1)))</f>
        <v/>
      </c>
      <c r="GR296" s="469" t="str">
        <f ca="1">IF($FN296+GR$244&gt;73,"",PRODUCT(INDEX($T$19:$T$93,GR$244):INDEX($T$19:$T$93,GR$244+$FN296-1)))</f>
        <v/>
      </c>
      <c r="GS296" s="469" t="str">
        <f ca="1">IF($FN296+GS$244&gt;73,"",PRODUCT(INDEX($T$19:$T$93,GS$244):INDEX($T$19:$T$93,GS$244+$FN296-1)))</f>
        <v/>
      </c>
      <c r="GT296" s="469" t="str">
        <f ca="1">IF($FN296+GT$244&gt;73,"",PRODUCT(INDEX($T$19:$T$93,GT$244):INDEX($T$19:$T$93,GT$244+$FN296-1)))</f>
        <v/>
      </c>
      <c r="GU296" s="469" t="str">
        <f ca="1">IF($FN296+GU$244&gt;73,"",PRODUCT(INDEX($T$19:$T$93,GU$244):INDEX($T$19:$T$93,GU$244+$FN296-1)))</f>
        <v/>
      </c>
      <c r="GV296" s="469" t="str">
        <f ca="1">IF($FN296+GV$244&gt;73,"",PRODUCT(INDEX($T$19:$T$93,GV$244):INDEX($T$19:$T$93,GV$244+$FN296-1)))</f>
        <v/>
      </c>
      <c r="GW296" s="469" t="str">
        <f ca="1">IF($FN296+GW$244&gt;73,"",PRODUCT(INDEX($T$19:$T$93,GW$244):INDEX($T$19:$T$93,GW$244+$FN296-1)))</f>
        <v/>
      </c>
      <c r="GX296" s="469" t="str">
        <f ca="1">IF($FN296+GX$244&gt;73,"",PRODUCT(INDEX($T$19:$T$93,GX$244):INDEX($T$19:$T$93,GX$244+$FN296-1)))</f>
        <v/>
      </c>
      <c r="GY296" s="469" t="str">
        <f ca="1">IF($FN296+GY$244&gt;73,"",PRODUCT(INDEX($T$19:$T$93,GY$244):INDEX($T$19:$T$93,GY$244+$FN296-1)))</f>
        <v/>
      </c>
      <c r="GZ296" s="469" t="str">
        <f ca="1">IF($FN296+GZ$244&gt;73,"",PRODUCT(INDEX($T$19:$T$93,GZ$244):INDEX($T$19:$T$93,GZ$244+$FN296-1)))</f>
        <v/>
      </c>
      <c r="HA296" s="469" t="str">
        <f ca="1">IF($FN296+HA$244&gt;73,"",PRODUCT(INDEX($T$19:$T$93,HA$244):INDEX($T$19:$T$93,HA$244+$FN296-1)))</f>
        <v/>
      </c>
      <c r="HB296" s="469" t="str">
        <f ca="1">IF($FN296+HB$244&gt;73,"",PRODUCT(INDEX($T$19:$T$93,HB$244):INDEX($T$19:$T$93,HB$244+$FN296-1)))</f>
        <v/>
      </c>
      <c r="HC296" s="469" t="str">
        <f ca="1">IF($FN296+HC$244&gt;73,"",PRODUCT(INDEX($T$19:$T$93,HC$244):INDEX($T$19:$T$93,HC$244+$FN296-1)))</f>
        <v/>
      </c>
      <c r="HD296" s="469" t="str">
        <f ca="1">IF($FN296+HD$244&gt;73,"",PRODUCT(INDEX($T$19:$T$93,HD$244):INDEX($T$19:$T$93,HD$244+$FN296-1)))</f>
        <v/>
      </c>
      <c r="HE296" s="469" t="str">
        <f ca="1">IF($FN296+HE$244&gt;73,"",PRODUCT(INDEX($T$19:$T$93,HE$244):INDEX($T$19:$T$93,HE$244+$FN296-1)))</f>
        <v/>
      </c>
      <c r="HF296" s="469" t="str">
        <f ca="1">IF($FN296+HF$244&gt;73,"",PRODUCT(INDEX($T$19:$T$93,HF$244):INDEX($T$19:$T$93,HF$244+$FN296-1)))</f>
        <v/>
      </c>
      <c r="HG296" s="469" t="str">
        <f ca="1">IF($FN296+HG$244&gt;73,"",PRODUCT(INDEX($T$19:$T$93,HG$244):INDEX($T$19:$T$93,HG$244+$FN296-1)))</f>
        <v/>
      </c>
      <c r="HH296" s="469" t="str">
        <f ca="1">IF($FN296+HH$244&gt;73,"",PRODUCT(INDEX($T$19:$T$93,HH$244):INDEX($T$19:$T$93,HH$244+$FN296-1)))</f>
        <v/>
      </c>
      <c r="HI296" s="469" t="str">
        <f ca="1">IF($FN296+HI$244&gt;73,"",PRODUCT(INDEX($T$19:$T$93,HI$244):INDEX($T$19:$T$93,HI$244+$FN296-1)))</f>
        <v/>
      </c>
      <c r="HJ296" s="469" t="str">
        <f ca="1">IF($FN296+HJ$244&gt;73,"",PRODUCT(INDEX($T$19:$T$93,HJ$244):INDEX($T$19:$T$93,HJ$244+$FN296-1)))</f>
        <v/>
      </c>
      <c r="HK296" s="469" t="str">
        <f ca="1">IF($FN296+HK$244&gt;73,"",PRODUCT(INDEX($T$19:$T$93,HK$244):INDEX($T$19:$T$93,HK$244+$FN296-1)))</f>
        <v/>
      </c>
      <c r="HL296" s="469" t="str">
        <f ca="1">IF($FN296+HL$244&gt;73,"",PRODUCT(INDEX($T$19:$T$93,HL$244):INDEX($T$19:$T$93,HL$244+$FN296-1)))</f>
        <v/>
      </c>
      <c r="HM296" s="469" t="str">
        <f ca="1">IF($FN296+HM$244&gt;73,"",PRODUCT(INDEX($T$19:$T$93,HM$244):INDEX($T$19:$T$93,HM$244+$FN296-1)))</f>
        <v/>
      </c>
      <c r="HN296" s="469">
        <f ca="1">IF($FN296+HN$244&gt;73,"",PRODUCT(INDEX($T$19:$T$93,HN$244):INDEX($T$19:$T$93,HN$244+$FN296-1)))</f>
        <v>0.89967035403780216</v>
      </c>
      <c r="HO296" s="469">
        <f ca="1">IF($FN296+HO$244&gt;73,"",PRODUCT(INDEX($T$19:$T$93,HO$244):INDEX($T$19:$T$93,HO$244+$FN296-1)))</f>
        <v>0.88907270955584083</v>
      </c>
      <c r="HP296" s="469">
        <f ca="1">IF($FN296+HP$244&gt;73,"",PRODUCT(INDEX($T$19:$T$93,HP$244):INDEX($T$19:$T$93,HP$244+$FN296-1)))</f>
        <v>0.8774202756342524</v>
      </c>
      <c r="HQ296" s="469">
        <f ca="1">IF($FN296+HQ$244&gt;73,"",PRODUCT(INDEX($T$19:$T$93,HQ$244):INDEX($T$19:$T$93,HQ$244+$FN296-1)))</f>
        <v>0.86462254664566662</v>
      </c>
      <c r="HR296" s="469">
        <f ca="1">IF($FN296+HR$244&gt;73,"",PRODUCT(INDEX($T$19:$T$93,HR$244):INDEX($T$19:$T$93,HR$244+$FN296-1)))</f>
        <v>0.85058454465603717</v>
      </c>
      <c r="HS296" s="469">
        <f ca="1">IF($FN296+HS$244&gt;73,"",PRODUCT(INDEX($T$19:$T$93,HS$244):INDEX($T$19:$T$93,HS$244+$FN296-1)))</f>
        <v>0.83520742148149718</v>
      </c>
      <c r="HT296" s="469">
        <f ca="1">IF($FN296+HT$244&gt;73,"",PRODUCT(INDEX($T$19:$T$93,HT$244):INDEX($T$19:$T$93,HT$244+$FN296-1)))</f>
        <v>0.81838932352363247</v>
      </c>
      <c r="HU296" s="469">
        <f ca="1">IF($FN296+HU$244&gt;73,"",PRODUCT(INDEX($T$19:$T$93,HU$244):INDEX($T$19:$T$93,HU$244+$FN296-1)))</f>
        <v>0.80002657790762821</v>
      </c>
      <c r="HV296" s="469">
        <f ca="1">IF($FN296+HV$244&gt;73,"",PRODUCT(INDEX($T$19:$T$93,HV$244):INDEX($T$19:$T$93,HV$244+$FN296-1)))</f>
        <v>0.7800152679618173</v>
      </c>
      <c r="HW296" s="469">
        <f ca="1">IF($FN296+HW$244&gt;73,"",PRODUCT(INDEX($T$19:$T$93,HW$244):INDEX($T$19:$T$93,HW$244+$FN296-1)))</f>
        <v>0.75825327663719932</v>
      </c>
      <c r="HX296" s="469">
        <f ca="1">IF($FN296+HX$244&gt;73,"",PRODUCT(INDEX($T$19:$T$93,HX$244):INDEX($T$19:$T$93,HX$244+$FN296-1)))</f>
        <v>0.73464288806635258</v>
      </c>
      <c r="HY296" s="469">
        <f ca="1">IF($FN296+HY$244&gt;73,"",PRODUCT(INDEX($T$19:$T$93,HY$244):INDEX($T$19:$T$93,HY$244+$FN296-1)))</f>
        <v>0.70909405000061765</v>
      </c>
      <c r="HZ296" s="469">
        <f ca="1">IF($FN296+HZ$244&gt;73,"",PRODUCT(INDEX($T$19:$T$93,HZ$244):INDEX($T$19:$T$93,HZ$244+$FN296-1)))</f>
        <v>0.68152841303289036</v>
      </c>
      <c r="IA296" s="469">
        <f ca="1">IF($FN296+IA$244&gt;73,"",PRODUCT(INDEX($T$19:$T$93,IA$244):INDEX($T$19:$T$93,IA$244+$FN296-1)))</f>
        <v>0.65188427558372886</v>
      </c>
      <c r="IB296" s="469">
        <f ca="1">IF($FN296+IB$244&gt;73,"",PRODUCT(INDEX($T$19:$T$93,IB$244):INDEX($T$19:$T$93,IB$244+$FN296-1)))</f>
        <v>0.62012257507338919</v>
      </c>
      <c r="IC296" s="469">
        <f ca="1">IF($FN296+IC$244&gt;73,"",PRODUCT(INDEX($T$19:$T$93,IC$244):INDEX($T$19:$T$93,IC$244+$FN296-1)))</f>
        <v>0.58623407253217819</v>
      </c>
      <c r="ID296" s="469">
        <f ca="1">IF($FN296+ID$244&gt;73,"",PRODUCT(INDEX($T$19:$T$93,ID$244):INDEX($T$19:$T$93,ID$244+$FN296-1)))</f>
        <v>0.55024787456626145</v>
      </c>
      <c r="IE296" s="469">
        <f ca="1">IF($FN296+IE$244&gt;73,"",PRODUCT(INDEX($T$19:$T$93,IE$244):INDEX($T$19:$T$93,IE$244+$FN296-1)))</f>
        <v>0.51224141325601491</v>
      </c>
      <c r="IF296" s="469">
        <f ca="1">IF($FN296+IF$244&gt;73,"",PRODUCT(INDEX($T$19:$T$93,IF$244):INDEX($T$19:$T$93,IF$244+$FN296-1)))</f>
        <v>0.47235194451578066</v>
      </c>
      <c r="IG296" s="469">
        <f ca="1">IF($FN296+IG$244&gt;73,"",PRODUCT(INDEX($T$19:$T$93,IG$244):INDEX($T$19:$T$93,IG$244+$FN296-1)))</f>
        <v>0.430789501580703</v>
      </c>
      <c r="IH296" s="662">
        <f ca="1">IF($FN296+IH$244&gt;73,"",PRODUCT(INDEX($T$19:$T$93,IH$244):INDEX($T$19:$T$93,IH$244+$FN296-1)))</f>
        <v>0.38785101079812034</v>
      </c>
      <c r="II296" s="242"/>
    </row>
    <row r="297" spans="9:243">
      <c r="I297" s="132"/>
      <c r="J297" s="365"/>
      <c r="K297" s="133"/>
      <c r="L297" s="1"/>
      <c r="M297" s="366"/>
      <c r="P297" s="365"/>
      <c r="S297" s="53"/>
      <c r="T297" s="365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364">
        <v>6.5026946715485201E-2</v>
      </c>
      <c r="AP297" s="1"/>
      <c r="AQ297" s="364">
        <v>5.8293294252739006E-2</v>
      </c>
      <c r="AR297" s="1"/>
      <c r="AS297" s="1"/>
      <c r="AT297" s="103"/>
      <c r="AU297" s="103"/>
      <c r="AV297" s="103"/>
      <c r="AW297" s="31"/>
      <c r="AX297" s="31"/>
      <c r="AY297" s="31"/>
      <c r="AZ297" s="31"/>
      <c r="BA297" s="146"/>
      <c r="BB297" s="146"/>
      <c r="BC297" s="103"/>
      <c r="BD297" s="103"/>
      <c r="BE297" s="103"/>
      <c r="BF297" s="104"/>
      <c r="BG297" s="104"/>
      <c r="BH297" s="104"/>
      <c r="BI297" s="102"/>
      <c r="BJ297" s="104"/>
      <c r="BK297" s="104"/>
      <c r="BL297" s="103"/>
      <c r="BM297" s="103"/>
      <c r="BN297" s="103"/>
      <c r="BO297" s="103"/>
      <c r="BP297" s="103"/>
      <c r="BQ297" s="103"/>
      <c r="BR297" s="103"/>
      <c r="BS297" s="103"/>
      <c r="BT297" s="103"/>
      <c r="BU297" s="103"/>
      <c r="BV297" s="103"/>
      <c r="BW297" s="103"/>
      <c r="BX297" s="103"/>
      <c r="BY297" s="103"/>
      <c r="BZ297" s="103"/>
      <c r="CA297" s="103"/>
      <c r="CB297" s="104"/>
      <c r="CC297" s="104"/>
      <c r="CD297" s="104"/>
      <c r="CE297" s="104"/>
      <c r="CF297" s="104"/>
      <c r="CG297" s="104"/>
      <c r="CH297" s="103"/>
      <c r="CI297" s="103"/>
      <c r="CJ297" s="103"/>
      <c r="CK297" s="103"/>
      <c r="CL297" s="103"/>
      <c r="CM297" s="103"/>
      <c r="CN297" s="103"/>
      <c r="CO297" s="103"/>
      <c r="CP297" s="103"/>
      <c r="CQ297" s="103"/>
      <c r="CR297" s="103"/>
      <c r="CS297" s="103"/>
      <c r="CT297" s="103"/>
      <c r="CU297" s="103"/>
      <c r="CV297" s="103"/>
      <c r="CW297" s="103"/>
      <c r="CX297" s="103"/>
      <c r="CY297" s="103"/>
      <c r="CZ297" s="103"/>
      <c r="DA297" s="103"/>
      <c r="DB297" s="103"/>
      <c r="DC297" s="103"/>
      <c r="DD297" s="103"/>
      <c r="DE297" s="103"/>
      <c r="DF297" s="465"/>
      <c r="DG297" s="107"/>
      <c r="DH297" s="107"/>
      <c r="DI297" s="465"/>
      <c r="DJ297" s="51"/>
      <c r="DK297" s="52"/>
      <c r="DL297" s="52"/>
      <c r="DM297" s="52"/>
      <c r="DN297" s="52"/>
      <c r="DO297" s="52"/>
      <c r="DP297" s="52"/>
      <c r="DQ297" s="52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P297" s="53"/>
      <c r="EQ297" s="1"/>
      <c r="ER297" s="103"/>
      <c r="ES297" s="102"/>
      <c r="ET297" s="1"/>
      <c r="EU297" s="103"/>
      <c r="EV297" s="1"/>
      <c r="EW297" s="1"/>
      <c r="EX297" s="1"/>
      <c r="EY297" s="104"/>
      <c r="FN297" s="657">
        <v>53</v>
      </c>
      <c r="FO297" s="469" t="str">
        <f ca="1">IF($FN297+FO$244&gt;73,"",PRODUCT(INDEX($T$19:$T$93,FO$244):INDEX($T$19:$T$93,FO$244+$FN297-1)))</f>
        <v/>
      </c>
      <c r="FP297" s="469" t="str">
        <f ca="1">IF($FN297+FP$244&gt;73,"",PRODUCT(INDEX($T$19:$T$93,FP$244):INDEX($T$19:$T$93,FP$244+$FN297-1)))</f>
        <v/>
      </c>
      <c r="FQ297" s="469" t="str">
        <f ca="1">IF($FN297+FQ$244&gt;73,"",PRODUCT(INDEX($T$19:$T$93,FQ$244):INDEX($T$19:$T$93,FQ$244+$FN297-1)))</f>
        <v/>
      </c>
      <c r="FR297" s="469" t="str">
        <f ca="1">IF($FN297+FR$244&gt;73,"",PRODUCT(INDEX($T$19:$T$93,FR$244):INDEX($T$19:$T$93,FR$244+$FN297-1)))</f>
        <v/>
      </c>
      <c r="FS297" s="469" t="str">
        <f ca="1">IF($FN297+FS$244&gt;73,"",PRODUCT(INDEX($T$19:$T$93,FS$244):INDEX($T$19:$T$93,FS$244+$FN297-1)))</f>
        <v/>
      </c>
      <c r="FT297" s="469" t="str">
        <f ca="1">IF($FN297+FT$244&gt;73,"",PRODUCT(INDEX($T$19:$T$93,FT$244):INDEX($T$19:$T$93,FT$244+$FN297-1)))</f>
        <v/>
      </c>
      <c r="FU297" s="469" t="str">
        <f ca="1">IF($FN297+FU$244&gt;73,"",PRODUCT(INDEX($T$19:$T$93,FU$244):INDEX($T$19:$T$93,FU$244+$FN297-1)))</f>
        <v/>
      </c>
      <c r="FV297" s="469" t="str">
        <f ca="1">IF($FN297+FV$244&gt;73,"",PRODUCT(INDEX($T$19:$T$93,FV$244):INDEX($T$19:$T$93,FV$244+$FN297-1)))</f>
        <v/>
      </c>
      <c r="FW297" s="469" t="str">
        <f ca="1">IF($FN297+FW$244&gt;73,"",PRODUCT(INDEX($T$19:$T$93,FW$244):INDEX($T$19:$T$93,FW$244+$FN297-1)))</f>
        <v/>
      </c>
      <c r="FX297" s="469" t="str">
        <f ca="1">IF($FN297+FX$244&gt;73,"",PRODUCT(INDEX($T$19:$T$93,FX$244):INDEX($T$19:$T$93,FX$244+$FN297-1)))</f>
        <v/>
      </c>
      <c r="FY297" s="469" t="str">
        <f ca="1">IF($FN297+FY$244&gt;73,"",PRODUCT(INDEX($T$19:$T$93,FY$244):INDEX($T$19:$T$93,FY$244+$FN297-1)))</f>
        <v/>
      </c>
      <c r="FZ297" s="469" t="str">
        <f ca="1">IF($FN297+FZ$244&gt;73,"",PRODUCT(INDEX($T$19:$T$93,FZ$244):INDEX($T$19:$T$93,FZ$244+$FN297-1)))</f>
        <v/>
      </c>
      <c r="GA297" s="469" t="str">
        <f ca="1">IF($FN297+GA$244&gt;73,"",PRODUCT(INDEX($T$19:$T$93,GA$244):INDEX($T$19:$T$93,GA$244+$FN297-1)))</f>
        <v/>
      </c>
      <c r="GB297" s="469" t="str">
        <f ca="1">IF($FN297+GB$244&gt;73,"",PRODUCT(INDEX($T$19:$T$93,GB$244):INDEX($T$19:$T$93,GB$244+$FN297-1)))</f>
        <v/>
      </c>
      <c r="GC297" s="469" t="str">
        <f ca="1">IF($FN297+GC$244&gt;73,"",PRODUCT(INDEX($T$19:$T$93,GC$244):INDEX($T$19:$T$93,GC$244+$FN297-1)))</f>
        <v/>
      </c>
      <c r="GD297" s="469" t="str">
        <f ca="1">IF($FN297+GD$244&gt;73,"",PRODUCT(INDEX($T$19:$T$93,GD$244):INDEX($T$19:$T$93,GD$244+$FN297-1)))</f>
        <v/>
      </c>
      <c r="GE297" s="469" t="str">
        <f ca="1">IF($FN297+GE$244&gt;73,"",PRODUCT(INDEX($T$19:$T$93,GE$244):INDEX($T$19:$T$93,GE$244+$FN297-1)))</f>
        <v/>
      </c>
      <c r="GF297" s="469" t="str">
        <f ca="1">IF($FN297+GF$244&gt;73,"",PRODUCT(INDEX($T$19:$T$93,GF$244):INDEX($T$19:$T$93,GF$244+$FN297-1)))</f>
        <v/>
      </c>
      <c r="GG297" s="469" t="str">
        <f ca="1">IF($FN297+GG$244&gt;73,"",PRODUCT(INDEX($T$19:$T$93,GG$244):INDEX($T$19:$T$93,GG$244+$FN297-1)))</f>
        <v/>
      </c>
      <c r="GH297" s="469" t="str">
        <f ca="1">IF($FN297+GH$244&gt;73,"",PRODUCT(INDEX($T$19:$T$93,GH$244):INDEX($T$19:$T$93,GH$244+$FN297-1)))</f>
        <v/>
      </c>
      <c r="GI297" s="469" t="str">
        <f ca="1">IF($FN297+GI$244&gt;73,"",PRODUCT(INDEX($T$19:$T$93,GI$244):INDEX($T$19:$T$93,GI$244+$FN297-1)))</f>
        <v/>
      </c>
      <c r="GJ297" s="469" t="str">
        <f ca="1">IF($FN297+GJ$244&gt;73,"",PRODUCT(INDEX($T$19:$T$93,GJ$244):INDEX($T$19:$T$93,GJ$244+$FN297-1)))</f>
        <v/>
      </c>
      <c r="GK297" s="469" t="str">
        <f ca="1">IF($FN297+GK$244&gt;73,"",PRODUCT(INDEX($T$19:$T$93,GK$244):INDEX($T$19:$T$93,GK$244+$FN297-1)))</f>
        <v/>
      </c>
      <c r="GL297" s="469" t="str">
        <f ca="1">IF($FN297+GL$244&gt;73,"",PRODUCT(INDEX($T$19:$T$93,GL$244):INDEX($T$19:$T$93,GL$244+$FN297-1)))</f>
        <v/>
      </c>
      <c r="GM297" s="469" t="str">
        <f ca="1">IF($FN297+GM$244&gt;73,"",PRODUCT(INDEX($T$19:$T$93,GM$244):INDEX($T$19:$T$93,GM$244+$FN297-1)))</f>
        <v/>
      </c>
      <c r="GN297" s="469" t="str">
        <f ca="1">IF($FN297+GN$244&gt;73,"",PRODUCT(INDEX($T$19:$T$93,GN$244):INDEX($T$19:$T$93,GN$244+$FN297-1)))</f>
        <v/>
      </c>
      <c r="GO297" s="469" t="str">
        <f ca="1">IF($FN297+GO$244&gt;73,"",PRODUCT(INDEX($T$19:$T$93,GO$244):INDEX($T$19:$T$93,GO$244+$FN297-1)))</f>
        <v/>
      </c>
      <c r="GP297" s="469" t="str">
        <f ca="1">IF($FN297+GP$244&gt;73,"",PRODUCT(INDEX($T$19:$T$93,GP$244):INDEX($T$19:$T$93,GP$244+$FN297-1)))</f>
        <v/>
      </c>
      <c r="GQ297" s="469" t="str">
        <f ca="1">IF($FN297+GQ$244&gt;73,"",PRODUCT(INDEX($T$19:$T$93,GQ$244):INDEX($T$19:$T$93,GQ$244+$FN297-1)))</f>
        <v/>
      </c>
      <c r="GR297" s="469" t="str">
        <f ca="1">IF($FN297+GR$244&gt;73,"",PRODUCT(INDEX($T$19:$T$93,GR$244):INDEX($T$19:$T$93,GR$244+$FN297-1)))</f>
        <v/>
      </c>
      <c r="GS297" s="469" t="str">
        <f ca="1">IF($FN297+GS$244&gt;73,"",PRODUCT(INDEX($T$19:$T$93,GS$244):INDEX($T$19:$T$93,GS$244+$FN297-1)))</f>
        <v/>
      </c>
      <c r="GT297" s="469" t="str">
        <f ca="1">IF($FN297+GT$244&gt;73,"",PRODUCT(INDEX($T$19:$T$93,GT$244):INDEX($T$19:$T$93,GT$244+$FN297-1)))</f>
        <v/>
      </c>
      <c r="GU297" s="469" t="str">
        <f ca="1">IF($FN297+GU$244&gt;73,"",PRODUCT(INDEX($T$19:$T$93,GU$244):INDEX($T$19:$T$93,GU$244+$FN297-1)))</f>
        <v/>
      </c>
      <c r="GV297" s="469" t="str">
        <f ca="1">IF($FN297+GV$244&gt;73,"",PRODUCT(INDEX($T$19:$T$93,GV$244):INDEX($T$19:$T$93,GV$244+$FN297-1)))</f>
        <v/>
      </c>
      <c r="GW297" s="469" t="str">
        <f ca="1">IF($FN297+GW$244&gt;73,"",PRODUCT(INDEX($T$19:$T$93,GW$244):INDEX($T$19:$T$93,GW$244+$FN297-1)))</f>
        <v/>
      </c>
      <c r="GX297" s="469" t="str">
        <f ca="1">IF($FN297+GX$244&gt;73,"",PRODUCT(INDEX($T$19:$T$93,GX$244):INDEX($T$19:$T$93,GX$244+$FN297-1)))</f>
        <v/>
      </c>
      <c r="GY297" s="469" t="str">
        <f ca="1">IF($FN297+GY$244&gt;73,"",PRODUCT(INDEX($T$19:$T$93,GY$244):INDEX($T$19:$T$93,GY$244+$FN297-1)))</f>
        <v/>
      </c>
      <c r="GZ297" s="469" t="str">
        <f ca="1">IF($FN297+GZ$244&gt;73,"",PRODUCT(INDEX($T$19:$T$93,GZ$244):INDEX($T$19:$T$93,GZ$244+$FN297-1)))</f>
        <v/>
      </c>
      <c r="HA297" s="469" t="str">
        <f ca="1">IF($FN297+HA$244&gt;73,"",PRODUCT(INDEX($T$19:$T$93,HA$244):INDEX($T$19:$T$93,HA$244+$FN297-1)))</f>
        <v/>
      </c>
      <c r="HB297" s="469" t="str">
        <f ca="1">IF($FN297+HB$244&gt;73,"",PRODUCT(INDEX($T$19:$T$93,HB$244):INDEX($T$19:$T$93,HB$244+$FN297-1)))</f>
        <v/>
      </c>
      <c r="HC297" s="469" t="str">
        <f ca="1">IF($FN297+HC$244&gt;73,"",PRODUCT(INDEX($T$19:$T$93,HC$244):INDEX($T$19:$T$93,HC$244+$FN297-1)))</f>
        <v/>
      </c>
      <c r="HD297" s="469" t="str">
        <f ca="1">IF($FN297+HD$244&gt;73,"",PRODUCT(INDEX($T$19:$T$93,HD$244):INDEX($T$19:$T$93,HD$244+$FN297-1)))</f>
        <v/>
      </c>
      <c r="HE297" s="469" t="str">
        <f ca="1">IF($FN297+HE$244&gt;73,"",PRODUCT(INDEX($T$19:$T$93,HE$244):INDEX($T$19:$T$93,HE$244+$FN297-1)))</f>
        <v/>
      </c>
      <c r="HF297" s="469" t="str">
        <f ca="1">IF($FN297+HF$244&gt;73,"",PRODUCT(INDEX($T$19:$T$93,HF$244):INDEX($T$19:$T$93,HF$244+$FN297-1)))</f>
        <v/>
      </c>
      <c r="HG297" s="469" t="str">
        <f ca="1">IF($FN297+HG$244&gt;73,"",PRODUCT(INDEX($T$19:$T$93,HG$244):INDEX($T$19:$T$93,HG$244+$FN297-1)))</f>
        <v/>
      </c>
      <c r="HH297" s="469" t="str">
        <f ca="1">IF($FN297+HH$244&gt;73,"",PRODUCT(INDEX($T$19:$T$93,HH$244):INDEX($T$19:$T$93,HH$244+$FN297-1)))</f>
        <v/>
      </c>
      <c r="HI297" s="469" t="str">
        <f ca="1">IF($FN297+HI$244&gt;73,"",PRODUCT(INDEX($T$19:$T$93,HI$244):INDEX($T$19:$T$93,HI$244+$FN297-1)))</f>
        <v/>
      </c>
      <c r="HJ297" s="469" t="str">
        <f ca="1">IF($FN297+HJ$244&gt;73,"",PRODUCT(INDEX($T$19:$T$93,HJ$244):INDEX($T$19:$T$93,HJ$244+$FN297-1)))</f>
        <v/>
      </c>
      <c r="HK297" s="469" t="str">
        <f ca="1">IF($FN297+HK$244&gt;73,"",PRODUCT(INDEX($T$19:$T$93,HK$244):INDEX($T$19:$T$93,HK$244+$FN297-1)))</f>
        <v/>
      </c>
      <c r="HL297" s="469" t="str">
        <f ca="1">IF($FN297+HL$244&gt;73,"",PRODUCT(INDEX($T$19:$T$93,HL$244):INDEX($T$19:$T$93,HL$244+$FN297-1)))</f>
        <v/>
      </c>
      <c r="HM297" s="469" t="str">
        <f ca="1">IF($FN297+HM$244&gt;73,"",PRODUCT(INDEX($T$19:$T$93,HM$244):INDEX($T$19:$T$93,HM$244+$FN297-1)))</f>
        <v/>
      </c>
      <c r="HN297" s="469" t="str">
        <f ca="1">IF($FN297+HN$244&gt;73,"",PRODUCT(INDEX($T$19:$T$93,HN$244):INDEX($T$19:$T$93,HN$244+$FN297-1)))</f>
        <v/>
      </c>
      <c r="HO297" s="469">
        <f ca="1">IF($FN297+HO$244&gt;73,"",PRODUCT(INDEX($T$19:$T$93,HO$244):INDEX($T$19:$T$93,HO$244+$FN297-1)))</f>
        <v>0.88902922259665518</v>
      </c>
      <c r="HP297" s="469">
        <f ca="1">IF($FN297+HP$244&gt;73,"",PRODUCT(INDEX($T$19:$T$93,HP$244):INDEX($T$19:$T$93,HP$244+$FN297-1)))</f>
        <v>0.87737258993868694</v>
      </c>
      <c r="HQ297" s="469">
        <f ca="1">IF($FN297+HQ$244&gt;73,"",PRODUCT(INDEX($T$19:$T$93,HQ$244):INDEX($T$19:$T$93,HQ$244+$FN297-1)))</f>
        <v>0.86457033518503978</v>
      </c>
      <c r="HR297" s="469">
        <f ca="1">IF($FN297+HR$244&gt;73,"",PRODUCT(INDEX($T$19:$T$93,HR$244):INDEX($T$19:$T$93,HR$244+$FN297-1)))</f>
        <v>0.85052747362010794</v>
      </c>
      <c r="HS297" s="469">
        <f ca="1">IF($FN297+HS$244&gt;73,"",PRODUCT(INDEX($T$19:$T$93,HS$244):INDEX($T$19:$T$93,HS$244+$FN297-1)))</f>
        <v>0.83514515536725442</v>
      </c>
      <c r="HT297" s="469">
        <f ca="1">IF($FN297+HT$244&gt;73,"",PRODUCT(INDEX($T$19:$T$93,HT$244):INDEX($T$19:$T$93,HT$244+$FN297-1)))</f>
        <v>0.81832153179417111</v>
      </c>
      <c r="HU297" s="469">
        <f ca="1">IF($FN297+HU$244&gt;73,"",PRODUCT(INDEX($T$19:$T$93,HU$244):INDEX($T$19:$T$93,HU$244+$FN297-1)))</f>
        <v>0.7999529435127184</v>
      </c>
      <c r="HV297" s="469">
        <f ca="1">IF($FN297+HV$244&gt;73,"",PRODUCT(INDEX($T$19:$T$93,HV$244):INDEX($T$19:$T$93,HV$244+$FN297-1)))</f>
        <v>0.77993549803496554</v>
      </c>
      <c r="HW297" s="469">
        <f ca="1">IF($FN297+HW$244&gt;73,"",PRODUCT(INDEX($T$19:$T$93,HW$244):INDEX($T$19:$T$93,HW$244+$FN297-1)))</f>
        <v>0.75816711569690898</v>
      </c>
      <c r="HX297" s="469">
        <f ca="1">IF($FN297+HX$244&gt;73,"",PRODUCT(INDEX($T$19:$T$93,HX$244):INDEX($T$19:$T$93,HX$244+$FN297-1)))</f>
        <v>0.73455013404487579</v>
      </c>
      <c r="HY297" s="469">
        <f ca="1">IF($FN297+HY$244&gt;73,"",PRODUCT(INDEX($T$19:$T$93,HY$244):INDEX($T$19:$T$93,HY$244+$FN297-1)))</f>
        <v>0.70899457339186889</v>
      </c>
      <c r="HZ297" s="469">
        <f ca="1">IF($FN297+HZ$244&gt;73,"",PRODUCT(INDEX($T$19:$T$93,HZ$244):INDEX($T$19:$T$93,HZ$244+$FN297-1)))</f>
        <v>0.68142217937872329</v>
      </c>
      <c r="IA297" s="469">
        <f ca="1">IF($FN297+IA$244&gt;73,"",PRODUCT(INDEX($T$19:$T$93,IA$244):INDEX($T$19:$T$93,IA$244+$FN297-1)))</f>
        <v>0.65177137138600971</v>
      </c>
      <c r="IB297" s="469">
        <f ca="1">IF($FN297+IB$244&gt;73,"",PRODUCT(INDEX($T$19:$T$93,IB$244):INDEX($T$19:$T$93,IB$244+$FN297-1)))</f>
        <v>0.62000323700369109</v>
      </c>
      <c r="IC297" s="469">
        <f ca="1">IF($FN297+IC$244&gt;73,"",PRODUCT(INDEX($T$19:$T$93,IC$244):INDEX($T$19:$T$93,IC$244+$FN297-1)))</f>
        <v>0.58610871947968834</v>
      </c>
      <c r="ID297" s="469">
        <f ca="1">IF($FN297+ID$244&gt;73,"",PRODUCT(INDEX($T$19:$T$93,ID$244):INDEX($T$19:$T$93,ID$244+$FN297-1)))</f>
        <v>0.55011714157778691</v>
      </c>
      <c r="IE297" s="469">
        <f ca="1">IF($FN297+IE$244&gt;73,"",PRODUCT(INDEX($T$19:$T$93,IE$244):INDEX($T$19:$T$93,IE$244+$FN297-1)))</f>
        <v>0.51210618573237265</v>
      </c>
      <c r="IF297" s="469">
        <f ca="1">IF($FN297+IF$244&gt;73,"",PRODUCT(INDEX($T$19:$T$93,IF$244):INDEX($T$19:$T$93,IF$244+$FN297-1)))</f>
        <v>0.47221339008472524</v>
      </c>
      <c r="IG297" s="469">
        <f ca="1">IF($FN297+IG$244&gt;73,"",PRODUCT(INDEX($T$19:$T$93,IG$244):INDEX($T$19:$T$93,IG$244+$FN297-1)))</f>
        <v>0.43064909582121358</v>
      </c>
      <c r="IH297" s="662">
        <f ca="1">IF($FN297+IH$244&gt;73,"",PRODUCT(INDEX($T$19:$T$93,IH$244):INDEX($T$19:$T$93,IH$244+$FN297-1)))</f>
        <v>0.38771055142263289</v>
      </c>
      <c r="II297" s="242"/>
    </row>
    <row r="298" spans="9:243">
      <c r="I298" s="132"/>
      <c r="J298" s="365"/>
      <c r="K298" s="133"/>
      <c r="L298" s="1"/>
      <c r="M298" s="366"/>
      <c r="P298" s="365"/>
      <c r="S298" s="53"/>
      <c r="T298" s="365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364">
        <v>6.5037251014790104E-2</v>
      </c>
      <c r="AP298" s="1"/>
      <c r="AQ298" s="364">
        <v>5.8255329124902402E-2</v>
      </c>
      <c r="AR298" s="1"/>
      <c r="AS298" s="1"/>
      <c r="AT298" s="103"/>
      <c r="AU298" s="103"/>
      <c r="AV298" s="103"/>
      <c r="AW298" s="31"/>
      <c r="AX298" s="31"/>
      <c r="AY298" s="31"/>
      <c r="AZ298" s="31"/>
      <c r="BA298" s="146"/>
      <c r="BB298" s="146"/>
      <c r="BC298" s="103"/>
      <c r="BD298" s="103"/>
      <c r="BE298" s="103"/>
      <c r="BF298" s="104"/>
      <c r="BG298" s="104"/>
      <c r="BH298" s="104"/>
      <c r="BI298" s="102"/>
      <c r="BJ298" s="104"/>
      <c r="BK298" s="104"/>
      <c r="BL298" s="103"/>
      <c r="BM298" s="103"/>
      <c r="BN298" s="103"/>
      <c r="BO298" s="103"/>
      <c r="BP298" s="103"/>
      <c r="BQ298" s="103"/>
      <c r="BR298" s="103"/>
      <c r="BS298" s="103"/>
      <c r="BT298" s="103"/>
      <c r="BU298" s="103"/>
      <c r="BV298" s="103"/>
      <c r="BW298" s="103"/>
      <c r="BX298" s="103"/>
      <c r="BY298" s="103"/>
      <c r="BZ298" s="103"/>
      <c r="CA298" s="103"/>
      <c r="CB298" s="104"/>
      <c r="CC298" s="104"/>
      <c r="CD298" s="104"/>
      <c r="CE298" s="104"/>
      <c r="CF298" s="104"/>
      <c r="CG298" s="104"/>
      <c r="CH298" s="103"/>
      <c r="CI298" s="103"/>
      <c r="CJ298" s="103"/>
      <c r="CK298" s="103"/>
      <c r="CL298" s="103"/>
      <c r="CM298" s="103"/>
      <c r="CN298" s="103"/>
      <c r="CO298" s="103"/>
      <c r="CP298" s="103"/>
      <c r="CQ298" s="103"/>
      <c r="CR298" s="103"/>
      <c r="CS298" s="103"/>
      <c r="CT298" s="103"/>
      <c r="CU298" s="103"/>
      <c r="CV298" s="103"/>
      <c r="CW298" s="103"/>
      <c r="CX298" s="103"/>
      <c r="CY298" s="103"/>
      <c r="CZ298" s="103"/>
      <c r="DA298" s="103"/>
      <c r="DB298" s="103"/>
      <c r="DC298" s="103"/>
      <c r="DD298" s="103"/>
      <c r="DE298" s="103"/>
      <c r="DF298" s="465"/>
      <c r="DG298" s="107"/>
      <c r="DH298" s="107"/>
      <c r="DI298" s="465"/>
      <c r="DJ298" s="51"/>
      <c r="DK298" s="52"/>
      <c r="DL298" s="52"/>
      <c r="DM298" s="52"/>
      <c r="DN298" s="52"/>
      <c r="DO298" s="52"/>
      <c r="DP298" s="52"/>
      <c r="DQ298" s="52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P298" s="53"/>
      <c r="EQ298" s="1"/>
      <c r="ER298" s="103"/>
      <c r="ES298" s="102"/>
      <c r="ET298" s="1"/>
      <c r="EU298" s="103"/>
      <c r="EV298" s="1"/>
      <c r="EW298" s="1"/>
      <c r="EX298" s="1"/>
      <c r="EY298" s="104"/>
      <c r="FN298" s="657">
        <v>54</v>
      </c>
      <c r="FO298" s="469" t="str">
        <f ca="1">IF($FN298+FO$244&gt;73,"",PRODUCT(INDEX($T$19:$T$93,FO$244):INDEX($T$19:$T$93,FO$244+$FN298-1)))</f>
        <v/>
      </c>
      <c r="FP298" s="469" t="str">
        <f ca="1">IF($FN298+FP$244&gt;73,"",PRODUCT(INDEX($T$19:$T$93,FP$244):INDEX($T$19:$T$93,FP$244+$FN298-1)))</f>
        <v/>
      </c>
      <c r="FQ298" s="469" t="str">
        <f ca="1">IF($FN298+FQ$244&gt;73,"",PRODUCT(INDEX($T$19:$T$93,FQ$244):INDEX($T$19:$T$93,FQ$244+$FN298-1)))</f>
        <v/>
      </c>
      <c r="FR298" s="469" t="str">
        <f ca="1">IF($FN298+FR$244&gt;73,"",PRODUCT(INDEX($T$19:$T$93,FR$244):INDEX($T$19:$T$93,FR$244+$FN298-1)))</f>
        <v/>
      </c>
      <c r="FS298" s="469" t="str">
        <f ca="1">IF($FN298+FS$244&gt;73,"",PRODUCT(INDEX($T$19:$T$93,FS$244):INDEX($T$19:$T$93,FS$244+$FN298-1)))</f>
        <v/>
      </c>
      <c r="FT298" s="469" t="str">
        <f ca="1">IF($FN298+FT$244&gt;73,"",PRODUCT(INDEX($T$19:$T$93,FT$244):INDEX($T$19:$T$93,FT$244+$FN298-1)))</f>
        <v/>
      </c>
      <c r="FU298" s="469" t="str">
        <f ca="1">IF($FN298+FU$244&gt;73,"",PRODUCT(INDEX($T$19:$T$93,FU$244):INDEX($T$19:$T$93,FU$244+$FN298-1)))</f>
        <v/>
      </c>
      <c r="FV298" s="469" t="str">
        <f ca="1">IF($FN298+FV$244&gt;73,"",PRODUCT(INDEX($T$19:$T$93,FV$244):INDEX($T$19:$T$93,FV$244+$FN298-1)))</f>
        <v/>
      </c>
      <c r="FW298" s="469" t="str">
        <f ca="1">IF($FN298+FW$244&gt;73,"",PRODUCT(INDEX($T$19:$T$93,FW$244):INDEX($T$19:$T$93,FW$244+$FN298-1)))</f>
        <v/>
      </c>
      <c r="FX298" s="469" t="str">
        <f ca="1">IF($FN298+FX$244&gt;73,"",PRODUCT(INDEX($T$19:$T$93,FX$244):INDEX($T$19:$T$93,FX$244+$FN298-1)))</f>
        <v/>
      </c>
      <c r="FY298" s="469" t="str">
        <f ca="1">IF($FN298+FY$244&gt;73,"",PRODUCT(INDEX($T$19:$T$93,FY$244):INDEX($T$19:$T$93,FY$244+$FN298-1)))</f>
        <v/>
      </c>
      <c r="FZ298" s="469" t="str">
        <f ca="1">IF($FN298+FZ$244&gt;73,"",PRODUCT(INDEX($T$19:$T$93,FZ$244):INDEX($T$19:$T$93,FZ$244+$FN298-1)))</f>
        <v/>
      </c>
      <c r="GA298" s="469" t="str">
        <f ca="1">IF($FN298+GA$244&gt;73,"",PRODUCT(INDEX($T$19:$T$93,GA$244):INDEX($T$19:$T$93,GA$244+$FN298-1)))</f>
        <v/>
      </c>
      <c r="GB298" s="469" t="str">
        <f ca="1">IF($FN298+GB$244&gt;73,"",PRODUCT(INDEX($T$19:$T$93,GB$244):INDEX($T$19:$T$93,GB$244+$FN298-1)))</f>
        <v/>
      </c>
      <c r="GC298" s="469" t="str">
        <f ca="1">IF($FN298+GC$244&gt;73,"",PRODUCT(INDEX($T$19:$T$93,GC$244):INDEX($T$19:$T$93,GC$244+$FN298-1)))</f>
        <v/>
      </c>
      <c r="GD298" s="469" t="str">
        <f ca="1">IF($FN298+GD$244&gt;73,"",PRODUCT(INDEX($T$19:$T$93,GD$244):INDEX($T$19:$T$93,GD$244+$FN298-1)))</f>
        <v/>
      </c>
      <c r="GE298" s="469" t="str">
        <f ca="1">IF($FN298+GE$244&gt;73,"",PRODUCT(INDEX($T$19:$T$93,GE$244):INDEX($T$19:$T$93,GE$244+$FN298-1)))</f>
        <v/>
      </c>
      <c r="GF298" s="469" t="str">
        <f ca="1">IF($FN298+GF$244&gt;73,"",PRODUCT(INDEX($T$19:$T$93,GF$244):INDEX($T$19:$T$93,GF$244+$FN298-1)))</f>
        <v/>
      </c>
      <c r="GG298" s="469" t="str">
        <f ca="1">IF($FN298+GG$244&gt;73,"",PRODUCT(INDEX($T$19:$T$93,GG$244):INDEX($T$19:$T$93,GG$244+$FN298-1)))</f>
        <v/>
      </c>
      <c r="GH298" s="469" t="str">
        <f ca="1">IF($FN298+GH$244&gt;73,"",PRODUCT(INDEX($T$19:$T$93,GH$244):INDEX($T$19:$T$93,GH$244+$FN298-1)))</f>
        <v/>
      </c>
      <c r="GI298" s="469" t="str">
        <f ca="1">IF($FN298+GI$244&gt;73,"",PRODUCT(INDEX($T$19:$T$93,GI$244):INDEX($T$19:$T$93,GI$244+$FN298-1)))</f>
        <v/>
      </c>
      <c r="GJ298" s="469" t="str">
        <f ca="1">IF($FN298+GJ$244&gt;73,"",PRODUCT(INDEX($T$19:$T$93,GJ$244):INDEX($T$19:$T$93,GJ$244+$FN298-1)))</f>
        <v/>
      </c>
      <c r="GK298" s="469" t="str">
        <f ca="1">IF($FN298+GK$244&gt;73,"",PRODUCT(INDEX($T$19:$T$93,GK$244):INDEX($T$19:$T$93,GK$244+$FN298-1)))</f>
        <v/>
      </c>
      <c r="GL298" s="469" t="str">
        <f ca="1">IF($FN298+GL$244&gt;73,"",PRODUCT(INDEX($T$19:$T$93,GL$244):INDEX($T$19:$T$93,GL$244+$FN298-1)))</f>
        <v/>
      </c>
      <c r="GM298" s="469" t="str">
        <f ca="1">IF($FN298+GM$244&gt;73,"",PRODUCT(INDEX($T$19:$T$93,GM$244):INDEX($T$19:$T$93,GM$244+$FN298-1)))</f>
        <v/>
      </c>
      <c r="GN298" s="469" t="str">
        <f ca="1">IF($FN298+GN$244&gt;73,"",PRODUCT(INDEX($T$19:$T$93,GN$244):INDEX($T$19:$T$93,GN$244+$FN298-1)))</f>
        <v/>
      </c>
      <c r="GO298" s="469" t="str">
        <f ca="1">IF($FN298+GO$244&gt;73,"",PRODUCT(INDEX($T$19:$T$93,GO$244):INDEX($T$19:$T$93,GO$244+$FN298-1)))</f>
        <v/>
      </c>
      <c r="GP298" s="469" t="str">
        <f ca="1">IF($FN298+GP$244&gt;73,"",PRODUCT(INDEX($T$19:$T$93,GP$244):INDEX($T$19:$T$93,GP$244+$FN298-1)))</f>
        <v/>
      </c>
      <c r="GQ298" s="469" t="str">
        <f ca="1">IF($FN298+GQ$244&gt;73,"",PRODUCT(INDEX($T$19:$T$93,GQ$244):INDEX($T$19:$T$93,GQ$244+$FN298-1)))</f>
        <v/>
      </c>
      <c r="GR298" s="469" t="str">
        <f ca="1">IF($FN298+GR$244&gt;73,"",PRODUCT(INDEX($T$19:$T$93,GR$244):INDEX($T$19:$T$93,GR$244+$FN298-1)))</f>
        <v/>
      </c>
      <c r="GS298" s="469" t="str">
        <f ca="1">IF($FN298+GS$244&gt;73,"",PRODUCT(INDEX($T$19:$T$93,GS$244):INDEX($T$19:$T$93,GS$244+$FN298-1)))</f>
        <v/>
      </c>
      <c r="GT298" s="469" t="str">
        <f ca="1">IF($FN298+GT$244&gt;73,"",PRODUCT(INDEX($T$19:$T$93,GT$244):INDEX($T$19:$T$93,GT$244+$FN298-1)))</f>
        <v/>
      </c>
      <c r="GU298" s="469" t="str">
        <f ca="1">IF($FN298+GU$244&gt;73,"",PRODUCT(INDEX($T$19:$T$93,GU$244):INDEX($T$19:$T$93,GU$244+$FN298-1)))</f>
        <v/>
      </c>
      <c r="GV298" s="469" t="str">
        <f ca="1">IF($FN298+GV$244&gt;73,"",PRODUCT(INDEX($T$19:$T$93,GV$244):INDEX($T$19:$T$93,GV$244+$FN298-1)))</f>
        <v/>
      </c>
      <c r="GW298" s="469" t="str">
        <f ca="1">IF($FN298+GW$244&gt;73,"",PRODUCT(INDEX($T$19:$T$93,GW$244):INDEX($T$19:$T$93,GW$244+$FN298-1)))</f>
        <v/>
      </c>
      <c r="GX298" s="469" t="str">
        <f ca="1">IF($FN298+GX$244&gt;73,"",PRODUCT(INDEX($T$19:$T$93,GX$244):INDEX($T$19:$T$93,GX$244+$FN298-1)))</f>
        <v/>
      </c>
      <c r="GY298" s="469" t="str">
        <f ca="1">IF($FN298+GY$244&gt;73,"",PRODUCT(INDEX($T$19:$T$93,GY$244):INDEX($T$19:$T$93,GY$244+$FN298-1)))</f>
        <v/>
      </c>
      <c r="GZ298" s="469" t="str">
        <f ca="1">IF($FN298+GZ$244&gt;73,"",PRODUCT(INDEX($T$19:$T$93,GZ$244):INDEX($T$19:$T$93,GZ$244+$FN298-1)))</f>
        <v/>
      </c>
      <c r="HA298" s="469" t="str">
        <f ca="1">IF($FN298+HA$244&gt;73,"",PRODUCT(INDEX($T$19:$T$93,HA$244):INDEX($T$19:$T$93,HA$244+$FN298-1)))</f>
        <v/>
      </c>
      <c r="HB298" s="469" t="str">
        <f ca="1">IF($FN298+HB$244&gt;73,"",PRODUCT(INDEX($T$19:$T$93,HB$244):INDEX($T$19:$T$93,HB$244+$FN298-1)))</f>
        <v/>
      </c>
      <c r="HC298" s="469" t="str">
        <f ca="1">IF($FN298+HC$244&gt;73,"",PRODUCT(INDEX($T$19:$T$93,HC$244):INDEX($T$19:$T$93,HC$244+$FN298-1)))</f>
        <v/>
      </c>
      <c r="HD298" s="469" t="str">
        <f ca="1">IF($FN298+HD$244&gt;73,"",PRODUCT(INDEX($T$19:$T$93,HD$244):INDEX($T$19:$T$93,HD$244+$FN298-1)))</f>
        <v/>
      </c>
      <c r="HE298" s="469" t="str">
        <f ca="1">IF($FN298+HE$244&gt;73,"",PRODUCT(INDEX($T$19:$T$93,HE$244):INDEX($T$19:$T$93,HE$244+$FN298-1)))</f>
        <v/>
      </c>
      <c r="HF298" s="469" t="str">
        <f ca="1">IF($FN298+HF$244&gt;73,"",PRODUCT(INDEX($T$19:$T$93,HF$244):INDEX($T$19:$T$93,HF$244+$FN298-1)))</f>
        <v/>
      </c>
      <c r="HG298" s="469" t="str">
        <f ca="1">IF($FN298+HG$244&gt;73,"",PRODUCT(INDEX($T$19:$T$93,HG$244):INDEX($T$19:$T$93,HG$244+$FN298-1)))</f>
        <v/>
      </c>
      <c r="HH298" s="469" t="str">
        <f ca="1">IF($FN298+HH$244&gt;73,"",PRODUCT(INDEX($T$19:$T$93,HH$244):INDEX($T$19:$T$93,HH$244+$FN298-1)))</f>
        <v/>
      </c>
      <c r="HI298" s="469" t="str">
        <f ca="1">IF($FN298+HI$244&gt;73,"",PRODUCT(INDEX($T$19:$T$93,HI$244):INDEX($T$19:$T$93,HI$244+$FN298-1)))</f>
        <v/>
      </c>
      <c r="HJ298" s="469" t="str">
        <f ca="1">IF($FN298+HJ$244&gt;73,"",PRODUCT(INDEX($T$19:$T$93,HJ$244):INDEX($T$19:$T$93,HJ$244+$FN298-1)))</f>
        <v/>
      </c>
      <c r="HK298" s="469" t="str">
        <f ca="1">IF($FN298+HK$244&gt;73,"",PRODUCT(INDEX($T$19:$T$93,HK$244):INDEX($T$19:$T$93,HK$244+$FN298-1)))</f>
        <v/>
      </c>
      <c r="HL298" s="469" t="str">
        <f ca="1">IF($FN298+HL$244&gt;73,"",PRODUCT(INDEX($T$19:$T$93,HL$244):INDEX($T$19:$T$93,HL$244+$FN298-1)))</f>
        <v/>
      </c>
      <c r="HM298" s="469" t="str">
        <f ca="1">IF($FN298+HM$244&gt;73,"",PRODUCT(INDEX($T$19:$T$93,HM$244):INDEX($T$19:$T$93,HM$244+$FN298-1)))</f>
        <v/>
      </c>
      <c r="HN298" s="469" t="str">
        <f ca="1">IF($FN298+HN$244&gt;73,"",PRODUCT(INDEX($T$19:$T$93,HN$244):INDEX($T$19:$T$93,HN$244+$FN298-1)))</f>
        <v/>
      </c>
      <c r="HO298" s="469" t="str">
        <f ca="1">IF($FN298+HO$244&gt;73,"",PRODUCT(INDEX($T$19:$T$93,HO$244):INDEX($T$19:$T$93,HO$244+$FN298-1)))</f>
        <v/>
      </c>
      <c r="HP298" s="469">
        <f ca="1">IF($FN298+HP$244&gt;73,"",PRODUCT(INDEX($T$19:$T$93,HP$244):INDEX($T$19:$T$93,HP$244+$FN298-1)))</f>
        <v>0.8773296752641061</v>
      </c>
      <c r="HQ298" s="469">
        <f ca="1">IF($FN298+HQ$244&gt;73,"",PRODUCT(INDEX($T$19:$T$93,HQ$244):INDEX($T$19:$T$93,HQ$244+$FN298-1)))</f>
        <v>0.86452334785303553</v>
      </c>
      <c r="HR298" s="469">
        <f ca="1">IF($FN298+HR$244&gt;73,"",PRODUCT(INDEX($T$19:$T$93,HR$244):INDEX($T$19:$T$93,HR$244+$FN298-1)))</f>
        <v>0.850476113310487</v>
      </c>
      <c r="HS298" s="469">
        <f ca="1">IF($FN298+HS$244&gt;73,"",PRODUCT(INDEX($T$19:$T$93,HS$244):INDEX($T$19:$T$93,HS$244+$FN298-1)))</f>
        <v>0.83508912025649729</v>
      </c>
      <c r="HT298" s="469">
        <f ca="1">IF($FN298+HT$244&gt;73,"",PRODUCT(INDEX($T$19:$T$93,HT$244):INDEX($T$19:$T$93,HT$244+$FN298-1)))</f>
        <v>0.81826052455132881</v>
      </c>
      <c r="HU298" s="469">
        <f ca="1">IF($FN298+HU$244&gt;73,"",PRODUCT(INDEX($T$19:$T$93,HU$244):INDEX($T$19:$T$93,HU$244+$FN298-1)))</f>
        <v>0.79988667897092924</v>
      </c>
      <c r="HV298" s="469">
        <f ca="1">IF($FN298+HV$244&gt;73,"",PRODUCT(INDEX($T$19:$T$93,HV$244):INDEX($T$19:$T$93,HV$244+$FN298-1)))</f>
        <v>0.77986371282175837</v>
      </c>
      <c r="HW298" s="469">
        <f ca="1">IF($FN298+HW$244&gt;73,"",PRODUCT(INDEX($T$19:$T$93,HW$244):INDEX($T$19:$T$93,HW$244+$FN298-1)))</f>
        <v>0.75808958011799832</v>
      </c>
      <c r="HX298" s="469">
        <f ca="1">IF($FN298+HX$244&gt;73,"",PRODUCT(INDEX($T$19:$T$93,HX$244):INDEX($T$19:$T$93,HX$244+$FN298-1)))</f>
        <v>0.73446666651207404</v>
      </c>
      <c r="HY298" s="469">
        <f ca="1">IF($FN298+HY$244&gt;73,"",PRODUCT(INDEX($T$19:$T$93,HY$244):INDEX($T$19:$T$93,HY$244+$FN298-1)))</f>
        <v>0.70890505765714185</v>
      </c>
      <c r="HZ298" s="469">
        <f ca="1">IF($FN298+HZ$244&gt;73,"",PRODUCT(INDEX($T$19:$T$93,HZ$244):INDEX($T$19:$T$93,HZ$244+$FN298-1)))</f>
        <v>0.68132658477102537</v>
      </c>
      <c r="IA298" s="469">
        <f ca="1">IF($FN298+IA$244&gt;73,"",PRODUCT(INDEX($T$19:$T$93,IA$244):INDEX($T$19:$T$93,IA$244+$FN298-1)))</f>
        <v>0.65166977612873245</v>
      </c>
      <c r="IB298" s="469">
        <f ca="1">IF($FN298+IB$244&gt;73,"",PRODUCT(INDEX($T$19:$T$93,IB$244):INDEX($T$19:$T$93,IB$244+$FN298-1)))</f>
        <v>0.61989585449627516</v>
      </c>
      <c r="IC298" s="469">
        <f ca="1">IF($FN298+IC$244&gt;73,"",PRODUCT(INDEX($T$19:$T$93,IC$244):INDEX($T$19:$T$93,IC$244+$FN298-1)))</f>
        <v>0.58599592712858317</v>
      </c>
      <c r="ID298" s="469">
        <f ca="1">IF($FN298+ID$244&gt;73,"",PRODUCT(INDEX($T$19:$T$93,ID$244):INDEX($T$19:$T$93,ID$244+$FN298-1)))</f>
        <v>0.54999951132367031</v>
      </c>
      <c r="IE298" s="469">
        <f ca="1">IF($FN298+IE$244&gt;73,"",PRODUCT(INDEX($T$19:$T$93,IE$244):INDEX($T$19:$T$93,IE$244+$FN298-1)))</f>
        <v>0.51198451479974094</v>
      </c>
      <c r="IF298" s="469">
        <f ca="1">IF($FN298+IF$244&gt;73,"",PRODUCT(INDEX($T$19:$T$93,IF$244):INDEX($T$19:$T$93,IF$244+$FN298-1)))</f>
        <v>0.47208872963026105</v>
      </c>
      <c r="IG298" s="469">
        <f ca="1">IF($FN298+IG$244&gt;73,"",PRODUCT(INDEX($T$19:$T$93,IG$244):INDEX($T$19:$T$93,IG$244+$FN298-1)))</f>
        <v>0.43052277403689826</v>
      </c>
      <c r="IH298" s="662">
        <f ca="1">IF($FN298+IH$244&gt;73,"",PRODUCT(INDEX($T$19:$T$93,IH$244):INDEX($T$19:$T$93,IH$244+$FN298-1)))</f>
        <v>0.38758418623909241</v>
      </c>
      <c r="II298" s="242"/>
    </row>
    <row r="299" spans="9:243">
      <c r="I299" s="132"/>
      <c r="J299" s="365"/>
      <c r="K299" s="133"/>
      <c r="L299" s="1"/>
      <c r="M299" s="366"/>
      <c r="P299" s="365"/>
      <c r="S299" s="53"/>
      <c r="T299" s="365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364">
        <v>6.5047898790775896E-2</v>
      </c>
      <c r="AP299" s="1"/>
      <c r="AQ299" s="364">
        <v>5.8216098503379096E-2</v>
      </c>
      <c r="AR299" s="1"/>
      <c r="AS299" s="1"/>
      <c r="AT299" s="103"/>
      <c r="AU299" s="103"/>
      <c r="AV299" s="103"/>
      <c r="AW299" s="31"/>
      <c r="AX299" s="31"/>
      <c r="AY299" s="31"/>
      <c r="AZ299" s="31"/>
      <c r="BA299" s="146"/>
      <c r="BB299" s="146"/>
      <c r="BC299" s="103"/>
      <c r="BD299" s="103"/>
      <c r="BE299" s="103"/>
      <c r="BF299" s="104"/>
      <c r="BG299" s="104"/>
      <c r="BH299" s="104"/>
      <c r="BI299" s="102"/>
      <c r="BJ299" s="104"/>
      <c r="BK299" s="104"/>
      <c r="BL299" s="103"/>
      <c r="BM299" s="103"/>
      <c r="BN299" s="103"/>
      <c r="BO299" s="103"/>
      <c r="BP299" s="103"/>
      <c r="BQ299" s="103"/>
      <c r="BR299" s="103"/>
      <c r="BS299" s="103"/>
      <c r="BT299" s="103"/>
      <c r="BU299" s="103"/>
      <c r="BV299" s="103"/>
      <c r="BW299" s="103"/>
      <c r="BX299" s="103"/>
      <c r="BY299" s="103"/>
      <c r="BZ299" s="103"/>
      <c r="CA299" s="103"/>
      <c r="CB299" s="104"/>
      <c r="CC299" s="104"/>
      <c r="CD299" s="104"/>
      <c r="CE299" s="104"/>
      <c r="CF299" s="104"/>
      <c r="CG299" s="104"/>
      <c r="CH299" s="103"/>
      <c r="CI299" s="103"/>
      <c r="CJ299" s="103"/>
      <c r="CK299" s="103"/>
      <c r="CL299" s="103"/>
      <c r="CM299" s="103"/>
      <c r="CN299" s="103"/>
      <c r="CO299" s="103"/>
      <c r="CP299" s="103"/>
      <c r="CQ299" s="103"/>
      <c r="CR299" s="103"/>
      <c r="CS299" s="103"/>
      <c r="CT299" s="103"/>
      <c r="CU299" s="103"/>
      <c r="CV299" s="103"/>
      <c r="CW299" s="103"/>
      <c r="CX299" s="103"/>
      <c r="CY299" s="103"/>
      <c r="CZ299" s="103"/>
      <c r="DA299" s="103"/>
      <c r="DB299" s="103"/>
      <c r="DC299" s="103"/>
      <c r="DD299" s="103"/>
      <c r="DE299" s="103"/>
      <c r="DF299" s="465"/>
      <c r="DG299" s="107"/>
      <c r="DH299" s="107"/>
      <c r="DI299" s="465"/>
      <c r="DJ299" s="51"/>
      <c r="DK299" s="52"/>
      <c r="DL299" s="52"/>
      <c r="DM299" s="52"/>
      <c r="DN299" s="52"/>
      <c r="DO299" s="52"/>
      <c r="DP299" s="52"/>
      <c r="DQ299" s="52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P299" s="53"/>
      <c r="EQ299" s="1"/>
      <c r="ER299" s="103"/>
      <c r="ES299" s="102"/>
      <c r="ET299" s="1"/>
      <c r="EU299" s="103"/>
      <c r="EV299" s="1"/>
      <c r="EW299" s="1"/>
      <c r="EX299" s="1"/>
      <c r="EY299" s="104"/>
      <c r="FN299" s="657">
        <v>55</v>
      </c>
      <c r="FO299" s="469" t="str">
        <f ca="1">IF($FN299+FO$244&gt;73,"",PRODUCT(INDEX($T$19:$T$93,FO$244):INDEX($T$19:$T$93,FO$244+$FN299-1)))</f>
        <v/>
      </c>
      <c r="FP299" s="469" t="str">
        <f ca="1">IF($FN299+FP$244&gt;73,"",PRODUCT(INDEX($T$19:$T$93,FP$244):INDEX($T$19:$T$93,FP$244+$FN299-1)))</f>
        <v/>
      </c>
      <c r="FQ299" s="469" t="str">
        <f ca="1">IF($FN299+FQ$244&gt;73,"",PRODUCT(INDEX($T$19:$T$93,FQ$244):INDEX($T$19:$T$93,FQ$244+$FN299-1)))</f>
        <v/>
      </c>
      <c r="FR299" s="469" t="str">
        <f ca="1">IF($FN299+FR$244&gt;73,"",PRODUCT(INDEX($T$19:$T$93,FR$244):INDEX($T$19:$T$93,FR$244+$FN299-1)))</f>
        <v/>
      </c>
      <c r="FS299" s="469" t="str">
        <f ca="1">IF($FN299+FS$244&gt;73,"",PRODUCT(INDEX($T$19:$T$93,FS$244):INDEX($T$19:$T$93,FS$244+$FN299-1)))</f>
        <v/>
      </c>
      <c r="FT299" s="469" t="str">
        <f ca="1">IF($FN299+FT$244&gt;73,"",PRODUCT(INDEX($T$19:$T$93,FT$244):INDEX($T$19:$T$93,FT$244+$FN299-1)))</f>
        <v/>
      </c>
      <c r="FU299" s="469" t="str">
        <f ca="1">IF($FN299+FU$244&gt;73,"",PRODUCT(INDEX($T$19:$T$93,FU$244):INDEX($T$19:$T$93,FU$244+$FN299-1)))</f>
        <v/>
      </c>
      <c r="FV299" s="469" t="str">
        <f ca="1">IF($FN299+FV$244&gt;73,"",PRODUCT(INDEX($T$19:$T$93,FV$244):INDEX($T$19:$T$93,FV$244+$FN299-1)))</f>
        <v/>
      </c>
      <c r="FW299" s="469" t="str">
        <f ca="1">IF($FN299+FW$244&gt;73,"",PRODUCT(INDEX($T$19:$T$93,FW$244):INDEX($T$19:$T$93,FW$244+$FN299-1)))</f>
        <v/>
      </c>
      <c r="FX299" s="469" t="str">
        <f ca="1">IF($FN299+FX$244&gt;73,"",PRODUCT(INDEX($T$19:$T$93,FX$244):INDEX($T$19:$T$93,FX$244+$FN299-1)))</f>
        <v/>
      </c>
      <c r="FY299" s="469" t="str">
        <f ca="1">IF($FN299+FY$244&gt;73,"",PRODUCT(INDEX($T$19:$T$93,FY$244):INDEX($T$19:$T$93,FY$244+$FN299-1)))</f>
        <v/>
      </c>
      <c r="FZ299" s="469" t="str">
        <f ca="1">IF($FN299+FZ$244&gt;73,"",PRODUCT(INDEX($T$19:$T$93,FZ$244):INDEX($T$19:$T$93,FZ$244+$FN299-1)))</f>
        <v/>
      </c>
      <c r="GA299" s="469" t="str">
        <f ca="1">IF($FN299+GA$244&gt;73,"",PRODUCT(INDEX($T$19:$T$93,GA$244):INDEX($T$19:$T$93,GA$244+$FN299-1)))</f>
        <v/>
      </c>
      <c r="GB299" s="469" t="str">
        <f ca="1">IF($FN299+GB$244&gt;73,"",PRODUCT(INDEX($T$19:$T$93,GB$244):INDEX($T$19:$T$93,GB$244+$FN299-1)))</f>
        <v/>
      </c>
      <c r="GC299" s="469" t="str">
        <f ca="1">IF($FN299+GC$244&gt;73,"",PRODUCT(INDEX($T$19:$T$93,GC$244):INDEX($T$19:$T$93,GC$244+$FN299-1)))</f>
        <v/>
      </c>
      <c r="GD299" s="469" t="str">
        <f ca="1">IF($FN299+GD$244&gt;73,"",PRODUCT(INDEX($T$19:$T$93,GD$244):INDEX($T$19:$T$93,GD$244+$FN299-1)))</f>
        <v/>
      </c>
      <c r="GE299" s="469" t="str">
        <f ca="1">IF($FN299+GE$244&gt;73,"",PRODUCT(INDEX($T$19:$T$93,GE$244):INDEX($T$19:$T$93,GE$244+$FN299-1)))</f>
        <v/>
      </c>
      <c r="GF299" s="469" t="str">
        <f ca="1">IF($FN299+GF$244&gt;73,"",PRODUCT(INDEX($T$19:$T$93,GF$244):INDEX($T$19:$T$93,GF$244+$FN299-1)))</f>
        <v/>
      </c>
      <c r="GG299" s="469" t="str">
        <f ca="1">IF($FN299+GG$244&gt;73,"",PRODUCT(INDEX($T$19:$T$93,GG$244):INDEX($T$19:$T$93,GG$244+$FN299-1)))</f>
        <v/>
      </c>
      <c r="GH299" s="469" t="str">
        <f ca="1">IF($FN299+GH$244&gt;73,"",PRODUCT(INDEX($T$19:$T$93,GH$244):INDEX($T$19:$T$93,GH$244+$FN299-1)))</f>
        <v/>
      </c>
      <c r="GI299" s="469" t="str">
        <f ca="1">IF($FN299+GI$244&gt;73,"",PRODUCT(INDEX($T$19:$T$93,GI$244):INDEX($T$19:$T$93,GI$244+$FN299-1)))</f>
        <v/>
      </c>
      <c r="GJ299" s="469" t="str">
        <f ca="1">IF($FN299+GJ$244&gt;73,"",PRODUCT(INDEX($T$19:$T$93,GJ$244):INDEX($T$19:$T$93,GJ$244+$FN299-1)))</f>
        <v/>
      </c>
      <c r="GK299" s="469" t="str">
        <f ca="1">IF($FN299+GK$244&gt;73,"",PRODUCT(INDEX($T$19:$T$93,GK$244):INDEX($T$19:$T$93,GK$244+$FN299-1)))</f>
        <v/>
      </c>
      <c r="GL299" s="469" t="str">
        <f ca="1">IF($FN299+GL$244&gt;73,"",PRODUCT(INDEX($T$19:$T$93,GL$244):INDEX($T$19:$T$93,GL$244+$FN299-1)))</f>
        <v/>
      </c>
      <c r="GM299" s="469" t="str">
        <f ca="1">IF($FN299+GM$244&gt;73,"",PRODUCT(INDEX($T$19:$T$93,GM$244):INDEX($T$19:$T$93,GM$244+$FN299-1)))</f>
        <v/>
      </c>
      <c r="GN299" s="469" t="str">
        <f ca="1">IF($FN299+GN$244&gt;73,"",PRODUCT(INDEX($T$19:$T$93,GN$244):INDEX($T$19:$T$93,GN$244+$FN299-1)))</f>
        <v/>
      </c>
      <c r="GO299" s="469" t="str">
        <f ca="1">IF($FN299+GO$244&gt;73,"",PRODUCT(INDEX($T$19:$T$93,GO$244):INDEX($T$19:$T$93,GO$244+$FN299-1)))</f>
        <v/>
      </c>
      <c r="GP299" s="469" t="str">
        <f ca="1">IF($FN299+GP$244&gt;73,"",PRODUCT(INDEX($T$19:$T$93,GP$244):INDEX($T$19:$T$93,GP$244+$FN299-1)))</f>
        <v/>
      </c>
      <c r="GQ299" s="469" t="str">
        <f ca="1">IF($FN299+GQ$244&gt;73,"",PRODUCT(INDEX($T$19:$T$93,GQ$244):INDEX($T$19:$T$93,GQ$244+$FN299-1)))</f>
        <v/>
      </c>
      <c r="GR299" s="469" t="str">
        <f ca="1">IF($FN299+GR$244&gt;73,"",PRODUCT(INDEX($T$19:$T$93,GR$244):INDEX($T$19:$T$93,GR$244+$FN299-1)))</f>
        <v/>
      </c>
      <c r="GS299" s="469" t="str">
        <f ca="1">IF($FN299+GS$244&gt;73,"",PRODUCT(INDEX($T$19:$T$93,GS$244):INDEX($T$19:$T$93,GS$244+$FN299-1)))</f>
        <v/>
      </c>
      <c r="GT299" s="469" t="str">
        <f ca="1">IF($FN299+GT$244&gt;73,"",PRODUCT(INDEX($T$19:$T$93,GT$244):INDEX($T$19:$T$93,GT$244+$FN299-1)))</f>
        <v/>
      </c>
      <c r="GU299" s="469" t="str">
        <f ca="1">IF($FN299+GU$244&gt;73,"",PRODUCT(INDEX($T$19:$T$93,GU$244):INDEX($T$19:$T$93,GU$244+$FN299-1)))</f>
        <v/>
      </c>
      <c r="GV299" s="469" t="str">
        <f ca="1">IF($FN299+GV$244&gt;73,"",PRODUCT(INDEX($T$19:$T$93,GV$244):INDEX($T$19:$T$93,GV$244+$FN299-1)))</f>
        <v/>
      </c>
      <c r="GW299" s="469" t="str">
        <f ca="1">IF($FN299+GW$244&gt;73,"",PRODUCT(INDEX($T$19:$T$93,GW$244):INDEX($T$19:$T$93,GW$244+$FN299-1)))</f>
        <v/>
      </c>
      <c r="GX299" s="469" t="str">
        <f ca="1">IF($FN299+GX$244&gt;73,"",PRODUCT(INDEX($T$19:$T$93,GX$244):INDEX($T$19:$T$93,GX$244+$FN299-1)))</f>
        <v/>
      </c>
      <c r="GY299" s="469" t="str">
        <f ca="1">IF($FN299+GY$244&gt;73,"",PRODUCT(INDEX($T$19:$T$93,GY$244):INDEX($T$19:$T$93,GY$244+$FN299-1)))</f>
        <v/>
      </c>
      <c r="GZ299" s="469" t="str">
        <f ca="1">IF($FN299+GZ$244&gt;73,"",PRODUCT(INDEX($T$19:$T$93,GZ$244):INDEX($T$19:$T$93,GZ$244+$FN299-1)))</f>
        <v/>
      </c>
      <c r="HA299" s="469" t="str">
        <f ca="1">IF($FN299+HA$244&gt;73,"",PRODUCT(INDEX($T$19:$T$93,HA$244):INDEX($T$19:$T$93,HA$244+$FN299-1)))</f>
        <v/>
      </c>
      <c r="HB299" s="469" t="str">
        <f ca="1">IF($FN299+HB$244&gt;73,"",PRODUCT(INDEX($T$19:$T$93,HB$244):INDEX($T$19:$T$93,HB$244+$FN299-1)))</f>
        <v/>
      </c>
      <c r="HC299" s="469" t="str">
        <f ca="1">IF($FN299+HC$244&gt;73,"",PRODUCT(INDEX($T$19:$T$93,HC$244):INDEX($T$19:$T$93,HC$244+$FN299-1)))</f>
        <v/>
      </c>
      <c r="HD299" s="469" t="str">
        <f ca="1">IF($FN299+HD$244&gt;73,"",PRODUCT(INDEX($T$19:$T$93,HD$244):INDEX($T$19:$T$93,HD$244+$FN299-1)))</f>
        <v/>
      </c>
      <c r="HE299" s="469" t="str">
        <f ca="1">IF($FN299+HE$244&gt;73,"",PRODUCT(INDEX($T$19:$T$93,HE$244):INDEX($T$19:$T$93,HE$244+$FN299-1)))</f>
        <v/>
      </c>
      <c r="HF299" s="469" t="str">
        <f ca="1">IF($FN299+HF$244&gt;73,"",PRODUCT(INDEX($T$19:$T$93,HF$244):INDEX($T$19:$T$93,HF$244+$FN299-1)))</f>
        <v/>
      </c>
      <c r="HG299" s="469" t="str">
        <f ca="1">IF($FN299+HG$244&gt;73,"",PRODUCT(INDEX($T$19:$T$93,HG$244):INDEX($T$19:$T$93,HG$244+$FN299-1)))</f>
        <v/>
      </c>
      <c r="HH299" s="469" t="str">
        <f ca="1">IF($FN299+HH$244&gt;73,"",PRODUCT(INDEX($T$19:$T$93,HH$244):INDEX($T$19:$T$93,HH$244+$FN299-1)))</f>
        <v/>
      </c>
      <c r="HI299" s="469" t="str">
        <f ca="1">IF($FN299+HI$244&gt;73,"",PRODUCT(INDEX($T$19:$T$93,HI$244):INDEX($T$19:$T$93,HI$244+$FN299-1)))</f>
        <v/>
      </c>
      <c r="HJ299" s="469" t="str">
        <f ca="1">IF($FN299+HJ$244&gt;73,"",PRODUCT(INDEX($T$19:$T$93,HJ$244):INDEX($T$19:$T$93,HJ$244+$FN299-1)))</f>
        <v/>
      </c>
      <c r="HK299" s="469" t="str">
        <f ca="1">IF($FN299+HK$244&gt;73,"",PRODUCT(INDEX($T$19:$T$93,HK$244):INDEX($T$19:$T$93,HK$244+$FN299-1)))</f>
        <v/>
      </c>
      <c r="HL299" s="469" t="str">
        <f ca="1">IF($FN299+HL$244&gt;73,"",PRODUCT(INDEX($T$19:$T$93,HL$244):INDEX($T$19:$T$93,HL$244+$FN299-1)))</f>
        <v/>
      </c>
      <c r="HM299" s="469" t="str">
        <f ca="1">IF($FN299+HM$244&gt;73,"",PRODUCT(INDEX($T$19:$T$93,HM$244):INDEX($T$19:$T$93,HM$244+$FN299-1)))</f>
        <v/>
      </c>
      <c r="HN299" s="469" t="str">
        <f ca="1">IF($FN299+HN$244&gt;73,"",PRODUCT(INDEX($T$19:$T$93,HN$244):INDEX($T$19:$T$93,HN$244+$FN299-1)))</f>
        <v/>
      </c>
      <c r="HO299" s="469" t="str">
        <f ca="1">IF($FN299+HO$244&gt;73,"",PRODUCT(INDEX($T$19:$T$93,HO$244):INDEX($T$19:$T$93,HO$244+$FN299-1)))</f>
        <v/>
      </c>
      <c r="HP299" s="469" t="str">
        <f ca="1">IF($FN299+HP$244&gt;73,"",PRODUCT(INDEX($T$19:$T$93,HP$244):INDEX($T$19:$T$93,HP$244+$FN299-1)))</f>
        <v/>
      </c>
      <c r="HQ299" s="469">
        <f ca="1">IF($FN299+HQ$244&gt;73,"",PRODUCT(INDEX($T$19:$T$93,HQ$244):INDEX($T$19:$T$93,HQ$244+$FN299-1)))</f>
        <v>0.86448106166975824</v>
      </c>
      <c r="HR299" s="469">
        <f ca="1">IF($FN299+HR$244&gt;73,"",PRODUCT(INDEX($T$19:$T$93,HR$244):INDEX($T$19:$T$93,HR$244+$FN299-1)))</f>
        <v>0.85042989196576635</v>
      </c>
      <c r="HS299" s="469">
        <f ca="1">IF($FN299+HS$244&gt;73,"",PRODUCT(INDEX($T$19:$T$93,HS$244):INDEX($T$19:$T$93,HS$244+$FN299-1)))</f>
        <v>0.83503869221377347</v>
      </c>
      <c r="HT299" s="469">
        <f ca="1">IF($FN299+HT$244&gt;73,"",PRODUCT(INDEX($T$19:$T$93,HT$244):INDEX($T$19:$T$93,HT$244+$FN299-1)))</f>
        <v>0.81820562233603522</v>
      </c>
      <c r="HU299" s="469">
        <f ca="1">IF($FN299+HU$244&gt;73,"",PRODUCT(INDEX($T$19:$T$93,HU$244):INDEX($T$19:$T$93,HU$244+$FN299-1)))</f>
        <v>0.7998270460772875</v>
      </c>
      <c r="HV299" s="469">
        <f ca="1">IF($FN299+HV$244&gt;73,"",PRODUCT(INDEX($T$19:$T$93,HV$244):INDEX($T$19:$T$93,HV$244+$FN299-1)))</f>
        <v>0.77979911238243604</v>
      </c>
      <c r="HW299" s="469">
        <f ca="1">IF($FN299+HW$244&gt;73,"",PRODUCT(INDEX($T$19:$T$93,HW$244):INDEX($T$19:$T$93,HW$244+$FN299-1)))</f>
        <v>0.75801980560167481</v>
      </c>
      <c r="HX299" s="469">
        <f ca="1">IF($FN299+HX$244&gt;73,"",PRODUCT(INDEX($T$19:$T$93,HX$244):INDEX($T$19:$T$93,HX$244+$FN299-1)))</f>
        <v>0.73439155471020401</v>
      </c>
      <c r="HY299" s="469">
        <f ca="1">IF($FN299+HY$244&gt;73,"",PRODUCT(INDEX($T$19:$T$93,HY$244):INDEX($T$19:$T$93,HY$244+$FN299-1)))</f>
        <v>0.70882450419535503</v>
      </c>
      <c r="HZ299" s="469">
        <f ca="1">IF($FN299+HZ$244&gt;73,"",PRODUCT(INDEX($T$19:$T$93,HZ$244):INDEX($T$19:$T$93,HZ$244+$FN299-1)))</f>
        <v>0.68124056232161068</v>
      </c>
      <c r="IA299" s="469">
        <f ca="1">IF($FN299+IA$244&gt;73,"",PRODUCT(INDEX($T$19:$T$93,IA$244):INDEX($T$19:$T$93,IA$244+$FN299-1)))</f>
        <v>0.65157835539356579</v>
      </c>
      <c r="IB299" s="469">
        <f ca="1">IF($FN299+IB$244&gt;73,"",PRODUCT(INDEX($T$19:$T$93,IB$244):INDEX($T$19:$T$93,IB$244+$FN299-1)))</f>
        <v>0.61979922785449926</v>
      </c>
      <c r="IC299" s="469">
        <f ca="1">IF($FN299+IC$244&gt;73,"",PRODUCT(INDEX($T$19:$T$93,IC$244):INDEX($T$19:$T$93,IC$244+$FN299-1)))</f>
        <v>0.58589443457461743</v>
      </c>
      <c r="ID299" s="469">
        <f ca="1">IF($FN299+ID$244&gt;73,"",PRODUCT(INDEX($T$19:$T$93,ID$244):INDEX($T$19:$T$93,ID$244+$FN299-1)))</f>
        <v>0.54989366792648631</v>
      </c>
      <c r="IE299" s="469">
        <f ca="1">IF($FN299+IE$244&gt;73,"",PRODUCT(INDEX($T$19:$T$93,IE$244):INDEX($T$19:$T$93,IE$244+$FN299-1)))</f>
        <v>0.51187503835549319</v>
      </c>
      <c r="IF299" s="469">
        <f ca="1">IF($FN299+IF$244&gt;73,"",PRODUCT(INDEX($T$19:$T$93,IF$244):INDEX($T$19:$T$93,IF$244+$FN299-1)))</f>
        <v>0.47197656641564006</v>
      </c>
      <c r="IG299" s="469">
        <f ca="1">IF($FN299+IG$244&gt;73,"",PRODUCT(INDEX($T$19:$T$93,IG$244):INDEX($T$19:$T$93,IG$244+$FN299-1)))</f>
        <v>0.4304091195624688</v>
      </c>
      <c r="IH299" s="662">
        <f ca="1">IF($FN299+IH$244&gt;73,"",PRODUCT(INDEX($T$19:$T$93,IH$244):INDEX($T$19:$T$93,IH$244+$FN299-1)))</f>
        <v>0.38747049663320865</v>
      </c>
      <c r="II299" s="242"/>
    </row>
    <row r="300" spans="9:243">
      <c r="I300" s="132"/>
      <c r="J300" s="365"/>
      <c r="K300" s="133"/>
      <c r="L300" s="1"/>
      <c r="M300" s="366"/>
      <c r="P300" s="365"/>
      <c r="S300" s="53"/>
      <c r="T300" s="365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364">
        <v>6.5058546566798992E-2</v>
      </c>
      <c r="AP300" s="1"/>
      <c r="AQ300" s="364">
        <v>5.8176867892604005E-2</v>
      </c>
      <c r="AR300" s="1"/>
      <c r="AS300" s="1"/>
      <c r="AT300" s="103"/>
      <c r="AU300" s="103"/>
      <c r="AV300" s="103"/>
      <c r="AW300" s="31"/>
      <c r="AX300" s="31"/>
      <c r="AY300" s="31"/>
      <c r="AZ300" s="31"/>
      <c r="BA300" s="146"/>
      <c r="BB300" s="146"/>
      <c r="BC300" s="103"/>
      <c r="BD300" s="103"/>
      <c r="BE300" s="103"/>
      <c r="BF300" s="104"/>
      <c r="BG300" s="104"/>
      <c r="BH300" s="104"/>
      <c r="BI300" s="102"/>
      <c r="BJ300" s="104"/>
      <c r="BK300" s="104"/>
      <c r="BL300" s="103"/>
      <c r="BM300" s="103"/>
      <c r="BN300" s="103"/>
      <c r="BO300" s="103"/>
      <c r="BP300" s="103"/>
      <c r="BQ300" s="103"/>
      <c r="BR300" s="103"/>
      <c r="BS300" s="103"/>
      <c r="BT300" s="103"/>
      <c r="BU300" s="103"/>
      <c r="BV300" s="103"/>
      <c r="BW300" s="103"/>
      <c r="BX300" s="103"/>
      <c r="BY300" s="103"/>
      <c r="BZ300" s="103"/>
      <c r="CA300" s="103"/>
      <c r="CB300" s="104"/>
      <c r="CC300" s="104"/>
      <c r="CD300" s="104"/>
      <c r="CE300" s="104"/>
      <c r="CF300" s="104"/>
      <c r="CG300" s="104"/>
      <c r="CH300" s="103"/>
      <c r="CI300" s="103"/>
      <c r="CJ300" s="103"/>
      <c r="CK300" s="103"/>
      <c r="CL300" s="103"/>
      <c r="CM300" s="103"/>
      <c r="CN300" s="103"/>
      <c r="CO300" s="103"/>
      <c r="CP300" s="103"/>
      <c r="CQ300" s="103"/>
      <c r="CR300" s="103"/>
      <c r="CS300" s="103"/>
      <c r="CT300" s="103"/>
      <c r="CU300" s="103"/>
      <c r="CV300" s="103"/>
      <c r="CW300" s="103"/>
      <c r="CX300" s="103"/>
      <c r="CY300" s="103"/>
      <c r="CZ300" s="103"/>
      <c r="DA300" s="103"/>
      <c r="DB300" s="103"/>
      <c r="DC300" s="103"/>
      <c r="DD300" s="103"/>
      <c r="DE300" s="103"/>
      <c r="DF300" s="465"/>
      <c r="DG300" s="107"/>
      <c r="DH300" s="107"/>
      <c r="DI300" s="465"/>
      <c r="DJ300" s="51"/>
      <c r="DK300" s="52"/>
      <c r="DL300" s="52"/>
      <c r="DM300" s="52"/>
      <c r="DN300" s="52"/>
      <c r="DO300" s="52"/>
      <c r="DP300" s="52"/>
      <c r="DQ300" s="52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P300" s="53"/>
      <c r="EQ300" s="1"/>
      <c r="ER300" s="103"/>
      <c r="ES300" s="102"/>
      <c r="ET300" s="1"/>
      <c r="EU300" s="103"/>
      <c r="EV300" s="1"/>
      <c r="EW300" s="1"/>
      <c r="EX300" s="1"/>
      <c r="EY300" s="104"/>
      <c r="FN300" s="657">
        <v>56</v>
      </c>
      <c r="FO300" s="469" t="str">
        <f ca="1">IF($FN300+FO$244&gt;73,"",PRODUCT(INDEX($T$19:$T$93,FO$244):INDEX($T$19:$T$93,FO$244+$FN300-1)))</f>
        <v/>
      </c>
      <c r="FP300" s="469" t="str">
        <f ca="1">IF($FN300+FP$244&gt;73,"",PRODUCT(INDEX($T$19:$T$93,FP$244):INDEX($T$19:$T$93,FP$244+$FN300-1)))</f>
        <v/>
      </c>
      <c r="FQ300" s="469" t="str">
        <f ca="1">IF($FN300+FQ$244&gt;73,"",PRODUCT(INDEX($T$19:$T$93,FQ$244):INDEX($T$19:$T$93,FQ$244+$FN300-1)))</f>
        <v/>
      </c>
      <c r="FR300" s="469" t="str">
        <f ca="1">IF($FN300+FR$244&gt;73,"",PRODUCT(INDEX($T$19:$T$93,FR$244):INDEX($T$19:$T$93,FR$244+$FN300-1)))</f>
        <v/>
      </c>
      <c r="FS300" s="469" t="str">
        <f ca="1">IF($FN300+FS$244&gt;73,"",PRODUCT(INDEX($T$19:$T$93,FS$244):INDEX($T$19:$T$93,FS$244+$FN300-1)))</f>
        <v/>
      </c>
      <c r="FT300" s="469" t="str">
        <f ca="1">IF($FN300+FT$244&gt;73,"",PRODUCT(INDEX($T$19:$T$93,FT$244):INDEX($T$19:$T$93,FT$244+$FN300-1)))</f>
        <v/>
      </c>
      <c r="FU300" s="469" t="str">
        <f ca="1">IF($FN300+FU$244&gt;73,"",PRODUCT(INDEX($T$19:$T$93,FU$244):INDEX($T$19:$T$93,FU$244+$FN300-1)))</f>
        <v/>
      </c>
      <c r="FV300" s="469" t="str">
        <f ca="1">IF($FN300+FV$244&gt;73,"",PRODUCT(INDEX($T$19:$T$93,FV$244):INDEX($T$19:$T$93,FV$244+$FN300-1)))</f>
        <v/>
      </c>
      <c r="FW300" s="469" t="str">
        <f ca="1">IF($FN300+FW$244&gt;73,"",PRODUCT(INDEX($T$19:$T$93,FW$244):INDEX($T$19:$T$93,FW$244+$FN300-1)))</f>
        <v/>
      </c>
      <c r="FX300" s="469" t="str">
        <f ca="1">IF($FN300+FX$244&gt;73,"",PRODUCT(INDEX($T$19:$T$93,FX$244):INDEX($T$19:$T$93,FX$244+$FN300-1)))</f>
        <v/>
      </c>
      <c r="FY300" s="469" t="str">
        <f ca="1">IF($FN300+FY$244&gt;73,"",PRODUCT(INDEX($T$19:$T$93,FY$244):INDEX($T$19:$T$93,FY$244+$FN300-1)))</f>
        <v/>
      </c>
      <c r="FZ300" s="469" t="str">
        <f ca="1">IF($FN300+FZ$244&gt;73,"",PRODUCT(INDEX($T$19:$T$93,FZ$244):INDEX($T$19:$T$93,FZ$244+$FN300-1)))</f>
        <v/>
      </c>
      <c r="GA300" s="469" t="str">
        <f ca="1">IF($FN300+GA$244&gt;73,"",PRODUCT(INDEX($T$19:$T$93,GA$244):INDEX($T$19:$T$93,GA$244+$FN300-1)))</f>
        <v/>
      </c>
      <c r="GB300" s="469" t="str">
        <f ca="1">IF($FN300+GB$244&gt;73,"",PRODUCT(INDEX($T$19:$T$93,GB$244):INDEX($T$19:$T$93,GB$244+$FN300-1)))</f>
        <v/>
      </c>
      <c r="GC300" s="469" t="str">
        <f ca="1">IF($FN300+GC$244&gt;73,"",PRODUCT(INDEX($T$19:$T$93,GC$244):INDEX($T$19:$T$93,GC$244+$FN300-1)))</f>
        <v/>
      </c>
      <c r="GD300" s="469" t="str">
        <f ca="1">IF($FN300+GD$244&gt;73,"",PRODUCT(INDEX($T$19:$T$93,GD$244):INDEX($T$19:$T$93,GD$244+$FN300-1)))</f>
        <v/>
      </c>
      <c r="GE300" s="469" t="str">
        <f ca="1">IF($FN300+GE$244&gt;73,"",PRODUCT(INDEX($T$19:$T$93,GE$244):INDEX($T$19:$T$93,GE$244+$FN300-1)))</f>
        <v/>
      </c>
      <c r="GF300" s="469" t="str">
        <f ca="1">IF($FN300+GF$244&gt;73,"",PRODUCT(INDEX($T$19:$T$93,GF$244):INDEX($T$19:$T$93,GF$244+$FN300-1)))</f>
        <v/>
      </c>
      <c r="GG300" s="469" t="str">
        <f ca="1">IF($FN300+GG$244&gt;73,"",PRODUCT(INDEX($T$19:$T$93,GG$244):INDEX($T$19:$T$93,GG$244+$FN300-1)))</f>
        <v/>
      </c>
      <c r="GH300" s="469" t="str">
        <f ca="1">IF($FN300+GH$244&gt;73,"",PRODUCT(INDEX($T$19:$T$93,GH$244):INDEX($T$19:$T$93,GH$244+$FN300-1)))</f>
        <v/>
      </c>
      <c r="GI300" s="469" t="str">
        <f ca="1">IF($FN300+GI$244&gt;73,"",PRODUCT(INDEX($T$19:$T$93,GI$244):INDEX($T$19:$T$93,GI$244+$FN300-1)))</f>
        <v/>
      </c>
      <c r="GJ300" s="469" t="str">
        <f ca="1">IF($FN300+GJ$244&gt;73,"",PRODUCT(INDEX($T$19:$T$93,GJ$244):INDEX($T$19:$T$93,GJ$244+$FN300-1)))</f>
        <v/>
      </c>
      <c r="GK300" s="469" t="str">
        <f ca="1">IF($FN300+GK$244&gt;73,"",PRODUCT(INDEX($T$19:$T$93,GK$244):INDEX($T$19:$T$93,GK$244+$FN300-1)))</f>
        <v/>
      </c>
      <c r="GL300" s="469" t="str">
        <f ca="1">IF($FN300+GL$244&gt;73,"",PRODUCT(INDEX($T$19:$T$93,GL$244):INDEX($T$19:$T$93,GL$244+$FN300-1)))</f>
        <v/>
      </c>
      <c r="GM300" s="469" t="str">
        <f ca="1">IF($FN300+GM$244&gt;73,"",PRODUCT(INDEX($T$19:$T$93,GM$244):INDEX($T$19:$T$93,GM$244+$FN300-1)))</f>
        <v/>
      </c>
      <c r="GN300" s="469" t="str">
        <f ca="1">IF($FN300+GN$244&gt;73,"",PRODUCT(INDEX($T$19:$T$93,GN$244):INDEX($T$19:$T$93,GN$244+$FN300-1)))</f>
        <v/>
      </c>
      <c r="GO300" s="469" t="str">
        <f ca="1">IF($FN300+GO$244&gt;73,"",PRODUCT(INDEX($T$19:$T$93,GO$244):INDEX($T$19:$T$93,GO$244+$FN300-1)))</f>
        <v/>
      </c>
      <c r="GP300" s="469" t="str">
        <f ca="1">IF($FN300+GP$244&gt;73,"",PRODUCT(INDEX($T$19:$T$93,GP$244):INDEX($T$19:$T$93,GP$244+$FN300-1)))</f>
        <v/>
      </c>
      <c r="GQ300" s="469" t="str">
        <f ca="1">IF($FN300+GQ$244&gt;73,"",PRODUCT(INDEX($T$19:$T$93,GQ$244):INDEX($T$19:$T$93,GQ$244+$FN300-1)))</f>
        <v/>
      </c>
      <c r="GR300" s="469" t="str">
        <f ca="1">IF($FN300+GR$244&gt;73,"",PRODUCT(INDEX($T$19:$T$93,GR$244):INDEX($T$19:$T$93,GR$244+$FN300-1)))</f>
        <v/>
      </c>
      <c r="GS300" s="469" t="str">
        <f ca="1">IF($FN300+GS$244&gt;73,"",PRODUCT(INDEX($T$19:$T$93,GS$244):INDEX($T$19:$T$93,GS$244+$FN300-1)))</f>
        <v/>
      </c>
      <c r="GT300" s="469" t="str">
        <f ca="1">IF($FN300+GT$244&gt;73,"",PRODUCT(INDEX($T$19:$T$93,GT$244):INDEX($T$19:$T$93,GT$244+$FN300-1)))</f>
        <v/>
      </c>
      <c r="GU300" s="469" t="str">
        <f ca="1">IF($FN300+GU$244&gt;73,"",PRODUCT(INDEX($T$19:$T$93,GU$244):INDEX($T$19:$T$93,GU$244+$FN300-1)))</f>
        <v/>
      </c>
      <c r="GV300" s="469" t="str">
        <f ca="1">IF($FN300+GV$244&gt;73,"",PRODUCT(INDEX($T$19:$T$93,GV$244):INDEX($T$19:$T$93,GV$244+$FN300-1)))</f>
        <v/>
      </c>
      <c r="GW300" s="469" t="str">
        <f ca="1">IF($FN300+GW$244&gt;73,"",PRODUCT(INDEX($T$19:$T$93,GW$244):INDEX($T$19:$T$93,GW$244+$FN300-1)))</f>
        <v/>
      </c>
      <c r="GX300" s="469" t="str">
        <f ca="1">IF($FN300+GX$244&gt;73,"",PRODUCT(INDEX($T$19:$T$93,GX$244):INDEX($T$19:$T$93,GX$244+$FN300-1)))</f>
        <v/>
      </c>
      <c r="GY300" s="469" t="str">
        <f ca="1">IF($FN300+GY$244&gt;73,"",PRODUCT(INDEX($T$19:$T$93,GY$244):INDEX($T$19:$T$93,GY$244+$FN300-1)))</f>
        <v/>
      </c>
      <c r="GZ300" s="469" t="str">
        <f ca="1">IF($FN300+GZ$244&gt;73,"",PRODUCT(INDEX($T$19:$T$93,GZ$244):INDEX($T$19:$T$93,GZ$244+$FN300-1)))</f>
        <v/>
      </c>
      <c r="HA300" s="469" t="str">
        <f ca="1">IF($FN300+HA$244&gt;73,"",PRODUCT(INDEX($T$19:$T$93,HA$244):INDEX($T$19:$T$93,HA$244+$FN300-1)))</f>
        <v/>
      </c>
      <c r="HB300" s="469" t="str">
        <f ca="1">IF($FN300+HB$244&gt;73,"",PRODUCT(INDEX($T$19:$T$93,HB$244):INDEX($T$19:$T$93,HB$244+$FN300-1)))</f>
        <v/>
      </c>
      <c r="HC300" s="469" t="str">
        <f ca="1">IF($FN300+HC$244&gt;73,"",PRODUCT(INDEX($T$19:$T$93,HC$244):INDEX($T$19:$T$93,HC$244+$FN300-1)))</f>
        <v/>
      </c>
      <c r="HD300" s="469" t="str">
        <f ca="1">IF($FN300+HD$244&gt;73,"",PRODUCT(INDEX($T$19:$T$93,HD$244):INDEX($T$19:$T$93,HD$244+$FN300-1)))</f>
        <v/>
      </c>
      <c r="HE300" s="469" t="str">
        <f ca="1">IF($FN300+HE$244&gt;73,"",PRODUCT(INDEX($T$19:$T$93,HE$244):INDEX($T$19:$T$93,HE$244+$FN300-1)))</f>
        <v/>
      </c>
      <c r="HF300" s="469" t="str">
        <f ca="1">IF($FN300+HF$244&gt;73,"",PRODUCT(INDEX($T$19:$T$93,HF$244):INDEX($T$19:$T$93,HF$244+$FN300-1)))</f>
        <v/>
      </c>
      <c r="HG300" s="469" t="str">
        <f ca="1">IF($FN300+HG$244&gt;73,"",PRODUCT(INDEX($T$19:$T$93,HG$244):INDEX($T$19:$T$93,HG$244+$FN300-1)))</f>
        <v/>
      </c>
      <c r="HH300" s="469" t="str">
        <f ca="1">IF($FN300+HH$244&gt;73,"",PRODUCT(INDEX($T$19:$T$93,HH$244):INDEX($T$19:$T$93,HH$244+$FN300-1)))</f>
        <v/>
      </c>
      <c r="HI300" s="469" t="str">
        <f ca="1">IF($FN300+HI$244&gt;73,"",PRODUCT(INDEX($T$19:$T$93,HI$244):INDEX($T$19:$T$93,HI$244+$FN300-1)))</f>
        <v/>
      </c>
      <c r="HJ300" s="469" t="str">
        <f ca="1">IF($FN300+HJ$244&gt;73,"",PRODUCT(INDEX($T$19:$T$93,HJ$244):INDEX($T$19:$T$93,HJ$244+$FN300-1)))</f>
        <v/>
      </c>
      <c r="HK300" s="469" t="str">
        <f ca="1">IF($FN300+HK$244&gt;73,"",PRODUCT(INDEX($T$19:$T$93,HK$244):INDEX($T$19:$T$93,HK$244+$FN300-1)))</f>
        <v/>
      </c>
      <c r="HL300" s="469" t="str">
        <f ca="1">IF($FN300+HL$244&gt;73,"",PRODUCT(INDEX($T$19:$T$93,HL$244):INDEX($T$19:$T$93,HL$244+$FN300-1)))</f>
        <v/>
      </c>
      <c r="HM300" s="469" t="str">
        <f ca="1">IF($FN300+HM$244&gt;73,"",PRODUCT(INDEX($T$19:$T$93,HM$244):INDEX($T$19:$T$93,HM$244+$FN300-1)))</f>
        <v/>
      </c>
      <c r="HN300" s="469" t="str">
        <f ca="1">IF($FN300+HN$244&gt;73,"",PRODUCT(INDEX($T$19:$T$93,HN$244):INDEX($T$19:$T$93,HN$244+$FN300-1)))</f>
        <v/>
      </c>
      <c r="HO300" s="469" t="str">
        <f ca="1">IF($FN300+HO$244&gt;73,"",PRODUCT(INDEX($T$19:$T$93,HO$244):INDEX($T$19:$T$93,HO$244+$FN300-1)))</f>
        <v/>
      </c>
      <c r="HP300" s="469" t="str">
        <f ca="1">IF($FN300+HP$244&gt;73,"",PRODUCT(INDEX($T$19:$T$93,HP$244):INDEX($T$19:$T$93,HP$244+$FN300-1)))</f>
        <v/>
      </c>
      <c r="HQ300" s="469" t="str">
        <f ca="1">IF($FN300+HQ$244&gt;73,"",PRODUCT(INDEX($T$19:$T$93,HQ$244):INDEX($T$19:$T$93,HQ$244+$FN300-1)))</f>
        <v/>
      </c>
      <c r="HR300" s="469">
        <f ca="1">IF($FN300+HR$244&gt;73,"",PRODUCT(INDEX($T$19:$T$93,HR$244):INDEX($T$19:$T$93,HR$244+$FN300-1)))</f>
        <v>0.85038829513166636</v>
      </c>
      <c r="HS300" s="469">
        <f ca="1">IF($FN300+HS$244&gt;73,"",PRODUCT(INDEX($T$19:$T$93,HS$244):INDEX($T$19:$T$93,HS$244+$FN300-1)))</f>
        <v>0.83499330985600484</v>
      </c>
      <c r="HT300" s="469">
        <f ca="1">IF($FN300+HT$244&gt;73,"",PRODUCT(INDEX($T$19:$T$93,HT$244):INDEX($T$19:$T$93,HT$244+$FN300-1)))</f>
        <v>0.8181562138273154</v>
      </c>
      <c r="HU300" s="469">
        <f ca="1">IF($FN300+HU$244&gt;73,"",PRODUCT(INDEX($T$19:$T$93,HU$244):INDEX($T$19:$T$93,HU$244+$FN300-1)))</f>
        <v>0.7997733806793319</v>
      </c>
      <c r="HV300" s="469">
        <f ca="1">IF($FN300+HV$244&gt;73,"",PRODUCT(INDEX($T$19:$T$93,HV$244):INDEX($T$19:$T$93,HV$244+$FN300-1)))</f>
        <v>0.77974097705057821</v>
      </c>
      <c r="HW300" s="469">
        <f ca="1">IF($FN300+HW$244&gt;73,"",PRODUCT(INDEX($T$19:$T$93,HW$244):INDEX($T$19:$T$93,HW$244+$FN300-1)))</f>
        <v>0.75795701461441412</v>
      </c>
      <c r="HX300" s="469">
        <f ca="1">IF($FN300+HX$244&gt;73,"",PRODUCT(INDEX($T$19:$T$93,HX$244):INDEX($T$19:$T$93,HX$244+$FN300-1)))</f>
        <v>0.73432396135861888</v>
      </c>
      <c r="HY300" s="469">
        <f ca="1">IF($FN300+HY$244&gt;73,"",PRODUCT(INDEX($T$19:$T$93,HY$244):INDEX($T$19:$T$93,HY$244+$FN300-1)))</f>
        <v>0.70875201474396499</v>
      </c>
      <c r="HZ300" s="469">
        <f ca="1">IF($FN300+HZ$244&gt;73,"",PRODUCT(INDEX($T$19:$T$93,HZ$244):INDEX($T$19:$T$93,HZ$244+$FN300-1)))</f>
        <v>0.68116315239906622</v>
      </c>
      <c r="IA300" s="469">
        <f ca="1">IF($FN300+IA$244&gt;73,"",PRODUCT(INDEX($T$19:$T$93,IA$244):INDEX($T$19:$T$93,IA$244+$FN300-1)))</f>
        <v>0.65149608887502775</v>
      </c>
      <c r="IB300" s="469">
        <f ca="1">IF($FN300+IB$244&gt;73,"",PRODUCT(INDEX($T$19:$T$93,IB$244):INDEX($T$19:$T$93,IB$244+$FN300-1)))</f>
        <v>0.61971227813987118</v>
      </c>
      <c r="IC300" s="469">
        <f ca="1">IF($FN300+IC$244&gt;73,"",PRODUCT(INDEX($T$19:$T$93,IC$244):INDEX($T$19:$T$93,IC$244+$FN300-1)))</f>
        <v>0.58580310792476575</v>
      </c>
      <c r="ID300" s="469">
        <f ca="1">IF($FN300+ID$244&gt;73,"",PRODUCT(INDEX($T$19:$T$93,ID$244):INDEX($T$19:$T$93,ID$244+$FN300-1)))</f>
        <v>0.54979842816425628</v>
      </c>
      <c r="IE300" s="469">
        <f ca="1">IF($FN300+IE$244&gt;73,"",PRODUCT(INDEX($T$19:$T$93,IE$244):INDEX($T$19:$T$93,IE$244+$FN300-1)))</f>
        <v>0.51177653173525484</v>
      </c>
      <c r="IF300" s="469">
        <f ca="1">IF($FN300+IF$244&gt;73,"",PRODUCT(INDEX($T$19:$T$93,IF$244):INDEX($T$19:$T$93,IF$244+$FN300-1)))</f>
        <v>0.47187564477686816</v>
      </c>
      <c r="IG300" s="469">
        <f ca="1">IF($FN300+IG$244&gt;73,"",PRODUCT(INDEX($T$19:$T$93,IG$244):INDEX($T$19:$T$93,IG$244+$FN300-1)))</f>
        <v>0.43030685897579873</v>
      </c>
      <c r="IH300" s="662">
        <f ca="1">IF($FN300+IH$244&gt;73,"",PRODUCT(INDEX($T$19:$T$93,IH$244):INDEX($T$19:$T$93,IH$244+$FN300-1)))</f>
        <v>0.38736820760622215</v>
      </c>
      <c r="II300" s="242"/>
    </row>
    <row r="301" spans="9:243">
      <c r="I301" s="132"/>
      <c r="J301" s="365"/>
      <c r="K301" s="133"/>
      <c r="L301" s="1"/>
      <c r="M301" s="366"/>
      <c r="P301" s="365"/>
      <c r="S301" s="53"/>
      <c r="T301" s="365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364">
        <v>6.5068850866212294E-2</v>
      </c>
      <c r="AP301" s="1"/>
      <c r="AQ301" s="364">
        <v>5.8138902795635598E-2</v>
      </c>
      <c r="AR301" s="1"/>
      <c r="AS301" s="1"/>
      <c r="AT301" s="103"/>
      <c r="AU301" s="103"/>
      <c r="AV301" s="103"/>
      <c r="AW301" s="31"/>
      <c r="AX301" s="31"/>
      <c r="AY301" s="31"/>
      <c r="AZ301" s="31"/>
      <c r="BA301" s="146"/>
      <c r="BB301" s="146"/>
      <c r="BC301" s="103"/>
      <c r="BD301" s="103"/>
      <c r="BE301" s="103"/>
      <c r="BF301" s="104"/>
      <c r="BG301" s="104"/>
      <c r="BH301" s="104"/>
      <c r="BI301" s="102"/>
      <c r="BJ301" s="104"/>
      <c r="BK301" s="104"/>
      <c r="BL301" s="103"/>
      <c r="BM301" s="103"/>
      <c r="BN301" s="103"/>
      <c r="BO301" s="103"/>
      <c r="BP301" s="103"/>
      <c r="BQ301" s="103"/>
      <c r="BR301" s="103"/>
      <c r="BS301" s="103"/>
      <c r="BT301" s="103"/>
      <c r="BU301" s="103"/>
      <c r="BV301" s="103"/>
      <c r="BW301" s="103"/>
      <c r="BX301" s="103"/>
      <c r="BY301" s="103"/>
      <c r="BZ301" s="103"/>
      <c r="CA301" s="103"/>
      <c r="CB301" s="104"/>
      <c r="CC301" s="104"/>
      <c r="CD301" s="104"/>
      <c r="CE301" s="104"/>
      <c r="CF301" s="104"/>
      <c r="CG301" s="104"/>
      <c r="CH301" s="103"/>
      <c r="CI301" s="103"/>
      <c r="CJ301" s="103"/>
      <c r="CK301" s="103"/>
      <c r="CL301" s="103"/>
      <c r="CM301" s="103"/>
      <c r="CN301" s="103"/>
      <c r="CO301" s="103"/>
      <c r="CP301" s="103"/>
      <c r="CQ301" s="103"/>
      <c r="CR301" s="103"/>
      <c r="CS301" s="103"/>
      <c r="CT301" s="103"/>
      <c r="CU301" s="103"/>
      <c r="CV301" s="103"/>
      <c r="CW301" s="103"/>
      <c r="CX301" s="103"/>
      <c r="CY301" s="103"/>
      <c r="CZ301" s="103"/>
      <c r="DA301" s="103"/>
      <c r="DB301" s="103"/>
      <c r="DC301" s="103"/>
      <c r="DD301" s="103"/>
      <c r="DE301" s="103"/>
      <c r="DF301" s="465"/>
      <c r="DG301" s="107"/>
      <c r="DH301" s="107"/>
      <c r="DI301" s="465"/>
      <c r="DJ301" s="51"/>
      <c r="DK301" s="52"/>
      <c r="DL301" s="52"/>
      <c r="DM301" s="52"/>
      <c r="DN301" s="52"/>
      <c r="DO301" s="52"/>
      <c r="DP301" s="52"/>
      <c r="DQ301" s="52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P301" s="53"/>
      <c r="EQ301" s="1"/>
      <c r="ER301" s="103"/>
      <c r="ES301" s="102"/>
      <c r="ET301" s="1"/>
      <c r="EU301" s="103"/>
      <c r="EV301" s="1"/>
      <c r="EW301" s="1"/>
      <c r="EX301" s="1"/>
      <c r="EY301" s="104"/>
      <c r="FN301" s="657">
        <v>57</v>
      </c>
      <c r="FO301" s="469" t="str">
        <f ca="1">IF($FN301+FO$244&gt;73,"",PRODUCT(INDEX($T$19:$T$93,FO$244):INDEX($T$19:$T$93,FO$244+$FN301-1)))</f>
        <v/>
      </c>
      <c r="FP301" s="469" t="str">
        <f ca="1">IF($FN301+FP$244&gt;73,"",PRODUCT(INDEX($T$19:$T$93,FP$244):INDEX($T$19:$T$93,FP$244+$FN301-1)))</f>
        <v/>
      </c>
      <c r="FQ301" s="469" t="str">
        <f ca="1">IF($FN301+FQ$244&gt;73,"",PRODUCT(INDEX($T$19:$T$93,FQ$244):INDEX($T$19:$T$93,FQ$244+$FN301-1)))</f>
        <v/>
      </c>
      <c r="FR301" s="469" t="str">
        <f ca="1">IF($FN301+FR$244&gt;73,"",PRODUCT(INDEX($T$19:$T$93,FR$244):INDEX($T$19:$T$93,FR$244+$FN301-1)))</f>
        <v/>
      </c>
      <c r="FS301" s="469" t="str">
        <f ca="1">IF($FN301+FS$244&gt;73,"",PRODUCT(INDEX($T$19:$T$93,FS$244):INDEX($T$19:$T$93,FS$244+$FN301-1)))</f>
        <v/>
      </c>
      <c r="FT301" s="469" t="str">
        <f ca="1">IF($FN301+FT$244&gt;73,"",PRODUCT(INDEX($T$19:$T$93,FT$244):INDEX($T$19:$T$93,FT$244+$FN301-1)))</f>
        <v/>
      </c>
      <c r="FU301" s="469" t="str">
        <f ca="1">IF($FN301+FU$244&gt;73,"",PRODUCT(INDEX($T$19:$T$93,FU$244):INDEX($T$19:$T$93,FU$244+$FN301-1)))</f>
        <v/>
      </c>
      <c r="FV301" s="469" t="str">
        <f ca="1">IF($FN301+FV$244&gt;73,"",PRODUCT(INDEX($T$19:$T$93,FV$244):INDEX($T$19:$T$93,FV$244+$FN301-1)))</f>
        <v/>
      </c>
      <c r="FW301" s="469" t="str">
        <f ca="1">IF($FN301+FW$244&gt;73,"",PRODUCT(INDEX($T$19:$T$93,FW$244):INDEX($T$19:$T$93,FW$244+$FN301-1)))</f>
        <v/>
      </c>
      <c r="FX301" s="469" t="str">
        <f ca="1">IF($FN301+FX$244&gt;73,"",PRODUCT(INDEX($T$19:$T$93,FX$244):INDEX($T$19:$T$93,FX$244+$FN301-1)))</f>
        <v/>
      </c>
      <c r="FY301" s="469" t="str">
        <f ca="1">IF($FN301+FY$244&gt;73,"",PRODUCT(INDEX($T$19:$T$93,FY$244):INDEX($T$19:$T$93,FY$244+$FN301-1)))</f>
        <v/>
      </c>
      <c r="FZ301" s="469" t="str">
        <f ca="1">IF($FN301+FZ$244&gt;73,"",PRODUCT(INDEX($T$19:$T$93,FZ$244):INDEX($T$19:$T$93,FZ$244+$FN301-1)))</f>
        <v/>
      </c>
      <c r="GA301" s="469" t="str">
        <f ca="1">IF($FN301+GA$244&gt;73,"",PRODUCT(INDEX($T$19:$T$93,GA$244):INDEX($T$19:$T$93,GA$244+$FN301-1)))</f>
        <v/>
      </c>
      <c r="GB301" s="469" t="str">
        <f ca="1">IF($FN301+GB$244&gt;73,"",PRODUCT(INDEX($T$19:$T$93,GB$244):INDEX($T$19:$T$93,GB$244+$FN301-1)))</f>
        <v/>
      </c>
      <c r="GC301" s="469" t="str">
        <f ca="1">IF($FN301+GC$244&gt;73,"",PRODUCT(INDEX($T$19:$T$93,GC$244):INDEX($T$19:$T$93,GC$244+$FN301-1)))</f>
        <v/>
      </c>
      <c r="GD301" s="469" t="str">
        <f ca="1">IF($FN301+GD$244&gt;73,"",PRODUCT(INDEX($T$19:$T$93,GD$244):INDEX($T$19:$T$93,GD$244+$FN301-1)))</f>
        <v/>
      </c>
      <c r="GE301" s="469" t="str">
        <f ca="1">IF($FN301+GE$244&gt;73,"",PRODUCT(INDEX($T$19:$T$93,GE$244):INDEX($T$19:$T$93,GE$244+$FN301-1)))</f>
        <v/>
      </c>
      <c r="GF301" s="469" t="str">
        <f ca="1">IF($FN301+GF$244&gt;73,"",PRODUCT(INDEX($T$19:$T$93,GF$244):INDEX($T$19:$T$93,GF$244+$FN301-1)))</f>
        <v/>
      </c>
      <c r="GG301" s="469" t="str">
        <f ca="1">IF($FN301+GG$244&gt;73,"",PRODUCT(INDEX($T$19:$T$93,GG$244):INDEX($T$19:$T$93,GG$244+$FN301-1)))</f>
        <v/>
      </c>
      <c r="GH301" s="469" t="str">
        <f ca="1">IF($FN301+GH$244&gt;73,"",PRODUCT(INDEX($T$19:$T$93,GH$244):INDEX($T$19:$T$93,GH$244+$FN301-1)))</f>
        <v/>
      </c>
      <c r="GI301" s="469" t="str">
        <f ca="1">IF($FN301+GI$244&gt;73,"",PRODUCT(INDEX($T$19:$T$93,GI$244):INDEX($T$19:$T$93,GI$244+$FN301-1)))</f>
        <v/>
      </c>
      <c r="GJ301" s="469" t="str">
        <f ca="1">IF($FN301+GJ$244&gt;73,"",PRODUCT(INDEX($T$19:$T$93,GJ$244):INDEX($T$19:$T$93,GJ$244+$FN301-1)))</f>
        <v/>
      </c>
      <c r="GK301" s="469" t="str">
        <f ca="1">IF($FN301+GK$244&gt;73,"",PRODUCT(INDEX($T$19:$T$93,GK$244):INDEX($T$19:$T$93,GK$244+$FN301-1)))</f>
        <v/>
      </c>
      <c r="GL301" s="469" t="str">
        <f ca="1">IF($FN301+GL$244&gt;73,"",PRODUCT(INDEX($T$19:$T$93,GL$244):INDEX($T$19:$T$93,GL$244+$FN301-1)))</f>
        <v/>
      </c>
      <c r="GM301" s="469" t="str">
        <f ca="1">IF($FN301+GM$244&gt;73,"",PRODUCT(INDEX($T$19:$T$93,GM$244):INDEX($T$19:$T$93,GM$244+$FN301-1)))</f>
        <v/>
      </c>
      <c r="GN301" s="469" t="str">
        <f ca="1">IF($FN301+GN$244&gt;73,"",PRODUCT(INDEX($T$19:$T$93,GN$244):INDEX($T$19:$T$93,GN$244+$FN301-1)))</f>
        <v/>
      </c>
      <c r="GO301" s="469" t="str">
        <f ca="1">IF($FN301+GO$244&gt;73,"",PRODUCT(INDEX($T$19:$T$93,GO$244):INDEX($T$19:$T$93,GO$244+$FN301-1)))</f>
        <v/>
      </c>
      <c r="GP301" s="469" t="str">
        <f ca="1">IF($FN301+GP$244&gt;73,"",PRODUCT(INDEX($T$19:$T$93,GP$244):INDEX($T$19:$T$93,GP$244+$FN301-1)))</f>
        <v/>
      </c>
      <c r="GQ301" s="469" t="str">
        <f ca="1">IF($FN301+GQ$244&gt;73,"",PRODUCT(INDEX($T$19:$T$93,GQ$244):INDEX($T$19:$T$93,GQ$244+$FN301-1)))</f>
        <v/>
      </c>
      <c r="GR301" s="469" t="str">
        <f ca="1">IF($FN301+GR$244&gt;73,"",PRODUCT(INDEX($T$19:$T$93,GR$244):INDEX($T$19:$T$93,GR$244+$FN301-1)))</f>
        <v/>
      </c>
      <c r="GS301" s="469" t="str">
        <f ca="1">IF($FN301+GS$244&gt;73,"",PRODUCT(INDEX($T$19:$T$93,GS$244):INDEX($T$19:$T$93,GS$244+$FN301-1)))</f>
        <v/>
      </c>
      <c r="GT301" s="469" t="str">
        <f ca="1">IF($FN301+GT$244&gt;73,"",PRODUCT(INDEX($T$19:$T$93,GT$244):INDEX($T$19:$T$93,GT$244+$FN301-1)))</f>
        <v/>
      </c>
      <c r="GU301" s="469" t="str">
        <f ca="1">IF($FN301+GU$244&gt;73,"",PRODUCT(INDEX($T$19:$T$93,GU$244):INDEX($T$19:$T$93,GU$244+$FN301-1)))</f>
        <v/>
      </c>
      <c r="GV301" s="469" t="str">
        <f ca="1">IF($FN301+GV$244&gt;73,"",PRODUCT(INDEX($T$19:$T$93,GV$244):INDEX($T$19:$T$93,GV$244+$FN301-1)))</f>
        <v/>
      </c>
      <c r="GW301" s="469" t="str">
        <f ca="1">IF($FN301+GW$244&gt;73,"",PRODUCT(INDEX($T$19:$T$93,GW$244):INDEX($T$19:$T$93,GW$244+$FN301-1)))</f>
        <v/>
      </c>
      <c r="GX301" s="469" t="str">
        <f ca="1">IF($FN301+GX$244&gt;73,"",PRODUCT(INDEX($T$19:$T$93,GX$244):INDEX($T$19:$T$93,GX$244+$FN301-1)))</f>
        <v/>
      </c>
      <c r="GY301" s="469" t="str">
        <f ca="1">IF($FN301+GY$244&gt;73,"",PRODUCT(INDEX($T$19:$T$93,GY$244):INDEX($T$19:$T$93,GY$244+$FN301-1)))</f>
        <v/>
      </c>
      <c r="GZ301" s="469" t="str">
        <f ca="1">IF($FN301+GZ$244&gt;73,"",PRODUCT(INDEX($T$19:$T$93,GZ$244):INDEX($T$19:$T$93,GZ$244+$FN301-1)))</f>
        <v/>
      </c>
      <c r="HA301" s="469" t="str">
        <f ca="1">IF($FN301+HA$244&gt;73,"",PRODUCT(INDEX($T$19:$T$93,HA$244):INDEX($T$19:$T$93,HA$244+$FN301-1)))</f>
        <v/>
      </c>
      <c r="HB301" s="469" t="str">
        <f ca="1">IF($FN301+HB$244&gt;73,"",PRODUCT(INDEX($T$19:$T$93,HB$244):INDEX($T$19:$T$93,HB$244+$FN301-1)))</f>
        <v/>
      </c>
      <c r="HC301" s="469" t="str">
        <f ca="1">IF($FN301+HC$244&gt;73,"",PRODUCT(INDEX($T$19:$T$93,HC$244):INDEX($T$19:$T$93,HC$244+$FN301-1)))</f>
        <v/>
      </c>
      <c r="HD301" s="469" t="str">
        <f ca="1">IF($FN301+HD$244&gt;73,"",PRODUCT(INDEX($T$19:$T$93,HD$244):INDEX($T$19:$T$93,HD$244+$FN301-1)))</f>
        <v/>
      </c>
      <c r="HE301" s="469" t="str">
        <f ca="1">IF($FN301+HE$244&gt;73,"",PRODUCT(INDEX($T$19:$T$93,HE$244):INDEX($T$19:$T$93,HE$244+$FN301-1)))</f>
        <v/>
      </c>
      <c r="HF301" s="469" t="str">
        <f ca="1">IF($FN301+HF$244&gt;73,"",PRODUCT(INDEX($T$19:$T$93,HF$244):INDEX($T$19:$T$93,HF$244+$FN301-1)))</f>
        <v/>
      </c>
      <c r="HG301" s="469" t="str">
        <f ca="1">IF($FN301+HG$244&gt;73,"",PRODUCT(INDEX($T$19:$T$93,HG$244):INDEX($T$19:$T$93,HG$244+$FN301-1)))</f>
        <v/>
      </c>
      <c r="HH301" s="469" t="str">
        <f ca="1">IF($FN301+HH$244&gt;73,"",PRODUCT(INDEX($T$19:$T$93,HH$244):INDEX($T$19:$T$93,HH$244+$FN301-1)))</f>
        <v/>
      </c>
      <c r="HI301" s="469" t="str">
        <f ca="1">IF($FN301+HI$244&gt;73,"",PRODUCT(INDEX($T$19:$T$93,HI$244):INDEX($T$19:$T$93,HI$244+$FN301-1)))</f>
        <v/>
      </c>
      <c r="HJ301" s="469" t="str">
        <f ca="1">IF($FN301+HJ$244&gt;73,"",PRODUCT(INDEX($T$19:$T$93,HJ$244):INDEX($T$19:$T$93,HJ$244+$FN301-1)))</f>
        <v/>
      </c>
      <c r="HK301" s="469" t="str">
        <f ca="1">IF($FN301+HK$244&gt;73,"",PRODUCT(INDEX($T$19:$T$93,HK$244):INDEX($T$19:$T$93,HK$244+$FN301-1)))</f>
        <v/>
      </c>
      <c r="HL301" s="469" t="str">
        <f ca="1">IF($FN301+HL$244&gt;73,"",PRODUCT(INDEX($T$19:$T$93,HL$244):INDEX($T$19:$T$93,HL$244+$FN301-1)))</f>
        <v/>
      </c>
      <c r="HM301" s="469" t="str">
        <f ca="1">IF($FN301+HM$244&gt;73,"",PRODUCT(INDEX($T$19:$T$93,HM$244):INDEX($T$19:$T$93,HM$244+$FN301-1)))</f>
        <v/>
      </c>
      <c r="HN301" s="469" t="str">
        <f ca="1">IF($FN301+HN$244&gt;73,"",PRODUCT(INDEX($T$19:$T$93,HN$244):INDEX($T$19:$T$93,HN$244+$FN301-1)))</f>
        <v/>
      </c>
      <c r="HO301" s="469" t="str">
        <f ca="1">IF($FN301+HO$244&gt;73,"",PRODUCT(INDEX($T$19:$T$93,HO$244):INDEX($T$19:$T$93,HO$244+$FN301-1)))</f>
        <v/>
      </c>
      <c r="HP301" s="469" t="str">
        <f ca="1">IF($FN301+HP$244&gt;73,"",PRODUCT(INDEX($T$19:$T$93,HP$244):INDEX($T$19:$T$93,HP$244+$FN301-1)))</f>
        <v/>
      </c>
      <c r="HQ301" s="469" t="str">
        <f ca="1">IF($FN301+HQ$244&gt;73,"",PRODUCT(INDEX($T$19:$T$93,HQ$244):INDEX($T$19:$T$93,HQ$244+$FN301-1)))</f>
        <v/>
      </c>
      <c r="HR301" s="469" t="str">
        <f ca="1">IF($FN301+HR$244&gt;73,"",PRODUCT(INDEX($T$19:$T$93,HR$244):INDEX($T$19:$T$93,HR$244+$FN301-1)))</f>
        <v/>
      </c>
      <c r="HS301" s="469">
        <f ca="1">IF($FN301+HS$244&gt;73,"",PRODUCT(INDEX($T$19:$T$93,HS$244):INDEX($T$19:$T$93,HS$244+$FN301-1)))</f>
        <v>0.83495246806703105</v>
      </c>
      <c r="HT301" s="469">
        <f ca="1">IF($FN301+HT$244&gt;73,"",PRODUCT(INDEX($T$19:$T$93,HT$244):INDEX($T$19:$T$93,HT$244+$FN301-1)))</f>
        <v>0.81811174899190986</v>
      </c>
      <c r="HU301" s="469">
        <f ca="1">IF($FN301+HU$244&gt;73,"",PRODUCT(INDEX($T$19:$T$93,HU$244):INDEX($T$19:$T$93,HU$244+$FN301-1)))</f>
        <v>0.79972508522770647</v>
      </c>
      <c r="HV301" s="469">
        <f ca="1">IF($FN301+HV$244&gt;73,"",PRODUCT(INDEX($T$19:$T$93,HV$244):INDEX($T$19:$T$93,HV$244+$FN301-1)))</f>
        <v>0.77968865935259468</v>
      </c>
      <c r="HW301" s="469">
        <f ca="1">IF($FN301+HW$244&gt;73,"",PRODUCT(INDEX($T$19:$T$93,HW$244):INDEX($T$19:$T$93,HW$244+$FN301-1)))</f>
        <v>0.75790050764758266</v>
      </c>
      <c r="HX301" s="469">
        <f ca="1">IF($FN301+HX$244&gt;73,"",PRODUCT(INDEX($T$19:$T$93,HX$244):INDEX($T$19:$T$93,HX$244+$FN301-1)))</f>
        <v>0.73426313322964099</v>
      </c>
      <c r="HY301" s="469">
        <f ca="1">IF($FN301+HY$244&gt;73,"",PRODUCT(INDEX($T$19:$T$93,HY$244):INDEX($T$19:$T$93,HY$244+$FN301-1)))</f>
        <v>0.70868678125399354</v>
      </c>
      <c r="HZ301" s="469">
        <f ca="1">IF($FN301+HZ$244&gt;73,"",PRODUCT(INDEX($T$19:$T$93,HZ$244):INDEX($T$19:$T$93,HZ$244+$FN301-1)))</f>
        <v>0.68109349179487966</v>
      </c>
      <c r="IA301" s="469">
        <f ca="1">IF($FN301+IA$244&gt;73,"",PRODUCT(INDEX($T$19:$T$93,IA$244):INDEX($T$19:$T$93,IA$244+$FN301-1)))</f>
        <v>0.65142205884134041</v>
      </c>
      <c r="IB301" s="469">
        <f ca="1">IF($FN301+IB$244&gt;73,"",PRODUCT(INDEX($T$19:$T$93,IB$244):INDEX($T$19:$T$93,IB$244+$FN301-1)))</f>
        <v>0.61963403494594704</v>
      </c>
      <c r="IC301" s="469">
        <f ca="1">IF($FN301+IC$244&gt;73,"",PRODUCT(INDEX($T$19:$T$93,IC$244):INDEX($T$19:$T$93,IC$244+$FN301-1)))</f>
        <v>0.58572092742054238</v>
      </c>
      <c r="ID301" s="469">
        <f ca="1">IF($FN301+ID$244&gt;73,"",PRODUCT(INDEX($T$19:$T$93,ID$244):INDEX($T$19:$T$93,ID$244+$FN301-1)))</f>
        <v>0.54971272800126625</v>
      </c>
      <c r="IE301" s="469">
        <f ca="1">IF($FN301+IE$244&gt;73,"",PRODUCT(INDEX($T$19:$T$93,IE$244):INDEX($T$19:$T$93,IE$244+$FN301-1)))</f>
        <v>0.51168789373478252</v>
      </c>
      <c r="IF301" s="469">
        <f ca="1">IF($FN301+IF$244&gt;73,"",PRODUCT(INDEX($T$19:$T$93,IF$244):INDEX($T$19:$T$93,IF$244+$FN301-1)))</f>
        <v>0.47178483574838126</v>
      </c>
      <c r="IG301" s="469">
        <f ca="1">IF($FN301+IG$244&gt;73,"",PRODUCT(INDEX($T$19:$T$93,IG$244):INDEX($T$19:$T$93,IG$244+$FN301-1)))</f>
        <v>0.43021484747253186</v>
      </c>
      <c r="IH301" s="662">
        <f ca="1">IF($FN301+IH$244&gt;73,"",PRODUCT(INDEX($T$19:$T$93,IH$244):INDEX($T$19:$T$93,IH$244+$FN301-1)))</f>
        <v>0.3872761730782191</v>
      </c>
      <c r="II301" s="242"/>
    </row>
    <row r="302" spans="9:243">
      <c r="I302" s="132"/>
      <c r="J302" s="365"/>
      <c r="K302" s="133"/>
      <c r="L302" s="1"/>
      <c r="M302" s="366"/>
      <c r="P302" s="365"/>
      <c r="S302" s="53"/>
      <c r="T302" s="365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364">
        <v>6.5079498642309108E-2</v>
      </c>
      <c r="AP302" s="1"/>
      <c r="AQ302" s="364">
        <v>5.8099672206010297E-2</v>
      </c>
      <c r="AR302" s="1"/>
      <c r="AS302" s="1"/>
      <c r="AT302" s="103"/>
      <c r="AU302" s="103"/>
      <c r="AV302" s="103"/>
      <c r="AW302" s="31"/>
      <c r="AX302" s="31"/>
      <c r="AY302" s="31"/>
      <c r="AZ302" s="31"/>
      <c r="BA302" s="146"/>
      <c r="BB302" s="146"/>
      <c r="BC302" s="103"/>
      <c r="BD302" s="103"/>
      <c r="BE302" s="103"/>
      <c r="BF302" s="104"/>
      <c r="BG302" s="104"/>
      <c r="BH302" s="104"/>
      <c r="BI302" s="102"/>
      <c r="BJ302" s="104"/>
      <c r="BK302" s="104"/>
      <c r="BL302" s="103"/>
      <c r="BM302" s="103"/>
      <c r="BN302" s="103"/>
      <c r="BO302" s="103"/>
      <c r="BP302" s="103"/>
      <c r="BQ302" s="103"/>
      <c r="BR302" s="103"/>
      <c r="BS302" s="103"/>
      <c r="BT302" s="103"/>
      <c r="BU302" s="103"/>
      <c r="BV302" s="103"/>
      <c r="BW302" s="103"/>
      <c r="BX302" s="103"/>
      <c r="BY302" s="103"/>
      <c r="BZ302" s="103"/>
      <c r="CA302" s="103"/>
      <c r="CB302" s="104"/>
      <c r="CC302" s="104"/>
      <c r="CD302" s="104"/>
      <c r="CE302" s="104"/>
      <c r="CF302" s="104"/>
      <c r="CG302" s="104"/>
      <c r="CH302" s="103"/>
      <c r="CI302" s="103"/>
      <c r="CJ302" s="103"/>
      <c r="CK302" s="103"/>
      <c r="CL302" s="103"/>
      <c r="CM302" s="103"/>
      <c r="CN302" s="103"/>
      <c r="CO302" s="103"/>
      <c r="CP302" s="103"/>
      <c r="CQ302" s="103"/>
      <c r="CR302" s="103"/>
      <c r="CS302" s="103"/>
      <c r="CT302" s="103"/>
      <c r="CU302" s="103"/>
      <c r="CV302" s="103"/>
      <c r="CW302" s="103"/>
      <c r="CX302" s="103"/>
      <c r="CY302" s="103"/>
      <c r="CZ302" s="103"/>
      <c r="DA302" s="103"/>
      <c r="DB302" s="103"/>
      <c r="DC302" s="103"/>
      <c r="DD302" s="103"/>
      <c r="DE302" s="103"/>
      <c r="DF302" s="465"/>
      <c r="DG302" s="107"/>
      <c r="DH302" s="107"/>
      <c r="DI302" s="465"/>
      <c r="DJ302" s="51"/>
      <c r="DK302" s="52"/>
      <c r="DL302" s="52"/>
      <c r="DM302" s="52"/>
      <c r="DN302" s="52"/>
      <c r="DO302" s="52"/>
      <c r="DP302" s="52"/>
      <c r="DQ302" s="52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P302" s="53"/>
      <c r="EQ302" s="1"/>
      <c r="ER302" s="103"/>
      <c r="ES302" s="102"/>
      <c r="ET302" s="1"/>
      <c r="EU302" s="103"/>
      <c r="EV302" s="1"/>
      <c r="EW302" s="1"/>
      <c r="EX302" s="1"/>
      <c r="EY302" s="104"/>
      <c r="FN302" s="657">
        <v>58</v>
      </c>
      <c r="FO302" s="469" t="str">
        <f ca="1">IF($FN302+FO$244&gt;73,"",PRODUCT(INDEX($T$19:$T$93,FO$244):INDEX($T$19:$T$93,FO$244+$FN302-1)))</f>
        <v/>
      </c>
      <c r="FP302" s="469" t="str">
        <f ca="1">IF($FN302+FP$244&gt;73,"",PRODUCT(INDEX($T$19:$T$93,FP$244):INDEX($T$19:$T$93,FP$244+$FN302-1)))</f>
        <v/>
      </c>
      <c r="FQ302" s="469" t="str">
        <f ca="1">IF($FN302+FQ$244&gt;73,"",PRODUCT(INDEX($T$19:$T$93,FQ$244):INDEX($T$19:$T$93,FQ$244+$FN302-1)))</f>
        <v/>
      </c>
      <c r="FR302" s="469" t="str">
        <f ca="1">IF($FN302+FR$244&gt;73,"",PRODUCT(INDEX($T$19:$T$93,FR$244):INDEX($T$19:$T$93,FR$244+$FN302-1)))</f>
        <v/>
      </c>
      <c r="FS302" s="469" t="str">
        <f ca="1">IF($FN302+FS$244&gt;73,"",PRODUCT(INDEX($T$19:$T$93,FS$244):INDEX($T$19:$T$93,FS$244+$FN302-1)))</f>
        <v/>
      </c>
      <c r="FT302" s="469" t="str">
        <f ca="1">IF($FN302+FT$244&gt;73,"",PRODUCT(INDEX($T$19:$T$93,FT$244):INDEX($T$19:$T$93,FT$244+$FN302-1)))</f>
        <v/>
      </c>
      <c r="FU302" s="469" t="str">
        <f ca="1">IF($FN302+FU$244&gt;73,"",PRODUCT(INDEX($T$19:$T$93,FU$244):INDEX($T$19:$T$93,FU$244+$FN302-1)))</f>
        <v/>
      </c>
      <c r="FV302" s="469" t="str">
        <f ca="1">IF($FN302+FV$244&gt;73,"",PRODUCT(INDEX($T$19:$T$93,FV$244):INDEX($T$19:$T$93,FV$244+$FN302-1)))</f>
        <v/>
      </c>
      <c r="FW302" s="469" t="str">
        <f ca="1">IF($FN302+FW$244&gt;73,"",PRODUCT(INDEX($T$19:$T$93,FW$244):INDEX($T$19:$T$93,FW$244+$FN302-1)))</f>
        <v/>
      </c>
      <c r="FX302" s="469" t="str">
        <f ca="1">IF($FN302+FX$244&gt;73,"",PRODUCT(INDEX($T$19:$T$93,FX$244):INDEX($T$19:$T$93,FX$244+$FN302-1)))</f>
        <v/>
      </c>
      <c r="FY302" s="469" t="str">
        <f ca="1">IF($FN302+FY$244&gt;73,"",PRODUCT(INDEX($T$19:$T$93,FY$244):INDEX($T$19:$T$93,FY$244+$FN302-1)))</f>
        <v/>
      </c>
      <c r="FZ302" s="469" t="str">
        <f ca="1">IF($FN302+FZ$244&gt;73,"",PRODUCT(INDEX($T$19:$T$93,FZ$244):INDEX($T$19:$T$93,FZ$244+$FN302-1)))</f>
        <v/>
      </c>
      <c r="GA302" s="469" t="str">
        <f ca="1">IF($FN302+GA$244&gt;73,"",PRODUCT(INDEX($T$19:$T$93,GA$244):INDEX($T$19:$T$93,GA$244+$FN302-1)))</f>
        <v/>
      </c>
      <c r="GB302" s="469" t="str">
        <f ca="1">IF($FN302+GB$244&gt;73,"",PRODUCT(INDEX($T$19:$T$93,GB$244):INDEX($T$19:$T$93,GB$244+$FN302-1)))</f>
        <v/>
      </c>
      <c r="GC302" s="469" t="str">
        <f ca="1">IF($FN302+GC$244&gt;73,"",PRODUCT(INDEX($T$19:$T$93,GC$244):INDEX($T$19:$T$93,GC$244+$FN302-1)))</f>
        <v/>
      </c>
      <c r="GD302" s="469" t="str">
        <f ca="1">IF($FN302+GD$244&gt;73,"",PRODUCT(INDEX($T$19:$T$93,GD$244):INDEX($T$19:$T$93,GD$244+$FN302-1)))</f>
        <v/>
      </c>
      <c r="GE302" s="469" t="str">
        <f ca="1">IF($FN302+GE$244&gt;73,"",PRODUCT(INDEX($T$19:$T$93,GE$244):INDEX($T$19:$T$93,GE$244+$FN302-1)))</f>
        <v/>
      </c>
      <c r="GF302" s="469" t="str">
        <f ca="1">IF($FN302+GF$244&gt;73,"",PRODUCT(INDEX($T$19:$T$93,GF$244):INDEX($T$19:$T$93,GF$244+$FN302-1)))</f>
        <v/>
      </c>
      <c r="GG302" s="469" t="str">
        <f ca="1">IF($FN302+GG$244&gt;73,"",PRODUCT(INDEX($T$19:$T$93,GG$244):INDEX($T$19:$T$93,GG$244+$FN302-1)))</f>
        <v/>
      </c>
      <c r="GH302" s="469" t="str">
        <f ca="1">IF($FN302+GH$244&gt;73,"",PRODUCT(INDEX($T$19:$T$93,GH$244):INDEX($T$19:$T$93,GH$244+$FN302-1)))</f>
        <v/>
      </c>
      <c r="GI302" s="469" t="str">
        <f ca="1">IF($FN302+GI$244&gt;73,"",PRODUCT(INDEX($T$19:$T$93,GI$244):INDEX($T$19:$T$93,GI$244+$FN302-1)))</f>
        <v/>
      </c>
      <c r="GJ302" s="469" t="str">
        <f ca="1">IF($FN302+GJ$244&gt;73,"",PRODUCT(INDEX($T$19:$T$93,GJ$244):INDEX($T$19:$T$93,GJ$244+$FN302-1)))</f>
        <v/>
      </c>
      <c r="GK302" s="469" t="str">
        <f ca="1">IF($FN302+GK$244&gt;73,"",PRODUCT(INDEX($T$19:$T$93,GK$244):INDEX($T$19:$T$93,GK$244+$FN302-1)))</f>
        <v/>
      </c>
      <c r="GL302" s="469" t="str">
        <f ca="1">IF($FN302+GL$244&gt;73,"",PRODUCT(INDEX($T$19:$T$93,GL$244):INDEX($T$19:$T$93,GL$244+$FN302-1)))</f>
        <v/>
      </c>
      <c r="GM302" s="469" t="str">
        <f ca="1">IF($FN302+GM$244&gt;73,"",PRODUCT(INDEX($T$19:$T$93,GM$244):INDEX($T$19:$T$93,GM$244+$FN302-1)))</f>
        <v/>
      </c>
      <c r="GN302" s="469" t="str">
        <f ca="1">IF($FN302+GN$244&gt;73,"",PRODUCT(INDEX($T$19:$T$93,GN$244):INDEX($T$19:$T$93,GN$244+$FN302-1)))</f>
        <v/>
      </c>
      <c r="GO302" s="469" t="str">
        <f ca="1">IF($FN302+GO$244&gt;73,"",PRODUCT(INDEX($T$19:$T$93,GO$244):INDEX($T$19:$T$93,GO$244+$FN302-1)))</f>
        <v/>
      </c>
      <c r="GP302" s="469" t="str">
        <f ca="1">IF($FN302+GP$244&gt;73,"",PRODUCT(INDEX($T$19:$T$93,GP$244):INDEX($T$19:$T$93,GP$244+$FN302-1)))</f>
        <v/>
      </c>
      <c r="GQ302" s="469" t="str">
        <f ca="1">IF($FN302+GQ$244&gt;73,"",PRODUCT(INDEX($T$19:$T$93,GQ$244):INDEX($T$19:$T$93,GQ$244+$FN302-1)))</f>
        <v/>
      </c>
      <c r="GR302" s="469" t="str">
        <f ca="1">IF($FN302+GR$244&gt;73,"",PRODUCT(INDEX($T$19:$T$93,GR$244):INDEX($T$19:$T$93,GR$244+$FN302-1)))</f>
        <v/>
      </c>
      <c r="GS302" s="469" t="str">
        <f ca="1">IF($FN302+GS$244&gt;73,"",PRODUCT(INDEX($T$19:$T$93,GS$244):INDEX($T$19:$T$93,GS$244+$FN302-1)))</f>
        <v/>
      </c>
      <c r="GT302" s="469" t="str">
        <f ca="1">IF($FN302+GT$244&gt;73,"",PRODUCT(INDEX($T$19:$T$93,GT$244):INDEX($T$19:$T$93,GT$244+$FN302-1)))</f>
        <v/>
      </c>
      <c r="GU302" s="469" t="str">
        <f ca="1">IF($FN302+GU$244&gt;73,"",PRODUCT(INDEX($T$19:$T$93,GU$244):INDEX($T$19:$T$93,GU$244+$FN302-1)))</f>
        <v/>
      </c>
      <c r="GV302" s="469" t="str">
        <f ca="1">IF($FN302+GV$244&gt;73,"",PRODUCT(INDEX($T$19:$T$93,GV$244):INDEX($T$19:$T$93,GV$244+$FN302-1)))</f>
        <v/>
      </c>
      <c r="GW302" s="469" t="str">
        <f ca="1">IF($FN302+GW$244&gt;73,"",PRODUCT(INDEX($T$19:$T$93,GW$244):INDEX($T$19:$T$93,GW$244+$FN302-1)))</f>
        <v/>
      </c>
      <c r="GX302" s="469" t="str">
        <f ca="1">IF($FN302+GX$244&gt;73,"",PRODUCT(INDEX($T$19:$T$93,GX$244):INDEX($T$19:$T$93,GX$244+$FN302-1)))</f>
        <v/>
      </c>
      <c r="GY302" s="469" t="str">
        <f ca="1">IF($FN302+GY$244&gt;73,"",PRODUCT(INDEX($T$19:$T$93,GY$244):INDEX($T$19:$T$93,GY$244+$FN302-1)))</f>
        <v/>
      </c>
      <c r="GZ302" s="469" t="str">
        <f ca="1">IF($FN302+GZ$244&gt;73,"",PRODUCT(INDEX($T$19:$T$93,GZ$244):INDEX($T$19:$T$93,GZ$244+$FN302-1)))</f>
        <v/>
      </c>
      <c r="HA302" s="469" t="str">
        <f ca="1">IF($FN302+HA$244&gt;73,"",PRODUCT(INDEX($T$19:$T$93,HA$244):INDEX($T$19:$T$93,HA$244+$FN302-1)))</f>
        <v/>
      </c>
      <c r="HB302" s="469" t="str">
        <f ca="1">IF($FN302+HB$244&gt;73,"",PRODUCT(INDEX($T$19:$T$93,HB$244):INDEX($T$19:$T$93,HB$244+$FN302-1)))</f>
        <v/>
      </c>
      <c r="HC302" s="469" t="str">
        <f ca="1">IF($FN302+HC$244&gt;73,"",PRODUCT(INDEX($T$19:$T$93,HC$244):INDEX($T$19:$T$93,HC$244+$FN302-1)))</f>
        <v/>
      </c>
      <c r="HD302" s="469" t="str">
        <f ca="1">IF($FN302+HD$244&gt;73,"",PRODUCT(INDEX($T$19:$T$93,HD$244):INDEX($T$19:$T$93,HD$244+$FN302-1)))</f>
        <v/>
      </c>
      <c r="HE302" s="469" t="str">
        <f ca="1">IF($FN302+HE$244&gt;73,"",PRODUCT(INDEX($T$19:$T$93,HE$244):INDEX($T$19:$T$93,HE$244+$FN302-1)))</f>
        <v/>
      </c>
      <c r="HF302" s="469" t="str">
        <f ca="1">IF($FN302+HF$244&gt;73,"",PRODUCT(INDEX($T$19:$T$93,HF$244):INDEX($T$19:$T$93,HF$244+$FN302-1)))</f>
        <v/>
      </c>
      <c r="HG302" s="469" t="str">
        <f ca="1">IF($FN302+HG$244&gt;73,"",PRODUCT(INDEX($T$19:$T$93,HG$244):INDEX($T$19:$T$93,HG$244+$FN302-1)))</f>
        <v/>
      </c>
      <c r="HH302" s="469" t="str">
        <f ca="1">IF($FN302+HH$244&gt;73,"",PRODUCT(INDEX($T$19:$T$93,HH$244):INDEX($T$19:$T$93,HH$244+$FN302-1)))</f>
        <v/>
      </c>
      <c r="HI302" s="469" t="str">
        <f ca="1">IF($FN302+HI$244&gt;73,"",PRODUCT(INDEX($T$19:$T$93,HI$244):INDEX($T$19:$T$93,HI$244+$FN302-1)))</f>
        <v/>
      </c>
      <c r="HJ302" s="469" t="str">
        <f ca="1">IF($FN302+HJ$244&gt;73,"",PRODUCT(INDEX($T$19:$T$93,HJ$244):INDEX($T$19:$T$93,HJ$244+$FN302-1)))</f>
        <v/>
      </c>
      <c r="HK302" s="469" t="str">
        <f ca="1">IF($FN302+HK$244&gt;73,"",PRODUCT(INDEX($T$19:$T$93,HK$244):INDEX($T$19:$T$93,HK$244+$FN302-1)))</f>
        <v/>
      </c>
      <c r="HL302" s="469" t="str">
        <f ca="1">IF($FN302+HL$244&gt;73,"",PRODUCT(INDEX($T$19:$T$93,HL$244):INDEX($T$19:$T$93,HL$244+$FN302-1)))</f>
        <v/>
      </c>
      <c r="HM302" s="469" t="str">
        <f ca="1">IF($FN302+HM$244&gt;73,"",PRODUCT(INDEX($T$19:$T$93,HM$244):INDEX($T$19:$T$93,HM$244+$FN302-1)))</f>
        <v/>
      </c>
      <c r="HN302" s="469" t="str">
        <f ca="1">IF($FN302+HN$244&gt;73,"",PRODUCT(INDEX($T$19:$T$93,HN$244):INDEX($T$19:$T$93,HN$244+$FN302-1)))</f>
        <v/>
      </c>
      <c r="HO302" s="469" t="str">
        <f ca="1">IF($FN302+HO$244&gt;73,"",PRODUCT(INDEX($T$19:$T$93,HO$244):INDEX($T$19:$T$93,HO$244+$FN302-1)))</f>
        <v/>
      </c>
      <c r="HP302" s="469" t="str">
        <f ca="1">IF($FN302+HP$244&gt;73,"",PRODUCT(INDEX($T$19:$T$93,HP$244):INDEX($T$19:$T$93,HP$244+$FN302-1)))</f>
        <v/>
      </c>
      <c r="HQ302" s="469" t="str">
        <f ca="1">IF($FN302+HQ$244&gt;73,"",PRODUCT(INDEX($T$19:$T$93,HQ$244):INDEX($T$19:$T$93,HQ$244+$FN302-1)))</f>
        <v/>
      </c>
      <c r="HR302" s="469" t="str">
        <f ca="1">IF($FN302+HR$244&gt;73,"",PRODUCT(INDEX($T$19:$T$93,HR$244):INDEX($T$19:$T$93,HR$244+$FN302-1)))</f>
        <v/>
      </c>
      <c r="HS302" s="469" t="str">
        <f ca="1">IF($FN302+HS$244&gt;73,"",PRODUCT(INDEX($T$19:$T$93,HS$244):INDEX($T$19:$T$93,HS$244+$FN302-1)))</f>
        <v/>
      </c>
      <c r="HT302" s="469">
        <f ca="1">IF($FN302+HT$244&gt;73,"",PRODUCT(INDEX($T$19:$T$93,HT$244):INDEX($T$19:$T$93,HT$244+$FN302-1)))</f>
        <v>0.81807173292589486</v>
      </c>
      <c r="HU302" s="469">
        <f ca="1">IF($FN302+HU$244&gt;73,"",PRODUCT(INDEX($T$19:$T$93,HU$244):INDEX($T$19:$T$93,HU$244+$FN302-1)))</f>
        <v>0.79968162208010296</v>
      </c>
      <c r="HV302" s="469">
        <f ca="1">IF($FN302+HV$244&gt;73,"",PRODUCT(INDEX($T$19:$T$93,HV$244):INDEX($T$19:$T$93,HV$244+$FN302-1)))</f>
        <v>0.7796415767453958</v>
      </c>
      <c r="HW302" s="469">
        <f ca="1">IF($FN302+HW$244&gt;73,"",PRODUCT(INDEX($T$19:$T$93,HW$244):INDEX($T$19:$T$93,HW$244+$FN302-1)))</f>
        <v>0.75784965536326299</v>
      </c>
      <c r="HX302" s="469">
        <f ca="1">IF($FN302+HX$244&gt;73,"",PRODUCT(INDEX($T$19:$T$93,HX$244):INDEX($T$19:$T$93,HX$244+$FN302-1)))</f>
        <v>0.73420839268141069</v>
      </c>
      <c r="HY302" s="469">
        <f ca="1">IF($FN302+HY$244&gt;73,"",PRODUCT(INDEX($T$19:$T$93,HY$244):INDEX($T$19:$T$93,HY$244+$FN302-1)))</f>
        <v>0.70862807679492168</v>
      </c>
      <c r="HZ302" s="469">
        <f ca="1">IF($FN302+HZ$244&gt;73,"",PRODUCT(INDEX($T$19:$T$93,HZ$244):INDEX($T$19:$T$93,HZ$244+$FN302-1)))</f>
        <v>0.68103080399358618</v>
      </c>
      <c r="IA302" s="469">
        <f ca="1">IF($FN302+IA$244&gt;73,"",PRODUCT(INDEX($T$19:$T$93,IA$244):INDEX($T$19:$T$93,IA$244+$FN302-1)))</f>
        <v>0.65135543977358912</v>
      </c>
      <c r="IB302" s="469">
        <f ca="1">IF($FN302+IB$244&gt;73,"",PRODUCT(INDEX($T$19:$T$93,IB$244):INDEX($T$19:$T$93,IB$244+$FN302-1)))</f>
        <v>0.61956362542351984</v>
      </c>
      <c r="IC302" s="469">
        <f ca="1">IF($FN302+IC$244&gt;73,"",PRODUCT(INDEX($T$19:$T$93,IC$244):INDEX($T$19:$T$93,IC$244+$FN302-1)))</f>
        <v>0.58564697588250414</v>
      </c>
      <c r="ID302" s="469">
        <f ca="1">IF($FN302+ID$244&gt;73,"",PRODUCT(INDEX($T$19:$T$93,ID$244):INDEX($T$19:$T$93,ID$244+$FN302-1)))</f>
        <v>0.54963561050469789</v>
      </c>
      <c r="IE302" s="469">
        <f ca="1">IF($FN302+IE$244&gt;73,"",PRODUCT(INDEX($T$19:$T$93,IE$244):INDEX($T$19:$T$93,IE$244+$FN302-1)))</f>
        <v>0.5116081340744294</v>
      </c>
      <c r="IF302" s="469">
        <f ca="1">IF($FN302+IF$244&gt;73,"",PRODUCT(INDEX($T$19:$T$93,IF$244):INDEX($T$19:$T$93,IF$244+$FN302-1)))</f>
        <v>0.47170312417721544</v>
      </c>
      <c r="IG302" s="469">
        <f ca="1">IF($FN302+IG$244&gt;73,"",PRODUCT(INDEX($T$19:$T$93,IG$244):INDEX($T$19:$T$93,IG$244+$FN302-1)))</f>
        <v>0.43013205576083396</v>
      </c>
      <c r="IH302" s="662">
        <f ca="1">IF($FN302+IH$244&gt;73,"",PRODUCT(INDEX($T$19:$T$93,IH$244):INDEX($T$19:$T$93,IH$244+$FN302-1)))</f>
        <v>0.38719336272527893</v>
      </c>
      <c r="II302" s="242"/>
    </row>
    <row r="303" spans="9:243">
      <c r="I303" s="132"/>
      <c r="J303" s="365"/>
      <c r="K303" s="133"/>
      <c r="L303" s="1"/>
      <c r="M303" s="366"/>
      <c r="P303" s="365"/>
      <c r="S303" s="53"/>
      <c r="T303" s="365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364">
        <v>6.5089802941793409E-2</v>
      </c>
      <c r="AP303" s="1"/>
      <c r="AQ303" s="364">
        <v>5.8061707129509497E-2</v>
      </c>
      <c r="AR303" s="1"/>
      <c r="AS303" s="1"/>
      <c r="AT303" s="103"/>
      <c r="AU303" s="103"/>
      <c r="AV303" s="103"/>
      <c r="AW303" s="31"/>
      <c r="AX303" s="31"/>
      <c r="AY303" s="31"/>
      <c r="AZ303" s="31"/>
      <c r="BA303" s="146"/>
      <c r="BB303" s="146"/>
      <c r="BC303" s="103"/>
      <c r="BD303" s="103"/>
      <c r="BE303" s="103"/>
      <c r="BF303" s="104"/>
      <c r="BG303" s="104"/>
      <c r="BH303" s="104"/>
      <c r="BI303" s="102"/>
      <c r="BJ303" s="104"/>
      <c r="BK303" s="104"/>
      <c r="BL303" s="103"/>
      <c r="BM303" s="103"/>
      <c r="BN303" s="103"/>
      <c r="BO303" s="103"/>
      <c r="BP303" s="103"/>
      <c r="BQ303" s="103"/>
      <c r="BR303" s="103"/>
      <c r="BS303" s="103"/>
      <c r="BT303" s="103"/>
      <c r="BU303" s="103"/>
      <c r="BV303" s="103"/>
      <c r="BW303" s="103"/>
      <c r="BX303" s="103"/>
      <c r="BY303" s="103"/>
      <c r="BZ303" s="103"/>
      <c r="CA303" s="103"/>
      <c r="CB303" s="104"/>
      <c r="CC303" s="104"/>
      <c r="CD303" s="104"/>
      <c r="CE303" s="104"/>
      <c r="CF303" s="104"/>
      <c r="CG303" s="104"/>
      <c r="CH303" s="103"/>
      <c r="CI303" s="103"/>
      <c r="CJ303" s="103"/>
      <c r="CK303" s="103"/>
      <c r="CL303" s="103"/>
      <c r="CM303" s="103"/>
      <c r="CN303" s="103"/>
      <c r="CO303" s="103"/>
      <c r="CP303" s="103"/>
      <c r="CQ303" s="103"/>
      <c r="CR303" s="103"/>
      <c r="CS303" s="103"/>
      <c r="CT303" s="103"/>
      <c r="CU303" s="103"/>
      <c r="CV303" s="103"/>
      <c r="CW303" s="103"/>
      <c r="CX303" s="103"/>
      <c r="CY303" s="103"/>
      <c r="CZ303" s="103"/>
      <c r="DA303" s="103"/>
      <c r="DB303" s="103"/>
      <c r="DC303" s="103"/>
      <c r="DD303" s="103"/>
      <c r="DE303" s="103"/>
      <c r="DF303" s="465"/>
      <c r="DG303" s="107"/>
      <c r="DH303" s="107"/>
      <c r="DI303" s="465"/>
      <c r="DJ303" s="51"/>
      <c r="DK303" s="52"/>
      <c r="DL303" s="52"/>
      <c r="DM303" s="52"/>
      <c r="DN303" s="52"/>
      <c r="DO303" s="52"/>
      <c r="DP303" s="52"/>
      <c r="DQ303" s="52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P303" s="53"/>
      <c r="EQ303" s="1"/>
      <c r="ER303" s="103"/>
      <c r="ES303" s="102"/>
      <c r="ET303" s="1"/>
      <c r="EU303" s="103"/>
      <c r="EV303" s="1"/>
      <c r="EW303" s="1"/>
      <c r="EX303" s="1"/>
      <c r="EY303" s="104"/>
      <c r="FN303" s="657">
        <v>59</v>
      </c>
      <c r="FO303" s="469" t="str">
        <f ca="1">IF($FN303+FO$244&gt;73,"",PRODUCT(INDEX($T$19:$T$93,FO$244):INDEX($T$19:$T$93,FO$244+$FN303-1)))</f>
        <v/>
      </c>
      <c r="FP303" s="469" t="str">
        <f ca="1">IF($FN303+FP$244&gt;73,"",PRODUCT(INDEX($T$19:$T$93,FP$244):INDEX($T$19:$T$93,FP$244+$FN303-1)))</f>
        <v/>
      </c>
      <c r="FQ303" s="469" t="str">
        <f ca="1">IF($FN303+FQ$244&gt;73,"",PRODUCT(INDEX($T$19:$T$93,FQ$244):INDEX($T$19:$T$93,FQ$244+$FN303-1)))</f>
        <v/>
      </c>
      <c r="FR303" s="469" t="str">
        <f ca="1">IF($FN303+FR$244&gt;73,"",PRODUCT(INDEX($T$19:$T$93,FR$244):INDEX($T$19:$T$93,FR$244+$FN303-1)))</f>
        <v/>
      </c>
      <c r="FS303" s="469" t="str">
        <f ca="1">IF($FN303+FS$244&gt;73,"",PRODUCT(INDEX($T$19:$T$93,FS$244):INDEX($T$19:$T$93,FS$244+$FN303-1)))</f>
        <v/>
      </c>
      <c r="FT303" s="469" t="str">
        <f ca="1">IF($FN303+FT$244&gt;73,"",PRODUCT(INDEX($T$19:$T$93,FT$244):INDEX($T$19:$T$93,FT$244+$FN303-1)))</f>
        <v/>
      </c>
      <c r="FU303" s="469" t="str">
        <f ca="1">IF($FN303+FU$244&gt;73,"",PRODUCT(INDEX($T$19:$T$93,FU$244):INDEX($T$19:$T$93,FU$244+$FN303-1)))</f>
        <v/>
      </c>
      <c r="FV303" s="469" t="str">
        <f ca="1">IF($FN303+FV$244&gt;73,"",PRODUCT(INDEX($T$19:$T$93,FV$244):INDEX($T$19:$T$93,FV$244+$FN303-1)))</f>
        <v/>
      </c>
      <c r="FW303" s="469" t="str">
        <f ca="1">IF($FN303+FW$244&gt;73,"",PRODUCT(INDEX($T$19:$T$93,FW$244):INDEX($T$19:$T$93,FW$244+$FN303-1)))</f>
        <v/>
      </c>
      <c r="FX303" s="469" t="str">
        <f ca="1">IF($FN303+FX$244&gt;73,"",PRODUCT(INDEX($T$19:$T$93,FX$244):INDEX($T$19:$T$93,FX$244+$FN303-1)))</f>
        <v/>
      </c>
      <c r="FY303" s="469" t="str">
        <f ca="1">IF($FN303+FY$244&gt;73,"",PRODUCT(INDEX($T$19:$T$93,FY$244):INDEX($T$19:$T$93,FY$244+$FN303-1)))</f>
        <v/>
      </c>
      <c r="FZ303" s="469" t="str">
        <f ca="1">IF($FN303+FZ$244&gt;73,"",PRODUCT(INDEX($T$19:$T$93,FZ$244):INDEX($T$19:$T$93,FZ$244+$FN303-1)))</f>
        <v/>
      </c>
      <c r="GA303" s="469" t="str">
        <f ca="1">IF($FN303+GA$244&gt;73,"",PRODUCT(INDEX($T$19:$T$93,GA$244):INDEX($T$19:$T$93,GA$244+$FN303-1)))</f>
        <v/>
      </c>
      <c r="GB303" s="469" t="str">
        <f ca="1">IF($FN303+GB$244&gt;73,"",PRODUCT(INDEX($T$19:$T$93,GB$244):INDEX($T$19:$T$93,GB$244+$FN303-1)))</f>
        <v/>
      </c>
      <c r="GC303" s="469" t="str">
        <f ca="1">IF($FN303+GC$244&gt;73,"",PRODUCT(INDEX($T$19:$T$93,GC$244):INDEX($T$19:$T$93,GC$244+$FN303-1)))</f>
        <v/>
      </c>
      <c r="GD303" s="469" t="str">
        <f ca="1">IF($FN303+GD$244&gt;73,"",PRODUCT(INDEX($T$19:$T$93,GD$244):INDEX($T$19:$T$93,GD$244+$FN303-1)))</f>
        <v/>
      </c>
      <c r="GE303" s="469" t="str">
        <f ca="1">IF($FN303+GE$244&gt;73,"",PRODUCT(INDEX($T$19:$T$93,GE$244):INDEX($T$19:$T$93,GE$244+$FN303-1)))</f>
        <v/>
      </c>
      <c r="GF303" s="469" t="str">
        <f ca="1">IF($FN303+GF$244&gt;73,"",PRODUCT(INDEX($T$19:$T$93,GF$244):INDEX($T$19:$T$93,GF$244+$FN303-1)))</f>
        <v/>
      </c>
      <c r="GG303" s="469" t="str">
        <f ca="1">IF($FN303+GG$244&gt;73,"",PRODUCT(INDEX($T$19:$T$93,GG$244):INDEX($T$19:$T$93,GG$244+$FN303-1)))</f>
        <v/>
      </c>
      <c r="GH303" s="469" t="str">
        <f ca="1">IF($FN303+GH$244&gt;73,"",PRODUCT(INDEX($T$19:$T$93,GH$244):INDEX($T$19:$T$93,GH$244+$FN303-1)))</f>
        <v/>
      </c>
      <c r="GI303" s="469" t="str">
        <f ca="1">IF($FN303+GI$244&gt;73,"",PRODUCT(INDEX($T$19:$T$93,GI$244):INDEX($T$19:$T$93,GI$244+$FN303-1)))</f>
        <v/>
      </c>
      <c r="GJ303" s="469" t="str">
        <f ca="1">IF($FN303+GJ$244&gt;73,"",PRODUCT(INDEX($T$19:$T$93,GJ$244):INDEX($T$19:$T$93,GJ$244+$FN303-1)))</f>
        <v/>
      </c>
      <c r="GK303" s="469" t="str">
        <f ca="1">IF($FN303+GK$244&gt;73,"",PRODUCT(INDEX($T$19:$T$93,GK$244):INDEX($T$19:$T$93,GK$244+$FN303-1)))</f>
        <v/>
      </c>
      <c r="GL303" s="469" t="str">
        <f ca="1">IF($FN303+GL$244&gt;73,"",PRODUCT(INDEX($T$19:$T$93,GL$244):INDEX($T$19:$T$93,GL$244+$FN303-1)))</f>
        <v/>
      </c>
      <c r="GM303" s="469" t="str">
        <f ca="1">IF($FN303+GM$244&gt;73,"",PRODUCT(INDEX($T$19:$T$93,GM$244):INDEX($T$19:$T$93,GM$244+$FN303-1)))</f>
        <v/>
      </c>
      <c r="GN303" s="469" t="str">
        <f ca="1">IF($FN303+GN$244&gt;73,"",PRODUCT(INDEX($T$19:$T$93,GN$244):INDEX($T$19:$T$93,GN$244+$FN303-1)))</f>
        <v/>
      </c>
      <c r="GO303" s="469" t="str">
        <f ca="1">IF($FN303+GO$244&gt;73,"",PRODUCT(INDEX($T$19:$T$93,GO$244):INDEX($T$19:$T$93,GO$244+$FN303-1)))</f>
        <v/>
      </c>
      <c r="GP303" s="469" t="str">
        <f ca="1">IF($FN303+GP$244&gt;73,"",PRODUCT(INDEX($T$19:$T$93,GP$244):INDEX($T$19:$T$93,GP$244+$FN303-1)))</f>
        <v/>
      </c>
      <c r="GQ303" s="469" t="str">
        <f ca="1">IF($FN303+GQ$244&gt;73,"",PRODUCT(INDEX($T$19:$T$93,GQ$244):INDEX($T$19:$T$93,GQ$244+$FN303-1)))</f>
        <v/>
      </c>
      <c r="GR303" s="469" t="str">
        <f ca="1">IF($FN303+GR$244&gt;73,"",PRODUCT(INDEX($T$19:$T$93,GR$244):INDEX($T$19:$T$93,GR$244+$FN303-1)))</f>
        <v/>
      </c>
      <c r="GS303" s="469" t="str">
        <f ca="1">IF($FN303+GS$244&gt;73,"",PRODUCT(INDEX($T$19:$T$93,GS$244):INDEX($T$19:$T$93,GS$244+$FN303-1)))</f>
        <v/>
      </c>
      <c r="GT303" s="469" t="str">
        <f ca="1">IF($FN303+GT$244&gt;73,"",PRODUCT(INDEX($T$19:$T$93,GT$244):INDEX($T$19:$T$93,GT$244+$FN303-1)))</f>
        <v/>
      </c>
      <c r="GU303" s="469" t="str">
        <f ca="1">IF($FN303+GU$244&gt;73,"",PRODUCT(INDEX($T$19:$T$93,GU$244):INDEX($T$19:$T$93,GU$244+$FN303-1)))</f>
        <v/>
      </c>
      <c r="GV303" s="469" t="str">
        <f ca="1">IF($FN303+GV$244&gt;73,"",PRODUCT(INDEX($T$19:$T$93,GV$244):INDEX($T$19:$T$93,GV$244+$FN303-1)))</f>
        <v/>
      </c>
      <c r="GW303" s="469" t="str">
        <f ca="1">IF($FN303+GW$244&gt;73,"",PRODUCT(INDEX($T$19:$T$93,GW$244):INDEX($T$19:$T$93,GW$244+$FN303-1)))</f>
        <v/>
      </c>
      <c r="GX303" s="469" t="str">
        <f ca="1">IF($FN303+GX$244&gt;73,"",PRODUCT(INDEX($T$19:$T$93,GX$244):INDEX($T$19:$T$93,GX$244+$FN303-1)))</f>
        <v/>
      </c>
      <c r="GY303" s="469" t="str">
        <f ca="1">IF($FN303+GY$244&gt;73,"",PRODUCT(INDEX($T$19:$T$93,GY$244):INDEX($T$19:$T$93,GY$244+$FN303-1)))</f>
        <v/>
      </c>
      <c r="GZ303" s="469" t="str">
        <f ca="1">IF($FN303+GZ$244&gt;73,"",PRODUCT(INDEX($T$19:$T$93,GZ$244):INDEX($T$19:$T$93,GZ$244+$FN303-1)))</f>
        <v/>
      </c>
      <c r="HA303" s="469" t="str">
        <f ca="1">IF($FN303+HA$244&gt;73,"",PRODUCT(INDEX($T$19:$T$93,HA$244):INDEX($T$19:$T$93,HA$244+$FN303-1)))</f>
        <v/>
      </c>
      <c r="HB303" s="469" t="str">
        <f ca="1">IF($FN303+HB$244&gt;73,"",PRODUCT(INDEX($T$19:$T$93,HB$244):INDEX($T$19:$T$93,HB$244+$FN303-1)))</f>
        <v/>
      </c>
      <c r="HC303" s="469" t="str">
        <f ca="1">IF($FN303+HC$244&gt;73,"",PRODUCT(INDEX($T$19:$T$93,HC$244):INDEX($T$19:$T$93,HC$244+$FN303-1)))</f>
        <v/>
      </c>
      <c r="HD303" s="469" t="str">
        <f ca="1">IF($FN303+HD$244&gt;73,"",PRODUCT(INDEX($T$19:$T$93,HD$244):INDEX($T$19:$T$93,HD$244+$FN303-1)))</f>
        <v/>
      </c>
      <c r="HE303" s="469" t="str">
        <f ca="1">IF($FN303+HE$244&gt;73,"",PRODUCT(INDEX($T$19:$T$93,HE$244):INDEX($T$19:$T$93,HE$244+$FN303-1)))</f>
        <v/>
      </c>
      <c r="HF303" s="469" t="str">
        <f ca="1">IF($FN303+HF$244&gt;73,"",PRODUCT(INDEX($T$19:$T$93,HF$244):INDEX($T$19:$T$93,HF$244+$FN303-1)))</f>
        <v/>
      </c>
      <c r="HG303" s="469" t="str">
        <f ca="1">IF($FN303+HG$244&gt;73,"",PRODUCT(INDEX($T$19:$T$93,HG$244):INDEX($T$19:$T$93,HG$244+$FN303-1)))</f>
        <v/>
      </c>
      <c r="HH303" s="469" t="str">
        <f ca="1">IF($FN303+HH$244&gt;73,"",PRODUCT(INDEX($T$19:$T$93,HH$244):INDEX($T$19:$T$93,HH$244+$FN303-1)))</f>
        <v/>
      </c>
      <c r="HI303" s="469" t="str">
        <f ca="1">IF($FN303+HI$244&gt;73,"",PRODUCT(INDEX($T$19:$T$93,HI$244):INDEX($T$19:$T$93,HI$244+$FN303-1)))</f>
        <v/>
      </c>
      <c r="HJ303" s="469" t="str">
        <f ca="1">IF($FN303+HJ$244&gt;73,"",PRODUCT(INDEX($T$19:$T$93,HJ$244):INDEX($T$19:$T$93,HJ$244+$FN303-1)))</f>
        <v/>
      </c>
      <c r="HK303" s="469" t="str">
        <f ca="1">IF($FN303+HK$244&gt;73,"",PRODUCT(INDEX($T$19:$T$93,HK$244):INDEX($T$19:$T$93,HK$244+$FN303-1)))</f>
        <v/>
      </c>
      <c r="HL303" s="469" t="str">
        <f ca="1">IF($FN303+HL$244&gt;73,"",PRODUCT(INDEX($T$19:$T$93,HL$244):INDEX($T$19:$T$93,HL$244+$FN303-1)))</f>
        <v/>
      </c>
      <c r="HM303" s="469" t="str">
        <f ca="1">IF($FN303+HM$244&gt;73,"",PRODUCT(INDEX($T$19:$T$93,HM$244):INDEX($T$19:$T$93,HM$244+$FN303-1)))</f>
        <v/>
      </c>
      <c r="HN303" s="469" t="str">
        <f ca="1">IF($FN303+HN$244&gt;73,"",PRODUCT(INDEX($T$19:$T$93,HN$244):INDEX($T$19:$T$93,HN$244+$FN303-1)))</f>
        <v/>
      </c>
      <c r="HO303" s="469" t="str">
        <f ca="1">IF($FN303+HO$244&gt;73,"",PRODUCT(INDEX($T$19:$T$93,HO$244):INDEX($T$19:$T$93,HO$244+$FN303-1)))</f>
        <v/>
      </c>
      <c r="HP303" s="469" t="str">
        <f ca="1">IF($FN303+HP$244&gt;73,"",PRODUCT(INDEX($T$19:$T$93,HP$244):INDEX($T$19:$T$93,HP$244+$FN303-1)))</f>
        <v/>
      </c>
      <c r="HQ303" s="469" t="str">
        <f ca="1">IF($FN303+HQ$244&gt;73,"",PRODUCT(INDEX($T$19:$T$93,HQ$244):INDEX($T$19:$T$93,HQ$244+$FN303-1)))</f>
        <v/>
      </c>
      <c r="HR303" s="469" t="str">
        <f ca="1">IF($FN303+HR$244&gt;73,"",PRODUCT(INDEX($T$19:$T$93,HR$244):INDEX($T$19:$T$93,HR$244+$FN303-1)))</f>
        <v/>
      </c>
      <c r="HS303" s="469" t="str">
        <f ca="1">IF($FN303+HS$244&gt;73,"",PRODUCT(INDEX($T$19:$T$93,HS$244):INDEX($T$19:$T$93,HS$244+$FN303-1)))</f>
        <v/>
      </c>
      <c r="HT303" s="469" t="str">
        <f ca="1">IF($FN303+HT$244&gt;73,"",PRODUCT(INDEX($T$19:$T$93,HT$244):INDEX($T$19:$T$93,HT$244+$FN303-1)))</f>
        <v/>
      </c>
      <c r="HU303" s="469">
        <f ca="1">IF($FN303+HU$244&gt;73,"",PRODUCT(INDEX($T$19:$T$93,HU$244):INDEX($T$19:$T$93,HU$244+$FN303-1)))</f>
        <v>0.79964250748161492</v>
      </c>
      <c r="HV303" s="469">
        <f ca="1">IF($FN303+HV$244&gt;73,"",PRODUCT(INDEX($T$19:$T$93,HV$244):INDEX($T$19:$T$93,HV$244+$FN303-1)))</f>
        <v>0.7795992050884929</v>
      </c>
      <c r="HW303" s="469">
        <f ca="1">IF($FN303+HW$244&gt;73,"",PRODUCT(INDEX($T$19:$T$93,HW$244):INDEX($T$19:$T$93,HW$244+$FN303-1)))</f>
        <v>0.75780389153534111</v>
      </c>
      <c r="HX303" s="469">
        <f ca="1">IF($FN303+HX$244&gt;73,"",PRODUCT(INDEX($T$19:$T$93,HX$244):INDEX($T$19:$T$93,HX$244+$FN303-1)))</f>
        <v>0.73415913004923439</v>
      </c>
      <c r="HY303" s="469">
        <f ca="1">IF($FN303+HY$244&gt;73,"",PRODUCT(INDEX($T$19:$T$93,HY$244):INDEX($T$19:$T$93,HY$244+$FN303-1)))</f>
        <v>0.7085752473831487</v>
      </c>
      <c r="HZ303" s="469">
        <f ca="1">IF($FN303+HZ$244&gt;73,"",PRODUCT(INDEX($T$19:$T$93,HZ$244):INDEX($T$19:$T$93,HZ$244+$FN303-1)))</f>
        <v>0.68097439043259245</v>
      </c>
      <c r="IA303" s="469">
        <f ca="1">IF($FN303+IA$244&gt;73,"",PRODUCT(INDEX($T$19:$T$93,IA$244):INDEX($T$19:$T$93,IA$244+$FN303-1)))</f>
        <v>0.65129548906069601</v>
      </c>
      <c r="IB303" s="469">
        <f ca="1">IF($FN303+IB$244&gt;73,"",PRODUCT(INDEX($T$19:$T$93,IB$244):INDEX($T$19:$T$93,IB$244+$FN303-1)))</f>
        <v>0.61950026442648554</v>
      </c>
      <c r="IC303" s="469">
        <f ca="1">IF($FN303+IC$244&gt;73,"",PRODUCT(INDEX($T$19:$T$93,IC$244):INDEX($T$19:$T$93,IC$244+$FN303-1)))</f>
        <v>0.58558042833740942</v>
      </c>
      <c r="ID303" s="469">
        <f ca="1">IF($FN303+ID$244&gt;73,"",PRODUCT(INDEX($T$19:$T$93,ID$244):INDEX($T$19:$T$93,ID$244+$FN303-1)))</f>
        <v>0.54956621500104674</v>
      </c>
      <c r="IE303" s="469">
        <f ca="1">IF($FN303+IE$244&gt;73,"",PRODUCT(INDEX($T$19:$T$93,IE$244):INDEX($T$19:$T$93,IE$244+$FN303-1)))</f>
        <v>0.51153636215336196</v>
      </c>
      <c r="IF303" s="469">
        <f ca="1">IF($FN303+IF$244&gt;73,"",PRODUCT(INDEX($T$19:$T$93,IF$244):INDEX($T$19:$T$93,IF$244+$FN303-1)))</f>
        <v>0.4716295971670349</v>
      </c>
      <c r="IG303" s="469">
        <f ca="1">IF($FN303+IG$244&gt;73,"",PRODUCT(INDEX($T$19:$T$93,IG$244):INDEX($T$19:$T$93,IG$244+$FN303-1)))</f>
        <v>0.43005755831322262</v>
      </c>
      <c r="IH303" s="662">
        <f ca="1">IF($FN303+IH$244&gt;73,"",PRODUCT(INDEX($T$19:$T$93,IH$244):INDEX($T$19:$T$93,IH$244+$FN303-1)))</f>
        <v>0.38711885018475084</v>
      </c>
      <c r="II303" s="242"/>
    </row>
    <row r="304" spans="9:243">
      <c r="I304" s="132"/>
      <c r="J304" s="365"/>
      <c r="K304" s="133"/>
      <c r="L304" s="1"/>
      <c r="M304" s="366"/>
      <c r="P304" s="365"/>
      <c r="S304" s="53"/>
      <c r="T304" s="365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364">
        <v>6.51004507179649E-2</v>
      </c>
      <c r="AP304" s="1"/>
      <c r="AQ304" s="364">
        <v>5.8022476561034902E-2</v>
      </c>
      <c r="AR304" s="1"/>
      <c r="AS304" s="1"/>
      <c r="AT304" s="103"/>
      <c r="AU304" s="103"/>
      <c r="AV304" s="103"/>
      <c r="AW304" s="31"/>
      <c r="AX304" s="31"/>
      <c r="AY304" s="31"/>
      <c r="AZ304" s="31"/>
      <c r="BA304" s="146"/>
      <c r="BB304" s="146"/>
      <c r="BC304" s="103"/>
      <c r="BD304" s="103"/>
      <c r="BE304" s="103"/>
      <c r="BF304" s="104"/>
      <c r="BG304" s="104"/>
      <c r="BH304" s="104"/>
      <c r="BI304" s="102"/>
      <c r="BJ304" s="104"/>
      <c r="BK304" s="104"/>
      <c r="BL304" s="103"/>
      <c r="BM304" s="103"/>
      <c r="BN304" s="103"/>
      <c r="BO304" s="103"/>
      <c r="BP304" s="103"/>
      <c r="BQ304" s="103"/>
      <c r="BR304" s="103"/>
      <c r="BS304" s="103"/>
      <c r="BT304" s="103"/>
      <c r="BU304" s="103"/>
      <c r="BV304" s="103"/>
      <c r="BW304" s="103"/>
      <c r="BX304" s="103"/>
      <c r="BY304" s="103"/>
      <c r="BZ304" s="103"/>
      <c r="CA304" s="103"/>
      <c r="CB304" s="104"/>
      <c r="CC304" s="104"/>
      <c r="CD304" s="104"/>
      <c r="CE304" s="104"/>
      <c r="CF304" s="104"/>
      <c r="CG304" s="104"/>
      <c r="CH304" s="103"/>
      <c r="CI304" s="103"/>
      <c r="CJ304" s="103"/>
      <c r="CK304" s="103"/>
      <c r="CL304" s="103"/>
      <c r="CM304" s="103"/>
      <c r="CN304" s="103"/>
      <c r="CO304" s="103"/>
      <c r="CP304" s="103"/>
      <c r="CQ304" s="103"/>
      <c r="CR304" s="103"/>
      <c r="CS304" s="103"/>
      <c r="CT304" s="103"/>
      <c r="CU304" s="103"/>
      <c r="CV304" s="103"/>
      <c r="CW304" s="103"/>
      <c r="CX304" s="103"/>
      <c r="CY304" s="103"/>
      <c r="CZ304" s="103"/>
      <c r="DA304" s="103"/>
      <c r="DB304" s="103"/>
      <c r="DC304" s="103"/>
      <c r="DD304" s="103"/>
      <c r="DE304" s="103"/>
      <c r="DF304" s="465"/>
      <c r="DG304" s="107"/>
      <c r="DH304" s="107"/>
      <c r="DI304" s="465"/>
      <c r="DJ304" s="51"/>
      <c r="DK304" s="52"/>
      <c r="DL304" s="52"/>
      <c r="DM304" s="52"/>
      <c r="DN304" s="52"/>
      <c r="DO304" s="52"/>
      <c r="DP304" s="52"/>
      <c r="DQ304" s="52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P304" s="53"/>
      <c r="EQ304" s="1"/>
      <c r="ER304" s="103"/>
      <c r="ES304" s="102"/>
      <c r="ET304" s="1"/>
      <c r="EU304" s="103"/>
      <c r="EV304" s="1"/>
      <c r="EW304" s="1"/>
      <c r="EX304" s="1"/>
      <c r="EY304" s="104"/>
      <c r="FN304" s="657">
        <v>60</v>
      </c>
      <c r="FO304" s="469" t="str">
        <f ca="1">IF($FN304+FO$244&gt;73,"",PRODUCT(INDEX($T$19:$T$93,FO$244):INDEX($T$19:$T$93,FO$244+$FN304-1)))</f>
        <v/>
      </c>
      <c r="FP304" s="469" t="str">
        <f ca="1">IF($FN304+FP$244&gt;73,"",PRODUCT(INDEX($T$19:$T$93,FP$244):INDEX($T$19:$T$93,FP$244+$FN304-1)))</f>
        <v/>
      </c>
      <c r="FQ304" s="469" t="str">
        <f ca="1">IF($FN304+FQ$244&gt;73,"",PRODUCT(INDEX($T$19:$T$93,FQ$244):INDEX($T$19:$T$93,FQ$244+$FN304-1)))</f>
        <v/>
      </c>
      <c r="FR304" s="469" t="str">
        <f ca="1">IF($FN304+FR$244&gt;73,"",PRODUCT(INDEX($T$19:$T$93,FR$244):INDEX($T$19:$T$93,FR$244+$FN304-1)))</f>
        <v/>
      </c>
      <c r="FS304" s="469" t="str">
        <f ca="1">IF($FN304+FS$244&gt;73,"",PRODUCT(INDEX($T$19:$T$93,FS$244):INDEX($T$19:$T$93,FS$244+$FN304-1)))</f>
        <v/>
      </c>
      <c r="FT304" s="469" t="str">
        <f ca="1">IF($FN304+FT$244&gt;73,"",PRODUCT(INDEX($T$19:$T$93,FT$244):INDEX($T$19:$T$93,FT$244+$FN304-1)))</f>
        <v/>
      </c>
      <c r="FU304" s="469" t="str">
        <f ca="1">IF($FN304+FU$244&gt;73,"",PRODUCT(INDEX($T$19:$T$93,FU$244):INDEX($T$19:$T$93,FU$244+$FN304-1)))</f>
        <v/>
      </c>
      <c r="FV304" s="469" t="str">
        <f ca="1">IF($FN304+FV$244&gt;73,"",PRODUCT(INDEX($T$19:$T$93,FV$244):INDEX($T$19:$T$93,FV$244+$FN304-1)))</f>
        <v/>
      </c>
      <c r="FW304" s="469" t="str">
        <f ca="1">IF($FN304+FW$244&gt;73,"",PRODUCT(INDEX($T$19:$T$93,FW$244):INDEX($T$19:$T$93,FW$244+$FN304-1)))</f>
        <v/>
      </c>
      <c r="FX304" s="469" t="str">
        <f ca="1">IF($FN304+FX$244&gt;73,"",PRODUCT(INDEX($T$19:$T$93,FX$244):INDEX($T$19:$T$93,FX$244+$FN304-1)))</f>
        <v/>
      </c>
      <c r="FY304" s="469" t="str">
        <f ca="1">IF($FN304+FY$244&gt;73,"",PRODUCT(INDEX($T$19:$T$93,FY$244):INDEX($T$19:$T$93,FY$244+$FN304-1)))</f>
        <v/>
      </c>
      <c r="FZ304" s="469" t="str">
        <f ca="1">IF($FN304+FZ$244&gt;73,"",PRODUCT(INDEX($T$19:$T$93,FZ$244):INDEX($T$19:$T$93,FZ$244+$FN304-1)))</f>
        <v/>
      </c>
      <c r="GA304" s="469" t="str">
        <f ca="1">IF($FN304+GA$244&gt;73,"",PRODUCT(INDEX($T$19:$T$93,GA$244):INDEX($T$19:$T$93,GA$244+$FN304-1)))</f>
        <v/>
      </c>
      <c r="GB304" s="469" t="str">
        <f ca="1">IF($FN304+GB$244&gt;73,"",PRODUCT(INDEX($T$19:$T$93,GB$244):INDEX($T$19:$T$93,GB$244+$FN304-1)))</f>
        <v/>
      </c>
      <c r="GC304" s="469" t="str">
        <f ca="1">IF($FN304+GC$244&gt;73,"",PRODUCT(INDEX($T$19:$T$93,GC$244):INDEX($T$19:$T$93,GC$244+$FN304-1)))</f>
        <v/>
      </c>
      <c r="GD304" s="469" t="str">
        <f ca="1">IF($FN304+GD$244&gt;73,"",PRODUCT(INDEX($T$19:$T$93,GD$244):INDEX($T$19:$T$93,GD$244+$FN304-1)))</f>
        <v/>
      </c>
      <c r="GE304" s="469" t="str">
        <f ca="1">IF($FN304+GE$244&gt;73,"",PRODUCT(INDEX($T$19:$T$93,GE$244):INDEX($T$19:$T$93,GE$244+$FN304-1)))</f>
        <v/>
      </c>
      <c r="GF304" s="469" t="str">
        <f ca="1">IF($FN304+GF$244&gt;73,"",PRODUCT(INDEX($T$19:$T$93,GF$244):INDEX($T$19:$T$93,GF$244+$FN304-1)))</f>
        <v/>
      </c>
      <c r="GG304" s="469" t="str">
        <f ca="1">IF($FN304+GG$244&gt;73,"",PRODUCT(INDEX($T$19:$T$93,GG$244):INDEX($T$19:$T$93,GG$244+$FN304-1)))</f>
        <v/>
      </c>
      <c r="GH304" s="469" t="str">
        <f ca="1">IF($FN304+GH$244&gt;73,"",PRODUCT(INDEX($T$19:$T$93,GH$244):INDEX($T$19:$T$93,GH$244+$FN304-1)))</f>
        <v/>
      </c>
      <c r="GI304" s="469" t="str">
        <f ca="1">IF($FN304+GI$244&gt;73,"",PRODUCT(INDEX($T$19:$T$93,GI$244):INDEX($T$19:$T$93,GI$244+$FN304-1)))</f>
        <v/>
      </c>
      <c r="GJ304" s="469" t="str">
        <f ca="1">IF($FN304+GJ$244&gt;73,"",PRODUCT(INDEX($T$19:$T$93,GJ$244):INDEX($T$19:$T$93,GJ$244+$FN304-1)))</f>
        <v/>
      </c>
      <c r="GK304" s="469" t="str">
        <f ca="1">IF($FN304+GK$244&gt;73,"",PRODUCT(INDEX($T$19:$T$93,GK$244):INDEX($T$19:$T$93,GK$244+$FN304-1)))</f>
        <v/>
      </c>
      <c r="GL304" s="469" t="str">
        <f ca="1">IF($FN304+GL$244&gt;73,"",PRODUCT(INDEX($T$19:$T$93,GL$244):INDEX($T$19:$T$93,GL$244+$FN304-1)))</f>
        <v/>
      </c>
      <c r="GM304" s="469" t="str">
        <f ca="1">IF($FN304+GM$244&gt;73,"",PRODUCT(INDEX($T$19:$T$93,GM$244):INDEX($T$19:$T$93,GM$244+$FN304-1)))</f>
        <v/>
      </c>
      <c r="GN304" s="469" t="str">
        <f ca="1">IF($FN304+GN$244&gt;73,"",PRODUCT(INDEX($T$19:$T$93,GN$244):INDEX($T$19:$T$93,GN$244+$FN304-1)))</f>
        <v/>
      </c>
      <c r="GO304" s="469" t="str">
        <f ca="1">IF($FN304+GO$244&gt;73,"",PRODUCT(INDEX($T$19:$T$93,GO$244):INDEX($T$19:$T$93,GO$244+$FN304-1)))</f>
        <v/>
      </c>
      <c r="GP304" s="469" t="str">
        <f ca="1">IF($FN304+GP$244&gt;73,"",PRODUCT(INDEX($T$19:$T$93,GP$244):INDEX($T$19:$T$93,GP$244+$FN304-1)))</f>
        <v/>
      </c>
      <c r="GQ304" s="469" t="str">
        <f ca="1">IF($FN304+GQ$244&gt;73,"",PRODUCT(INDEX($T$19:$T$93,GQ$244):INDEX($T$19:$T$93,GQ$244+$FN304-1)))</f>
        <v/>
      </c>
      <c r="GR304" s="469" t="str">
        <f ca="1">IF($FN304+GR$244&gt;73,"",PRODUCT(INDEX($T$19:$T$93,GR$244):INDEX($T$19:$T$93,GR$244+$FN304-1)))</f>
        <v/>
      </c>
      <c r="GS304" s="469" t="str">
        <f ca="1">IF($FN304+GS$244&gt;73,"",PRODUCT(INDEX($T$19:$T$93,GS$244):INDEX($T$19:$T$93,GS$244+$FN304-1)))</f>
        <v/>
      </c>
      <c r="GT304" s="469" t="str">
        <f ca="1">IF($FN304+GT$244&gt;73,"",PRODUCT(INDEX($T$19:$T$93,GT$244):INDEX($T$19:$T$93,GT$244+$FN304-1)))</f>
        <v/>
      </c>
      <c r="GU304" s="469" t="str">
        <f ca="1">IF($FN304+GU$244&gt;73,"",PRODUCT(INDEX($T$19:$T$93,GU$244):INDEX($T$19:$T$93,GU$244+$FN304-1)))</f>
        <v/>
      </c>
      <c r="GV304" s="469" t="str">
        <f ca="1">IF($FN304+GV$244&gt;73,"",PRODUCT(INDEX($T$19:$T$93,GV$244):INDEX($T$19:$T$93,GV$244+$FN304-1)))</f>
        <v/>
      </c>
      <c r="GW304" s="469" t="str">
        <f ca="1">IF($FN304+GW$244&gt;73,"",PRODUCT(INDEX($T$19:$T$93,GW$244):INDEX($T$19:$T$93,GW$244+$FN304-1)))</f>
        <v/>
      </c>
      <c r="GX304" s="469" t="str">
        <f ca="1">IF($FN304+GX$244&gt;73,"",PRODUCT(INDEX($T$19:$T$93,GX$244):INDEX($T$19:$T$93,GX$244+$FN304-1)))</f>
        <v/>
      </c>
      <c r="GY304" s="469" t="str">
        <f ca="1">IF($FN304+GY$244&gt;73,"",PRODUCT(INDEX($T$19:$T$93,GY$244):INDEX($T$19:$T$93,GY$244+$FN304-1)))</f>
        <v/>
      </c>
      <c r="GZ304" s="469" t="str">
        <f ca="1">IF($FN304+GZ$244&gt;73,"",PRODUCT(INDEX($T$19:$T$93,GZ$244):INDEX($T$19:$T$93,GZ$244+$FN304-1)))</f>
        <v/>
      </c>
      <c r="HA304" s="469" t="str">
        <f ca="1">IF($FN304+HA$244&gt;73,"",PRODUCT(INDEX($T$19:$T$93,HA$244):INDEX($T$19:$T$93,HA$244+$FN304-1)))</f>
        <v/>
      </c>
      <c r="HB304" s="469" t="str">
        <f ca="1">IF($FN304+HB$244&gt;73,"",PRODUCT(INDEX($T$19:$T$93,HB$244):INDEX($T$19:$T$93,HB$244+$FN304-1)))</f>
        <v/>
      </c>
      <c r="HC304" s="469" t="str">
        <f ca="1">IF($FN304+HC$244&gt;73,"",PRODUCT(INDEX($T$19:$T$93,HC$244):INDEX($T$19:$T$93,HC$244+$FN304-1)))</f>
        <v/>
      </c>
      <c r="HD304" s="469" t="str">
        <f ca="1">IF($FN304+HD$244&gt;73,"",PRODUCT(INDEX($T$19:$T$93,HD$244):INDEX($T$19:$T$93,HD$244+$FN304-1)))</f>
        <v/>
      </c>
      <c r="HE304" s="469" t="str">
        <f ca="1">IF($FN304+HE$244&gt;73,"",PRODUCT(INDEX($T$19:$T$93,HE$244):INDEX($T$19:$T$93,HE$244+$FN304-1)))</f>
        <v/>
      </c>
      <c r="HF304" s="469" t="str">
        <f ca="1">IF($FN304+HF$244&gt;73,"",PRODUCT(INDEX($T$19:$T$93,HF$244):INDEX($T$19:$T$93,HF$244+$FN304-1)))</f>
        <v/>
      </c>
      <c r="HG304" s="469" t="str">
        <f ca="1">IF($FN304+HG$244&gt;73,"",PRODUCT(INDEX($T$19:$T$93,HG$244):INDEX($T$19:$T$93,HG$244+$FN304-1)))</f>
        <v/>
      </c>
      <c r="HH304" s="469" t="str">
        <f ca="1">IF($FN304+HH$244&gt;73,"",PRODUCT(INDEX($T$19:$T$93,HH$244):INDEX($T$19:$T$93,HH$244+$FN304-1)))</f>
        <v/>
      </c>
      <c r="HI304" s="469" t="str">
        <f ca="1">IF($FN304+HI$244&gt;73,"",PRODUCT(INDEX($T$19:$T$93,HI$244):INDEX($T$19:$T$93,HI$244+$FN304-1)))</f>
        <v/>
      </c>
      <c r="HJ304" s="469" t="str">
        <f ca="1">IF($FN304+HJ$244&gt;73,"",PRODUCT(INDEX($T$19:$T$93,HJ$244):INDEX($T$19:$T$93,HJ$244+$FN304-1)))</f>
        <v/>
      </c>
      <c r="HK304" s="469" t="str">
        <f ca="1">IF($FN304+HK$244&gt;73,"",PRODUCT(INDEX($T$19:$T$93,HK$244):INDEX($T$19:$T$93,HK$244+$FN304-1)))</f>
        <v/>
      </c>
      <c r="HL304" s="469" t="str">
        <f ca="1">IF($FN304+HL$244&gt;73,"",PRODUCT(INDEX($T$19:$T$93,HL$244):INDEX($T$19:$T$93,HL$244+$FN304-1)))</f>
        <v/>
      </c>
      <c r="HM304" s="469" t="str">
        <f ca="1">IF($FN304+HM$244&gt;73,"",PRODUCT(INDEX($T$19:$T$93,HM$244):INDEX($T$19:$T$93,HM$244+$FN304-1)))</f>
        <v/>
      </c>
      <c r="HN304" s="469" t="str">
        <f ca="1">IF($FN304+HN$244&gt;73,"",PRODUCT(INDEX($T$19:$T$93,HN$244):INDEX($T$19:$T$93,HN$244+$FN304-1)))</f>
        <v/>
      </c>
      <c r="HO304" s="469" t="str">
        <f ca="1">IF($FN304+HO$244&gt;73,"",PRODUCT(INDEX($T$19:$T$93,HO$244):INDEX($T$19:$T$93,HO$244+$FN304-1)))</f>
        <v/>
      </c>
      <c r="HP304" s="469" t="str">
        <f ca="1">IF($FN304+HP$244&gt;73,"",PRODUCT(INDEX($T$19:$T$93,HP$244):INDEX($T$19:$T$93,HP$244+$FN304-1)))</f>
        <v/>
      </c>
      <c r="HQ304" s="469" t="str">
        <f ca="1">IF($FN304+HQ$244&gt;73,"",PRODUCT(INDEX($T$19:$T$93,HQ$244):INDEX($T$19:$T$93,HQ$244+$FN304-1)))</f>
        <v/>
      </c>
      <c r="HR304" s="469" t="str">
        <f ca="1">IF($FN304+HR$244&gt;73,"",PRODUCT(INDEX($T$19:$T$93,HR$244):INDEX($T$19:$T$93,HR$244+$FN304-1)))</f>
        <v/>
      </c>
      <c r="HS304" s="469" t="str">
        <f ca="1">IF($FN304+HS$244&gt;73,"",PRODUCT(INDEX($T$19:$T$93,HS$244):INDEX($T$19:$T$93,HS$244+$FN304-1)))</f>
        <v/>
      </c>
      <c r="HT304" s="469" t="str">
        <f ca="1">IF($FN304+HT$244&gt;73,"",PRODUCT(INDEX($T$19:$T$93,HT$244):INDEX($T$19:$T$93,HT$244+$FN304-1)))</f>
        <v/>
      </c>
      <c r="HU304" s="469" t="str">
        <f ca="1">IF($FN304+HU$244&gt;73,"",PRODUCT(INDEX($T$19:$T$93,HU$244):INDEX($T$19:$T$93,HU$244+$FN304-1)))</f>
        <v/>
      </c>
      <c r="HV304" s="469">
        <f ca="1">IF($FN304+HV$244&gt;73,"",PRODUCT(INDEX($T$19:$T$93,HV$244):INDEX($T$19:$T$93,HV$244+$FN304-1)))</f>
        <v>0.779561072775524</v>
      </c>
      <c r="HW304" s="469">
        <f ca="1">IF($FN304+HW$244&gt;73,"",PRODUCT(INDEX($T$19:$T$93,HW$244):INDEX($T$19:$T$93,HW$244+$FN304-1)))</f>
        <v>0.75776270670445267</v>
      </c>
      <c r="HX304" s="469">
        <f ca="1">IF($FN304+HX$244&gt;73,"",PRODUCT(INDEX($T$19:$T$93,HX$244):INDEX($T$19:$T$93,HX$244+$FN304-1)))</f>
        <v>0.7341147968073346</v>
      </c>
      <c r="HY304" s="469">
        <f ca="1">IF($FN304+HY$244&gt;73,"",PRODUCT(INDEX($T$19:$T$93,HY$244):INDEX($T$19:$T$93,HY$244+$FN304-1)))</f>
        <v>0.70852770463897818</v>
      </c>
      <c r="HZ304" s="469">
        <f ca="1">IF($FN304+HZ$244&gt;73,"",PRODUCT(INDEX($T$19:$T$93,HZ$244):INDEX($T$19:$T$93,HZ$244+$FN304-1)))</f>
        <v>0.68092362264952389</v>
      </c>
      <c r="IA304" s="469">
        <f ca="1">IF($FN304+IA$244&gt;73,"",PRODUCT(INDEX($T$19:$T$93,IA$244):INDEX($T$19:$T$93,IA$244+$FN304-1)))</f>
        <v>0.65124153864085954</v>
      </c>
      <c r="IB304" s="469">
        <f ca="1">IF($FN304+IB$244&gt;73,"",PRODUCT(INDEX($T$19:$T$93,IB$244):INDEX($T$19:$T$93,IB$244+$FN304-1)))</f>
        <v>0.61944324566188791</v>
      </c>
      <c r="IC304" s="469">
        <f ca="1">IF($FN304+IC$244&gt;73,"",PRODUCT(INDEX($T$19:$T$93,IC$244):INDEX($T$19:$T$93,IC$244+$FN304-1)))</f>
        <v>0.58552054270458542</v>
      </c>
      <c r="ID304" s="469">
        <f ca="1">IF($FN304+ID$244&gt;73,"",PRODUCT(INDEX($T$19:$T$93,ID$244):INDEX($T$19:$T$93,ID$244+$FN304-1)))</f>
        <v>0.5495037673423353</v>
      </c>
      <c r="IE304" s="469">
        <f ca="1">IF($FN304+IE$244&gt;73,"",PRODUCT(INDEX($T$19:$T$93,IE$244):INDEX($T$19:$T$93,IE$244+$FN304-1)))</f>
        <v>0.51147177695762669</v>
      </c>
      <c r="IF304" s="469">
        <f ca="1">IF($FN304+IF$244&gt;73,"",PRODUCT(INDEX($T$19:$T$93,IF$244):INDEX($T$19:$T$93,IF$244+$FN304-1)))</f>
        <v>0.47156343371112708</v>
      </c>
      <c r="IG304" s="469">
        <f ca="1">IF($FN304+IG$244&gt;73,"",PRODUCT(INDEX($T$19:$T$93,IG$244):INDEX($T$19:$T$93,IG$244+$FN304-1)))</f>
        <v>0.42999052283084488</v>
      </c>
      <c r="IH304" s="662">
        <f ca="1">IF($FN304+IH$244&gt;73,"",PRODUCT(INDEX($T$19:$T$93,IH$244):INDEX($T$19:$T$93,IH$244+$FN304-1)))</f>
        <v>0.38705180248190063</v>
      </c>
      <c r="II304" s="242"/>
    </row>
    <row r="305" spans="9:243">
      <c r="I305" s="132"/>
      <c r="J305" s="365"/>
      <c r="K305" s="133"/>
      <c r="L305" s="1"/>
      <c r="M305" s="366"/>
      <c r="P305" s="365"/>
      <c r="S305" s="53"/>
      <c r="T305" s="365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364">
        <v>6.5111098494173597E-2</v>
      </c>
      <c r="AP305" s="1"/>
      <c r="AQ305" s="364">
        <v>5.7983246003309397E-2</v>
      </c>
      <c r="AR305" s="1"/>
      <c r="AS305" s="1"/>
      <c r="AT305" s="103"/>
      <c r="AU305" s="103"/>
      <c r="AV305" s="103"/>
      <c r="AW305" s="31"/>
      <c r="AX305" s="31"/>
      <c r="AY305" s="31"/>
      <c r="AZ305" s="31"/>
      <c r="BA305" s="146"/>
      <c r="BB305" s="146"/>
      <c r="BC305" s="103"/>
      <c r="BD305" s="103"/>
      <c r="BE305" s="103"/>
      <c r="BF305" s="104"/>
      <c r="BG305" s="104"/>
      <c r="BH305" s="104"/>
      <c r="BI305" s="102"/>
      <c r="BJ305" s="104"/>
      <c r="BK305" s="104"/>
      <c r="BL305" s="103"/>
      <c r="BM305" s="103"/>
      <c r="BN305" s="103"/>
      <c r="BO305" s="103"/>
      <c r="BP305" s="103"/>
      <c r="BQ305" s="103"/>
      <c r="BR305" s="103"/>
      <c r="BS305" s="103"/>
      <c r="BT305" s="103"/>
      <c r="BU305" s="103"/>
      <c r="BV305" s="103"/>
      <c r="BW305" s="103"/>
      <c r="BX305" s="103"/>
      <c r="BY305" s="103"/>
      <c r="BZ305" s="103"/>
      <c r="CA305" s="103"/>
      <c r="CB305" s="104"/>
      <c r="CC305" s="104"/>
      <c r="CD305" s="104"/>
      <c r="CE305" s="104"/>
      <c r="CF305" s="104"/>
      <c r="CG305" s="104"/>
      <c r="CH305" s="103"/>
      <c r="CI305" s="103"/>
      <c r="CJ305" s="103"/>
      <c r="CK305" s="103"/>
      <c r="CL305" s="103"/>
      <c r="CM305" s="103"/>
      <c r="CN305" s="103"/>
      <c r="CO305" s="103"/>
      <c r="CP305" s="103"/>
      <c r="CQ305" s="103"/>
      <c r="CR305" s="103"/>
      <c r="CS305" s="103"/>
      <c r="CT305" s="103"/>
      <c r="CU305" s="103"/>
      <c r="CV305" s="103"/>
      <c r="CW305" s="103"/>
      <c r="CX305" s="103"/>
      <c r="CY305" s="103"/>
      <c r="CZ305" s="103"/>
      <c r="DA305" s="103"/>
      <c r="DB305" s="103"/>
      <c r="DC305" s="103"/>
      <c r="DD305" s="103"/>
      <c r="DE305" s="103"/>
      <c r="DF305" s="465"/>
      <c r="DG305" s="107"/>
      <c r="DH305" s="107"/>
      <c r="DI305" s="465"/>
      <c r="DJ305" s="51"/>
      <c r="DK305" s="52"/>
      <c r="DL305" s="52"/>
      <c r="DM305" s="52"/>
      <c r="DN305" s="52"/>
      <c r="DO305" s="52"/>
      <c r="DP305" s="52"/>
      <c r="DQ305" s="52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P305" s="53"/>
      <c r="EQ305" s="1"/>
      <c r="ER305" s="103"/>
      <c r="ES305" s="102"/>
      <c r="ET305" s="1"/>
      <c r="EU305" s="103"/>
      <c r="EV305" s="1"/>
      <c r="EW305" s="1"/>
      <c r="EX305" s="1"/>
      <c r="EY305" s="104"/>
      <c r="FN305" s="657">
        <v>61</v>
      </c>
      <c r="FO305" s="469" t="str">
        <f ca="1">IF($FN305+FO$244&gt;73,"",PRODUCT(INDEX($T$19:$T$93,FO$244):INDEX($T$19:$T$93,FO$244+$FN305-1)))</f>
        <v/>
      </c>
      <c r="FP305" s="469" t="str">
        <f ca="1">IF($FN305+FP$244&gt;73,"",PRODUCT(INDEX($T$19:$T$93,FP$244):INDEX($T$19:$T$93,FP$244+$FN305-1)))</f>
        <v/>
      </c>
      <c r="FQ305" s="469" t="str">
        <f ca="1">IF($FN305+FQ$244&gt;73,"",PRODUCT(INDEX($T$19:$T$93,FQ$244):INDEX($T$19:$T$93,FQ$244+$FN305-1)))</f>
        <v/>
      </c>
      <c r="FR305" s="469" t="str">
        <f ca="1">IF($FN305+FR$244&gt;73,"",PRODUCT(INDEX($T$19:$T$93,FR$244):INDEX($T$19:$T$93,FR$244+$FN305-1)))</f>
        <v/>
      </c>
      <c r="FS305" s="469" t="str">
        <f ca="1">IF($FN305+FS$244&gt;73,"",PRODUCT(INDEX($T$19:$T$93,FS$244):INDEX($T$19:$T$93,FS$244+$FN305-1)))</f>
        <v/>
      </c>
      <c r="FT305" s="469" t="str">
        <f ca="1">IF($FN305+FT$244&gt;73,"",PRODUCT(INDEX($T$19:$T$93,FT$244):INDEX($T$19:$T$93,FT$244+$FN305-1)))</f>
        <v/>
      </c>
      <c r="FU305" s="469" t="str">
        <f ca="1">IF($FN305+FU$244&gt;73,"",PRODUCT(INDEX($T$19:$T$93,FU$244):INDEX($T$19:$T$93,FU$244+$FN305-1)))</f>
        <v/>
      </c>
      <c r="FV305" s="469" t="str">
        <f ca="1">IF($FN305+FV$244&gt;73,"",PRODUCT(INDEX($T$19:$T$93,FV$244):INDEX($T$19:$T$93,FV$244+$FN305-1)))</f>
        <v/>
      </c>
      <c r="FW305" s="469" t="str">
        <f ca="1">IF($FN305+FW$244&gt;73,"",PRODUCT(INDEX($T$19:$T$93,FW$244):INDEX($T$19:$T$93,FW$244+$FN305-1)))</f>
        <v/>
      </c>
      <c r="FX305" s="469" t="str">
        <f ca="1">IF($FN305+FX$244&gt;73,"",PRODUCT(INDEX($T$19:$T$93,FX$244):INDEX($T$19:$T$93,FX$244+$FN305-1)))</f>
        <v/>
      </c>
      <c r="FY305" s="469" t="str">
        <f ca="1">IF($FN305+FY$244&gt;73,"",PRODUCT(INDEX($T$19:$T$93,FY$244):INDEX($T$19:$T$93,FY$244+$FN305-1)))</f>
        <v/>
      </c>
      <c r="FZ305" s="469" t="str">
        <f ca="1">IF($FN305+FZ$244&gt;73,"",PRODUCT(INDEX($T$19:$T$93,FZ$244):INDEX($T$19:$T$93,FZ$244+$FN305-1)))</f>
        <v/>
      </c>
      <c r="GA305" s="469" t="str">
        <f ca="1">IF($FN305+GA$244&gt;73,"",PRODUCT(INDEX($T$19:$T$93,GA$244):INDEX($T$19:$T$93,GA$244+$FN305-1)))</f>
        <v/>
      </c>
      <c r="GB305" s="469" t="str">
        <f ca="1">IF($FN305+GB$244&gt;73,"",PRODUCT(INDEX($T$19:$T$93,GB$244):INDEX($T$19:$T$93,GB$244+$FN305-1)))</f>
        <v/>
      </c>
      <c r="GC305" s="469" t="str">
        <f ca="1">IF($FN305+GC$244&gt;73,"",PRODUCT(INDEX($T$19:$T$93,GC$244):INDEX($T$19:$T$93,GC$244+$FN305-1)))</f>
        <v/>
      </c>
      <c r="GD305" s="469" t="str">
        <f ca="1">IF($FN305+GD$244&gt;73,"",PRODUCT(INDEX($T$19:$T$93,GD$244):INDEX($T$19:$T$93,GD$244+$FN305-1)))</f>
        <v/>
      </c>
      <c r="GE305" s="469" t="str">
        <f ca="1">IF($FN305+GE$244&gt;73,"",PRODUCT(INDEX($T$19:$T$93,GE$244):INDEX($T$19:$T$93,GE$244+$FN305-1)))</f>
        <v/>
      </c>
      <c r="GF305" s="469" t="str">
        <f ca="1">IF($FN305+GF$244&gt;73,"",PRODUCT(INDEX($T$19:$T$93,GF$244):INDEX($T$19:$T$93,GF$244+$FN305-1)))</f>
        <v/>
      </c>
      <c r="GG305" s="469" t="str">
        <f ca="1">IF($FN305+GG$244&gt;73,"",PRODUCT(INDEX($T$19:$T$93,GG$244):INDEX($T$19:$T$93,GG$244+$FN305-1)))</f>
        <v/>
      </c>
      <c r="GH305" s="469" t="str">
        <f ca="1">IF($FN305+GH$244&gt;73,"",PRODUCT(INDEX($T$19:$T$93,GH$244):INDEX($T$19:$T$93,GH$244+$FN305-1)))</f>
        <v/>
      </c>
      <c r="GI305" s="469" t="str">
        <f ca="1">IF($FN305+GI$244&gt;73,"",PRODUCT(INDEX($T$19:$T$93,GI$244):INDEX($T$19:$T$93,GI$244+$FN305-1)))</f>
        <v/>
      </c>
      <c r="GJ305" s="469" t="str">
        <f ca="1">IF($FN305+GJ$244&gt;73,"",PRODUCT(INDEX($T$19:$T$93,GJ$244):INDEX($T$19:$T$93,GJ$244+$FN305-1)))</f>
        <v/>
      </c>
      <c r="GK305" s="469" t="str">
        <f ca="1">IF($FN305+GK$244&gt;73,"",PRODUCT(INDEX($T$19:$T$93,GK$244):INDEX($T$19:$T$93,GK$244+$FN305-1)))</f>
        <v/>
      </c>
      <c r="GL305" s="469" t="str">
        <f ca="1">IF($FN305+GL$244&gt;73,"",PRODUCT(INDEX($T$19:$T$93,GL$244):INDEX($T$19:$T$93,GL$244+$FN305-1)))</f>
        <v/>
      </c>
      <c r="GM305" s="469" t="str">
        <f ca="1">IF($FN305+GM$244&gt;73,"",PRODUCT(INDEX($T$19:$T$93,GM$244):INDEX($T$19:$T$93,GM$244+$FN305-1)))</f>
        <v/>
      </c>
      <c r="GN305" s="469" t="str">
        <f ca="1">IF($FN305+GN$244&gt;73,"",PRODUCT(INDEX($T$19:$T$93,GN$244):INDEX($T$19:$T$93,GN$244+$FN305-1)))</f>
        <v/>
      </c>
      <c r="GO305" s="469" t="str">
        <f ca="1">IF($FN305+GO$244&gt;73,"",PRODUCT(INDEX($T$19:$T$93,GO$244):INDEX($T$19:$T$93,GO$244+$FN305-1)))</f>
        <v/>
      </c>
      <c r="GP305" s="469" t="str">
        <f ca="1">IF($FN305+GP$244&gt;73,"",PRODUCT(INDEX($T$19:$T$93,GP$244):INDEX($T$19:$T$93,GP$244+$FN305-1)))</f>
        <v/>
      </c>
      <c r="GQ305" s="469" t="str">
        <f ca="1">IF($FN305+GQ$244&gt;73,"",PRODUCT(INDEX($T$19:$T$93,GQ$244):INDEX($T$19:$T$93,GQ$244+$FN305-1)))</f>
        <v/>
      </c>
      <c r="GR305" s="469" t="str">
        <f ca="1">IF($FN305+GR$244&gt;73,"",PRODUCT(INDEX($T$19:$T$93,GR$244):INDEX($T$19:$T$93,GR$244+$FN305-1)))</f>
        <v/>
      </c>
      <c r="GS305" s="469" t="str">
        <f ca="1">IF($FN305+GS$244&gt;73,"",PRODUCT(INDEX($T$19:$T$93,GS$244):INDEX($T$19:$T$93,GS$244+$FN305-1)))</f>
        <v/>
      </c>
      <c r="GT305" s="469" t="str">
        <f ca="1">IF($FN305+GT$244&gt;73,"",PRODUCT(INDEX($T$19:$T$93,GT$244):INDEX($T$19:$T$93,GT$244+$FN305-1)))</f>
        <v/>
      </c>
      <c r="GU305" s="469" t="str">
        <f ca="1">IF($FN305+GU$244&gt;73,"",PRODUCT(INDEX($T$19:$T$93,GU$244):INDEX($T$19:$T$93,GU$244+$FN305-1)))</f>
        <v/>
      </c>
      <c r="GV305" s="469" t="str">
        <f ca="1">IF($FN305+GV$244&gt;73,"",PRODUCT(INDEX($T$19:$T$93,GV$244):INDEX($T$19:$T$93,GV$244+$FN305-1)))</f>
        <v/>
      </c>
      <c r="GW305" s="469" t="str">
        <f ca="1">IF($FN305+GW$244&gt;73,"",PRODUCT(INDEX($T$19:$T$93,GW$244):INDEX($T$19:$T$93,GW$244+$FN305-1)))</f>
        <v/>
      </c>
      <c r="GX305" s="469" t="str">
        <f ca="1">IF($FN305+GX$244&gt;73,"",PRODUCT(INDEX($T$19:$T$93,GX$244):INDEX($T$19:$T$93,GX$244+$FN305-1)))</f>
        <v/>
      </c>
      <c r="GY305" s="469" t="str">
        <f ca="1">IF($FN305+GY$244&gt;73,"",PRODUCT(INDEX($T$19:$T$93,GY$244):INDEX($T$19:$T$93,GY$244+$FN305-1)))</f>
        <v/>
      </c>
      <c r="GZ305" s="469" t="str">
        <f ca="1">IF($FN305+GZ$244&gt;73,"",PRODUCT(INDEX($T$19:$T$93,GZ$244):INDEX($T$19:$T$93,GZ$244+$FN305-1)))</f>
        <v/>
      </c>
      <c r="HA305" s="469" t="str">
        <f ca="1">IF($FN305+HA$244&gt;73,"",PRODUCT(INDEX($T$19:$T$93,HA$244):INDEX($T$19:$T$93,HA$244+$FN305-1)))</f>
        <v/>
      </c>
      <c r="HB305" s="469" t="str">
        <f ca="1">IF($FN305+HB$244&gt;73,"",PRODUCT(INDEX($T$19:$T$93,HB$244):INDEX($T$19:$T$93,HB$244+$FN305-1)))</f>
        <v/>
      </c>
      <c r="HC305" s="469" t="str">
        <f ca="1">IF($FN305+HC$244&gt;73,"",PRODUCT(INDEX($T$19:$T$93,HC$244):INDEX($T$19:$T$93,HC$244+$FN305-1)))</f>
        <v/>
      </c>
      <c r="HD305" s="469" t="str">
        <f ca="1">IF($FN305+HD$244&gt;73,"",PRODUCT(INDEX($T$19:$T$93,HD$244):INDEX($T$19:$T$93,HD$244+$FN305-1)))</f>
        <v/>
      </c>
      <c r="HE305" s="469" t="str">
        <f ca="1">IF($FN305+HE$244&gt;73,"",PRODUCT(INDEX($T$19:$T$93,HE$244):INDEX($T$19:$T$93,HE$244+$FN305-1)))</f>
        <v/>
      </c>
      <c r="HF305" s="469" t="str">
        <f ca="1">IF($FN305+HF$244&gt;73,"",PRODUCT(INDEX($T$19:$T$93,HF$244):INDEX($T$19:$T$93,HF$244+$FN305-1)))</f>
        <v/>
      </c>
      <c r="HG305" s="469" t="str">
        <f ca="1">IF($FN305+HG$244&gt;73,"",PRODUCT(INDEX($T$19:$T$93,HG$244):INDEX($T$19:$T$93,HG$244+$FN305-1)))</f>
        <v/>
      </c>
      <c r="HH305" s="469" t="str">
        <f ca="1">IF($FN305+HH$244&gt;73,"",PRODUCT(INDEX($T$19:$T$93,HH$244):INDEX($T$19:$T$93,HH$244+$FN305-1)))</f>
        <v/>
      </c>
      <c r="HI305" s="469" t="str">
        <f ca="1">IF($FN305+HI$244&gt;73,"",PRODUCT(INDEX($T$19:$T$93,HI$244):INDEX($T$19:$T$93,HI$244+$FN305-1)))</f>
        <v/>
      </c>
      <c r="HJ305" s="469" t="str">
        <f ca="1">IF($FN305+HJ$244&gt;73,"",PRODUCT(INDEX($T$19:$T$93,HJ$244):INDEX($T$19:$T$93,HJ$244+$FN305-1)))</f>
        <v/>
      </c>
      <c r="HK305" s="469" t="str">
        <f ca="1">IF($FN305+HK$244&gt;73,"",PRODUCT(INDEX($T$19:$T$93,HK$244):INDEX($T$19:$T$93,HK$244+$FN305-1)))</f>
        <v/>
      </c>
      <c r="HL305" s="469" t="str">
        <f ca="1">IF($FN305+HL$244&gt;73,"",PRODUCT(INDEX($T$19:$T$93,HL$244):INDEX($T$19:$T$93,HL$244+$FN305-1)))</f>
        <v/>
      </c>
      <c r="HM305" s="469" t="str">
        <f ca="1">IF($FN305+HM$244&gt;73,"",PRODUCT(INDEX($T$19:$T$93,HM$244):INDEX($T$19:$T$93,HM$244+$FN305-1)))</f>
        <v/>
      </c>
      <c r="HN305" s="469" t="str">
        <f ca="1">IF($FN305+HN$244&gt;73,"",PRODUCT(INDEX($T$19:$T$93,HN$244):INDEX($T$19:$T$93,HN$244+$FN305-1)))</f>
        <v/>
      </c>
      <c r="HO305" s="469" t="str">
        <f ca="1">IF($FN305+HO$244&gt;73,"",PRODUCT(INDEX($T$19:$T$93,HO$244):INDEX($T$19:$T$93,HO$244+$FN305-1)))</f>
        <v/>
      </c>
      <c r="HP305" s="469" t="str">
        <f ca="1">IF($FN305+HP$244&gt;73,"",PRODUCT(INDEX($T$19:$T$93,HP$244):INDEX($T$19:$T$93,HP$244+$FN305-1)))</f>
        <v/>
      </c>
      <c r="HQ305" s="469" t="str">
        <f ca="1">IF($FN305+HQ$244&gt;73,"",PRODUCT(INDEX($T$19:$T$93,HQ$244):INDEX($T$19:$T$93,HQ$244+$FN305-1)))</f>
        <v/>
      </c>
      <c r="HR305" s="469" t="str">
        <f ca="1">IF($FN305+HR$244&gt;73,"",PRODUCT(INDEX($T$19:$T$93,HR$244):INDEX($T$19:$T$93,HR$244+$FN305-1)))</f>
        <v/>
      </c>
      <c r="HS305" s="469" t="str">
        <f ca="1">IF($FN305+HS$244&gt;73,"",PRODUCT(INDEX($T$19:$T$93,HS$244):INDEX($T$19:$T$93,HS$244+$FN305-1)))</f>
        <v/>
      </c>
      <c r="HT305" s="469" t="str">
        <f ca="1">IF($FN305+HT$244&gt;73,"",PRODUCT(INDEX($T$19:$T$93,HT$244):INDEX($T$19:$T$93,HT$244+$FN305-1)))</f>
        <v/>
      </c>
      <c r="HU305" s="469" t="str">
        <f ca="1">IF($FN305+HU$244&gt;73,"",PRODUCT(INDEX($T$19:$T$93,HU$244):INDEX($T$19:$T$93,HU$244+$FN305-1)))</f>
        <v/>
      </c>
      <c r="HV305" s="469" t="str">
        <f ca="1">IF($FN305+HV$244&gt;73,"",PRODUCT(INDEX($T$19:$T$93,HV$244):INDEX($T$19:$T$93,HV$244+$FN305-1)))</f>
        <v/>
      </c>
      <c r="HW305" s="469">
        <f ca="1">IF($FN305+HW$244&gt;73,"",PRODUCT(INDEX($T$19:$T$93,HW$244):INDEX($T$19:$T$93,HW$244+$FN305-1)))</f>
        <v>0.75772564247388452</v>
      </c>
      <c r="HX305" s="469">
        <f ca="1">IF($FN305+HX$244&gt;73,"",PRODUCT(INDEX($T$19:$T$93,HX$244):INDEX($T$19:$T$93,HX$244+$FN305-1)))</f>
        <v>0.73407489942214443</v>
      </c>
      <c r="HY305" s="469">
        <f ca="1">IF($FN305+HY$244&gt;73,"",PRODUCT(INDEX($T$19:$T$93,HY$244):INDEX($T$19:$T$93,HY$244+$FN305-1)))</f>
        <v>0.70848491918710987</v>
      </c>
      <c r="HZ305" s="469">
        <f ca="1">IF($FN305+HZ$244&gt;73,"",PRODUCT(INDEX($T$19:$T$93,HZ$244):INDEX($T$19:$T$93,HZ$244+$FN305-1)))</f>
        <v>0.68087793522576634</v>
      </c>
      <c r="IA305" s="469">
        <f ca="1">IF($FN305+IA$244&gt;73,"",PRODUCT(INDEX($T$19:$T$93,IA$244):INDEX($T$19:$T$93,IA$244+$FN305-1)))</f>
        <v>0.65119298749176568</v>
      </c>
      <c r="IB305" s="469">
        <f ca="1">IF($FN305+IB$244&gt;73,"",PRODUCT(INDEX($T$19:$T$93,IB$244):INDEX($T$19:$T$93,IB$244+$FN305-1)))</f>
        <v>0.61939193374014168</v>
      </c>
      <c r="IC305" s="469">
        <f ca="1">IF($FN305+IC$244&gt;73,"",PRODUCT(INDEX($T$19:$T$93,IC$244):INDEX($T$19:$T$93,IC$244+$FN305-1)))</f>
        <v>0.58546665143139531</v>
      </c>
      <c r="ID305" s="469">
        <f ca="1">IF($FN305+ID$244&gt;73,"",PRODUCT(INDEX($T$19:$T$93,ID$244):INDEX($T$19:$T$93,ID$244+$FN305-1)))</f>
        <v>0.54944757116627818</v>
      </c>
      <c r="IE305" s="469">
        <f ca="1">IF($FN305+IE$244&gt;73,"",PRODUCT(INDEX($T$19:$T$93,IE$244):INDEX($T$19:$T$93,IE$244+$FN305-1)))</f>
        <v>0.51141365800108207</v>
      </c>
      <c r="IF305" s="469">
        <f ca="1">IF($FN305+IF$244&gt;73,"",PRODUCT(INDEX($T$19:$T$93,IF$244):INDEX($T$19:$T$93,IF$244+$FN305-1)))</f>
        <v>0.47150389538908166</v>
      </c>
      <c r="IG305" s="469">
        <f ca="1">IF($FN305+IG$244&gt;73,"",PRODUCT(INDEX($T$19:$T$93,IG$244):INDEX($T$19:$T$93,IG$244+$FN305-1)))</f>
        <v>0.42993020079175109</v>
      </c>
      <c r="IH305" s="662">
        <f ca="1">IF($FN305+IH$244&gt;73,"",PRODUCT(INDEX($T$19:$T$93,IH$244):INDEX($T$19:$T$93,IH$244+$FN305-1)))</f>
        <v>0.38699147054776067</v>
      </c>
      <c r="II305" s="242"/>
    </row>
    <row r="306" spans="9:243">
      <c r="I306" s="132"/>
      <c r="J306" s="365"/>
      <c r="K306" s="133"/>
      <c r="L306" s="1"/>
      <c r="M306" s="366"/>
      <c r="P306" s="365"/>
      <c r="S306" s="53"/>
      <c r="T306" s="365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364">
        <v>6.5120715840458795E-2</v>
      </c>
      <c r="AP306" s="1"/>
      <c r="AQ306" s="364">
        <v>5.7947811960409101E-2</v>
      </c>
      <c r="AR306" s="1"/>
      <c r="AS306" s="103"/>
      <c r="AT306" s="103"/>
      <c r="AU306" s="103"/>
      <c r="AV306" s="31"/>
      <c r="AW306" s="31"/>
      <c r="AX306" s="31"/>
      <c r="AY306" s="31"/>
      <c r="AZ306" s="146"/>
      <c r="BA306" s="146"/>
      <c r="BB306" s="103"/>
      <c r="BC306" s="103"/>
      <c r="BD306" s="103"/>
      <c r="BE306" s="103"/>
      <c r="BF306" s="104"/>
      <c r="BG306" s="104"/>
      <c r="BH306" s="104"/>
      <c r="BI306" s="104"/>
      <c r="BJ306" s="104"/>
      <c r="BK306" s="103"/>
      <c r="BL306" s="105"/>
      <c r="BM306" s="103"/>
      <c r="BN306" s="103"/>
      <c r="BO306" s="103"/>
      <c r="BP306" s="103"/>
      <c r="BQ306" s="103"/>
      <c r="BR306" s="103"/>
      <c r="BS306" s="103"/>
      <c r="BT306" s="103"/>
      <c r="BU306" s="103"/>
      <c r="BV306" s="103"/>
      <c r="BW306" s="103"/>
      <c r="BX306" s="103"/>
      <c r="BY306" s="103"/>
      <c r="BZ306" s="103"/>
      <c r="CA306" s="104"/>
      <c r="CB306" s="104"/>
      <c r="CC306" s="104"/>
      <c r="CD306" s="104"/>
      <c r="CE306" s="104"/>
      <c r="CF306" s="104"/>
      <c r="CG306" s="103"/>
      <c r="CH306" s="103"/>
      <c r="CI306" s="103"/>
      <c r="CJ306" s="103"/>
      <c r="CK306" s="103"/>
      <c r="CL306" s="103"/>
      <c r="CM306" s="103"/>
      <c r="CN306" s="103"/>
      <c r="CO306" s="103"/>
      <c r="CP306" s="103"/>
      <c r="CQ306" s="103"/>
      <c r="CR306" s="103"/>
      <c r="CS306" s="103"/>
      <c r="CT306" s="103"/>
      <c r="CU306" s="103"/>
      <c r="CV306" s="103"/>
      <c r="CW306" s="103"/>
      <c r="CX306" s="103"/>
      <c r="CY306" s="103"/>
      <c r="CZ306" s="103"/>
      <c r="DA306" s="103"/>
      <c r="DB306" s="103"/>
      <c r="DC306" s="103"/>
      <c r="DD306" s="103"/>
      <c r="DE306" s="103"/>
      <c r="DF306" s="465"/>
      <c r="DG306" s="107"/>
      <c r="DH306" s="1"/>
      <c r="DI306" s="465"/>
      <c r="DJ306" s="52"/>
      <c r="DK306" s="52"/>
      <c r="DL306" s="52"/>
      <c r="DM306" s="52"/>
      <c r="DN306" s="52"/>
      <c r="DO306" s="52"/>
      <c r="DP306" s="52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P306" s="53"/>
      <c r="EQ306" s="1"/>
      <c r="ER306" s="102"/>
      <c r="ES306" s="103"/>
      <c r="ET306" s="1"/>
      <c r="EU306" s="103"/>
      <c r="EV306" s="1"/>
      <c r="EW306" s="1"/>
      <c r="EX306" s="1"/>
      <c r="EY306" s="102"/>
      <c r="FN306" s="657">
        <v>62</v>
      </c>
      <c r="FO306" s="469" t="str">
        <f ca="1">IF($FN306+FO$244&gt;73,"",PRODUCT(INDEX($T$19:$T$93,FO$244):INDEX($T$19:$T$93,FO$244+$FN306-1)))</f>
        <v/>
      </c>
      <c r="FP306" s="469" t="str">
        <f ca="1">IF($FN306+FP$244&gt;73,"",PRODUCT(INDEX($T$19:$T$93,FP$244):INDEX($T$19:$T$93,FP$244+$FN306-1)))</f>
        <v/>
      </c>
      <c r="FQ306" s="469" t="str">
        <f ca="1">IF($FN306+FQ$244&gt;73,"",PRODUCT(INDEX($T$19:$T$93,FQ$244):INDEX($T$19:$T$93,FQ$244+$FN306-1)))</f>
        <v/>
      </c>
      <c r="FR306" s="469" t="str">
        <f ca="1">IF($FN306+FR$244&gt;73,"",PRODUCT(INDEX($T$19:$T$93,FR$244):INDEX($T$19:$T$93,FR$244+$FN306-1)))</f>
        <v/>
      </c>
      <c r="FS306" s="469" t="str">
        <f ca="1">IF($FN306+FS$244&gt;73,"",PRODUCT(INDEX($T$19:$T$93,FS$244):INDEX($T$19:$T$93,FS$244+$FN306-1)))</f>
        <v/>
      </c>
      <c r="FT306" s="469" t="str">
        <f ca="1">IF($FN306+FT$244&gt;73,"",PRODUCT(INDEX($T$19:$T$93,FT$244):INDEX($T$19:$T$93,FT$244+$FN306-1)))</f>
        <v/>
      </c>
      <c r="FU306" s="469" t="str">
        <f ca="1">IF($FN306+FU$244&gt;73,"",PRODUCT(INDEX($T$19:$T$93,FU$244):INDEX($T$19:$T$93,FU$244+$FN306-1)))</f>
        <v/>
      </c>
      <c r="FV306" s="469" t="str">
        <f ca="1">IF($FN306+FV$244&gt;73,"",PRODUCT(INDEX($T$19:$T$93,FV$244):INDEX($T$19:$T$93,FV$244+$FN306-1)))</f>
        <v/>
      </c>
      <c r="FW306" s="469" t="str">
        <f ca="1">IF($FN306+FW$244&gt;73,"",PRODUCT(INDEX($T$19:$T$93,FW$244):INDEX($T$19:$T$93,FW$244+$FN306-1)))</f>
        <v/>
      </c>
      <c r="FX306" s="469" t="str">
        <f ca="1">IF($FN306+FX$244&gt;73,"",PRODUCT(INDEX($T$19:$T$93,FX$244):INDEX($T$19:$T$93,FX$244+$FN306-1)))</f>
        <v/>
      </c>
      <c r="FY306" s="469" t="str">
        <f ca="1">IF($FN306+FY$244&gt;73,"",PRODUCT(INDEX($T$19:$T$93,FY$244):INDEX($T$19:$T$93,FY$244+$FN306-1)))</f>
        <v/>
      </c>
      <c r="FZ306" s="469" t="str">
        <f ca="1">IF($FN306+FZ$244&gt;73,"",PRODUCT(INDEX($T$19:$T$93,FZ$244):INDEX($T$19:$T$93,FZ$244+$FN306-1)))</f>
        <v/>
      </c>
      <c r="GA306" s="469" t="str">
        <f ca="1">IF($FN306+GA$244&gt;73,"",PRODUCT(INDEX($T$19:$T$93,GA$244):INDEX($T$19:$T$93,GA$244+$FN306-1)))</f>
        <v/>
      </c>
      <c r="GB306" s="469" t="str">
        <f ca="1">IF($FN306+GB$244&gt;73,"",PRODUCT(INDEX($T$19:$T$93,GB$244):INDEX($T$19:$T$93,GB$244+$FN306-1)))</f>
        <v/>
      </c>
      <c r="GC306" s="469" t="str">
        <f ca="1">IF($FN306+GC$244&gt;73,"",PRODUCT(INDEX($T$19:$T$93,GC$244):INDEX($T$19:$T$93,GC$244+$FN306-1)))</f>
        <v/>
      </c>
      <c r="GD306" s="469" t="str">
        <f ca="1">IF($FN306+GD$244&gt;73,"",PRODUCT(INDEX($T$19:$T$93,GD$244):INDEX($T$19:$T$93,GD$244+$FN306-1)))</f>
        <v/>
      </c>
      <c r="GE306" s="469" t="str">
        <f ca="1">IF($FN306+GE$244&gt;73,"",PRODUCT(INDEX($T$19:$T$93,GE$244):INDEX($T$19:$T$93,GE$244+$FN306-1)))</f>
        <v/>
      </c>
      <c r="GF306" s="469" t="str">
        <f ca="1">IF($FN306+GF$244&gt;73,"",PRODUCT(INDEX($T$19:$T$93,GF$244):INDEX($T$19:$T$93,GF$244+$FN306-1)))</f>
        <v/>
      </c>
      <c r="GG306" s="469" t="str">
        <f ca="1">IF($FN306+GG$244&gt;73,"",PRODUCT(INDEX($T$19:$T$93,GG$244):INDEX($T$19:$T$93,GG$244+$FN306-1)))</f>
        <v/>
      </c>
      <c r="GH306" s="469" t="str">
        <f ca="1">IF($FN306+GH$244&gt;73,"",PRODUCT(INDEX($T$19:$T$93,GH$244):INDEX($T$19:$T$93,GH$244+$FN306-1)))</f>
        <v/>
      </c>
      <c r="GI306" s="469" t="str">
        <f ca="1">IF($FN306+GI$244&gt;73,"",PRODUCT(INDEX($T$19:$T$93,GI$244):INDEX($T$19:$T$93,GI$244+$FN306-1)))</f>
        <v/>
      </c>
      <c r="GJ306" s="469" t="str">
        <f ca="1">IF($FN306+GJ$244&gt;73,"",PRODUCT(INDEX($T$19:$T$93,GJ$244):INDEX($T$19:$T$93,GJ$244+$FN306-1)))</f>
        <v/>
      </c>
      <c r="GK306" s="469" t="str">
        <f ca="1">IF($FN306+GK$244&gt;73,"",PRODUCT(INDEX($T$19:$T$93,GK$244):INDEX($T$19:$T$93,GK$244+$FN306-1)))</f>
        <v/>
      </c>
      <c r="GL306" s="469" t="str">
        <f ca="1">IF($FN306+GL$244&gt;73,"",PRODUCT(INDEX($T$19:$T$93,GL$244):INDEX($T$19:$T$93,GL$244+$FN306-1)))</f>
        <v/>
      </c>
      <c r="GM306" s="469" t="str">
        <f ca="1">IF($FN306+GM$244&gt;73,"",PRODUCT(INDEX($T$19:$T$93,GM$244):INDEX($T$19:$T$93,GM$244+$FN306-1)))</f>
        <v/>
      </c>
      <c r="GN306" s="469" t="str">
        <f ca="1">IF($FN306+GN$244&gt;73,"",PRODUCT(INDEX($T$19:$T$93,GN$244):INDEX($T$19:$T$93,GN$244+$FN306-1)))</f>
        <v/>
      </c>
      <c r="GO306" s="469" t="str">
        <f ca="1">IF($FN306+GO$244&gt;73,"",PRODUCT(INDEX($T$19:$T$93,GO$244):INDEX($T$19:$T$93,GO$244+$FN306-1)))</f>
        <v/>
      </c>
      <c r="GP306" s="469" t="str">
        <f ca="1">IF($FN306+GP$244&gt;73,"",PRODUCT(INDEX($T$19:$T$93,GP$244):INDEX($T$19:$T$93,GP$244+$FN306-1)))</f>
        <v/>
      </c>
      <c r="GQ306" s="469" t="str">
        <f ca="1">IF($FN306+GQ$244&gt;73,"",PRODUCT(INDEX($T$19:$T$93,GQ$244):INDEX($T$19:$T$93,GQ$244+$FN306-1)))</f>
        <v/>
      </c>
      <c r="GR306" s="469" t="str">
        <f ca="1">IF($FN306+GR$244&gt;73,"",PRODUCT(INDEX($T$19:$T$93,GR$244):INDEX($T$19:$T$93,GR$244+$FN306-1)))</f>
        <v/>
      </c>
      <c r="GS306" s="469" t="str">
        <f ca="1">IF($FN306+GS$244&gt;73,"",PRODUCT(INDEX($T$19:$T$93,GS$244):INDEX($T$19:$T$93,GS$244+$FN306-1)))</f>
        <v/>
      </c>
      <c r="GT306" s="469" t="str">
        <f ca="1">IF($FN306+GT$244&gt;73,"",PRODUCT(INDEX($T$19:$T$93,GT$244):INDEX($T$19:$T$93,GT$244+$FN306-1)))</f>
        <v/>
      </c>
      <c r="GU306" s="469" t="str">
        <f ca="1">IF($FN306+GU$244&gt;73,"",PRODUCT(INDEX($T$19:$T$93,GU$244):INDEX($T$19:$T$93,GU$244+$FN306-1)))</f>
        <v/>
      </c>
      <c r="GV306" s="469" t="str">
        <f ca="1">IF($FN306+GV$244&gt;73,"",PRODUCT(INDEX($T$19:$T$93,GV$244):INDEX($T$19:$T$93,GV$244+$FN306-1)))</f>
        <v/>
      </c>
      <c r="GW306" s="469" t="str">
        <f ca="1">IF($FN306+GW$244&gt;73,"",PRODUCT(INDEX($T$19:$T$93,GW$244):INDEX($T$19:$T$93,GW$244+$FN306-1)))</f>
        <v/>
      </c>
      <c r="GX306" s="469" t="str">
        <f ca="1">IF($FN306+GX$244&gt;73,"",PRODUCT(INDEX($T$19:$T$93,GX$244):INDEX($T$19:$T$93,GX$244+$FN306-1)))</f>
        <v/>
      </c>
      <c r="GY306" s="469" t="str">
        <f ca="1">IF($FN306+GY$244&gt;73,"",PRODUCT(INDEX($T$19:$T$93,GY$244):INDEX($T$19:$T$93,GY$244+$FN306-1)))</f>
        <v/>
      </c>
      <c r="GZ306" s="469" t="str">
        <f ca="1">IF($FN306+GZ$244&gt;73,"",PRODUCT(INDEX($T$19:$T$93,GZ$244):INDEX($T$19:$T$93,GZ$244+$FN306-1)))</f>
        <v/>
      </c>
      <c r="HA306" s="469" t="str">
        <f ca="1">IF($FN306+HA$244&gt;73,"",PRODUCT(INDEX($T$19:$T$93,HA$244):INDEX($T$19:$T$93,HA$244+$FN306-1)))</f>
        <v/>
      </c>
      <c r="HB306" s="469" t="str">
        <f ca="1">IF($FN306+HB$244&gt;73,"",PRODUCT(INDEX($T$19:$T$93,HB$244):INDEX($T$19:$T$93,HB$244+$FN306-1)))</f>
        <v/>
      </c>
      <c r="HC306" s="469" t="str">
        <f ca="1">IF($FN306+HC$244&gt;73,"",PRODUCT(INDEX($T$19:$T$93,HC$244):INDEX($T$19:$T$93,HC$244+$FN306-1)))</f>
        <v/>
      </c>
      <c r="HD306" s="469" t="str">
        <f ca="1">IF($FN306+HD$244&gt;73,"",PRODUCT(INDEX($T$19:$T$93,HD$244):INDEX($T$19:$T$93,HD$244+$FN306-1)))</f>
        <v/>
      </c>
      <c r="HE306" s="469" t="str">
        <f ca="1">IF($FN306+HE$244&gt;73,"",PRODUCT(INDEX($T$19:$T$93,HE$244):INDEX($T$19:$T$93,HE$244+$FN306-1)))</f>
        <v/>
      </c>
      <c r="HF306" s="469" t="str">
        <f ca="1">IF($FN306+HF$244&gt;73,"",PRODUCT(INDEX($T$19:$T$93,HF$244):INDEX($T$19:$T$93,HF$244+$FN306-1)))</f>
        <v/>
      </c>
      <c r="HG306" s="469" t="str">
        <f ca="1">IF($FN306+HG$244&gt;73,"",PRODUCT(INDEX($T$19:$T$93,HG$244):INDEX($T$19:$T$93,HG$244+$FN306-1)))</f>
        <v/>
      </c>
      <c r="HH306" s="469" t="str">
        <f ca="1">IF($FN306+HH$244&gt;73,"",PRODUCT(INDEX($T$19:$T$93,HH$244):INDEX($T$19:$T$93,HH$244+$FN306-1)))</f>
        <v/>
      </c>
      <c r="HI306" s="469" t="str">
        <f ca="1">IF($FN306+HI$244&gt;73,"",PRODUCT(INDEX($T$19:$T$93,HI$244):INDEX($T$19:$T$93,HI$244+$FN306-1)))</f>
        <v/>
      </c>
      <c r="HJ306" s="469" t="str">
        <f ca="1">IF($FN306+HJ$244&gt;73,"",PRODUCT(INDEX($T$19:$T$93,HJ$244):INDEX($T$19:$T$93,HJ$244+$FN306-1)))</f>
        <v/>
      </c>
      <c r="HK306" s="469" t="str">
        <f ca="1">IF($FN306+HK$244&gt;73,"",PRODUCT(INDEX($T$19:$T$93,HK$244):INDEX($T$19:$T$93,HK$244+$FN306-1)))</f>
        <v/>
      </c>
      <c r="HL306" s="469" t="str">
        <f ca="1">IF($FN306+HL$244&gt;73,"",PRODUCT(INDEX($T$19:$T$93,HL$244):INDEX($T$19:$T$93,HL$244+$FN306-1)))</f>
        <v/>
      </c>
      <c r="HM306" s="469" t="str">
        <f ca="1">IF($FN306+HM$244&gt;73,"",PRODUCT(INDEX($T$19:$T$93,HM$244):INDEX($T$19:$T$93,HM$244+$FN306-1)))</f>
        <v/>
      </c>
      <c r="HN306" s="469" t="str">
        <f ca="1">IF($FN306+HN$244&gt;73,"",PRODUCT(INDEX($T$19:$T$93,HN$244):INDEX($T$19:$T$93,HN$244+$FN306-1)))</f>
        <v/>
      </c>
      <c r="HO306" s="469" t="str">
        <f ca="1">IF($FN306+HO$244&gt;73,"",PRODUCT(INDEX($T$19:$T$93,HO$244):INDEX($T$19:$T$93,HO$244+$FN306-1)))</f>
        <v/>
      </c>
      <c r="HP306" s="469" t="str">
        <f ca="1">IF($FN306+HP$244&gt;73,"",PRODUCT(INDEX($T$19:$T$93,HP$244):INDEX($T$19:$T$93,HP$244+$FN306-1)))</f>
        <v/>
      </c>
      <c r="HQ306" s="469" t="str">
        <f ca="1">IF($FN306+HQ$244&gt;73,"",PRODUCT(INDEX($T$19:$T$93,HQ$244):INDEX($T$19:$T$93,HQ$244+$FN306-1)))</f>
        <v/>
      </c>
      <c r="HR306" s="469" t="str">
        <f ca="1">IF($FN306+HR$244&gt;73,"",PRODUCT(INDEX($T$19:$T$93,HR$244):INDEX($T$19:$T$93,HR$244+$FN306-1)))</f>
        <v/>
      </c>
      <c r="HS306" s="469" t="str">
        <f ca="1">IF($FN306+HS$244&gt;73,"",PRODUCT(INDEX($T$19:$T$93,HS$244):INDEX($T$19:$T$93,HS$244+$FN306-1)))</f>
        <v/>
      </c>
      <c r="HT306" s="469" t="str">
        <f ca="1">IF($FN306+HT$244&gt;73,"",PRODUCT(INDEX($T$19:$T$93,HT$244):INDEX($T$19:$T$93,HT$244+$FN306-1)))</f>
        <v/>
      </c>
      <c r="HU306" s="469" t="str">
        <f ca="1">IF($FN306+HU$244&gt;73,"",PRODUCT(INDEX($T$19:$T$93,HU$244):INDEX($T$19:$T$93,HU$244+$FN306-1)))</f>
        <v/>
      </c>
      <c r="HV306" s="469" t="str">
        <f ca="1">IF($FN306+HV$244&gt;73,"",PRODUCT(INDEX($T$19:$T$93,HV$244):INDEX($T$19:$T$93,HV$244+$FN306-1)))</f>
        <v/>
      </c>
      <c r="HW306" s="469" t="str">
        <f ca="1">IF($FN306+HW$244&gt;73,"",PRODUCT(INDEX($T$19:$T$93,HW$244):INDEX($T$19:$T$93,HW$244+$FN306-1)))</f>
        <v/>
      </c>
      <c r="HX306" s="469">
        <f ca="1">IF($FN306+HX$244&gt;73,"",PRODUCT(INDEX($T$19:$T$93,HX$244):INDEX($T$19:$T$93,HX$244+$FN306-1)))</f>
        <v>0.7340389938265196</v>
      </c>
      <c r="HY306" s="469">
        <f ca="1">IF($FN306+HY$244&gt;73,"",PRODUCT(INDEX($T$19:$T$93,HY$244):INDEX($T$19:$T$93,HY$244+$FN306-1)))</f>
        <v>0.70844641472453107</v>
      </c>
      <c r="HZ306" s="469">
        <f ca="1">IF($FN306+HZ$244&gt;73,"",PRODUCT(INDEX($T$19:$T$93,HZ$244):INDEX($T$19:$T$93,HZ$244+$FN306-1)))</f>
        <v>0.68083681944449892</v>
      </c>
      <c r="IA306" s="469">
        <f ca="1">IF($FN306+IA$244&gt;73,"",PRODUCT(INDEX($T$19:$T$93,IA$244):INDEX($T$19:$T$93,IA$244+$FN306-1)))</f>
        <v>0.65114929488223083</v>
      </c>
      <c r="IB306" s="469">
        <f ca="1">IF($FN306+IB$244&gt;73,"",PRODUCT(INDEX($T$19:$T$93,IB$244):INDEX($T$19:$T$93,IB$244+$FN306-1)))</f>
        <v>0.61934575703251749</v>
      </c>
      <c r="IC306" s="469">
        <f ca="1">IF($FN306+IC$244&gt;73,"",PRODUCT(INDEX($T$19:$T$93,IC$244):INDEX($T$19:$T$93,IC$244+$FN306-1)))</f>
        <v>0.58541815397950825</v>
      </c>
      <c r="ID306" s="469">
        <f ca="1">IF($FN306+ID$244&gt;73,"",PRODUCT(INDEX($T$19:$T$93,ID$244):INDEX($T$19:$T$93,ID$244+$FN306-1)))</f>
        <v>0.54939700004707448</v>
      </c>
      <c r="IE306" s="469">
        <f ca="1">IF($FN306+IE$244&gt;73,"",PRODUCT(INDEX($T$19:$T$93,IE$244):INDEX($T$19:$T$93,IE$244+$FN306-1)))</f>
        <v>0.51136135719138598</v>
      </c>
      <c r="IF306" s="469">
        <f ca="1">IF($FN306+IF$244&gt;73,"",PRODUCT(INDEX($T$19:$T$93,IF$244):INDEX($T$19:$T$93,IF$244+$FN306-1)))</f>
        <v>0.47145031801562476</v>
      </c>
      <c r="IG306" s="469">
        <f ca="1">IF($FN306+IG$244&gt;73,"",PRODUCT(INDEX($T$19:$T$93,IG$244):INDEX($T$19:$T$93,IG$244+$FN306-1)))</f>
        <v>0.42987591896894234</v>
      </c>
      <c r="IH306" s="662">
        <f ca="1">IF($FN306+IH$244&gt;73,"",PRODUCT(INDEX($T$19:$T$93,IH$244):INDEX($T$19:$T$93,IH$244+$FN306-1)))</f>
        <v>0.38693718071257627</v>
      </c>
      <c r="II306" s="242"/>
    </row>
    <row r="307" spans="9:243">
      <c r="I307" s="132"/>
      <c r="J307" s="365"/>
      <c r="K307" s="133"/>
      <c r="L307" s="1"/>
      <c r="M307" s="366"/>
      <c r="P307" s="365"/>
      <c r="S307" s="53"/>
      <c r="T307" s="365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364">
        <v>6.5131363616738602E-2</v>
      </c>
      <c r="AP307" s="1"/>
      <c r="AQ307" s="364">
        <v>5.7908581423141502E-2</v>
      </c>
      <c r="AR307" s="1"/>
      <c r="AS307" s="103"/>
      <c r="AT307" s="103"/>
      <c r="AU307" s="103"/>
      <c r="AV307" s="31"/>
      <c r="AW307" s="31"/>
      <c r="AX307" s="31"/>
      <c r="AY307" s="31"/>
      <c r="AZ307" s="146"/>
      <c r="BA307" s="146"/>
      <c r="BB307" s="103"/>
      <c r="BC307" s="103"/>
      <c r="BD307" s="103"/>
      <c r="BE307" s="103"/>
      <c r="BF307" s="104"/>
      <c r="BG307" s="104"/>
      <c r="BH307" s="104"/>
      <c r="BI307" s="104"/>
      <c r="BJ307" s="104"/>
      <c r="BK307" s="103"/>
      <c r="BL307" s="105"/>
      <c r="BM307" s="103"/>
      <c r="BN307" s="103"/>
      <c r="BO307" s="103"/>
      <c r="BP307" s="103"/>
      <c r="BQ307" s="103"/>
      <c r="BR307" s="103"/>
      <c r="BS307" s="103"/>
      <c r="BT307" s="103"/>
      <c r="BU307" s="103"/>
      <c r="BV307" s="103"/>
      <c r="BW307" s="103"/>
      <c r="BX307" s="103"/>
      <c r="BY307" s="103"/>
      <c r="BZ307" s="103"/>
      <c r="CA307" s="104"/>
      <c r="CB307" s="104"/>
      <c r="CC307" s="104"/>
      <c r="CD307" s="104"/>
      <c r="CE307" s="104"/>
      <c r="CF307" s="104"/>
      <c r="CG307" s="103"/>
      <c r="CH307" s="103"/>
      <c r="CI307" s="103"/>
      <c r="CJ307" s="103"/>
      <c r="CK307" s="103"/>
      <c r="CL307" s="103"/>
      <c r="CM307" s="103"/>
      <c r="CN307" s="103"/>
      <c r="CO307" s="103"/>
      <c r="CP307" s="103"/>
      <c r="CQ307" s="103"/>
      <c r="CR307" s="103"/>
      <c r="CS307" s="103"/>
      <c r="CT307" s="103"/>
      <c r="CU307" s="103"/>
      <c r="CV307" s="103"/>
      <c r="CW307" s="103"/>
      <c r="CX307" s="103"/>
      <c r="CY307" s="103"/>
      <c r="CZ307" s="103"/>
      <c r="DA307" s="103"/>
      <c r="DB307" s="103"/>
      <c r="DC307" s="103"/>
      <c r="DD307" s="103"/>
      <c r="DE307" s="103"/>
      <c r="DF307" s="465"/>
      <c r="DG307" s="107"/>
      <c r="DH307" s="1"/>
      <c r="DI307" s="465"/>
      <c r="DJ307" s="52"/>
      <c r="DK307" s="52"/>
      <c r="DL307" s="52"/>
      <c r="DM307" s="52"/>
      <c r="DN307" s="52"/>
      <c r="DO307" s="52"/>
      <c r="DP307" s="52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P307" s="53"/>
      <c r="EQ307" s="1"/>
      <c r="ER307" s="102"/>
      <c r="ES307" s="103"/>
      <c r="ET307" s="1"/>
      <c r="EU307" s="103"/>
      <c r="EV307" s="1"/>
      <c r="EW307" s="1"/>
      <c r="EX307" s="1"/>
      <c r="EY307" s="102"/>
      <c r="FN307" s="657">
        <v>63</v>
      </c>
      <c r="FO307" s="469" t="str">
        <f ca="1">IF($FN307+FO$244&gt;73,"",PRODUCT(INDEX($T$19:$T$93,FO$244):INDEX($T$19:$T$93,FO$244+$FN307-1)))</f>
        <v/>
      </c>
      <c r="FP307" s="469" t="str">
        <f ca="1">IF($FN307+FP$244&gt;73,"",PRODUCT(INDEX($T$19:$T$93,FP$244):INDEX($T$19:$T$93,FP$244+$FN307-1)))</f>
        <v/>
      </c>
      <c r="FQ307" s="469" t="str">
        <f ca="1">IF($FN307+FQ$244&gt;73,"",PRODUCT(INDEX($T$19:$T$93,FQ$244):INDEX($T$19:$T$93,FQ$244+$FN307-1)))</f>
        <v/>
      </c>
      <c r="FR307" s="469" t="str">
        <f ca="1">IF($FN307+FR$244&gt;73,"",PRODUCT(INDEX($T$19:$T$93,FR$244):INDEX($T$19:$T$93,FR$244+$FN307-1)))</f>
        <v/>
      </c>
      <c r="FS307" s="469" t="str">
        <f ca="1">IF($FN307+FS$244&gt;73,"",PRODUCT(INDEX($T$19:$T$93,FS$244):INDEX($T$19:$T$93,FS$244+$FN307-1)))</f>
        <v/>
      </c>
      <c r="FT307" s="469" t="str">
        <f ca="1">IF($FN307+FT$244&gt;73,"",PRODUCT(INDEX($T$19:$T$93,FT$244):INDEX($T$19:$T$93,FT$244+$FN307-1)))</f>
        <v/>
      </c>
      <c r="FU307" s="469" t="str">
        <f ca="1">IF($FN307+FU$244&gt;73,"",PRODUCT(INDEX($T$19:$T$93,FU$244):INDEX($T$19:$T$93,FU$244+$FN307-1)))</f>
        <v/>
      </c>
      <c r="FV307" s="469" t="str">
        <f ca="1">IF($FN307+FV$244&gt;73,"",PRODUCT(INDEX($T$19:$T$93,FV$244):INDEX($T$19:$T$93,FV$244+$FN307-1)))</f>
        <v/>
      </c>
      <c r="FW307" s="469" t="str">
        <f ca="1">IF($FN307+FW$244&gt;73,"",PRODUCT(INDEX($T$19:$T$93,FW$244):INDEX($T$19:$T$93,FW$244+$FN307-1)))</f>
        <v/>
      </c>
      <c r="FX307" s="469" t="str">
        <f ca="1">IF($FN307+FX$244&gt;73,"",PRODUCT(INDEX($T$19:$T$93,FX$244):INDEX($T$19:$T$93,FX$244+$FN307-1)))</f>
        <v/>
      </c>
      <c r="FY307" s="469" t="str">
        <f ca="1">IF($FN307+FY$244&gt;73,"",PRODUCT(INDEX($T$19:$T$93,FY$244):INDEX($T$19:$T$93,FY$244+$FN307-1)))</f>
        <v/>
      </c>
      <c r="FZ307" s="469" t="str">
        <f ca="1">IF($FN307+FZ$244&gt;73,"",PRODUCT(INDEX($T$19:$T$93,FZ$244):INDEX($T$19:$T$93,FZ$244+$FN307-1)))</f>
        <v/>
      </c>
      <c r="GA307" s="469" t="str">
        <f ca="1">IF($FN307+GA$244&gt;73,"",PRODUCT(INDEX($T$19:$T$93,GA$244):INDEX($T$19:$T$93,GA$244+$FN307-1)))</f>
        <v/>
      </c>
      <c r="GB307" s="469" t="str">
        <f ca="1">IF($FN307+GB$244&gt;73,"",PRODUCT(INDEX($T$19:$T$93,GB$244):INDEX($T$19:$T$93,GB$244+$FN307-1)))</f>
        <v/>
      </c>
      <c r="GC307" s="469" t="str">
        <f ca="1">IF($FN307+GC$244&gt;73,"",PRODUCT(INDEX($T$19:$T$93,GC$244):INDEX($T$19:$T$93,GC$244+$FN307-1)))</f>
        <v/>
      </c>
      <c r="GD307" s="469" t="str">
        <f ca="1">IF($FN307+GD$244&gt;73,"",PRODUCT(INDEX($T$19:$T$93,GD$244):INDEX($T$19:$T$93,GD$244+$FN307-1)))</f>
        <v/>
      </c>
      <c r="GE307" s="469" t="str">
        <f ca="1">IF($FN307+GE$244&gt;73,"",PRODUCT(INDEX($T$19:$T$93,GE$244):INDEX($T$19:$T$93,GE$244+$FN307-1)))</f>
        <v/>
      </c>
      <c r="GF307" s="469" t="str">
        <f ca="1">IF($FN307+GF$244&gt;73,"",PRODUCT(INDEX($T$19:$T$93,GF$244):INDEX($T$19:$T$93,GF$244+$FN307-1)))</f>
        <v/>
      </c>
      <c r="GG307" s="469" t="str">
        <f ca="1">IF($FN307+GG$244&gt;73,"",PRODUCT(INDEX($T$19:$T$93,GG$244):INDEX($T$19:$T$93,GG$244+$FN307-1)))</f>
        <v/>
      </c>
      <c r="GH307" s="469" t="str">
        <f ca="1">IF($FN307+GH$244&gt;73,"",PRODUCT(INDEX($T$19:$T$93,GH$244):INDEX($T$19:$T$93,GH$244+$FN307-1)))</f>
        <v/>
      </c>
      <c r="GI307" s="469" t="str">
        <f ca="1">IF($FN307+GI$244&gt;73,"",PRODUCT(INDEX($T$19:$T$93,GI$244):INDEX($T$19:$T$93,GI$244+$FN307-1)))</f>
        <v/>
      </c>
      <c r="GJ307" s="469" t="str">
        <f ca="1">IF($FN307+GJ$244&gt;73,"",PRODUCT(INDEX($T$19:$T$93,GJ$244):INDEX($T$19:$T$93,GJ$244+$FN307-1)))</f>
        <v/>
      </c>
      <c r="GK307" s="469" t="str">
        <f ca="1">IF($FN307+GK$244&gt;73,"",PRODUCT(INDEX($T$19:$T$93,GK$244):INDEX($T$19:$T$93,GK$244+$FN307-1)))</f>
        <v/>
      </c>
      <c r="GL307" s="469" t="str">
        <f ca="1">IF($FN307+GL$244&gt;73,"",PRODUCT(INDEX($T$19:$T$93,GL$244):INDEX($T$19:$T$93,GL$244+$FN307-1)))</f>
        <v/>
      </c>
      <c r="GM307" s="469" t="str">
        <f ca="1">IF($FN307+GM$244&gt;73,"",PRODUCT(INDEX($T$19:$T$93,GM$244):INDEX($T$19:$T$93,GM$244+$FN307-1)))</f>
        <v/>
      </c>
      <c r="GN307" s="469" t="str">
        <f ca="1">IF($FN307+GN$244&gt;73,"",PRODUCT(INDEX($T$19:$T$93,GN$244):INDEX($T$19:$T$93,GN$244+$FN307-1)))</f>
        <v/>
      </c>
      <c r="GO307" s="469" t="str">
        <f ca="1">IF($FN307+GO$244&gt;73,"",PRODUCT(INDEX($T$19:$T$93,GO$244):INDEX($T$19:$T$93,GO$244+$FN307-1)))</f>
        <v/>
      </c>
      <c r="GP307" s="469" t="str">
        <f ca="1">IF($FN307+GP$244&gt;73,"",PRODUCT(INDEX($T$19:$T$93,GP$244):INDEX($T$19:$T$93,GP$244+$FN307-1)))</f>
        <v/>
      </c>
      <c r="GQ307" s="469" t="str">
        <f ca="1">IF($FN307+GQ$244&gt;73,"",PRODUCT(INDEX($T$19:$T$93,GQ$244):INDEX($T$19:$T$93,GQ$244+$FN307-1)))</f>
        <v/>
      </c>
      <c r="GR307" s="469" t="str">
        <f ca="1">IF($FN307+GR$244&gt;73,"",PRODUCT(INDEX($T$19:$T$93,GR$244):INDEX($T$19:$T$93,GR$244+$FN307-1)))</f>
        <v/>
      </c>
      <c r="GS307" s="469" t="str">
        <f ca="1">IF($FN307+GS$244&gt;73,"",PRODUCT(INDEX($T$19:$T$93,GS$244):INDEX($T$19:$T$93,GS$244+$FN307-1)))</f>
        <v/>
      </c>
      <c r="GT307" s="469" t="str">
        <f ca="1">IF($FN307+GT$244&gt;73,"",PRODUCT(INDEX($T$19:$T$93,GT$244):INDEX($T$19:$T$93,GT$244+$FN307-1)))</f>
        <v/>
      </c>
      <c r="GU307" s="469" t="str">
        <f ca="1">IF($FN307+GU$244&gt;73,"",PRODUCT(INDEX($T$19:$T$93,GU$244):INDEX($T$19:$T$93,GU$244+$FN307-1)))</f>
        <v/>
      </c>
      <c r="GV307" s="469" t="str">
        <f ca="1">IF($FN307+GV$244&gt;73,"",PRODUCT(INDEX($T$19:$T$93,GV$244):INDEX($T$19:$T$93,GV$244+$FN307-1)))</f>
        <v/>
      </c>
      <c r="GW307" s="469" t="str">
        <f ca="1">IF($FN307+GW$244&gt;73,"",PRODUCT(INDEX($T$19:$T$93,GW$244):INDEX($T$19:$T$93,GW$244+$FN307-1)))</f>
        <v/>
      </c>
      <c r="GX307" s="469" t="str">
        <f ca="1">IF($FN307+GX$244&gt;73,"",PRODUCT(INDEX($T$19:$T$93,GX$244):INDEX($T$19:$T$93,GX$244+$FN307-1)))</f>
        <v/>
      </c>
      <c r="GY307" s="469" t="str">
        <f ca="1">IF($FN307+GY$244&gt;73,"",PRODUCT(INDEX($T$19:$T$93,GY$244):INDEX($T$19:$T$93,GY$244+$FN307-1)))</f>
        <v/>
      </c>
      <c r="GZ307" s="469" t="str">
        <f ca="1">IF($FN307+GZ$244&gt;73,"",PRODUCT(INDEX($T$19:$T$93,GZ$244):INDEX($T$19:$T$93,GZ$244+$FN307-1)))</f>
        <v/>
      </c>
      <c r="HA307" s="469" t="str">
        <f ca="1">IF($FN307+HA$244&gt;73,"",PRODUCT(INDEX($T$19:$T$93,HA$244):INDEX($T$19:$T$93,HA$244+$FN307-1)))</f>
        <v/>
      </c>
      <c r="HB307" s="469" t="str">
        <f ca="1">IF($FN307+HB$244&gt;73,"",PRODUCT(INDEX($T$19:$T$93,HB$244):INDEX($T$19:$T$93,HB$244+$FN307-1)))</f>
        <v/>
      </c>
      <c r="HC307" s="469" t="str">
        <f ca="1">IF($FN307+HC$244&gt;73,"",PRODUCT(INDEX($T$19:$T$93,HC$244):INDEX($T$19:$T$93,HC$244+$FN307-1)))</f>
        <v/>
      </c>
      <c r="HD307" s="469" t="str">
        <f ca="1">IF($FN307+HD$244&gt;73,"",PRODUCT(INDEX($T$19:$T$93,HD$244):INDEX($T$19:$T$93,HD$244+$FN307-1)))</f>
        <v/>
      </c>
      <c r="HE307" s="469" t="str">
        <f ca="1">IF($FN307+HE$244&gt;73,"",PRODUCT(INDEX($T$19:$T$93,HE$244):INDEX($T$19:$T$93,HE$244+$FN307-1)))</f>
        <v/>
      </c>
      <c r="HF307" s="469" t="str">
        <f ca="1">IF($FN307+HF$244&gt;73,"",PRODUCT(INDEX($T$19:$T$93,HF$244):INDEX($T$19:$T$93,HF$244+$FN307-1)))</f>
        <v/>
      </c>
      <c r="HG307" s="469" t="str">
        <f ca="1">IF($FN307+HG$244&gt;73,"",PRODUCT(INDEX($T$19:$T$93,HG$244):INDEX($T$19:$T$93,HG$244+$FN307-1)))</f>
        <v/>
      </c>
      <c r="HH307" s="469" t="str">
        <f ca="1">IF($FN307+HH$244&gt;73,"",PRODUCT(INDEX($T$19:$T$93,HH$244):INDEX($T$19:$T$93,HH$244+$FN307-1)))</f>
        <v/>
      </c>
      <c r="HI307" s="469" t="str">
        <f ca="1">IF($FN307+HI$244&gt;73,"",PRODUCT(INDEX($T$19:$T$93,HI$244):INDEX($T$19:$T$93,HI$244+$FN307-1)))</f>
        <v/>
      </c>
      <c r="HJ307" s="469" t="str">
        <f ca="1">IF($FN307+HJ$244&gt;73,"",PRODUCT(INDEX($T$19:$T$93,HJ$244):INDEX($T$19:$T$93,HJ$244+$FN307-1)))</f>
        <v/>
      </c>
      <c r="HK307" s="469" t="str">
        <f ca="1">IF($FN307+HK$244&gt;73,"",PRODUCT(INDEX($T$19:$T$93,HK$244):INDEX($T$19:$T$93,HK$244+$FN307-1)))</f>
        <v/>
      </c>
      <c r="HL307" s="469" t="str">
        <f ca="1">IF($FN307+HL$244&gt;73,"",PRODUCT(INDEX($T$19:$T$93,HL$244):INDEX($T$19:$T$93,HL$244+$FN307-1)))</f>
        <v/>
      </c>
      <c r="HM307" s="469" t="str">
        <f ca="1">IF($FN307+HM$244&gt;73,"",PRODUCT(INDEX($T$19:$T$93,HM$244):INDEX($T$19:$T$93,HM$244+$FN307-1)))</f>
        <v/>
      </c>
      <c r="HN307" s="469" t="str">
        <f ca="1">IF($FN307+HN$244&gt;73,"",PRODUCT(INDEX($T$19:$T$93,HN$244):INDEX($T$19:$T$93,HN$244+$FN307-1)))</f>
        <v/>
      </c>
      <c r="HO307" s="469" t="str">
        <f ca="1">IF($FN307+HO$244&gt;73,"",PRODUCT(INDEX($T$19:$T$93,HO$244):INDEX($T$19:$T$93,HO$244+$FN307-1)))</f>
        <v/>
      </c>
      <c r="HP307" s="469" t="str">
        <f ca="1">IF($FN307+HP$244&gt;73,"",PRODUCT(INDEX($T$19:$T$93,HP$244):INDEX($T$19:$T$93,HP$244+$FN307-1)))</f>
        <v/>
      </c>
      <c r="HQ307" s="469" t="str">
        <f ca="1">IF($FN307+HQ$244&gt;73,"",PRODUCT(INDEX($T$19:$T$93,HQ$244):INDEX($T$19:$T$93,HQ$244+$FN307-1)))</f>
        <v/>
      </c>
      <c r="HR307" s="469" t="str">
        <f ca="1">IF($FN307+HR$244&gt;73,"",PRODUCT(INDEX($T$19:$T$93,HR$244):INDEX($T$19:$T$93,HR$244+$FN307-1)))</f>
        <v/>
      </c>
      <c r="HS307" s="469" t="str">
        <f ca="1">IF($FN307+HS$244&gt;73,"",PRODUCT(INDEX($T$19:$T$93,HS$244):INDEX($T$19:$T$93,HS$244+$FN307-1)))</f>
        <v/>
      </c>
      <c r="HT307" s="469" t="str">
        <f ca="1">IF($FN307+HT$244&gt;73,"",PRODUCT(INDEX($T$19:$T$93,HT$244):INDEX($T$19:$T$93,HT$244+$FN307-1)))</f>
        <v/>
      </c>
      <c r="HU307" s="469" t="str">
        <f ca="1">IF($FN307+HU$244&gt;73,"",PRODUCT(INDEX($T$19:$T$93,HU$244):INDEX($T$19:$T$93,HU$244+$FN307-1)))</f>
        <v/>
      </c>
      <c r="HV307" s="469" t="str">
        <f ca="1">IF($FN307+HV$244&gt;73,"",PRODUCT(INDEX($T$19:$T$93,HV$244):INDEX($T$19:$T$93,HV$244+$FN307-1)))</f>
        <v/>
      </c>
      <c r="HW307" s="469" t="str">
        <f ca="1">IF($FN307+HW$244&gt;73,"",PRODUCT(INDEX($T$19:$T$93,HW$244):INDEX($T$19:$T$93,HW$244+$FN307-1)))</f>
        <v/>
      </c>
      <c r="HX307" s="469" t="str">
        <f ca="1">IF($FN307+HX$244&gt;73,"",PRODUCT(INDEX($T$19:$T$93,HX$244):INDEX($T$19:$T$93,HX$244+$FN307-1)))</f>
        <v/>
      </c>
      <c r="HY307" s="469">
        <f ca="1">IF($FN307+HY$244&gt;73,"",PRODUCT(INDEX($T$19:$T$93,HY$244):INDEX($T$19:$T$93,HY$244+$FN307-1)))</f>
        <v>0.70841176268764905</v>
      </c>
      <c r="HZ307" s="469">
        <f ca="1">IF($FN307+HZ$244&gt;73,"",PRODUCT(INDEX($T$19:$T$93,HZ$244):INDEX($T$19:$T$93,HZ$244+$FN307-1)))</f>
        <v>0.68079981759008168</v>
      </c>
      <c r="IA307" s="469">
        <f ca="1">IF($FN307+IA$244&gt;73,"",PRODUCT(INDEX($T$19:$T$93,IA$244):INDEX($T$19:$T$93,IA$244+$FN307-1)))</f>
        <v>0.65110997430713846</v>
      </c>
      <c r="IB307" s="469">
        <f ca="1">IF($FN307+IB$244&gt;73,"",PRODUCT(INDEX($T$19:$T$93,IB$244):INDEX($T$19:$T$93,IB$244+$FN307-1)))</f>
        <v>0.61930420125281949</v>
      </c>
      <c r="IC307" s="469">
        <f ca="1">IF($FN307+IC$244&gt;73,"",PRODUCT(INDEX($T$19:$T$93,IC$244):INDEX($T$19:$T$93,IC$244+$FN307-1)))</f>
        <v>0.58537451007415264</v>
      </c>
      <c r="ID307" s="469">
        <f ca="1">IF($FN307+ID$244&gt;73,"",PRODUCT(INDEX($T$19:$T$93,ID$244):INDEX($T$19:$T$93,ID$244+$FN307-1)))</f>
        <v>0.54935149044458642</v>
      </c>
      <c r="IE307" s="469">
        <f ca="1">IF($FN307+IE$244&gt;73,"",PRODUCT(INDEX($T$19:$T$93,IE$244):INDEX($T$19:$T$93,IE$244+$FN307-1)))</f>
        <v>0.51131429152487329</v>
      </c>
      <c r="IF307" s="469">
        <f ca="1">IF($FN307+IF$244&gt;73,"",PRODUCT(INDEX($T$19:$T$93,IF$244):INDEX($T$19:$T$93,IF$244+$FN307-1)))</f>
        <v>0.47140210414222122</v>
      </c>
      <c r="IG307" s="469">
        <f ca="1">IF($FN307+IG$244&gt;73,"",PRODUCT(INDEX($T$19:$T$93,IG$244):INDEX($T$19:$T$93,IG$244+$FN307-1)))</f>
        <v>0.42982707181650959</v>
      </c>
      <c r="IH307" s="662">
        <f ca="1">IF($FN307+IH$244&gt;73,"",PRODUCT(INDEX($T$19:$T$93,IH$244):INDEX($T$19:$T$93,IH$244+$FN307-1)))</f>
        <v>0.3868883270720484</v>
      </c>
      <c r="II307" s="242"/>
    </row>
    <row r="308" spans="9:243">
      <c r="I308" s="132"/>
      <c r="J308" s="365"/>
      <c r="K308" s="133"/>
      <c r="L308" s="1"/>
      <c r="M308" s="366"/>
      <c r="P308" s="365"/>
      <c r="S308" s="53"/>
      <c r="T308" s="365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364">
        <v>6.5141667916400497E-2</v>
      </c>
      <c r="AP308" s="1"/>
      <c r="AQ308" s="364">
        <v>5.7870616397311302E-2</v>
      </c>
      <c r="AR308" s="1"/>
      <c r="AS308" s="103"/>
      <c r="AT308" s="103"/>
      <c r="AU308" s="103"/>
      <c r="AV308" s="31"/>
      <c r="AW308" s="31"/>
      <c r="AX308" s="31"/>
      <c r="AY308" s="31"/>
      <c r="AZ308" s="146"/>
      <c r="BA308" s="146"/>
      <c r="BB308" s="103"/>
      <c r="BC308" s="103"/>
      <c r="BD308" s="103"/>
      <c r="BE308" s="103"/>
      <c r="BF308" s="104"/>
      <c r="BG308" s="104"/>
      <c r="BH308" s="104"/>
      <c r="BI308" s="104"/>
      <c r="BJ308" s="104"/>
      <c r="BK308" s="103"/>
      <c r="BL308" s="105"/>
      <c r="BM308" s="103"/>
      <c r="BN308" s="103"/>
      <c r="BO308" s="103"/>
      <c r="BP308" s="103"/>
      <c r="BQ308" s="103"/>
      <c r="BR308" s="103"/>
      <c r="BS308" s="103"/>
      <c r="BT308" s="103"/>
      <c r="BU308" s="103"/>
      <c r="BV308" s="103"/>
      <c r="BW308" s="103"/>
      <c r="BX308" s="103"/>
      <c r="BY308" s="103"/>
      <c r="BZ308" s="103"/>
      <c r="CA308" s="104"/>
      <c r="CB308" s="104"/>
      <c r="CC308" s="104"/>
      <c r="CD308" s="104"/>
      <c r="CE308" s="104"/>
      <c r="CF308" s="104"/>
      <c r="CG308" s="103"/>
      <c r="CH308" s="103"/>
      <c r="CI308" s="103"/>
      <c r="CJ308" s="103"/>
      <c r="CK308" s="103"/>
      <c r="CL308" s="103"/>
      <c r="CM308" s="103"/>
      <c r="CN308" s="103"/>
      <c r="CO308" s="103"/>
      <c r="CP308" s="103"/>
      <c r="CQ308" s="103"/>
      <c r="CR308" s="103"/>
      <c r="CS308" s="103"/>
      <c r="CT308" s="103"/>
      <c r="CU308" s="103"/>
      <c r="CV308" s="103"/>
      <c r="CW308" s="103"/>
      <c r="CX308" s="103"/>
      <c r="CY308" s="103"/>
      <c r="CZ308" s="103"/>
      <c r="DA308" s="103"/>
      <c r="DB308" s="103"/>
      <c r="DC308" s="103"/>
      <c r="DD308" s="103"/>
      <c r="DE308" s="103"/>
      <c r="DF308" s="465"/>
      <c r="DG308" s="107"/>
      <c r="DH308" s="1"/>
      <c r="DI308" s="465"/>
      <c r="DJ308" s="52"/>
      <c r="DK308" s="52"/>
      <c r="DL308" s="52"/>
      <c r="DM308" s="52"/>
      <c r="DN308" s="52"/>
      <c r="DO308" s="52"/>
      <c r="DP308" s="52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P308" s="53"/>
      <c r="EQ308" s="1"/>
      <c r="ER308" s="102"/>
      <c r="ES308" s="103"/>
      <c r="ET308" s="1"/>
      <c r="EU308" s="103"/>
      <c r="EV308" s="1"/>
      <c r="EW308" s="1"/>
      <c r="EX308" s="1"/>
      <c r="EY308" s="102"/>
      <c r="FN308" s="657">
        <v>64</v>
      </c>
      <c r="FO308" s="469" t="str">
        <f ca="1">IF($FN308+FO$244&gt;73,"",PRODUCT(INDEX($T$19:$T$93,FO$244):INDEX($T$19:$T$93,FO$244+$FN308-1)))</f>
        <v/>
      </c>
      <c r="FP308" s="469" t="str">
        <f ca="1">IF($FN308+FP$244&gt;73,"",PRODUCT(INDEX($T$19:$T$93,FP$244):INDEX($T$19:$T$93,FP$244+$FN308-1)))</f>
        <v/>
      </c>
      <c r="FQ308" s="469" t="str">
        <f ca="1">IF($FN308+FQ$244&gt;73,"",PRODUCT(INDEX($T$19:$T$93,FQ$244):INDEX($T$19:$T$93,FQ$244+$FN308-1)))</f>
        <v/>
      </c>
      <c r="FR308" s="469" t="str">
        <f ca="1">IF($FN308+FR$244&gt;73,"",PRODUCT(INDEX($T$19:$T$93,FR$244):INDEX($T$19:$T$93,FR$244+$FN308-1)))</f>
        <v/>
      </c>
      <c r="FS308" s="469" t="str">
        <f ca="1">IF($FN308+FS$244&gt;73,"",PRODUCT(INDEX($T$19:$T$93,FS$244):INDEX($T$19:$T$93,FS$244+$FN308-1)))</f>
        <v/>
      </c>
      <c r="FT308" s="469" t="str">
        <f ca="1">IF($FN308+FT$244&gt;73,"",PRODUCT(INDEX($T$19:$T$93,FT$244):INDEX($T$19:$T$93,FT$244+$FN308-1)))</f>
        <v/>
      </c>
      <c r="FU308" s="469" t="str">
        <f ca="1">IF($FN308+FU$244&gt;73,"",PRODUCT(INDEX($T$19:$T$93,FU$244):INDEX($T$19:$T$93,FU$244+$FN308-1)))</f>
        <v/>
      </c>
      <c r="FV308" s="469" t="str">
        <f ca="1">IF($FN308+FV$244&gt;73,"",PRODUCT(INDEX($T$19:$T$93,FV$244):INDEX($T$19:$T$93,FV$244+$FN308-1)))</f>
        <v/>
      </c>
      <c r="FW308" s="469" t="str">
        <f ca="1">IF($FN308+FW$244&gt;73,"",PRODUCT(INDEX($T$19:$T$93,FW$244):INDEX($T$19:$T$93,FW$244+$FN308-1)))</f>
        <v/>
      </c>
      <c r="FX308" s="469" t="str">
        <f ca="1">IF($FN308+FX$244&gt;73,"",PRODUCT(INDEX($T$19:$T$93,FX$244):INDEX($T$19:$T$93,FX$244+$FN308-1)))</f>
        <v/>
      </c>
      <c r="FY308" s="469" t="str">
        <f ca="1">IF($FN308+FY$244&gt;73,"",PRODUCT(INDEX($T$19:$T$93,FY$244):INDEX($T$19:$T$93,FY$244+$FN308-1)))</f>
        <v/>
      </c>
      <c r="FZ308" s="469" t="str">
        <f ca="1">IF($FN308+FZ$244&gt;73,"",PRODUCT(INDEX($T$19:$T$93,FZ$244):INDEX($T$19:$T$93,FZ$244+$FN308-1)))</f>
        <v/>
      </c>
      <c r="GA308" s="469" t="str">
        <f ca="1">IF($FN308+GA$244&gt;73,"",PRODUCT(INDEX($T$19:$T$93,GA$244):INDEX($T$19:$T$93,GA$244+$FN308-1)))</f>
        <v/>
      </c>
      <c r="GB308" s="469" t="str">
        <f ca="1">IF($FN308+GB$244&gt;73,"",PRODUCT(INDEX($T$19:$T$93,GB$244):INDEX($T$19:$T$93,GB$244+$FN308-1)))</f>
        <v/>
      </c>
      <c r="GC308" s="469" t="str">
        <f ca="1">IF($FN308+GC$244&gt;73,"",PRODUCT(INDEX($T$19:$T$93,GC$244):INDEX($T$19:$T$93,GC$244+$FN308-1)))</f>
        <v/>
      </c>
      <c r="GD308" s="469" t="str">
        <f ca="1">IF($FN308+GD$244&gt;73,"",PRODUCT(INDEX($T$19:$T$93,GD$244):INDEX($T$19:$T$93,GD$244+$FN308-1)))</f>
        <v/>
      </c>
      <c r="GE308" s="469" t="str">
        <f ca="1">IF($FN308+GE$244&gt;73,"",PRODUCT(INDEX($T$19:$T$93,GE$244):INDEX($T$19:$T$93,GE$244+$FN308-1)))</f>
        <v/>
      </c>
      <c r="GF308" s="469" t="str">
        <f ca="1">IF($FN308+GF$244&gt;73,"",PRODUCT(INDEX($T$19:$T$93,GF$244):INDEX($T$19:$T$93,GF$244+$FN308-1)))</f>
        <v/>
      </c>
      <c r="GG308" s="469" t="str">
        <f ca="1">IF($FN308+GG$244&gt;73,"",PRODUCT(INDEX($T$19:$T$93,GG$244):INDEX($T$19:$T$93,GG$244+$FN308-1)))</f>
        <v/>
      </c>
      <c r="GH308" s="469" t="str">
        <f ca="1">IF($FN308+GH$244&gt;73,"",PRODUCT(INDEX($T$19:$T$93,GH$244):INDEX($T$19:$T$93,GH$244+$FN308-1)))</f>
        <v/>
      </c>
      <c r="GI308" s="469" t="str">
        <f ca="1">IF($FN308+GI$244&gt;73,"",PRODUCT(INDEX($T$19:$T$93,GI$244):INDEX($T$19:$T$93,GI$244+$FN308-1)))</f>
        <v/>
      </c>
      <c r="GJ308" s="469" t="str">
        <f ca="1">IF($FN308+GJ$244&gt;73,"",PRODUCT(INDEX($T$19:$T$93,GJ$244):INDEX($T$19:$T$93,GJ$244+$FN308-1)))</f>
        <v/>
      </c>
      <c r="GK308" s="469" t="str">
        <f ca="1">IF($FN308+GK$244&gt;73,"",PRODUCT(INDEX($T$19:$T$93,GK$244):INDEX($T$19:$T$93,GK$244+$FN308-1)))</f>
        <v/>
      </c>
      <c r="GL308" s="469" t="str">
        <f ca="1">IF($FN308+GL$244&gt;73,"",PRODUCT(INDEX($T$19:$T$93,GL$244):INDEX($T$19:$T$93,GL$244+$FN308-1)))</f>
        <v/>
      </c>
      <c r="GM308" s="469" t="str">
        <f ca="1">IF($FN308+GM$244&gt;73,"",PRODUCT(INDEX($T$19:$T$93,GM$244):INDEX($T$19:$T$93,GM$244+$FN308-1)))</f>
        <v/>
      </c>
      <c r="GN308" s="469" t="str">
        <f ca="1">IF($FN308+GN$244&gt;73,"",PRODUCT(INDEX($T$19:$T$93,GN$244):INDEX($T$19:$T$93,GN$244+$FN308-1)))</f>
        <v/>
      </c>
      <c r="GO308" s="469" t="str">
        <f ca="1">IF($FN308+GO$244&gt;73,"",PRODUCT(INDEX($T$19:$T$93,GO$244):INDEX($T$19:$T$93,GO$244+$FN308-1)))</f>
        <v/>
      </c>
      <c r="GP308" s="469" t="str">
        <f ca="1">IF($FN308+GP$244&gt;73,"",PRODUCT(INDEX($T$19:$T$93,GP$244):INDEX($T$19:$T$93,GP$244+$FN308-1)))</f>
        <v/>
      </c>
      <c r="GQ308" s="469" t="str">
        <f ca="1">IF($FN308+GQ$244&gt;73,"",PRODUCT(INDEX($T$19:$T$93,GQ$244):INDEX($T$19:$T$93,GQ$244+$FN308-1)))</f>
        <v/>
      </c>
      <c r="GR308" s="469" t="str">
        <f ca="1">IF($FN308+GR$244&gt;73,"",PRODUCT(INDEX($T$19:$T$93,GR$244):INDEX($T$19:$T$93,GR$244+$FN308-1)))</f>
        <v/>
      </c>
      <c r="GS308" s="469" t="str">
        <f ca="1">IF($FN308+GS$244&gt;73,"",PRODUCT(INDEX($T$19:$T$93,GS$244):INDEX($T$19:$T$93,GS$244+$FN308-1)))</f>
        <v/>
      </c>
      <c r="GT308" s="469" t="str">
        <f ca="1">IF($FN308+GT$244&gt;73,"",PRODUCT(INDEX($T$19:$T$93,GT$244):INDEX($T$19:$T$93,GT$244+$FN308-1)))</f>
        <v/>
      </c>
      <c r="GU308" s="469" t="str">
        <f ca="1">IF($FN308+GU$244&gt;73,"",PRODUCT(INDEX($T$19:$T$93,GU$244):INDEX($T$19:$T$93,GU$244+$FN308-1)))</f>
        <v/>
      </c>
      <c r="GV308" s="469" t="str">
        <f ca="1">IF($FN308+GV$244&gt;73,"",PRODUCT(INDEX($T$19:$T$93,GV$244):INDEX($T$19:$T$93,GV$244+$FN308-1)))</f>
        <v/>
      </c>
      <c r="GW308" s="469" t="str">
        <f ca="1">IF($FN308+GW$244&gt;73,"",PRODUCT(INDEX($T$19:$T$93,GW$244):INDEX($T$19:$T$93,GW$244+$FN308-1)))</f>
        <v/>
      </c>
      <c r="GX308" s="469" t="str">
        <f ca="1">IF($FN308+GX$244&gt;73,"",PRODUCT(INDEX($T$19:$T$93,GX$244):INDEX($T$19:$T$93,GX$244+$FN308-1)))</f>
        <v/>
      </c>
      <c r="GY308" s="469" t="str">
        <f ca="1">IF($FN308+GY$244&gt;73,"",PRODUCT(INDEX($T$19:$T$93,GY$244):INDEX($T$19:$T$93,GY$244+$FN308-1)))</f>
        <v/>
      </c>
      <c r="GZ308" s="469" t="str">
        <f ca="1">IF($FN308+GZ$244&gt;73,"",PRODUCT(INDEX($T$19:$T$93,GZ$244):INDEX($T$19:$T$93,GZ$244+$FN308-1)))</f>
        <v/>
      </c>
      <c r="HA308" s="469" t="str">
        <f ca="1">IF($FN308+HA$244&gt;73,"",PRODUCT(INDEX($T$19:$T$93,HA$244):INDEX($T$19:$T$93,HA$244+$FN308-1)))</f>
        <v/>
      </c>
      <c r="HB308" s="469" t="str">
        <f ca="1">IF($FN308+HB$244&gt;73,"",PRODUCT(INDEX($T$19:$T$93,HB$244):INDEX($T$19:$T$93,HB$244+$FN308-1)))</f>
        <v/>
      </c>
      <c r="HC308" s="469" t="str">
        <f ca="1">IF($FN308+HC$244&gt;73,"",PRODUCT(INDEX($T$19:$T$93,HC$244):INDEX($T$19:$T$93,HC$244+$FN308-1)))</f>
        <v/>
      </c>
      <c r="HD308" s="469" t="str">
        <f ca="1">IF($FN308+HD$244&gt;73,"",PRODUCT(INDEX($T$19:$T$93,HD$244):INDEX($T$19:$T$93,HD$244+$FN308-1)))</f>
        <v/>
      </c>
      <c r="HE308" s="469" t="str">
        <f ca="1">IF($FN308+HE$244&gt;73,"",PRODUCT(INDEX($T$19:$T$93,HE$244):INDEX($T$19:$T$93,HE$244+$FN308-1)))</f>
        <v/>
      </c>
      <c r="HF308" s="469" t="str">
        <f ca="1">IF($FN308+HF$244&gt;73,"",PRODUCT(INDEX($T$19:$T$93,HF$244):INDEX($T$19:$T$93,HF$244+$FN308-1)))</f>
        <v/>
      </c>
      <c r="HG308" s="469" t="str">
        <f ca="1">IF($FN308+HG$244&gt;73,"",PRODUCT(INDEX($T$19:$T$93,HG$244):INDEX($T$19:$T$93,HG$244+$FN308-1)))</f>
        <v/>
      </c>
      <c r="HH308" s="469" t="str">
        <f ca="1">IF($FN308+HH$244&gt;73,"",PRODUCT(INDEX($T$19:$T$93,HH$244):INDEX($T$19:$T$93,HH$244+$FN308-1)))</f>
        <v/>
      </c>
      <c r="HI308" s="469" t="str">
        <f ca="1">IF($FN308+HI$244&gt;73,"",PRODUCT(INDEX($T$19:$T$93,HI$244):INDEX($T$19:$T$93,HI$244+$FN308-1)))</f>
        <v/>
      </c>
      <c r="HJ308" s="469" t="str">
        <f ca="1">IF($FN308+HJ$244&gt;73,"",PRODUCT(INDEX($T$19:$T$93,HJ$244):INDEX($T$19:$T$93,HJ$244+$FN308-1)))</f>
        <v/>
      </c>
      <c r="HK308" s="469" t="str">
        <f ca="1">IF($FN308+HK$244&gt;73,"",PRODUCT(INDEX($T$19:$T$93,HK$244):INDEX($T$19:$T$93,HK$244+$FN308-1)))</f>
        <v/>
      </c>
      <c r="HL308" s="469" t="str">
        <f ca="1">IF($FN308+HL$244&gt;73,"",PRODUCT(INDEX($T$19:$T$93,HL$244):INDEX($T$19:$T$93,HL$244+$FN308-1)))</f>
        <v/>
      </c>
      <c r="HM308" s="469" t="str">
        <f ca="1">IF($FN308+HM$244&gt;73,"",PRODUCT(INDEX($T$19:$T$93,HM$244):INDEX($T$19:$T$93,HM$244+$FN308-1)))</f>
        <v/>
      </c>
      <c r="HN308" s="469" t="str">
        <f ca="1">IF($FN308+HN$244&gt;73,"",PRODUCT(INDEX($T$19:$T$93,HN$244):INDEX($T$19:$T$93,HN$244+$FN308-1)))</f>
        <v/>
      </c>
      <c r="HO308" s="469" t="str">
        <f ca="1">IF($FN308+HO$244&gt;73,"",PRODUCT(INDEX($T$19:$T$93,HO$244):INDEX($T$19:$T$93,HO$244+$FN308-1)))</f>
        <v/>
      </c>
      <c r="HP308" s="469" t="str">
        <f ca="1">IF($FN308+HP$244&gt;73,"",PRODUCT(INDEX($T$19:$T$93,HP$244):INDEX($T$19:$T$93,HP$244+$FN308-1)))</f>
        <v/>
      </c>
      <c r="HQ308" s="469" t="str">
        <f ca="1">IF($FN308+HQ$244&gt;73,"",PRODUCT(INDEX($T$19:$T$93,HQ$244):INDEX($T$19:$T$93,HQ$244+$FN308-1)))</f>
        <v/>
      </c>
      <c r="HR308" s="469" t="str">
        <f ca="1">IF($FN308+HR$244&gt;73,"",PRODUCT(INDEX($T$19:$T$93,HR$244):INDEX($T$19:$T$93,HR$244+$FN308-1)))</f>
        <v/>
      </c>
      <c r="HS308" s="469" t="str">
        <f ca="1">IF($FN308+HS$244&gt;73,"",PRODUCT(INDEX($T$19:$T$93,HS$244):INDEX($T$19:$T$93,HS$244+$FN308-1)))</f>
        <v/>
      </c>
      <c r="HT308" s="469" t="str">
        <f ca="1">IF($FN308+HT$244&gt;73,"",PRODUCT(INDEX($T$19:$T$93,HT$244):INDEX($T$19:$T$93,HT$244+$FN308-1)))</f>
        <v/>
      </c>
      <c r="HU308" s="469" t="str">
        <f ca="1">IF($FN308+HU$244&gt;73,"",PRODUCT(INDEX($T$19:$T$93,HU$244):INDEX($T$19:$T$93,HU$244+$FN308-1)))</f>
        <v/>
      </c>
      <c r="HV308" s="469" t="str">
        <f ca="1">IF($FN308+HV$244&gt;73,"",PRODUCT(INDEX($T$19:$T$93,HV$244):INDEX($T$19:$T$93,HV$244+$FN308-1)))</f>
        <v/>
      </c>
      <c r="HW308" s="469" t="str">
        <f ca="1">IF($FN308+HW$244&gt;73,"",PRODUCT(INDEX($T$19:$T$93,HW$244):INDEX($T$19:$T$93,HW$244+$FN308-1)))</f>
        <v/>
      </c>
      <c r="HX308" s="469" t="str">
        <f ca="1">IF($FN308+HX$244&gt;73,"",PRODUCT(INDEX($T$19:$T$93,HX$244):INDEX($T$19:$T$93,HX$244+$FN308-1)))</f>
        <v/>
      </c>
      <c r="HY308" s="469" t="str">
        <f ca="1">IF($FN308+HY$244&gt;73,"",PRODUCT(INDEX($T$19:$T$93,HY$244):INDEX($T$19:$T$93,HY$244+$FN308-1)))</f>
        <v/>
      </c>
      <c r="HZ308" s="469">
        <f ca="1">IF($FN308+HZ$244&gt;73,"",PRODUCT(INDEX($T$19:$T$93,HZ$244):INDEX($T$19:$T$93,HZ$244+$FN308-1)))</f>
        <v>0.68076651782329889</v>
      </c>
      <c r="IA308" s="469">
        <f ca="1">IF($FN308+IA$244&gt;73,"",PRODUCT(INDEX($T$19:$T$93,IA$244):INDEX($T$19:$T$93,IA$244+$FN308-1)))</f>
        <v>0.65107458803572826</v>
      </c>
      <c r="IB308" s="469">
        <f ca="1">IF($FN308+IB$244&gt;73,"",PRODUCT(INDEX($T$19:$T$93,IB$244):INDEX($T$19:$T$93,IB$244+$FN308-1)))</f>
        <v>0.61926680368894005</v>
      </c>
      <c r="IC308" s="469">
        <f ca="1">IF($FN308+IC$244&gt;73,"",PRODUCT(INDEX($T$19:$T$93,IC$244):INDEX($T$19:$T$93,IC$244+$FN308-1)))</f>
        <v>0.58533523363784024</v>
      </c>
      <c r="ID308" s="469">
        <f ca="1">IF($FN308+ID$244&gt;73,"",PRODUCT(INDEX($T$19:$T$93,ID$244):INDEX($T$19:$T$93,ID$244+$FN308-1)))</f>
        <v>0.54931053536949526</v>
      </c>
      <c r="IE308" s="469">
        <f ca="1">IF($FN308+IE$244&gt;73,"",PRODUCT(INDEX($T$19:$T$93,IE$244):INDEX($T$19:$T$93,IE$244+$FN308-1)))</f>
        <v>0.51127193652447867</v>
      </c>
      <c r="IF308" s="469">
        <f ca="1">IF($FN308+IF$244&gt;73,"",PRODUCT(INDEX($T$19:$T$93,IF$244):INDEX($T$19:$T$93,IF$244+$FN308-1)))</f>
        <v>0.47135871632279586</v>
      </c>
      <c r="IG308" s="469">
        <f ca="1">IF($FN308+IG$244&gt;73,"",PRODUCT(INDEX($T$19:$T$93,IG$244):INDEX($T$19:$T$93,IG$244+$FN308-1)))</f>
        <v>0.42978311463325175</v>
      </c>
      <c r="IH308" s="662">
        <f ca="1">IF($FN308+IH$244&gt;73,"",PRODUCT(INDEX($T$19:$T$93,IH$244):INDEX($T$19:$T$93,IH$244+$FN308-1)))</f>
        <v>0.38684436463485888</v>
      </c>
      <c r="II308" s="242"/>
    </row>
    <row r="309" spans="9:243">
      <c r="I309" s="132"/>
      <c r="J309" s="365"/>
      <c r="K309" s="133"/>
      <c r="L309" s="1"/>
      <c r="M309" s="366"/>
      <c r="P309" s="365"/>
      <c r="S309" s="53"/>
      <c r="T309" s="365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364">
        <v>6.5152315692754509E-2</v>
      </c>
      <c r="AP309" s="1"/>
      <c r="AQ309" s="364">
        <v>5.7831385881197003E-2</v>
      </c>
      <c r="AR309" s="1"/>
      <c r="AS309" s="103"/>
      <c r="AT309" s="103"/>
      <c r="AU309" s="103"/>
      <c r="AV309" s="31"/>
      <c r="AW309" s="31"/>
      <c r="AX309" s="31"/>
      <c r="AY309" s="31"/>
      <c r="AZ309" s="146"/>
      <c r="BA309" s="146"/>
      <c r="BB309" s="103"/>
      <c r="BC309" s="103"/>
      <c r="BD309" s="103"/>
      <c r="BE309" s="103"/>
      <c r="BF309" s="104"/>
      <c r="BG309" s="104"/>
      <c r="BH309" s="104"/>
      <c r="BI309" s="104"/>
      <c r="BJ309" s="104"/>
      <c r="BK309" s="103"/>
      <c r="BL309" s="105"/>
      <c r="BM309" s="103"/>
      <c r="BN309" s="103"/>
      <c r="BO309" s="103"/>
      <c r="BP309" s="103"/>
      <c r="BQ309" s="103"/>
      <c r="BR309" s="103"/>
      <c r="BS309" s="103"/>
      <c r="BT309" s="103"/>
      <c r="BU309" s="103"/>
      <c r="BV309" s="103"/>
      <c r="BW309" s="103"/>
      <c r="BX309" s="103"/>
      <c r="BY309" s="103"/>
      <c r="BZ309" s="103"/>
      <c r="CA309" s="104"/>
      <c r="CB309" s="104"/>
      <c r="CC309" s="104"/>
      <c r="CD309" s="104"/>
      <c r="CE309" s="104"/>
      <c r="CF309" s="104"/>
      <c r="CG309" s="103"/>
      <c r="CH309" s="103"/>
      <c r="CI309" s="103"/>
      <c r="CJ309" s="103"/>
      <c r="CK309" s="103"/>
      <c r="CL309" s="103"/>
      <c r="CM309" s="103"/>
      <c r="CN309" s="103"/>
      <c r="CO309" s="103"/>
      <c r="CP309" s="103"/>
      <c r="CQ309" s="103"/>
      <c r="CR309" s="103"/>
      <c r="CS309" s="103"/>
      <c r="CT309" s="103"/>
      <c r="CU309" s="103"/>
      <c r="CV309" s="103"/>
      <c r="CW309" s="103"/>
      <c r="CX309" s="103"/>
      <c r="CY309" s="103"/>
      <c r="CZ309" s="103"/>
      <c r="DA309" s="103"/>
      <c r="DB309" s="103"/>
      <c r="DC309" s="103"/>
      <c r="DD309" s="103"/>
      <c r="DE309" s="103"/>
      <c r="DF309" s="465"/>
      <c r="DG309" s="107"/>
      <c r="DH309" s="1"/>
      <c r="DI309" s="465"/>
      <c r="DJ309" s="52"/>
      <c r="DK309" s="52"/>
      <c r="DL309" s="52"/>
      <c r="DM309" s="52"/>
      <c r="DN309" s="52"/>
      <c r="DO309" s="52"/>
      <c r="DP309" s="52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P309" s="53"/>
      <c r="EQ309" s="1"/>
      <c r="ER309" s="102"/>
      <c r="ES309" s="103"/>
      <c r="ET309" s="1"/>
      <c r="EU309" s="103"/>
      <c r="EV309" s="1"/>
      <c r="EW309" s="1"/>
      <c r="EX309" s="1"/>
      <c r="EY309" s="102"/>
      <c r="FN309" s="657">
        <v>65</v>
      </c>
      <c r="FO309" s="469" t="str">
        <f ca="1">IF($FN309+FO$244&gt;73,"",PRODUCT(INDEX($T$19:$T$93,FO$244):INDEX($T$19:$T$93,FO$244+$FN309-1)))</f>
        <v/>
      </c>
      <c r="FP309" s="469" t="str">
        <f ca="1">IF($FN309+FP$244&gt;73,"",PRODUCT(INDEX($T$19:$T$93,FP$244):INDEX($T$19:$T$93,FP$244+$FN309-1)))</f>
        <v/>
      </c>
      <c r="FQ309" s="469" t="str">
        <f ca="1">IF($FN309+FQ$244&gt;73,"",PRODUCT(INDEX($T$19:$T$93,FQ$244):INDEX($T$19:$T$93,FQ$244+$FN309-1)))</f>
        <v/>
      </c>
      <c r="FR309" s="469" t="str">
        <f ca="1">IF($FN309+FR$244&gt;73,"",PRODUCT(INDEX($T$19:$T$93,FR$244):INDEX($T$19:$T$93,FR$244+$FN309-1)))</f>
        <v/>
      </c>
      <c r="FS309" s="469" t="str">
        <f ca="1">IF($FN309+FS$244&gt;73,"",PRODUCT(INDEX($T$19:$T$93,FS$244):INDEX($T$19:$T$93,FS$244+$FN309-1)))</f>
        <v/>
      </c>
      <c r="FT309" s="469" t="str">
        <f ca="1">IF($FN309+FT$244&gt;73,"",PRODUCT(INDEX($T$19:$T$93,FT$244):INDEX($T$19:$T$93,FT$244+$FN309-1)))</f>
        <v/>
      </c>
      <c r="FU309" s="469" t="str">
        <f ca="1">IF($FN309+FU$244&gt;73,"",PRODUCT(INDEX($T$19:$T$93,FU$244):INDEX($T$19:$T$93,FU$244+$FN309-1)))</f>
        <v/>
      </c>
      <c r="FV309" s="469" t="str">
        <f ca="1">IF($FN309+FV$244&gt;73,"",PRODUCT(INDEX($T$19:$T$93,FV$244):INDEX($T$19:$T$93,FV$244+$FN309-1)))</f>
        <v/>
      </c>
      <c r="FW309" s="469" t="str">
        <f ca="1">IF($FN309+FW$244&gt;73,"",PRODUCT(INDEX($T$19:$T$93,FW$244):INDEX($T$19:$T$93,FW$244+$FN309-1)))</f>
        <v/>
      </c>
      <c r="FX309" s="469" t="str">
        <f ca="1">IF($FN309+FX$244&gt;73,"",PRODUCT(INDEX($T$19:$T$93,FX$244):INDEX($T$19:$T$93,FX$244+$FN309-1)))</f>
        <v/>
      </c>
      <c r="FY309" s="469" t="str">
        <f ca="1">IF($FN309+FY$244&gt;73,"",PRODUCT(INDEX($T$19:$T$93,FY$244):INDEX($T$19:$T$93,FY$244+$FN309-1)))</f>
        <v/>
      </c>
      <c r="FZ309" s="469" t="str">
        <f ca="1">IF($FN309+FZ$244&gt;73,"",PRODUCT(INDEX($T$19:$T$93,FZ$244):INDEX($T$19:$T$93,FZ$244+$FN309-1)))</f>
        <v/>
      </c>
      <c r="GA309" s="469" t="str">
        <f ca="1">IF($FN309+GA$244&gt;73,"",PRODUCT(INDEX($T$19:$T$93,GA$244):INDEX($T$19:$T$93,GA$244+$FN309-1)))</f>
        <v/>
      </c>
      <c r="GB309" s="469" t="str">
        <f ca="1">IF($FN309+GB$244&gt;73,"",PRODUCT(INDEX($T$19:$T$93,GB$244):INDEX($T$19:$T$93,GB$244+$FN309-1)))</f>
        <v/>
      </c>
      <c r="GC309" s="469" t="str">
        <f ca="1">IF($FN309+GC$244&gt;73,"",PRODUCT(INDEX($T$19:$T$93,GC$244):INDEX($T$19:$T$93,GC$244+$FN309-1)))</f>
        <v/>
      </c>
      <c r="GD309" s="469" t="str">
        <f ca="1">IF($FN309+GD$244&gt;73,"",PRODUCT(INDEX($T$19:$T$93,GD$244):INDEX($T$19:$T$93,GD$244+$FN309-1)))</f>
        <v/>
      </c>
      <c r="GE309" s="469" t="str">
        <f ca="1">IF($FN309+GE$244&gt;73,"",PRODUCT(INDEX($T$19:$T$93,GE$244):INDEX($T$19:$T$93,GE$244+$FN309-1)))</f>
        <v/>
      </c>
      <c r="GF309" s="469" t="str">
        <f ca="1">IF($FN309+GF$244&gt;73,"",PRODUCT(INDEX($T$19:$T$93,GF$244):INDEX($T$19:$T$93,GF$244+$FN309-1)))</f>
        <v/>
      </c>
      <c r="GG309" s="469" t="str">
        <f ca="1">IF($FN309+GG$244&gt;73,"",PRODUCT(INDEX($T$19:$T$93,GG$244):INDEX($T$19:$T$93,GG$244+$FN309-1)))</f>
        <v/>
      </c>
      <c r="GH309" s="469" t="str">
        <f ca="1">IF($FN309+GH$244&gt;73,"",PRODUCT(INDEX($T$19:$T$93,GH$244):INDEX($T$19:$T$93,GH$244+$FN309-1)))</f>
        <v/>
      </c>
      <c r="GI309" s="469" t="str">
        <f ca="1">IF($FN309+GI$244&gt;73,"",PRODUCT(INDEX($T$19:$T$93,GI$244):INDEX($T$19:$T$93,GI$244+$FN309-1)))</f>
        <v/>
      </c>
      <c r="GJ309" s="469" t="str">
        <f ca="1">IF($FN309+GJ$244&gt;73,"",PRODUCT(INDEX($T$19:$T$93,GJ$244):INDEX($T$19:$T$93,GJ$244+$FN309-1)))</f>
        <v/>
      </c>
      <c r="GK309" s="469" t="str">
        <f ca="1">IF($FN309+GK$244&gt;73,"",PRODUCT(INDEX($T$19:$T$93,GK$244):INDEX($T$19:$T$93,GK$244+$FN309-1)))</f>
        <v/>
      </c>
      <c r="GL309" s="469" t="str">
        <f ca="1">IF($FN309+GL$244&gt;73,"",PRODUCT(INDEX($T$19:$T$93,GL$244):INDEX($T$19:$T$93,GL$244+$FN309-1)))</f>
        <v/>
      </c>
      <c r="GM309" s="469" t="str">
        <f ca="1">IF($FN309+GM$244&gt;73,"",PRODUCT(INDEX($T$19:$T$93,GM$244):INDEX($T$19:$T$93,GM$244+$FN309-1)))</f>
        <v/>
      </c>
      <c r="GN309" s="469" t="str">
        <f ca="1">IF($FN309+GN$244&gt;73,"",PRODUCT(INDEX($T$19:$T$93,GN$244):INDEX($T$19:$T$93,GN$244+$FN309-1)))</f>
        <v/>
      </c>
      <c r="GO309" s="469" t="str">
        <f ca="1">IF($FN309+GO$244&gt;73,"",PRODUCT(INDEX($T$19:$T$93,GO$244):INDEX($T$19:$T$93,GO$244+$FN309-1)))</f>
        <v/>
      </c>
      <c r="GP309" s="469" t="str">
        <f ca="1">IF($FN309+GP$244&gt;73,"",PRODUCT(INDEX($T$19:$T$93,GP$244):INDEX($T$19:$T$93,GP$244+$FN309-1)))</f>
        <v/>
      </c>
      <c r="GQ309" s="469" t="str">
        <f ca="1">IF($FN309+GQ$244&gt;73,"",PRODUCT(INDEX($T$19:$T$93,GQ$244):INDEX($T$19:$T$93,GQ$244+$FN309-1)))</f>
        <v/>
      </c>
      <c r="GR309" s="469" t="str">
        <f ca="1">IF($FN309+GR$244&gt;73,"",PRODUCT(INDEX($T$19:$T$93,GR$244):INDEX($T$19:$T$93,GR$244+$FN309-1)))</f>
        <v/>
      </c>
      <c r="GS309" s="469" t="str">
        <f ca="1">IF($FN309+GS$244&gt;73,"",PRODUCT(INDEX($T$19:$T$93,GS$244):INDEX($T$19:$T$93,GS$244+$FN309-1)))</f>
        <v/>
      </c>
      <c r="GT309" s="469" t="str">
        <f ca="1">IF($FN309+GT$244&gt;73,"",PRODUCT(INDEX($T$19:$T$93,GT$244):INDEX($T$19:$T$93,GT$244+$FN309-1)))</f>
        <v/>
      </c>
      <c r="GU309" s="469" t="str">
        <f ca="1">IF($FN309+GU$244&gt;73,"",PRODUCT(INDEX($T$19:$T$93,GU$244):INDEX($T$19:$T$93,GU$244+$FN309-1)))</f>
        <v/>
      </c>
      <c r="GV309" s="469" t="str">
        <f ca="1">IF($FN309+GV$244&gt;73,"",PRODUCT(INDEX($T$19:$T$93,GV$244):INDEX($T$19:$T$93,GV$244+$FN309-1)))</f>
        <v/>
      </c>
      <c r="GW309" s="469" t="str">
        <f ca="1">IF($FN309+GW$244&gt;73,"",PRODUCT(INDEX($T$19:$T$93,GW$244):INDEX($T$19:$T$93,GW$244+$FN309-1)))</f>
        <v/>
      </c>
      <c r="GX309" s="469" t="str">
        <f ca="1">IF($FN309+GX$244&gt;73,"",PRODUCT(INDEX($T$19:$T$93,GX$244):INDEX($T$19:$T$93,GX$244+$FN309-1)))</f>
        <v/>
      </c>
      <c r="GY309" s="469" t="str">
        <f ca="1">IF($FN309+GY$244&gt;73,"",PRODUCT(INDEX($T$19:$T$93,GY$244):INDEX($T$19:$T$93,GY$244+$FN309-1)))</f>
        <v/>
      </c>
      <c r="GZ309" s="469" t="str">
        <f ca="1">IF($FN309+GZ$244&gt;73,"",PRODUCT(INDEX($T$19:$T$93,GZ$244):INDEX($T$19:$T$93,GZ$244+$FN309-1)))</f>
        <v/>
      </c>
      <c r="HA309" s="469" t="str">
        <f ca="1">IF($FN309+HA$244&gt;73,"",PRODUCT(INDEX($T$19:$T$93,HA$244):INDEX($T$19:$T$93,HA$244+$FN309-1)))</f>
        <v/>
      </c>
      <c r="HB309" s="469" t="str">
        <f ca="1">IF($FN309+HB$244&gt;73,"",PRODUCT(INDEX($T$19:$T$93,HB$244):INDEX($T$19:$T$93,HB$244+$FN309-1)))</f>
        <v/>
      </c>
      <c r="HC309" s="469" t="str">
        <f ca="1">IF($FN309+HC$244&gt;73,"",PRODUCT(INDEX($T$19:$T$93,HC$244):INDEX($T$19:$T$93,HC$244+$FN309-1)))</f>
        <v/>
      </c>
      <c r="HD309" s="469" t="str">
        <f ca="1">IF($FN309+HD$244&gt;73,"",PRODUCT(INDEX($T$19:$T$93,HD$244):INDEX($T$19:$T$93,HD$244+$FN309-1)))</f>
        <v/>
      </c>
      <c r="HE309" s="469" t="str">
        <f ca="1">IF($FN309+HE$244&gt;73,"",PRODUCT(INDEX($T$19:$T$93,HE$244):INDEX($T$19:$T$93,HE$244+$FN309-1)))</f>
        <v/>
      </c>
      <c r="HF309" s="469" t="str">
        <f ca="1">IF($FN309+HF$244&gt;73,"",PRODUCT(INDEX($T$19:$T$93,HF$244):INDEX($T$19:$T$93,HF$244+$FN309-1)))</f>
        <v/>
      </c>
      <c r="HG309" s="469" t="str">
        <f ca="1">IF($FN309+HG$244&gt;73,"",PRODUCT(INDEX($T$19:$T$93,HG$244):INDEX($T$19:$T$93,HG$244+$FN309-1)))</f>
        <v/>
      </c>
      <c r="HH309" s="469" t="str">
        <f ca="1">IF($FN309+HH$244&gt;73,"",PRODUCT(INDEX($T$19:$T$93,HH$244):INDEX($T$19:$T$93,HH$244+$FN309-1)))</f>
        <v/>
      </c>
      <c r="HI309" s="469" t="str">
        <f ca="1">IF($FN309+HI$244&gt;73,"",PRODUCT(INDEX($T$19:$T$93,HI$244):INDEX($T$19:$T$93,HI$244+$FN309-1)))</f>
        <v/>
      </c>
      <c r="HJ309" s="469" t="str">
        <f ca="1">IF($FN309+HJ$244&gt;73,"",PRODUCT(INDEX($T$19:$T$93,HJ$244):INDEX($T$19:$T$93,HJ$244+$FN309-1)))</f>
        <v/>
      </c>
      <c r="HK309" s="469" t="str">
        <f ca="1">IF($FN309+HK$244&gt;73,"",PRODUCT(INDEX($T$19:$T$93,HK$244):INDEX($T$19:$T$93,HK$244+$FN309-1)))</f>
        <v/>
      </c>
      <c r="HL309" s="469" t="str">
        <f ca="1">IF($FN309+HL$244&gt;73,"",PRODUCT(INDEX($T$19:$T$93,HL$244):INDEX($T$19:$T$93,HL$244+$FN309-1)))</f>
        <v/>
      </c>
      <c r="HM309" s="469" t="str">
        <f ca="1">IF($FN309+HM$244&gt;73,"",PRODUCT(INDEX($T$19:$T$93,HM$244):INDEX($T$19:$T$93,HM$244+$FN309-1)))</f>
        <v/>
      </c>
      <c r="HN309" s="469" t="str">
        <f ca="1">IF($FN309+HN$244&gt;73,"",PRODUCT(INDEX($T$19:$T$93,HN$244):INDEX($T$19:$T$93,HN$244+$FN309-1)))</f>
        <v/>
      </c>
      <c r="HO309" s="469" t="str">
        <f ca="1">IF($FN309+HO$244&gt;73,"",PRODUCT(INDEX($T$19:$T$93,HO$244):INDEX($T$19:$T$93,HO$244+$FN309-1)))</f>
        <v/>
      </c>
      <c r="HP309" s="469" t="str">
        <f ca="1">IF($FN309+HP$244&gt;73,"",PRODUCT(INDEX($T$19:$T$93,HP$244):INDEX($T$19:$T$93,HP$244+$FN309-1)))</f>
        <v/>
      </c>
      <c r="HQ309" s="469" t="str">
        <f ca="1">IF($FN309+HQ$244&gt;73,"",PRODUCT(INDEX($T$19:$T$93,HQ$244):INDEX($T$19:$T$93,HQ$244+$FN309-1)))</f>
        <v/>
      </c>
      <c r="HR309" s="469" t="str">
        <f ca="1">IF($FN309+HR$244&gt;73,"",PRODUCT(INDEX($T$19:$T$93,HR$244):INDEX($T$19:$T$93,HR$244+$FN309-1)))</f>
        <v/>
      </c>
      <c r="HS309" s="469" t="str">
        <f ca="1">IF($FN309+HS$244&gt;73,"",PRODUCT(INDEX($T$19:$T$93,HS$244):INDEX($T$19:$T$93,HS$244+$FN309-1)))</f>
        <v/>
      </c>
      <c r="HT309" s="469" t="str">
        <f ca="1">IF($FN309+HT$244&gt;73,"",PRODUCT(INDEX($T$19:$T$93,HT$244):INDEX($T$19:$T$93,HT$244+$FN309-1)))</f>
        <v/>
      </c>
      <c r="HU309" s="469" t="str">
        <f ca="1">IF($FN309+HU$244&gt;73,"",PRODUCT(INDEX($T$19:$T$93,HU$244):INDEX($T$19:$T$93,HU$244+$FN309-1)))</f>
        <v/>
      </c>
      <c r="HV309" s="469" t="str">
        <f ca="1">IF($FN309+HV$244&gt;73,"",PRODUCT(INDEX($T$19:$T$93,HV$244):INDEX($T$19:$T$93,HV$244+$FN309-1)))</f>
        <v/>
      </c>
      <c r="HW309" s="469" t="str">
        <f ca="1">IF($FN309+HW$244&gt;73,"",PRODUCT(INDEX($T$19:$T$93,HW$244):INDEX($T$19:$T$93,HW$244+$FN309-1)))</f>
        <v/>
      </c>
      <c r="HX309" s="469" t="str">
        <f ca="1">IF($FN309+HX$244&gt;73,"",PRODUCT(INDEX($T$19:$T$93,HX$244):INDEX($T$19:$T$93,HX$244+$FN309-1)))</f>
        <v/>
      </c>
      <c r="HY309" s="469" t="str">
        <f ca="1">IF($FN309+HY$244&gt;73,"",PRODUCT(INDEX($T$19:$T$93,HY$244):INDEX($T$19:$T$93,HY$244+$FN309-1)))</f>
        <v/>
      </c>
      <c r="HZ309" s="469" t="str">
        <f ca="1">IF($FN309+HZ$244&gt;73,"",PRODUCT(INDEX($T$19:$T$93,HZ$244):INDEX($T$19:$T$93,HZ$244+$FN309-1)))</f>
        <v/>
      </c>
      <c r="IA309" s="469">
        <f ca="1">IF($FN309+IA$244&gt;73,"",PRODUCT(INDEX($T$19:$T$93,IA$244):INDEX($T$19:$T$93,IA$244+$FN309-1)))</f>
        <v>0.65104274221059788</v>
      </c>
      <c r="IB309" s="469">
        <f ca="1">IF($FN309+IB$244&gt;73,"",PRODUCT(INDEX($T$19:$T$93,IB$244):INDEX($T$19:$T$93,IB$244+$FN309-1)))</f>
        <v>0.61923314801777019</v>
      </c>
      <c r="IC309" s="469">
        <f ca="1">IF($FN309+IC$244&gt;73,"",PRODUCT(INDEX($T$19:$T$93,IC$244):INDEX($T$19:$T$93,IC$244+$FN309-1)))</f>
        <v>0.58529988733832128</v>
      </c>
      <c r="ID309" s="469">
        <f ca="1">IF($FN309+ID$244&gt;73,"",PRODUCT(INDEX($T$19:$T$93,ID$244):INDEX($T$19:$T$93,ID$244+$FN309-1)))</f>
        <v>0.54927367869075905</v>
      </c>
      <c r="IE309" s="469">
        <f ca="1">IF($FN309+IE$244&gt;73,"",PRODUCT(INDEX($T$19:$T$93,IE$244):INDEX($T$19:$T$93,IE$244+$FN309-1)))</f>
        <v>0.51123382034400666</v>
      </c>
      <c r="IF309" s="469">
        <f ca="1">IF($FN309+IF$244&gt;73,"",PRODUCT(INDEX($T$19:$T$93,IF$244):INDEX($T$19:$T$93,IF$244+$FN309-1)))</f>
        <v>0.47131967106443567</v>
      </c>
      <c r="IG309" s="469">
        <f ca="1">IF($FN309+IG$244&gt;73,"",PRODUCT(INDEX($T$19:$T$93,IG$244):INDEX($T$19:$T$93,IG$244+$FN309-1)))</f>
        <v>0.42974355742295101</v>
      </c>
      <c r="IH309" s="662">
        <f ca="1">IF($FN309+IH$244&gt;73,"",PRODUCT(INDEX($T$19:$T$93,IH$244):INDEX($T$19:$T$93,IH$244+$FN309-1)))</f>
        <v>0.38680480316992683</v>
      </c>
      <c r="II309" s="242"/>
    </row>
    <row r="310" spans="9:243">
      <c r="I310" s="132"/>
      <c r="J310" s="365"/>
      <c r="K310" s="133"/>
      <c r="L310" s="1"/>
      <c r="M310" s="366"/>
      <c r="P310" s="365"/>
      <c r="S310" s="53"/>
      <c r="T310" s="365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364">
        <v>6.5162619992488E-2</v>
      </c>
      <c r="AP310" s="1"/>
      <c r="AQ310" s="364">
        <v>5.7793420875837095E-2</v>
      </c>
      <c r="AR310" s="1"/>
      <c r="AS310" s="103"/>
      <c r="AT310" s="103"/>
      <c r="AU310" s="103"/>
      <c r="AV310" s="31"/>
      <c r="AW310" s="31"/>
      <c r="AX310" s="31"/>
      <c r="AY310" s="31"/>
      <c r="AZ310" s="146"/>
      <c r="BA310" s="146"/>
      <c r="BB310" s="103"/>
      <c r="BC310" s="103"/>
      <c r="BD310" s="103"/>
      <c r="BE310" s="103"/>
      <c r="BF310" s="104"/>
      <c r="BG310" s="104"/>
      <c r="BH310" s="104"/>
      <c r="BI310" s="104"/>
      <c r="BJ310" s="104"/>
      <c r="BK310" s="103"/>
      <c r="BL310" s="105"/>
      <c r="BM310" s="103"/>
      <c r="BN310" s="103"/>
      <c r="BO310" s="103"/>
      <c r="BP310" s="103"/>
      <c r="BQ310" s="103"/>
      <c r="BR310" s="103"/>
      <c r="BS310" s="103"/>
      <c r="BT310" s="103"/>
      <c r="BU310" s="103"/>
      <c r="BV310" s="103"/>
      <c r="BW310" s="103"/>
      <c r="BX310" s="103"/>
      <c r="BY310" s="103"/>
      <c r="BZ310" s="103"/>
      <c r="CA310" s="104"/>
      <c r="CB310" s="104"/>
      <c r="CC310" s="104"/>
      <c r="CD310" s="104"/>
      <c r="CE310" s="104"/>
      <c r="CF310" s="104"/>
      <c r="CG310" s="103"/>
      <c r="CH310" s="103"/>
      <c r="CI310" s="103"/>
      <c r="CJ310" s="103"/>
      <c r="CK310" s="103"/>
      <c r="CL310" s="103"/>
      <c r="CM310" s="103"/>
      <c r="CN310" s="103"/>
      <c r="CO310" s="103"/>
      <c r="CP310" s="103"/>
      <c r="CQ310" s="103"/>
      <c r="CR310" s="103"/>
      <c r="CS310" s="103"/>
      <c r="CT310" s="103"/>
      <c r="CU310" s="103"/>
      <c r="CV310" s="103"/>
      <c r="CW310" s="103"/>
      <c r="CX310" s="103"/>
      <c r="CY310" s="103"/>
      <c r="CZ310" s="103"/>
      <c r="DA310" s="103"/>
      <c r="DB310" s="103"/>
      <c r="DC310" s="103"/>
      <c r="DD310" s="103"/>
      <c r="DE310" s="103"/>
      <c r="DF310" s="465"/>
      <c r="DG310" s="107"/>
      <c r="DH310" s="1"/>
      <c r="DI310" s="465"/>
      <c r="DJ310" s="52"/>
      <c r="DK310" s="52"/>
      <c r="DL310" s="52"/>
      <c r="DM310" s="52"/>
      <c r="DN310" s="52"/>
      <c r="DO310" s="52"/>
      <c r="DP310" s="52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P310" s="53"/>
      <c r="EQ310" s="1"/>
      <c r="ER310" s="102"/>
      <c r="ES310" s="103"/>
      <c r="ET310" s="1"/>
      <c r="EU310" s="103"/>
      <c r="EV310" s="1"/>
      <c r="EW310" s="1"/>
      <c r="EX310" s="1"/>
      <c r="EY310" s="102"/>
      <c r="FN310" s="657">
        <v>66</v>
      </c>
      <c r="FO310" s="469" t="str">
        <f ca="1">IF($FN310+FO$244&gt;73,"",PRODUCT(INDEX($T$19:$T$93,FO$244):INDEX($T$19:$T$93,FO$244+$FN310-1)))</f>
        <v/>
      </c>
      <c r="FP310" s="469" t="str">
        <f ca="1">IF($FN310+FP$244&gt;73,"",PRODUCT(INDEX($T$19:$T$93,FP$244):INDEX($T$19:$T$93,FP$244+$FN310-1)))</f>
        <v/>
      </c>
      <c r="FQ310" s="469" t="str">
        <f ca="1">IF($FN310+FQ$244&gt;73,"",PRODUCT(INDEX($T$19:$T$93,FQ$244):INDEX($T$19:$T$93,FQ$244+$FN310-1)))</f>
        <v/>
      </c>
      <c r="FR310" s="469" t="str">
        <f ca="1">IF($FN310+FR$244&gt;73,"",PRODUCT(INDEX($T$19:$T$93,FR$244):INDEX($T$19:$T$93,FR$244+$FN310-1)))</f>
        <v/>
      </c>
      <c r="FS310" s="469" t="str">
        <f ca="1">IF($FN310+FS$244&gt;73,"",PRODUCT(INDEX($T$19:$T$93,FS$244):INDEX($T$19:$T$93,FS$244+$FN310-1)))</f>
        <v/>
      </c>
      <c r="FT310" s="469" t="str">
        <f ca="1">IF($FN310+FT$244&gt;73,"",PRODUCT(INDEX($T$19:$T$93,FT$244):INDEX($T$19:$T$93,FT$244+$FN310-1)))</f>
        <v/>
      </c>
      <c r="FU310" s="469" t="str">
        <f ca="1">IF($FN310+FU$244&gt;73,"",PRODUCT(INDEX($T$19:$T$93,FU$244):INDEX($T$19:$T$93,FU$244+$FN310-1)))</f>
        <v/>
      </c>
      <c r="FV310" s="469" t="str">
        <f ca="1">IF($FN310+FV$244&gt;73,"",PRODUCT(INDEX($T$19:$T$93,FV$244):INDEX($T$19:$T$93,FV$244+$FN310-1)))</f>
        <v/>
      </c>
      <c r="FW310" s="469" t="str">
        <f ca="1">IF($FN310+FW$244&gt;73,"",PRODUCT(INDEX($T$19:$T$93,FW$244):INDEX($T$19:$T$93,FW$244+$FN310-1)))</f>
        <v/>
      </c>
      <c r="FX310" s="469" t="str">
        <f ca="1">IF($FN310+FX$244&gt;73,"",PRODUCT(INDEX($T$19:$T$93,FX$244):INDEX($T$19:$T$93,FX$244+$FN310-1)))</f>
        <v/>
      </c>
      <c r="FY310" s="469" t="str">
        <f ca="1">IF($FN310+FY$244&gt;73,"",PRODUCT(INDEX($T$19:$T$93,FY$244):INDEX($T$19:$T$93,FY$244+$FN310-1)))</f>
        <v/>
      </c>
      <c r="FZ310" s="469" t="str">
        <f ca="1">IF($FN310+FZ$244&gt;73,"",PRODUCT(INDEX($T$19:$T$93,FZ$244):INDEX($T$19:$T$93,FZ$244+$FN310-1)))</f>
        <v/>
      </c>
      <c r="GA310" s="469" t="str">
        <f ca="1">IF($FN310+GA$244&gt;73,"",PRODUCT(INDEX($T$19:$T$93,GA$244):INDEX($T$19:$T$93,GA$244+$FN310-1)))</f>
        <v/>
      </c>
      <c r="GB310" s="469" t="str">
        <f ca="1">IF($FN310+GB$244&gt;73,"",PRODUCT(INDEX($T$19:$T$93,GB$244):INDEX($T$19:$T$93,GB$244+$FN310-1)))</f>
        <v/>
      </c>
      <c r="GC310" s="469" t="str">
        <f ca="1">IF($FN310+GC$244&gt;73,"",PRODUCT(INDEX($T$19:$T$93,GC$244):INDEX($T$19:$T$93,GC$244+$FN310-1)))</f>
        <v/>
      </c>
      <c r="GD310" s="469" t="str">
        <f ca="1">IF($FN310+GD$244&gt;73,"",PRODUCT(INDEX($T$19:$T$93,GD$244):INDEX($T$19:$T$93,GD$244+$FN310-1)))</f>
        <v/>
      </c>
      <c r="GE310" s="469" t="str">
        <f ca="1">IF($FN310+GE$244&gt;73,"",PRODUCT(INDEX($T$19:$T$93,GE$244):INDEX($T$19:$T$93,GE$244+$FN310-1)))</f>
        <v/>
      </c>
      <c r="GF310" s="469" t="str">
        <f ca="1">IF($FN310+GF$244&gt;73,"",PRODUCT(INDEX($T$19:$T$93,GF$244):INDEX($T$19:$T$93,GF$244+$FN310-1)))</f>
        <v/>
      </c>
      <c r="GG310" s="469" t="str">
        <f ca="1">IF($FN310+GG$244&gt;73,"",PRODUCT(INDEX($T$19:$T$93,GG$244):INDEX($T$19:$T$93,GG$244+$FN310-1)))</f>
        <v/>
      </c>
      <c r="GH310" s="469" t="str">
        <f ca="1">IF($FN310+GH$244&gt;73,"",PRODUCT(INDEX($T$19:$T$93,GH$244):INDEX($T$19:$T$93,GH$244+$FN310-1)))</f>
        <v/>
      </c>
      <c r="GI310" s="469" t="str">
        <f ca="1">IF($FN310+GI$244&gt;73,"",PRODUCT(INDEX($T$19:$T$93,GI$244):INDEX($T$19:$T$93,GI$244+$FN310-1)))</f>
        <v/>
      </c>
      <c r="GJ310" s="469" t="str">
        <f ca="1">IF($FN310+GJ$244&gt;73,"",PRODUCT(INDEX($T$19:$T$93,GJ$244):INDEX($T$19:$T$93,GJ$244+$FN310-1)))</f>
        <v/>
      </c>
      <c r="GK310" s="469" t="str">
        <f ca="1">IF($FN310+GK$244&gt;73,"",PRODUCT(INDEX($T$19:$T$93,GK$244):INDEX($T$19:$T$93,GK$244+$FN310-1)))</f>
        <v/>
      </c>
      <c r="GL310" s="469" t="str">
        <f ca="1">IF($FN310+GL$244&gt;73,"",PRODUCT(INDEX($T$19:$T$93,GL$244):INDEX($T$19:$T$93,GL$244+$FN310-1)))</f>
        <v/>
      </c>
      <c r="GM310" s="469" t="str">
        <f ca="1">IF($FN310+GM$244&gt;73,"",PRODUCT(INDEX($T$19:$T$93,GM$244):INDEX($T$19:$T$93,GM$244+$FN310-1)))</f>
        <v/>
      </c>
      <c r="GN310" s="469" t="str">
        <f ca="1">IF($FN310+GN$244&gt;73,"",PRODUCT(INDEX($T$19:$T$93,GN$244):INDEX($T$19:$T$93,GN$244+$FN310-1)))</f>
        <v/>
      </c>
      <c r="GO310" s="469" t="str">
        <f ca="1">IF($FN310+GO$244&gt;73,"",PRODUCT(INDEX($T$19:$T$93,GO$244):INDEX($T$19:$T$93,GO$244+$FN310-1)))</f>
        <v/>
      </c>
      <c r="GP310" s="469" t="str">
        <f ca="1">IF($FN310+GP$244&gt;73,"",PRODUCT(INDEX($T$19:$T$93,GP$244):INDEX($T$19:$T$93,GP$244+$FN310-1)))</f>
        <v/>
      </c>
      <c r="GQ310" s="469" t="str">
        <f ca="1">IF($FN310+GQ$244&gt;73,"",PRODUCT(INDEX($T$19:$T$93,GQ$244):INDEX($T$19:$T$93,GQ$244+$FN310-1)))</f>
        <v/>
      </c>
      <c r="GR310" s="469" t="str">
        <f ca="1">IF($FN310+GR$244&gt;73,"",PRODUCT(INDEX($T$19:$T$93,GR$244):INDEX($T$19:$T$93,GR$244+$FN310-1)))</f>
        <v/>
      </c>
      <c r="GS310" s="469" t="str">
        <f ca="1">IF($FN310+GS$244&gt;73,"",PRODUCT(INDEX($T$19:$T$93,GS$244):INDEX($T$19:$T$93,GS$244+$FN310-1)))</f>
        <v/>
      </c>
      <c r="GT310" s="469" t="str">
        <f ca="1">IF($FN310+GT$244&gt;73,"",PRODUCT(INDEX($T$19:$T$93,GT$244):INDEX($T$19:$T$93,GT$244+$FN310-1)))</f>
        <v/>
      </c>
      <c r="GU310" s="469" t="str">
        <f ca="1">IF($FN310+GU$244&gt;73,"",PRODUCT(INDEX($T$19:$T$93,GU$244):INDEX($T$19:$T$93,GU$244+$FN310-1)))</f>
        <v/>
      </c>
      <c r="GV310" s="469" t="str">
        <f ca="1">IF($FN310+GV$244&gt;73,"",PRODUCT(INDEX($T$19:$T$93,GV$244):INDEX($T$19:$T$93,GV$244+$FN310-1)))</f>
        <v/>
      </c>
      <c r="GW310" s="469" t="str">
        <f ca="1">IF($FN310+GW$244&gt;73,"",PRODUCT(INDEX($T$19:$T$93,GW$244):INDEX($T$19:$T$93,GW$244+$FN310-1)))</f>
        <v/>
      </c>
      <c r="GX310" s="469" t="str">
        <f ca="1">IF($FN310+GX$244&gt;73,"",PRODUCT(INDEX($T$19:$T$93,GX$244):INDEX($T$19:$T$93,GX$244+$FN310-1)))</f>
        <v/>
      </c>
      <c r="GY310" s="469" t="str">
        <f ca="1">IF($FN310+GY$244&gt;73,"",PRODUCT(INDEX($T$19:$T$93,GY$244):INDEX($T$19:$T$93,GY$244+$FN310-1)))</f>
        <v/>
      </c>
      <c r="GZ310" s="469" t="str">
        <f ca="1">IF($FN310+GZ$244&gt;73,"",PRODUCT(INDEX($T$19:$T$93,GZ$244):INDEX($T$19:$T$93,GZ$244+$FN310-1)))</f>
        <v/>
      </c>
      <c r="HA310" s="469" t="str">
        <f ca="1">IF($FN310+HA$244&gt;73,"",PRODUCT(INDEX($T$19:$T$93,HA$244):INDEX($T$19:$T$93,HA$244+$FN310-1)))</f>
        <v/>
      </c>
      <c r="HB310" s="469" t="str">
        <f ca="1">IF($FN310+HB$244&gt;73,"",PRODUCT(INDEX($T$19:$T$93,HB$244):INDEX($T$19:$T$93,HB$244+$FN310-1)))</f>
        <v/>
      </c>
      <c r="HC310" s="469" t="str">
        <f ca="1">IF($FN310+HC$244&gt;73,"",PRODUCT(INDEX($T$19:$T$93,HC$244):INDEX($T$19:$T$93,HC$244+$FN310-1)))</f>
        <v/>
      </c>
      <c r="HD310" s="469" t="str">
        <f ca="1">IF($FN310+HD$244&gt;73,"",PRODUCT(INDEX($T$19:$T$93,HD$244):INDEX($T$19:$T$93,HD$244+$FN310-1)))</f>
        <v/>
      </c>
      <c r="HE310" s="469" t="str">
        <f ca="1">IF($FN310+HE$244&gt;73,"",PRODUCT(INDEX($T$19:$T$93,HE$244):INDEX($T$19:$T$93,HE$244+$FN310-1)))</f>
        <v/>
      </c>
      <c r="HF310" s="469" t="str">
        <f ca="1">IF($FN310+HF$244&gt;73,"",PRODUCT(INDEX($T$19:$T$93,HF$244):INDEX($T$19:$T$93,HF$244+$FN310-1)))</f>
        <v/>
      </c>
      <c r="HG310" s="469" t="str">
        <f ca="1">IF($FN310+HG$244&gt;73,"",PRODUCT(INDEX($T$19:$T$93,HG$244):INDEX($T$19:$T$93,HG$244+$FN310-1)))</f>
        <v/>
      </c>
      <c r="HH310" s="469" t="str">
        <f ca="1">IF($FN310+HH$244&gt;73,"",PRODUCT(INDEX($T$19:$T$93,HH$244):INDEX($T$19:$T$93,HH$244+$FN310-1)))</f>
        <v/>
      </c>
      <c r="HI310" s="469" t="str">
        <f ca="1">IF($FN310+HI$244&gt;73,"",PRODUCT(INDEX($T$19:$T$93,HI$244):INDEX($T$19:$T$93,HI$244+$FN310-1)))</f>
        <v/>
      </c>
      <c r="HJ310" s="469" t="str">
        <f ca="1">IF($FN310+HJ$244&gt;73,"",PRODUCT(INDEX($T$19:$T$93,HJ$244):INDEX($T$19:$T$93,HJ$244+$FN310-1)))</f>
        <v/>
      </c>
      <c r="HK310" s="469" t="str">
        <f ca="1">IF($FN310+HK$244&gt;73,"",PRODUCT(INDEX($T$19:$T$93,HK$244):INDEX($T$19:$T$93,HK$244+$FN310-1)))</f>
        <v/>
      </c>
      <c r="HL310" s="469" t="str">
        <f ca="1">IF($FN310+HL$244&gt;73,"",PRODUCT(INDEX($T$19:$T$93,HL$244):INDEX($T$19:$T$93,HL$244+$FN310-1)))</f>
        <v/>
      </c>
      <c r="HM310" s="469" t="str">
        <f ca="1">IF($FN310+HM$244&gt;73,"",PRODUCT(INDEX($T$19:$T$93,HM$244):INDEX($T$19:$T$93,HM$244+$FN310-1)))</f>
        <v/>
      </c>
      <c r="HN310" s="469" t="str">
        <f ca="1">IF($FN310+HN$244&gt;73,"",PRODUCT(INDEX($T$19:$T$93,HN$244):INDEX($T$19:$T$93,HN$244+$FN310-1)))</f>
        <v/>
      </c>
      <c r="HO310" s="469" t="str">
        <f ca="1">IF($FN310+HO$244&gt;73,"",PRODUCT(INDEX($T$19:$T$93,HO$244):INDEX($T$19:$T$93,HO$244+$FN310-1)))</f>
        <v/>
      </c>
      <c r="HP310" s="469" t="str">
        <f ca="1">IF($FN310+HP$244&gt;73,"",PRODUCT(INDEX($T$19:$T$93,HP$244):INDEX($T$19:$T$93,HP$244+$FN310-1)))</f>
        <v/>
      </c>
      <c r="HQ310" s="469" t="str">
        <f ca="1">IF($FN310+HQ$244&gt;73,"",PRODUCT(INDEX($T$19:$T$93,HQ$244):INDEX($T$19:$T$93,HQ$244+$FN310-1)))</f>
        <v/>
      </c>
      <c r="HR310" s="469" t="str">
        <f ca="1">IF($FN310+HR$244&gt;73,"",PRODUCT(INDEX($T$19:$T$93,HR$244):INDEX($T$19:$T$93,HR$244+$FN310-1)))</f>
        <v/>
      </c>
      <c r="HS310" s="469" t="str">
        <f ca="1">IF($FN310+HS$244&gt;73,"",PRODUCT(INDEX($T$19:$T$93,HS$244):INDEX($T$19:$T$93,HS$244+$FN310-1)))</f>
        <v/>
      </c>
      <c r="HT310" s="469" t="str">
        <f ca="1">IF($FN310+HT$244&gt;73,"",PRODUCT(INDEX($T$19:$T$93,HT$244):INDEX($T$19:$T$93,HT$244+$FN310-1)))</f>
        <v/>
      </c>
      <c r="HU310" s="469" t="str">
        <f ca="1">IF($FN310+HU$244&gt;73,"",PRODUCT(INDEX($T$19:$T$93,HU$244):INDEX($T$19:$T$93,HU$244+$FN310-1)))</f>
        <v/>
      </c>
      <c r="HV310" s="469" t="str">
        <f ca="1">IF($FN310+HV$244&gt;73,"",PRODUCT(INDEX($T$19:$T$93,HV$244):INDEX($T$19:$T$93,HV$244+$FN310-1)))</f>
        <v/>
      </c>
      <c r="HW310" s="469" t="str">
        <f ca="1">IF($FN310+HW$244&gt;73,"",PRODUCT(INDEX($T$19:$T$93,HW$244):INDEX($T$19:$T$93,HW$244+$FN310-1)))</f>
        <v/>
      </c>
      <c r="HX310" s="469" t="str">
        <f ca="1">IF($FN310+HX$244&gt;73,"",PRODUCT(INDEX($T$19:$T$93,HX$244):INDEX($T$19:$T$93,HX$244+$FN310-1)))</f>
        <v/>
      </c>
      <c r="HY310" s="469" t="str">
        <f ca="1">IF($FN310+HY$244&gt;73,"",PRODUCT(INDEX($T$19:$T$93,HY$244):INDEX($T$19:$T$93,HY$244+$FN310-1)))</f>
        <v/>
      </c>
      <c r="HZ310" s="469" t="str">
        <f ca="1">IF($FN310+HZ$244&gt;73,"",PRODUCT(INDEX($T$19:$T$93,HZ$244):INDEX($T$19:$T$93,HZ$244+$FN310-1)))</f>
        <v/>
      </c>
      <c r="IA310" s="469" t="str">
        <f ca="1">IF($FN310+IA$244&gt;73,"",PRODUCT(INDEX($T$19:$T$93,IA$244):INDEX($T$19:$T$93,IA$244+$FN310-1)))</f>
        <v/>
      </c>
      <c r="IB310" s="469">
        <f ca="1">IF($FN310+IB$244&gt;73,"",PRODUCT(INDEX($T$19:$T$93,IB$244):INDEX($T$19:$T$93,IB$244+$FN310-1)))</f>
        <v>0.61920285964388933</v>
      </c>
      <c r="IC310" s="469">
        <f ca="1">IF($FN310+IC$244&gt;73,"",PRODUCT(INDEX($T$19:$T$93,IC$244):INDEX($T$19:$T$93,IC$244+$FN310-1)))</f>
        <v>0.58526807768789813</v>
      </c>
      <c r="ID310" s="469">
        <f ca="1">IF($FN310+ID$244&gt;73,"",PRODUCT(INDEX($T$19:$T$93,ID$244):INDEX($T$19:$T$93,ID$244+$FN310-1)))</f>
        <v>0.54924051001945895</v>
      </c>
      <c r="IE310" s="469">
        <f ca="1">IF($FN310+IE$244&gt;73,"",PRODUCT(INDEX($T$19:$T$93,IE$244):INDEX($T$19:$T$93,IE$244+$FN310-1)))</f>
        <v>0.51119951847018075</v>
      </c>
      <c r="IF310" s="469">
        <f ca="1">IF($FN310+IF$244&gt;73,"",PRODUCT(INDEX($T$19:$T$93,IF$244):INDEX($T$19:$T$93,IF$244+$FN310-1)))</f>
        <v>0.47128453339236942</v>
      </c>
      <c r="IG310" s="469">
        <f ca="1">IF($FN310+IG$244&gt;73,"",PRODUCT(INDEX($T$19:$T$93,IG$244):INDEX($T$19:$T$93,IG$244+$FN310-1)))</f>
        <v>0.42970795937915307</v>
      </c>
      <c r="IH310" s="662">
        <f ca="1">IF($FN310+IH$244&gt;73,"",PRODUCT(INDEX($T$19:$T$93,IH$244):INDEX($T$19:$T$93,IH$244+$FN310-1)))</f>
        <v>0.38676920168065615</v>
      </c>
      <c r="II310" s="242"/>
    </row>
    <row r="311" spans="9:243">
      <c r="I311" s="132"/>
      <c r="J311" s="365"/>
      <c r="K311" s="133"/>
      <c r="L311" s="1"/>
      <c r="M311" s="366"/>
      <c r="P311" s="365"/>
      <c r="S311" s="53"/>
      <c r="T311" s="365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364">
        <v>6.5173267768916091E-2</v>
      </c>
      <c r="AP311" s="1"/>
      <c r="AQ311" s="364">
        <v>5.7754190380875203E-2</v>
      </c>
      <c r="AR311" s="1"/>
      <c r="AS311" s="103"/>
      <c r="AT311" s="103"/>
      <c r="AU311" s="103"/>
      <c r="AV311" s="31"/>
      <c r="AW311" s="31"/>
      <c r="AX311" s="31"/>
      <c r="AY311" s="31"/>
      <c r="AZ311" s="146"/>
      <c r="BA311" s="146"/>
      <c r="BB311" s="103"/>
      <c r="BC311" s="103"/>
      <c r="BD311" s="103"/>
      <c r="BE311" s="103"/>
      <c r="BF311" s="104"/>
      <c r="BG311" s="104"/>
      <c r="BH311" s="104"/>
      <c r="BI311" s="104"/>
      <c r="BJ311" s="104"/>
      <c r="BK311" s="103"/>
      <c r="BL311" s="105"/>
      <c r="BM311" s="103"/>
      <c r="BN311" s="103"/>
      <c r="BO311" s="103"/>
      <c r="BP311" s="103"/>
      <c r="BQ311" s="103"/>
      <c r="BR311" s="103"/>
      <c r="BS311" s="103"/>
      <c r="BT311" s="103"/>
      <c r="BU311" s="103"/>
      <c r="BV311" s="103"/>
      <c r="BW311" s="103"/>
      <c r="BX311" s="103"/>
      <c r="BY311" s="103"/>
      <c r="BZ311" s="103"/>
      <c r="CA311" s="104"/>
      <c r="CB311" s="104"/>
      <c r="CC311" s="104"/>
      <c r="CD311" s="104"/>
      <c r="CE311" s="104"/>
      <c r="CF311" s="104"/>
      <c r="CG311" s="103"/>
      <c r="CH311" s="103"/>
      <c r="CI311" s="103"/>
      <c r="CJ311" s="103"/>
      <c r="CK311" s="103"/>
      <c r="CL311" s="103"/>
      <c r="CM311" s="103"/>
      <c r="CN311" s="103"/>
      <c r="CO311" s="103"/>
      <c r="CP311" s="103"/>
      <c r="CQ311" s="103"/>
      <c r="CR311" s="103"/>
      <c r="CS311" s="103"/>
      <c r="CT311" s="103"/>
      <c r="CU311" s="103"/>
      <c r="CV311" s="103"/>
      <c r="CW311" s="103"/>
      <c r="CX311" s="103"/>
      <c r="CY311" s="103"/>
      <c r="CZ311" s="103"/>
      <c r="DA311" s="103"/>
      <c r="DB311" s="103"/>
      <c r="DC311" s="103"/>
      <c r="DD311" s="103"/>
      <c r="DE311" s="103"/>
      <c r="DF311" s="465"/>
      <c r="DG311" s="107"/>
      <c r="DH311" s="1"/>
      <c r="DI311" s="465"/>
      <c r="DJ311" s="52"/>
      <c r="DK311" s="52"/>
      <c r="DL311" s="52"/>
      <c r="DM311" s="52"/>
      <c r="DN311" s="52"/>
      <c r="DO311" s="52"/>
      <c r="DP311" s="52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P311" s="53"/>
      <c r="EQ311" s="1"/>
      <c r="ER311" s="102"/>
      <c r="ES311" s="103"/>
      <c r="ET311" s="1"/>
      <c r="EU311" s="103"/>
      <c r="EV311" s="1"/>
      <c r="EW311" s="1"/>
      <c r="EX311" s="1"/>
      <c r="EY311" s="102"/>
      <c r="FN311" s="657">
        <v>67</v>
      </c>
      <c r="FO311" s="469" t="str">
        <f ca="1">IF($FN311+FO$244&gt;73,"",PRODUCT(INDEX($T$19:$T$93,FO$244):INDEX($T$19:$T$93,FO$244+$FN311-1)))</f>
        <v/>
      </c>
      <c r="FP311" s="469" t="str">
        <f ca="1">IF($FN311+FP$244&gt;73,"",PRODUCT(INDEX($T$19:$T$93,FP$244):INDEX($T$19:$T$93,FP$244+$FN311-1)))</f>
        <v/>
      </c>
      <c r="FQ311" s="469" t="str">
        <f ca="1">IF($FN311+FQ$244&gt;73,"",PRODUCT(INDEX($T$19:$T$93,FQ$244):INDEX($T$19:$T$93,FQ$244+$FN311-1)))</f>
        <v/>
      </c>
      <c r="FR311" s="469" t="str">
        <f ca="1">IF($FN311+FR$244&gt;73,"",PRODUCT(INDEX($T$19:$T$93,FR$244):INDEX($T$19:$T$93,FR$244+$FN311-1)))</f>
        <v/>
      </c>
      <c r="FS311" s="469" t="str">
        <f ca="1">IF($FN311+FS$244&gt;73,"",PRODUCT(INDEX($T$19:$T$93,FS$244):INDEX($T$19:$T$93,FS$244+$FN311-1)))</f>
        <v/>
      </c>
      <c r="FT311" s="469" t="str">
        <f ca="1">IF($FN311+FT$244&gt;73,"",PRODUCT(INDEX($T$19:$T$93,FT$244):INDEX($T$19:$T$93,FT$244+$FN311-1)))</f>
        <v/>
      </c>
      <c r="FU311" s="469" t="str">
        <f ca="1">IF($FN311+FU$244&gt;73,"",PRODUCT(INDEX($T$19:$T$93,FU$244):INDEX($T$19:$T$93,FU$244+$FN311-1)))</f>
        <v/>
      </c>
      <c r="FV311" s="469" t="str">
        <f ca="1">IF($FN311+FV$244&gt;73,"",PRODUCT(INDEX($T$19:$T$93,FV$244):INDEX($T$19:$T$93,FV$244+$FN311-1)))</f>
        <v/>
      </c>
      <c r="FW311" s="469" t="str">
        <f ca="1">IF($FN311+FW$244&gt;73,"",PRODUCT(INDEX($T$19:$T$93,FW$244):INDEX($T$19:$T$93,FW$244+$FN311-1)))</f>
        <v/>
      </c>
      <c r="FX311" s="469" t="str">
        <f ca="1">IF($FN311+FX$244&gt;73,"",PRODUCT(INDEX($T$19:$T$93,FX$244):INDEX($T$19:$T$93,FX$244+$FN311-1)))</f>
        <v/>
      </c>
      <c r="FY311" s="469" t="str">
        <f ca="1">IF($FN311+FY$244&gt;73,"",PRODUCT(INDEX($T$19:$T$93,FY$244):INDEX($T$19:$T$93,FY$244+$FN311-1)))</f>
        <v/>
      </c>
      <c r="FZ311" s="469" t="str">
        <f ca="1">IF($FN311+FZ$244&gt;73,"",PRODUCT(INDEX($T$19:$T$93,FZ$244):INDEX($T$19:$T$93,FZ$244+$FN311-1)))</f>
        <v/>
      </c>
      <c r="GA311" s="469" t="str">
        <f ca="1">IF($FN311+GA$244&gt;73,"",PRODUCT(INDEX($T$19:$T$93,GA$244):INDEX($T$19:$T$93,GA$244+$FN311-1)))</f>
        <v/>
      </c>
      <c r="GB311" s="469" t="str">
        <f ca="1">IF($FN311+GB$244&gt;73,"",PRODUCT(INDEX($T$19:$T$93,GB$244):INDEX($T$19:$T$93,GB$244+$FN311-1)))</f>
        <v/>
      </c>
      <c r="GC311" s="469" t="str">
        <f ca="1">IF($FN311+GC$244&gt;73,"",PRODUCT(INDEX($T$19:$T$93,GC$244):INDEX($T$19:$T$93,GC$244+$FN311-1)))</f>
        <v/>
      </c>
      <c r="GD311" s="469" t="str">
        <f ca="1">IF($FN311+GD$244&gt;73,"",PRODUCT(INDEX($T$19:$T$93,GD$244):INDEX($T$19:$T$93,GD$244+$FN311-1)))</f>
        <v/>
      </c>
      <c r="GE311" s="469" t="str">
        <f ca="1">IF($FN311+GE$244&gt;73,"",PRODUCT(INDEX($T$19:$T$93,GE$244):INDEX($T$19:$T$93,GE$244+$FN311-1)))</f>
        <v/>
      </c>
      <c r="GF311" s="469" t="str">
        <f ca="1">IF($FN311+GF$244&gt;73,"",PRODUCT(INDEX($T$19:$T$93,GF$244):INDEX($T$19:$T$93,GF$244+$FN311-1)))</f>
        <v/>
      </c>
      <c r="GG311" s="469" t="str">
        <f ca="1">IF($FN311+GG$244&gt;73,"",PRODUCT(INDEX($T$19:$T$93,GG$244):INDEX($T$19:$T$93,GG$244+$FN311-1)))</f>
        <v/>
      </c>
      <c r="GH311" s="469" t="str">
        <f ca="1">IF($FN311+GH$244&gt;73,"",PRODUCT(INDEX($T$19:$T$93,GH$244):INDEX($T$19:$T$93,GH$244+$FN311-1)))</f>
        <v/>
      </c>
      <c r="GI311" s="469" t="str">
        <f ca="1">IF($FN311+GI$244&gt;73,"",PRODUCT(INDEX($T$19:$T$93,GI$244):INDEX($T$19:$T$93,GI$244+$FN311-1)))</f>
        <v/>
      </c>
      <c r="GJ311" s="469" t="str">
        <f ca="1">IF($FN311+GJ$244&gt;73,"",PRODUCT(INDEX($T$19:$T$93,GJ$244):INDEX($T$19:$T$93,GJ$244+$FN311-1)))</f>
        <v/>
      </c>
      <c r="GK311" s="469" t="str">
        <f ca="1">IF($FN311+GK$244&gt;73,"",PRODUCT(INDEX($T$19:$T$93,GK$244):INDEX($T$19:$T$93,GK$244+$FN311-1)))</f>
        <v/>
      </c>
      <c r="GL311" s="469" t="str">
        <f ca="1">IF($FN311+GL$244&gt;73,"",PRODUCT(INDEX($T$19:$T$93,GL$244):INDEX($T$19:$T$93,GL$244+$FN311-1)))</f>
        <v/>
      </c>
      <c r="GM311" s="469" t="str">
        <f ca="1">IF($FN311+GM$244&gt;73,"",PRODUCT(INDEX($T$19:$T$93,GM$244):INDEX($T$19:$T$93,GM$244+$FN311-1)))</f>
        <v/>
      </c>
      <c r="GN311" s="469" t="str">
        <f ca="1">IF($FN311+GN$244&gt;73,"",PRODUCT(INDEX($T$19:$T$93,GN$244):INDEX($T$19:$T$93,GN$244+$FN311-1)))</f>
        <v/>
      </c>
      <c r="GO311" s="469" t="str">
        <f ca="1">IF($FN311+GO$244&gt;73,"",PRODUCT(INDEX($T$19:$T$93,GO$244):INDEX($T$19:$T$93,GO$244+$FN311-1)))</f>
        <v/>
      </c>
      <c r="GP311" s="469" t="str">
        <f ca="1">IF($FN311+GP$244&gt;73,"",PRODUCT(INDEX($T$19:$T$93,GP$244):INDEX($T$19:$T$93,GP$244+$FN311-1)))</f>
        <v/>
      </c>
      <c r="GQ311" s="469" t="str">
        <f ca="1">IF($FN311+GQ$244&gt;73,"",PRODUCT(INDEX($T$19:$T$93,GQ$244):INDEX($T$19:$T$93,GQ$244+$FN311-1)))</f>
        <v/>
      </c>
      <c r="GR311" s="469" t="str">
        <f ca="1">IF($FN311+GR$244&gt;73,"",PRODUCT(INDEX($T$19:$T$93,GR$244):INDEX($T$19:$T$93,GR$244+$FN311-1)))</f>
        <v/>
      </c>
      <c r="GS311" s="469" t="str">
        <f ca="1">IF($FN311+GS$244&gt;73,"",PRODUCT(INDEX($T$19:$T$93,GS$244):INDEX($T$19:$T$93,GS$244+$FN311-1)))</f>
        <v/>
      </c>
      <c r="GT311" s="469" t="str">
        <f ca="1">IF($FN311+GT$244&gt;73,"",PRODUCT(INDEX($T$19:$T$93,GT$244):INDEX($T$19:$T$93,GT$244+$FN311-1)))</f>
        <v/>
      </c>
      <c r="GU311" s="469" t="str">
        <f ca="1">IF($FN311+GU$244&gt;73,"",PRODUCT(INDEX($T$19:$T$93,GU$244):INDEX($T$19:$T$93,GU$244+$FN311-1)))</f>
        <v/>
      </c>
      <c r="GV311" s="469" t="str">
        <f ca="1">IF($FN311+GV$244&gt;73,"",PRODUCT(INDEX($T$19:$T$93,GV$244):INDEX($T$19:$T$93,GV$244+$FN311-1)))</f>
        <v/>
      </c>
      <c r="GW311" s="469" t="str">
        <f ca="1">IF($FN311+GW$244&gt;73,"",PRODUCT(INDEX($T$19:$T$93,GW$244):INDEX($T$19:$T$93,GW$244+$FN311-1)))</f>
        <v/>
      </c>
      <c r="GX311" s="469" t="str">
        <f ca="1">IF($FN311+GX$244&gt;73,"",PRODUCT(INDEX($T$19:$T$93,GX$244):INDEX($T$19:$T$93,GX$244+$FN311-1)))</f>
        <v/>
      </c>
      <c r="GY311" s="469" t="str">
        <f ca="1">IF($FN311+GY$244&gt;73,"",PRODUCT(INDEX($T$19:$T$93,GY$244):INDEX($T$19:$T$93,GY$244+$FN311-1)))</f>
        <v/>
      </c>
      <c r="GZ311" s="469" t="str">
        <f ca="1">IF($FN311+GZ$244&gt;73,"",PRODUCT(INDEX($T$19:$T$93,GZ$244):INDEX($T$19:$T$93,GZ$244+$FN311-1)))</f>
        <v/>
      </c>
      <c r="HA311" s="469" t="str">
        <f ca="1">IF($FN311+HA$244&gt;73,"",PRODUCT(INDEX($T$19:$T$93,HA$244):INDEX($T$19:$T$93,HA$244+$FN311-1)))</f>
        <v/>
      </c>
      <c r="HB311" s="469" t="str">
        <f ca="1">IF($FN311+HB$244&gt;73,"",PRODUCT(INDEX($T$19:$T$93,HB$244):INDEX($T$19:$T$93,HB$244+$FN311-1)))</f>
        <v/>
      </c>
      <c r="HC311" s="469" t="str">
        <f ca="1">IF($FN311+HC$244&gt;73,"",PRODUCT(INDEX($T$19:$T$93,HC$244):INDEX($T$19:$T$93,HC$244+$FN311-1)))</f>
        <v/>
      </c>
      <c r="HD311" s="469" t="str">
        <f ca="1">IF($FN311+HD$244&gt;73,"",PRODUCT(INDEX($T$19:$T$93,HD$244):INDEX($T$19:$T$93,HD$244+$FN311-1)))</f>
        <v/>
      </c>
      <c r="HE311" s="469" t="str">
        <f ca="1">IF($FN311+HE$244&gt;73,"",PRODUCT(INDEX($T$19:$T$93,HE$244):INDEX($T$19:$T$93,HE$244+$FN311-1)))</f>
        <v/>
      </c>
      <c r="HF311" s="469" t="str">
        <f ca="1">IF($FN311+HF$244&gt;73,"",PRODUCT(INDEX($T$19:$T$93,HF$244):INDEX($T$19:$T$93,HF$244+$FN311-1)))</f>
        <v/>
      </c>
      <c r="HG311" s="469" t="str">
        <f ca="1">IF($FN311+HG$244&gt;73,"",PRODUCT(INDEX($T$19:$T$93,HG$244):INDEX($T$19:$T$93,HG$244+$FN311-1)))</f>
        <v/>
      </c>
      <c r="HH311" s="469" t="str">
        <f ca="1">IF($FN311+HH$244&gt;73,"",PRODUCT(INDEX($T$19:$T$93,HH$244):INDEX($T$19:$T$93,HH$244+$FN311-1)))</f>
        <v/>
      </c>
      <c r="HI311" s="469" t="str">
        <f ca="1">IF($FN311+HI$244&gt;73,"",PRODUCT(INDEX($T$19:$T$93,HI$244):INDEX($T$19:$T$93,HI$244+$FN311-1)))</f>
        <v/>
      </c>
      <c r="HJ311" s="469" t="str">
        <f ca="1">IF($FN311+HJ$244&gt;73,"",PRODUCT(INDEX($T$19:$T$93,HJ$244):INDEX($T$19:$T$93,HJ$244+$FN311-1)))</f>
        <v/>
      </c>
      <c r="HK311" s="469" t="str">
        <f ca="1">IF($FN311+HK$244&gt;73,"",PRODUCT(INDEX($T$19:$T$93,HK$244):INDEX($T$19:$T$93,HK$244+$FN311-1)))</f>
        <v/>
      </c>
      <c r="HL311" s="469" t="str">
        <f ca="1">IF($FN311+HL$244&gt;73,"",PRODUCT(INDEX($T$19:$T$93,HL$244):INDEX($T$19:$T$93,HL$244+$FN311-1)))</f>
        <v/>
      </c>
      <c r="HM311" s="469" t="str">
        <f ca="1">IF($FN311+HM$244&gt;73,"",PRODUCT(INDEX($T$19:$T$93,HM$244):INDEX($T$19:$T$93,HM$244+$FN311-1)))</f>
        <v/>
      </c>
      <c r="HN311" s="469" t="str">
        <f ca="1">IF($FN311+HN$244&gt;73,"",PRODUCT(INDEX($T$19:$T$93,HN$244):INDEX($T$19:$T$93,HN$244+$FN311-1)))</f>
        <v/>
      </c>
      <c r="HO311" s="469" t="str">
        <f ca="1">IF($FN311+HO$244&gt;73,"",PRODUCT(INDEX($T$19:$T$93,HO$244):INDEX($T$19:$T$93,HO$244+$FN311-1)))</f>
        <v/>
      </c>
      <c r="HP311" s="469" t="str">
        <f ca="1">IF($FN311+HP$244&gt;73,"",PRODUCT(INDEX($T$19:$T$93,HP$244):INDEX($T$19:$T$93,HP$244+$FN311-1)))</f>
        <v/>
      </c>
      <c r="HQ311" s="469" t="str">
        <f ca="1">IF($FN311+HQ$244&gt;73,"",PRODUCT(INDEX($T$19:$T$93,HQ$244):INDEX($T$19:$T$93,HQ$244+$FN311-1)))</f>
        <v/>
      </c>
      <c r="HR311" s="469" t="str">
        <f ca="1">IF($FN311+HR$244&gt;73,"",PRODUCT(INDEX($T$19:$T$93,HR$244):INDEX($T$19:$T$93,HR$244+$FN311-1)))</f>
        <v/>
      </c>
      <c r="HS311" s="469" t="str">
        <f ca="1">IF($FN311+HS$244&gt;73,"",PRODUCT(INDEX($T$19:$T$93,HS$244):INDEX($T$19:$T$93,HS$244+$FN311-1)))</f>
        <v/>
      </c>
      <c r="HT311" s="469" t="str">
        <f ca="1">IF($FN311+HT$244&gt;73,"",PRODUCT(INDEX($T$19:$T$93,HT$244):INDEX($T$19:$T$93,HT$244+$FN311-1)))</f>
        <v/>
      </c>
      <c r="HU311" s="469" t="str">
        <f ca="1">IF($FN311+HU$244&gt;73,"",PRODUCT(INDEX($T$19:$T$93,HU$244):INDEX($T$19:$T$93,HU$244+$FN311-1)))</f>
        <v/>
      </c>
      <c r="HV311" s="469" t="str">
        <f ca="1">IF($FN311+HV$244&gt;73,"",PRODUCT(INDEX($T$19:$T$93,HV$244):INDEX($T$19:$T$93,HV$244+$FN311-1)))</f>
        <v/>
      </c>
      <c r="HW311" s="469" t="str">
        <f ca="1">IF($FN311+HW$244&gt;73,"",PRODUCT(INDEX($T$19:$T$93,HW$244):INDEX($T$19:$T$93,HW$244+$FN311-1)))</f>
        <v/>
      </c>
      <c r="HX311" s="469" t="str">
        <f ca="1">IF($FN311+HX$244&gt;73,"",PRODUCT(INDEX($T$19:$T$93,HX$244):INDEX($T$19:$T$93,HX$244+$FN311-1)))</f>
        <v/>
      </c>
      <c r="HY311" s="469" t="str">
        <f ca="1">IF($FN311+HY$244&gt;73,"",PRODUCT(INDEX($T$19:$T$93,HY$244):INDEX($T$19:$T$93,HY$244+$FN311-1)))</f>
        <v/>
      </c>
      <c r="HZ311" s="469" t="str">
        <f ca="1">IF($FN311+HZ$244&gt;73,"",PRODUCT(INDEX($T$19:$T$93,HZ$244):INDEX($T$19:$T$93,HZ$244+$FN311-1)))</f>
        <v/>
      </c>
      <c r="IA311" s="469" t="str">
        <f ca="1">IF($FN311+IA$244&gt;73,"",PRODUCT(INDEX($T$19:$T$93,IA$244):INDEX($T$19:$T$93,IA$244+$FN311-1)))</f>
        <v/>
      </c>
      <c r="IB311" s="469" t="str">
        <f ca="1">IF($FN311+IB$244&gt;73,"",PRODUCT(INDEX($T$19:$T$93,IB$244):INDEX($T$19:$T$93,IB$244+$FN311-1)))</f>
        <v/>
      </c>
      <c r="IC311" s="469">
        <f ca="1">IF($FN311+IC$244&gt;73,"",PRODUCT(INDEX($T$19:$T$93,IC$244):INDEX($T$19:$T$93,IC$244+$FN311-1)))</f>
        <v>0.58523945063778904</v>
      </c>
      <c r="ID311" s="469">
        <f ca="1">IF($FN311+ID$244&gt;73,"",PRODUCT(INDEX($T$19:$T$93,ID$244):INDEX($T$19:$T$93,ID$244+$FN311-1)))</f>
        <v>0.54921066011003661</v>
      </c>
      <c r="IE311" s="469">
        <f ca="1">IF($FN311+IE$244&gt;73,"",PRODUCT(INDEX($T$19:$T$93,IE$244):INDEX($T$19:$T$93,IE$244+$FN311-1)))</f>
        <v>0.51116864896112779</v>
      </c>
      <c r="IF311" s="469">
        <f ca="1">IF($FN311+IF$244&gt;73,"",PRODUCT(INDEX($T$19:$T$93,IF$244):INDEX($T$19:$T$93,IF$244+$FN311-1)))</f>
        <v>0.47125291196601371</v>
      </c>
      <c r="IG311" s="469">
        <f ca="1">IF($FN311+IG$244&gt;73,"",PRODUCT(INDEX($T$19:$T$93,IG$244):INDEX($T$19:$T$93,IG$244+$FN311-1)))</f>
        <v>0.42967592392999215</v>
      </c>
      <c r="IH311" s="662">
        <f ca="1">IF($FN311+IH$244&gt;73,"",PRODUCT(INDEX($T$19:$T$93,IH$244):INDEX($T$19:$T$93,IH$244+$FN311-1)))</f>
        <v>0.38673716344123799</v>
      </c>
      <c r="II311" s="242"/>
    </row>
    <row r="312" spans="9:243">
      <c r="I312" s="132"/>
      <c r="J312" s="365"/>
      <c r="K312" s="133"/>
      <c r="L312" s="1"/>
      <c r="M312" s="366"/>
      <c r="P312" s="365"/>
      <c r="S312" s="53"/>
      <c r="T312" s="365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364">
        <v>6.5183915545381499E-2</v>
      </c>
      <c r="AP312" s="1"/>
      <c r="AQ312" s="364">
        <v>5.7714959896664204E-2</v>
      </c>
      <c r="AR312" s="1"/>
      <c r="AS312" s="103"/>
      <c r="AT312" s="103"/>
      <c r="AU312" s="103"/>
      <c r="AV312" s="31"/>
      <c r="AW312" s="31"/>
      <c r="AX312" s="31"/>
      <c r="AY312" s="31"/>
      <c r="AZ312" s="146"/>
      <c r="BA312" s="146"/>
      <c r="BB312" s="103"/>
      <c r="BC312" s="103"/>
      <c r="BD312" s="103"/>
      <c r="BE312" s="103"/>
      <c r="BF312" s="104"/>
      <c r="BG312" s="104"/>
      <c r="BH312" s="104"/>
      <c r="BI312" s="104"/>
      <c r="BJ312" s="104"/>
      <c r="BK312" s="103"/>
      <c r="BL312" s="105"/>
      <c r="BM312" s="103"/>
      <c r="BN312" s="103"/>
      <c r="BO312" s="103"/>
      <c r="BP312" s="103"/>
      <c r="BQ312" s="103"/>
      <c r="BR312" s="103"/>
      <c r="BS312" s="103"/>
      <c r="BT312" s="103"/>
      <c r="BU312" s="103"/>
      <c r="BV312" s="103"/>
      <c r="BW312" s="103"/>
      <c r="BX312" s="103"/>
      <c r="BY312" s="103"/>
      <c r="BZ312" s="103"/>
      <c r="CA312" s="104"/>
      <c r="CB312" s="104"/>
      <c r="CC312" s="104"/>
      <c r="CD312" s="104"/>
      <c r="CE312" s="104"/>
      <c r="CF312" s="104"/>
      <c r="CG312" s="103"/>
      <c r="CH312" s="103"/>
      <c r="CI312" s="103"/>
      <c r="CJ312" s="103"/>
      <c r="CK312" s="103"/>
      <c r="CL312" s="103"/>
      <c r="CM312" s="103"/>
      <c r="CN312" s="103"/>
      <c r="CO312" s="103"/>
      <c r="CP312" s="103"/>
      <c r="CQ312" s="103"/>
      <c r="CR312" s="103"/>
      <c r="CS312" s="103"/>
      <c r="CT312" s="103"/>
      <c r="CU312" s="103"/>
      <c r="CV312" s="103"/>
      <c r="CW312" s="103"/>
      <c r="CX312" s="103"/>
      <c r="CY312" s="103"/>
      <c r="CZ312" s="103"/>
      <c r="DA312" s="103"/>
      <c r="DB312" s="103"/>
      <c r="DC312" s="103"/>
      <c r="DD312" s="103"/>
      <c r="DE312" s="103"/>
      <c r="DF312" s="465"/>
      <c r="DG312" s="107"/>
      <c r="DH312" s="1"/>
      <c r="DI312" s="465"/>
      <c r="DJ312" s="52"/>
      <c r="DK312" s="52"/>
      <c r="DL312" s="52"/>
      <c r="DM312" s="52"/>
      <c r="DN312" s="52"/>
      <c r="DO312" s="52"/>
      <c r="DP312" s="52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P312" s="53"/>
      <c r="EQ312" s="1"/>
      <c r="ER312" s="102"/>
      <c r="ES312" s="103"/>
      <c r="ET312" s="1"/>
      <c r="EU312" s="103"/>
      <c r="EV312" s="1"/>
      <c r="EW312" s="1"/>
      <c r="EX312" s="1"/>
      <c r="EY312" s="102"/>
      <c r="FN312" s="657">
        <v>68</v>
      </c>
      <c r="FO312" s="469" t="str">
        <f ca="1">IF($FN312+FO$244&gt;73,"",PRODUCT(INDEX($T$19:$T$93,FO$244):INDEX($T$19:$T$93,FO$244+$FN312-1)))</f>
        <v/>
      </c>
      <c r="FP312" s="469" t="str">
        <f ca="1">IF($FN312+FP$244&gt;73,"",PRODUCT(INDEX($T$19:$T$93,FP$244):INDEX($T$19:$T$93,FP$244+$FN312-1)))</f>
        <v/>
      </c>
      <c r="FQ312" s="469" t="str">
        <f ca="1">IF($FN312+FQ$244&gt;73,"",PRODUCT(INDEX($T$19:$T$93,FQ$244):INDEX($T$19:$T$93,FQ$244+$FN312-1)))</f>
        <v/>
      </c>
      <c r="FR312" s="469" t="str">
        <f ca="1">IF($FN312+FR$244&gt;73,"",PRODUCT(INDEX($T$19:$T$93,FR$244):INDEX($T$19:$T$93,FR$244+$FN312-1)))</f>
        <v/>
      </c>
      <c r="FS312" s="469" t="str">
        <f ca="1">IF($FN312+FS$244&gt;73,"",PRODUCT(INDEX($T$19:$T$93,FS$244):INDEX($T$19:$T$93,FS$244+$FN312-1)))</f>
        <v/>
      </c>
      <c r="FT312" s="469" t="str">
        <f ca="1">IF($FN312+FT$244&gt;73,"",PRODUCT(INDEX($T$19:$T$93,FT$244):INDEX($T$19:$T$93,FT$244+$FN312-1)))</f>
        <v/>
      </c>
      <c r="FU312" s="469" t="str">
        <f ca="1">IF($FN312+FU$244&gt;73,"",PRODUCT(INDEX($T$19:$T$93,FU$244):INDEX($T$19:$T$93,FU$244+$FN312-1)))</f>
        <v/>
      </c>
      <c r="FV312" s="469" t="str">
        <f ca="1">IF($FN312+FV$244&gt;73,"",PRODUCT(INDEX($T$19:$T$93,FV$244):INDEX($T$19:$T$93,FV$244+$FN312-1)))</f>
        <v/>
      </c>
      <c r="FW312" s="469" t="str">
        <f ca="1">IF($FN312+FW$244&gt;73,"",PRODUCT(INDEX($T$19:$T$93,FW$244):INDEX($T$19:$T$93,FW$244+$FN312-1)))</f>
        <v/>
      </c>
      <c r="FX312" s="469" t="str">
        <f ca="1">IF($FN312+FX$244&gt;73,"",PRODUCT(INDEX($T$19:$T$93,FX$244):INDEX($T$19:$T$93,FX$244+$FN312-1)))</f>
        <v/>
      </c>
      <c r="FY312" s="469" t="str">
        <f ca="1">IF($FN312+FY$244&gt;73,"",PRODUCT(INDEX($T$19:$T$93,FY$244):INDEX($T$19:$T$93,FY$244+$FN312-1)))</f>
        <v/>
      </c>
      <c r="FZ312" s="469" t="str">
        <f ca="1">IF($FN312+FZ$244&gt;73,"",PRODUCT(INDEX($T$19:$T$93,FZ$244):INDEX($T$19:$T$93,FZ$244+$FN312-1)))</f>
        <v/>
      </c>
      <c r="GA312" s="469" t="str">
        <f ca="1">IF($FN312+GA$244&gt;73,"",PRODUCT(INDEX($T$19:$T$93,GA$244):INDEX($T$19:$T$93,GA$244+$FN312-1)))</f>
        <v/>
      </c>
      <c r="GB312" s="469" t="str">
        <f ca="1">IF($FN312+GB$244&gt;73,"",PRODUCT(INDEX($T$19:$T$93,GB$244):INDEX($T$19:$T$93,GB$244+$FN312-1)))</f>
        <v/>
      </c>
      <c r="GC312" s="469" t="str">
        <f ca="1">IF($FN312+GC$244&gt;73,"",PRODUCT(INDEX($T$19:$T$93,GC$244):INDEX($T$19:$T$93,GC$244+$FN312-1)))</f>
        <v/>
      </c>
      <c r="GD312" s="469" t="str">
        <f ca="1">IF($FN312+GD$244&gt;73,"",PRODUCT(INDEX($T$19:$T$93,GD$244):INDEX($T$19:$T$93,GD$244+$FN312-1)))</f>
        <v/>
      </c>
      <c r="GE312" s="469" t="str">
        <f ca="1">IF($FN312+GE$244&gt;73,"",PRODUCT(INDEX($T$19:$T$93,GE$244):INDEX($T$19:$T$93,GE$244+$FN312-1)))</f>
        <v/>
      </c>
      <c r="GF312" s="469" t="str">
        <f ca="1">IF($FN312+GF$244&gt;73,"",PRODUCT(INDEX($T$19:$T$93,GF$244):INDEX($T$19:$T$93,GF$244+$FN312-1)))</f>
        <v/>
      </c>
      <c r="GG312" s="469" t="str">
        <f ca="1">IF($FN312+GG$244&gt;73,"",PRODUCT(INDEX($T$19:$T$93,GG$244):INDEX($T$19:$T$93,GG$244+$FN312-1)))</f>
        <v/>
      </c>
      <c r="GH312" s="469" t="str">
        <f ca="1">IF($FN312+GH$244&gt;73,"",PRODUCT(INDEX($T$19:$T$93,GH$244):INDEX($T$19:$T$93,GH$244+$FN312-1)))</f>
        <v/>
      </c>
      <c r="GI312" s="469" t="str">
        <f ca="1">IF($FN312+GI$244&gt;73,"",PRODUCT(INDEX($T$19:$T$93,GI$244):INDEX($T$19:$T$93,GI$244+$FN312-1)))</f>
        <v/>
      </c>
      <c r="GJ312" s="469" t="str">
        <f ca="1">IF($FN312+GJ$244&gt;73,"",PRODUCT(INDEX($T$19:$T$93,GJ$244):INDEX($T$19:$T$93,GJ$244+$FN312-1)))</f>
        <v/>
      </c>
      <c r="GK312" s="469" t="str">
        <f ca="1">IF($FN312+GK$244&gt;73,"",PRODUCT(INDEX($T$19:$T$93,GK$244):INDEX($T$19:$T$93,GK$244+$FN312-1)))</f>
        <v/>
      </c>
      <c r="GL312" s="469" t="str">
        <f ca="1">IF($FN312+GL$244&gt;73,"",PRODUCT(INDEX($T$19:$T$93,GL$244):INDEX($T$19:$T$93,GL$244+$FN312-1)))</f>
        <v/>
      </c>
      <c r="GM312" s="469" t="str">
        <f ca="1">IF($FN312+GM$244&gt;73,"",PRODUCT(INDEX($T$19:$T$93,GM$244):INDEX($T$19:$T$93,GM$244+$FN312-1)))</f>
        <v/>
      </c>
      <c r="GN312" s="469" t="str">
        <f ca="1">IF($FN312+GN$244&gt;73,"",PRODUCT(INDEX($T$19:$T$93,GN$244):INDEX($T$19:$T$93,GN$244+$FN312-1)))</f>
        <v/>
      </c>
      <c r="GO312" s="469" t="str">
        <f ca="1">IF($FN312+GO$244&gt;73,"",PRODUCT(INDEX($T$19:$T$93,GO$244):INDEX($T$19:$T$93,GO$244+$FN312-1)))</f>
        <v/>
      </c>
      <c r="GP312" s="469" t="str">
        <f ca="1">IF($FN312+GP$244&gt;73,"",PRODUCT(INDEX($T$19:$T$93,GP$244):INDEX($T$19:$T$93,GP$244+$FN312-1)))</f>
        <v/>
      </c>
      <c r="GQ312" s="469" t="str">
        <f ca="1">IF($FN312+GQ$244&gt;73,"",PRODUCT(INDEX($T$19:$T$93,GQ$244):INDEX($T$19:$T$93,GQ$244+$FN312-1)))</f>
        <v/>
      </c>
      <c r="GR312" s="469" t="str">
        <f ca="1">IF($FN312+GR$244&gt;73,"",PRODUCT(INDEX($T$19:$T$93,GR$244):INDEX($T$19:$T$93,GR$244+$FN312-1)))</f>
        <v/>
      </c>
      <c r="GS312" s="469" t="str">
        <f ca="1">IF($FN312+GS$244&gt;73,"",PRODUCT(INDEX($T$19:$T$93,GS$244):INDEX($T$19:$T$93,GS$244+$FN312-1)))</f>
        <v/>
      </c>
      <c r="GT312" s="469" t="str">
        <f ca="1">IF($FN312+GT$244&gt;73,"",PRODUCT(INDEX($T$19:$T$93,GT$244):INDEX($T$19:$T$93,GT$244+$FN312-1)))</f>
        <v/>
      </c>
      <c r="GU312" s="469" t="str">
        <f ca="1">IF($FN312+GU$244&gt;73,"",PRODUCT(INDEX($T$19:$T$93,GU$244):INDEX($T$19:$T$93,GU$244+$FN312-1)))</f>
        <v/>
      </c>
      <c r="GV312" s="469" t="str">
        <f ca="1">IF($FN312+GV$244&gt;73,"",PRODUCT(INDEX($T$19:$T$93,GV$244):INDEX($T$19:$T$93,GV$244+$FN312-1)))</f>
        <v/>
      </c>
      <c r="GW312" s="469" t="str">
        <f ca="1">IF($FN312+GW$244&gt;73,"",PRODUCT(INDEX($T$19:$T$93,GW$244):INDEX($T$19:$T$93,GW$244+$FN312-1)))</f>
        <v/>
      </c>
      <c r="GX312" s="469" t="str">
        <f ca="1">IF($FN312+GX$244&gt;73,"",PRODUCT(INDEX($T$19:$T$93,GX$244):INDEX($T$19:$T$93,GX$244+$FN312-1)))</f>
        <v/>
      </c>
      <c r="GY312" s="469" t="str">
        <f ca="1">IF($FN312+GY$244&gt;73,"",PRODUCT(INDEX($T$19:$T$93,GY$244):INDEX($T$19:$T$93,GY$244+$FN312-1)))</f>
        <v/>
      </c>
      <c r="GZ312" s="469" t="str">
        <f ca="1">IF($FN312+GZ$244&gt;73,"",PRODUCT(INDEX($T$19:$T$93,GZ$244):INDEX($T$19:$T$93,GZ$244+$FN312-1)))</f>
        <v/>
      </c>
      <c r="HA312" s="469" t="str">
        <f ca="1">IF($FN312+HA$244&gt;73,"",PRODUCT(INDEX($T$19:$T$93,HA$244):INDEX($T$19:$T$93,HA$244+$FN312-1)))</f>
        <v/>
      </c>
      <c r="HB312" s="469" t="str">
        <f ca="1">IF($FN312+HB$244&gt;73,"",PRODUCT(INDEX($T$19:$T$93,HB$244):INDEX($T$19:$T$93,HB$244+$FN312-1)))</f>
        <v/>
      </c>
      <c r="HC312" s="469" t="str">
        <f ca="1">IF($FN312+HC$244&gt;73,"",PRODUCT(INDEX($T$19:$T$93,HC$244):INDEX($T$19:$T$93,HC$244+$FN312-1)))</f>
        <v/>
      </c>
      <c r="HD312" s="469" t="str">
        <f ca="1">IF($FN312+HD$244&gt;73,"",PRODUCT(INDEX($T$19:$T$93,HD$244):INDEX($T$19:$T$93,HD$244+$FN312-1)))</f>
        <v/>
      </c>
      <c r="HE312" s="469" t="str">
        <f ca="1">IF($FN312+HE$244&gt;73,"",PRODUCT(INDEX($T$19:$T$93,HE$244):INDEX($T$19:$T$93,HE$244+$FN312-1)))</f>
        <v/>
      </c>
      <c r="HF312" s="469" t="str">
        <f ca="1">IF($FN312+HF$244&gt;73,"",PRODUCT(INDEX($T$19:$T$93,HF$244):INDEX($T$19:$T$93,HF$244+$FN312-1)))</f>
        <v/>
      </c>
      <c r="HG312" s="469" t="str">
        <f ca="1">IF($FN312+HG$244&gt;73,"",PRODUCT(INDEX($T$19:$T$93,HG$244):INDEX($T$19:$T$93,HG$244+$FN312-1)))</f>
        <v/>
      </c>
      <c r="HH312" s="469" t="str">
        <f ca="1">IF($FN312+HH$244&gt;73,"",PRODUCT(INDEX($T$19:$T$93,HH$244):INDEX($T$19:$T$93,HH$244+$FN312-1)))</f>
        <v/>
      </c>
      <c r="HI312" s="469" t="str">
        <f ca="1">IF($FN312+HI$244&gt;73,"",PRODUCT(INDEX($T$19:$T$93,HI$244):INDEX($T$19:$T$93,HI$244+$FN312-1)))</f>
        <v/>
      </c>
      <c r="HJ312" s="469" t="str">
        <f ca="1">IF($FN312+HJ$244&gt;73,"",PRODUCT(INDEX($T$19:$T$93,HJ$244):INDEX($T$19:$T$93,HJ$244+$FN312-1)))</f>
        <v/>
      </c>
      <c r="HK312" s="469" t="str">
        <f ca="1">IF($FN312+HK$244&gt;73,"",PRODUCT(INDEX($T$19:$T$93,HK$244):INDEX($T$19:$T$93,HK$244+$FN312-1)))</f>
        <v/>
      </c>
      <c r="HL312" s="469" t="str">
        <f ca="1">IF($FN312+HL$244&gt;73,"",PRODUCT(INDEX($T$19:$T$93,HL$244):INDEX($T$19:$T$93,HL$244+$FN312-1)))</f>
        <v/>
      </c>
      <c r="HM312" s="469" t="str">
        <f ca="1">IF($FN312+HM$244&gt;73,"",PRODUCT(INDEX($T$19:$T$93,HM$244):INDEX($T$19:$T$93,HM$244+$FN312-1)))</f>
        <v/>
      </c>
      <c r="HN312" s="469" t="str">
        <f ca="1">IF($FN312+HN$244&gt;73,"",PRODUCT(INDEX($T$19:$T$93,HN$244):INDEX($T$19:$T$93,HN$244+$FN312-1)))</f>
        <v/>
      </c>
      <c r="HO312" s="469" t="str">
        <f ca="1">IF($FN312+HO$244&gt;73,"",PRODUCT(INDEX($T$19:$T$93,HO$244):INDEX($T$19:$T$93,HO$244+$FN312-1)))</f>
        <v/>
      </c>
      <c r="HP312" s="469" t="str">
        <f ca="1">IF($FN312+HP$244&gt;73,"",PRODUCT(INDEX($T$19:$T$93,HP$244):INDEX($T$19:$T$93,HP$244+$FN312-1)))</f>
        <v/>
      </c>
      <c r="HQ312" s="469" t="str">
        <f ca="1">IF($FN312+HQ$244&gt;73,"",PRODUCT(INDEX($T$19:$T$93,HQ$244):INDEX($T$19:$T$93,HQ$244+$FN312-1)))</f>
        <v/>
      </c>
      <c r="HR312" s="469" t="str">
        <f ca="1">IF($FN312+HR$244&gt;73,"",PRODUCT(INDEX($T$19:$T$93,HR$244):INDEX($T$19:$T$93,HR$244+$FN312-1)))</f>
        <v/>
      </c>
      <c r="HS312" s="469" t="str">
        <f ca="1">IF($FN312+HS$244&gt;73,"",PRODUCT(INDEX($T$19:$T$93,HS$244):INDEX($T$19:$T$93,HS$244+$FN312-1)))</f>
        <v/>
      </c>
      <c r="HT312" s="469" t="str">
        <f ca="1">IF($FN312+HT$244&gt;73,"",PRODUCT(INDEX($T$19:$T$93,HT$244):INDEX($T$19:$T$93,HT$244+$FN312-1)))</f>
        <v/>
      </c>
      <c r="HU312" s="469" t="str">
        <f ca="1">IF($FN312+HU$244&gt;73,"",PRODUCT(INDEX($T$19:$T$93,HU$244):INDEX($T$19:$T$93,HU$244+$FN312-1)))</f>
        <v/>
      </c>
      <c r="HV312" s="469" t="str">
        <f ca="1">IF($FN312+HV$244&gt;73,"",PRODUCT(INDEX($T$19:$T$93,HV$244):INDEX($T$19:$T$93,HV$244+$FN312-1)))</f>
        <v/>
      </c>
      <c r="HW312" s="469" t="str">
        <f ca="1">IF($FN312+HW$244&gt;73,"",PRODUCT(INDEX($T$19:$T$93,HW$244):INDEX($T$19:$T$93,HW$244+$FN312-1)))</f>
        <v/>
      </c>
      <c r="HX312" s="469" t="str">
        <f ca="1">IF($FN312+HX$244&gt;73,"",PRODUCT(INDEX($T$19:$T$93,HX$244):INDEX($T$19:$T$93,HX$244+$FN312-1)))</f>
        <v/>
      </c>
      <c r="HY312" s="469" t="str">
        <f ca="1">IF($FN312+HY$244&gt;73,"",PRODUCT(INDEX($T$19:$T$93,HY$244):INDEX($T$19:$T$93,HY$244+$FN312-1)))</f>
        <v/>
      </c>
      <c r="HZ312" s="469" t="str">
        <f ca="1">IF($FN312+HZ$244&gt;73,"",PRODUCT(INDEX($T$19:$T$93,HZ$244):INDEX($T$19:$T$93,HZ$244+$FN312-1)))</f>
        <v/>
      </c>
      <c r="IA312" s="469" t="str">
        <f ca="1">IF($FN312+IA$244&gt;73,"",PRODUCT(INDEX($T$19:$T$93,IA$244):INDEX($T$19:$T$93,IA$244+$FN312-1)))</f>
        <v/>
      </c>
      <c r="IB312" s="469" t="str">
        <f ca="1">IF($FN312+IB$244&gt;73,"",PRODUCT(INDEX($T$19:$T$93,IB$244):INDEX($T$19:$T$93,IB$244+$FN312-1)))</f>
        <v/>
      </c>
      <c r="IC312" s="469" t="str">
        <f ca="1">IF($FN312+IC$244&gt;73,"",PRODUCT(INDEX($T$19:$T$93,IC$244):INDEX($T$19:$T$93,IC$244+$FN312-1)))</f>
        <v/>
      </c>
      <c r="ID312" s="469">
        <f ca="1">IF($FN312+ID$244&gt;73,"",PRODUCT(INDEX($T$19:$T$93,ID$244):INDEX($T$19:$T$93,ID$244+$FN312-1)))</f>
        <v>0.54918379672608175</v>
      </c>
      <c r="IE312" s="469">
        <f ca="1">IF($FN312+IE$244&gt;73,"",PRODUCT(INDEX($T$19:$T$93,IE$244):INDEX($T$19:$T$93,IE$244+$FN312-1)))</f>
        <v>0.51114086816638915</v>
      </c>
      <c r="IF312" s="469">
        <f ca="1">IF($FN312+IF$244&gt;73,"",PRODUCT(INDEX($T$19:$T$93,IF$244):INDEX($T$19:$T$93,IF$244+$FN312-1)))</f>
        <v>0.47122445468953639</v>
      </c>
      <c r="IG312" s="469">
        <f ca="1">IF($FN312+IG$244&gt;73,"",PRODUCT(INDEX($T$19:$T$93,IG$244):INDEX($T$19:$T$93,IG$244+$FN312-1)))</f>
        <v>0.42964709428542996</v>
      </c>
      <c r="IH312" s="662">
        <f ca="1">IF($FN312+IH$244&gt;73,"",PRODUCT(INDEX($T$19:$T$93,IH$244):INDEX($T$19:$T$93,IH$244+$FN312-1)))</f>
        <v>0.38670833153699313</v>
      </c>
      <c r="II312" s="242"/>
    </row>
    <row r="313" spans="9:243">
      <c r="I313" s="132"/>
      <c r="J313" s="365"/>
      <c r="K313" s="133"/>
      <c r="L313" s="1"/>
      <c r="M313" s="366"/>
      <c r="P313" s="365"/>
      <c r="S313" s="53"/>
      <c r="T313" s="365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364">
        <v>6.5194219845222903E-2</v>
      </c>
      <c r="AP313" s="1"/>
      <c r="AQ313" s="364">
        <v>5.7676994922180001E-2</v>
      </c>
      <c r="AR313" s="1"/>
      <c r="AS313" s="103"/>
      <c r="AT313" s="103"/>
      <c r="AU313" s="103"/>
      <c r="AV313" s="31"/>
      <c r="AW313" s="31"/>
      <c r="AX313" s="31"/>
      <c r="AY313" s="31"/>
      <c r="AZ313" s="146"/>
      <c r="BA313" s="146"/>
      <c r="BB313" s="103"/>
      <c r="BC313" s="103"/>
      <c r="BD313" s="103"/>
      <c r="BE313" s="103"/>
      <c r="BF313" s="104"/>
      <c r="BG313" s="104"/>
      <c r="BH313" s="104"/>
      <c r="BI313" s="104"/>
      <c r="BJ313" s="104"/>
      <c r="BK313" s="103"/>
      <c r="BL313" s="105"/>
      <c r="BM313" s="103"/>
      <c r="BN313" s="103"/>
      <c r="BO313" s="103"/>
      <c r="BP313" s="103"/>
      <c r="BQ313" s="103"/>
      <c r="BR313" s="103"/>
      <c r="BS313" s="103"/>
      <c r="BT313" s="103"/>
      <c r="BU313" s="103"/>
      <c r="BV313" s="103"/>
      <c r="BW313" s="103"/>
      <c r="BX313" s="103"/>
      <c r="BY313" s="103"/>
      <c r="BZ313" s="103"/>
      <c r="CA313" s="104"/>
      <c r="CB313" s="104"/>
      <c r="CC313" s="104"/>
      <c r="CD313" s="104"/>
      <c r="CE313" s="104"/>
      <c r="CF313" s="104"/>
      <c r="CG313" s="103"/>
      <c r="CH313" s="103"/>
      <c r="CI313" s="103"/>
      <c r="CJ313" s="103"/>
      <c r="CK313" s="103"/>
      <c r="CL313" s="103"/>
      <c r="CM313" s="103"/>
      <c r="CN313" s="103"/>
      <c r="CO313" s="103"/>
      <c r="CP313" s="103"/>
      <c r="CQ313" s="103"/>
      <c r="CR313" s="103"/>
      <c r="CS313" s="103"/>
      <c r="CT313" s="103"/>
      <c r="CU313" s="103"/>
      <c r="CV313" s="103"/>
      <c r="CW313" s="103"/>
      <c r="CX313" s="103"/>
      <c r="CY313" s="103"/>
      <c r="CZ313" s="103"/>
      <c r="DA313" s="103"/>
      <c r="DB313" s="103"/>
      <c r="DC313" s="103"/>
      <c r="DD313" s="103"/>
      <c r="DE313" s="103"/>
      <c r="DF313" s="465"/>
      <c r="DG313" s="107"/>
      <c r="DH313" s="1"/>
      <c r="DI313" s="465"/>
      <c r="DJ313" s="52"/>
      <c r="DK313" s="52"/>
      <c r="DL313" s="52"/>
      <c r="DM313" s="52"/>
      <c r="DN313" s="52"/>
      <c r="DO313" s="52"/>
      <c r="DP313" s="52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P313" s="53"/>
      <c r="EQ313" s="1"/>
      <c r="ER313" s="102"/>
      <c r="ES313" s="103"/>
      <c r="ET313" s="1"/>
      <c r="EU313" s="103"/>
      <c r="EV313" s="1"/>
      <c r="EW313" s="1"/>
      <c r="EX313" s="1"/>
      <c r="EY313" s="102"/>
      <c r="FN313" s="657">
        <v>69</v>
      </c>
      <c r="FO313" s="469" t="str">
        <f ca="1">IF($FN313+FO$244&gt;73,"",PRODUCT(INDEX($T$19:$T$93,FO$244):INDEX($T$19:$T$93,FO$244+$FN313-1)))</f>
        <v/>
      </c>
      <c r="FP313" s="469" t="str">
        <f ca="1">IF($FN313+FP$244&gt;73,"",PRODUCT(INDEX($T$19:$T$93,FP$244):INDEX($T$19:$T$93,FP$244+$FN313-1)))</f>
        <v/>
      </c>
      <c r="FQ313" s="469" t="str">
        <f ca="1">IF($FN313+FQ$244&gt;73,"",PRODUCT(INDEX($T$19:$T$93,FQ$244):INDEX($T$19:$T$93,FQ$244+$FN313-1)))</f>
        <v/>
      </c>
      <c r="FR313" s="469" t="str">
        <f ca="1">IF($FN313+FR$244&gt;73,"",PRODUCT(INDEX($T$19:$T$93,FR$244):INDEX($T$19:$T$93,FR$244+$FN313-1)))</f>
        <v/>
      </c>
      <c r="FS313" s="469" t="str">
        <f ca="1">IF($FN313+FS$244&gt;73,"",PRODUCT(INDEX($T$19:$T$93,FS$244):INDEX($T$19:$T$93,FS$244+$FN313-1)))</f>
        <v/>
      </c>
      <c r="FT313" s="469" t="str">
        <f ca="1">IF($FN313+FT$244&gt;73,"",PRODUCT(INDEX($T$19:$T$93,FT$244):INDEX($T$19:$T$93,FT$244+$FN313-1)))</f>
        <v/>
      </c>
      <c r="FU313" s="469" t="str">
        <f ca="1">IF($FN313+FU$244&gt;73,"",PRODUCT(INDEX($T$19:$T$93,FU$244):INDEX($T$19:$T$93,FU$244+$FN313-1)))</f>
        <v/>
      </c>
      <c r="FV313" s="469" t="str">
        <f ca="1">IF($FN313+FV$244&gt;73,"",PRODUCT(INDEX($T$19:$T$93,FV$244):INDEX($T$19:$T$93,FV$244+$FN313-1)))</f>
        <v/>
      </c>
      <c r="FW313" s="469" t="str">
        <f ca="1">IF($FN313+FW$244&gt;73,"",PRODUCT(INDEX($T$19:$T$93,FW$244):INDEX($T$19:$T$93,FW$244+$FN313-1)))</f>
        <v/>
      </c>
      <c r="FX313" s="469" t="str">
        <f ca="1">IF($FN313+FX$244&gt;73,"",PRODUCT(INDEX($T$19:$T$93,FX$244):INDEX($T$19:$T$93,FX$244+$FN313-1)))</f>
        <v/>
      </c>
      <c r="FY313" s="469" t="str">
        <f ca="1">IF($FN313+FY$244&gt;73,"",PRODUCT(INDEX($T$19:$T$93,FY$244):INDEX($T$19:$T$93,FY$244+$FN313-1)))</f>
        <v/>
      </c>
      <c r="FZ313" s="469" t="str">
        <f ca="1">IF($FN313+FZ$244&gt;73,"",PRODUCT(INDEX($T$19:$T$93,FZ$244):INDEX($T$19:$T$93,FZ$244+$FN313-1)))</f>
        <v/>
      </c>
      <c r="GA313" s="469" t="str">
        <f ca="1">IF($FN313+GA$244&gt;73,"",PRODUCT(INDEX($T$19:$T$93,GA$244):INDEX($T$19:$T$93,GA$244+$FN313-1)))</f>
        <v/>
      </c>
      <c r="GB313" s="469" t="str">
        <f ca="1">IF($FN313+GB$244&gt;73,"",PRODUCT(INDEX($T$19:$T$93,GB$244):INDEX($T$19:$T$93,GB$244+$FN313-1)))</f>
        <v/>
      </c>
      <c r="GC313" s="469" t="str">
        <f ca="1">IF($FN313+GC$244&gt;73,"",PRODUCT(INDEX($T$19:$T$93,GC$244):INDEX($T$19:$T$93,GC$244+$FN313-1)))</f>
        <v/>
      </c>
      <c r="GD313" s="469" t="str">
        <f ca="1">IF($FN313+GD$244&gt;73,"",PRODUCT(INDEX($T$19:$T$93,GD$244):INDEX($T$19:$T$93,GD$244+$FN313-1)))</f>
        <v/>
      </c>
      <c r="GE313" s="469" t="str">
        <f ca="1">IF($FN313+GE$244&gt;73,"",PRODUCT(INDEX($T$19:$T$93,GE$244):INDEX($T$19:$T$93,GE$244+$FN313-1)))</f>
        <v/>
      </c>
      <c r="GF313" s="469" t="str">
        <f ca="1">IF($FN313+GF$244&gt;73,"",PRODUCT(INDEX($T$19:$T$93,GF$244):INDEX($T$19:$T$93,GF$244+$FN313-1)))</f>
        <v/>
      </c>
      <c r="GG313" s="469" t="str">
        <f ca="1">IF($FN313+GG$244&gt;73,"",PRODUCT(INDEX($T$19:$T$93,GG$244):INDEX($T$19:$T$93,GG$244+$FN313-1)))</f>
        <v/>
      </c>
      <c r="GH313" s="469" t="str">
        <f ca="1">IF($FN313+GH$244&gt;73,"",PRODUCT(INDEX($T$19:$T$93,GH$244):INDEX($T$19:$T$93,GH$244+$FN313-1)))</f>
        <v/>
      </c>
      <c r="GI313" s="469" t="str">
        <f ca="1">IF($FN313+GI$244&gt;73,"",PRODUCT(INDEX($T$19:$T$93,GI$244):INDEX($T$19:$T$93,GI$244+$FN313-1)))</f>
        <v/>
      </c>
      <c r="GJ313" s="469" t="str">
        <f ca="1">IF($FN313+GJ$244&gt;73,"",PRODUCT(INDEX($T$19:$T$93,GJ$244):INDEX($T$19:$T$93,GJ$244+$FN313-1)))</f>
        <v/>
      </c>
      <c r="GK313" s="469" t="str">
        <f ca="1">IF($FN313+GK$244&gt;73,"",PRODUCT(INDEX($T$19:$T$93,GK$244):INDEX($T$19:$T$93,GK$244+$FN313-1)))</f>
        <v/>
      </c>
      <c r="GL313" s="469" t="str">
        <f ca="1">IF($FN313+GL$244&gt;73,"",PRODUCT(INDEX($T$19:$T$93,GL$244):INDEX($T$19:$T$93,GL$244+$FN313-1)))</f>
        <v/>
      </c>
      <c r="GM313" s="469" t="str">
        <f ca="1">IF($FN313+GM$244&gt;73,"",PRODUCT(INDEX($T$19:$T$93,GM$244):INDEX($T$19:$T$93,GM$244+$FN313-1)))</f>
        <v/>
      </c>
      <c r="GN313" s="469" t="str">
        <f ca="1">IF($FN313+GN$244&gt;73,"",PRODUCT(INDEX($T$19:$T$93,GN$244):INDEX($T$19:$T$93,GN$244+$FN313-1)))</f>
        <v/>
      </c>
      <c r="GO313" s="469" t="str">
        <f ca="1">IF($FN313+GO$244&gt;73,"",PRODUCT(INDEX($T$19:$T$93,GO$244):INDEX($T$19:$T$93,GO$244+$FN313-1)))</f>
        <v/>
      </c>
      <c r="GP313" s="469" t="str">
        <f ca="1">IF($FN313+GP$244&gt;73,"",PRODUCT(INDEX($T$19:$T$93,GP$244):INDEX($T$19:$T$93,GP$244+$FN313-1)))</f>
        <v/>
      </c>
      <c r="GQ313" s="469" t="str">
        <f ca="1">IF($FN313+GQ$244&gt;73,"",PRODUCT(INDEX($T$19:$T$93,GQ$244):INDEX($T$19:$T$93,GQ$244+$FN313-1)))</f>
        <v/>
      </c>
      <c r="GR313" s="469" t="str">
        <f ca="1">IF($FN313+GR$244&gt;73,"",PRODUCT(INDEX($T$19:$T$93,GR$244):INDEX($T$19:$T$93,GR$244+$FN313-1)))</f>
        <v/>
      </c>
      <c r="GS313" s="469" t="str">
        <f ca="1">IF($FN313+GS$244&gt;73,"",PRODUCT(INDEX($T$19:$T$93,GS$244):INDEX($T$19:$T$93,GS$244+$FN313-1)))</f>
        <v/>
      </c>
      <c r="GT313" s="469" t="str">
        <f ca="1">IF($FN313+GT$244&gt;73,"",PRODUCT(INDEX($T$19:$T$93,GT$244):INDEX($T$19:$T$93,GT$244+$FN313-1)))</f>
        <v/>
      </c>
      <c r="GU313" s="469" t="str">
        <f ca="1">IF($FN313+GU$244&gt;73,"",PRODUCT(INDEX($T$19:$T$93,GU$244):INDEX($T$19:$T$93,GU$244+$FN313-1)))</f>
        <v/>
      </c>
      <c r="GV313" s="469" t="str">
        <f ca="1">IF($FN313+GV$244&gt;73,"",PRODUCT(INDEX($T$19:$T$93,GV$244):INDEX($T$19:$T$93,GV$244+$FN313-1)))</f>
        <v/>
      </c>
      <c r="GW313" s="469" t="str">
        <f ca="1">IF($FN313+GW$244&gt;73,"",PRODUCT(INDEX($T$19:$T$93,GW$244):INDEX($T$19:$T$93,GW$244+$FN313-1)))</f>
        <v/>
      </c>
      <c r="GX313" s="469" t="str">
        <f ca="1">IF($FN313+GX$244&gt;73,"",PRODUCT(INDEX($T$19:$T$93,GX$244):INDEX($T$19:$T$93,GX$244+$FN313-1)))</f>
        <v/>
      </c>
      <c r="GY313" s="469" t="str">
        <f ca="1">IF($FN313+GY$244&gt;73,"",PRODUCT(INDEX($T$19:$T$93,GY$244):INDEX($T$19:$T$93,GY$244+$FN313-1)))</f>
        <v/>
      </c>
      <c r="GZ313" s="469" t="str">
        <f ca="1">IF($FN313+GZ$244&gt;73,"",PRODUCT(INDEX($T$19:$T$93,GZ$244):INDEX($T$19:$T$93,GZ$244+$FN313-1)))</f>
        <v/>
      </c>
      <c r="HA313" s="469" t="str">
        <f ca="1">IF($FN313+HA$244&gt;73,"",PRODUCT(INDEX($T$19:$T$93,HA$244):INDEX($T$19:$T$93,HA$244+$FN313-1)))</f>
        <v/>
      </c>
      <c r="HB313" s="469" t="str">
        <f ca="1">IF($FN313+HB$244&gt;73,"",PRODUCT(INDEX($T$19:$T$93,HB$244):INDEX($T$19:$T$93,HB$244+$FN313-1)))</f>
        <v/>
      </c>
      <c r="HC313" s="469" t="str">
        <f ca="1">IF($FN313+HC$244&gt;73,"",PRODUCT(INDEX($T$19:$T$93,HC$244):INDEX($T$19:$T$93,HC$244+$FN313-1)))</f>
        <v/>
      </c>
      <c r="HD313" s="469" t="str">
        <f ca="1">IF($FN313+HD$244&gt;73,"",PRODUCT(INDEX($T$19:$T$93,HD$244):INDEX($T$19:$T$93,HD$244+$FN313-1)))</f>
        <v/>
      </c>
      <c r="HE313" s="469" t="str">
        <f ca="1">IF($FN313+HE$244&gt;73,"",PRODUCT(INDEX($T$19:$T$93,HE$244):INDEX($T$19:$T$93,HE$244+$FN313-1)))</f>
        <v/>
      </c>
      <c r="HF313" s="469" t="str">
        <f ca="1">IF($FN313+HF$244&gt;73,"",PRODUCT(INDEX($T$19:$T$93,HF$244):INDEX($T$19:$T$93,HF$244+$FN313-1)))</f>
        <v/>
      </c>
      <c r="HG313" s="469" t="str">
        <f ca="1">IF($FN313+HG$244&gt;73,"",PRODUCT(INDEX($T$19:$T$93,HG$244):INDEX($T$19:$T$93,HG$244+$FN313-1)))</f>
        <v/>
      </c>
      <c r="HH313" s="469" t="str">
        <f ca="1">IF($FN313+HH$244&gt;73,"",PRODUCT(INDEX($T$19:$T$93,HH$244):INDEX($T$19:$T$93,HH$244+$FN313-1)))</f>
        <v/>
      </c>
      <c r="HI313" s="469" t="str">
        <f ca="1">IF($FN313+HI$244&gt;73,"",PRODUCT(INDEX($T$19:$T$93,HI$244):INDEX($T$19:$T$93,HI$244+$FN313-1)))</f>
        <v/>
      </c>
      <c r="HJ313" s="469" t="str">
        <f ca="1">IF($FN313+HJ$244&gt;73,"",PRODUCT(INDEX($T$19:$T$93,HJ$244):INDEX($T$19:$T$93,HJ$244+$FN313-1)))</f>
        <v/>
      </c>
      <c r="HK313" s="469" t="str">
        <f ca="1">IF($FN313+HK$244&gt;73,"",PRODUCT(INDEX($T$19:$T$93,HK$244):INDEX($T$19:$T$93,HK$244+$FN313-1)))</f>
        <v/>
      </c>
      <c r="HL313" s="469" t="str">
        <f ca="1">IF($FN313+HL$244&gt;73,"",PRODUCT(INDEX($T$19:$T$93,HL$244):INDEX($T$19:$T$93,HL$244+$FN313-1)))</f>
        <v/>
      </c>
      <c r="HM313" s="469" t="str">
        <f ca="1">IF($FN313+HM$244&gt;73,"",PRODUCT(INDEX($T$19:$T$93,HM$244):INDEX($T$19:$T$93,HM$244+$FN313-1)))</f>
        <v/>
      </c>
      <c r="HN313" s="469" t="str">
        <f ca="1">IF($FN313+HN$244&gt;73,"",PRODUCT(INDEX($T$19:$T$93,HN$244):INDEX($T$19:$T$93,HN$244+$FN313-1)))</f>
        <v/>
      </c>
      <c r="HO313" s="469" t="str">
        <f ca="1">IF($FN313+HO$244&gt;73,"",PRODUCT(INDEX($T$19:$T$93,HO$244):INDEX($T$19:$T$93,HO$244+$FN313-1)))</f>
        <v/>
      </c>
      <c r="HP313" s="469" t="str">
        <f ca="1">IF($FN313+HP$244&gt;73,"",PRODUCT(INDEX($T$19:$T$93,HP$244):INDEX($T$19:$T$93,HP$244+$FN313-1)))</f>
        <v/>
      </c>
      <c r="HQ313" s="469" t="str">
        <f ca="1">IF($FN313+HQ$244&gt;73,"",PRODUCT(INDEX($T$19:$T$93,HQ$244):INDEX($T$19:$T$93,HQ$244+$FN313-1)))</f>
        <v/>
      </c>
      <c r="HR313" s="469" t="str">
        <f ca="1">IF($FN313+HR$244&gt;73,"",PRODUCT(INDEX($T$19:$T$93,HR$244):INDEX($T$19:$T$93,HR$244+$FN313-1)))</f>
        <v/>
      </c>
      <c r="HS313" s="469" t="str">
        <f ca="1">IF($FN313+HS$244&gt;73,"",PRODUCT(INDEX($T$19:$T$93,HS$244):INDEX($T$19:$T$93,HS$244+$FN313-1)))</f>
        <v/>
      </c>
      <c r="HT313" s="469" t="str">
        <f ca="1">IF($FN313+HT$244&gt;73,"",PRODUCT(INDEX($T$19:$T$93,HT$244):INDEX($T$19:$T$93,HT$244+$FN313-1)))</f>
        <v/>
      </c>
      <c r="HU313" s="469" t="str">
        <f ca="1">IF($FN313+HU$244&gt;73,"",PRODUCT(INDEX($T$19:$T$93,HU$244):INDEX($T$19:$T$93,HU$244+$FN313-1)))</f>
        <v/>
      </c>
      <c r="HV313" s="469" t="str">
        <f ca="1">IF($FN313+HV$244&gt;73,"",PRODUCT(INDEX($T$19:$T$93,HV$244):INDEX($T$19:$T$93,HV$244+$FN313-1)))</f>
        <v/>
      </c>
      <c r="HW313" s="469" t="str">
        <f ca="1">IF($FN313+HW$244&gt;73,"",PRODUCT(INDEX($T$19:$T$93,HW$244):INDEX($T$19:$T$93,HW$244+$FN313-1)))</f>
        <v/>
      </c>
      <c r="HX313" s="469" t="str">
        <f ca="1">IF($FN313+HX$244&gt;73,"",PRODUCT(INDEX($T$19:$T$93,HX$244):INDEX($T$19:$T$93,HX$244+$FN313-1)))</f>
        <v/>
      </c>
      <c r="HY313" s="469" t="str">
        <f ca="1">IF($FN313+HY$244&gt;73,"",PRODUCT(INDEX($T$19:$T$93,HY$244):INDEX($T$19:$T$93,HY$244+$FN313-1)))</f>
        <v/>
      </c>
      <c r="HZ313" s="469" t="str">
        <f ca="1">IF($FN313+HZ$244&gt;73,"",PRODUCT(INDEX($T$19:$T$93,HZ$244):INDEX($T$19:$T$93,HZ$244+$FN313-1)))</f>
        <v/>
      </c>
      <c r="IA313" s="469" t="str">
        <f ca="1">IF($FN313+IA$244&gt;73,"",PRODUCT(INDEX($T$19:$T$93,IA$244):INDEX($T$19:$T$93,IA$244+$FN313-1)))</f>
        <v/>
      </c>
      <c r="IB313" s="469" t="str">
        <f ca="1">IF($FN313+IB$244&gt;73,"",PRODUCT(INDEX($T$19:$T$93,IB$244):INDEX($T$19:$T$93,IB$244+$FN313-1)))</f>
        <v/>
      </c>
      <c r="IC313" s="469" t="str">
        <f ca="1">IF($FN313+IC$244&gt;73,"",PRODUCT(INDEX($T$19:$T$93,IC$244):INDEX($T$19:$T$93,IC$244+$FN313-1)))</f>
        <v/>
      </c>
      <c r="ID313" s="469" t="str">
        <f ca="1">IF($FN313+ID$244&gt;73,"",PRODUCT(INDEX($T$19:$T$93,ID$244):INDEX($T$19:$T$93,ID$244+$FN313-1)))</f>
        <v/>
      </c>
      <c r="IE313" s="469">
        <f ca="1">IF($FN313+IE$244&gt;73,"",PRODUCT(INDEX($T$19:$T$93,IE$244):INDEX($T$19:$T$93,IE$244+$FN313-1)))</f>
        <v>0.51111586687928046</v>
      </c>
      <c r="IF313" s="469">
        <f ca="1">IF($FN313+IF$244&gt;73,"",PRODUCT(INDEX($T$19:$T$93,IF$244):INDEX($T$19:$T$93,IF$244+$FN313-1)))</f>
        <v>0.47119884476631796</v>
      </c>
      <c r="IG313" s="469">
        <f ca="1">IF($FN313+IG$244&gt;73,"",PRODUCT(INDEX($T$19:$T$93,IG$244):INDEX($T$19:$T$93,IG$244+$FN313-1)))</f>
        <v>0.42962114943535201</v>
      </c>
      <c r="IH313" s="662">
        <f ca="1">IF($FN313+IH$244&gt;73,"",PRODUCT(INDEX($T$19:$T$93,IH$244):INDEX($T$19:$T$93,IH$244+$FN313-1)))</f>
        <v>0.38668238485688716</v>
      </c>
      <c r="II313" s="242"/>
    </row>
    <row r="314" spans="9:243">
      <c r="I314" s="132"/>
      <c r="J314" s="365"/>
      <c r="K314" s="133"/>
      <c r="L314" s="1"/>
      <c r="M314" s="366"/>
      <c r="P314" s="365"/>
      <c r="S314" s="53"/>
      <c r="T314" s="365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364">
        <v>6.5204867621762502E-2</v>
      </c>
      <c r="AP314" s="1"/>
      <c r="AQ314" s="364">
        <v>5.7637764459123303E-2</v>
      </c>
      <c r="AR314" s="1"/>
      <c r="AS314" s="103"/>
      <c r="AT314" s="103"/>
      <c r="AU314" s="103"/>
      <c r="AV314" s="31"/>
      <c r="AW314" s="31"/>
      <c r="AX314" s="31"/>
      <c r="AY314" s="31"/>
      <c r="AZ314" s="146"/>
      <c r="BA314" s="146"/>
      <c r="BB314" s="103"/>
      <c r="BC314" s="103"/>
      <c r="BD314" s="103"/>
      <c r="BE314" s="103"/>
      <c r="BF314" s="104"/>
      <c r="BG314" s="104"/>
      <c r="BH314" s="104"/>
      <c r="BI314" s="104"/>
      <c r="BJ314" s="104"/>
      <c r="BK314" s="103"/>
      <c r="BL314" s="105"/>
      <c r="BM314" s="103"/>
      <c r="BN314" s="103"/>
      <c r="BO314" s="103"/>
      <c r="BP314" s="103"/>
      <c r="BQ314" s="103"/>
      <c r="BR314" s="103"/>
      <c r="BS314" s="103"/>
      <c r="BT314" s="103"/>
      <c r="BU314" s="103"/>
      <c r="BV314" s="103"/>
      <c r="BW314" s="103"/>
      <c r="BX314" s="103"/>
      <c r="BY314" s="103"/>
      <c r="BZ314" s="103"/>
      <c r="CA314" s="104"/>
      <c r="CB314" s="104"/>
      <c r="CC314" s="104"/>
      <c r="CD314" s="104"/>
      <c r="CE314" s="104"/>
      <c r="CF314" s="104"/>
      <c r="CG314" s="103"/>
      <c r="CH314" s="103"/>
      <c r="CI314" s="103"/>
      <c r="CJ314" s="103"/>
      <c r="CK314" s="103"/>
      <c r="CL314" s="103"/>
      <c r="CM314" s="103"/>
      <c r="CN314" s="103"/>
      <c r="CO314" s="103"/>
      <c r="CP314" s="103"/>
      <c r="CQ314" s="103"/>
      <c r="CR314" s="103"/>
      <c r="CS314" s="103"/>
      <c r="CT314" s="103"/>
      <c r="CU314" s="103"/>
      <c r="CV314" s="103"/>
      <c r="CW314" s="103"/>
      <c r="CX314" s="103"/>
      <c r="CY314" s="103"/>
      <c r="CZ314" s="103"/>
      <c r="DA314" s="103"/>
      <c r="DB314" s="103"/>
      <c r="DC314" s="103"/>
      <c r="DD314" s="103"/>
      <c r="DE314" s="103"/>
      <c r="DF314" s="465"/>
      <c r="DG314" s="107"/>
      <c r="DH314" s="1"/>
      <c r="DI314" s="465"/>
      <c r="DJ314" s="52"/>
      <c r="DK314" s="52"/>
      <c r="DL314" s="52"/>
      <c r="DM314" s="52"/>
      <c r="DN314" s="52"/>
      <c r="DO314" s="52"/>
      <c r="DP314" s="52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P314" s="53"/>
      <c r="EQ314" s="1"/>
      <c r="ER314" s="102"/>
      <c r="ES314" s="103"/>
      <c r="ET314" s="1"/>
      <c r="EU314" s="103"/>
      <c r="EV314" s="1"/>
      <c r="EW314" s="1"/>
      <c r="EX314" s="1"/>
      <c r="EY314" s="102"/>
      <c r="FN314" s="657">
        <v>70</v>
      </c>
      <c r="FO314" s="469" t="str">
        <f ca="1">IF($FN314+FO$244&gt;73,"",PRODUCT(INDEX($T$19:$T$93,FO$244):INDEX($T$19:$T$93,FO$244+$FN314-1)))</f>
        <v/>
      </c>
      <c r="FP314" s="469" t="str">
        <f ca="1">IF($FN314+FP$244&gt;73,"",PRODUCT(INDEX($T$19:$T$93,FP$244):INDEX($T$19:$T$93,FP$244+$FN314-1)))</f>
        <v/>
      </c>
      <c r="FQ314" s="469" t="str">
        <f ca="1">IF($FN314+FQ$244&gt;73,"",PRODUCT(INDEX($T$19:$T$93,FQ$244):INDEX($T$19:$T$93,FQ$244+$FN314-1)))</f>
        <v/>
      </c>
      <c r="FR314" s="469" t="str">
        <f ca="1">IF($FN314+FR$244&gt;73,"",PRODUCT(INDEX($T$19:$T$93,FR$244):INDEX($T$19:$T$93,FR$244+$FN314-1)))</f>
        <v/>
      </c>
      <c r="FS314" s="469" t="str">
        <f ca="1">IF($FN314+FS$244&gt;73,"",PRODUCT(INDEX($T$19:$T$93,FS$244):INDEX($T$19:$T$93,FS$244+$FN314-1)))</f>
        <v/>
      </c>
      <c r="FT314" s="469" t="str">
        <f ca="1">IF($FN314+FT$244&gt;73,"",PRODUCT(INDEX($T$19:$T$93,FT$244):INDEX($T$19:$T$93,FT$244+$FN314-1)))</f>
        <v/>
      </c>
      <c r="FU314" s="469" t="str">
        <f ca="1">IF($FN314+FU$244&gt;73,"",PRODUCT(INDEX($T$19:$T$93,FU$244):INDEX($T$19:$T$93,FU$244+$FN314-1)))</f>
        <v/>
      </c>
      <c r="FV314" s="469" t="str">
        <f ca="1">IF($FN314+FV$244&gt;73,"",PRODUCT(INDEX($T$19:$T$93,FV$244):INDEX($T$19:$T$93,FV$244+$FN314-1)))</f>
        <v/>
      </c>
      <c r="FW314" s="469" t="str">
        <f ca="1">IF($FN314+FW$244&gt;73,"",PRODUCT(INDEX($T$19:$T$93,FW$244):INDEX($T$19:$T$93,FW$244+$FN314-1)))</f>
        <v/>
      </c>
      <c r="FX314" s="469" t="str">
        <f ca="1">IF($FN314+FX$244&gt;73,"",PRODUCT(INDEX($T$19:$T$93,FX$244):INDEX($T$19:$T$93,FX$244+$FN314-1)))</f>
        <v/>
      </c>
      <c r="FY314" s="469" t="str">
        <f ca="1">IF($FN314+FY$244&gt;73,"",PRODUCT(INDEX($T$19:$T$93,FY$244):INDEX($T$19:$T$93,FY$244+$FN314-1)))</f>
        <v/>
      </c>
      <c r="FZ314" s="469" t="str">
        <f ca="1">IF($FN314+FZ$244&gt;73,"",PRODUCT(INDEX($T$19:$T$93,FZ$244):INDEX($T$19:$T$93,FZ$244+$FN314-1)))</f>
        <v/>
      </c>
      <c r="GA314" s="469" t="str">
        <f ca="1">IF($FN314+GA$244&gt;73,"",PRODUCT(INDEX($T$19:$T$93,GA$244):INDEX($T$19:$T$93,GA$244+$FN314-1)))</f>
        <v/>
      </c>
      <c r="GB314" s="469" t="str">
        <f ca="1">IF($FN314+GB$244&gt;73,"",PRODUCT(INDEX($T$19:$T$93,GB$244):INDEX($T$19:$T$93,GB$244+$FN314-1)))</f>
        <v/>
      </c>
      <c r="GC314" s="469" t="str">
        <f ca="1">IF($FN314+GC$244&gt;73,"",PRODUCT(INDEX($T$19:$T$93,GC$244):INDEX($T$19:$T$93,GC$244+$FN314-1)))</f>
        <v/>
      </c>
      <c r="GD314" s="469" t="str">
        <f ca="1">IF($FN314+GD$244&gt;73,"",PRODUCT(INDEX($T$19:$T$93,GD$244):INDEX($T$19:$T$93,GD$244+$FN314-1)))</f>
        <v/>
      </c>
      <c r="GE314" s="469" t="str">
        <f ca="1">IF($FN314+GE$244&gt;73,"",PRODUCT(INDEX($T$19:$T$93,GE$244):INDEX($T$19:$T$93,GE$244+$FN314-1)))</f>
        <v/>
      </c>
      <c r="GF314" s="469" t="str">
        <f ca="1">IF($FN314+GF$244&gt;73,"",PRODUCT(INDEX($T$19:$T$93,GF$244):INDEX($T$19:$T$93,GF$244+$FN314-1)))</f>
        <v/>
      </c>
      <c r="GG314" s="469" t="str">
        <f ca="1">IF($FN314+GG$244&gt;73,"",PRODUCT(INDEX($T$19:$T$93,GG$244):INDEX($T$19:$T$93,GG$244+$FN314-1)))</f>
        <v/>
      </c>
      <c r="GH314" s="469" t="str">
        <f ca="1">IF($FN314+GH$244&gt;73,"",PRODUCT(INDEX($T$19:$T$93,GH$244):INDEX($T$19:$T$93,GH$244+$FN314-1)))</f>
        <v/>
      </c>
      <c r="GI314" s="469" t="str">
        <f ca="1">IF($FN314+GI$244&gt;73,"",PRODUCT(INDEX($T$19:$T$93,GI$244):INDEX($T$19:$T$93,GI$244+$FN314-1)))</f>
        <v/>
      </c>
      <c r="GJ314" s="469" t="str">
        <f ca="1">IF($FN314+GJ$244&gt;73,"",PRODUCT(INDEX($T$19:$T$93,GJ$244):INDEX($T$19:$T$93,GJ$244+$FN314-1)))</f>
        <v/>
      </c>
      <c r="GK314" s="469" t="str">
        <f ca="1">IF($FN314+GK$244&gt;73,"",PRODUCT(INDEX($T$19:$T$93,GK$244):INDEX($T$19:$T$93,GK$244+$FN314-1)))</f>
        <v/>
      </c>
      <c r="GL314" s="469" t="str">
        <f ca="1">IF($FN314+GL$244&gt;73,"",PRODUCT(INDEX($T$19:$T$93,GL$244):INDEX($T$19:$T$93,GL$244+$FN314-1)))</f>
        <v/>
      </c>
      <c r="GM314" s="469" t="str">
        <f ca="1">IF($FN314+GM$244&gt;73,"",PRODUCT(INDEX($T$19:$T$93,GM$244):INDEX($T$19:$T$93,GM$244+$FN314-1)))</f>
        <v/>
      </c>
      <c r="GN314" s="469" t="str">
        <f ca="1">IF($FN314+GN$244&gt;73,"",PRODUCT(INDEX($T$19:$T$93,GN$244):INDEX($T$19:$T$93,GN$244+$FN314-1)))</f>
        <v/>
      </c>
      <c r="GO314" s="469" t="str">
        <f ca="1">IF($FN314+GO$244&gt;73,"",PRODUCT(INDEX($T$19:$T$93,GO$244):INDEX($T$19:$T$93,GO$244+$FN314-1)))</f>
        <v/>
      </c>
      <c r="GP314" s="469" t="str">
        <f ca="1">IF($FN314+GP$244&gt;73,"",PRODUCT(INDEX($T$19:$T$93,GP$244):INDEX($T$19:$T$93,GP$244+$FN314-1)))</f>
        <v/>
      </c>
      <c r="GQ314" s="469" t="str">
        <f ca="1">IF($FN314+GQ$244&gt;73,"",PRODUCT(INDEX($T$19:$T$93,GQ$244):INDEX($T$19:$T$93,GQ$244+$FN314-1)))</f>
        <v/>
      </c>
      <c r="GR314" s="469" t="str">
        <f ca="1">IF($FN314+GR$244&gt;73,"",PRODUCT(INDEX($T$19:$T$93,GR$244):INDEX($T$19:$T$93,GR$244+$FN314-1)))</f>
        <v/>
      </c>
      <c r="GS314" s="469" t="str">
        <f ca="1">IF($FN314+GS$244&gt;73,"",PRODUCT(INDEX($T$19:$T$93,GS$244):INDEX($T$19:$T$93,GS$244+$FN314-1)))</f>
        <v/>
      </c>
      <c r="GT314" s="469" t="str">
        <f ca="1">IF($FN314+GT$244&gt;73,"",PRODUCT(INDEX($T$19:$T$93,GT$244):INDEX($T$19:$T$93,GT$244+$FN314-1)))</f>
        <v/>
      </c>
      <c r="GU314" s="469" t="str">
        <f ca="1">IF($FN314+GU$244&gt;73,"",PRODUCT(INDEX($T$19:$T$93,GU$244):INDEX($T$19:$T$93,GU$244+$FN314-1)))</f>
        <v/>
      </c>
      <c r="GV314" s="469" t="str">
        <f ca="1">IF($FN314+GV$244&gt;73,"",PRODUCT(INDEX($T$19:$T$93,GV$244):INDEX($T$19:$T$93,GV$244+$FN314-1)))</f>
        <v/>
      </c>
      <c r="GW314" s="469" t="str">
        <f ca="1">IF($FN314+GW$244&gt;73,"",PRODUCT(INDEX($T$19:$T$93,GW$244):INDEX($T$19:$T$93,GW$244+$FN314-1)))</f>
        <v/>
      </c>
      <c r="GX314" s="469" t="str">
        <f ca="1">IF($FN314+GX$244&gt;73,"",PRODUCT(INDEX($T$19:$T$93,GX$244):INDEX($T$19:$T$93,GX$244+$FN314-1)))</f>
        <v/>
      </c>
      <c r="GY314" s="469" t="str">
        <f ca="1">IF($FN314+GY$244&gt;73,"",PRODUCT(INDEX($T$19:$T$93,GY$244):INDEX($T$19:$T$93,GY$244+$FN314-1)))</f>
        <v/>
      </c>
      <c r="GZ314" s="469" t="str">
        <f ca="1">IF($FN314+GZ$244&gt;73,"",PRODUCT(INDEX($T$19:$T$93,GZ$244):INDEX($T$19:$T$93,GZ$244+$FN314-1)))</f>
        <v/>
      </c>
      <c r="HA314" s="469" t="str">
        <f ca="1">IF($FN314+HA$244&gt;73,"",PRODUCT(INDEX($T$19:$T$93,HA$244):INDEX($T$19:$T$93,HA$244+$FN314-1)))</f>
        <v/>
      </c>
      <c r="HB314" s="469" t="str">
        <f ca="1">IF($FN314+HB$244&gt;73,"",PRODUCT(INDEX($T$19:$T$93,HB$244):INDEX($T$19:$T$93,HB$244+$FN314-1)))</f>
        <v/>
      </c>
      <c r="HC314" s="469" t="str">
        <f ca="1">IF($FN314+HC$244&gt;73,"",PRODUCT(INDEX($T$19:$T$93,HC$244):INDEX($T$19:$T$93,HC$244+$FN314-1)))</f>
        <v/>
      </c>
      <c r="HD314" s="469" t="str">
        <f ca="1">IF($FN314+HD$244&gt;73,"",PRODUCT(INDEX($T$19:$T$93,HD$244):INDEX($T$19:$T$93,HD$244+$FN314-1)))</f>
        <v/>
      </c>
      <c r="HE314" s="469" t="str">
        <f ca="1">IF($FN314+HE$244&gt;73,"",PRODUCT(INDEX($T$19:$T$93,HE$244):INDEX($T$19:$T$93,HE$244+$FN314-1)))</f>
        <v/>
      </c>
      <c r="HF314" s="469" t="str">
        <f ca="1">IF($FN314+HF$244&gt;73,"",PRODUCT(INDEX($T$19:$T$93,HF$244):INDEX($T$19:$T$93,HF$244+$FN314-1)))</f>
        <v/>
      </c>
      <c r="HG314" s="469" t="str">
        <f ca="1">IF($FN314+HG$244&gt;73,"",PRODUCT(INDEX($T$19:$T$93,HG$244):INDEX($T$19:$T$93,HG$244+$FN314-1)))</f>
        <v/>
      </c>
      <c r="HH314" s="469" t="str">
        <f ca="1">IF($FN314+HH$244&gt;73,"",PRODUCT(INDEX($T$19:$T$93,HH$244):INDEX($T$19:$T$93,HH$244+$FN314-1)))</f>
        <v/>
      </c>
      <c r="HI314" s="469" t="str">
        <f ca="1">IF($FN314+HI$244&gt;73,"",PRODUCT(INDEX($T$19:$T$93,HI$244):INDEX($T$19:$T$93,HI$244+$FN314-1)))</f>
        <v/>
      </c>
      <c r="HJ314" s="469" t="str">
        <f ca="1">IF($FN314+HJ$244&gt;73,"",PRODUCT(INDEX($T$19:$T$93,HJ$244):INDEX($T$19:$T$93,HJ$244+$FN314-1)))</f>
        <v/>
      </c>
      <c r="HK314" s="469" t="str">
        <f ca="1">IF($FN314+HK$244&gt;73,"",PRODUCT(INDEX($T$19:$T$93,HK$244):INDEX($T$19:$T$93,HK$244+$FN314-1)))</f>
        <v/>
      </c>
      <c r="HL314" s="469" t="str">
        <f ca="1">IF($FN314+HL$244&gt;73,"",PRODUCT(INDEX($T$19:$T$93,HL$244):INDEX($T$19:$T$93,HL$244+$FN314-1)))</f>
        <v/>
      </c>
      <c r="HM314" s="469" t="str">
        <f ca="1">IF($FN314+HM$244&gt;73,"",PRODUCT(INDEX($T$19:$T$93,HM$244):INDEX($T$19:$T$93,HM$244+$FN314-1)))</f>
        <v/>
      </c>
      <c r="HN314" s="469" t="str">
        <f ca="1">IF($FN314+HN$244&gt;73,"",PRODUCT(INDEX($T$19:$T$93,HN$244):INDEX($T$19:$T$93,HN$244+$FN314-1)))</f>
        <v/>
      </c>
      <c r="HO314" s="469" t="str">
        <f ca="1">IF($FN314+HO$244&gt;73,"",PRODUCT(INDEX($T$19:$T$93,HO$244):INDEX($T$19:$T$93,HO$244+$FN314-1)))</f>
        <v/>
      </c>
      <c r="HP314" s="469" t="str">
        <f ca="1">IF($FN314+HP$244&gt;73,"",PRODUCT(INDEX($T$19:$T$93,HP$244):INDEX($T$19:$T$93,HP$244+$FN314-1)))</f>
        <v/>
      </c>
      <c r="HQ314" s="469" t="str">
        <f ca="1">IF($FN314+HQ$244&gt;73,"",PRODUCT(INDEX($T$19:$T$93,HQ$244):INDEX($T$19:$T$93,HQ$244+$FN314-1)))</f>
        <v/>
      </c>
      <c r="HR314" s="469" t="str">
        <f ca="1">IF($FN314+HR$244&gt;73,"",PRODUCT(INDEX($T$19:$T$93,HR$244):INDEX($T$19:$T$93,HR$244+$FN314-1)))</f>
        <v/>
      </c>
      <c r="HS314" s="469" t="str">
        <f ca="1">IF($FN314+HS$244&gt;73,"",PRODUCT(INDEX($T$19:$T$93,HS$244):INDEX($T$19:$T$93,HS$244+$FN314-1)))</f>
        <v/>
      </c>
      <c r="HT314" s="469" t="str">
        <f ca="1">IF($FN314+HT$244&gt;73,"",PRODUCT(INDEX($T$19:$T$93,HT$244):INDEX($T$19:$T$93,HT$244+$FN314-1)))</f>
        <v/>
      </c>
      <c r="HU314" s="469" t="str">
        <f ca="1">IF($FN314+HU$244&gt;73,"",PRODUCT(INDEX($T$19:$T$93,HU$244):INDEX($T$19:$T$93,HU$244+$FN314-1)))</f>
        <v/>
      </c>
      <c r="HV314" s="469" t="str">
        <f ca="1">IF($FN314+HV$244&gt;73,"",PRODUCT(INDEX($T$19:$T$93,HV$244):INDEX($T$19:$T$93,HV$244+$FN314-1)))</f>
        <v/>
      </c>
      <c r="HW314" s="469" t="str">
        <f ca="1">IF($FN314+HW$244&gt;73,"",PRODUCT(INDEX($T$19:$T$93,HW$244):INDEX($T$19:$T$93,HW$244+$FN314-1)))</f>
        <v/>
      </c>
      <c r="HX314" s="469" t="str">
        <f ca="1">IF($FN314+HX$244&gt;73,"",PRODUCT(INDEX($T$19:$T$93,HX$244):INDEX($T$19:$T$93,HX$244+$FN314-1)))</f>
        <v/>
      </c>
      <c r="HY314" s="469" t="str">
        <f ca="1">IF($FN314+HY$244&gt;73,"",PRODUCT(INDEX($T$19:$T$93,HY$244):INDEX($T$19:$T$93,HY$244+$FN314-1)))</f>
        <v/>
      </c>
      <c r="HZ314" s="469" t="str">
        <f ca="1">IF($FN314+HZ$244&gt;73,"",PRODUCT(INDEX($T$19:$T$93,HZ$244):INDEX($T$19:$T$93,HZ$244+$FN314-1)))</f>
        <v/>
      </c>
      <c r="IA314" s="469" t="str">
        <f ca="1">IF($FN314+IA$244&gt;73,"",PRODUCT(INDEX($T$19:$T$93,IA$244):INDEX($T$19:$T$93,IA$244+$FN314-1)))</f>
        <v/>
      </c>
      <c r="IB314" s="469" t="str">
        <f ca="1">IF($FN314+IB$244&gt;73,"",PRODUCT(INDEX($T$19:$T$93,IB$244):INDEX($T$19:$T$93,IB$244+$FN314-1)))</f>
        <v/>
      </c>
      <c r="IC314" s="469" t="str">
        <f ca="1">IF($FN314+IC$244&gt;73,"",PRODUCT(INDEX($T$19:$T$93,IC$244):INDEX($T$19:$T$93,IC$244+$FN314-1)))</f>
        <v/>
      </c>
      <c r="ID314" s="469" t="str">
        <f ca="1">IF($FN314+ID$244&gt;73,"",PRODUCT(INDEX($T$19:$T$93,ID$244):INDEX($T$19:$T$93,ID$244+$FN314-1)))</f>
        <v/>
      </c>
      <c r="IE314" s="469" t="str">
        <f ca="1">IF($FN314+IE$244&gt;73,"",PRODUCT(INDEX($T$19:$T$93,IE$244):INDEX($T$19:$T$93,IE$244+$FN314-1)))</f>
        <v/>
      </c>
      <c r="IF314" s="469">
        <f ca="1">IF($FN314+IF$244&gt;73,"",PRODUCT(INDEX($T$19:$T$93,IF$244):INDEX($T$19:$T$93,IF$244+$FN314-1)))</f>
        <v>0.47117579715197727</v>
      </c>
      <c r="IG314" s="469">
        <f ca="1">IF($FN314+IG$244&gt;73,"",PRODUCT(INDEX($T$19:$T$93,IG$244):INDEX($T$19:$T$93,IG$244+$FN314-1)))</f>
        <v>0.42959780055237157</v>
      </c>
      <c r="IH314" s="662">
        <f ca="1">IF($FN314+IH$244&gt;73,"",PRODUCT(INDEX($T$19:$T$93,IH$244):INDEX($T$19:$T$93,IH$244+$FN314-1)))</f>
        <v>0.38665903449181704</v>
      </c>
      <c r="II314" s="242"/>
    </row>
    <row r="315" spans="9:243">
      <c r="I315" s="132"/>
      <c r="J315" s="365"/>
      <c r="K315" s="133"/>
      <c r="L315" s="1"/>
      <c r="M315" s="366"/>
      <c r="P315" s="365"/>
      <c r="S315" s="53"/>
      <c r="T315" s="365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364">
        <v>6.5215171921674905E-2</v>
      </c>
      <c r="AP315" s="1"/>
      <c r="AQ315" s="364">
        <v>5.7599799505111196E-2</v>
      </c>
      <c r="AR315" s="1"/>
      <c r="AS315" s="103"/>
      <c r="AT315" s="103"/>
      <c r="AU315" s="103"/>
      <c r="AV315" s="31"/>
      <c r="AW315" s="31"/>
      <c r="AX315" s="31"/>
      <c r="AY315" s="31"/>
      <c r="AZ315" s="146"/>
      <c r="BA315" s="146"/>
      <c r="BB315" s="103"/>
      <c r="BC315" s="103"/>
      <c r="BD315" s="103"/>
      <c r="BE315" s="103"/>
      <c r="BF315" s="104"/>
      <c r="BG315" s="104"/>
      <c r="BH315" s="104"/>
      <c r="BI315" s="104"/>
      <c r="BJ315" s="104"/>
      <c r="BK315" s="103"/>
      <c r="BL315" s="105"/>
      <c r="BM315" s="103"/>
      <c r="BN315" s="103"/>
      <c r="BO315" s="103"/>
      <c r="BP315" s="103"/>
      <c r="BQ315" s="103"/>
      <c r="BR315" s="103"/>
      <c r="BS315" s="103"/>
      <c r="BT315" s="103"/>
      <c r="BU315" s="103"/>
      <c r="BV315" s="103"/>
      <c r="BW315" s="103"/>
      <c r="BX315" s="103"/>
      <c r="BY315" s="103"/>
      <c r="BZ315" s="103"/>
      <c r="CA315" s="104"/>
      <c r="CB315" s="104"/>
      <c r="CC315" s="104"/>
      <c r="CD315" s="104"/>
      <c r="CE315" s="104"/>
      <c r="CF315" s="104"/>
      <c r="CG315" s="103"/>
      <c r="CH315" s="103"/>
      <c r="CI315" s="103"/>
      <c r="CJ315" s="103"/>
      <c r="CK315" s="103"/>
      <c r="CL315" s="103"/>
      <c r="CM315" s="103"/>
      <c r="CN315" s="103"/>
      <c r="CO315" s="103"/>
      <c r="CP315" s="103"/>
      <c r="CQ315" s="103"/>
      <c r="CR315" s="103"/>
      <c r="CS315" s="103"/>
      <c r="CT315" s="103"/>
      <c r="CU315" s="103"/>
      <c r="CV315" s="103"/>
      <c r="CW315" s="103"/>
      <c r="CX315" s="103"/>
      <c r="CY315" s="103"/>
      <c r="CZ315" s="103"/>
      <c r="DA315" s="103"/>
      <c r="DB315" s="103"/>
      <c r="DC315" s="103"/>
      <c r="DD315" s="103"/>
      <c r="DE315" s="103"/>
      <c r="DF315" s="465"/>
      <c r="DG315" s="107"/>
      <c r="DH315" s="1"/>
      <c r="DI315" s="465"/>
      <c r="DJ315" s="52"/>
      <c r="DK315" s="52"/>
      <c r="DL315" s="52"/>
      <c r="DM315" s="52"/>
      <c r="DN315" s="52"/>
      <c r="DO315" s="52"/>
      <c r="DP315" s="52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P315" s="53"/>
      <c r="EQ315" s="1"/>
      <c r="ER315" s="102"/>
      <c r="ES315" s="103"/>
      <c r="ET315" s="1"/>
      <c r="EU315" s="103"/>
      <c r="EV315" s="1"/>
      <c r="EW315" s="1"/>
      <c r="EX315" s="1"/>
      <c r="EY315" s="102"/>
      <c r="FN315" s="657">
        <v>71</v>
      </c>
      <c r="FO315" s="469" t="str">
        <f ca="1">IF($FN315+FO$244&gt;73,"",PRODUCT(INDEX($T$19:$T$93,FO$244):INDEX($T$19:$T$93,FO$244+$FN315-1)))</f>
        <v/>
      </c>
      <c r="FP315" s="469" t="str">
        <f ca="1">IF($FN315+FP$244&gt;73,"",PRODUCT(INDEX($T$19:$T$93,FP$244):INDEX($T$19:$T$93,FP$244+$FN315-1)))</f>
        <v/>
      </c>
      <c r="FQ315" s="469" t="str">
        <f ca="1">IF($FN315+FQ$244&gt;73,"",PRODUCT(INDEX($T$19:$T$93,FQ$244):INDEX($T$19:$T$93,FQ$244+$FN315-1)))</f>
        <v/>
      </c>
      <c r="FR315" s="469" t="str">
        <f ca="1">IF($FN315+FR$244&gt;73,"",PRODUCT(INDEX($T$19:$T$93,FR$244):INDEX($T$19:$T$93,FR$244+$FN315-1)))</f>
        <v/>
      </c>
      <c r="FS315" s="469" t="str">
        <f ca="1">IF($FN315+FS$244&gt;73,"",PRODUCT(INDEX($T$19:$T$93,FS$244):INDEX($T$19:$T$93,FS$244+$FN315-1)))</f>
        <v/>
      </c>
      <c r="FT315" s="469" t="str">
        <f ca="1">IF($FN315+FT$244&gt;73,"",PRODUCT(INDEX($T$19:$T$93,FT$244):INDEX($T$19:$T$93,FT$244+$FN315-1)))</f>
        <v/>
      </c>
      <c r="FU315" s="469" t="str">
        <f ca="1">IF($FN315+FU$244&gt;73,"",PRODUCT(INDEX($T$19:$T$93,FU$244):INDEX($T$19:$T$93,FU$244+$FN315-1)))</f>
        <v/>
      </c>
      <c r="FV315" s="469" t="str">
        <f ca="1">IF($FN315+FV$244&gt;73,"",PRODUCT(INDEX($T$19:$T$93,FV$244):INDEX($T$19:$T$93,FV$244+$FN315-1)))</f>
        <v/>
      </c>
      <c r="FW315" s="469" t="str">
        <f ca="1">IF($FN315+FW$244&gt;73,"",PRODUCT(INDEX($T$19:$T$93,FW$244):INDEX($T$19:$T$93,FW$244+$FN315-1)))</f>
        <v/>
      </c>
      <c r="FX315" s="469" t="str">
        <f ca="1">IF($FN315+FX$244&gt;73,"",PRODUCT(INDEX($T$19:$T$93,FX$244):INDEX($T$19:$T$93,FX$244+$FN315-1)))</f>
        <v/>
      </c>
      <c r="FY315" s="469" t="str">
        <f ca="1">IF($FN315+FY$244&gt;73,"",PRODUCT(INDEX($T$19:$T$93,FY$244):INDEX($T$19:$T$93,FY$244+$FN315-1)))</f>
        <v/>
      </c>
      <c r="FZ315" s="469" t="str">
        <f ca="1">IF($FN315+FZ$244&gt;73,"",PRODUCT(INDEX($T$19:$T$93,FZ$244):INDEX($T$19:$T$93,FZ$244+$FN315-1)))</f>
        <v/>
      </c>
      <c r="GA315" s="469" t="str">
        <f ca="1">IF($FN315+GA$244&gt;73,"",PRODUCT(INDEX($T$19:$T$93,GA$244):INDEX($T$19:$T$93,GA$244+$FN315-1)))</f>
        <v/>
      </c>
      <c r="GB315" s="469" t="str">
        <f ca="1">IF($FN315+GB$244&gt;73,"",PRODUCT(INDEX($T$19:$T$93,GB$244):INDEX($T$19:$T$93,GB$244+$FN315-1)))</f>
        <v/>
      </c>
      <c r="GC315" s="469" t="str">
        <f ca="1">IF($FN315+GC$244&gt;73,"",PRODUCT(INDEX($T$19:$T$93,GC$244):INDEX($T$19:$T$93,GC$244+$FN315-1)))</f>
        <v/>
      </c>
      <c r="GD315" s="469" t="str">
        <f ca="1">IF($FN315+GD$244&gt;73,"",PRODUCT(INDEX($T$19:$T$93,GD$244):INDEX($T$19:$T$93,GD$244+$FN315-1)))</f>
        <v/>
      </c>
      <c r="GE315" s="469" t="str">
        <f ca="1">IF($FN315+GE$244&gt;73,"",PRODUCT(INDEX($T$19:$T$93,GE$244):INDEX($T$19:$T$93,GE$244+$FN315-1)))</f>
        <v/>
      </c>
      <c r="GF315" s="469" t="str">
        <f ca="1">IF($FN315+GF$244&gt;73,"",PRODUCT(INDEX($T$19:$T$93,GF$244):INDEX($T$19:$T$93,GF$244+$FN315-1)))</f>
        <v/>
      </c>
      <c r="GG315" s="469" t="str">
        <f ca="1">IF($FN315+GG$244&gt;73,"",PRODUCT(INDEX($T$19:$T$93,GG$244):INDEX($T$19:$T$93,GG$244+$FN315-1)))</f>
        <v/>
      </c>
      <c r="GH315" s="469" t="str">
        <f ca="1">IF($FN315+GH$244&gt;73,"",PRODUCT(INDEX($T$19:$T$93,GH$244):INDEX($T$19:$T$93,GH$244+$FN315-1)))</f>
        <v/>
      </c>
      <c r="GI315" s="469" t="str">
        <f ca="1">IF($FN315+GI$244&gt;73,"",PRODUCT(INDEX($T$19:$T$93,GI$244):INDEX($T$19:$T$93,GI$244+$FN315-1)))</f>
        <v/>
      </c>
      <c r="GJ315" s="469" t="str">
        <f ca="1">IF($FN315+GJ$244&gt;73,"",PRODUCT(INDEX($T$19:$T$93,GJ$244):INDEX($T$19:$T$93,GJ$244+$FN315-1)))</f>
        <v/>
      </c>
      <c r="GK315" s="469" t="str">
        <f ca="1">IF($FN315+GK$244&gt;73,"",PRODUCT(INDEX($T$19:$T$93,GK$244):INDEX($T$19:$T$93,GK$244+$FN315-1)))</f>
        <v/>
      </c>
      <c r="GL315" s="469" t="str">
        <f ca="1">IF($FN315+GL$244&gt;73,"",PRODUCT(INDEX($T$19:$T$93,GL$244):INDEX($T$19:$T$93,GL$244+$FN315-1)))</f>
        <v/>
      </c>
      <c r="GM315" s="469" t="str">
        <f ca="1">IF($FN315+GM$244&gt;73,"",PRODUCT(INDEX($T$19:$T$93,GM$244):INDEX($T$19:$T$93,GM$244+$FN315-1)))</f>
        <v/>
      </c>
      <c r="GN315" s="469" t="str">
        <f ca="1">IF($FN315+GN$244&gt;73,"",PRODUCT(INDEX($T$19:$T$93,GN$244):INDEX($T$19:$T$93,GN$244+$FN315-1)))</f>
        <v/>
      </c>
      <c r="GO315" s="469" t="str">
        <f ca="1">IF($FN315+GO$244&gt;73,"",PRODUCT(INDEX($T$19:$T$93,GO$244):INDEX($T$19:$T$93,GO$244+$FN315-1)))</f>
        <v/>
      </c>
      <c r="GP315" s="469" t="str">
        <f ca="1">IF($FN315+GP$244&gt;73,"",PRODUCT(INDEX($T$19:$T$93,GP$244):INDEX($T$19:$T$93,GP$244+$FN315-1)))</f>
        <v/>
      </c>
      <c r="GQ315" s="469" t="str">
        <f ca="1">IF($FN315+GQ$244&gt;73,"",PRODUCT(INDEX($T$19:$T$93,GQ$244):INDEX($T$19:$T$93,GQ$244+$FN315-1)))</f>
        <v/>
      </c>
      <c r="GR315" s="469" t="str">
        <f ca="1">IF($FN315+GR$244&gt;73,"",PRODUCT(INDEX($T$19:$T$93,GR$244):INDEX($T$19:$T$93,GR$244+$FN315-1)))</f>
        <v/>
      </c>
      <c r="GS315" s="469" t="str">
        <f ca="1">IF($FN315+GS$244&gt;73,"",PRODUCT(INDEX($T$19:$T$93,GS$244):INDEX($T$19:$T$93,GS$244+$FN315-1)))</f>
        <v/>
      </c>
      <c r="GT315" s="469" t="str">
        <f ca="1">IF($FN315+GT$244&gt;73,"",PRODUCT(INDEX($T$19:$T$93,GT$244):INDEX($T$19:$T$93,GT$244+$FN315-1)))</f>
        <v/>
      </c>
      <c r="GU315" s="469" t="str">
        <f ca="1">IF($FN315+GU$244&gt;73,"",PRODUCT(INDEX($T$19:$T$93,GU$244):INDEX($T$19:$T$93,GU$244+$FN315-1)))</f>
        <v/>
      </c>
      <c r="GV315" s="469" t="str">
        <f ca="1">IF($FN315+GV$244&gt;73,"",PRODUCT(INDEX($T$19:$T$93,GV$244):INDEX($T$19:$T$93,GV$244+$FN315-1)))</f>
        <v/>
      </c>
      <c r="GW315" s="469" t="str">
        <f ca="1">IF($FN315+GW$244&gt;73,"",PRODUCT(INDEX($T$19:$T$93,GW$244):INDEX($T$19:$T$93,GW$244+$FN315-1)))</f>
        <v/>
      </c>
      <c r="GX315" s="469" t="str">
        <f ca="1">IF($FN315+GX$244&gt;73,"",PRODUCT(INDEX($T$19:$T$93,GX$244):INDEX($T$19:$T$93,GX$244+$FN315-1)))</f>
        <v/>
      </c>
      <c r="GY315" s="469" t="str">
        <f ca="1">IF($FN315+GY$244&gt;73,"",PRODUCT(INDEX($T$19:$T$93,GY$244):INDEX($T$19:$T$93,GY$244+$FN315-1)))</f>
        <v/>
      </c>
      <c r="GZ315" s="469" t="str">
        <f ca="1">IF($FN315+GZ$244&gt;73,"",PRODUCT(INDEX($T$19:$T$93,GZ$244):INDEX($T$19:$T$93,GZ$244+$FN315-1)))</f>
        <v/>
      </c>
      <c r="HA315" s="469" t="str">
        <f ca="1">IF($FN315+HA$244&gt;73,"",PRODUCT(INDEX($T$19:$T$93,HA$244):INDEX($T$19:$T$93,HA$244+$FN315-1)))</f>
        <v/>
      </c>
      <c r="HB315" s="469" t="str">
        <f ca="1">IF($FN315+HB$244&gt;73,"",PRODUCT(INDEX($T$19:$T$93,HB$244):INDEX($T$19:$T$93,HB$244+$FN315-1)))</f>
        <v/>
      </c>
      <c r="HC315" s="469" t="str">
        <f ca="1">IF($FN315+HC$244&gt;73,"",PRODUCT(INDEX($T$19:$T$93,HC$244):INDEX($T$19:$T$93,HC$244+$FN315-1)))</f>
        <v/>
      </c>
      <c r="HD315" s="469" t="str">
        <f ca="1">IF($FN315+HD$244&gt;73,"",PRODUCT(INDEX($T$19:$T$93,HD$244):INDEX($T$19:$T$93,HD$244+$FN315-1)))</f>
        <v/>
      </c>
      <c r="HE315" s="469" t="str">
        <f ca="1">IF($FN315+HE$244&gt;73,"",PRODUCT(INDEX($T$19:$T$93,HE$244):INDEX($T$19:$T$93,HE$244+$FN315-1)))</f>
        <v/>
      </c>
      <c r="HF315" s="469" t="str">
        <f ca="1">IF($FN315+HF$244&gt;73,"",PRODUCT(INDEX($T$19:$T$93,HF$244):INDEX($T$19:$T$93,HF$244+$FN315-1)))</f>
        <v/>
      </c>
      <c r="HG315" s="469" t="str">
        <f ca="1">IF($FN315+HG$244&gt;73,"",PRODUCT(INDEX($T$19:$T$93,HG$244):INDEX($T$19:$T$93,HG$244+$FN315-1)))</f>
        <v/>
      </c>
      <c r="HH315" s="469" t="str">
        <f ca="1">IF($FN315+HH$244&gt;73,"",PRODUCT(INDEX($T$19:$T$93,HH$244):INDEX($T$19:$T$93,HH$244+$FN315-1)))</f>
        <v/>
      </c>
      <c r="HI315" s="469" t="str">
        <f ca="1">IF($FN315+HI$244&gt;73,"",PRODUCT(INDEX($T$19:$T$93,HI$244):INDEX($T$19:$T$93,HI$244+$FN315-1)))</f>
        <v/>
      </c>
      <c r="HJ315" s="469" t="str">
        <f ca="1">IF($FN315+HJ$244&gt;73,"",PRODUCT(INDEX($T$19:$T$93,HJ$244):INDEX($T$19:$T$93,HJ$244+$FN315-1)))</f>
        <v/>
      </c>
      <c r="HK315" s="469" t="str">
        <f ca="1">IF($FN315+HK$244&gt;73,"",PRODUCT(INDEX($T$19:$T$93,HK$244):INDEX($T$19:$T$93,HK$244+$FN315-1)))</f>
        <v/>
      </c>
      <c r="HL315" s="469" t="str">
        <f ca="1">IF($FN315+HL$244&gt;73,"",PRODUCT(INDEX($T$19:$T$93,HL$244):INDEX($T$19:$T$93,HL$244+$FN315-1)))</f>
        <v/>
      </c>
      <c r="HM315" s="469" t="str">
        <f ca="1">IF($FN315+HM$244&gt;73,"",PRODUCT(INDEX($T$19:$T$93,HM$244):INDEX($T$19:$T$93,HM$244+$FN315-1)))</f>
        <v/>
      </c>
      <c r="HN315" s="469" t="str">
        <f ca="1">IF($FN315+HN$244&gt;73,"",PRODUCT(INDEX($T$19:$T$93,HN$244):INDEX($T$19:$T$93,HN$244+$FN315-1)))</f>
        <v/>
      </c>
      <c r="HO315" s="469" t="str">
        <f ca="1">IF($FN315+HO$244&gt;73,"",PRODUCT(INDEX($T$19:$T$93,HO$244):INDEX($T$19:$T$93,HO$244+$FN315-1)))</f>
        <v/>
      </c>
      <c r="HP315" s="469" t="str">
        <f ca="1">IF($FN315+HP$244&gt;73,"",PRODUCT(INDEX($T$19:$T$93,HP$244):INDEX($T$19:$T$93,HP$244+$FN315-1)))</f>
        <v/>
      </c>
      <c r="HQ315" s="469" t="str">
        <f ca="1">IF($FN315+HQ$244&gt;73,"",PRODUCT(INDEX($T$19:$T$93,HQ$244):INDEX($T$19:$T$93,HQ$244+$FN315-1)))</f>
        <v/>
      </c>
      <c r="HR315" s="469" t="str">
        <f ca="1">IF($FN315+HR$244&gt;73,"",PRODUCT(INDEX($T$19:$T$93,HR$244):INDEX($T$19:$T$93,HR$244+$FN315-1)))</f>
        <v/>
      </c>
      <c r="HS315" s="469" t="str">
        <f ca="1">IF($FN315+HS$244&gt;73,"",PRODUCT(INDEX($T$19:$T$93,HS$244):INDEX($T$19:$T$93,HS$244+$FN315-1)))</f>
        <v/>
      </c>
      <c r="HT315" s="469" t="str">
        <f ca="1">IF($FN315+HT$244&gt;73,"",PRODUCT(INDEX($T$19:$T$93,HT$244):INDEX($T$19:$T$93,HT$244+$FN315-1)))</f>
        <v/>
      </c>
      <c r="HU315" s="469" t="str">
        <f ca="1">IF($FN315+HU$244&gt;73,"",PRODUCT(INDEX($T$19:$T$93,HU$244):INDEX($T$19:$T$93,HU$244+$FN315-1)))</f>
        <v/>
      </c>
      <c r="HV315" s="469" t="str">
        <f ca="1">IF($FN315+HV$244&gt;73,"",PRODUCT(INDEX($T$19:$T$93,HV$244):INDEX($T$19:$T$93,HV$244+$FN315-1)))</f>
        <v/>
      </c>
      <c r="HW315" s="469" t="str">
        <f ca="1">IF($FN315+HW$244&gt;73,"",PRODUCT(INDEX($T$19:$T$93,HW$244):INDEX($T$19:$T$93,HW$244+$FN315-1)))</f>
        <v/>
      </c>
      <c r="HX315" s="469" t="str">
        <f ca="1">IF($FN315+HX$244&gt;73,"",PRODUCT(INDEX($T$19:$T$93,HX$244):INDEX($T$19:$T$93,HX$244+$FN315-1)))</f>
        <v/>
      </c>
      <c r="HY315" s="469" t="str">
        <f ca="1">IF($FN315+HY$244&gt;73,"",PRODUCT(INDEX($T$19:$T$93,HY$244):INDEX($T$19:$T$93,HY$244+$FN315-1)))</f>
        <v/>
      </c>
      <c r="HZ315" s="469" t="str">
        <f ca="1">IF($FN315+HZ$244&gt;73,"",PRODUCT(INDEX($T$19:$T$93,HZ$244):INDEX($T$19:$T$93,HZ$244+$FN315-1)))</f>
        <v/>
      </c>
      <c r="IA315" s="469" t="str">
        <f ca="1">IF($FN315+IA$244&gt;73,"",PRODUCT(INDEX($T$19:$T$93,IA$244):INDEX($T$19:$T$93,IA$244+$FN315-1)))</f>
        <v/>
      </c>
      <c r="IB315" s="469" t="str">
        <f ca="1">IF($FN315+IB$244&gt;73,"",PRODUCT(INDEX($T$19:$T$93,IB$244):INDEX($T$19:$T$93,IB$244+$FN315-1)))</f>
        <v/>
      </c>
      <c r="IC315" s="469" t="str">
        <f ca="1">IF($FN315+IC$244&gt;73,"",PRODUCT(INDEX($T$19:$T$93,IC$244):INDEX($T$19:$T$93,IC$244+$FN315-1)))</f>
        <v/>
      </c>
      <c r="ID315" s="469" t="str">
        <f ca="1">IF($FN315+ID$244&gt;73,"",PRODUCT(INDEX($T$19:$T$93,ID$244):INDEX($T$19:$T$93,ID$244+$FN315-1)))</f>
        <v/>
      </c>
      <c r="IE315" s="469" t="str">
        <f ca="1">IF($FN315+IE$244&gt;73,"",PRODUCT(INDEX($T$19:$T$93,IE$244):INDEX($T$19:$T$93,IE$244+$FN315-1)))</f>
        <v/>
      </c>
      <c r="IF315" s="469" t="str">
        <f ca="1">IF($FN315+IF$244&gt;73,"",PRODUCT(INDEX($T$19:$T$93,IF$244):INDEX($T$19:$T$93,IF$244+$FN315-1)))</f>
        <v/>
      </c>
      <c r="IG315" s="469">
        <f ca="1">IF($FN315+IG$244&gt;73,"",PRODUCT(INDEX($T$19:$T$93,IG$244):INDEX($T$19:$T$93,IG$244+$FN315-1)))</f>
        <v>0.42957678775800945</v>
      </c>
      <c r="IH315" s="662">
        <f ca="1">IF($FN315+IH$244&gt;73,"",PRODUCT(INDEX($T$19:$T$93,IH$244):INDEX($T$19:$T$93,IH$244+$FN315-1)))</f>
        <v>0.38663802049713464</v>
      </c>
      <c r="II315" s="242"/>
    </row>
    <row r="316" spans="9:243">
      <c r="I316" s="132"/>
      <c r="J316" s="365"/>
      <c r="K316" s="133"/>
      <c r="L316" s="1"/>
      <c r="M316" s="366"/>
      <c r="P316" s="365"/>
      <c r="S316" s="53"/>
      <c r="T316" s="365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364">
        <v>6.5225819698288695E-2</v>
      </c>
      <c r="AP316" s="1"/>
      <c r="AQ316" s="364">
        <v>5.7560569063209902E-2</v>
      </c>
      <c r="AR316" s="1"/>
      <c r="AS316" s="103"/>
      <c r="AT316" s="103"/>
      <c r="AU316" s="103"/>
      <c r="AV316" s="31"/>
      <c r="AW316" s="31"/>
      <c r="AX316" s="31"/>
      <c r="AY316" s="31"/>
      <c r="AZ316" s="146"/>
      <c r="BA316" s="146"/>
      <c r="BB316" s="103"/>
      <c r="BC316" s="103"/>
      <c r="BD316" s="103"/>
      <c r="BE316" s="103"/>
      <c r="BF316" s="104"/>
      <c r="BG316" s="104"/>
      <c r="BH316" s="104"/>
      <c r="BI316" s="104"/>
      <c r="BJ316" s="104"/>
      <c r="BK316" s="103"/>
      <c r="BL316" s="105"/>
      <c r="BM316" s="103"/>
      <c r="BN316" s="103"/>
      <c r="BO316" s="103"/>
      <c r="BP316" s="103"/>
      <c r="BQ316" s="103"/>
      <c r="BR316" s="103"/>
      <c r="BS316" s="103"/>
      <c r="BT316" s="103"/>
      <c r="BU316" s="103"/>
      <c r="BV316" s="103"/>
      <c r="BW316" s="103"/>
      <c r="BX316" s="103"/>
      <c r="BY316" s="103"/>
      <c r="BZ316" s="103"/>
      <c r="CA316" s="104"/>
      <c r="CB316" s="104"/>
      <c r="CC316" s="104"/>
      <c r="CD316" s="104"/>
      <c r="CE316" s="104"/>
      <c r="CF316" s="104"/>
      <c r="CG316" s="103"/>
      <c r="CH316" s="103"/>
      <c r="CI316" s="103"/>
      <c r="CJ316" s="103"/>
      <c r="CK316" s="103"/>
      <c r="CL316" s="103"/>
      <c r="CM316" s="103"/>
      <c r="CN316" s="103"/>
      <c r="CO316" s="103"/>
      <c r="CP316" s="103"/>
      <c r="CQ316" s="103"/>
      <c r="CR316" s="103"/>
      <c r="CS316" s="103"/>
      <c r="CT316" s="103"/>
      <c r="CU316" s="103"/>
      <c r="CV316" s="103"/>
      <c r="CW316" s="103"/>
      <c r="CX316" s="103"/>
      <c r="CY316" s="103"/>
      <c r="CZ316" s="103"/>
      <c r="DA316" s="103"/>
      <c r="DB316" s="103"/>
      <c r="DC316" s="103"/>
      <c r="DD316" s="103"/>
      <c r="DE316" s="103"/>
      <c r="DF316" s="465"/>
      <c r="DG316" s="107"/>
      <c r="DH316" s="1"/>
      <c r="DI316" s="465"/>
      <c r="DJ316" s="52"/>
      <c r="DK316" s="52"/>
      <c r="DL316" s="52"/>
      <c r="DM316" s="52"/>
      <c r="DN316" s="52"/>
      <c r="DO316" s="52"/>
      <c r="DP316" s="52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P316" s="53"/>
      <c r="EQ316" s="1"/>
      <c r="ER316" s="102"/>
      <c r="ES316" s="103"/>
      <c r="ET316" s="1"/>
      <c r="EU316" s="103"/>
      <c r="EV316" s="1"/>
      <c r="EW316" s="1"/>
      <c r="EX316" s="1"/>
      <c r="EY316" s="102"/>
      <c r="FN316" s="659">
        <v>72</v>
      </c>
      <c r="FO316" s="663" t="str">
        <f ca="1">IF($FN316+FO$244&gt;73,"",PRODUCT(INDEX($T$19:$T$93,FO$244):INDEX($T$19:$T$93,FO$244+$FN316-1)))</f>
        <v/>
      </c>
      <c r="FP316" s="663" t="str">
        <f ca="1">IF($FN316+FP$244&gt;73,"",PRODUCT(INDEX($T$19:$T$93,FP$244):INDEX($T$19:$T$93,FP$244+$FN316-1)))</f>
        <v/>
      </c>
      <c r="FQ316" s="663" t="str">
        <f ca="1">IF($FN316+FQ$244&gt;73,"",PRODUCT(INDEX($T$19:$T$93,FQ$244):INDEX($T$19:$T$93,FQ$244+$FN316-1)))</f>
        <v/>
      </c>
      <c r="FR316" s="663" t="str">
        <f ca="1">IF($FN316+FR$244&gt;73,"",PRODUCT(INDEX($T$19:$T$93,FR$244):INDEX($T$19:$T$93,FR$244+$FN316-1)))</f>
        <v/>
      </c>
      <c r="FS316" s="663" t="str">
        <f ca="1">IF($FN316+FS$244&gt;73,"",PRODUCT(INDEX($T$19:$T$93,FS$244):INDEX($T$19:$T$93,FS$244+$FN316-1)))</f>
        <v/>
      </c>
      <c r="FT316" s="663" t="str">
        <f ca="1">IF($FN316+FT$244&gt;73,"",PRODUCT(INDEX($T$19:$T$93,FT$244):INDEX($T$19:$T$93,FT$244+$FN316-1)))</f>
        <v/>
      </c>
      <c r="FU316" s="663" t="str">
        <f ca="1">IF($FN316+FU$244&gt;73,"",PRODUCT(INDEX($T$19:$T$93,FU$244):INDEX($T$19:$T$93,FU$244+$FN316-1)))</f>
        <v/>
      </c>
      <c r="FV316" s="663" t="str">
        <f ca="1">IF($FN316+FV$244&gt;73,"",PRODUCT(INDEX($T$19:$T$93,FV$244):INDEX($T$19:$T$93,FV$244+$FN316-1)))</f>
        <v/>
      </c>
      <c r="FW316" s="663" t="str">
        <f ca="1">IF($FN316+FW$244&gt;73,"",PRODUCT(INDEX($T$19:$T$93,FW$244):INDEX($T$19:$T$93,FW$244+$FN316-1)))</f>
        <v/>
      </c>
      <c r="FX316" s="663" t="str">
        <f ca="1">IF($FN316+FX$244&gt;73,"",PRODUCT(INDEX($T$19:$T$93,FX$244):INDEX($T$19:$T$93,FX$244+$FN316-1)))</f>
        <v/>
      </c>
      <c r="FY316" s="663" t="str">
        <f ca="1">IF($FN316+FY$244&gt;73,"",PRODUCT(INDEX($T$19:$T$93,FY$244):INDEX($T$19:$T$93,FY$244+$FN316-1)))</f>
        <v/>
      </c>
      <c r="FZ316" s="663" t="str">
        <f ca="1">IF($FN316+FZ$244&gt;73,"",PRODUCT(INDEX($T$19:$T$93,FZ$244):INDEX($T$19:$T$93,FZ$244+$FN316-1)))</f>
        <v/>
      </c>
      <c r="GA316" s="663" t="str">
        <f ca="1">IF($FN316+GA$244&gt;73,"",PRODUCT(INDEX($T$19:$T$93,GA$244):INDEX($T$19:$T$93,GA$244+$FN316-1)))</f>
        <v/>
      </c>
      <c r="GB316" s="663" t="str">
        <f ca="1">IF($FN316+GB$244&gt;73,"",PRODUCT(INDEX($T$19:$T$93,GB$244):INDEX($T$19:$T$93,GB$244+$FN316-1)))</f>
        <v/>
      </c>
      <c r="GC316" s="663" t="str">
        <f ca="1">IF($FN316+GC$244&gt;73,"",PRODUCT(INDEX($T$19:$T$93,GC$244):INDEX($T$19:$T$93,GC$244+$FN316-1)))</f>
        <v/>
      </c>
      <c r="GD316" s="663" t="str">
        <f ca="1">IF($FN316+GD$244&gt;73,"",PRODUCT(INDEX($T$19:$T$93,GD$244):INDEX($T$19:$T$93,GD$244+$FN316-1)))</f>
        <v/>
      </c>
      <c r="GE316" s="663" t="str">
        <f ca="1">IF($FN316+GE$244&gt;73,"",PRODUCT(INDEX($T$19:$T$93,GE$244):INDEX($T$19:$T$93,GE$244+$FN316-1)))</f>
        <v/>
      </c>
      <c r="GF316" s="663" t="str">
        <f ca="1">IF($FN316+GF$244&gt;73,"",PRODUCT(INDEX($T$19:$T$93,GF$244):INDEX($T$19:$T$93,GF$244+$FN316-1)))</f>
        <v/>
      </c>
      <c r="GG316" s="663" t="str">
        <f ca="1">IF($FN316+GG$244&gt;73,"",PRODUCT(INDEX($T$19:$T$93,GG$244):INDEX($T$19:$T$93,GG$244+$FN316-1)))</f>
        <v/>
      </c>
      <c r="GH316" s="663" t="str">
        <f ca="1">IF($FN316+GH$244&gt;73,"",PRODUCT(INDEX($T$19:$T$93,GH$244):INDEX($T$19:$T$93,GH$244+$FN316-1)))</f>
        <v/>
      </c>
      <c r="GI316" s="663" t="str">
        <f ca="1">IF($FN316+GI$244&gt;73,"",PRODUCT(INDEX($T$19:$T$93,GI$244):INDEX($T$19:$T$93,GI$244+$FN316-1)))</f>
        <v/>
      </c>
      <c r="GJ316" s="663" t="str">
        <f ca="1">IF($FN316+GJ$244&gt;73,"",PRODUCT(INDEX($T$19:$T$93,GJ$244):INDEX($T$19:$T$93,GJ$244+$FN316-1)))</f>
        <v/>
      </c>
      <c r="GK316" s="663" t="str">
        <f ca="1">IF($FN316+GK$244&gt;73,"",PRODUCT(INDEX($T$19:$T$93,GK$244):INDEX($T$19:$T$93,GK$244+$FN316-1)))</f>
        <v/>
      </c>
      <c r="GL316" s="663" t="str">
        <f ca="1">IF($FN316+GL$244&gt;73,"",PRODUCT(INDEX($T$19:$T$93,GL$244):INDEX($T$19:$T$93,GL$244+$FN316-1)))</f>
        <v/>
      </c>
      <c r="GM316" s="663" t="str">
        <f ca="1">IF($FN316+GM$244&gt;73,"",PRODUCT(INDEX($T$19:$T$93,GM$244):INDEX($T$19:$T$93,GM$244+$FN316-1)))</f>
        <v/>
      </c>
      <c r="GN316" s="663" t="str">
        <f ca="1">IF($FN316+GN$244&gt;73,"",PRODUCT(INDEX($T$19:$T$93,GN$244):INDEX($T$19:$T$93,GN$244+$FN316-1)))</f>
        <v/>
      </c>
      <c r="GO316" s="663" t="str">
        <f ca="1">IF($FN316+GO$244&gt;73,"",PRODUCT(INDEX($T$19:$T$93,GO$244):INDEX($T$19:$T$93,GO$244+$FN316-1)))</f>
        <v/>
      </c>
      <c r="GP316" s="663" t="str">
        <f ca="1">IF($FN316+GP$244&gt;73,"",PRODUCT(INDEX($T$19:$T$93,GP$244):INDEX($T$19:$T$93,GP$244+$FN316-1)))</f>
        <v/>
      </c>
      <c r="GQ316" s="663" t="str">
        <f ca="1">IF($FN316+GQ$244&gt;73,"",PRODUCT(INDEX($T$19:$T$93,GQ$244):INDEX($T$19:$T$93,GQ$244+$FN316-1)))</f>
        <v/>
      </c>
      <c r="GR316" s="663" t="str">
        <f ca="1">IF($FN316+GR$244&gt;73,"",PRODUCT(INDEX($T$19:$T$93,GR$244):INDEX($T$19:$T$93,GR$244+$FN316-1)))</f>
        <v/>
      </c>
      <c r="GS316" s="663" t="str">
        <f ca="1">IF($FN316+GS$244&gt;73,"",PRODUCT(INDEX($T$19:$T$93,GS$244):INDEX($T$19:$T$93,GS$244+$FN316-1)))</f>
        <v/>
      </c>
      <c r="GT316" s="663" t="str">
        <f ca="1">IF($FN316+GT$244&gt;73,"",PRODUCT(INDEX($T$19:$T$93,GT$244):INDEX($T$19:$T$93,GT$244+$FN316-1)))</f>
        <v/>
      </c>
      <c r="GU316" s="663" t="str">
        <f ca="1">IF($FN316+GU$244&gt;73,"",PRODUCT(INDEX($T$19:$T$93,GU$244):INDEX($T$19:$T$93,GU$244+$FN316-1)))</f>
        <v/>
      </c>
      <c r="GV316" s="663" t="str">
        <f ca="1">IF($FN316+GV$244&gt;73,"",PRODUCT(INDEX($T$19:$T$93,GV$244):INDEX($T$19:$T$93,GV$244+$FN316-1)))</f>
        <v/>
      </c>
      <c r="GW316" s="663" t="str">
        <f ca="1">IF($FN316+GW$244&gt;73,"",PRODUCT(INDEX($T$19:$T$93,GW$244):INDEX($T$19:$T$93,GW$244+$FN316-1)))</f>
        <v/>
      </c>
      <c r="GX316" s="663" t="str">
        <f ca="1">IF($FN316+GX$244&gt;73,"",PRODUCT(INDEX($T$19:$T$93,GX$244):INDEX($T$19:$T$93,GX$244+$FN316-1)))</f>
        <v/>
      </c>
      <c r="GY316" s="663" t="str">
        <f ca="1">IF($FN316+GY$244&gt;73,"",PRODUCT(INDEX($T$19:$T$93,GY$244):INDEX($T$19:$T$93,GY$244+$FN316-1)))</f>
        <v/>
      </c>
      <c r="GZ316" s="663" t="str">
        <f ca="1">IF($FN316+GZ$244&gt;73,"",PRODUCT(INDEX($T$19:$T$93,GZ$244):INDEX($T$19:$T$93,GZ$244+$FN316-1)))</f>
        <v/>
      </c>
      <c r="HA316" s="663" t="str">
        <f ca="1">IF($FN316+HA$244&gt;73,"",PRODUCT(INDEX($T$19:$T$93,HA$244):INDEX($T$19:$T$93,HA$244+$FN316-1)))</f>
        <v/>
      </c>
      <c r="HB316" s="663" t="str">
        <f ca="1">IF($FN316+HB$244&gt;73,"",PRODUCT(INDEX($T$19:$T$93,HB$244):INDEX($T$19:$T$93,HB$244+$FN316-1)))</f>
        <v/>
      </c>
      <c r="HC316" s="663" t="str">
        <f ca="1">IF($FN316+HC$244&gt;73,"",PRODUCT(INDEX($T$19:$T$93,HC$244):INDEX($T$19:$T$93,HC$244+$FN316-1)))</f>
        <v/>
      </c>
      <c r="HD316" s="663" t="str">
        <f ca="1">IF($FN316+HD$244&gt;73,"",PRODUCT(INDEX($T$19:$T$93,HD$244):INDEX($T$19:$T$93,HD$244+$FN316-1)))</f>
        <v/>
      </c>
      <c r="HE316" s="663" t="str">
        <f ca="1">IF($FN316+HE$244&gt;73,"",PRODUCT(INDEX($T$19:$T$93,HE$244):INDEX($T$19:$T$93,HE$244+$FN316-1)))</f>
        <v/>
      </c>
      <c r="HF316" s="663" t="str">
        <f ca="1">IF($FN316+HF$244&gt;73,"",PRODUCT(INDEX($T$19:$T$93,HF$244):INDEX($T$19:$T$93,HF$244+$FN316-1)))</f>
        <v/>
      </c>
      <c r="HG316" s="663" t="str">
        <f ca="1">IF($FN316+HG$244&gt;73,"",PRODUCT(INDEX($T$19:$T$93,HG$244):INDEX($T$19:$T$93,HG$244+$FN316-1)))</f>
        <v/>
      </c>
      <c r="HH316" s="663" t="str">
        <f ca="1">IF($FN316+HH$244&gt;73,"",PRODUCT(INDEX($T$19:$T$93,HH$244):INDEX($T$19:$T$93,HH$244+$FN316-1)))</f>
        <v/>
      </c>
      <c r="HI316" s="663" t="str">
        <f ca="1">IF($FN316+HI$244&gt;73,"",PRODUCT(INDEX($T$19:$T$93,HI$244):INDEX($T$19:$T$93,HI$244+$FN316-1)))</f>
        <v/>
      </c>
      <c r="HJ316" s="663" t="str">
        <f ca="1">IF($FN316+HJ$244&gt;73,"",PRODUCT(INDEX($T$19:$T$93,HJ$244):INDEX($T$19:$T$93,HJ$244+$FN316-1)))</f>
        <v/>
      </c>
      <c r="HK316" s="663" t="str">
        <f ca="1">IF($FN316+HK$244&gt;73,"",PRODUCT(INDEX($T$19:$T$93,HK$244):INDEX($T$19:$T$93,HK$244+$FN316-1)))</f>
        <v/>
      </c>
      <c r="HL316" s="663" t="str">
        <f ca="1">IF($FN316+HL$244&gt;73,"",PRODUCT(INDEX($T$19:$T$93,HL$244):INDEX($T$19:$T$93,HL$244+$FN316-1)))</f>
        <v/>
      </c>
      <c r="HM316" s="663" t="str">
        <f ca="1">IF($FN316+HM$244&gt;73,"",PRODUCT(INDEX($T$19:$T$93,HM$244):INDEX($T$19:$T$93,HM$244+$FN316-1)))</f>
        <v/>
      </c>
      <c r="HN316" s="663" t="str">
        <f ca="1">IF($FN316+HN$244&gt;73,"",PRODUCT(INDEX($T$19:$T$93,HN$244):INDEX($T$19:$T$93,HN$244+$FN316-1)))</f>
        <v/>
      </c>
      <c r="HO316" s="663" t="str">
        <f ca="1">IF($FN316+HO$244&gt;73,"",PRODUCT(INDEX($T$19:$T$93,HO$244):INDEX($T$19:$T$93,HO$244+$FN316-1)))</f>
        <v/>
      </c>
      <c r="HP316" s="663" t="str">
        <f ca="1">IF($FN316+HP$244&gt;73,"",PRODUCT(INDEX($T$19:$T$93,HP$244):INDEX($T$19:$T$93,HP$244+$FN316-1)))</f>
        <v/>
      </c>
      <c r="HQ316" s="663" t="str">
        <f ca="1">IF($FN316+HQ$244&gt;73,"",PRODUCT(INDEX($T$19:$T$93,HQ$244):INDEX($T$19:$T$93,HQ$244+$FN316-1)))</f>
        <v/>
      </c>
      <c r="HR316" s="663" t="str">
        <f ca="1">IF($FN316+HR$244&gt;73,"",PRODUCT(INDEX($T$19:$T$93,HR$244):INDEX($T$19:$T$93,HR$244+$FN316-1)))</f>
        <v/>
      </c>
      <c r="HS316" s="663" t="str">
        <f ca="1">IF($FN316+HS$244&gt;73,"",PRODUCT(INDEX($T$19:$T$93,HS$244):INDEX($T$19:$T$93,HS$244+$FN316-1)))</f>
        <v/>
      </c>
      <c r="HT316" s="663" t="str">
        <f ca="1">IF($FN316+HT$244&gt;73,"",PRODUCT(INDEX($T$19:$T$93,HT$244):INDEX($T$19:$T$93,HT$244+$FN316-1)))</f>
        <v/>
      </c>
      <c r="HU316" s="663" t="str">
        <f ca="1">IF($FN316+HU$244&gt;73,"",PRODUCT(INDEX($T$19:$T$93,HU$244):INDEX($T$19:$T$93,HU$244+$FN316-1)))</f>
        <v/>
      </c>
      <c r="HV316" s="663" t="str">
        <f ca="1">IF($FN316+HV$244&gt;73,"",PRODUCT(INDEX($T$19:$T$93,HV$244):INDEX($T$19:$T$93,HV$244+$FN316-1)))</f>
        <v/>
      </c>
      <c r="HW316" s="663" t="str">
        <f ca="1">IF($FN316+HW$244&gt;73,"",PRODUCT(INDEX($T$19:$T$93,HW$244):INDEX($T$19:$T$93,HW$244+$FN316-1)))</f>
        <v/>
      </c>
      <c r="HX316" s="663" t="str">
        <f ca="1">IF($FN316+HX$244&gt;73,"",PRODUCT(INDEX($T$19:$T$93,HX$244):INDEX($T$19:$T$93,HX$244+$FN316-1)))</f>
        <v/>
      </c>
      <c r="HY316" s="663" t="str">
        <f ca="1">IF($FN316+HY$244&gt;73,"",PRODUCT(INDEX($T$19:$T$93,HY$244):INDEX($T$19:$T$93,HY$244+$FN316-1)))</f>
        <v/>
      </c>
      <c r="HZ316" s="663" t="str">
        <f ca="1">IF($FN316+HZ$244&gt;73,"",PRODUCT(INDEX($T$19:$T$93,HZ$244):INDEX($T$19:$T$93,HZ$244+$FN316-1)))</f>
        <v/>
      </c>
      <c r="IA316" s="663" t="str">
        <f ca="1">IF($FN316+IA$244&gt;73,"",PRODUCT(INDEX($T$19:$T$93,IA$244):INDEX($T$19:$T$93,IA$244+$FN316-1)))</f>
        <v/>
      </c>
      <c r="IB316" s="663" t="str">
        <f ca="1">IF($FN316+IB$244&gt;73,"",PRODUCT(INDEX($T$19:$T$93,IB$244):INDEX($T$19:$T$93,IB$244+$FN316-1)))</f>
        <v/>
      </c>
      <c r="IC316" s="663" t="str">
        <f ca="1">IF($FN316+IC$244&gt;73,"",PRODUCT(INDEX($T$19:$T$93,IC$244):INDEX($T$19:$T$93,IC$244+$FN316-1)))</f>
        <v/>
      </c>
      <c r="ID316" s="663" t="str">
        <f ca="1">IF($FN316+ID$244&gt;73,"",PRODUCT(INDEX($T$19:$T$93,ID$244):INDEX($T$19:$T$93,ID$244+$FN316-1)))</f>
        <v/>
      </c>
      <c r="IE316" s="663" t="str">
        <f ca="1">IF($FN316+IE$244&gt;73,"",PRODUCT(INDEX($T$19:$T$93,IE$244):INDEX($T$19:$T$93,IE$244+$FN316-1)))</f>
        <v/>
      </c>
      <c r="IF316" s="663" t="str">
        <f ca="1">IF($FN316+IF$244&gt;73,"",PRODUCT(INDEX($T$19:$T$93,IF$244):INDEX($T$19:$T$93,IF$244+$FN316-1)))</f>
        <v/>
      </c>
      <c r="IG316" s="663" t="str">
        <f ca="1">IF($FN316+IG$244&gt;73,"",PRODUCT(INDEX($T$19:$T$93,IG$244):INDEX($T$19:$T$93,IG$244+$FN316-1)))</f>
        <v/>
      </c>
      <c r="IH316" s="664">
        <f ca="1">IF($FN316+IH$244&gt;73,"",PRODUCT(INDEX($T$19:$T$93,IH$244):INDEX($T$19:$T$93,IH$244+$FN316-1)))</f>
        <v>0.38661910898220875</v>
      </c>
      <c r="II316" s="242"/>
    </row>
    <row r="317" spans="9:243">
      <c r="I317" s="132"/>
      <c r="J317" s="365"/>
      <c r="K317" s="133"/>
      <c r="L317" s="1"/>
      <c r="M317" s="366"/>
      <c r="P317" s="365"/>
      <c r="S317" s="53"/>
      <c r="T317" s="365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364">
        <v>6.5236467474939691E-2</v>
      </c>
      <c r="AP317" s="1"/>
      <c r="AQ317" s="364">
        <v>5.7521338632059701E-2</v>
      </c>
      <c r="AR317" s="1"/>
      <c r="AS317" s="103"/>
      <c r="AT317" s="103"/>
      <c r="AU317" s="103"/>
      <c r="AV317" s="31"/>
      <c r="AW317" s="31"/>
      <c r="AX317" s="31"/>
      <c r="AY317" s="31"/>
      <c r="AZ317" s="146"/>
      <c r="BA317" s="146"/>
      <c r="BB317" s="103"/>
      <c r="BC317" s="103"/>
      <c r="BD317" s="103"/>
      <c r="BE317" s="103"/>
      <c r="BF317" s="104"/>
      <c r="BG317" s="104"/>
      <c r="BH317" s="104"/>
      <c r="BI317" s="104"/>
      <c r="BJ317" s="104"/>
      <c r="BK317" s="103"/>
      <c r="BL317" s="105"/>
      <c r="BM317" s="103"/>
      <c r="BN317" s="103"/>
      <c r="BO317" s="103"/>
      <c r="BP317" s="103"/>
      <c r="BQ317" s="103"/>
      <c r="BR317" s="103"/>
      <c r="BS317" s="103"/>
      <c r="BT317" s="103"/>
      <c r="BU317" s="103"/>
      <c r="BV317" s="103"/>
      <c r="BW317" s="103"/>
      <c r="BX317" s="103"/>
      <c r="BY317" s="103"/>
      <c r="BZ317" s="103"/>
      <c r="CA317" s="104"/>
      <c r="CB317" s="104"/>
      <c r="CC317" s="104"/>
      <c r="CD317" s="104"/>
      <c r="CE317" s="104"/>
      <c r="CF317" s="104"/>
      <c r="CG317" s="103"/>
      <c r="CH317" s="103"/>
      <c r="CI317" s="103"/>
      <c r="CJ317" s="103"/>
      <c r="CK317" s="103"/>
      <c r="CL317" s="103"/>
      <c r="CM317" s="103"/>
      <c r="CN317" s="103"/>
      <c r="CO317" s="103"/>
      <c r="CP317" s="103"/>
      <c r="CQ317" s="103"/>
      <c r="CR317" s="103"/>
      <c r="CS317" s="103"/>
      <c r="CT317" s="103"/>
      <c r="CU317" s="103"/>
      <c r="CV317" s="103"/>
      <c r="CW317" s="103"/>
      <c r="CX317" s="103"/>
      <c r="CY317" s="103"/>
      <c r="CZ317" s="103"/>
      <c r="DA317" s="103"/>
      <c r="DB317" s="103"/>
      <c r="DC317" s="103"/>
      <c r="DD317" s="103"/>
      <c r="DE317" s="103"/>
      <c r="DF317" s="465"/>
      <c r="DG317" s="107"/>
      <c r="DH317" s="1"/>
      <c r="DI317" s="465"/>
      <c r="DJ317" s="52"/>
      <c r="DK317" s="52"/>
      <c r="DL317" s="52"/>
      <c r="DM317" s="52"/>
      <c r="DN317" s="52"/>
      <c r="DO317" s="52"/>
      <c r="DP317" s="52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P317" s="53"/>
      <c r="EQ317" s="1"/>
      <c r="ER317" s="102"/>
      <c r="ES317" s="103"/>
      <c r="ET317" s="1"/>
      <c r="EU317" s="103"/>
      <c r="EV317" s="1"/>
      <c r="EW317" s="1"/>
      <c r="EX317" s="1"/>
      <c r="EY317" s="102"/>
      <c r="FN317" s="242"/>
      <c r="FO317" s="242"/>
      <c r="FP317" s="242"/>
      <c r="FQ317" s="242"/>
      <c r="FR317" s="242"/>
      <c r="FS317" s="242"/>
      <c r="FT317" s="242"/>
      <c r="FU317" s="242"/>
      <c r="FV317" s="242"/>
      <c r="FW317" s="242"/>
      <c r="FX317" s="242"/>
      <c r="FY317" s="242"/>
      <c r="FZ317" s="242"/>
      <c r="GA317" s="242"/>
      <c r="GB317" s="242"/>
      <c r="GC317" s="242"/>
      <c r="GD317" s="242"/>
      <c r="GE317" s="242"/>
      <c r="GF317" s="242"/>
      <c r="GG317" s="242"/>
      <c r="GH317" s="242"/>
      <c r="GI317" s="242"/>
      <c r="GJ317" s="242"/>
      <c r="GK317" s="242"/>
      <c r="GL317" s="242"/>
      <c r="GM317" s="242"/>
      <c r="GN317" s="242"/>
      <c r="GO317" s="242"/>
      <c r="GP317" s="242"/>
      <c r="GQ317" s="242"/>
      <c r="GR317" s="242"/>
      <c r="GS317" s="242"/>
      <c r="GT317" s="242"/>
      <c r="GU317" s="242"/>
      <c r="GV317" s="242"/>
      <c r="GW317" s="242"/>
      <c r="GX317" s="242"/>
      <c r="GY317" s="242"/>
      <c r="GZ317" s="242"/>
      <c r="HA317" s="242"/>
      <c r="HB317" s="242"/>
      <c r="HC317" s="242"/>
      <c r="HD317" s="242"/>
      <c r="HE317" s="242"/>
      <c r="HF317" s="242"/>
      <c r="HG317" s="242"/>
      <c r="HH317" s="242"/>
      <c r="HI317" s="242"/>
      <c r="HJ317" s="242"/>
      <c r="HK317" s="242"/>
      <c r="HL317" s="242"/>
      <c r="HM317" s="242"/>
      <c r="HN317" s="242"/>
      <c r="HO317" s="242"/>
      <c r="HP317" s="242"/>
      <c r="HQ317" s="242"/>
      <c r="HR317" s="242"/>
      <c r="HS317" s="242"/>
      <c r="HT317" s="242"/>
      <c r="HU317" s="242"/>
      <c r="HV317" s="242"/>
      <c r="HW317" s="242"/>
      <c r="HX317" s="242"/>
      <c r="HY317" s="242"/>
      <c r="HZ317" s="242"/>
      <c r="IA317" s="242"/>
      <c r="IB317" s="242"/>
      <c r="IC317" s="242"/>
      <c r="ID317" s="242"/>
      <c r="IE317" s="242"/>
      <c r="IF317" s="242"/>
      <c r="IG317" s="242"/>
      <c r="IH317" s="242"/>
      <c r="II317" s="242"/>
    </row>
    <row r="318" spans="9:243" ht="15.6">
      <c r="I318" s="132"/>
      <c r="J318" s="365"/>
      <c r="K318" s="133"/>
      <c r="L318" s="1"/>
      <c r="M318" s="366"/>
      <c r="P318" s="365"/>
      <c r="S318" s="53"/>
      <c r="T318" s="365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364">
        <v>6.52460848216245E-2</v>
      </c>
      <c r="AP318" s="1"/>
      <c r="AQ318" s="364">
        <v>5.7485904703488397E-2</v>
      </c>
      <c r="AR318" s="1"/>
      <c r="AS318" s="103"/>
      <c r="AT318" s="103"/>
      <c r="AU318" s="103"/>
      <c r="AV318" s="31"/>
      <c r="AW318" s="31"/>
      <c r="AX318" s="31"/>
      <c r="AY318" s="31"/>
      <c r="AZ318" s="146"/>
      <c r="BA318" s="146"/>
      <c r="BB318" s="103"/>
      <c r="BC318" s="103"/>
      <c r="BD318" s="103"/>
      <c r="BE318" s="103"/>
      <c r="BF318" s="104"/>
      <c r="BG318" s="104"/>
      <c r="BH318" s="104"/>
      <c r="BI318" s="104"/>
      <c r="BJ318" s="104"/>
      <c r="BK318" s="103"/>
      <c r="BL318" s="105"/>
      <c r="BM318" s="103"/>
      <c r="BN318" s="103"/>
      <c r="BO318" s="103"/>
      <c r="BP318" s="103"/>
      <c r="BQ318" s="103"/>
      <c r="BR318" s="103"/>
      <c r="BS318" s="103"/>
      <c r="BT318" s="103"/>
      <c r="BU318" s="103"/>
      <c r="BV318" s="103"/>
      <c r="BW318" s="103"/>
      <c r="BX318" s="103"/>
      <c r="BY318" s="103"/>
      <c r="BZ318" s="103"/>
      <c r="CA318" s="104"/>
      <c r="CB318" s="104"/>
      <c r="CC318" s="104"/>
      <c r="CD318" s="104"/>
      <c r="CE318" s="104"/>
      <c r="CF318" s="104"/>
      <c r="CG318" s="103"/>
      <c r="CH318" s="103"/>
      <c r="CI318" s="103"/>
      <c r="CJ318" s="103"/>
      <c r="CK318" s="103"/>
      <c r="CL318" s="103"/>
      <c r="CM318" s="103"/>
      <c r="CN318" s="103"/>
      <c r="CO318" s="103"/>
      <c r="CP318" s="103"/>
      <c r="CQ318" s="103"/>
      <c r="CR318" s="103"/>
      <c r="CS318" s="103"/>
      <c r="CT318" s="103"/>
      <c r="CU318" s="103"/>
      <c r="CV318" s="103"/>
      <c r="CW318" s="103"/>
      <c r="CX318" s="103"/>
      <c r="CY318" s="103"/>
      <c r="CZ318" s="103"/>
      <c r="DA318" s="103"/>
      <c r="DB318" s="103"/>
      <c r="DC318" s="103"/>
      <c r="DD318" s="103"/>
      <c r="DE318" s="103"/>
      <c r="DF318" s="465"/>
      <c r="DG318" s="107"/>
      <c r="DH318" s="1"/>
      <c r="DI318" s="465"/>
      <c r="DJ318" s="52"/>
      <c r="DK318" s="52"/>
      <c r="DL318" s="52"/>
      <c r="DM318" s="52"/>
      <c r="DN318" s="52"/>
      <c r="DO318" s="52"/>
      <c r="DP318" s="52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P318" s="53"/>
      <c r="EQ318" s="1"/>
      <c r="ER318" s="102"/>
      <c r="ES318" s="103"/>
      <c r="ET318" s="1"/>
      <c r="EU318" s="103"/>
      <c r="EV318" s="1"/>
      <c r="EW318" s="1"/>
      <c r="EX318" s="1"/>
      <c r="EY318" s="102"/>
      <c r="FN318" s="448" t="s">
        <v>490</v>
      </c>
      <c r="FO318" s="242"/>
      <c r="FP318" s="242"/>
      <c r="FQ318" s="242"/>
      <c r="FR318" s="242"/>
      <c r="FS318" s="242"/>
      <c r="FT318" s="242"/>
      <c r="FU318" s="242"/>
      <c r="FV318" s="242"/>
      <c r="FW318" s="242"/>
      <c r="FX318" s="242"/>
      <c r="FY318" s="242"/>
      <c r="FZ318" s="242"/>
      <c r="GA318" s="242"/>
      <c r="GB318" s="242"/>
      <c r="GC318" s="242"/>
      <c r="GD318" s="242"/>
      <c r="GE318" s="242"/>
      <c r="GF318" s="242"/>
      <c r="GG318" s="242"/>
      <c r="GH318" s="242"/>
      <c r="GI318" s="242"/>
      <c r="GJ318" s="242"/>
      <c r="GK318" s="242"/>
      <c r="GL318" s="242"/>
      <c r="GM318" s="242"/>
      <c r="GN318" s="242"/>
      <c r="GO318" s="242"/>
      <c r="GP318" s="242"/>
      <c r="GQ318" s="242"/>
      <c r="GR318" s="242"/>
      <c r="GS318" s="242"/>
      <c r="GT318" s="242"/>
      <c r="GU318" s="242"/>
      <c r="GV318" s="242"/>
      <c r="GW318" s="242"/>
      <c r="GX318" s="242"/>
      <c r="GY318" s="242"/>
      <c r="GZ318" s="242"/>
      <c r="HA318" s="242"/>
      <c r="HB318" s="242"/>
      <c r="HC318" s="242"/>
      <c r="HD318" s="242"/>
      <c r="HE318" s="242"/>
      <c r="HF318" s="242"/>
      <c r="HG318" s="242"/>
      <c r="HH318" s="242"/>
      <c r="HI318" s="242"/>
      <c r="HJ318" s="242"/>
      <c r="HK318" s="242"/>
      <c r="HL318" s="242"/>
      <c r="HM318" s="242"/>
      <c r="HN318" s="242"/>
      <c r="HO318" s="242"/>
      <c r="HP318" s="242"/>
      <c r="HQ318" s="242"/>
      <c r="HR318" s="242"/>
      <c r="HS318" s="242"/>
      <c r="HT318" s="242"/>
      <c r="HU318" s="242"/>
      <c r="HV318" s="242"/>
      <c r="HW318" s="242"/>
      <c r="HX318" s="242"/>
      <c r="HY318" s="242"/>
      <c r="HZ318" s="242"/>
      <c r="IA318" s="242"/>
      <c r="IB318" s="242"/>
      <c r="IC318" s="242"/>
      <c r="ID318" s="242"/>
      <c r="IE318" s="242"/>
      <c r="IF318" s="242"/>
      <c r="IG318" s="242"/>
      <c r="IH318" s="242"/>
      <c r="II318" s="242"/>
    </row>
    <row r="319" spans="9:243">
      <c r="I319" s="132"/>
      <c r="J319" s="365"/>
      <c r="K319" s="133"/>
      <c r="L319" s="1"/>
      <c r="M319" s="366"/>
      <c r="P319" s="365"/>
      <c r="S319" s="53"/>
      <c r="T319" s="365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364"/>
      <c r="AO319" s="364">
        <v>6.5256732598347106E-2</v>
      </c>
      <c r="AP319" s="103"/>
      <c r="AQ319" s="364">
        <v>5.7446674292800801E-2</v>
      </c>
      <c r="AR319" s="103"/>
      <c r="AS319" s="103"/>
      <c r="AT319" s="103"/>
      <c r="AU319" s="31"/>
      <c r="AV319" s="31"/>
      <c r="AW319" s="31"/>
      <c r="AX319" s="31"/>
      <c r="AY319" s="146"/>
      <c r="AZ319" s="146"/>
      <c r="BA319" s="103"/>
      <c r="BB319" s="103"/>
      <c r="BC319" s="103"/>
      <c r="BD319" s="103"/>
      <c r="BE319" s="104"/>
      <c r="BF319" s="104"/>
      <c r="BG319" s="104"/>
      <c r="BH319" s="102"/>
      <c r="BI319" s="104"/>
      <c r="BJ319" s="103"/>
      <c r="BK319" s="105"/>
      <c r="BL319" s="151"/>
      <c r="BM319" s="103"/>
      <c r="BN319" s="103"/>
      <c r="BO319" s="103"/>
      <c r="BP319" s="103"/>
      <c r="BQ319" s="103"/>
      <c r="BR319" s="103"/>
      <c r="BS319" s="103"/>
      <c r="BT319" s="103"/>
      <c r="BU319" s="103"/>
      <c r="BV319" s="103"/>
      <c r="BW319" s="103"/>
      <c r="BX319" s="103"/>
      <c r="BY319" s="103"/>
      <c r="BZ319" s="104"/>
      <c r="CA319" s="104"/>
      <c r="CB319" s="104"/>
      <c r="CC319" s="104"/>
      <c r="CD319" s="104"/>
      <c r="CE319" s="104"/>
      <c r="CF319" s="103"/>
      <c r="CG319" s="103"/>
      <c r="CH319" s="103"/>
      <c r="CI319" s="103"/>
      <c r="CJ319" s="103"/>
      <c r="CK319" s="103"/>
      <c r="CL319" s="103"/>
      <c r="CM319" s="103"/>
      <c r="CN319" s="103"/>
      <c r="CO319" s="103"/>
      <c r="CP319" s="103"/>
      <c r="CQ319" s="103"/>
      <c r="CR319" s="103"/>
      <c r="CS319" s="103"/>
      <c r="CT319" s="103"/>
      <c r="CU319" s="103"/>
      <c r="CV319" s="103"/>
      <c r="CW319" s="103"/>
      <c r="CX319" s="103"/>
      <c r="CY319" s="103"/>
      <c r="CZ319" s="103"/>
      <c r="DA319" s="103"/>
      <c r="DB319" s="103"/>
      <c r="DC319" s="103"/>
      <c r="DD319" s="103"/>
      <c r="DE319" s="107"/>
      <c r="DF319" s="465"/>
      <c r="DG319" s="1"/>
      <c r="DH319" s="51"/>
      <c r="DI319" s="465"/>
      <c r="DJ319" s="52"/>
      <c r="DK319" s="52"/>
      <c r="DL319" s="52"/>
      <c r="DM319" s="52"/>
      <c r="DN319" s="52"/>
      <c r="DO319" s="52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P319" s="53"/>
      <c r="EQ319" s="1"/>
      <c r="ER319" s="103"/>
      <c r="ES319" s="103"/>
      <c r="ET319" s="1"/>
      <c r="EU319" s="103"/>
      <c r="EV319" s="1"/>
      <c r="EW319" s="1"/>
      <c r="EX319" s="1"/>
      <c r="EY319" s="104"/>
      <c r="FN319" s="456" t="s">
        <v>227</v>
      </c>
      <c r="FO319" s="242"/>
      <c r="FP319" s="242"/>
      <c r="FQ319" s="242"/>
      <c r="FR319" s="242"/>
      <c r="FS319" s="242"/>
      <c r="FT319" s="242"/>
      <c r="FU319" s="242"/>
      <c r="FV319" s="242"/>
      <c r="FW319" s="242"/>
      <c r="FX319" s="242"/>
      <c r="FY319" s="242"/>
      <c r="FZ319" s="242"/>
      <c r="GA319" s="242"/>
      <c r="GB319" s="242"/>
      <c r="GC319" s="242"/>
      <c r="GD319" s="242"/>
      <c r="GE319" s="242"/>
      <c r="GF319" s="242"/>
      <c r="GG319" s="242"/>
      <c r="GH319" s="242"/>
      <c r="GI319" s="242"/>
      <c r="GJ319" s="242"/>
      <c r="GK319" s="242"/>
      <c r="GL319" s="242"/>
      <c r="GM319" s="242"/>
      <c r="GN319" s="242"/>
      <c r="GO319" s="242"/>
      <c r="GP319" s="242"/>
      <c r="GQ319" s="242"/>
      <c r="GR319" s="242"/>
      <c r="GS319" s="242"/>
      <c r="GT319" s="242"/>
      <c r="GU319" s="242"/>
      <c r="GV319" s="242"/>
      <c r="GW319" s="242"/>
      <c r="GX319" s="242"/>
      <c r="GY319" s="242"/>
      <c r="GZ319" s="242"/>
      <c r="HA319" s="242"/>
      <c r="HB319" s="242"/>
      <c r="HC319" s="242"/>
      <c r="HD319" s="242"/>
      <c r="HE319" s="242"/>
      <c r="HF319" s="242"/>
      <c r="HG319" s="242"/>
      <c r="HH319" s="242"/>
      <c r="HI319" s="242"/>
      <c r="HJ319" s="242"/>
      <c r="HK319" s="242"/>
      <c r="HL319" s="242"/>
      <c r="HM319" s="242"/>
      <c r="HN319" s="242"/>
      <c r="HO319" s="242"/>
      <c r="HP319" s="242"/>
      <c r="HQ319" s="242"/>
      <c r="HR319" s="242"/>
      <c r="HS319" s="242"/>
      <c r="HT319" s="242"/>
      <c r="HU319" s="242"/>
      <c r="HV319" s="242"/>
      <c r="HW319" s="242"/>
      <c r="HX319" s="242"/>
      <c r="HY319" s="242"/>
      <c r="HZ319" s="242"/>
      <c r="IA319" s="242"/>
      <c r="IB319" s="242"/>
      <c r="IC319" s="242"/>
      <c r="ID319" s="242"/>
      <c r="IE319" s="242"/>
      <c r="IF319" s="242"/>
      <c r="IG319" s="242"/>
      <c r="IH319" s="242"/>
      <c r="II319" s="242"/>
    </row>
    <row r="320" spans="9:243">
      <c r="I320" s="132"/>
      <c r="J320" s="365"/>
      <c r="K320" s="133"/>
      <c r="L320" s="1"/>
      <c r="M320" s="366"/>
      <c r="P320" s="365"/>
      <c r="S320" s="53"/>
      <c r="T320" s="365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364"/>
      <c r="AO320" s="364">
        <v>6.52670368984372E-2</v>
      </c>
      <c r="AP320" s="103"/>
      <c r="AQ320" s="364">
        <v>5.740870938947E-2</v>
      </c>
      <c r="AR320" s="103"/>
      <c r="AS320" s="103"/>
      <c r="AT320" s="103"/>
      <c r="AU320" s="31"/>
      <c r="AV320" s="31"/>
      <c r="AW320" s="31"/>
      <c r="AX320" s="31"/>
      <c r="AY320" s="146"/>
      <c r="AZ320" s="146"/>
      <c r="BA320" s="103"/>
      <c r="BB320" s="103"/>
      <c r="BC320" s="103"/>
      <c r="BD320" s="103"/>
      <c r="BE320" s="104"/>
      <c r="BF320" s="104"/>
      <c r="BG320" s="104"/>
      <c r="BH320" s="102"/>
      <c r="BI320" s="104"/>
      <c r="BJ320" s="103"/>
      <c r="BK320" s="105"/>
      <c r="BL320" s="151"/>
      <c r="BM320" s="103"/>
      <c r="BN320" s="103"/>
      <c r="BO320" s="103"/>
      <c r="BP320" s="103"/>
      <c r="BQ320" s="103"/>
      <c r="BR320" s="103"/>
      <c r="BS320" s="103"/>
      <c r="BT320" s="103"/>
      <c r="BU320" s="103"/>
      <c r="BV320" s="103"/>
      <c r="BW320" s="103"/>
      <c r="BX320" s="103"/>
      <c r="BY320" s="103"/>
      <c r="BZ320" s="104"/>
      <c r="CA320" s="104"/>
      <c r="CB320" s="104"/>
      <c r="CC320" s="104"/>
      <c r="CD320" s="104"/>
      <c r="CE320" s="104"/>
      <c r="CF320" s="103"/>
      <c r="CG320" s="103"/>
      <c r="CH320" s="103"/>
      <c r="CI320" s="103"/>
      <c r="CJ320" s="103"/>
      <c r="CK320" s="103"/>
      <c r="CL320" s="103"/>
      <c r="CM320" s="103"/>
      <c r="CN320" s="103"/>
      <c r="CO320" s="103"/>
      <c r="CP320" s="103"/>
      <c r="CQ320" s="103"/>
      <c r="CR320" s="103"/>
      <c r="CS320" s="103"/>
      <c r="CT320" s="103"/>
      <c r="CU320" s="103"/>
      <c r="CV320" s="103"/>
      <c r="CW320" s="103"/>
      <c r="CX320" s="103"/>
      <c r="CY320" s="103"/>
      <c r="CZ320" s="103"/>
      <c r="DA320" s="103"/>
      <c r="DB320" s="103"/>
      <c r="DC320" s="103"/>
      <c r="DD320" s="103"/>
      <c r="DE320" s="107"/>
      <c r="DF320" s="465"/>
      <c r="DG320" s="1"/>
      <c r="DH320" s="51"/>
      <c r="DI320" s="465"/>
      <c r="DJ320" s="52"/>
      <c r="DK320" s="52"/>
      <c r="DL320" s="52"/>
      <c r="DM320" s="52"/>
      <c r="DN320" s="52"/>
      <c r="DO320" s="52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P320" s="53"/>
      <c r="EQ320" s="1"/>
      <c r="ER320" s="103"/>
      <c r="ES320" s="103"/>
      <c r="ET320" s="1"/>
      <c r="EU320" s="103"/>
      <c r="EV320" s="1"/>
      <c r="EW320" s="1"/>
      <c r="EX320" s="1"/>
      <c r="EY320" s="104"/>
      <c r="FN320" s="242"/>
      <c r="FO320" s="458">
        <f ca="1">FO15</f>
        <v>2.190280629705681E-2</v>
      </c>
      <c r="FP320" s="447">
        <f ca="1">IF(SwaptionYearsToExp&lt;=SUM($FO$15:FO15),"",MIN(FP$15,SwaptionYearsToExp-SUM($FO$15:FO15)))</f>
        <v>3.5592060232717312E-2</v>
      </c>
      <c r="FQ320" s="447" t="str">
        <f ca="1">IF(SwaptionYearsToExp&lt;=SUM($FO$15:FP15),"",MIN(FQ$15,SwaptionYearsToExp-SUM($FO$15:FP15)))</f>
        <v/>
      </c>
      <c r="FR320" s="447" t="str">
        <f ca="1">IF(SwaptionYearsToExp&lt;=SUM($FO$15:FQ15),"",MIN(FR$15,SwaptionYearsToExp-SUM($FO$15:FQ15)))</f>
        <v/>
      </c>
      <c r="FS320" s="447" t="str">
        <f ca="1">IF(SwaptionYearsToExp&lt;=SUM($FO$15:FR15),"",MIN(FS$15,SwaptionYearsToExp-SUM($FO$15:FR15)))</f>
        <v/>
      </c>
      <c r="FT320" s="447" t="str">
        <f ca="1">IF(SwaptionYearsToExp&lt;=SUM($FO$15:FS15),"",MIN(FT$15,SwaptionYearsToExp-SUM($FO$15:FS15)))</f>
        <v/>
      </c>
      <c r="FU320" s="447" t="str">
        <f ca="1">IF(SwaptionYearsToExp&lt;=SUM($FO$15:FT15),"",MIN(FU$15,SwaptionYearsToExp-SUM($FO$15:FT15)))</f>
        <v/>
      </c>
      <c r="FV320" s="447" t="str">
        <f ca="1">IF(SwaptionYearsToExp&lt;=SUM($FO$15:FU15),"",MIN(FV$15,SwaptionYearsToExp-SUM($FO$15:FU15)))</f>
        <v/>
      </c>
      <c r="FW320" s="447" t="str">
        <f ca="1">IF(SwaptionYearsToExp&lt;=SUM($FO$15:FV15),"",MIN(FW$15,SwaptionYearsToExp-SUM($FO$15:FV15)))</f>
        <v/>
      </c>
      <c r="FX320" s="447" t="str">
        <f ca="1">IF(SwaptionYearsToExp&lt;=SUM($FO$15:FW15),"",MIN(FX$15,SwaptionYearsToExp-SUM($FO$15:FW15)))</f>
        <v/>
      </c>
      <c r="FY320" s="447" t="str">
        <f ca="1">IF(SwaptionYearsToExp&lt;=SUM($FO$15:FX15),"",MIN(FY$15,SwaptionYearsToExp-SUM($FO$15:FX15)))</f>
        <v/>
      </c>
      <c r="FZ320" s="447" t="str">
        <f ca="1">IF(SwaptionYearsToExp&lt;=SUM($FO$15:FY15),"",MIN(FZ$15,SwaptionYearsToExp-SUM($FO$15:FY15)))</f>
        <v/>
      </c>
      <c r="GA320" s="447" t="str">
        <f ca="1">IF(SwaptionYearsToExp&lt;=SUM($FO$15:FZ15),"",MIN(GA$15,SwaptionYearsToExp-SUM($FO$15:FZ15)))</f>
        <v/>
      </c>
      <c r="GB320" s="447" t="str">
        <f ca="1">IF(SwaptionYearsToExp&lt;=SUM($FO$15:GA15),"",MIN(GB$15,SwaptionYearsToExp-SUM($FO$15:GA15)))</f>
        <v/>
      </c>
      <c r="GC320" s="447" t="str">
        <f ca="1">IF(SwaptionYearsToExp&lt;=SUM($FO$15:GB15),"",MIN(GC$15,SwaptionYearsToExp-SUM($FO$15:GB15)))</f>
        <v/>
      </c>
      <c r="GD320" s="447" t="str">
        <f ca="1">IF(SwaptionYearsToExp&lt;=SUM($FO$15:GC15),"",MIN(GD$15,SwaptionYearsToExp-SUM($FO$15:GC15)))</f>
        <v/>
      </c>
      <c r="GE320" s="447" t="str">
        <f ca="1">IF(SwaptionYearsToExp&lt;=SUM($FO$15:GD15),"",MIN(GE$15,SwaptionYearsToExp-SUM($FO$15:GD15)))</f>
        <v/>
      </c>
      <c r="GF320" s="447" t="str">
        <f ca="1">IF(SwaptionYearsToExp&lt;=SUM($FO$15:GE15),"",MIN(GF$15,SwaptionYearsToExp-SUM($FO$15:GE15)))</f>
        <v/>
      </c>
      <c r="GG320" s="447" t="str">
        <f ca="1">IF(SwaptionYearsToExp&lt;=SUM($FO$15:GF15),"",MIN(GG$15,SwaptionYearsToExp-SUM($FO$15:GF15)))</f>
        <v/>
      </c>
      <c r="GH320" s="447" t="str">
        <f ca="1">IF(SwaptionYearsToExp&lt;=SUM($FO$15:GG15),"",MIN(GH$15,SwaptionYearsToExp-SUM($FO$15:GG15)))</f>
        <v/>
      </c>
      <c r="GI320" s="447" t="str">
        <f ca="1">IF(SwaptionYearsToExp&lt;=SUM($FO$15:GH15),"",MIN(GI$15,SwaptionYearsToExp-SUM($FO$15:GH15)))</f>
        <v/>
      </c>
      <c r="GJ320" s="447" t="str">
        <f ca="1">IF(SwaptionYearsToExp&lt;=SUM($FO$15:GI15),"",MIN(GJ$15,SwaptionYearsToExp-SUM($FO$15:GI15)))</f>
        <v/>
      </c>
      <c r="GK320" s="447" t="str">
        <f ca="1">IF(SwaptionYearsToExp&lt;=SUM($FO$15:GJ15),"",MIN(GK$15,SwaptionYearsToExp-SUM($FO$15:GJ15)))</f>
        <v/>
      </c>
      <c r="GL320" s="447" t="str">
        <f ca="1">IF(SwaptionYearsToExp&lt;=SUM($FO$15:GK15),"",MIN(GL$15,SwaptionYearsToExp-SUM($FO$15:GK15)))</f>
        <v/>
      </c>
      <c r="GM320" s="447" t="str">
        <f ca="1">IF(SwaptionYearsToExp&lt;=SUM($FO$15:GL15),"",MIN(GM$15,SwaptionYearsToExp-SUM($FO$15:GL15)))</f>
        <v/>
      </c>
      <c r="GN320" s="447" t="str">
        <f ca="1">IF(SwaptionYearsToExp&lt;=SUM($FO$15:GM15),"",MIN(GN$15,SwaptionYearsToExp-SUM($FO$15:GM15)))</f>
        <v/>
      </c>
      <c r="GO320" s="447" t="str">
        <f ca="1">IF(SwaptionYearsToExp&lt;=SUM($FO$15:GN15),"",MIN(GO$15,SwaptionYearsToExp-SUM($FO$15:GN15)))</f>
        <v/>
      </c>
      <c r="GP320" s="447" t="str">
        <f ca="1">IF(SwaptionYearsToExp&lt;=SUM($FO$15:GO15),"",MIN(GP$15,SwaptionYearsToExp-SUM($FO$15:GO15)))</f>
        <v/>
      </c>
      <c r="GQ320" s="447" t="str">
        <f ca="1">IF(SwaptionYearsToExp&lt;=SUM($FO$15:GP15),"",MIN(GQ$15,SwaptionYearsToExp-SUM($FO$15:GP15)))</f>
        <v/>
      </c>
      <c r="GR320" s="447" t="str">
        <f ca="1">IF(SwaptionYearsToExp&lt;=SUM($FO$15:GQ15),"",MIN(GR$15,SwaptionYearsToExp-SUM($FO$15:GQ15)))</f>
        <v/>
      </c>
      <c r="GS320" s="447" t="str">
        <f ca="1">IF(SwaptionYearsToExp&lt;=SUM($FO$15:GR15),"",MIN(GS$15,SwaptionYearsToExp-SUM($FO$15:GR15)))</f>
        <v/>
      </c>
      <c r="GT320" s="447" t="str">
        <f ca="1">IF(SwaptionYearsToExp&lt;=SUM($FO$15:GS15),"",MIN(GT$15,SwaptionYearsToExp-SUM($FO$15:GS15)))</f>
        <v/>
      </c>
      <c r="GU320" s="447" t="str">
        <f ca="1">IF(SwaptionYearsToExp&lt;=SUM($FO$15:GT15),"",MIN(GU$15,SwaptionYearsToExp-SUM($FO$15:GT15)))</f>
        <v/>
      </c>
      <c r="GV320" s="447" t="str">
        <f ca="1">IF(SwaptionYearsToExp&lt;=SUM($FO$15:GU15),"",MIN(GV$15,SwaptionYearsToExp-SUM($FO$15:GU15)))</f>
        <v/>
      </c>
      <c r="GW320" s="447" t="str">
        <f ca="1">IF(SwaptionYearsToExp&lt;=SUM($FO$15:GV15),"",MIN(GW$15,SwaptionYearsToExp-SUM($FO$15:GV15)))</f>
        <v/>
      </c>
      <c r="GX320" s="447" t="str">
        <f ca="1">IF(SwaptionYearsToExp&lt;=SUM($FO$15:GW15),"",MIN(GX$15,SwaptionYearsToExp-SUM($FO$15:GW15)))</f>
        <v/>
      </c>
      <c r="GY320" s="447" t="str">
        <f ca="1">IF(SwaptionYearsToExp&lt;=SUM($FO$15:GX15),"",MIN(GY$15,SwaptionYearsToExp-SUM($FO$15:GX15)))</f>
        <v/>
      </c>
      <c r="GZ320" s="447" t="str">
        <f ca="1">IF(SwaptionYearsToExp&lt;=SUM($FO$15:GY15),"",MIN(GZ$15,SwaptionYearsToExp-SUM($FO$15:GY15)))</f>
        <v/>
      </c>
      <c r="HA320" s="447" t="str">
        <f ca="1">IF(SwaptionYearsToExp&lt;=SUM($FO$15:GZ15),"",MIN(HA$15,SwaptionYearsToExp-SUM($FO$15:GZ15)))</f>
        <v/>
      </c>
      <c r="HB320" s="447" t="str">
        <f ca="1">IF(SwaptionYearsToExp&lt;=SUM($FO$15:HA15),"",MIN(HB$15,SwaptionYearsToExp-SUM($FO$15:HA15)))</f>
        <v/>
      </c>
      <c r="HC320" s="447" t="str">
        <f ca="1">IF(SwaptionYearsToExp&lt;=SUM($FO$15:HB15),"",MIN(HC$15,SwaptionYearsToExp-SUM($FO$15:HB15)))</f>
        <v/>
      </c>
      <c r="HD320" s="447" t="str">
        <f ca="1">IF(SwaptionYearsToExp&lt;=SUM($FO$15:HC15),"",MIN(HD$15,SwaptionYearsToExp-SUM($FO$15:HC15)))</f>
        <v/>
      </c>
      <c r="HE320" s="447" t="str">
        <f ca="1">IF(SwaptionYearsToExp&lt;=SUM($FO$15:HD15),"",MIN(HE$15,SwaptionYearsToExp-SUM($FO$15:HD15)))</f>
        <v/>
      </c>
      <c r="HF320" s="447" t="str">
        <f ca="1">IF(SwaptionYearsToExp&lt;=SUM($FO$15:HE15),"",MIN(HF$15,SwaptionYearsToExp-SUM($FO$15:HE15)))</f>
        <v/>
      </c>
      <c r="HG320" s="447" t="str">
        <f ca="1">IF(SwaptionYearsToExp&lt;=SUM($FO$15:HF15),"",MIN(HG$15,SwaptionYearsToExp-SUM($FO$15:HF15)))</f>
        <v/>
      </c>
      <c r="HH320" s="447" t="str">
        <f ca="1">IF(SwaptionYearsToExp&lt;=SUM($FO$15:HG15),"",MIN(HH$15,SwaptionYearsToExp-SUM($FO$15:HG15)))</f>
        <v/>
      </c>
      <c r="HI320" s="447" t="str">
        <f ca="1">IF(SwaptionYearsToExp&lt;=SUM($FO$15:HH15),"",MIN(HI$15,SwaptionYearsToExp-SUM($FO$15:HH15)))</f>
        <v/>
      </c>
      <c r="HJ320" s="447" t="str">
        <f ca="1">IF(SwaptionYearsToExp&lt;=SUM($FO$15:HI15),"",MIN(HJ$15,SwaptionYearsToExp-SUM($FO$15:HI15)))</f>
        <v/>
      </c>
      <c r="HK320" s="447" t="str">
        <f ca="1">IF(SwaptionYearsToExp&lt;=SUM($FO$15:HJ15),"",MIN(HK$15,SwaptionYearsToExp-SUM($FO$15:HJ15)))</f>
        <v/>
      </c>
      <c r="HL320" s="447" t="str">
        <f ca="1">IF(SwaptionYearsToExp&lt;=SUM($FO$15:HK15),"",MIN(HL$15,SwaptionYearsToExp-SUM($FO$15:HK15)))</f>
        <v/>
      </c>
      <c r="HM320" s="447" t="str">
        <f ca="1">IF(SwaptionYearsToExp&lt;=SUM($FO$15:HL15),"",MIN(HM$15,SwaptionYearsToExp-SUM($FO$15:HL15)))</f>
        <v/>
      </c>
      <c r="HN320" s="447" t="str">
        <f ca="1">IF(SwaptionYearsToExp&lt;=SUM($FO$15:HM15),"",MIN(HN$15,SwaptionYearsToExp-SUM($FO$15:HM15)))</f>
        <v/>
      </c>
      <c r="HO320" s="447" t="str">
        <f ca="1">IF(SwaptionYearsToExp&lt;=SUM($FO$15:HN15),"",MIN(HO$15,SwaptionYearsToExp-SUM($FO$15:HN15)))</f>
        <v/>
      </c>
      <c r="HP320" s="447" t="str">
        <f ca="1">IF(SwaptionYearsToExp&lt;=SUM($FO$15:HO15),"",MIN(HP$15,SwaptionYearsToExp-SUM($FO$15:HO15)))</f>
        <v/>
      </c>
      <c r="HQ320" s="447" t="str">
        <f ca="1">IF(SwaptionYearsToExp&lt;=SUM($FO$15:HP15),"",MIN(HQ$15,SwaptionYearsToExp-SUM($FO$15:HP15)))</f>
        <v/>
      </c>
      <c r="HR320" s="447" t="str">
        <f ca="1">IF(SwaptionYearsToExp&lt;=SUM($FO$15:HQ15),"",MIN(HR$15,SwaptionYearsToExp-SUM($FO$15:HQ15)))</f>
        <v/>
      </c>
      <c r="HS320" s="447" t="str">
        <f ca="1">IF(SwaptionYearsToExp&lt;=SUM($FO$15:HR15),"",MIN(HS$15,SwaptionYearsToExp-SUM($FO$15:HR15)))</f>
        <v/>
      </c>
      <c r="HT320" s="447" t="str">
        <f ca="1">IF(SwaptionYearsToExp&lt;=SUM($FO$15:HS15),"",MIN(HT$15,SwaptionYearsToExp-SUM($FO$15:HS15)))</f>
        <v/>
      </c>
      <c r="HU320" s="447" t="str">
        <f ca="1">IF(SwaptionYearsToExp&lt;=SUM($FO$15:HT15),"",MIN(HU$15,SwaptionYearsToExp-SUM($FO$15:HT15)))</f>
        <v/>
      </c>
      <c r="HV320" s="447" t="str">
        <f ca="1">IF(SwaptionYearsToExp&lt;=SUM($FO$15:HU15),"",MIN(HV$15,SwaptionYearsToExp-SUM($FO$15:HU15)))</f>
        <v/>
      </c>
      <c r="HW320" s="447" t="str">
        <f ca="1">IF(SwaptionYearsToExp&lt;=SUM($FO$15:HV15),"",MIN(HW$15,SwaptionYearsToExp-SUM($FO$15:HV15)))</f>
        <v/>
      </c>
      <c r="HX320" s="447" t="str">
        <f ca="1">IF(SwaptionYearsToExp&lt;=SUM($FO$15:HW15),"",MIN(HX$15,SwaptionYearsToExp-SUM($FO$15:HW15)))</f>
        <v/>
      </c>
      <c r="HY320" s="447" t="str">
        <f ca="1">IF(SwaptionYearsToExp&lt;=SUM($FO$15:HX15),"",MIN(HY$15,SwaptionYearsToExp-SUM($FO$15:HX15)))</f>
        <v/>
      </c>
      <c r="HZ320" s="447" t="str">
        <f ca="1">IF(SwaptionYearsToExp&lt;=SUM($FO$15:HY15),"",MIN(HZ$15,SwaptionYearsToExp-SUM($FO$15:HY15)))</f>
        <v/>
      </c>
      <c r="IA320" s="447" t="str">
        <f ca="1">IF(SwaptionYearsToExp&lt;=SUM($FO$15:HZ15),"",MIN(IA$15,SwaptionYearsToExp-SUM($FO$15:HZ15)))</f>
        <v/>
      </c>
      <c r="IB320" s="447" t="str">
        <f ca="1">IF(SwaptionYearsToExp&lt;=SUM($FO$15:IA15),"",MIN(IB$15,SwaptionYearsToExp-SUM($FO$15:IA15)))</f>
        <v/>
      </c>
      <c r="IC320" s="447" t="str">
        <f ca="1">IF(SwaptionYearsToExp&lt;=SUM($FO$15:IB15),"",MIN(IC$15,SwaptionYearsToExp-SUM($FO$15:IB15)))</f>
        <v/>
      </c>
      <c r="ID320" s="447" t="str">
        <f ca="1">IF(SwaptionYearsToExp&lt;=SUM($FO$15:IC15),"",MIN(ID$15,SwaptionYearsToExp-SUM($FO$15:IC15)))</f>
        <v/>
      </c>
      <c r="IE320" s="447" t="str">
        <f ca="1">IF(SwaptionYearsToExp&lt;=SUM($FO$15:ID15),"",MIN(IE$15,SwaptionYearsToExp-SUM($FO$15:ID15)))</f>
        <v/>
      </c>
      <c r="IF320" s="447" t="str">
        <f ca="1">IF(SwaptionYearsToExp&lt;=SUM($FO$15:IE15),"",MIN(IF$15,SwaptionYearsToExp-SUM($FO$15:IE15)))</f>
        <v/>
      </c>
      <c r="IG320" s="447" t="str">
        <f ca="1">IF(SwaptionYearsToExp&lt;=SUM($FO$15:IF15),"",MIN(IG$15,SwaptionYearsToExp-SUM($FO$15:IF15)))</f>
        <v/>
      </c>
      <c r="IH320" s="447" t="str">
        <f ca="1">IF(SwaptionYearsToExp&lt;=SUM($FO$15:IG15),"",MIN(IH$15,SwaptionYearsToExp-SUM($FO$15:IG15)))</f>
        <v/>
      </c>
      <c r="II320" s="242"/>
    </row>
    <row r="321" spans="9:243">
      <c r="I321" s="132"/>
      <c r="J321" s="365"/>
      <c r="K321" s="1"/>
      <c r="L321" s="1"/>
      <c r="M321" s="366"/>
      <c r="P321" s="365"/>
      <c r="S321" s="53"/>
      <c r="T321" s="365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364"/>
      <c r="AO321" s="364">
        <v>6.5277684675233399E-2</v>
      </c>
      <c r="AP321" s="103"/>
      <c r="AQ321" s="364">
        <v>5.7369478999940202E-2</v>
      </c>
      <c r="AR321" s="103"/>
      <c r="AS321" s="103"/>
      <c r="AT321" s="103"/>
      <c r="AU321" s="31"/>
      <c r="AV321" s="31"/>
      <c r="AW321" s="31"/>
      <c r="AX321" s="31"/>
      <c r="AY321" s="146"/>
      <c r="AZ321" s="146"/>
      <c r="BA321" s="103"/>
      <c r="BB321" s="103"/>
      <c r="BC321" s="103"/>
      <c r="BD321" s="103"/>
      <c r="BE321" s="104"/>
      <c r="BF321" s="104"/>
      <c r="BG321" s="104"/>
      <c r="BH321" s="102"/>
      <c r="BI321" s="104"/>
      <c r="BJ321" s="103"/>
      <c r="BK321" s="105"/>
      <c r="BL321" s="151"/>
      <c r="BM321" s="103"/>
      <c r="BN321" s="103"/>
      <c r="BO321" s="103"/>
      <c r="BP321" s="103"/>
      <c r="BQ321" s="103"/>
      <c r="BR321" s="103"/>
      <c r="BS321" s="103"/>
      <c r="BT321" s="103"/>
      <c r="BU321" s="103"/>
      <c r="BV321" s="103"/>
      <c r="BW321" s="103"/>
      <c r="BX321" s="103"/>
      <c r="BY321" s="103"/>
      <c r="BZ321" s="104"/>
      <c r="CA321" s="104"/>
      <c r="CB321" s="104"/>
      <c r="CC321" s="104"/>
      <c r="CD321" s="104"/>
      <c r="CE321" s="104"/>
      <c r="CF321" s="103"/>
      <c r="CG321" s="103"/>
      <c r="CH321" s="103"/>
      <c r="CI321" s="103"/>
      <c r="CJ321" s="103"/>
      <c r="CK321" s="103"/>
      <c r="CL321" s="103"/>
      <c r="CM321" s="103"/>
      <c r="CN321" s="103"/>
      <c r="CO321" s="103"/>
      <c r="CP321" s="103"/>
      <c r="CQ321" s="103"/>
      <c r="CR321" s="103"/>
      <c r="CS321" s="103"/>
      <c r="CT321" s="103"/>
      <c r="CU321" s="103"/>
      <c r="CV321" s="103"/>
      <c r="CW321" s="103"/>
      <c r="CX321" s="103"/>
      <c r="CY321" s="103"/>
      <c r="CZ321" s="103"/>
      <c r="DA321" s="103"/>
      <c r="DB321" s="103"/>
      <c r="DC321" s="103"/>
      <c r="DD321" s="103"/>
      <c r="DE321" s="107"/>
      <c r="DF321" s="465"/>
      <c r="DG321" s="1"/>
      <c r="DH321" s="51"/>
      <c r="DI321" s="465"/>
      <c r="DJ321" s="52"/>
      <c r="DK321" s="52"/>
      <c r="DL321" s="52"/>
      <c r="DM321" s="52"/>
      <c r="DN321" s="52"/>
      <c r="DO321" s="52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P321" s="53"/>
      <c r="EQ321" s="1"/>
      <c r="ER321" s="103"/>
      <c r="ES321" s="103"/>
      <c r="ET321" s="1"/>
      <c r="EU321" s="103"/>
      <c r="EV321" s="1"/>
      <c r="EW321" s="1"/>
      <c r="EX321" s="1"/>
      <c r="EY321" s="104"/>
      <c r="FN321" s="459"/>
      <c r="FO321" s="459"/>
      <c r="FP321" s="7"/>
      <c r="FQ321" s="36"/>
      <c r="FR321" s="36"/>
      <c r="FS321" s="36"/>
      <c r="FT321" s="36"/>
      <c r="FU321" s="36"/>
      <c r="FV321" s="36"/>
      <c r="FW321" s="36"/>
      <c r="FX321" s="36"/>
      <c r="FY321" s="36"/>
      <c r="FZ321" s="36"/>
      <c r="GA321" s="36"/>
      <c r="GB321" s="36"/>
      <c r="GC321" s="36"/>
      <c r="GD321" s="36"/>
      <c r="GE321" s="36"/>
      <c r="GF321" s="36"/>
      <c r="GG321" s="36"/>
      <c r="GH321" s="36"/>
      <c r="GI321" s="36"/>
      <c r="GJ321" s="36"/>
      <c r="GK321" s="36"/>
      <c r="GL321" s="36"/>
      <c r="GM321" s="36"/>
      <c r="GN321" s="36"/>
      <c r="GO321" s="36"/>
      <c r="GP321" s="36"/>
      <c r="GQ321" s="36"/>
      <c r="GR321" s="36"/>
      <c r="GS321" s="36"/>
      <c r="GT321" s="36"/>
      <c r="GU321" s="36"/>
      <c r="GV321" s="36"/>
      <c r="GW321" s="36"/>
      <c r="GX321" s="36"/>
      <c r="GY321" s="36"/>
      <c r="GZ321" s="36"/>
      <c r="HA321" s="36"/>
      <c r="HB321" s="36"/>
      <c r="HC321" s="36"/>
      <c r="HD321" s="36"/>
      <c r="HE321" s="36"/>
      <c r="HF321" s="36"/>
      <c r="HG321" s="36"/>
      <c r="HH321" s="36"/>
      <c r="HI321" s="242"/>
      <c r="HJ321" s="36"/>
      <c r="HK321" s="36"/>
      <c r="HL321" s="36"/>
      <c r="HM321" s="453"/>
      <c r="HN321" s="453"/>
      <c r="HO321" s="453"/>
      <c r="HP321" s="453"/>
      <c r="HQ321" s="453"/>
      <c r="HR321" s="453"/>
      <c r="HS321" s="453"/>
      <c r="HT321" s="454"/>
      <c r="HU321" s="454"/>
      <c r="HV321" s="454"/>
      <c r="HW321" s="454"/>
      <c r="HX321" s="242"/>
      <c r="HY321" s="242"/>
      <c r="HZ321" s="242"/>
      <c r="IA321" s="242"/>
      <c r="IB321" s="447"/>
      <c r="IC321" s="242"/>
      <c r="ID321" s="242"/>
      <c r="IE321" s="242"/>
      <c r="IF321" s="242"/>
      <c r="IG321" s="242"/>
      <c r="IH321" s="242"/>
      <c r="II321" s="242"/>
    </row>
    <row r="322" spans="9:243">
      <c r="I322" s="132"/>
      <c r="J322" s="365"/>
      <c r="K322" s="1"/>
      <c r="L322" s="1"/>
      <c r="M322" s="366"/>
      <c r="P322" s="365"/>
      <c r="S322" s="53"/>
      <c r="T322" s="365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364"/>
      <c r="AO322" s="364">
        <v>6.5287988975395395E-2</v>
      </c>
      <c r="AP322" s="103"/>
      <c r="AQ322" s="364">
        <v>5.7331514117084002E-2</v>
      </c>
      <c r="AR322" s="103"/>
      <c r="AS322" s="103"/>
      <c r="AT322" s="103"/>
      <c r="AU322" s="31"/>
      <c r="AV322" s="31"/>
      <c r="AW322" s="31"/>
      <c r="AX322" s="31"/>
      <c r="AY322" s="146"/>
      <c r="AZ322" s="146"/>
      <c r="BA322" s="103"/>
      <c r="BB322" s="103"/>
      <c r="BC322" s="103"/>
      <c r="BD322" s="103"/>
      <c r="BE322" s="104"/>
      <c r="BF322" s="104"/>
      <c r="BG322" s="104"/>
      <c r="BH322" s="102"/>
      <c r="BI322" s="104"/>
      <c r="BJ322" s="103"/>
      <c r="BK322" s="105"/>
      <c r="BL322" s="151"/>
      <c r="BM322" s="103"/>
      <c r="BN322" s="103"/>
      <c r="BO322" s="103"/>
      <c r="BP322" s="103"/>
      <c r="BQ322" s="103"/>
      <c r="BR322" s="103"/>
      <c r="BS322" s="103"/>
      <c r="BT322" s="103"/>
      <c r="BU322" s="103"/>
      <c r="BV322" s="103"/>
      <c r="BW322" s="103"/>
      <c r="BX322" s="103"/>
      <c r="BY322" s="103"/>
      <c r="BZ322" s="104"/>
      <c r="CA322" s="104"/>
      <c r="CB322" s="104"/>
      <c r="CC322" s="104"/>
      <c r="CD322" s="104"/>
      <c r="CE322" s="104"/>
      <c r="CF322" s="103"/>
      <c r="CG322" s="103"/>
      <c r="CH322" s="103"/>
      <c r="CI322" s="103"/>
      <c r="CJ322" s="103"/>
      <c r="CK322" s="103"/>
      <c r="CL322" s="103"/>
      <c r="CM322" s="103"/>
      <c r="CN322" s="103"/>
      <c r="CO322" s="103"/>
      <c r="CP322" s="103"/>
      <c r="CQ322" s="103"/>
      <c r="CR322" s="103"/>
      <c r="CS322" s="103"/>
      <c r="CT322" s="103"/>
      <c r="CU322" s="103"/>
      <c r="CV322" s="103"/>
      <c r="CW322" s="103"/>
      <c r="CX322" s="103"/>
      <c r="CY322" s="103"/>
      <c r="CZ322" s="103"/>
      <c r="DA322" s="103"/>
      <c r="DB322" s="103"/>
      <c r="DC322" s="103"/>
      <c r="DD322" s="103"/>
      <c r="DE322" s="107"/>
      <c r="DF322" s="465"/>
      <c r="DG322" s="1"/>
      <c r="DH322" s="51"/>
      <c r="DI322" s="465"/>
      <c r="DJ322" s="52"/>
      <c r="DK322" s="52"/>
      <c r="DL322" s="52"/>
      <c r="DM322" s="52"/>
      <c r="DN322" s="52"/>
      <c r="DO322" s="52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P322" s="53"/>
      <c r="EQ322" s="1"/>
      <c r="ER322" s="103"/>
      <c r="ES322" s="103"/>
      <c r="ET322" s="1"/>
      <c r="EU322" s="103"/>
      <c r="EV322" s="1"/>
      <c r="EW322" s="1"/>
      <c r="EX322" s="1"/>
      <c r="EY322" s="104"/>
      <c r="FN322" s="242"/>
      <c r="FO322" s="242"/>
      <c r="FP322" s="242"/>
      <c r="FQ322" s="242"/>
      <c r="FR322" s="242"/>
      <c r="FS322" s="242"/>
      <c r="FT322" s="242"/>
      <c r="FU322" s="242"/>
      <c r="FV322" s="242"/>
      <c r="FW322" s="242"/>
      <c r="FX322" s="242"/>
      <c r="FY322" s="242"/>
      <c r="FZ322" s="242"/>
      <c r="GA322" s="242"/>
      <c r="GB322" s="242"/>
      <c r="GC322" s="242"/>
      <c r="GD322" s="242"/>
      <c r="GE322" s="242"/>
      <c r="GF322" s="242"/>
      <c r="GG322" s="242"/>
      <c r="GH322" s="242"/>
      <c r="GI322" s="242"/>
      <c r="GJ322" s="242"/>
      <c r="GK322" s="242"/>
      <c r="GL322" s="242"/>
      <c r="GM322" s="242"/>
      <c r="GN322" s="242"/>
      <c r="GO322" s="242"/>
      <c r="GP322" s="242"/>
      <c r="GQ322" s="242"/>
      <c r="GR322" s="242"/>
      <c r="GS322" s="242"/>
      <c r="GT322" s="242"/>
      <c r="GU322" s="242"/>
      <c r="GV322" s="242"/>
      <c r="GW322" s="242"/>
      <c r="GX322" s="242"/>
      <c r="GY322" s="242"/>
      <c r="GZ322" s="242"/>
      <c r="HA322" s="242"/>
      <c r="HB322" s="242"/>
      <c r="HC322" s="242"/>
      <c r="HD322" s="242"/>
      <c r="HE322" s="242"/>
      <c r="HF322" s="242"/>
      <c r="HG322" s="242"/>
      <c r="HH322" s="242"/>
      <c r="HI322" s="242"/>
      <c r="HJ322" s="242"/>
      <c r="HK322" s="242"/>
      <c r="HL322" s="242"/>
      <c r="HM322" s="242"/>
      <c r="HN322" s="242"/>
      <c r="HO322" s="242"/>
      <c r="HP322" s="242"/>
      <c r="HQ322" s="242"/>
      <c r="HR322" s="242"/>
      <c r="HS322" s="242"/>
      <c r="HT322" s="242"/>
      <c r="HU322" s="242"/>
      <c r="HV322" s="242"/>
      <c r="HW322" s="242"/>
      <c r="HX322" s="242"/>
      <c r="HY322" s="242"/>
      <c r="HZ322" s="242"/>
      <c r="IA322" s="242"/>
      <c r="IB322" s="242"/>
      <c r="IC322" s="242"/>
      <c r="ID322" s="242"/>
      <c r="IE322" s="242"/>
      <c r="IF322" s="242"/>
      <c r="IG322" s="242"/>
      <c r="IH322" s="242"/>
      <c r="II322" s="242"/>
    </row>
    <row r="323" spans="9:243">
      <c r="I323" s="132"/>
      <c r="J323" s="365"/>
      <c r="K323" s="1"/>
      <c r="L323" s="1"/>
      <c r="M323" s="366"/>
      <c r="P323" s="365"/>
      <c r="S323" s="53"/>
      <c r="T323" s="365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364"/>
      <c r="AO323" s="364">
        <v>6.5298636752265396E-2</v>
      </c>
      <c r="AP323" s="103"/>
      <c r="AQ323" s="364">
        <v>5.7292283748712002E-2</v>
      </c>
      <c r="AR323" s="103"/>
      <c r="AS323" s="103"/>
      <c r="AT323" s="103"/>
      <c r="AU323" s="31"/>
      <c r="AV323" s="31"/>
      <c r="AW323" s="31"/>
      <c r="AX323" s="31"/>
      <c r="AY323" s="146"/>
      <c r="AZ323" s="146"/>
      <c r="BA323" s="103"/>
      <c r="BB323" s="103"/>
      <c r="BC323" s="103"/>
      <c r="BD323" s="103"/>
      <c r="BE323" s="104"/>
      <c r="BF323" s="104"/>
      <c r="BG323" s="104"/>
      <c r="BH323" s="102"/>
      <c r="BI323" s="104"/>
      <c r="BJ323" s="103"/>
      <c r="BK323" s="105"/>
      <c r="BL323" s="151"/>
      <c r="BM323" s="103"/>
      <c r="BN323" s="103"/>
      <c r="BO323" s="103"/>
      <c r="BP323" s="103"/>
      <c r="BQ323" s="103"/>
      <c r="BR323" s="103"/>
      <c r="BS323" s="103"/>
      <c r="BT323" s="103"/>
      <c r="BU323" s="103"/>
      <c r="BV323" s="103"/>
      <c r="BW323" s="103"/>
      <c r="BX323" s="103"/>
      <c r="BY323" s="103"/>
      <c r="BZ323" s="104"/>
      <c r="CA323" s="104"/>
      <c r="CB323" s="104"/>
      <c r="CC323" s="104"/>
      <c r="CD323" s="104"/>
      <c r="CE323" s="104"/>
      <c r="CF323" s="103"/>
      <c r="CG323" s="103"/>
      <c r="CH323" s="103"/>
      <c r="CI323" s="103"/>
      <c r="CJ323" s="103"/>
      <c r="CK323" s="103"/>
      <c r="CL323" s="103"/>
      <c r="CM323" s="103"/>
      <c r="CN323" s="103"/>
      <c r="CO323" s="103"/>
      <c r="CP323" s="103"/>
      <c r="CQ323" s="103"/>
      <c r="CR323" s="103"/>
      <c r="CS323" s="103"/>
      <c r="CT323" s="103"/>
      <c r="CU323" s="103"/>
      <c r="CV323" s="103"/>
      <c r="CW323" s="103"/>
      <c r="CX323" s="103"/>
      <c r="CY323" s="103"/>
      <c r="CZ323" s="103"/>
      <c r="DA323" s="103"/>
      <c r="DB323" s="103"/>
      <c r="DC323" s="103"/>
      <c r="DD323" s="103"/>
      <c r="DE323" s="107"/>
      <c r="DF323" s="465"/>
      <c r="DG323" s="1"/>
      <c r="DH323" s="51"/>
      <c r="DI323" s="465"/>
      <c r="DJ323" s="52"/>
      <c r="DK323" s="52"/>
      <c r="DL323" s="52"/>
      <c r="DM323" s="52"/>
      <c r="DN323" s="52"/>
      <c r="DO323" s="52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P323" s="53"/>
      <c r="EQ323" s="1"/>
      <c r="ER323" s="103"/>
      <c r="ES323" s="103"/>
      <c r="ET323" s="1"/>
      <c r="EU323" s="103"/>
      <c r="EV323" s="1"/>
      <c r="EW323" s="1"/>
      <c r="EX323" s="1"/>
      <c r="EY323" s="104"/>
      <c r="FN323" s="457" t="s">
        <v>234</v>
      </c>
      <c r="FO323" s="242"/>
      <c r="FP323" s="242"/>
      <c r="FQ323" s="242"/>
      <c r="FR323" s="242"/>
      <c r="FS323" s="242"/>
      <c r="FT323" s="242"/>
      <c r="FU323" s="242"/>
      <c r="FV323" s="242"/>
      <c r="FW323" s="242"/>
      <c r="FX323" s="242"/>
      <c r="FY323" s="242"/>
      <c r="FZ323" s="242"/>
      <c r="GA323" s="242"/>
      <c r="GB323" s="242"/>
      <c r="GC323" s="242"/>
      <c r="GD323" s="242"/>
      <c r="GE323" s="242"/>
      <c r="GF323" s="242"/>
      <c r="GG323" s="242"/>
      <c r="GH323" s="242"/>
      <c r="GI323" s="242"/>
      <c r="GJ323" s="242"/>
      <c r="GK323" s="242"/>
      <c r="GL323" s="242"/>
      <c r="GM323" s="242"/>
      <c r="GN323" s="242"/>
      <c r="GO323" s="242"/>
      <c r="GP323" s="242"/>
      <c r="GQ323" s="242"/>
      <c r="GR323" s="242"/>
      <c r="GS323" s="242"/>
      <c r="GT323" s="242"/>
      <c r="GU323" s="242"/>
      <c r="GV323" s="242"/>
      <c r="GW323" s="242"/>
      <c r="GX323" s="242"/>
      <c r="GY323" s="242"/>
      <c r="GZ323" s="242"/>
      <c r="HA323" s="242"/>
      <c r="HB323" s="242"/>
      <c r="HC323" s="242"/>
      <c r="HD323" s="242"/>
      <c r="HE323" s="242"/>
      <c r="HF323" s="242"/>
      <c r="HG323" s="242"/>
      <c r="HH323" s="242"/>
      <c r="HI323" s="242"/>
      <c r="HJ323" s="242"/>
      <c r="HK323" s="242"/>
      <c r="HL323" s="242"/>
      <c r="HM323" s="242"/>
      <c r="HN323" s="242"/>
      <c r="HO323" s="242"/>
      <c r="HP323" s="242"/>
      <c r="HQ323" s="242"/>
      <c r="HR323" s="242"/>
      <c r="HS323" s="242"/>
      <c r="HT323" s="242"/>
      <c r="HU323" s="242"/>
      <c r="HV323" s="242"/>
      <c r="HW323" s="242"/>
      <c r="HX323" s="242"/>
      <c r="HY323" s="242"/>
      <c r="HZ323" s="242"/>
      <c r="IA323" s="242"/>
      <c r="IB323" s="242"/>
      <c r="IC323" s="242"/>
      <c r="ID323" s="242"/>
      <c r="IE323" s="242"/>
      <c r="IF323" s="242"/>
      <c r="IG323" s="242"/>
      <c r="IH323" s="242"/>
      <c r="II323" s="242"/>
    </row>
    <row r="324" spans="9:243">
      <c r="I324" s="132"/>
      <c r="J324" s="365"/>
      <c r="K324" s="1"/>
      <c r="L324" s="1"/>
      <c r="M324" s="366"/>
      <c r="P324" s="365"/>
      <c r="S324" s="53"/>
      <c r="T324" s="365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364"/>
      <c r="AO324" s="364">
        <v>6.5309284529173603E-2</v>
      </c>
      <c r="AP324" s="103"/>
      <c r="AQ324" s="364">
        <v>5.7253053391093101E-2</v>
      </c>
      <c r="AR324" s="103"/>
      <c r="AS324" s="103"/>
      <c r="AT324" s="103"/>
      <c r="AU324" s="31"/>
      <c r="AV324" s="31"/>
      <c r="AW324" s="31"/>
      <c r="AX324" s="31"/>
      <c r="AY324" s="146"/>
      <c r="AZ324" s="146"/>
      <c r="BA324" s="103"/>
      <c r="BB324" s="103"/>
      <c r="BC324" s="103"/>
      <c r="BD324" s="103"/>
      <c r="BE324" s="104"/>
      <c r="BF324" s="104"/>
      <c r="BG324" s="104"/>
      <c r="BH324" s="102"/>
      <c r="BI324" s="104"/>
      <c r="BJ324" s="103"/>
      <c r="BK324" s="105"/>
      <c r="BL324" s="151"/>
      <c r="BM324" s="103"/>
      <c r="BN324" s="103"/>
      <c r="BO324" s="103"/>
      <c r="BP324" s="103"/>
      <c r="BQ324" s="103"/>
      <c r="BR324" s="103"/>
      <c r="BS324" s="103"/>
      <c r="BT324" s="103"/>
      <c r="BU324" s="103"/>
      <c r="BV324" s="103"/>
      <c r="BW324" s="103"/>
      <c r="BX324" s="103"/>
      <c r="BY324" s="103"/>
      <c r="BZ324" s="104"/>
      <c r="CA324" s="104"/>
      <c r="CB324" s="104"/>
      <c r="CC324" s="104"/>
      <c r="CD324" s="104"/>
      <c r="CE324" s="104"/>
      <c r="CF324" s="103"/>
      <c r="CG324" s="103"/>
      <c r="CH324" s="103"/>
      <c r="CI324" s="103"/>
      <c r="CJ324" s="103"/>
      <c r="CK324" s="103"/>
      <c r="CL324" s="103"/>
      <c r="CM324" s="103"/>
      <c r="CN324" s="103"/>
      <c r="CO324" s="103"/>
      <c r="CP324" s="103"/>
      <c r="CQ324" s="103"/>
      <c r="CR324" s="103"/>
      <c r="CS324" s="103"/>
      <c r="CT324" s="103"/>
      <c r="CU324" s="103"/>
      <c r="CV324" s="103"/>
      <c r="CW324" s="103"/>
      <c r="CX324" s="103"/>
      <c r="CY324" s="103"/>
      <c r="CZ324" s="103"/>
      <c r="DA324" s="103"/>
      <c r="DB324" s="103"/>
      <c r="DC324" s="103"/>
      <c r="DD324" s="103"/>
      <c r="DE324" s="107"/>
      <c r="DF324" s="465"/>
      <c r="DG324" s="1"/>
      <c r="DH324" s="51"/>
      <c r="DI324" s="465"/>
      <c r="DJ324" s="52"/>
      <c r="DK324" s="52"/>
      <c r="DL324" s="52"/>
      <c r="DM324" s="52"/>
      <c r="DN324" s="52"/>
      <c r="DO324" s="52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P324" s="53"/>
      <c r="EQ324" s="1"/>
      <c r="ER324" s="103"/>
      <c r="ES324" s="103"/>
      <c r="ET324" s="1"/>
      <c r="EU324" s="103"/>
      <c r="EV324" s="1"/>
      <c r="EW324" s="1"/>
      <c r="EX324" s="1"/>
      <c r="EY324" s="104"/>
      <c r="FN324" s="654"/>
      <c r="FO324" s="655">
        <v>1</v>
      </c>
      <c r="FP324" s="655">
        <v>2</v>
      </c>
      <c r="FQ324" s="655">
        <v>3</v>
      </c>
      <c r="FR324" s="655">
        <v>4</v>
      </c>
      <c r="FS324" s="655">
        <v>5</v>
      </c>
      <c r="FT324" s="655">
        <v>6</v>
      </c>
      <c r="FU324" s="655">
        <v>7</v>
      </c>
      <c r="FV324" s="655">
        <v>8</v>
      </c>
      <c r="FW324" s="655">
        <v>9</v>
      </c>
      <c r="FX324" s="655">
        <v>10</v>
      </c>
      <c r="FY324" s="655">
        <v>11</v>
      </c>
      <c r="FZ324" s="655">
        <v>12</v>
      </c>
      <c r="GA324" s="655">
        <v>13</v>
      </c>
      <c r="GB324" s="655">
        <v>14</v>
      </c>
      <c r="GC324" s="655">
        <v>15</v>
      </c>
      <c r="GD324" s="655">
        <v>16</v>
      </c>
      <c r="GE324" s="655">
        <v>17</v>
      </c>
      <c r="GF324" s="655">
        <v>18</v>
      </c>
      <c r="GG324" s="655">
        <v>19</v>
      </c>
      <c r="GH324" s="655">
        <v>20</v>
      </c>
      <c r="GI324" s="655">
        <v>21</v>
      </c>
      <c r="GJ324" s="655">
        <v>22</v>
      </c>
      <c r="GK324" s="655">
        <v>23</v>
      </c>
      <c r="GL324" s="655">
        <v>24</v>
      </c>
      <c r="GM324" s="655">
        <v>25</v>
      </c>
      <c r="GN324" s="655">
        <v>26</v>
      </c>
      <c r="GO324" s="655">
        <v>27</v>
      </c>
      <c r="GP324" s="655">
        <v>28</v>
      </c>
      <c r="GQ324" s="655">
        <v>29</v>
      </c>
      <c r="GR324" s="655">
        <v>30</v>
      </c>
      <c r="GS324" s="655">
        <v>31</v>
      </c>
      <c r="GT324" s="655">
        <v>32</v>
      </c>
      <c r="GU324" s="655">
        <v>33</v>
      </c>
      <c r="GV324" s="655">
        <v>34</v>
      </c>
      <c r="GW324" s="655">
        <v>35</v>
      </c>
      <c r="GX324" s="655">
        <v>36</v>
      </c>
      <c r="GY324" s="655">
        <v>37</v>
      </c>
      <c r="GZ324" s="655">
        <v>38</v>
      </c>
      <c r="HA324" s="655">
        <v>39</v>
      </c>
      <c r="HB324" s="655">
        <v>40</v>
      </c>
      <c r="HC324" s="655">
        <v>41</v>
      </c>
      <c r="HD324" s="655">
        <v>42</v>
      </c>
      <c r="HE324" s="655">
        <v>43</v>
      </c>
      <c r="HF324" s="655">
        <v>44</v>
      </c>
      <c r="HG324" s="655">
        <v>45</v>
      </c>
      <c r="HH324" s="655">
        <v>46</v>
      </c>
      <c r="HI324" s="655">
        <v>47</v>
      </c>
      <c r="HJ324" s="655">
        <v>48</v>
      </c>
      <c r="HK324" s="655">
        <v>49</v>
      </c>
      <c r="HL324" s="655">
        <v>50</v>
      </c>
      <c r="HM324" s="655">
        <v>51</v>
      </c>
      <c r="HN324" s="655">
        <v>52</v>
      </c>
      <c r="HO324" s="655">
        <v>53</v>
      </c>
      <c r="HP324" s="655">
        <v>54</v>
      </c>
      <c r="HQ324" s="655">
        <v>55</v>
      </c>
      <c r="HR324" s="655">
        <v>56</v>
      </c>
      <c r="HS324" s="655">
        <v>57</v>
      </c>
      <c r="HT324" s="655">
        <v>58</v>
      </c>
      <c r="HU324" s="655">
        <v>59</v>
      </c>
      <c r="HV324" s="655">
        <v>60</v>
      </c>
      <c r="HW324" s="655">
        <v>61</v>
      </c>
      <c r="HX324" s="655">
        <v>62</v>
      </c>
      <c r="HY324" s="655">
        <v>63</v>
      </c>
      <c r="HZ324" s="655">
        <v>64</v>
      </c>
      <c r="IA324" s="655">
        <v>65</v>
      </c>
      <c r="IB324" s="655">
        <v>66</v>
      </c>
      <c r="IC324" s="655">
        <v>67</v>
      </c>
      <c r="ID324" s="655">
        <v>68</v>
      </c>
      <c r="IE324" s="655">
        <v>69</v>
      </c>
      <c r="IF324" s="655">
        <v>70</v>
      </c>
      <c r="IG324" s="655">
        <v>71</v>
      </c>
      <c r="IH324" s="656">
        <v>72</v>
      </c>
      <c r="II324" s="242"/>
    </row>
    <row r="325" spans="9:243">
      <c r="I325" s="132"/>
      <c r="J325" s="365"/>
      <c r="K325" s="1"/>
      <c r="L325" s="1"/>
      <c r="M325" s="366"/>
      <c r="P325" s="365"/>
      <c r="S325" s="53"/>
      <c r="T325" s="365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364"/>
      <c r="AO325" s="364">
        <v>6.5319588829443095E-2</v>
      </c>
      <c r="AP325" s="103"/>
      <c r="AQ325" s="364">
        <v>5.7215088539118504E-2</v>
      </c>
      <c r="AR325" s="103"/>
      <c r="AS325" s="103"/>
      <c r="AT325" s="103"/>
      <c r="AU325" s="31"/>
      <c r="AV325" s="31"/>
      <c r="AW325" s="31"/>
      <c r="AX325" s="31"/>
      <c r="AY325" s="146"/>
      <c r="AZ325" s="146"/>
      <c r="BA325" s="103"/>
      <c r="BB325" s="103"/>
      <c r="BC325" s="103"/>
      <c r="BD325" s="103"/>
      <c r="BE325" s="104"/>
      <c r="BF325" s="104"/>
      <c r="BG325" s="104"/>
      <c r="BH325" s="102"/>
      <c r="BI325" s="104"/>
      <c r="BJ325" s="103"/>
      <c r="BK325" s="105"/>
      <c r="BL325" s="151"/>
      <c r="BM325" s="103"/>
      <c r="BN325" s="103"/>
      <c r="BO325" s="103"/>
      <c r="BP325" s="103"/>
      <c r="BQ325" s="103"/>
      <c r="BR325" s="103"/>
      <c r="BS325" s="103"/>
      <c r="BT325" s="103"/>
      <c r="BU325" s="103"/>
      <c r="BV325" s="103"/>
      <c r="BW325" s="103"/>
      <c r="BX325" s="103"/>
      <c r="BY325" s="103"/>
      <c r="BZ325" s="104"/>
      <c r="CA325" s="104"/>
      <c r="CB325" s="104"/>
      <c r="CC325" s="104"/>
      <c r="CD325" s="104"/>
      <c r="CE325" s="104"/>
      <c r="CF325" s="103"/>
      <c r="CG325" s="103"/>
      <c r="CH325" s="103"/>
      <c r="CI325" s="103"/>
      <c r="CJ325" s="103"/>
      <c r="CK325" s="103"/>
      <c r="CL325" s="103"/>
      <c r="CM325" s="103"/>
      <c r="CN325" s="103"/>
      <c r="CO325" s="103"/>
      <c r="CP325" s="103"/>
      <c r="CQ325" s="103"/>
      <c r="CR325" s="103"/>
      <c r="CS325" s="103"/>
      <c r="CT325" s="103"/>
      <c r="CU325" s="103"/>
      <c r="CV325" s="103"/>
      <c r="CW325" s="103"/>
      <c r="CX325" s="103"/>
      <c r="CY325" s="103"/>
      <c r="CZ325" s="103"/>
      <c r="DA325" s="103"/>
      <c r="DB325" s="103"/>
      <c r="DC325" s="103"/>
      <c r="DD325" s="103"/>
      <c r="DE325" s="107"/>
      <c r="DF325" s="465"/>
      <c r="DG325" s="1"/>
      <c r="DH325" s="51"/>
      <c r="DI325" s="465"/>
      <c r="DJ325" s="52"/>
      <c r="DK325" s="52"/>
      <c r="DL325" s="52"/>
      <c r="DM325" s="52"/>
      <c r="DN325" s="52"/>
      <c r="DO325" s="52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P325" s="53"/>
      <c r="EQ325" s="1"/>
      <c r="ER325" s="103"/>
      <c r="ES325" s="103"/>
      <c r="ET325" s="1"/>
      <c r="EU325" s="103"/>
      <c r="EV325" s="1"/>
      <c r="EW325" s="1"/>
      <c r="EX325" s="1"/>
      <c r="EY325" s="104"/>
      <c r="FN325" s="657">
        <v>1</v>
      </c>
      <c r="FO325" s="450">
        <f ca="1">IF(AND(ISNUMBER(FO20),ISNUMBER(FO$320),FO$320&lt;&gt;0),FO20*FO$320/FO$15,"")</f>
        <v>3.3333450701370556E-3</v>
      </c>
      <c r="FP325" s="450" t="str">
        <f t="shared" ref="FP325:IA325" ca="1" si="672">IF(AND(ISNUMBER(FP20),ISNUMBER(FP$320),FP$320&lt;&gt;0),FP20*FP$320/FP$15,"")</f>
        <v/>
      </c>
      <c r="FQ325" s="450" t="str">
        <f t="shared" ca="1" si="672"/>
        <v/>
      </c>
      <c r="FR325" s="450" t="str">
        <f t="shared" ca="1" si="672"/>
        <v/>
      </c>
      <c r="FS325" s="450" t="str">
        <f t="shared" ca="1" si="672"/>
        <v/>
      </c>
      <c r="FT325" s="450" t="str">
        <f t="shared" ca="1" si="672"/>
        <v/>
      </c>
      <c r="FU325" s="450" t="str">
        <f t="shared" ca="1" si="672"/>
        <v/>
      </c>
      <c r="FV325" s="450" t="str">
        <f t="shared" ca="1" si="672"/>
        <v/>
      </c>
      <c r="FW325" s="450" t="str">
        <f t="shared" ca="1" si="672"/>
        <v/>
      </c>
      <c r="FX325" s="450" t="str">
        <f t="shared" ca="1" si="672"/>
        <v/>
      </c>
      <c r="FY325" s="450" t="str">
        <f t="shared" ca="1" si="672"/>
        <v/>
      </c>
      <c r="FZ325" s="450" t="str">
        <f t="shared" ca="1" si="672"/>
        <v/>
      </c>
      <c r="GA325" s="450" t="str">
        <f t="shared" ca="1" si="672"/>
        <v/>
      </c>
      <c r="GB325" s="450" t="str">
        <f t="shared" ca="1" si="672"/>
        <v/>
      </c>
      <c r="GC325" s="450" t="str">
        <f t="shared" ca="1" si="672"/>
        <v/>
      </c>
      <c r="GD325" s="450" t="str">
        <f t="shared" ca="1" si="672"/>
        <v/>
      </c>
      <c r="GE325" s="450" t="str">
        <f t="shared" ca="1" si="672"/>
        <v/>
      </c>
      <c r="GF325" s="450" t="str">
        <f t="shared" ca="1" si="672"/>
        <v/>
      </c>
      <c r="GG325" s="450" t="str">
        <f t="shared" ca="1" si="672"/>
        <v/>
      </c>
      <c r="GH325" s="450" t="str">
        <f t="shared" ca="1" si="672"/>
        <v/>
      </c>
      <c r="GI325" s="450" t="str">
        <f t="shared" ca="1" si="672"/>
        <v/>
      </c>
      <c r="GJ325" s="450" t="str">
        <f t="shared" ca="1" si="672"/>
        <v/>
      </c>
      <c r="GK325" s="450" t="str">
        <f t="shared" ca="1" si="672"/>
        <v/>
      </c>
      <c r="GL325" s="450" t="str">
        <f t="shared" ca="1" si="672"/>
        <v/>
      </c>
      <c r="GM325" s="450" t="str">
        <f t="shared" ca="1" si="672"/>
        <v/>
      </c>
      <c r="GN325" s="450" t="str">
        <f t="shared" ca="1" si="672"/>
        <v/>
      </c>
      <c r="GO325" s="450" t="str">
        <f t="shared" ca="1" si="672"/>
        <v/>
      </c>
      <c r="GP325" s="450" t="str">
        <f t="shared" ca="1" si="672"/>
        <v/>
      </c>
      <c r="GQ325" s="450" t="str">
        <f t="shared" ca="1" si="672"/>
        <v/>
      </c>
      <c r="GR325" s="450" t="str">
        <f t="shared" ca="1" si="672"/>
        <v/>
      </c>
      <c r="GS325" s="450" t="str">
        <f t="shared" ca="1" si="672"/>
        <v/>
      </c>
      <c r="GT325" s="450" t="str">
        <f t="shared" ca="1" si="672"/>
        <v/>
      </c>
      <c r="GU325" s="450" t="str">
        <f t="shared" ca="1" si="672"/>
        <v/>
      </c>
      <c r="GV325" s="450" t="str">
        <f t="shared" ca="1" si="672"/>
        <v/>
      </c>
      <c r="GW325" s="450" t="str">
        <f t="shared" ca="1" si="672"/>
        <v/>
      </c>
      <c r="GX325" s="450" t="str">
        <f t="shared" ca="1" si="672"/>
        <v/>
      </c>
      <c r="GY325" s="450" t="str">
        <f t="shared" ca="1" si="672"/>
        <v/>
      </c>
      <c r="GZ325" s="450" t="str">
        <f t="shared" ca="1" si="672"/>
        <v/>
      </c>
      <c r="HA325" s="450" t="str">
        <f t="shared" ca="1" si="672"/>
        <v/>
      </c>
      <c r="HB325" s="450" t="str">
        <f t="shared" ca="1" si="672"/>
        <v/>
      </c>
      <c r="HC325" s="450" t="str">
        <f t="shared" ca="1" si="672"/>
        <v/>
      </c>
      <c r="HD325" s="450" t="str">
        <f t="shared" ca="1" si="672"/>
        <v/>
      </c>
      <c r="HE325" s="450" t="str">
        <f t="shared" ca="1" si="672"/>
        <v/>
      </c>
      <c r="HF325" s="450" t="str">
        <f t="shared" ca="1" si="672"/>
        <v/>
      </c>
      <c r="HG325" s="450" t="str">
        <f t="shared" ca="1" si="672"/>
        <v/>
      </c>
      <c r="HH325" s="450" t="str">
        <f t="shared" ca="1" si="672"/>
        <v/>
      </c>
      <c r="HI325" s="450" t="str">
        <f t="shared" ca="1" si="672"/>
        <v/>
      </c>
      <c r="HJ325" s="450" t="str">
        <f t="shared" ca="1" si="672"/>
        <v/>
      </c>
      <c r="HK325" s="450" t="str">
        <f t="shared" ca="1" si="672"/>
        <v/>
      </c>
      <c r="HL325" s="450" t="str">
        <f t="shared" ca="1" si="672"/>
        <v/>
      </c>
      <c r="HM325" s="450" t="str">
        <f t="shared" ca="1" si="672"/>
        <v/>
      </c>
      <c r="HN325" s="450" t="str">
        <f t="shared" ca="1" si="672"/>
        <v/>
      </c>
      <c r="HO325" s="450" t="str">
        <f t="shared" ca="1" si="672"/>
        <v/>
      </c>
      <c r="HP325" s="450" t="str">
        <f t="shared" ca="1" si="672"/>
        <v/>
      </c>
      <c r="HQ325" s="450" t="str">
        <f t="shared" ca="1" si="672"/>
        <v/>
      </c>
      <c r="HR325" s="450" t="str">
        <f t="shared" ca="1" si="672"/>
        <v/>
      </c>
      <c r="HS325" s="450" t="str">
        <f t="shared" ca="1" si="672"/>
        <v/>
      </c>
      <c r="HT325" s="450" t="str">
        <f t="shared" ca="1" si="672"/>
        <v/>
      </c>
      <c r="HU325" s="450" t="str">
        <f t="shared" ca="1" si="672"/>
        <v/>
      </c>
      <c r="HV325" s="450" t="str">
        <f t="shared" ca="1" si="672"/>
        <v/>
      </c>
      <c r="HW325" s="450" t="str">
        <f t="shared" ca="1" si="672"/>
        <v/>
      </c>
      <c r="HX325" s="450" t="str">
        <f t="shared" ca="1" si="672"/>
        <v/>
      </c>
      <c r="HY325" s="450" t="str">
        <f t="shared" ca="1" si="672"/>
        <v/>
      </c>
      <c r="HZ325" s="450" t="str">
        <f t="shared" ca="1" si="672"/>
        <v/>
      </c>
      <c r="IA325" s="450" t="str">
        <f t="shared" ca="1" si="672"/>
        <v/>
      </c>
      <c r="IB325" s="450" t="str">
        <f t="shared" ref="IB325:IH334" ca="1" si="673">IF(AND(ISNUMBER(IB20),ISNUMBER(IB$320),IB$320&lt;&gt;0),IB20*IB$320/IB$15,"")</f>
        <v/>
      </c>
      <c r="IC325" s="450" t="str">
        <f t="shared" ca="1" si="673"/>
        <v/>
      </c>
      <c r="ID325" s="450" t="str">
        <f t="shared" ca="1" si="673"/>
        <v/>
      </c>
      <c r="IE325" s="450" t="str">
        <f t="shared" ca="1" si="673"/>
        <v/>
      </c>
      <c r="IF325" s="450" t="str">
        <f t="shared" ca="1" si="673"/>
        <v/>
      </c>
      <c r="IG325" s="450" t="str">
        <f t="shared" ca="1" si="673"/>
        <v/>
      </c>
      <c r="IH325" s="658" t="str">
        <f t="shared" ca="1" si="673"/>
        <v/>
      </c>
      <c r="II325" s="242"/>
    </row>
    <row r="326" spans="9:243">
      <c r="I326" s="132"/>
      <c r="J326" s="365"/>
      <c r="K326" s="1"/>
      <c r="L326" s="1"/>
      <c r="M326" s="366"/>
      <c r="P326" s="365"/>
      <c r="S326" s="53"/>
      <c r="T326" s="365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364"/>
      <c r="AO326" s="364">
        <v>6.5330236606425007E-2</v>
      </c>
      <c r="AP326" s="103"/>
      <c r="AQ326" s="364">
        <v>5.7175858202658199E-2</v>
      </c>
      <c r="AR326" s="103"/>
      <c r="AS326" s="103"/>
      <c r="AT326" s="103"/>
      <c r="AU326" s="31"/>
      <c r="AV326" s="31"/>
      <c r="AW326" s="31"/>
      <c r="AX326" s="31"/>
      <c r="AY326" s="146"/>
      <c r="AZ326" s="146"/>
      <c r="BA326" s="103"/>
      <c r="BB326" s="103"/>
      <c r="BC326" s="103"/>
      <c r="BD326" s="103"/>
      <c r="BE326" s="104"/>
      <c r="BF326" s="104"/>
      <c r="BG326" s="104"/>
      <c r="BH326" s="102"/>
      <c r="BI326" s="104"/>
      <c r="BJ326" s="103"/>
      <c r="BK326" s="105"/>
      <c r="BL326" s="151"/>
      <c r="BM326" s="103"/>
      <c r="BN326" s="103"/>
      <c r="BO326" s="103"/>
      <c r="BP326" s="103"/>
      <c r="BQ326" s="103"/>
      <c r="BR326" s="103"/>
      <c r="BS326" s="103"/>
      <c r="BT326" s="103"/>
      <c r="BU326" s="103"/>
      <c r="BV326" s="103"/>
      <c r="BW326" s="103"/>
      <c r="BX326" s="103"/>
      <c r="BY326" s="103"/>
      <c r="BZ326" s="104"/>
      <c r="CA326" s="104"/>
      <c r="CB326" s="104"/>
      <c r="CC326" s="104"/>
      <c r="CD326" s="104"/>
      <c r="CE326" s="104"/>
      <c r="CF326" s="103"/>
      <c r="CG326" s="103"/>
      <c r="CH326" s="103"/>
      <c r="CI326" s="103"/>
      <c r="CJ326" s="103"/>
      <c r="CK326" s="103"/>
      <c r="CL326" s="103"/>
      <c r="CM326" s="103"/>
      <c r="CN326" s="103"/>
      <c r="CO326" s="103"/>
      <c r="CP326" s="103"/>
      <c r="CQ326" s="103"/>
      <c r="CR326" s="103"/>
      <c r="CS326" s="103"/>
      <c r="CT326" s="103"/>
      <c r="CU326" s="103"/>
      <c r="CV326" s="103"/>
      <c r="CW326" s="103"/>
      <c r="CX326" s="103"/>
      <c r="CY326" s="103"/>
      <c r="CZ326" s="103"/>
      <c r="DA326" s="103"/>
      <c r="DB326" s="103"/>
      <c r="DC326" s="103"/>
      <c r="DD326" s="103"/>
      <c r="DE326" s="107"/>
      <c r="DF326" s="465"/>
      <c r="DG326" s="1"/>
      <c r="DH326" s="51"/>
      <c r="DI326" s="465"/>
      <c r="DJ326" s="52"/>
      <c r="DK326" s="52"/>
      <c r="DL326" s="52"/>
      <c r="DM326" s="52"/>
      <c r="DN326" s="52"/>
      <c r="DO326" s="52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P326" s="53"/>
      <c r="EQ326" s="1"/>
      <c r="ER326" s="103"/>
      <c r="ES326" s="103"/>
      <c r="ET326" s="1"/>
      <c r="EU326" s="103"/>
      <c r="EV326" s="1"/>
      <c r="EW326" s="1"/>
      <c r="EX326" s="1"/>
      <c r="EY326" s="104"/>
      <c r="FN326" s="657">
        <v>2</v>
      </c>
      <c r="FO326" s="450">
        <f t="shared" ref="FO326:HZ326" ca="1" si="674">IF(AND(ISNUMBER(FO21),ISNUMBER(FO$320),FO$320&lt;&gt;0),FO21*FO$320/FO$15,"")</f>
        <v>2.8129350744932097E-3</v>
      </c>
      <c r="FP326" s="450">
        <f t="shared" ca="1" si="674"/>
        <v>5.4135523613963038E-3</v>
      </c>
      <c r="FQ326" s="450" t="str">
        <f t="shared" ca="1" si="674"/>
        <v/>
      </c>
      <c r="FR326" s="450" t="str">
        <f t="shared" ca="1" si="674"/>
        <v/>
      </c>
      <c r="FS326" s="450" t="str">
        <f t="shared" ca="1" si="674"/>
        <v/>
      </c>
      <c r="FT326" s="450" t="str">
        <f t="shared" ca="1" si="674"/>
        <v/>
      </c>
      <c r="FU326" s="450" t="str">
        <f t="shared" ca="1" si="674"/>
        <v/>
      </c>
      <c r="FV326" s="450" t="str">
        <f t="shared" ca="1" si="674"/>
        <v/>
      </c>
      <c r="FW326" s="450" t="str">
        <f t="shared" ca="1" si="674"/>
        <v/>
      </c>
      <c r="FX326" s="450" t="str">
        <f t="shared" ca="1" si="674"/>
        <v/>
      </c>
      <c r="FY326" s="450" t="str">
        <f t="shared" ca="1" si="674"/>
        <v/>
      </c>
      <c r="FZ326" s="450" t="str">
        <f t="shared" ca="1" si="674"/>
        <v/>
      </c>
      <c r="GA326" s="450" t="str">
        <f t="shared" ca="1" si="674"/>
        <v/>
      </c>
      <c r="GB326" s="450" t="str">
        <f t="shared" ca="1" si="674"/>
        <v/>
      </c>
      <c r="GC326" s="450" t="str">
        <f t="shared" ca="1" si="674"/>
        <v/>
      </c>
      <c r="GD326" s="450" t="str">
        <f t="shared" ca="1" si="674"/>
        <v/>
      </c>
      <c r="GE326" s="450" t="str">
        <f t="shared" ca="1" si="674"/>
        <v/>
      </c>
      <c r="GF326" s="450" t="str">
        <f t="shared" ca="1" si="674"/>
        <v/>
      </c>
      <c r="GG326" s="450" t="str">
        <f t="shared" ca="1" si="674"/>
        <v/>
      </c>
      <c r="GH326" s="450" t="str">
        <f t="shared" ca="1" si="674"/>
        <v/>
      </c>
      <c r="GI326" s="450" t="str">
        <f t="shared" ca="1" si="674"/>
        <v/>
      </c>
      <c r="GJ326" s="450" t="str">
        <f t="shared" ca="1" si="674"/>
        <v/>
      </c>
      <c r="GK326" s="450" t="str">
        <f t="shared" ca="1" si="674"/>
        <v/>
      </c>
      <c r="GL326" s="450" t="str">
        <f t="shared" ca="1" si="674"/>
        <v/>
      </c>
      <c r="GM326" s="450" t="str">
        <f t="shared" ca="1" si="674"/>
        <v/>
      </c>
      <c r="GN326" s="450" t="str">
        <f t="shared" ca="1" si="674"/>
        <v/>
      </c>
      <c r="GO326" s="450" t="str">
        <f t="shared" ca="1" si="674"/>
        <v/>
      </c>
      <c r="GP326" s="450" t="str">
        <f t="shared" ca="1" si="674"/>
        <v/>
      </c>
      <c r="GQ326" s="450" t="str">
        <f t="shared" ca="1" si="674"/>
        <v/>
      </c>
      <c r="GR326" s="450" t="str">
        <f t="shared" ca="1" si="674"/>
        <v/>
      </c>
      <c r="GS326" s="450" t="str">
        <f t="shared" ca="1" si="674"/>
        <v/>
      </c>
      <c r="GT326" s="450" t="str">
        <f t="shared" ca="1" si="674"/>
        <v/>
      </c>
      <c r="GU326" s="450" t="str">
        <f t="shared" ca="1" si="674"/>
        <v/>
      </c>
      <c r="GV326" s="450" t="str">
        <f t="shared" ca="1" si="674"/>
        <v/>
      </c>
      <c r="GW326" s="450" t="str">
        <f t="shared" ca="1" si="674"/>
        <v/>
      </c>
      <c r="GX326" s="450" t="str">
        <f t="shared" ca="1" si="674"/>
        <v/>
      </c>
      <c r="GY326" s="450" t="str">
        <f t="shared" ca="1" si="674"/>
        <v/>
      </c>
      <c r="GZ326" s="450" t="str">
        <f t="shared" ca="1" si="674"/>
        <v/>
      </c>
      <c r="HA326" s="450" t="str">
        <f t="shared" ca="1" si="674"/>
        <v/>
      </c>
      <c r="HB326" s="450" t="str">
        <f t="shared" ca="1" si="674"/>
        <v/>
      </c>
      <c r="HC326" s="450" t="str">
        <f t="shared" ca="1" si="674"/>
        <v/>
      </c>
      <c r="HD326" s="450" t="str">
        <f t="shared" ca="1" si="674"/>
        <v/>
      </c>
      <c r="HE326" s="450" t="str">
        <f t="shared" ca="1" si="674"/>
        <v/>
      </c>
      <c r="HF326" s="450" t="str">
        <f t="shared" ca="1" si="674"/>
        <v/>
      </c>
      <c r="HG326" s="450" t="str">
        <f t="shared" ca="1" si="674"/>
        <v/>
      </c>
      <c r="HH326" s="450" t="str">
        <f t="shared" ca="1" si="674"/>
        <v/>
      </c>
      <c r="HI326" s="450" t="str">
        <f t="shared" ca="1" si="674"/>
        <v/>
      </c>
      <c r="HJ326" s="450" t="str">
        <f t="shared" ca="1" si="674"/>
        <v/>
      </c>
      <c r="HK326" s="450" t="str">
        <f t="shared" ca="1" si="674"/>
        <v/>
      </c>
      <c r="HL326" s="450" t="str">
        <f t="shared" ca="1" si="674"/>
        <v/>
      </c>
      <c r="HM326" s="450" t="str">
        <f t="shared" ca="1" si="674"/>
        <v/>
      </c>
      <c r="HN326" s="450" t="str">
        <f t="shared" ca="1" si="674"/>
        <v/>
      </c>
      <c r="HO326" s="450" t="str">
        <f t="shared" ca="1" si="674"/>
        <v/>
      </c>
      <c r="HP326" s="450" t="str">
        <f t="shared" ca="1" si="674"/>
        <v/>
      </c>
      <c r="HQ326" s="450" t="str">
        <f t="shared" ca="1" si="674"/>
        <v/>
      </c>
      <c r="HR326" s="450" t="str">
        <f t="shared" ca="1" si="674"/>
        <v/>
      </c>
      <c r="HS326" s="450" t="str">
        <f t="shared" ca="1" si="674"/>
        <v/>
      </c>
      <c r="HT326" s="450" t="str">
        <f t="shared" ca="1" si="674"/>
        <v/>
      </c>
      <c r="HU326" s="450" t="str">
        <f t="shared" ca="1" si="674"/>
        <v/>
      </c>
      <c r="HV326" s="450" t="str">
        <f t="shared" ca="1" si="674"/>
        <v/>
      </c>
      <c r="HW326" s="450" t="str">
        <f t="shared" ca="1" si="674"/>
        <v/>
      </c>
      <c r="HX326" s="450" t="str">
        <f t="shared" ca="1" si="674"/>
        <v/>
      </c>
      <c r="HY326" s="450" t="str">
        <f t="shared" ca="1" si="674"/>
        <v/>
      </c>
      <c r="HZ326" s="450" t="str">
        <f t="shared" ca="1" si="674"/>
        <v/>
      </c>
      <c r="IA326" s="450" t="str">
        <f t="shared" ref="IA326:IA357" ca="1" si="675">IF(AND(ISNUMBER(IA21),ISNUMBER(IA$320),IA$320&lt;&gt;0),IA21*IA$320/IA$15,"")</f>
        <v/>
      </c>
      <c r="IB326" s="450" t="str">
        <f t="shared" ca="1" si="673"/>
        <v/>
      </c>
      <c r="IC326" s="450" t="str">
        <f t="shared" ca="1" si="673"/>
        <v/>
      </c>
      <c r="ID326" s="450" t="str">
        <f t="shared" ca="1" si="673"/>
        <v/>
      </c>
      <c r="IE326" s="450" t="str">
        <f t="shared" ca="1" si="673"/>
        <v/>
      </c>
      <c r="IF326" s="450" t="str">
        <f t="shared" ca="1" si="673"/>
        <v/>
      </c>
      <c r="IG326" s="450" t="str">
        <f t="shared" ca="1" si="673"/>
        <v/>
      </c>
      <c r="IH326" s="658" t="str">
        <f t="shared" ca="1" si="673"/>
        <v/>
      </c>
      <c r="II326" s="242"/>
    </row>
    <row r="327" spans="9:243">
      <c r="I327" s="132"/>
      <c r="J327" s="365"/>
      <c r="K327" s="1"/>
      <c r="L327" s="1"/>
      <c r="M327" s="366"/>
      <c r="P327" s="365"/>
      <c r="S327" s="53"/>
      <c r="T327" s="365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364"/>
      <c r="AO327" s="364">
        <v>6.5340540906765596E-2</v>
      </c>
      <c r="AP327" s="103"/>
      <c r="AQ327" s="364">
        <v>5.7137893371161506E-2</v>
      </c>
      <c r="AR327" s="103"/>
      <c r="AS327" s="103"/>
      <c r="AT327" s="103"/>
      <c r="AU327" s="31"/>
      <c r="AV327" s="31"/>
      <c r="AW327" s="31"/>
      <c r="AX327" s="31"/>
      <c r="AY327" s="146"/>
      <c r="AZ327" s="146"/>
      <c r="BA327" s="103"/>
      <c r="BB327" s="103"/>
      <c r="BC327" s="103"/>
      <c r="BD327" s="103"/>
      <c r="BE327" s="104"/>
      <c r="BF327" s="104"/>
      <c r="BG327" s="104"/>
      <c r="BH327" s="102"/>
      <c r="BI327" s="104"/>
      <c r="BJ327" s="103"/>
      <c r="BK327" s="105"/>
      <c r="BL327" s="151"/>
      <c r="BM327" s="103"/>
      <c r="BN327" s="103"/>
      <c r="BO327" s="103"/>
      <c r="BP327" s="103"/>
      <c r="BQ327" s="103"/>
      <c r="BR327" s="103"/>
      <c r="BS327" s="103"/>
      <c r="BT327" s="103"/>
      <c r="BU327" s="103"/>
      <c r="BV327" s="103"/>
      <c r="BW327" s="103"/>
      <c r="BX327" s="103"/>
      <c r="BY327" s="103"/>
      <c r="BZ327" s="104"/>
      <c r="CA327" s="104"/>
      <c r="CB327" s="104"/>
      <c r="CC327" s="104"/>
      <c r="CD327" s="104"/>
      <c r="CE327" s="104"/>
      <c r="CF327" s="103"/>
      <c r="CG327" s="103"/>
      <c r="CH327" s="103"/>
      <c r="CI327" s="103"/>
      <c r="CJ327" s="103"/>
      <c r="CK327" s="103"/>
      <c r="CL327" s="103"/>
      <c r="CM327" s="103"/>
      <c r="CN327" s="103"/>
      <c r="CO327" s="103"/>
      <c r="CP327" s="103"/>
      <c r="CQ327" s="103"/>
      <c r="CR327" s="103"/>
      <c r="CS327" s="103"/>
      <c r="CT327" s="103"/>
      <c r="CU327" s="103"/>
      <c r="CV327" s="103"/>
      <c r="CW327" s="103"/>
      <c r="CX327" s="103"/>
      <c r="CY327" s="103"/>
      <c r="CZ327" s="103"/>
      <c r="DA327" s="103"/>
      <c r="DB327" s="103"/>
      <c r="DC327" s="103"/>
      <c r="DD327" s="103"/>
      <c r="DE327" s="107"/>
      <c r="DF327" s="465"/>
      <c r="DG327" s="1"/>
      <c r="DH327" s="51"/>
      <c r="DI327" s="465"/>
      <c r="DJ327" s="52"/>
      <c r="DK327" s="52"/>
      <c r="DL327" s="52"/>
      <c r="DM327" s="52"/>
      <c r="DN327" s="52"/>
      <c r="DO327" s="52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P327" s="53"/>
      <c r="EQ327" s="1"/>
      <c r="ER327" s="103"/>
      <c r="ES327" s="103"/>
      <c r="ET327" s="1"/>
      <c r="EU327" s="103"/>
      <c r="EV327" s="1"/>
      <c r="EW327" s="1"/>
      <c r="EX327" s="1"/>
      <c r="EY327" s="104"/>
      <c r="FN327" s="657">
        <v>3</v>
      </c>
      <c r="FO327" s="450">
        <f t="shared" ref="FO327:HZ327" ca="1" si="676">IF(AND(ISNUMBER(FO22),ISNUMBER(FO$320),FO$320&lt;&gt;0),FO22*FO$320/FO$15,"")</f>
        <v>2.4176889931077868E-3</v>
      </c>
      <c r="FP327" s="450">
        <f t="shared" ca="1" si="676"/>
        <v>4.5683753090558612E-3</v>
      </c>
      <c r="FQ327" s="450" t="str">
        <f t="shared" ca="1" si="676"/>
        <v/>
      </c>
      <c r="FR327" s="450" t="str">
        <f t="shared" ca="1" si="676"/>
        <v/>
      </c>
      <c r="FS327" s="450" t="str">
        <f t="shared" ca="1" si="676"/>
        <v/>
      </c>
      <c r="FT327" s="450" t="str">
        <f t="shared" ca="1" si="676"/>
        <v/>
      </c>
      <c r="FU327" s="450" t="str">
        <f t="shared" ca="1" si="676"/>
        <v/>
      </c>
      <c r="FV327" s="450" t="str">
        <f t="shared" ca="1" si="676"/>
        <v/>
      </c>
      <c r="FW327" s="450" t="str">
        <f t="shared" ca="1" si="676"/>
        <v/>
      </c>
      <c r="FX327" s="450" t="str">
        <f t="shared" ca="1" si="676"/>
        <v/>
      </c>
      <c r="FY327" s="450" t="str">
        <f t="shared" ca="1" si="676"/>
        <v/>
      </c>
      <c r="FZ327" s="450" t="str">
        <f t="shared" ca="1" si="676"/>
        <v/>
      </c>
      <c r="GA327" s="450" t="str">
        <f t="shared" ca="1" si="676"/>
        <v/>
      </c>
      <c r="GB327" s="450" t="str">
        <f t="shared" ca="1" si="676"/>
        <v/>
      </c>
      <c r="GC327" s="450" t="str">
        <f t="shared" ca="1" si="676"/>
        <v/>
      </c>
      <c r="GD327" s="450" t="str">
        <f t="shared" ca="1" si="676"/>
        <v/>
      </c>
      <c r="GE327" s="450" t="str">
        <f t="shared" ca="1" si="676"/>
        <v/>
      </c>
      <c r="GF327" s="450" t="str">
        <f t="shared" ca="1" si="676"/>
        <v/>
      </c>
      <c r="GG327" s="450" t="str">
        <f t="shared" ca="1" si="676"/>
        <v/>
      </c>
      <c r="GH327" s="450" t="str">
        <f t="shared" ca="1" si="676"/>
        <v/>
      </c>
      <c r="GI327" s="450" t="str">
        <f t="shared" ca="1" si="676"/>
        <v/>
      </c>
      <c r="GJ327" s="450" t="str">
        <f t="shared" ca="1" si="676"/>
        <v/>
      </c>
      <c r="GK327" s="450" t="str">
        <f t="shared" ca="1" si="676"/>
        <v/>
      </c>
      <c r="GL327" s="450" t="str">
        <f t="shared" ca="1" si="676"/>
        <v/>
      </c>
      <c r="GM327" s="450" t="str">
        <f t="shared" ca="1" si="676"/>
        <v/>
      </c>
      <c r="GN327" s="450" t="str">
        <f t="shared" ca="1" si="676"/>
        <v/>
      </c>
      <c r="GO327" s="450" t="str">
        <f t="shared" ca="1" si="676"/>
        <v/>
      </c>
      <c r="GP327" s="450" t="str">
        <f t="shared" ca="1" si="676"/>
        <v/>
      </c>
      <c r="GQ327" s="450" t="str">
        <f t="shared" ca="1" si="676"/>
        <v/>
      </c>
      <c r="GR327" s="450" t="str">
        <f t="shared" ca="1" si="676"/>
        <v/>
      </c>
      <c r="GS327" s="450" t="str">
        <f t="shared" ca="1" si="676"/>
        <v/>
      </c>
      <c r="GT327" s="450" t="str">
        <f t="shared" ca="1" si="676"/>
        <v/>
      </c>
      <c r="GU327" s="450" t="str">
        <f t="shared" ca="1" si="676"/>
        <v/>
      </c>
      <c r="GV327" s="450" t="str">
        <f t="shared" ca="1" si="676"/>
        <v/>
      </c>
      <c r="GW327" s="450" t="str">
        <f t="shared" ca="1" si="676"/>
        <v/>
      </c>
      <c r="GX327" s="450" t="str">
        <f t="shared" ca="1" si="676"/>
        <v/>
      </c>
      <c r="GY327" s="450" t="str">
        <f t="shared" ca="1" si="676"/>
        <v/>
      </c>
      <c r="GZ327" s="450" t="str">
        <f t="shared" ca="1" si="676"/>
        <v/>
      </c>
      <c r="HA327" s="450" t="str">
        <f t="shared" ca="1" si="676"/>
        <v/>
      </c>
      <c r="HB327" s="450" t="str">
        <f t="shared" ca="1" si="676"/>
        <v/>
      </c>
      <c r="HC327" s="450" t="str">
        <f t="shared" ca="1" si="676"/>
        <v/>
      </c>
      <c r="HD327" s="450" t="str">
        <f t="shared" ca="1" si="676"/>
        <v/>
      </c>
      <c r="HE327" s="450" t="str">
        <f t="shared" ca="1" si="676"/>
        <v/>
      </c>
      <c r="HF327" s="450" t="str">
        <f t="shared" ca="1" si="676"/>
        <v/>
      </c>
      <c r="HG327" s="450" t="str">
        <f t="shared" ca="1" si="676"/>
        <v/>
      </c>
      <c r="HH327" s="450" t="str">
        <f t="shared" ca="1" si="676"/>
        <v/>
      </c>
      <c r="HI327" s="450" t="str">
        <f t="shared" ca="1" si="676"/>
        <v/>
      </c>
      <c r="HJ327" s="450" t="str">
        <f t="shared" ca="1" si="676"/>
        <v/>
      </c>
      <c r="HK327" s="450" t="str">
        <f t="shared" ca="1" si="676"/>
        <v/>
      </c>
      <c r="HL327" s="450" t="str">
        <f t="shared" ca="1" si="676"/>
        <v/>
      </c>
      <c r="HM327" s="450" t="str">
        <f t="shared" ca="1" si="676"/>
        <v/>
      </c>
      <c r="HN327" s="450" t="str">
        <f t="shared" ca="1" si="676"/>
        <v/>
      </c>
      <c r="HO327" s="450" t="str">
        <f t="shared" ca="1" si="676"/>
        <v/>
      </c>
      <c r="HP327" s="450" t="str">
        <f t="shared" ca="1" si="676"/>
        <v/>
      </c>
      <c r="HQ327" s="450" t="str">
        <f t="shared" ca="1" si="676"/>
        <v/>
      </c>
      <c r="HR327" s="450" t="str">
        <f t="shared" ca="1" si="676"/>
        <v/>
      </c>
      <c r="HS327" s="450" t="str">
        <f t="shared" ca="1" si="676"/>
        <v/>
      </c>
      <c r="HT327" s="450" t="str">
        <f t="shared" ca="1" si="676"/>
        <v/>
      </c>
      <c r="HU327" s="450" t="str">
        <f t="shared" ca="1" si="676"/>
        <v/>
      </c>
      <c r="HV327" s="450" t="str">
        <f t="shared" ca="1" si="676"/>
        <v/>
      </c>
      <c r="HW327" s="450" t="str">
        <f t="shared" ca="1" si="676"/>
        <v/>
      </c>
      <c r="HX327" s="450" t="str">
        <f t="shared" ca="1" si="676"/>
        <v/>
      </c>
      <c r="HY327" s="450" t="str">
        <f t="shared" ca="1" si="676"/>
        <v/>
      </c>
      <c r="HZ327" s="450" t="str">
        <f t="shared" ca="1" si="676"/>
        <v/>
      </c>
      <c r="IA327" s="450" t="str">
        <f t="shared" ca="1" si="675"/>
        <v/>
      </c>
      <c r="IB327" s="450" t="str">
        <f t="shared" ca="1" si="673"/>
        <v/>
      </c>
      <c r="IC327" s="450" t="str">
        <f t="shared" ca="1" si="673"/>
        <v/>
      </c>
      <c r="ID327" s="450" t="str">
        <f t="shared" ca="1" si="673"/>
        <v/>
      </c>
      <c r="IE327" s="450" t="str">
        <f t="shared" ca="1" si="673"/>
        <v/>
      </c>
      <c r="IF327" s="450" t="str">
        <f t="shared" ca="1" si="673"/>
        <v/>
      </c>
      <c r="IG327" s="450" t="str">
        <f t="shared" ca="1" si="673"/>
        <v/>
      </c>
      <c r="IH327" s="658" t="str">
        <f t="shared" ca="1" si="673"/>
        <v/>
      </c>
      <c r="II327" s="242"/>
    </row>
    <row r="328" spans="9:243">
      <c r="I328" s="132"/>
      <c r="J328" s="365"/>
      <c r="K328" s="1"/>
      <c r="L328" s="1"/>
      <c r="M328" s="366"/>
      <c r="P328" s="365"/>
      <c r="S328" s="53"/>
      <c r="T328" s="365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364"/>
      <c r="AO328" s="364">
        <v>6.5351188683822101E-2</v>
      </c>
      <c r="AP328" s="103"/>
      <c r="AQ328" s="364">
        <v>5.7098663055861205E-2</v>
      </c>
      <c r="AR328" s="103"/>
      <c r="AS328" s="103"/>
      <c r="AT328" s="103"/>
      <c r="AU328" s="31"/>
      <c r="AV328" s="31"/>
      <c r="AW328" s="31"/>
      <c r="AX328" s="31"/>
      <c r="AY328" s="146"/>
      <c r="AZ328" s="146"/>
      <c r="BA328" s="103"/>
      <c r="BB328" s="103"/>
      <c r="BC328" s="103"/>
      <c r="BD328" s="103"/>
      <c r="BE328" s="104"/>
      <c r="BF328" s="104"/>
      <c r="BG328" s="104"/>
      <c r="BH328" s="102"/>
      <c r="BI328" s="104"/>
      <c r="BJ328" s="103"/>
      <c r="BK328" s="105"/>
      <c r="BL328" s="151"/>
      <c r="BM328" s="103"/>
      <c r="BN328" s="103"/>
      <c r="BO328" s="103"/>
      <c r="BP328" s="103"/>
      <c r="BQ328" s="103"/>
      <c r="BR328" s="103"/>
      <c r="BS328" s="103"/>
      <c r="BT328" s="103"/>
      <c r="BU328" s="103"/>
      <c r="BV328" s="103"/>
      <c r="BW328" s="103"/>
      <c r="BX328" s="103"/>
      <c r="BY328" s="103"/>
      <c r="BZ328" s="104"/>
      <c r="CA328" s="104"/>
      <c r="CB328" s="104"/>
      <c r="CC328" s="104"/>
      <c r="CD328" s="104"/>
      <c r="CE328" s="104"/>
      <c r="CF328" s="103"/>
      <c r="CG328" s="103"/>
      <c r="CH328" s="103"/>
      <c r="CI328" s="103"/>
      <c r="CJ328" s="103"/>
      <c r="CK328" s="103"/>
      <c r="CL328" s="103"/>
      <c r="CM328" s="103"/>
      <c r="CN328" s="103"/>
      <c r="CO328" s="103"/>
      <c r="CP328" s="103"/>
      <c r="CQ328" s="103"/>
      <c r="CR328" s="103"/>
      <c r="CS328" s="103"/>
      <c r="CT328" s="103"/>
      <c r="CU328" s="103"/>
      <c r="CV328" s="103"/>
      <c r="CW328" s="103"/>
      <c r="CX328" s="103"/>
      <c r="CY328" s="103"/>
      <c r="CZ328" s="103"/>
      <c r="DA328" s="103"/>
      <c r="DB328" s="103"/>
      <c r="DC328" s="103"/>
      <c r="DD328" s="103"/>
      <c r="DE328" s="107"/>
      <c r="DF328" s="465"/>
      <c r="DG328" s="1"/>
      <c r="DH328" s="51"/>
      <c r="DI328" s="465"/>
      <c r="DJ328" s="52"/>
      <c r="DK328" s="52"/>
      <c r="DL328" s="52"/>
      <c r="DM328" s="52"/>
      <c r="DN328" s="52"/>
      <c r="DO328" s="52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P328" s="53"/>
      <c r="EQ328" s="1"/>
      <c r="ER328" s="103"/>
      <c r="ES328" s="103"/>
      <c r="ET328" s="1"/>
      <c r="EU328" s="103"/>
      <c r="EV328" s="1"/>
      <c r="EW328" s="1"/>
      <c r="EX328" s="1"/>
      <c r="EY328" s="104"/>
      <c r="FN328" s="657">
        <v>4</v>
      </c>
      <c r="FO328" s="450">
        <f t="shared" ref="FO328:HZ328" ca="1" si="677">IF(AND(ISNUMBER(FO23),ISNUMBER(FO$320),FO$320&lt;&gt;0),FO23*FO$320/FO$15,"")</f>
        <v>2.1119500166630442E-3</v>
      </c>
      <c r="FP328" s="450">
        <f t="shared" ca="1" si="677"/>
        <v>3.9264719620589316E-3</v>
      </c>
      <c r="FQ328" s="450" t="str">
        <f t="shared" ca="1" si="677"/>
        <v/>
      </c>
      <c r="FR328" s="450" t="str">
        <f t="shared" ca="1" si="677"/>
        <v/>
      </c>
      <c r="FS328" s="450" t="str">
        <f t="shared" ca="1" si="677"/>
        <v/>
      </c>
      <c r="FT328" s="450" t="str">
        <f t="shared" ca="1" si="677"/>
        <v/>
      </c>
      <c r="FU328" s="450" t="str">
        <f t="shared" ca="1" si="677"/>
        <v/>
      </c>
      <c r="FV328" s="450" t="str">
        <f t="shared" ca="1" si="677"/>
        <v/>
      </c>
      <c r="FW328" s="450" t="str">
        <f t="shared" ca="1" si="677"/>
        <v/>
      </c>
      <c r="FX328" s="450" t="str">
        <f t="shared" ca="1" si="677"/>
        <v/>
      </c>
      <c r="FY328" s="450" t="str">
        <f t="shared" ca="1" si="677"/>
        <v/>
      </c>
      <c r="FZ328" s="450" t="str">
        <f t="shared" ca="1" si="677"/>
        <v/>
      </c>
      <c r="GA328" s="450" t="str">
        <f t="shared" ca="1" si="677"/>
        <v/>
      </c>
      <c r="GB328" s="450" t="str">
        <f t="shared" ca="1" si="677"/>
        <v/>
      </c>
      <c r="GC328" s="450" t="str">
        <f t="shared" ca="1" si="677"/>
        <v/>
      </c>
      <c r="GD328" s="450" t="str">
        <f t="shared" ca="1" si="677"/>
        <v/>
      </c>
      <c r="GE328" s="450" t="str">
        <f t="shared" ca="1" si="677"/>
        <v/>
      </c>
      <c r="GF328" s="450" t="str">
        <f t="shared" ca="1" si="677"/>
        <v/>
      </c>
      <c r="GG328" s="450" t="str">
        <f t="shared" ca="1" si="677"/>
        <v/>
      </c>
      <c r="GH328" s="450" t="str">
        <f t="shared" ca="1" si="677"/>
        <v/>
      </c>
      <c r="GI328" s="450" t="str">
        <f t="shared" ca="1" si="677"/>
        <v/>
      </c>
      <c r="GJ328" s="450" t="str">
        <f t="shared" ca="1" si="677"/>
        <v/>
      </c>
      <c r="GK328" s="450" t="str">
        <f t="shared" ca="1" si="677"/>
        <v/>
      </c>
      <c r="GL328" s="450" t="str">
        <f t="shared" ca="1" si="677"/>
        <v/>
      </c>
      <c r="GM328" s="450" t="str">
        <f t="shared" ca="1" si="677"/>
        <v/>
      </c>
      <c r="GN328" s="450" t="str">
        <f t="shared" ca="1" si="677"/>
        <v/>
      </c>
      <c r="GO328" s="450" t="str">
        <f t="shared" ca="1" si="677"/>
        <v/>
      </c>
      <c r="GP328" s="450" t="str">
        <f t="shared" ca="1" si="677"/>
        <v/>
      </c>
      <c r="GQ328" s="450" t="str">
        <f t="shared" ca="1" si="677"/>
        <v/>
      </c>
      <c r="GR328" s="450" t="str">
        <f t="shared" ca="1" si="677"/>
        <v/>
      </c>
      <c r="GS328" s="450" t="str">
        <f t="shared" ca="1" si="677"/>
        <v/>
      </c>
      <c r="GT328" s="450" t="str">
        <f t="shared" ca="1" si="677"/>
        <v/>
      </c>
      <c r="GU328" s="450" t="str">
        <f t="shared" ca="1" si="677"/>
        <v/>
      </c>
      <c r="GV328" s="450" t="str">
        <f t="shared" ca="1" si="677"/>
        <v/>
      </c>
      <c r="GW328" s="450" t="str">
        <f t="shared" ca="1" si="677"/>
        <v/>
      </c>
      <c r="GX328" s="450" t="str">
        <f t="shared" ca="1" si="677"/>
        <v/>
      </c>
      <c r="GY328" s="450" t="str">
        <f t="shared" ca="1" si="677"/>
        <v/>
      </c>
      <c r="GZ328" s="450" t="str">
        <f t="shared" ca="1" si="677"/>
        <v/>
      </c>
      <c r="HA328" s="450" t="str">
        <f t="shared" ca="1" si="677"/>
        <v/>
      </c>
      <c r="HB328" s="450" t="str">
        <f t="shared" ca="1" si="677"/>
        <v/>
      </c>
      <c r="HC328" s="450" t="str">
        <f t="shared" ca="1" si="677"/>
        <v/>
      </c>
      <c r="HD328" s="450" t="str">
        <f t="shared" ca="1" si="677"/>
        <v/>
      </c>
      <c r="HE328" s="450" t="str">
        <f t="shared" ca="1" si="677"/>
        <v/>
      </c>
      <c r="HF328" s="450" t="str">
        <f t="shared" ca="1" si="677"/>
        <v/>
      </c>
      <c r="HG328" s="450" t="str">
        <f t="shared" ca="1" si="677"/>
        <v/>
      </c>
      <c r="HH328" s="450" t="str">
        <f t="shared" ca="1" si="677"/>
        <v/>
      </c>
      <c r="HI328" s="450" t="str">
        <f t="shared" ca="1" si="677"/>
        <v/>
      </c>
      <c r="HJ328" s="450" t="str">
        <f t="shared" ca="1" si="677"/>
        <v/>
      </c>
      <c r="HK328" s="450" t="str">
        <f t="shared" ca="1" si="677"/>
        <v/>
      </c>
      <c r="HL328" s="450" t="str">
        <f t="shared" ca="1" si="677"/>
        <v/>
      </c>
      <c r="HM328" s="450" t="str">
        <f t="shared" ca="1" si="677"/>
        <v/>
      </c>
      <c r="HN328" s="450" t="str">
        <f t="shared" ca="1" si="677"/>
        <v/>
      </c>
      <c r="HO328" s="450" t="str">
        <f t="shared" ca="1" si="677"/>
        <v/>
      </c>
      <c r="HP328" s="450" t="str">
        <f t="shared" ca="1" si="677"/>
        <v/>
      </c>
      <c r="HQ328" s="450" t="str">
        <f t="shared" ca="1" si="677"/>
        <v/>
      </c>
      <c r="HR328" s="450" t="str">
        <f t="shared" ca="1" si="677"/>
        <v/>
      </c>
      <c r="HS328" s="450" t="str">
        <f t="shared" ca="1" si="677"/>
        <v/>
      </c>
      <c r="HT328" s="450" t="str">
        <f t="shared" ca="1" si="677"/>
        <v/>
      </c>
      <c r="HU328" s="450" t="str">
        <f t="shared" ca="1" si="677"/>
        <v/>
      </c>
      <c r="HV328" s="450" t="str">
        <f t="shared" ca="1" si="677"/>
        <v/>
      </c>
      <c r="HW328" s="450" t="str">
        <f t="shared" ca="1" si="677"/>
        <v/>
      </c>
      <c r="HX328" s="450" t="str">
        <f t="shared" ca="1" si="677"/>
        <v/>
      </c>
      <c r="HY328" s="450" t="str">
        <f t="shared" ca="1" si="677"/>
        <v/>
      </c>
      <c r="HZ328" s="450" t="str">
        <f t="shared" ca="1" si="677"/>
        <v/>
      </c>
      <c r="IA328" s="450" t="str">
        <f t="shared" ca="1" si="675"/>
        <v/>
      </c>
      <c r="IB328" s="450" t="str">
        <f t="shared" ca="1" si="673"/>
        <v/>
      </c>
      <c r="IC328" s="450" t="str">
        <f t="shared" ca="1" si="673"/>
        <v/>
      </c>
      <c r="ID328" s="450" t="str">
        <f t="shared" ca="1" si="673"/>
        <v/>
      </c>
      <c r="IE328" s="450" t="str">
        <f t="shared" ca="1" si="673"/>
        <v/>
      </c>
      <c r="IF328" s="450" t="str">
        <f t="shared" ca="1" si="673"/>
        <v/>
      </c>
      <c r="IG328" s="450" t="str">
        <f t="shared" ca="1" si="673"/>
        <v/>
      </c>
      <c r="IH328" s="658" t="str">
        <f t="shared" ca="1" si="673"/>
        <v/>
      </c>
      <c r="II328" s="242"/>
    </row>
    <row r="329" spans="9:243">
      <c r="I329" s="132"/>
      <c r="J329" s="365"/>
      <c r="K329" s="1"/>
      <c r="L329" s="1"/>
      <c r="M329" s="366"/>
      <c r="P329" s="365"/>
      <c r="S329" s="53"/>
      <c r="T329" s="365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364"/>
      <c r="AO329" s="364">
        <v>6.5361836460915396E-2</v>
      </c>
      <c r="AP329" s="103"/>
      <c r="AQ329" s="364">
        <v>5.7059432751314504E-2</v>
      </c>
      <c r="AR329" s="103"/>
      <c r="AS329" s="103"/>
      <c r="AT329" s="103"/>
      <c r="AU329" s="31"/>
      <c r="AV329" s="31"/>
      <c r="AW329" s="31"/>
      <c r="AX329" s="31"/>
      <c r="AY329" s="146"/>
      <c r="AZ329" s="146"/>
      <c r="BA329" s="103"/>
      <c r="BB329" s="103"/>
      <c r="BC329" s="103"/>
      <c r="BD329" s="103"/>
      <c r="BE329" s="104"/>
      <c r="BF329" s="104"/>
      <c r="BG329" s="104"/>
      <c r="BH329" s="102"/>
      <c r="BI329" s="104"/>
      <c r="BJ329" s="103"/>
      <c r="BK329" s="105"/>
      <c r="BL329" s="151"/>
      <c r="BM329" s="103"/>
      <c r="BN329" s="103"/>
      <c r="BO329" s="103"/>
      <c r="BP329" s="103"/>
      <c r="BQ329" s="103"/>
      <c r="BR329" s="103"/>
      <c r="BS329" s="103"/>
      <c r="BT329" s="103"/>
      <c r="BU329" s="103"/>
      <c r="BV329" s="103"/>
      <c r="BW329" s="103"/>
      <c r="BX329" s="103"/>
      <c r="BY329" s="103"/>
      <c r="BZ329" s="104"/>
      <c r="CA329" s="104"/>
      <c r="CB329" s="104"/>
      <c r="CC329" s="104"/>
      <c r="CD329" s="104"/>
      <c r="CE329" s="104"/>
      <c r="CF329" s="103"/>
      <c r="CG329" s="103"/>
      <c r="CH329" s="103"/>
      <c r="CI329" s="103"/>
      <c r="CJ329" s="103"/>
      <c r="CK329" s="103"/>
      <c r="CL329" s="103"/>
      <c r="CM329" s="103"/>
      <c r="CN329" s="103"/>
      <c r="CO329" s="103"/>
      <c r="CP329" s="103"/>
      <c r="CQ329" s="103"/>
      <c r="CR329" s="103"/>
      <c r="CS329" s="103"/>
      <c r="CT329" s="103"/>
      <c r="CU329" s="103"/>
      <c r="CV329" s="103"/>
      <c r="CW329" s="103"/>
      <c r="CX329" s="103"/>
      <c r="CY329" s="103"/>
      <c r="CZ329" s="103"/>
      <c r="DA329" s="103"/>
      <c r="DB329" s="103"/>
      <c r="DC329" s="103"/>
      <c r="DD329" s="103"/>
      <c r="DE329" s="107"/>
      <c r="DF329" s="465"/>
      <c r="DG329" s="1"/>
      <c r="DH329" s="51"/>
      <c r="DI329" s="465"/>
      <c r="DJ329" s="52"/>
      <c r="DK329" s="52"/>
      <c r="DL329" s="52"/>
      <c r="DM329" s="52"/>
      <c r="DN329" s="52"/>
      <c r="DO329" s="52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P329" s="53"/>
      <c r="EQ329" s="1"/>
      <c r="ER329" s="103"/>
      <c r="ES329" s="103"/>
      <c r="ET329" s="1"/>
      <c r="EU329" s="103"/>
      <c r="EV329" s="1"/>
      <c r="EW329" s="1"/>
      <c r="EX329" s="1"/>
      <c r="EY329" s="104"/>
      <c r="FN329" s="657">
        <v>5</v>
      </c>
      <c r="FO329" s="450">
        <f t="shared" ref="FO329:HZ329" ca="1" si="678">IF(AND(ISNUMBER(FO24),ISNUMBER(FO$320),FO$320&lt;&gt;0),FO24*FO$320/FO$15,"")</f>
        <v>1.8715820891033036E-3</v>
      </c>
      <c r="FP329" s="450">
        <f t="shared" ca="1" si="678"/>
        <v>3.429933523020194E-3</v>
      </c>
      <c r="FQ329" s="450" t="str">
        <f t="shared" ca="1" si="678"/>
        <v/>
      </c>
      <c r="FR329" s="450" t="str">
        <f t="shared" ca="1" si="678"/>
        <v/>
      </c>
      <c r="FS329" s="450" t="str">
        <f t="shared" ca="1" si="678"/>
        <v/>
      </c>
      <c r="FT329" s="450" t="str">
        <f t="shared" ca="1" si="678"/>
        <v/>
      </c>
      <c r="FU329" s="450" t="str">
        <f t="shared" ca="1" si="678"/>
        <v/>
      </c>
      <c r="FV329" s="450" t="str">
        <f t="shared" ca="1" si="678"/>
        <v/>
      </c>
      <c r="FW329" s="450" t="str">
        <f t="shared" ca="1" si="678"/>
        <v/>
      </c>
      <c r="FX329" s="450" t="str">
        <f t="shared" ca="1" si="678"/>
        <v/>
      </c>
      <c r="FY329" s="450" t="str">
        <f t="shared" ca="1" si="678"/>
        <v/>
      </c>
      <c r="FZ329" s="450" t="str">
        <f t="shared" ca="1" si="678"/>
        <v/>
      </c>
      <c r="GA329" s="450" t="str">
        <f t="shared" ca="1" si="678"/>
        <v/>
      </c>
      <c r="GB329" s="450" t="str">
        <f t="shared" ca="1" si="678"/>
        <v/>
      </c>
      <c r="GC329" s="450" t="str">
        <f t="shared" ca="1" si="678"/>
        <v/>
      </c>
      <c r="GD329" s="450" t="str">
        <f t="shared" ca="1" si="678"/>
        <v/>
      </c>
      <c r="GE329" s="450" t="str">
        <f t="shared" ca="1" si="678"/>
        <v/>
      </c>
      <c r="GF329" s="450" t="str">
        <f t="shared" ca="1" si="678"/>
        <v/>
      </c>
      <c r="GG329" s="450" t="str">
        <f t="shared" ca="1" si="678"/>
        <v/>
      </c>
      <c r="GH329" s="450" t="str">
        <f t="shared" ca="1" si="678"/>
        <v/>
      </c>
      <c r="GI329" s="450" t="str">
        <f t="shared" ca="1" si="678"/>
        <v/>
      </c>
      <c r="GJ329" s="450" t="str">
        <f t="shared" ca="1" si="678"/>
        <v/>
      </c>
      <c r="GK329" s="450" t="str">
        <f t="shared" ca="1" si="678"/>
        <v/>
      </c>
      <c r="GL329" s="450" t="str">
        <f t="shared" ca="1" si="678"/>
        <v/>
      </c>
      <c r="GM329" s="450" t="str">
        <f t="shared" ca="1" si="678"/>
        <v/>
      </c>
      <c r="GN329" s="450" t="str">
        <f t="shared" ca="1" si="678"/>
        <v/>
      </c>
      <c r="GO329" s="450" t="str">
        <f t="shared" ca="1" si="678"/>
        <v/>
      </c>
      <c r="GP329" s="450" t="str">
        <f t="shared" ca="1" si="678"/>
        <v/>
      </c>
      <c r="GQ329" s="450" t="str">
        <f t="shared" ca="1" si="678"/>
        <v/>
      </c>
      <c r="GR329" s="450" t="str">
        <f t="shared" ca="1" si="678"/>
        <v/>
      </c>
      <c r="GS329" s="450" t="str">
        <f t="shared" ca="1" si="678"/>
        <v/>
      </c>
      <c r="GT329" s="450" t="str">
        <f t="shared" ca="1" si="678"/>
        <v/>
      </c>
      <c r="GU329" s="450" t="str">
        <f t="shared" ca="1" si="678"/>
        <v/>
      </c>
      <c r="GV329" s="450" t="str">
        <f t="shared" ca="1" si="678"/>
        <v/>
      </c>
      <c r="GW329" s="450" t="str">
        <f t="shared" ca="1" si="678"/>
        <v/>
      </c>
      <c r="GX329" s="450" t="str">
        <f t="shared" ca="1" si="678"/>
        <v/>
      </c>
      <c r="GY329" s="450" t="str">
        <f t="shared" ca="1" si="678"/>
        <v/>
      </c>
      <c r="GZ329" s="450" t="str">
        <f t="shared" ca="1" si="678"/>
        <v/>
      </c>
      <c r="HA329" s="450" t="str">
        <f t="shared" ca="1" si="678"/>
        <v/>
      </c>
      <c r="HB329" s="450" t="str">
        <f t="shared" ca="1" si="678"/>
        <v/>
      </c>
      <c r="HC329" s="450" t="str">
        <f t="shared" ca="1" si="678"/>
        <v/>
      </c>
      <c r="HD329" s="450" t="str">
        <f t="shared" ca="1" si="678"/>
        <v/>
      </c>
      <c r="HE329" s="450" t="str">
        <f t="shared" ca="1" si="678"/>
        <v/>
      </c>
      <c r="HF329" s="450" t="str">
        <f t="shared" ca="1" si="678"/>
        <v/>
      </c>
      <c r="HG329" s="450" t="str">
        <f t="shared" ca="1" si="678"/>
        <v/>
      </c>
      <c r="HH329" s="450" t="str">
        <f t="shared" ca="1" si="678"/>
        <v/>
      </c>
      <c r="HI329" s="450" t="str">
        <f t="shared" ca="1" si="678"/>
        <v/>
      </c>
      <c r="HJ329" s="450" t="str">
        <f t="shared" ca="1" si="678"/>
        <v/>
      </c>
      <c r="HK329" s="450" t="str">
        <f t="shared" ca="1" si="678"/>
        <v/>
      </c>
      <c r="HL329" s="450" t="str">
        <f t="shared" ca="1" si="678"/>
        <v/>
      </c>
      <c r="HM329" s="450" t="str">
        <f t="shared" ca="1" si="678"/>
        <v/>
      </c>
      <c r="HN329" s="450" t="str">
        <f t="shared" ca="1" si="678"/>
        <v/>
      </c>
      <c r="HO329" s="450" t="str">
        <f t="shared" ca="1" si="678"/>
        <v/>
      </c>
      <c r="HP329" s="450" t="str">
        <f t="shared" ca="1" si="678"/>
        <v/>
      </c>
      <c r="HQ329" s="450" t="str">
        <f t="shared" ca="1" si="678"/>
        <v/>
      </c>
      <c r="HR329" s="450" t="str">
        <f t="shared" ca="1" si="678"/>
        <v/>
      </c>
      <c r="HS329" s="450" t="str">
        <f t="shared" ca="1" si="678"/>
        <v/>
      </c>
      <c r="HT329" s="450" t="str">
        <f t="shared" ca="1" si="678"/>
        <v/>
      </c>
      <c r="HU329" s="450" t="str">
        <f t="shared" ca="1" si="678"/>
        <v/>
      </c>
      <c r="HV329" s="450" t="str">
        <f t="shared" ca="1" si="678"/>
        <v/>
      </c>
      <c r="HW329" s="450" t="str">
        <f t="shared" ca="1" si="678"/>
        <v/>
      </c>
      <c r="HX329" s="450" t="str">
        <f t="shared" ca="1" si="678"/>
        <v/>
      </c>
      <c r="HY329" s="450" t="str">
        <f t="shared" ca="1" si="678"/>
        <v/>
      </c>
      <c r="HZ329" s="450" t="str">
        <f t="shared" ca="1" si="678"/>
        <v/>
      </c>
      <c r="IA329" s="450" t="str">
        <f t="shared" ca="1" si="675"/>
        <v/>
      </c>
      <c r="IB329" s="450" t="str">
        <f t="shared" ca="1" si="673"/>
        <v/>
      </c>
      <c r="IC329" s="450" t="str">
        <f t="shared" ca="1" si="673"/>
        <v/>
      </c>
      <c r="ID329" s="450" t="str">
        <f t="shared" ca="1" si="673"/>
        <v/>
      </c>
      <c r="IE329" s="450" t="str">
        <f t="shared" ca="1" si="673"/>
        <v/>
      </c>
      <c r="IF329" s="450" t="str">
        <f t="shared" ca="1" si="673"/>
        <v/>
      </c>
      <c r="IG329" s="450" t="str">
        <f t="shared" ca="1" si="673"/>
        <v/>
      </c>
      <c r="IH329" s="658" t="str">
        <f t="shared" ca="1" si="673"/>
        <v/>
      </c>
      <c r="II329" s="242"/>
    </row>
    <row r="330" spans="9:243">
      <c r="I330" s="132"/>
      <c r="J330" s="365"/>
      <c r="K330" s="1"/>
      <c r="L330" s="1"/>
      <c r="M330" s="366"/>
      <c r="P330" s="365"/>
      <c r="S330" s="53"/>
      <c r="T330" s="365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364"/>
      <c r="AO330" s="364">
        <v>6.5371453807999497E-2</v>
      </c>
      <c r="AP330" s="103"/>
      <c r="AQ330" s="364">
        <v>5.7023998937096206E-2</v>
      </c>
      <c r="AR330" s="103"/>
      <c r="AS330" s="103"/>
      <c r="AT330" s="103"/>
      <c r="AU330" s="31"/>
      <c r="AV330" s="31"/>
      <c r="AW330" s="31"/>
      <c r="AX330" s="31"/>
      <c r="AY330" s="146"/>
      <c r="AZ330" s="146"/>
      <c r="BA330" s="103"/>
      <c r="BB330" s="103"/>
      <c r="BC330" s="103"/>
      <c r="BD330" s="103"/>
      <c r="BE330" s="104"/>
      <c r="BF330" s="104"/>
      <c r="BG330" s="104"/>
      <c r="BH330" s="102"/>
      <c r="BI330" s="104"/>
      <c r="BJ330" s="103"/>
      <c r="BK330" s="105"/>
      <c r="BL330" s="151"/>
      <c r="BM330" s="103"/>
      <c r="BN330" s="103"/>
      <c r="BO330" s="103"/>
      <c r="BP330" s="103"/>
      <c r="BQ330" s="103"/>
      <c r="BR330" s="103"/>
      <c r="BS330" s="103"/>
      <c r="BT330" s="103"/>
      <c r="BU330" s="103"/>
      <c r="BV330" s="103"/>
      <c r="BW330" s="103"/>
      <c r="BX330" s="103"/>
      <c r="BY330" s="103"/>
      <c r="BZ330" s="104"/>
      <c r="CA330" s="104"/>
      <c r="CB330" s="104"/>
      <c r="CC330" s="104"/>
      <c r="CD330" s="104"/>
      <c r="CE330" s="104"/>
      <c r="CF330" s="103"/>
      <c r="CG330" s="103"/>
      <c r="CH330" s="103"/>
      <c r="CI330" s="103"/>
      <c r="CJ330" s="103"/>
      <c r="CK330" s="103"/>
      <c r="CL330" s="103"/>
      <c r="CM330" s="103"/>
      <c r="CN330" s="103"/>
      <c r="CO330" s="103"/>
      <c r="CP330" s="103"/>
      <c r="CQ330" s="103"/>
      <c r="CR330" s="103"/>
      <c r="CS330" s="103"/>
      <c r="CT330" s="103"/>
      <c r="CU330" s="103"/>
      <c r="CV330" s="103"/>
      <c r="CW330" s="103"/>
      <c r="CX330" s="103"/>
      <c r="CY330" s="103"/>
      <c r="CZ330" s="103"/>
      <c r="DA330" s="103"/>
      <c r="DB330" s="103"/>
      <c r="DC330" s="103"/>
      <c r="DD330" s="103"/>
      <c r="DE330" s="107"/>
      <c r="DF330" s="465"/>
      <c r="DG330" s="1"/>
      <c r="DH330" s="51"/>
      <c r="DI330" s="465"/>
      <c r="DJ330" s="52"/>
      <c r="DK330" s="52"/>
      <c r="DL330" s="52"/>
      <c r="DM330" s="52"/>
      <c r="DN330" s="52"/>
      <c r="DO330" s="52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P330" s="53"/>
      <c r="EQ330" s="1"/>
      <c r="ER330" s="103"/>
      <c r="ES330" s="103"/>
      <c r="ET330" s="1"/>
      <c r="EU330" s="103"/>
      <c r="EV330" s="1"/>
      <c r="EW330" s="1"/>
      <c r="EX330" s="1"/>
      <c r="EY330" s="104"/>
      <c r="FN330" s="657">
        <v>6</v>
      </c>
      <c r="FO330" s="450">
        <f t="shared" ref="FO330:HZ330" ca="1" si="679">IF(AND(ISNUMBER(FO25),ISNUMBER(FO$320),FO$320&lt;&gt;0),FO25*FO$320/FO$15,"")</f>
        <v>1.6798723071389328E-3</v>
      </c>
      <c r="FP330" s="450">
        <f t="shared" ca="1" si="679"/>
        <v>3.0395615889823335E-3</v>
      </c>
      <c r="FQ330" s="450" t="str">
        <f t="shared" ca="1" si="679"/>
        <v/>
      </c>
      <c r="FR330" s="450" t="str">
        <f t="shared" ca="1" si="679"/>
        <v/>
      </c>
      <c r="FS330" s="450" t="str">
        <f t="shared" ca="1" si="679"/>
        <v/>
      </c>
      <c r="FT330" s="450" t="str">
        <f t="shared" ca="1" si="679"/>
        <v/>
      </c>
      <c r="FU330" s="450" t="str">
        <f t="shared" ca="1" si="679"/>
        <v/>
      </c>
      <c r="FV330" s="450" t="str">
        <f t="shared" ca="1" si="679"/>
        <v/>
      </c>
      <c r="FW330" s="450" t="str">
        <f t="shared" ca="1" si="679"/>
        <v/>
      </c>
      <c r="FX330" s="450" t="str">
        <f t="shared" ca="1" si="679"/>
        <v/>
      </c>
      <c r="FY330" s="450" t="str">
        <f t="shared" ca="1" si="679"/>
        <v/>
      </c>
      <c r="FZ330" s="450" t="str">
        <f t="shared" ca="1" si="679"/>
        <v/>
      </c>
      <c r="GA330" s="450" t="str">
        <f t="shared" ca="1" si="679"/>
        <v/>
      </c>
      <c r="GB330" s="450" t="str">
        <f t="shared" ca="1" si="679"/>
        <v/>
      </c>
      <c r="GC330" s="450" t="str">
        <f t="shared" ca="1" si="679"/>
        <v/>
      </c>
      <c r="GD330" s="450" t="str">
        <f t="shared" ca="1" si="679"/>
        <v/>
      </c>
      <c r="GE330" s="450" t="str">
        <f t="shared" ca="1" si="679"/>
        <v/>
      </c>
      <c r="GF330" s="450" t="str">
        <f t="shared" ca="1" si="679"/>
        <v/>
      </c>
      <c r="GG330" s="450" t="str">
        <f t="shared" ca="1" si="679"/>
        <v/>
      </c>
      <c r="GH330" s="450" t="str">
        <f t="shared" ca="1" si="679"/>
        <v/>
      </c>
      <c r="GI330" s="450" t="str">
        <f t="shared" ca="1" si="679"/>
        <v/>
      </c>
      <c r="GJ330" s="450" t="str">
        <f t="shared" ca="1" si="679"/>
        <v/>
      </c>
      <c r="GK330" s="450" t="str">
        <f t="shared" ca="1" si="679"/>
        <v/>
      </c>
      <c r="GL330" s="450" t="str">
        <f t="shared" ca="1" si="679"/>
        <v/>
      </c>
      <c r="GM330" s="450" t="str">
        <f t="shared" ca="1" si="679"/>
        <v/>
      </c>
      <c r="GN330" s="450" t="str">
        <f t="shared" ca="1" si="679"/>
        <v/>
      </c>
      <c r="GO330" s="450" t="str">
        <f t="shared" ca="1" si="679"/>
        <v/>
      </c>
      <c r="GP330" s="450" t="str">
        <f t="shared" ca="1" si="679"/>
        <v/>
      </c>
      <c r="GQ330" s="450" t="str">
        <f t="shared" ca="1" si="679"/>
        <v/>
      </c>
      <c r="GR330" s="450" t="str">
        <f t="shared" ca="1" si="679"/>
        <v/>
      </c>
      <c r="GS330" s="450" t="str">
        <f t="shared" ca="1" si="679"/>
        <v/>
      </c>
      <c r="GT330" s="450" t="str">
        <f t="shared" ca="1" si="679"/>
        <v/>
      </c>
      <c r="GU330" s="450" t="str">
        <f t="shared" ca="1" si="679"/>
        <v/>
      </c>
      <c r="GV330" s="450" t="str">
        <f t="shared" ca="1" si="679"/>
        <v/>
      </c>
      <c r="GW330" s="450" t="str">
        <f t="shared" ca="1" si="679"/>
        <v/>
      </c>
      <c r="GX330" s="450" t="str">
        <f t="shared" ca="1" si="679"/>
        <v/>
      </c>
      <c r="GY330" s="450" t="str">
        <f t="shared" ca="1" si="679"/>
        <v/>
      </c>
      <c r="GZ330" s="450" t="str">
        <f t="shared" ca="1" si="679"/>
        <v/>
      </c>
      <c r="HA330" s="450" t="str">
        <f t="shared" ca="1" si="679"/>
        <v/>
      </c>
      <c r="HB330" s="450" t="str">
        <f t="shared" ca="1" si="679"/>
        <v/>
      </c>
      <c r="HC330" s="450" t="str">
        <f t="shared" ca="1" si="679"/>
        <v/>
      </c>
      <c r="HD330" s="450" t="str">
        <f t="shared" ca="1" si="679"/>
        <v/>
      </c>
      <c r="HE330" s="450" t="str">
        <f t="shared" ca="1" si="679"/>
        <v/>
      </c>
      <c r="HF330" s="450" t="str">
        <f t="shared" ca="1" si="679"/>
        <v/>
      </c>
      <c r="HG330" s="450" t="str">
        <f t="shared" ca="1" si="679"/>
        <v/>
      </c>
      <c r="HH330" s="450" t="str">
        <f t="shared" ca="1" si="679"/>
        <v/>
      </c>
      <c r="HI330" s="450" t="str">
        <f t="shared" ca="1" si="679"/>
        <v/>
      </c>
      <c r="HJ330" s="450" t="str">
        <f t="shared" ca="1" si="679"/>
        <v/>
      </c>
      <c r="HK330" s="450" t="str">
        <f t="shared" ca="1" si="679"/>
        <v/>
      </c>
      <c r="HL330" s="450" t="str">
        <f t="shared" ca="1" si="679"/>
        <v/>
      </c>
      <c r="HM330" s="450" t="str">
        <f t="shared" ca="1" si="679"/>
        <v/>
      </c>
      <c r="HN330" s="450" t="str">
        <f t="shared" ca="1" si="679"/>
        <v/>
      </c>
      <c r="HO330" s="450" t="str">
        <f t="shared" ca="1" si="679"/>
        <v/>
      </c>
      <c r="HP330" s="450" t="str">
        <f t="shared" ca="1" si="679"/>
        <v/>
      </c>
      <c r="HQ330" s="450" t="str">
        <f t="shared" ca="1" si="679"/>
        <v/>
      </c>
      <c r="HR330" s="450" t="str">
        <f t="shared" ca="1" si="679"/>
        <v/>
      </c>
      <c r="HS330" s="450" t="str">
        <f t="shared" ca="1" si="679"/>
        <v/>
      </c>
      <c r="HT330" s="450" t="str">
        <f t="shared" ca="1" si="679"/>
        <v/>
      </c>
      <c r="HU330" s="450" t="str">
        <f t="shared" ca="1" si="679"/>
        <v/>
      </c>
      <c r="HV330" s="450" t="str">
        <f t="shared" ca="1" si="679"/>
        <v/>
      </c>
      <c r="HW330" s="450" t="str">
        <f t="shared" ca="1" si="679"/>
        <v/>
      </c>
      <c r="HX330" s="450" t="str">
        <f t="shared" ca="1" si="679"/>
        <v/>
      </c>
      <c r="HY330" s="450" t="str">
        <f t="shared" ca="1" si="679"/>
        <v/>
      </c>
      <c r="HZ330" s="450" t="str">
        <f t="shared" ca="1" si="679"/>
        <v/>
      </c>
      <c r="IA330" s="450" t="str">
        <f t="shared" ca="1" si="675"/>
        <v/>
      </c>
      <c r="IB330" s="450" t="str">
        <f t="shared" ca="1" si="673"/>
        <v/>
      </c>
      <c r="IC330" s="450" t="str">
        <f t="shared" ca="1" si="673"/>
        <v/>
      </c>
      <c r="ID330" s="450" t="str">
        <f t="shared" ca="1" si="673"/>
        <v/>
      </c>
      <c r="IE330" s="450" t="str">
        <f t="shared" ca="1" si="673"/>
        <v/>
      </c>
      <c r="IF330" s="450" t="str">
        <f t="shared" ca="1" si="673"/>
        <v/>
      </c>
      <c r="IG330" s="450" t="str">
        <f t="shared" ca="1" si="673"/>
        <v/>
      </c>
      <c r="IH330" s="658" t="str">
        <f t="shared" ca="1" si="673"/>
        <v/>
      </c>
      <c r="II330" s="242"/>
    </row>
    <row r="331" spans="9:243">
      <c r="I331" s="132"/>
      <c r="J331" s="365"/>
      <c r="K331" s="1"/>
      <c r="L331" s="1"/>
      <c r="M331" s="366"/>
      <c r="P331" s="365"/>
      <c r="S331" s="53"/>
      <c r="T331" s="365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364"/>
      <c r="AO331" s="364">
        <v>6.5382101585164304E-2</v>
      </c>
      <c r="AP331" s="103"/>
      <c r="AQ331" s="364">
        <v>5.6984768653016701E-2</v>
      </c>
      <c r="AR331" s="103"/>
      <c r="AS331" s="103"/>
      <c r="AT331" s="103"/>
      <c r="AU331" s="31"/>
      <c r="AV331" s="31"/>
      <c r="AW331" s="31"/>
      <c r="AX331" s="31"/>
      <c r="AY331" s="146"/>
      <c r="AZ331" s="146"/>
      <c r="BA331" s="103"/>
      <c r="BB331" s="103"/>
      <c r="BC331" s="103"/>
      <c r="BD331" s="103"/>
      <c r="BE331" s="104"/>
      <c r="BF331" s="104"/>
      <c r="BG331" s="104"/>
      <c r="BH331" s="102"/>
      <c r="BI331" s="104"/>
      <c r="BJ331" s="103"/>
      <c r="BK331" s="105"/>
      <c r="BL331" s="151"/>
      <c r="BM331" s="103"/>
      <c r="BN331" s="103"/>
      <c r="BO331" s="103"/>
      <c r="BP331" s="103"/>
      <c r="BQ331" s="103"/>
      <c r="BR331" s="103"/>
      <c r="BS331" s="103"/>
      <c r="BT331" s="103"/>
      <c r="BU331" s="103"/>
      <c r="BV331" s="103"/>
      <c r="BW331" s="103"/>
      <c r="BX331" s="103"/>
      <c r="BY331" s="103"/>
      <c r="BZ331" s="104"/>
      <c r="CA331" s="104"/>
      <c r="CB331" s="104"/>
      <c r="CC331" s="104"/>
      <c r="CD331" s="104"/>
      <c r="CE331" s="104"/>
      <c r="CF331" s="103"/>
      <c r="CG331" s="103"/>
      <c r="CH331" s="103"/>
      <c r="CI331" s="103"/>
      <c r="CJ331" s="103"/>
      <c r="CK331" s="103"/>
      <c r="CL331" s="103"/>
      <c r="CM331" s="103"/>
      <c r="CN331" s="103"/>
      <c r="CO331" s="103"/>
      <c r="CP331" s="103"/>
      <c r="CQ331" s="103"/>
      <c r="CR331" s="103"/>
      <c r="CS331" s="103"/>
      <c r="CT331" s="103"/>
      <c r="CU331" s="103"/>
      <c r="CV331" s="103"/>
      <c r="CW331" s="103"/>
      <c r="CX331" s="103"/>
      <c r="CY331" s="103"/>
      <c r="CZ331" s="103"/>
      <c r="DA331" s="103"/>
      <c r="DB331" s="103"/>
      <c r="DC331" s="103"/>
      <c r="DD331" s="103"/>
      <c r="DE331" s="107"/>
      <c r="DF331" s="465"/>
      <c r="DG331" s="1"/>
      <c r="DH331" s="51"/>
      <c r="DI331" s="465"/>
      <c r="DJ331" s="52"/>
      <c r="DK331" s="52"/>
      <c r="DL331" s="52"/>
      <c r="DM331" s="52"/>
      <c r="DN331" s="52"/>
      <c r="DO331" s="52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P331" s="53"/>
      <c r="EQ331" s="1"/>
      <c r="ER331" s="103"/>
      <c r="ES331" s="103"/>
      <c r="ET331" s="1"/>
      <c r="EU331" s="103"/>
      <c r="EV331" s="1"/>
      <c r="EW331" s="1"/>
      <c r="EX331" s="1"/>
      <c r="EY331" s="104"/>
      <c r="FN331" s="657">
        <v>7</v>
      </c>
      <c r="FO331" s="450">
        <f t="shared" ref="FO331:HZ331" ca="1" si="680">IF(AND(ISNUMBER(FO26),ISNUMBER(FO$320),FO$320&lt;&gt;0),FO26*FO$320/FO$15,"")</f>
        <v>1.525006987554956E-3</v>
      </c>
      <c r="FP331" s="450">
        <f t="shared" ca="1" si="680"/>
        <v>2.728213402395303E-3</v>
      </c>
      <c r="FQ331" s="450" t="str">
        <f t="shared" ca="1" si="680"/>
        <v/>
      </c>
      <c r="FR331" s="450" t="str">
        <f t="shared" ca="1" si="680"/>
        <v/>
      </c>
      <c r="FS331" s="450" t="str">
        <f t="shared" ca="1" si="680"/>
        <v/>
      </c>
      <c r="FT331" s="450" t="str">
        <f t="shared" ca="1" si="680"/>
        <v/>
      </c>
      <c r="FU331" s="450" t="str">
        <f t="shared" ca="1" si="680"/>
        <v/>
      </c>
      <c r="FV331" s="450" t="str">
        <f t="shared" ca="1" si="680"/>
        <v/>
      </c>
      <c r="FW331" s="450" t="str">
        <f t="shared" ca="1" si="680"/>
        <v/>
      </c>
      <c r="FX331" s="450" t="str">
        <f t="shared" ca="1" si="680"/>
        <v/>
      </c>
      <c r="FY331" s="450" t="str">
        <f t="shared" ca="1" si="680"/>
        <v/>
      </c>
      <c r="FZ331" s="450" t="str">
        <f t="shared" ca="1" si="680"/>
        <v/>
      </c>
      <c r="GA331" s="450" t="str">
        <f t="shared" ca="1" si="680"/>
        <v/>
      </c>
      <c r="GB331" s="450" t="str">
        <f t="shared" ca="1" si="680"/>
        <v/>
      </c>
      <c r="GC331" s="450" t="str">
        <f t="shared" ca="1" si="680"/>
        <v/>
      </c>
      <c r="GD331" s="450" t="str">
        <f t="shared" ca="1" si="680"/>
        <v/>
      </c>
      <c r="GE331" s="450" t="str">
        <f t="shared" ca="1" si="680"/>
        <v/>
      </c>
      <c r="GF331" s="450" t="str">
        <f t="shared" ca="1" si="680"/>
        <v/>
      </c>
      <c r="GG331" s="450" t="str">
        <f t="shared" ca="1" si="680"/>
        <v/>
      </c>
      <c r="GH331" s="450" t="str">
        <f t="shared" ca="1" si="680"/>
        <v/>
      </c>
      <c r="GI331" s="450" t="str">
        <f t="shared" ca="1" si="680"/>
        <v/>
      </c>
      <c r="GJ331" s="450" t="str">
        <f t="shared" ca="1" si="680"/>
        <v/>
      </c>
      <c r="GK331" s="450" t="str">
        <f t="shared" ca="1" si="680"/>
        <v/>
      </c>
      <c r="GL331" s="450" t="str">
        <f t="shared" ca="1" si="680"/>
        <v/>
      </c>
      <c r="GM331" s="450" t="str">
        <f t="shared" ca="1" si="680"/>
        <v/>
      </c>
      <c r="GN331" s="450" t="str">
        <f t="shared" ca="1" si="680"/>
        <v/>
      </c>
      <c r="GO331" s="450" t="str">
        <f t="shared" ca="1" si="680"/>
        <v/>
      </c>
      <c r="GP331" s="450" t="str">
        <f t="shared" ca="1" si="680"/>
        <v/>
      </c>
      <c r="GQ331" s="450" t="str">
        <f t="shared" ca="1" si="680"/>
        <v/>
      </c>
      <c r="GR331" s="450" t="str">
        <f t="shared" ca="1" si="680"/>
        <v/>
      </c>
      <c r="GS331" s="450" t="str">
        <f t="shared" ca="1" si="680"/>
        <v/>
      </c>
      <c r="GT331" s="450" t="str">
        <f t="shared" ca="1" si="680"/>
        <v/>
      </c>
      <c r="GU331" s="450" t="str">
        <f t="shared" ca="1" si="680"/>
        <v/>
      </c>
      <c r="GV331" s="450" t="str">
        <f t="shared" ca="1" si="680"/>
        <v/>
      </c>
      <c r="GW331" s="450" t="str">
        <f t="shared" ca="1" si="680"/>
        <v/>
      </c>
      <c r="GX331" s="450" t="str">
        <f t="shared" ca="1" si="680"/>
        <v/>
      </c>
      <c r="GY331" s="450" t="str">
        <f t="shared" ca="1" si="680"/>
        <v/>
      </c>
      <c r="GZ331" s="450" t="str">
        <f t="shared" ca="1" si="680"/>
        <v/>
      </c>
      <c r="HA331" s="450" t="str">
        <f t="shared" ca="1" si="680"/>
        <v/>
      </c>
      <c r="HB331" s="450" t="str">
        <f t="shared" ca="1" si="680"/>
        <v/>
      </c>
      <c r="HC331" s="450" t="str">
        <f t="shared" ca="1" si="680"/>
        <v/>
      </c>
      <c r="HD331" s="450" t="str">
        <f t="shared" ca="1" si="680"/>
        <v/>
      </c>
      <c r="HE331" s="450" t="str">
        <f t="shared" ca="1" si="680"/>
        <v/>
      </c>
      <c r="HF331" s="450" t="str">
        <f t="shared" ca="1" si="680"/>
        <v/>
      </c>
      <c r="HG331" s="450" t="str">
        <f t="shared" ca="1" si="680"/>
        <v/>
      </c>
      <c r="HH331" s="450" t="str">
        <f t="shared" ca="1" si="680"/>
        <v/>
      </c>
      <c r="HI331" s="450" t="str">
        <f t="shared" ca="1" si="680"/>
        <v/>
      </c>
      <c r="HJ331" s="450" t="str">
        <f t="shared" ca="1" si="680"/>
        <v/>
      </c>
      <c r="HK331" s="450" t="str">
        <f t="shared" ca="1" si="680"/>
        <v/>
      </c>
      <c r="HL331" s="450" t="str">
        <f t="shared" ca="1" si="680"/>
        <v/>
      </c>
      <c r="HM331" s="450" t="str">
        <f t="shared" ca="1" si="680"/>
        <v/>
      </c>
      <c r="HN331" s="450" t="str">
        <f t="shared" ca="1" si="680"/>
        <v/>
      </c>
      <c r="HO331" s="450" t="str">
        <f t="shared" ca="1" si="680"/>
        <v/>
      </c>
      <c r="HP331" s="450" t="str">
        <f t="shared" ca="1" si="680"/>
        <v/>
      </c>
      <c r="HQ331" s="450" t="str">
        <f t="shared" ca="1" si="680"/>
        <v/>
      </c>
      <c r="HR331" s="450" t="str">
        <f t="shared" ca="1" si="680"/>
        <v/>
      </c>
      <c r="HS331" s="450" t="str">
        <f t="shared" ca="1" si="680"/>
        <v/>
      </c>
      <c r="HT331" s="450" t="str">
        <f t="shared" ca="1" si="680"/>
        <v/>
      </c>
      <c r="HU331" s="450" t="str">
        <f t="shared" ca="1" si="680"/>
        <v/>
      </c>
      <c r="HV331" s="450" t="str">
        <f t="shared" ca="1" si="680"/>
        <v/>
      </c>
      <c r="HW331" s="450" t="str">
        <f t="shared" ca="1" si="680"/>
        <v/>
      </c>
      <c r="HX331" s="450" t="str">
        <f t="shared" ca="1" si="680"/>
        <v/>
      </c>
      <c r="HY331" s="450" t="str">
        <f t="shared" ca="1" si="680"/>
        <v/>
      </c>
      <c r="HZ331" s="450" t="str">
        <f t="shared" ca="1" si="680"/>
        <v/>
      </c>
      <c r="IA331" s="450" t="str">
        <f t="shared" ca="1" si="675"/>
        <v/>
      </c>
      <c r="IB331" s="450" t="str">
        <f t="shared" ca="1" si="673"/>
        <v/>
      </c>
      <c r="IC331" s="450" t="str">
        <f t="shared" ca="1" si="673"/>
        <v/>
      </c>
      <c r="ID331" s="450" t="str">
        <f t="shared" ca="1" si="673"/>
        <v/>
      </c>
      <c r="IE331" s="450" t="str">
        <f t="shared" ca="1" si="673"/>
        <v/>
      </c>
      <c r="IF331" s="450" t="str">
        <f t="shared" ca="1" si="673"/>
        <v/>
      </c>
      <c r="IG331" s="450" t="str">
        <f t="shared" ca="1" si="673"/>
        <v/>
      </c>
      <c r="IH331" s="658" t="str">
        <f t="shared" ca="1" si="673"/>
        <v/>
      </c>
      <c r="II331" s="242"/>
    </row>
    <row r="332" spans="9:243">
      <c r="I332" s="132"/>
      <c r="J332" s="365"/>
      <c r="K332" s="1"/>
      <c r="L332" s="1"/>
      <c r="M332" s="366"/>
      <c r="P332" s="365"/>
      <c r="S332" s="53"/>
      <c r="T332" s="365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364"/>
      <c r="AO332" s="364">
        <v>6.53924058856825E-2</v>
      </c>
      <c r="AP332" s="103"/>
      <c r="AQ332" s="364">
        <v>5.69468038722118E-2</v>
      </c>
      <c r="AR332" s="103"/>
      <c r="AS332" s="103"/>
      <c r="AT332" s="103"/>
      <c r="AU332" s="31"/>
      <c r="AV332" s="31"/>
      <c r="AW332" s="31"/>
      <c r="AX332" s="31"/>
      <c r="AY332" s="146"/>
      <c r="AZ332" s="146"/>
      <c r="BA332" s="103"/>
      <c r="BB332" s="103"/>
      <c r="BC332" s="103"/>
      <c r="BD332" s="103"/>
      <c r="BE332" s="104"/>
      <c r="BF332" s="104"/>
      <c r="BG332" s="104"/>
      <c r="BH332" s="102"/>
      <c r="BI332" s="104"/>
      <c r="BJ332" s="103"/>
      <c r="BK332" s="105"/>
      <c r="BL332" s="151"/>
      <c r="BM332" s="103"/>
      <c r="BN332" s="103"/>
      <c r="BO332" s="103"/>
      <c r="BP332" s="103"/>
      <c r="BQ332" s="103"/>
      <c r="BR332" s="103"/>
      <c r="BS332" s="103"/>
      <c r="BT332" s="103"/>
      <c r="BU332" s="103"/>
      <c r="BV332" s="103"/>
      <c r="BW332" s="103"/>
      <c r="BX332" s="103"/>
      <c r="BY332" s="103"/>
      <c r="BZ332" s="104"/>
      <c r="CA332" s="104"/>
      <c r="CB332" s="104"/>
      <c r="CC332" s="104"/>
      <c r="CD332" s="104"/>
      <c r="CE332" s="104"/>
      <c r="CF332" s="103"/>
      <c r="CG332" s="103"/>
      <c r="CH332" s="103"/>
      <c r="CI332" s="103"/>
      <c r="CJ332" s="103"/>
      <c r="CK332" s="103"/>
      <c r="CL332" s="103"/>
      <c r="CM332" s="103"/>
      <c r="CN332" s="103"/>
      <c r="CO332" s="103"/>
      <c r="CP332" s="103"/>
      <c r="CQ332" s="103"/>
      <c r="CR332" s="103"/>
      <c r="CS332" s="103"/>
      <c r="CT332" s="103"/>
      <c r="CU332" s="103"/>
      <c r="CV332" s="103"/>
      <c r="CW332" s="103"/>
      <c r="CX332" s="103"/>
      <c r="CY332" s="103"/>
      <c r="CZ332" s="103"/>
      <c r="DA332" s="103"/>
      <c r="DB332" s="103"/>
      <c r="DC332" s="103"/>
      <c r="DD332" s="103"/>
      <c r="DE332" s="107"/>
      <c r="DF332" s="465"/>
      <c r="DG332" s="1"/>
      <c r="DH332" s="51"/>
      <c r="DI332" s="465"/>
      <c r="DJ332" s="52"/>
      <c r="DK332" s="52"/>
      <c r="DL332" s="52"/>
      <c r="DM332" s="52"/>
      <c r="DN332" s="52"/>
      <c r="DO332" s="52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P332" s="53"/>
      <c r="EQ332" s="1"/>
      <c r="ER332" s="103"/>
      <c r="ES332" s="103"/>
      <c r="ET332" s="1"/>
      <c r="EU332" s="103"/>
      <c r="EV332" s="1"/>
      <c r="EW332" s="1"/>
      <c r="EX332" s="1"/>
      <c r="EY332" s="104"/>
      <c r="FN332" s="657">
        <v>8</v>
      </c>
      <c r="FO332" s="450">
        <f t="shared" ref="FO332:HZ332" ca="1" si="681">IF(AND(ISNUMBER(FO27),ISNUMBER(FO$320),FO$320&lt;&gt;0),FO27*FO$320/FO$15,"")</f>
        <v>1.3984773554259781E-3</v>
      </c>
      <c r="FP332" s="450">
        <f t="shared" ca="1" si="681"/>
        <v>2.4767028330146901E-3</v>
      </c>
      <c r="FQ332" s="450" t="str">
        <f t="shared" ca="1" si="681"/>
        <v/>
      </c>
      <c r="FR332" s="450" t="str">
        <f t="shared" ca="1" si="681"/>
        <v/>
      </c>
      <c r="FS332" s="450" t="str">
        <f t="shared" ca="1" si="681"/>
        <v/>
      </c>
      <c r="FT332" s="450" t="str">
        <f t="shared" ca="1" si="681"/>
        <v/>
      </c>
      <c r="FU332" s="450" t="str">
        <f t="shared" ca="1" si="681"/>
        <v/>
      </c>
      <c r="FV332" s="450" t="str">
        <f t="shared" ca="1" si="681"/>
        <v/>
      </c>
      <c r="FW332" s="450" t="str">
        <f t="shared" ca="1" si="681"/>
        <v/>
      </c>
      <c r="FX332" s="450" t="str">
        <f t="shared" ca="1" si="681"/>
        <v/>
      </c>
      <c r="FY332" s="450" t="str">
        <f t="shared" ca="1" si="681"/>
        <v/>
      </c>
      <c r="FZ332" s="450" t="str">
        <f t="shared" ca="1" si="681"/>
        <v/>
      </c>
      <c r="GA332" s="450" t="str">
        <f t="shared" ca="1" si="681"/>
        <v/>
      </c>
      <c r="GB332" s="450" t="str">
        <f t="shared" ca="1" si="681"/>
        <v/>
      </c>
      <c r="GC332" s="450" t="str">
        <f t="shared" ca="1" si="681"/>
        <v/>
      </c>
      <c r="GD332" s="450" t="str">
        <f t="shared" ca="1" si="681"/>
        <v/>
      </c>
      <c r="GE332" s="450" t="str">
        <f t="shared" ca="1" si="681"/>
        <v/>
      </c>
      <c r="GF332" s="450" t="str">
        <f t="shared" ca="1" si="681"/>
        <v/>
      </c>
      <c r="GG332" s="450" t="str">
        <f t="shared" ca="1" si="681"/>
        <v/>
      </c>
      <c r="GH332" s="450" t="str">
        <f t="shared" ca="1" si="681"/>
        <v/>
      </c>
      <c r="GI332" s="450" t="str">
        <f t="shared" ca="1" si="681"/>
        <v/>
      </c>
      <c r="GJ332" s="450" t="str">
        <f t="shared" ca="1" si="681"/>
        <v/>
      </c>
      <c r="GK332" s="450" t="str">
        <f t="shared" ca="1" si="681"/>
        <v/>
      </c>
      <c r="GL332" s="450" t="str">
        <f t="shared" ca="1" si="681"/>
        <v/>
      </c>
      <c r="GM332" s="450" t="str">
        <f t="shared" ca="1" si="681"/>
        <v/>
      </c>
      <c r="GN332" s="450" t="str">
        <f t="shared" ca="1" si="681"/>
        <v/>
      </c>
      <c r="GO332" s="450" t="str">
        <f t="shared" ca="1" si="681"/>
        <v/>
      </c>
      <c r="GP332" s="450" t="str">
        <f t="shared" ca="1" si="681"/>
        <v/>
      </c>
      <c r="GQ332" s="450" t="str">
        <f t="shared" ca="1" si="681"/>
        <v/>
      </c>
      <c r="GR332" s="450" t="str">
        <f t="shared" ca="1" si="681"/>
        <v/>
      </c>
      <c r="GS332" s="450" t="str">
        <f t="shared" ca="1" si="681"/>
        <v/>
      </c>
      <c r="GT332" s="450" t="str">
        <f t="shared" ca="1" si="681"/>
        <v/>
      </c>
      <c r="GU332" s="450" t="str">
        <f t="shared" ca="1" si="681"/>
        <v/>
      </c>
      <c r="GV332" s="450" t="str">
        <f t="shared" ca="1" si="681"/>
        <v/>
      </c>
      <c r="GW332" s="450" t="str">
        <f t="shared" ca="1" si="681"/>
        <v/>
      </c>
      <c r="GX332" s="450" t="str">
        <f t="shared" ca="1" si="681"/>
        <v/>
      </c>
      <c r="GY332" s="450" t="str">
        <f t="shared" ca="1" si="681"/>
        <v/>
      </c>
      <c r="GZ332" s="450" t="str">
        <f t="shared" ca="1" si="681"/>
        <v/>
      </c>
      <c r="HA332" s="450" t="str">
        <f t="shared" ca="1" si="681"/>
        <v/>
      </c>
      <c r="HB332" s="450" t="str">
        <f t="shared" ca="1" si="681"/>
        <v/>
      </c>
      <c r="HC332" s="450" t="str">
        <f t="shared" ca="1" si="681"/>
        <v/>
      </c>
      <c r="HD332" s="450" t="str">
        <f t="shared" ca="1" si="681"/>
        <v/>
      </c>
      <c r="HE332" s="450" t="str">
        <f t="shared" ca="1" si="681"/>
        <v/>
      </c>
      <c r="HF332" s="450" t="str">
        <f t="shared" ca="1" si="681"/>
        <v/>
      </c>
      <c r="HG332" s="450" t="str">
        <f t="shared" ca="1" si="681"/>
        <v/>
      </c>
      <c r="HH332" s="450" t="str">
        <f t="shared" ca="1" si="681"/>
        <v/>
      </c>
      <c r="HI332" s="450" t="str">
        <f t="shared" ca="1" si="681"/>
        <v/>
      </c>
      <c r="HJ332" s="450" t="str">
        <f t="shared" ca="1" si="681"/>
        <v/>
      </c>
      <c r="HK332" s="450" t="str">
        <f t="shared" ca="1" si="681"/>
        <v/>
      </c>
      <c r="HL332" s="450" t="str">
        <f t="shared" ca="1" si="681"/>
        <v/>
      </c>
      <c r="HM332" s="450" t="str">
        <f t="shared" ca="1" si="681"/>
        <v/>
      </c>
      <c r="HN332" s="450" t="str">
        <f t="shared" ca="1" si="681"/>
        <v/>
      </c>
      <c r="HO332" s="450" t="str">
        <f t="shared" ca="1" si="681"/>
        <v/>
      </c>
      <c r="HP332" s="450" t="str">
        <f t="shared" ca="1" si="681"/>
        <v/>
      </c>
      <c r="HQ332" s="450" t="str">
        <f t="shared" ca="1" si="681"/>
        <v/>
      </c>
      <c r="HR332" s="450" t="str">
        <f t="shared" ca="1" si="681"/>
        <v/>
      </c>
      <c r="HS332" s="450" t="str">
        <f t="shared" ca="1" si="681"/>
        <v/>
      </c>
      <c r="HT332" s="450" t="str">
        <f t="shared" ca="1" si="681"/>
        <v/>
      </c>
      <c r="HU332" s="450" t="str">
        <f t="shared" ca="1" si="681"/>
        <v/>
      </c>
      <c r="HV332" s="450" t="str">
        <f t="shared" ca="1" si="681"/>
        <v/>
      </c>
      <c r="HW332" s="450" t="str">
        <f t="shared" ca="1" si="681"/>
        <v/>
      </c>
      <c r="HX332" s="450" t="str">
        <f t="shared" ca="1" si="681"/>
        <v/>
      </c>
      <c r="HY332" s="450" t="str">
        <f t="shared" ca="1" si="681"/>
        <v/>
      </c>
      <c r="HZ332" s="450" t="str">
        <f t="shared" ca="1" si="681"/>
        <v/>
      </c>
      <c r="IA332" s="450" t="str">
        <f t="shared" ca="1" si="675"/>
        <v/>
      </c>
      <c r="IB332" s="450" t="str">
        <f t="shared" ca="1" si="673"/>
        <v/>
      </c>
      <c r="IC332" s="450" t="str">
        <f t="shared" ca="1" si="673"/>
        <v/>
      </c>
      <c r="ID332" s="450" t="str">
        <f t="shared" ca="1" si="673"/>
        <v/>
      </c>
      <c r="IE332" s="450" t="str">
        <f t="shared" ca="1" si="673"/>
        <v/>
      </c>
      <c r="IF332" s="450" t="str">
        <f t="shared" ca="1" si="673"/>
        <v/>
      </c>
      <c r="IG332" s="450" t="str">
        <f t="shared" ca="1" si="673"/>
        <v/>
      </c>
      <c r="IH332" s="658" t="str">
        <f t="shared" ca="1" si="673"/>
        <v/>
      </c>
      <c r="II332" s="242"/>
    </row>
    <row r="333" spans="9:243">
      <c r="I333" s="132"/>
      <c r="J333" s="365"/>
      <c r="K333" s="1"/>
      <c r="L333" s="1"/>
      <c r="M333" s="366"/>
      <c r="P333" s="365"/>
      <c r="S333" s="53"/>
      <c r="T333" s="365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364"/>
      <c r="AO333" s="364">
        <v>6.5403053662921498E-2</v>
      </c>
      <c r="AP333" s="103"/>
      <c r="AQ333" s="364">
        <v>5.6907573609294104E-2</v>
      </c>
      <c r="AR333" s="103"/>
      <c r="AS333" s="103"/>
      <c r="AT333" s="103"/>
      <c r="AU333" s="31"/>
      <c r="AV333" s="31"/>
      <c r="AW333" s="31"/>
      <c r="AX333" s="31"/>
      <c r="AY333" s="146"/>
      <c r="AZ333" s="146"/>
      <c r="BA333" s="103"/>
      <c r="BB333" s="103"/>
      <c r="BC333" s="103"/>
      <c r="BD333" s="103"/>
      <c r="BE333" s="104"/>
      <c r="BF333" s="104"/>
      <c r="BG333" s="104"/>
      <c r="BH333" s="102"/>
      <c r="BI333" s="104"/>
      <c r="BJ333" s="103"/>
      <c r="BK333" s="105"/>
      <c r="BL333" s="151"/>
      <c r="BM333" s="103"/>
      <c r="BN333" s="103"/>
      <c r="BO333" s="103"/>
      <c r="BP333" s="103"/>
      <c r="BQ333" s="103"/>
      <c r="BR333" s="103"/>
      <c r="BS333" s="103"/>
      <c r="BT333" s="103"/>
      <c r="BU333" s="103"/>
      <c r="BV333" s="103"/>
      <c r="BW333" s="103"/>
      <c r="BX333" s="103"/>
      <c r="BY333" s="103"/>
      <c r="BZ333" s="104"/>
      <c r="CA333" s="104"/>
      <c r="CB333" s="104"/>
      <c r="CC333" s="104"/>
      <c r="CD333" s="104"/>
      <c r="CE333" s="104"/>
      <c r="CF333" s="103"/>
      <c r="CG333" s="103"/>
      <c r="CH333" s="103"/>
      <c r="CI333" s="103"/>
      <c r="CJ333" s="103"/>
      <c r="CK333" s="103"/>
      <c r="CL333" s="103"/>
      <c r="CM333" s="103"/>
      <c r="CN333" s="103"/>
      <c r="CO333" s="103"/>
      <c r="CP333" s="103"/>
      <c r="CQ333" s="103"/>
      <c r="CR333" s="103"/>
      <c r="CS333" s="103"/>
      <c r="CT333" s="103"/>
      <c r="CU333" s="103"/>
      <c r="CV333" s="103"/>
      <c r="CW333" s="103"/>
      <c r="CX333" s="103"/>
      <c r="CY333" s="103"/>
      <c r="CZ333" s="103"/>
      <c r="DA333" s="103"/>
      <c r="DB333" s="103"/>
      <c r="DC333" s="103"/>
      <c r="DD333" s="103"/>
      <c r="DE333" s="107"/>
      <c r="DF333" s="465"/>
      <c r="DG333" s="1"/>
      <c r="DH333" s="51"/>
      <c r="DI333" s="465"/>
      <c r="DJ333" s="52"/>
      <c r="DK333" s="52"/>
      <c r="DL333" s="52"/>
      <c r="DM333" s="52"/>
      <c r="DN333" s="52"/>
      <c r="DO333" s="52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P333" s="53"/>
      <c r="EQ333" s="1"/>
      <c r="ER333" s="103"/>
      <c r="ES333" s="103"/>
      <c r="ET333" s="1"/>
      <c r="EU333" s="103"/>
      <c r="EV333" s="1"/>
      <c r="EW333" s="1"/>
      <c r="EX333" s="1"/>
      <c r="EY333" s="104"/>
      <c r="FN333" s="657">
        <v>9</v>
      </c>
      <c r="FO333" s="450">
        <f t="shared" ref="FO333:HZ333" ca="1" si="682">IF(AND(ISNUMBER(FO28),ISNUMBER(FO$320),FO$320&lt;&gt;0),FO28*FO$320/FO$15,"")</f>
        <v>1.2940490189723784E-3</v>
      </c>
      <c r="FP333" s="450">
        <f t="shared" ca="1" si="682"/>
        <v>2.2712111199199307E-3</v>
      </c>
      <c r="FQ333" s="450" t="str">
        <f t="shared" ca="1" si="682"/>
        <v/>
      </c>
      <c r="FR333" s="450" t="str">
        <f t="shared" ca="1" si="682"/>
        <v/>
      </c>
      <c r="FS333" s="450" t="str">
        <f t="shared" ca="1" si="682"/>
        <v/>
      </c>
      <c r="FT333" s="450" t="str">
        <f t="shared" ca="1" si="682"/>
        <v/>
      </c>
      <c r="FU333" s="450" t="str">
        <f t="shared" ca="1" si="682"/>
        <v/>
      </c>
      <c r="FV333" s="450" t="str">
        <f t="shared" ca="1" si="682"/>
        <v/>
      </c>
      <c r="FW333" s="450" t="str">
        <f t="shared" ca="1" si="682"/>
        <v/>
      </c>
      <c r="FX333" s="450" t="str">
        <f t="shared" ca="1" si="682"/>
        <v/>
      </c>
      <c r="FY333" s="450" t="str">
        <f t="shared" ca="1" si="682"/>
        <v/>
      </c>
      <c r="FZ333" s="450" t="str">
        <f t="shared" ca="1" si="682"/>
        <v/>
      </c>
      <c r="GA333" s="450" t="str">
        <f t="shared" ca="1" si="682"/>
        <v/>
      </c>
      <c r="GB333" s="450" t="str">
        <f t="shared" ca="1" si="682"/>
        <v/>
      </c>
      <c r="GC333" s="450" t="str">
        <f t="shared" ca="1" si="682"/>
        <v/>
      </c>
      <c r="GD333" s="450" t="str">
        <f t="shared" ca="1" si="682"/>
        <v/>
      </c>
      <c r="GE333" s="450" t="str">
        <f t="shared" ca="1" si="682"/>
        <v/>
      </c>
      <c r="GF333" s="450" t="str">
        <f t="shared" ca="1" si="682"/>
        <v/>
      </c>
      <c r="GG333" s="450" t="str">
        <f t="shared" ca="1" si="682"/>
        <v/>
      </c>
      <c r="GH333" s="450" t="str">
        <f t="shared" ca="1" si="682"/>
        <v/>
      </c>
      <c r="GI333" s="450" t="str">
        <f t="shared" ca="1" si="682"/>
        <v/>
      </c>
      <c r="GJ333" s="450" t="str">
        <f t="shared" ca="1" si="682"/>
        <v/>
      </c>
      <c r="GK333" s="450" t="str">
        <f t="shared" ca="1" si="682"/>
        <v/>
      </c>
      <c r="GL333" s="450" t="str">
        <f t="shared" ca="1" si="682"/>
        <v/>
      </c>
      <c r="GM333" s="450" t="str">
        <f t="shared" ca="1" si="682"/>
        <v/>
      </c>
      <c r="GN333" s="450" t="str">
        <f t="shared" ca="1" si="682"/>
        <v/>
      </c>
      <c r="GO333" s="450" t="str">
        <f t="shared" ca="1" si="682"/>
        <v/>
      </c>
      <c r="GP333" s="450" t="str">
        <f t="shared" ca="1" si="682"/>
        <v/>
      </c>
      <c r="GQ333" s="450" t="str">
        <f t="shared" ca="1" si="682"/>
        <v/>
      </c>
      <c r="GR333" s="450" t="str">
        <f t="shared" ca="1" si="682"/>
        <v/>
      </c>
      <c r="GS333" s="450" t="str">
        <f t="shared" ca="1" si="682"/>
        <v/>
      </c>
      <c r="GT333" s="450" t="str">
        <f t="shared" ca="1" si="682"/>
        <v/>
      </c>
      <c r="GU333" s="450" t="str">
        <f t="shared" ca="1" si="682"/>
        <v/>
      </c>
      <c r="GV333" s="450" t="str">
        <f t="shared" ca="1" si="682"/>
        <v/>
      </c>
      <c r="GW333" s="450" t="str">
        <f t="shared" ca="1" si="682"/>
        <v/>
      </c>
      <c r="GX333" s="450" t="str">
        <f t="shared" ca="1" si="682"/>
        <v/>
      </c>
      <c r="GY333" s="450" t="str">
        <f t="shared" ca="1" si="682"/>
        <v/>
      </c>
      <c r="GZ333" s="450" t="str">
        <f t="shared" ca="1" si="682"/>
        <v/>
      </c>
      <c r="HA333" s="450" t="str">
        <f t="shared" ca="1" si="682"/>
        <v/>
      </c>
      <c r="HB333" s="450" t="str">
        <f t="shared" ca="1" si="682"/>
        <v/>
      </c>
      <c r="HC333" s="450" t="str">
        <f t="shared" ca="1" si="682"/>
        <v/>
      </c>
      <c r="HD333" s="450" t="str">
        <f t="shared" ca="1" si="682"/>
        <v/>
      </c>
      <c r="HE333" s="450" t="str">
        <f t="shared" ca="1" si="682"/>
        <v/>
      </c>
      <c r="HF333" s="450" t="str">
        <f t="shared" ca="1" si="682"/>
        <v/>
      </c>
      <c r="HG333" s="450" t="str">
        <f t="shared" ca="1" si="682"/>
        <v/>
      </c>
      <c r="HH333" s="450" t="str">
        <f t="shared" ca="1" si="682"/>
        <v/>
      </c>
      <c r="HI333" s="450" t="str">
        <f t="shared" ca="1" si="682"/>
        <v/>
      </c>
      <c r="HJ333" s="450" t="str">
        <f t="shared" ca="1" si="682"/>
        <v/>
      </c>
      <c r="HK333" s="450" t="str">
        <f t="shared" ca="1" si="682"/>
        <v/>
      </c>
      <c r="HL333" s="450" t="str">
        <f t="shared" ca="1" si="682"/>
        <v/>
      </c>
      <c r="HM333" s="450" t="str">
        <f t="shared" ca="1" si="682"/>
        <v/>
      </c>
      <c r="HN333" s="450" t="str">
        <f t="shared" ca="1" si="682"/>
        <v/>
      </c>
      <c r="HO333" s="450" t="str">
        <f t="shared" ca="1" si="682"/>
        <v/>
      </c>
      <c r="HP333" s="450" t="str">
        <f t="shared" ca="1" si="682"/>
        <v/>
      </c>
      <c r="HQ333" s="450" t="str">
        <f t="shared" ca="1" si="682"/>
        <v/>
      </c>
      <c r="HR333" s="450" t="str">
        <f t="shared" ca="1" si="682"/>
        <v/>
      </c>
      <c r="HS333" s="450" t="str">
        <f t="shared" ca="1" si="682"/>
        <v/>
      </c>
      <c r="HT333" s="450" t="str">
        <f t="shared" ca="1" si="682"/>
        <v/>
      </c>
      <c r="HU333" s="450" t="str">
        <f t="shared" ca="1" si="682"/>
        <v/>
      </c>
      <c r="HV333" s="450" t="str">
        <f t="shared" ca="1" si="682"/>
        <v/>
      </c>
      <c r="HW333" s="450" t="str">
        <f t="shared" ca="1" si="682"/>
        <v/>
      </c>
      <c r="HX333" s="450" t="str">
        <f t="shared" ca="1" si="682"/>
        <v/>
      </c>
      <c r="HY333" s="450" t="str">
        <f t="shared" ca="1" si="682"/>
        <v/>
      </c>
      <c r="HZ333" s="450" t="str">
        <f t="shared" ca="1" si="682"/>
        <v/>
      </c>
      <c r="IA333" s="450" t="str">
        <f t="shared" ca="1" si="675"/>
        <v/>
      </c>
      <c r="IB333" s="450" t="str">
        <f t="shared" ca="1" si="673"/>
        <v/>
      </c>
      <c r="IC333" s="450" t="str">
        <f t="shared" ca="1" si="673"/>
        <v/>
      </c>
      <c r="ID333" s="450" t="str">
        <f t="shared" ca="1" si="673"/>
        <v/>
      </c>
      <c r="IE333" s="450" t="str">
        <f t="shared" ca="1" si="673"/>
        <v/>
      </c>
      <c r="IF333" s="450" t="str">
        <f t="shared" ca="1" si="673"/>
        <v/>
      </c>
      <c r="IG333" s="450" t="str">
        <f t="shared" ca="1" si="673"/>
        <v/>
      </c>
      <c r="IH333" s="658" t="str">
        <f t="shared" ca="1" si="673"/>
        <v/>
      </c>
      <c r="II333" s="242"/>
    </row>
    <row r="334" spans="9:243">
      <c r="I334" s="132"/>
      <c r="J334" s="365"/>
      <c r="K334" s="1"/>
      <c r="L334" s="1"/>
      <c r="M334" s="366"/>
      <c r="P334" s="365"/>
      <c r="S334" s="53"/>
      <c r="T334" s="365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364"/>
      <c r="AO334" s="364">
        <v>6.5413357963511193E-2</v>
      </c>
      <c r="AP334" s="103"/>
      <c r="AQ334" s="364">
        <v>5.6869608848968398E-2</v>
      </c>
      <c r="AR334" s="103"/>
      <c r="AS334" s="103"/>
      <c r="AT334" s="103"/>
      <c r="AU334" s="31"/>
      <c r="AV334" s="31"/>
      <c r="AW334" s="31"/>
      <c r="AX334" s="31"/>
      <c r="AY334" s="146"/>
      <c r="AZ334" s="146"/>
      <c r="BA334" s="103"/>
      <c r="BB334" s="103"/>
      <c r="BC334" s="103"/>
      <c r="BD334" s="103"/>
      <c r="BE334" s="104"/>
      <c r="BF334" s="104"/>
      <c r="BG334" s="104"/>
      <c r="BH334" s="102"/>
      <c r="BI334" s="104"/>
      <c r="BJ334" s="103"/>
      <c r="BK334" s="105"/>
      <c r="BL334" s="151"/>
      <c r="BM334" s="103"/>
      <c r="BN334" s="103"/>
      <c r="BO334" s="103"/>
      <c r="BP334" s="103"/>
      <c r="BQ334" s="103"/>
      <c r="BR334" s="103"/>
      <c r="BS334" s="103"/>
      <c r="BT334" s="103"/>
      <c r="BU334" s="103"/>
      <c r="BV334" s="103"/>
      <c r="BW334" s="103"/>
      <c r="BX334" s="103"/>
      <c r="BY334" s="103"/>
      <c r="BZ334" s="104"/>
      <c r="CA334" s="104"/>
      <c r="CB334" s="104"/>
      <c r="CC334" s="104"/>
      <c r="CD334" s="104"/>
      <c r="CE334" s="104"/>
      <c r="CF334" s="103"/>
      <c r="CG334" s="103"/>
      <c r="CH334" s="103"/>
      <c r="CI334" s="103"/>
      <c r="CJ334" s="103"/>
      <c r="CK334" s="103"/>
      <c r="CL334" s="103"/>
      <c r="CM334" s="103"/>
      <c r="CN334" s="103"/>
      <c r="CO334" s="103"/>
      <c r="CP334" s="103"/>
      <c r="CQ334" s="103"/>
      <c r="CR334" s="103"/>
      <c r="CS334" s="103"/>
      <c r="CT334" s="103"/>
      <c r="CU334" s="103"/>
      <c r="CV334" s="103"/>
      <c r="CW334" s="103"/>
      <c r="CX334" s="103"/>
      <c r="CY334" s="103"/>
      <c r="CZ334" s="103"/>
      <c r="DA334" s="103"/>
      <c r="DB334" s="103"/>
      <c r="DC334" s="103"/>
      <c r="DD334" s="103"/>
      <c r="DE334" s="107"/>
      <c r="DF334" s="465"/>
      <c r="DG334" s="1"/>
      <c r="DH334" s="51"/>
      <c r="DI334" s="465"/>
      <c r="DJ334" s="52"/>
      <c r="DK334" s="52"/>
      <c r="DL334" s="52"/>
      <c r="DM334" s="52"/>
      <c r="DN334" s="52"/>
      <c r="DO334" s="52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P334" s="53"/>
      <c r="EQ334" s="1"/>
      <c r="ER334" s="103"/>
      <c r="ES334" s="103"/>
      <c r="ET334" s="1"/>
      <c r="EU334" s="103"/>
      <c r="EV334" s="1"/>
      <c r="EW334" s="1"/>
      <c r="EX334" s="1"/>
      <c r="EY334" s="104"/>
      <c r="FN334" s="657">
        <v>10</v>
      </c>
      <c r="FO334" s="450">
        <f t="shared" ref="FO334:HZ334" ca="1" si="683">IF(AND(ISNUMBER(FO29),ISNUMBER(FO$320),FO$320&lt;&gt;0),FO29*FO$320/FO$15,"")</f>
        <v>1.2070816846535598E-3</v>
      </c>
      <c r="FP334" s="450">
        <f t="shared" ca="1" si="683"/>
        <v>2.1016132368595285E-3</v>
      </c>
      <c r="FQ334" s="450" t="str">
        <f t="shared" ca="1" si="683"/>
        <v/>
      </c>
      <c r="FR334" s="450" t="str">
        <f t="shared" ca="1" si="683"/>
        <v/>
      </c>
      <c r="FS334" s="450" t="str">
        <f t="shared" ca="1" si="683"/>
        <v/>
      </c>
      <c r="FT334" s="450" t="str">
        <f t="shared" ca="1" si="683"/>
        <v/>
      </c>
      <c r="FU334" s="450" t="str">
        <f t="shared" ca="1" si="683"/>
        <v/>
      </c>
      <c r="FV334" s="450" t="str">
        <f t="shared" ca="1" si="683"/>
        <v/>
      </c>
      <c r="FW334" s="450" t="str">
        <f t="shared" ca="1" si="683"/>
        <v/>
      </c>
      <c r="FX334" s="450" t="str">
        <f t="shared" ca="1" si="683"/>
        <v/>
      </c>
      <c r="FY334" s="450" t="str">
        <f t="shared" ca="1" si="683"/>
        <v/>
      </c>
      <c r="FZ334" s="450" t="str">
        <f t="shared" ca="1" si="683"/>
        <v/>
      </c>
      <c r="GA334" s="450" t="str">
        <f t="shared" ca="1" si="683"/>
        <v/>
      </c>
      <c r="GB334" s="450" t="str">
        <f t="shared" ca="1" si="683"/>
        <v/>
      </c>
      <c r="GC334" s="450" t="str">
        <f t="shared" ca="1" si="683"/>
        <v/>
      </c>
      <c r="GD334" s="450" t="str">
        <f t="shared" ca="1" si="683"/>
        <v/>
      </c>
      <c r="GE334" s="450" t="str">
        <f t="shared" ca="1" si="683"/>
        <v/>
      </c>
      <c r="GF334" s="450" t="str">
        <f t="shared" ca="1" si="683"/>
        <v/>
      </c>
      <c r="GG334" s="450" t="str">
        <f t="shared" ca="1" si="683"/>
        <v/>
      </c>
      <c r="GH334" s="450" t="str">
        <f t="shared" ca="1" si="683"/>
        <v/>
      </c>
      <c r="GI334" s="450" t="str">
        <f t="shared" ca="1" si="683"/>
        <v/>
      </c>
      <c r="GJ334" s="450" t="str">
        <f t="shared" ca="1" si="683"/>
        <v/>
      </c>
      <c r="GK334" s="450" t="str">
        <f t="shared" ca="1" si="683"/>
        <v/>
      </c>
      <c r="GL334" s="450" t="str">
        <f t="shared" ca="1" si="683"/>
        <v/>
      </c>
      <c r="GM334" s="450" t="str">
        <f t="shared" ca="1" si="683"/>
        <v/>
      </c>
      <c r="GN334" s="450" t="str">
        <f t="shared" ca="1" si="683"/>
        <v/>
      </c>
      <c r="GO334" s="450" t="str">
        <f t="shared" ca="1" si="683"/>
        <v/>
      </c>
      <c r="GP334" s="450" t="str">
        <f t="shared" ca="1" si="683"/>
        <v/>
      </c>
      <c r="GQ334" s="450" t="str">
        <f t="shared" ca="1" si="683"/>
        <v/>
      </c>
      <c r="GR334" s="450" t="str">
        <f t="shared" ca="1" si="683"/>
        <v/>
      </c>
      <c r="GS334" s="450" t="str">
        <f t="shared" ca="1" si="683"/>
        <v/>
      </c>
      <c r="GT334" s="450" t="str">
        <f t="shared" ca="1" si="683"/>
        <v/>
      </c>
      <c r="GU334" s="450" t="str">
        <f t="shared" ca="1" si="683"/>
        <v/>
      </c>
      <c r="GV334" s="450" t="str">
        <f t="shared" ca="1" si="683"/>
        <v/>
      </c>
      <c r="GW334" s="450" t="str">
        <f t="shared" ca="1" si="683"/>
        <v/>
      </c>
      <c r="GX334" s="450" t="str">
        <f t="shared" ca="1" si="683"/>
        <v/>
      </c>
      <c r="GY334" s="450" t="str">
        <f t="shared" ca="1" si="683"/>
        <v/>
      </c>
      <c r="GZ334" s="450" t="str">
        <f t="shared" ca="1" si="683"/>
        <v/>
      </c>
      <c r="HA334" s="450" t="str">
        <f t="shared" ca="1" si="683"/>
        <v/>
      </c>
      <c r="HB334" s="450" t="str">
        <f t="shared" ca="1" si="683"/>
        <v/>
      </c>
      <c r="HC334" s="450" t="str">
        <f t="shared" ca="1" si="683"/>
        <v/>
      </c>
      <c r="HD334" s="450" t="str">
        <f t="shared" ca="1" si="683"/>
        <v/>
      </c>
      <c r="HE334" s="450" t="str">
        <f t="shared" ca="1" si="683"/>
        <v/>
      </c>
      <c r="HF334" s="450" t="str">
        <f t="shared" ca="1" si="683"/>
        <v/>
      </c>
      <c r="HG334" s="450" t="str">
        <f t="shared" ca="1" si="683"/>
        <v/>
      </c>
      <c r="HH334" s="450" t="str">
        <f t="shared" ca="1" si="683"/>
        <v/>
      </c>
      <c r="HI334" s="450" t="str">
        <f t="shared" ca="1" si="683"/>
        <v/>
      </c>
      <c r="HJ334" s="450" t="str">
        <f t="shared" ca="1" si="683"/>
        <v/>
      </c>
      <c r="HK334" s="450" t="str">
        <f t="shared" ca="1" si="683"/>
        <v/>
      </c>
      <c r="HL334" s="450" t="str">
        <f t="shared" ca="1" si="683"/>
        <v/>
      </c>
      <c r="HM334" s="450" t="str">
        <f t="shared" ca="1" si="683"/>
        <v/>
      </c>
      <c r="HN334" s="450" t="str">
        <f t="shared" ca="1" si="683"/>
        <v/>
      </c>
      <c r="HO334" s="450" t="str">
        <f t="shared" ca="1" si="683"/>
        <v/>
      </c>
      <c r="HP334" s="450" t="str">
        <f t="shared" ca="1" si="683"/>
        <v/>
      </c>
      <c r="HQ334" s="450" t="str">
        <f t="shared" ca="1" si="683"/>
        <v/>
      </c>
      <c r="HR334" s="450" t="str">
        <f t="shared" ca="1" si="683"/>
        <v/>
      </c>
      <c r="HS334" s="450" t="str">
        <f t="shared" ca="1" si="683"/>
        <v/>
      </c>
      <c r="HT334" s="450" t="str">
        <f t="shared" ca="1" si="683"/>
        <v/>
      </c>
      <c r="HU334" s="450" t="str">
        <f t="shared" ca="1" si="683"/>
        <v/>
      </c>
      <c r="HV334" s="450" t="str">
        <f t="shared" ca="1" si="683"/>
        <v/>
      </c>
      <c r="HW334" s="450" t="str">
        <f t="shared" ca="1" si="683"/>
        <v/>
      </c>
      <c r="HX334" s="450" t="str">
        <f t="shared" ca="1" si="683"/>
        <v/>
      </c>
      <c r="HY334" s="450" t="str">
        <f t="shared" ca="1" si="683"/>
        <v/>
      </c>
      <c r="HZ334" s="450" t="str">
        <f t="shared" ca="1" si="683"/>
        <v/>
      </c>
      <c r="IA334" s="450" t="str">
        <f t="shared" ca="1" si="675"/>
        <v/>
      </c>
      <c r="IB334" s="450" t="str">
        <f t="shared" ca="1" si="673"/>
        <v/>
      </c>
      <c r="IC334" s="450" t="str">
        <f t="shared" ca="1" si="673"/>
        <v/>
      </c>
      <c r="ID334" s="450" t="str">
        <f t="shared" ca="1" si="673"/>
        <v/>
      </c>
      <c r="IE334" s="450" t="str">
        <f t="shared" ca="1" si="673"/>
        <v/>
      </c>
      <c r="IF334" s="450" t="str">
        <f t="shared" ca="1" si="673"/>
        <v/>
      </c>
      <c r="IG334" s="450" t="str">
        <f t="shared" ca="1" si="673"/>
        <v/>
      </c>
      <c r="IH334" s="658" t="str">
        <f t="shared" ca="1" si="673"/>
        <v/>
      </c>
      <c r="II334" s="242"/>
    </row>
    <row r="335" spans="9:243">
      <c r="I335" s="132"/>
      <c r="J335" s="365"/>
      <c r="K335" s="1"/>
      <c r="L335" s="1"/>
      <c r="M335" s="366"/>
      <c r="P335" s="365"/>
      <c r="S335" s="53"/>
      <c r="T335" s="365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364"/>
      <c r="AO335" s="364">
        <v>6.5424005740823993E-2</v>
      </c>
      <c r="AP335" s="103"/>
      <c r="AQ335" s="364">
        <v>5.6830378607213697E-2</v>
      </c>
      <c r="AR335" s="103"/>
      <c r="AS335" s="103"/>
      <c r="AT335" s="103"/>
      <c r="AU335" s="31"/>
      <c r="AV335" s="31"/>
      <c r="AW335" s="31"/>
      <c r="AX335" s="31"/>
      <c r="AY335" s="146"/>
      <c r="AZ335" s="146"/>
      <c r="BA335" s="103"/>
      <c r="BB335" s="103"/>
      <c r="BC335" s="103"/>
      <c r="BD335" s="103"/>
      <c r="BE335" s="104"/>
      <c r="BF335" s="104"/>
      <c r="BG335" s="104"/>
      <c r="BH335" s="102"/>
      <c r="BI335" s="104"/>
      <c r="BJ335" s="103"/>
      <c r="BK335" s="105"/>
      <c r="BL335" s="151"/>
      <c r="BM335" s="103"/>
      <c r="BN335" s="103"/>
      <c r="BO335" s="103"/>
      <c r="BP335" s="103"/>
      <c r="BQ335" s="103"/>
      <c r="BR335" s="103"/>
      <c r="BS335" s="103"/>
      <c r="BT335" s="103"/>
      <c r="BU335" s="103"/>
      <c r="BV335" s="103"/>
      <c r="BW335" s="103"/>
      <c r="BX335" s="103"/>
      <c r="BY335" s="103"/>
      <c r="BZ335" s="104"/>
      <c r="CA335" s="104"/>
      <c r="CB335" s="104"/>
      <c r="CC335" s="104"/>
      <c r="CD335" s="104"/>
      <c r="CE335" s="104"/>
      <c r="CF335" s="103"/>
      <c r="CG335" s="103"/>
      <c r="CH335" s="103"/>
      <c r="CI335" s="103"/>
      <c r="CJ335" s="103"/>
      <c r="CK335" s="103"/>
      <c r="CL335" s="103"/>
      <c r="CM335" s="103"/>
      <c r="CN335" s="103"/>
      <c r="CO335" s="103"/>
      <c r="CP335" s="103"/>
      <c r="CQ335" s="103"/>
      <c r="CR335" s="103"/>
      <c r="CS335" s="103"/>
      <c r="CT335" s="103"/>
      <c r="CU335" s="103"/>
      <c r="CV335" s="103"/>
      <c r="CW335" s="103"/>
      <c r="CX335" s="103"/>
      <c r="CY335" s="103"/>
      <c r="CZ335" s="103"/>
      <c r="DA335" s="103"/>
      <c r="DB335" s="103"/>
      <c r="DC335" s="103"/>
      <c r="DD335" s="103"/>
      <c r="DE335" s="107"/>
      <c r="DF335" s="465"/>
      <c r="DG335" s="1"/>
      <c r="DH335" s="51"/>
      <c r="DI335" s="465"/>
      <c r="DJ335" s="52"/>
      <c r="DK335" s="52"/>
      <c r="DL335" s="52"/>
      <c r="DM335" s="52"/>
      <c r="DN335" s="52"/>
      <c r="DO335" s="52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P335" s="53"/>
      <c r="EQ335" s="1"/>
      <c r="ER335" s="103"/>
      <c r="ES335" s="103"/>
      <c r="ET335" s="1"/>
      <c r="EU335" s="103"/>
      <c r="EV335" s="1"/>
      <c r="EW335" s="1"/>
      <c r="EX335" s="1"/>
      <c r="EY335" s="104"/>
      <c r="FN335" s="657">
        <v>11</v>
      </c>
      <c r="FO335" s="450">
        <f t="shared" ref="FO335:HZ335" ca="1" si="684">IF(AND(ISNUMBER(FO30),ISNUMBER(FO$320),FO$320&lt;&gt;0),FO30*FO$320/FO$15,"")</f>
        <v>1.1340713060726333E-3</v>
      </c>
      <c r="FP335" s="450">
        <f t="shared" ca="1" si="684"/>
        <v>1.9603730687521729E-3</v>
      </c>
      <c r="FQ335" s="450" t="str">
        <f t="shared" ca="1" si="684"/>
        <v/>
      </c>
      <c r="FR335" s="450" t="str">
        <f t="shared" ca="1" si="684"/>
        <v/>
      </c>
      <c r="FS335" s="450" t="str">
        <f t="shared" ca="1" si="684"/>
        <v/>
      </c>
      <c r="FT335" s="450" t="str">
        <f t="shared" ca="1" si="684"/>
        <v/>
      </c>
      <c r="FU335" s="450" t="str">
        <f t="shared" ca="1" si="684"/>
        <v/>
      </c>
      <c r="FV335" s="450" t="str">
        <f t="shared" ca="1" si="684"/>
        <v/>
      </c>
      <c r="FW335" s="450" t="str">
        <f t="shared" ca="1" si="684"/>
        <v/>
      </c>
      <c r="FX335" s="450" t="str">
        <f t="shared" ca="1" si="684"/>
        <v/>
      </c>
      <c r="FY335" s="450" t="str">
        <f t="shared" ca="1" si="684"/>
        <v/>
      </c>
      <c r="FZ335" s="450" t="str">
        <f t="shared" ca="1" si="684"/>
        <v/>
      </c>
      <c r="GA335" s="450" t="str">
        <f t="shared" ca="1" si="684"/>
        <v/>
      </c>
      <c r="GB335" s="450" t="str">
        <f t="shared" ca="1" si="684"/>
        <v/>
      </c>
      <c r="GC335" s="450" t="str">
        <f t="shared" ca="1" si="684"/>
        <v/>
      </c>
      <c r="GD335" s="450" t="str">
        <f t="shared" ca="1" si="684"/>
        <v/>
      </c>
      <c r="GE335" s="450" t="str">
        <f t="shared" ca="1" si="684"/>
        <v/>
      </c>
      <c r="GF335" s="450" t="str">
        <f t="shared" ca="1" si="684"/>
        <v/>
      </c>
      <c r="GG335" s="450" t="str">
        <f t="shared" ca="1" si="684"/>
        <v/>
      </c>
      <c r="GH335" s="450" t="str">
        <f t="shared" ca="1" si="684"/>
        <v/>
      </c>
      <c r="GI335" s="450" t="str">
        <f t="shared" ca="1" si="684"/>
        <v/>
      </c>
      <c r="GJ335" s="450" t="str">
        <f t="shared" ca="1" si="684"/>
        <v/>
      </c>
      <c r="GK335" s="450" t="str">
        <f t="shared" ca="1" si="684"/>
        <v/>
      </c>
      <c r="GL335" s="450" t="str">
        <f t="shared" ca="1" si="684"/>
        <v/>
      </c>
      <c r="GM335" s="450" t="str">
        <f t="shared" ca="1" si="684"/>
        <v/>
      </c>
      <c r="GN335" s="450" t="str">
        <f t="shared" ca="1" si="684"/>
        <v/>
      </c>
      <c r="GO335" s="450" t="str">
        <f t="shared" ca="1" si="684"/>
        <v/>
      </c>
      <c r="GP335" s="450" t="str">
        <f t="shared" ca="1" si="684"/>
        <v/>
      </c>
      <c r="GQ335" s="450" t="str">
        <f t="shared" ca="1" si="684"/>
        <v/>
      </c>
      <c r="GR335" s="450" t="str">
        <f t="shared" ca="1" si="684"/>
        <v/>
      </c>
      <c r="GS335" s="450" t="str">
        <f t="shared" ca="1" si="684"/>
        <v/>
      </c>
      <c r="GT335" s="450" t="str">
        <f t="shared" ca="1" si="684"/>
        <v/>
      </c>
      <c r="GU335" s="450" t="str">
        <f t="shared" ca="1" si="684"/>
        <v/>
      </c>
      <c r="GV335" s="450" t="str">
        <f t="shared" ca="1" si="684"/>
        <v/>
      </c>
      <c r="GW335" s="450" t="str">
        <f t="shared" ca="1" si="684"/>
        <v/>
      </c>
      <c r="GX335" s="450" t="str">
        <f t="shared" ca="1" si="684"/>
        <v/>
      </c>
      <c r="GY335" s="450" t="str">
        <f t="shared" ca="1" si="684"/>
        <v/>
      </c>
      <c r="GZ335" s="450" t="str">
        <f t="shared" ca="1" si="684"/>
        <v/>
      </c>
      <c r="HA335" s="450" t="str">
        <f t="shared" ca="1" si="684"/>
        <v/>
      </c>
      <c r="HB335" s="450" t="str">
        <f t="shared" ca="1" si="684"/>
        <v/>
      </c>
      <c r="HC335" s="450" t="str">
        <f t="shared" ca="1" si="684"/>
        <v/>
      </c>
      <c r="HD335" s="450" t="str">
        <f t="shared" ca="1" si="684"/>
        <v/>
      </c>
      <c r="HE335" s="450" t="str">
        <f t="shared" ca="1" si="684"/>
        <v/>
      </c>
      <c r="HF335" s="450" t="str">
        <f t="shared" ca="1" si="684"/>
        <v/>
      </c>
      <c r="HG335" s="450" t="str">
        <f t="shared" ca="1" si="684"/>
        <v/>
      </c>
      <c r="HH335" s="450" t="str">
        <f t="shared" ca="1" si="684"/>
        <v/>
      </c>
      <c r="HI335" s="450" t="str">
        <f t="shared" ca="1" si="684"/>
        <v/>
      </c>
      <c r="HJ335" s="450" t="str">
        <f t="shared" ca="1" si="684"/>
        <v/>
      </c>
      <c r="HK335" s="450" t="str">
        <f t="shared" ca="1" si="684"/>
        <v/>
      </c>
      <c r="HL335" s="450" t="str">
        <f t="shared" ca="1" si="684"/>
        <v/>
      </c>
      <c r="HM335" s="450" t="str">
        <f t="shared" ca="1" si="684"/>
        <v/>
      </c>
      <c r="HN335" s="450" t="str">
        <f t="shared" ca="1" si="684"/>
        <v/>
      </c>
      <c r="HO335" s="450" t="str">
        <f t="shared" ca="1" si="684"/>
        <v/>
      </c>
      <c r="HP335" s="450" t="str">
        <f t="shared" ca="1" si="684"/>
        <v/>
      </c>
      <c r="HQ335" s="450" t="str">
        <f t="shared" ca="1" si="684"/>
        <v/>
      </c>
      <c r="HR335" s="450" t="str">
        <f t="shared" ca="1" si="684"/>
        <v/>
      </c>
      <c r="HS335" s="450" t="str">
        <f t="shared" ca="1" si="684"/>
        <v/>
      </c>
      <c r="HT335" s="450" t="str">
        <f t="shared" ca="1" si="684"/>
        <v/>
      </c>
      <c r="HU335" s="450" t="str">
        <f t="shared" ca="1" si="684"/>
        <v/>
      </c>
      <c r="HV335" s="450" t="str">
        <f t="shared" ca="1" si="684"/>
        <v/>
      </c>
      <c r="HW335" s="450" t="str">
        <f t="shared" ca="1" si="684"/>
        <v/>
      </c>
      <c r="HX335" s="450" t="str">
        <f t="shared" ca="1" si="684"/>
        <v/>
      </c>
      <c r="HY335" s="450" t="str">
        <f t="shared" ca="1" si="684"/>
        <v/>
      </c>
      <c r="HZ335" s="450" t="str">
        <f t="shared" ca="1" si="684"/>
        <v/>
      </c>
      <c r="IA335" s="450" t="str">
        <f t="shared" ca="1" si="675"/>
        <v/>
      </c>
      <c r="IB335" s="450" t="str">
        <f t="shared" ref="IB335:IH344" ca="1" si="685">IF(AND(ISNUMBER(IB30),ISNUMBER(IB$320),IB$320&lt;&gt;0),IB30*IB$320/IB$15,"")</f>
        <v/>
      </c>
      <c r="IC335" s="450" t="str">
        <f t="shared" ca="1" si="685"/>
        <v/>
      </c>
      <c r="ID335" s="450" t="str">
        <f t="shared" ca="1" si="685"/>
        <v/>
      </c>
      <c r="IE335" s="450" t="str">
        <f t="shared" ca="1" si="685"/>
        <v/>
      </c>
      <c r="IF335" s="450" t="str">
        <f t="shared" ca="1" si="685"/>
        <v/>
      </c>
      <c r="IG335" s="450" t="str">
        <f t="shared" ca="1" si="685"/>
        <v/>
      </c>
      <c r="IH335" s="658" t="str">
        <f t="shared" ca="1" si="685"/>
        <v/>
      </c>
      <c r="II335" s="242"/>
    </row>
    <row r="336" spans="9:243">
      <c r="I336" s="132"/>
      <c r="J336" s="365"/>
      <c r="K336" s="1"/>
      <c r="L336" s="1"/>
      <c r="M336" s="366"/>
      <c r="P336" s="365"/>
      <c r="S336" s="53"/>
      <c r="T336" s="365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364"/>
      <c r="AO336" s="364">
        <v>6.5434653518174499E-2</v>
      </c>
      <c r="AP336" s="103"/>
      <c r="AQ336" s="364">
        <v>5.6791148376214004E-2</v>
      </c>
      <c r="AR336" s="103"/>
      <c r="AS336" s="103"/>
      <c r="AT336" s="103"/>
      <c r="AU336" s="31"/>
      <c r="AV336" s="31"/>
      <c r="AW336" s="31"/>
      <c r="AX336" s="31"/>
      <c r="AY336" s="146"/>
      <c r="AZ336" s="146"/>
      <c r="BA336" s="103"/>
      <c r="BB336" s="103"/>
      <c r="BC336" s="103"/>
      <c r="BD336" s="103"/>
      <c r="BE336" s="104"/>
      <c r="BF336" s="104"/>
      <c r="BG336" s="104"/>
      <c r="BH336" s="102"/>
      <c r="BI336" s="104"/>
      <c r="BJ336" s="103"/>
      <c r="BK336" s="105"/>
      <c r="BL336" s="151"/>
      <c r="BM336" s="103"/>
      <c r="BN336" s="103"/>
      <c r="BO336" s="103"/>
      <c r="BP336" s="103"/>
      <c r="BQ336" s="103"/>
      <c r="BR336" s="103"/>
      <c r="BS336" s="103"/>
      <c r="BT336" s="103"/>
      <c r="BU336" s="103"/>
      <c r="BV336" s="103"/>
      <c r="BW336" s="103"/>
      <c r="BX336" s="103"/>
      <c r="BY336" s="103"/>
      <c r="BZ336" s="104"/>
      <c r="CA336" s="104"/>
      <c r="CB336" s="104"/>
      <c r="CC336" s="104"/>
      <c r="CD336" s="104"/>
      <c r="CE336" s="104"/>
      <c r="CF336" s="103"/>
      <c r="CG336" s="103"/>
      <c r="CH336" s="103"/>
      <c r="CI336" s="103"/>
      <c r="CJ336" s="103"/>
      <c r="CK336" s="103"/>
      <c r="CL336" s="103"/>
      <c r="CM336" s="103"/>
      <c r="CN336" s="103"/>
      <c r="CO336" s="103"/>
      <c r="CP336" s="103"/>
      <c r="CQ336" s="103"/>
      <c r="CR336" s="103"/>
      <c r="CS336" s="103"/>
      <c r="CT336" s="103"/>
      <c r="CU336" s="103"/>
      <c r="CV336" s="103"/>
      <c r="CW336" s="103"/>
      <c r="CX336" s="103"/>
      <c r="CY336" s="103"/>
      <c r="CZ336" s="103"/>
      <c r="DA336" s="103"/>
      <c r="DB336" s="103"/>
      <c r="DC336" s="103"/>
      <c r="DD336" s="103"/>
      <c r="DE336" s="107"/>
      <c r="DF336" s="465"/>
      <c r="DG336" s="1"/>
      <c r="DH336" s="51"/>
      <c r="DI336" s="465"/>
      <c r="DJ336" s="52"/>
      <c r="DK336" s="52"/>
      <c r="DL336" s="52"/>
      <c r="DM336" s="52"/>
      <c r="DN336" s="52"/>
      <c r="DO336" s="52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P336" s="53"/>
      <c r="EQ336" s="1"/>
      <c r="ER336" s="103"/>
      <c r="ES336" s="103"/>
      <c r="ET336" s="1"/>
      <c r="EU336" s="103"/>
      <c r="EV336" s="1"/>
      <c r="EW336" s="1"/>
      <c r="EX336" s="1"/>
      <c r="EY336" s="104"/>
      <c r="FN336" s="657">
        <v>12</v>
      </c>
      <c r="FO336" s="450">
        <f t="shared" ref="FO336:HZ336" ca="1" si="686">IF(AND(ISNUMBER(FO31),ISNUMBER(FO$320),FO$320&lt;&gt;0),FO31*FO$320/FO$15,"")</f>
        <v>1.0723363971579121E-3</v>
      </c>
      <c r="FP336" s="450">
        <f t="shared" ca="1" si="686"/>
        <v>1.8417998340414434E-3</v>
      </c>
      <c r="FQ336" s="450" t="str">
        <f t="shared" ca="1" si="686"/>
        <v/>
      </c>
      <c r="FR336" s="450" t="str">
        <f t="shared" ca="1" si="686"/>
        <v/>
      </c>
      <c r="FS336" s="450" t="str">
        <f t="shared" ca="1" si="686"/>
        <v/>
      </c>
      <c r="FT336" s="450" t="str">
        <f t="shared" ca="1" si="686"/>
        <v/>
      </c>
      <c r="FU336" s="450" t="str">
        <f t="shared" ca="1" si="686"/>
        <v/>
      </c>
      <c r="FV336" s="450" t="str">
        <f t="shared" ca="1" si="686"/>
        <v/>
      </c>
      <c r="FW336" s="450" t="str">
        <f t="shared" ca="1" si="686"/>
        <v/>
      </c>
      <c r="FX336" s="450" t="str">
        <f t="shared" ca="1" si="686"/>
        <v/>
      </c>
      <c r="FY336" s="450" t="str">
        <f t="shared" ca="1" si="686"/>
        <v/>
      </c>
      <c r="FZ336" s="450" t="str">
        <f t="shared" ca="1" si="686"/>
        <v/>
      </c>
      <c r="GA336" s="450" t="str">
        <f t="shared" ca="1" si="686"/>
        <v/>
      </c>
      <c r="GB336" s="450" t="str">
        <f t="shared" ca="1" si="686"/>
        <v/>
      </c>
      <c r="GC336" s="450" t="str">
        <f t="shared" ca="1" si="686"/>
        <v/>
      </c>
      <c r="GD336" s="450" t="str">
        <f t="shared" ca="1" si="686"/>
        <v/>
      </c>
      <c r="GE336" s="450" t="str">
        <f t="shared" ca="1" si="686"/>
        <v/>
      </c>
      <c r="GF336" s="450" t="str">
        <f t="shared" ca="1" si="686"/>
        <v/>
      </c>
      <c r="GG336" s="450" t="str">
        <f t="shared" ca="1" si="686"/>
        <v/>
      </c>
      <c r="GH336" s="450" t="str">
        <f t="shared" ca="1" si="686"/>
        <v/>
      </c>
      <c r="GI336" s="450" t="str">
        <f t="shared" ca="1" si="686"/>
        <v/>
      </c>
      <c r="GJ336" s="450" t="str">
        <f t="shared" ca="1" si="686"/>
        <v/>
      </c>
      <c r="GK336" s="450" t="str">
        <f t="shared" ca="1" si="686"/>
        <v/>
      </c>
      <c r="GL336" s="450" t="str">
        <f t="shared" ca="1" si="686"/>
        <v/>
      </c>
      <c r="GM336" s="450" t="str">
        <f t="shared" ca="1" si="686"/>
        <v/>
      </c>
      <c r="GN336" s="450" t="str">
        <f t="shared" ca="1" si="686"/>
        <v/>
      </c>
      <c r="GO336" s="450" t="str">
        <f t="shared" ca="1" si="686"/>
        <v/>
      </c>
      <c r="GP336" s="450" t="str">
        <f t="shared" ca="1" si="686"/>
        <v/>
      </c>
      <c r="GQ336" s="450" t="str">
        <f t="shared" ca="1" si="686"/>
        <v/>
      </c>
      <c r="GR336" s="450" t="str">
        <f t="shared" ca="1" si="686"/>
        <v/>
      </c>
      <c r="GS336" s="450" t="str">
        <f t="shared" ca="1" si="686"/>
        <v/>
      </c>
      <c r="GT336" s="450" t="str">
        <f t="shared" ca="1" si="686"/>
        <v/>
      </c>
      <c r="GU336" s="450" t="str">
        <f t="shared" ca="1" si="686"/>
        <v/>
      </c>
      <c r="GV336" s="450" t="str">
        <f t="shared" ca="1" si="686"/>
        <v/>
      </c>
      <c r="GW336" s="450" t="str">
        <f t="shared" ca="1" si="686"/>
        <v/>
      </c>
      <c r="GX336" s="450" t="str">
        <f t="shared" ca="1" si="686"/>
        <v/>
      </c>
      <c r="GY336" s="450" t="str">
        <f t="shared" ca="1" si="686"/>
        <v/>
      </c>
      <c r="GZ336" s="450" t="str">
        <f t="shared" ca="1" si="686"/>
        <v/>
      </c>
      <c r="HA336" s="450" t="str">
        <f t="shared" ca="1" si="686"/>
        <v/>
      </c>
      <c r="HB336" s="450" t="str">
        <f t="shared" ca="1" si="686"/>
        <v/>
      </c>
      <c r="HC336" s="450" t="str">
        <f t="shared" ca="1" si="686"/>
        <v/>
      </c>
      <c r="HD336" s="450" t="str">
        <f t="shared" ca="1" si="686"/>
        <v/>
      </c>
      <c r="HE336" s="450" t="str">
        <f t="shared" ca="1" si="686"/>
        <v/>
      </c>
      <c r="HF336" s="450" t="str">
        <f t="shared" ca="1" si="686"/>
        <v/>
      </c>
      <c r="HG336" s="450" t="str">
        <f t="shared" ca="1" si="686"/>
        <v/>
      </c>
      <c r="HH336" s="450" t="str">
        <f t="shared" ca="1" si="686"/>
        <v/>
      </c>
      <c r="HI336" s="450" t="str">
        <f t="shared" ca="1" si="686"/>
        <v/>
      </c>
      <c r="HJ336" s="450" t="str">
        <f t="shared" ca="1" si="686"/>
        <v/>
      </c>
      <c r="HK336" s="450" t="str">
        <f t="shared" ca="1" si="686"/>
        <v/>
      </c>
      <c r="HL336" s="450" t="str">
        <f t="shared" ca="1" si="686"/>
        <v/>
      </c>
      <c r="HM336" s="450" t="str">
        <f t="shared" ca="1" si="686"/>
        <v/>
      </c>
      <c r="HN336" s="450" t="str">
        <f t="shared" ca="1" si="686"/>
        <v/>
      </c>
      <c r="HO336" s="450" t="str">
        <f t="shared" ca="1" si="686"/>
        <v/>
      </c>
      <c r="HP336" s="450" t="str">
        <f t="shared" ca="1" si="686"/>
        <v/>
      </c>
      <c r="HQ336" s="450" t="str">
        <f t="shared" ca="1" si="686"/>
        <v/>
      </c>
      <c r="HR336" s="450" t="str">
        <f t="shared" ca="1" si="686"/>
        <v/>
      </c>
      <c r="HS336" s="450" t="str">
        <f t="shared" ca="1" si="686"/>
        <v/>
      </c>
      <c r="HT336" s="450" t="str">
        <f t="shared" ca="1" si="686"/>
        <v/>
      </c>
      <c r="HU336" s="450" t="str">
        <f t="shared" ca="1" si="686"/>
        <v/>
      </c>
      <c r="HV336" s="450" t="str">
        <f t="shared" ca="1" si="686"/>
        <v/>
      </c>
      <c r="HW336" s="450" t="str">
        <f t="shared" ca="1" si="686"/>
        <v/>
      </c>
      <c r="HX336" s="450" t="str">
        <f t="shared" ca="1" si="686"/>
        <v/>
      </c>
      <c r="HY336" s="450" t="str">
        <f t="shared" ca="1" si="686"/>
        <v/>
      </c>
      <c r="HZ336" s="450" t="str">
        <f t="shared" ca="1" si="686"/>
        <v/>
      </c>
      <c r="IA336" s="450" t="str">
        <f t="shared" ca="1" si="675"/>
        <v/>
      </c>
      <c r="IB336" s="450" t="str">
        <f t="shared" ca="1" si="685"/>
        <v/>
      </c>
      <c r="IC336" s="450" t="str">
        <f t="shared" ca="1" si="685"/>
        <v/>
      </c>
      <c r="ID336" s="450" t="str">
        <f t="shared" ca="1" si="685"/>
        <v/>
      </c>
      <c r="IE336" s="450" t="str">
        <f t="shared" ca="1" si="685"/>
        <v/>
      </c>
      <c r="IF336" s="450" t="str">
        <f t="shared" ca="1" si="685"/>
        <v/>
      </c>
      <c r="IG336" s="450" t="str">
        <f t="shared" ca="1" si="685"/>
        <v/>
      </c>
      <c r="IH336" s="658" t="str">
        <f t="shared" ca="1" si="685"/>
        <v/>
      </c>
      <c r="II336" s="242"/>
    </row>
    <row r="337" spans="9:243">
      <c r="I337" s="132"/>
      <c r="J337" s="365"/>
      <c r="K337" s="1"/>
      <c r="L337" s="1"/>
      <c r="M337" s="366"/>
      <c r="P337" s="365"/>
      <c r="S337" s="53"/>
      <c r="T337" s="365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364"/>
      <c r="AO337" s="364">
        <v>6.5444957818871996E-2</v>
      </c>
      <c r="AP337" s="103"/>
      <c r="AQ337" s="364">
        <v>5.6753183646776999E-2</v>
      </c>
      <c r="AR337" s="103"/>
      <c r="AS337" s="103"/>
      <c r="AT337" s="103"/>
      <c r="AU337" s="31"/>
      <c r="AV337" s="31"/>
      <c r="AW337" s="31"/>
      <c r="AX337" s="31"/>
      <c r="AY337" s="146"/>
      <c r="AZ337" s="146"/>
      <c r="BA337" s="103"/>
      <c r="BB337" s="103"/>
      <c r="BC337" s="103"/>
      <c r="BD337" s="103"/>
      <c r="BE337" s="104"/>
      <c r="BF337" s="104"/>
      <c r="BG337" s="104"/>
      <c r="BH337" s="102"/>
      <c r="BI337" s="104"/>
      <c r="BJ337" s="103"/>
      <c r="BK337" s="105"/>
      <c r="BL337" s="151"/>
      <c r="BM337" s="103"/>
      <c r="BN337" s="103"/>
      <c r="BO337" s="103"/>
      <c r="BP337" s="103"/>
      <c r="BQ337" s="103"/>
      <c r="BR337" s="103"/>
      <c r="BS337" s="103"/>
      <c r="BT337" s="103"/>
      <c r="BU337" s="103"/>
      <c r="BV337" s="103"/>
      <c r="BW337" s="103"/>
      <c r="BX337" s="103"/>
      <c r="BY337" s="103"/>
      <c r="BZ337" s="104"/>
      <c r="CA337" s="104"/>
      <c r="CB337" s="104"/>
      <c r="CC337" s="104"/>
      <c r="CD337" s="104"/>
      <c r="CE337" s="104"/>
      <c r="CF337" s="103"/>
      <c r="CG337" s="103"/>
      <c r="CH337" s="103"/>
      <c r="CI337" s="103"/>
      <c r="CJ337" s="103"/>
      <c r="CK337" s="103"/>
      <c r="CL337" s="103"/>
      <c r="CM337" s="103"/>
      <c r="CN337" s="103"/>
      <c r="CO337" s="103"/>
      <c r="CP337" s="103"/>
      <c r="CQ337" s="103"/>
      <c r="CR337" s="103"/>
      <c r="CS337" s="103"/>
      <c r="CT337" s="103"/>
      <c r="CU337" s="103"/>
      <c r="CV337" s="103"/>
      <c r="CW337" s="103"/>
      <c r="CX337" s="103"/>
      <c r="CY337" s="103"/>
      <c r="CZ337" s="103"/>
      <c r="DA337" s="103"/>
      <c r="DB337" s="103"/>
      <c r="DC337" s="103"/>
      <c r="DD337" s="103"/>
      <c r="DE337" s="107"/>
      <c r="DF337" s="465"/>
      <c r="DG337" s="1"/>
      <c r="DH337" s="51"/>
      <c r="DI337" s="465"/>
      <c r="DJ337" s="52"/>
      <c r="DK337" s="52"/>
      <c r="DL337" s="52"/>
      <c r="DM337" s="52"/>
      <c r="DN337" s="52"/>
      <c r="DO337" s="52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P337" s="53"/>
      <c r="EQ337" s="1"/>
      <c r="ER337" s="103"/>
      <c r="ES337" s="103"/>
      <c r="ET337" s="1"/>
      <c r="EU337" s="103"/>
      <c r="EV337" s="1"/>
      <c r="EW337" s="1"/>
      <c r="EX337" s="1"/>
      <c r="EY337" s="104"/>
      <c r="FN337" s="657">
        <v>13</v>
      </c>
      <c r="FO337" s="450">
        <f t="shared" ref="FO337:HZ337" ca="1" si="687">IF(AND(ISNUMBER(FO32),ISNUMBER(FO$320),FO$320&lt;&gt;0),FO32*FO$320/FO$15,"")</f>
        <v>1.0197995500434505E-3</v>
      </c>
      <c r="FP337" s="450">
        <f t="shared" ca="1" si="687"/>
        <v>1.7415386384844731E-3</v>
      </c>
      <c r="FQ337" s="450" t="str">
        <f t="shared" ca="1" si="687"/>
        <v/>
      </c>
      <c r="FR337" s="450" t="str">
        <f t="shared" ca="1" si="687"/>
        <v/>
      </c>
      <c r="FS337" s="450" t="str">
        <f t="shared" ca="1" si="687"/>
        <v/>
      </c>
      <c r="FT337" s="450" t="str">
        <f t="shared" ca="1" si="687"/>
        <v/>
      </c>
      <c r="FU337" s="450" t="str">
        <f t="shared" ca="1" si="687"/>
        <v/>
      </c>
      <c r="FV337" s="450" t="str">
        <f t="shared" ca="1" si="687"/>
        <v/>
      </c>
      <c r="FW337" s="450" t="str">
        <f t="shared" ca="1" si="687"/>
        <v/>
      </c>
      <c r="FX337" s="450" t="str">
        <f t="shared" ca="1" si="687"/>
        <v/>
      </c>
      <c r="FY337" s="450" t="str">
        <f t="shared" ca="1" si="687"/>
        <v/>
      </c>
      <c r="FZ337" s="450" t="str">
        <f t="shared" ca="1" si="687"/>
        <v/>
      </c>
      <c r="GA337" s="450" t="str">
        <f t="shared" ca="1" si="687"/>
        <v/>
      </c>
      <c r="GB337" s="450" t="str">
        <f t="shared" ca="1" si="687"/>
        <v/>
      </c>
      <c r="GC337" s="450" t="str">
        <f t="shared" ca="1" si="687"/>
        <v/>
      </c>
      <c r="GD337" s="450" t="str">
        <f t="shared" ca="1" si="687"/>
        <v/>
      </c>
      <c r="GE337" s="450" t="str">
        <f t="shared" ca="1" si="687"/>
        <v/>
      </c>
      <c r="GF337" s="450" t="str">
        <f t="shared" ca="1" si="687"/>
        <v/>
      </c>
      <c r="GG337" s="450" t="str">
        <f t="shared" ca="1" si="687"/>
        <v/>
      </c>
      <c r="GH337" s="450" t="str">
        <f t="shared" ca="1" si="687"/>
        <v/>
      </c>
      <c r="GI337" s="450" t="str">
        <f t="shared" ca="1" si="687"/>
        <v/>
      </c>
      <c r="GJ337" s="450" t="str">
        <f t="shared" ca="1" si="687"/>
        <v/>
      </c>
      <c r="GK337" s="450" t="str">
        <f t="shared" ca="1" si="687"/>
        <v/>
      </c>
      <c r="GL337" s="450" t="str">
        <f t="shared" ca="1" si="687"/>
        <v/>
      </c>
      <c r="GM337" s="450" t="str">
        <f t="shared" ca="1" si="687"/>
        <v/>
      </c>
      <c r="GN337" s="450" t="str">
        <f t="shared" ca="1" si="687"/>
        <v/>
      </c>
      <c r="GO337" s="450" t="str">
        <f t="shared" ca="1" si="687"/>
        <v/>
      </c>
      <c r="GP337" s="450" t="str">
        <f t="shared" ca="1" si="687"/>
        <v/>
      </c>
      <c r="GQ337" s="450" t="str">
        <f t="shared" ca="1" si="687"/>
        <v/>
      </c>
      <c r="GR337" s="450" t="str">
        <f t="shared" ca="1" si="687"/>
        <v/>
      </c>
      <c r="GS337" s="450" t="str">
        <f t="shared" ca="1" si="687"/>
        <v/>
      </c>
      <c r="GT337" s="450" t="str">
        <f t="shared" ca="1" si="687"/>
        <v/>
      </c>
      <c r="GU337" s="450" t="str">
        <f t="shared" ca="1" si="687"/>
        <v/>
      </c>
      <c r="GV337" s="450" t="str">
        <f t="shared" ca="1" si="687"/>
        <v/>
      </c>
      <c r="GW337" s="450" t="str">
        <f t="shared" ca="1" si="687"/>
        <v/>
      </c>
      <c r="GX337" s="450" t="str">
        <f t="shared" ca="1" si="687"/>
        <v/>
      </c>
      <c r="GY337" s="450" t="str">
        <f t="shared" ca="1" si="687"/>
        <v/>
      </c>
      <c r="GZ337" s="450" t="str">
        <f t="shared" ca="1" si="687"/>
        <v/>
      </c>
      <c r="HA337" s="450" t="str">
        <f t="shared" ca="1" si="687"/>
        <v/>
      </c>
      <c r="HB337" s="450" t="str">
        <f t="shared" ca="1" si="687"/>
        <v/>
      </c>
      <c r="HC337" s="450" t="str">
        <f t="shared" ca="1" si="687"/>
        <v/>
      </c>
      <c r="HD337" s="450" t="str">
        <f t="shared" ca="1" si="687"/>
        <v/>
      </c>
      <c r="HE337" s="450" t="str">
        <f t="shared" ca="1" si="687"/>
        <v/>
      </c>
      <c r="HF337" s="450" t="str">
        <f t="shared" ca="1" si="687"/>
        <v/>
      </c>
      <c r="HG337" s="450" t="str">
        <f t="shared" ca="1" si="687"/>
        <v/>
      </c>
      <c r="HH337" s="450" t="str">
        <f t="shared" ca="1" si="687"/>
        <v/>
      </c>
      <c r="HI337" s="450" t="str">
        <f t="shared" ca="1" si="687"/>
        <v/>
      </c>
      <c r="HJ337" s="450" t="str">
        <f t="shared" ca="1" si="687"/>
        <v/>
      </c>
      <c r="HK337" s="450" t="str">
        <f t="shared" ca="1" si="687"/>
        <v/>
      </c>
      <c r="HL337" s="450" t="str">
        <f t="shared" ca="1" si="687"/>
        <v/>
      </c>
      <c r="HM337" s="450" t="str">
        <f t="shared" ca="1" si="687"/>
        <v/>
      </c>
      <c r="HN337" s="450" t="str">
        <f t="shared" ca="1" si="687"/>
        <v/>
      </c>
      <c r="HO337" s="450" t="str">
        <f t="shared" ca="1" si="687"/>
        <v/>
      </c>
      <c r="HP337" s="450" t="str">
        <f t="shared" ca="1" si="687"/>
        <v/>
      </c>
      <c r="HQ337" s="450" t="str">
        <f t="shared" ca="1" si="687"/>
        <v/>
      </c>
      <c r="HR337" s="450" t="str">
        <f t="shared" ca="1" si="687"/>
        <v/>
      </c>
      <c r="HS337" s="450" t="str">
        <f t="shared" ca="1" si="687"/>
        <v/>
      </c>
      <c r="HT337" s="450" t="str">
        <f t="shared" ca="1" si="687"/>
        <v/>
      </c>
      <c r="HU337" s="450" t="str">
        <f t="shared" ca="1" si="687"/>
        <v/>
      </c>
      <c r="HV337" s="450" t="str">
        <f t="shared" ca="1" si="687"/>
        <v/>
      </c>
      <c r="HW337" s="450" t="str">
        <f t="shared" ca="1" si="687"/>
        <v/>
      </c>
      <c r="HX337" s="450" t="str">
        <f t="shared" ca="1" si="687"/>
        <v/>
      </c>
      <c r="HY337" s="450" t="str">
        <f t="shared" ca="1" si="687"/>
        <v/>
      </c>
      <c r="HZ337" s="450" t="str">
        <f t="shared" ca="1" si="687"/>
        <v/>
      </c>
      <c r="IA337" s="450" t="str">
        <f t="shared" ca="1" si="675"/>
        <v/>
      </c>
      <c r="IB337" s="450" t="str">
        <f t="shared" ca="1" si="685"/>
        <v/>
      </c>
      <c r="IC337" s="450" t="str">
        <f t="shared" ca="1" si="685"/>
        <v/>
      </c>
      <c r="ID337" s="450" t="str">
        <f t="shared" ca="1" si="685"/>
        <v/>
      </c>
      <c r="IE337" s="450" t="str">
        <f t="shared" ca="1" si="685"/>
        <v/>
      </c>
      <c r="IF337" s="450" t="str">
        <f t="shared" ca="1" si="685"/>
        <v/>
      </c>
      <c r="IG337" s="450" t="str">
        <f t="shared" ca="1" si="685"/>
        <v/>
      </c>
      <c r="IH337" s="658" t="str">
        <f t="shared" ca="1" si="685"/>
        <v/>
      </c>
      <c r="II337" s="242"/>
    </row>
    <row r="338" spans="9:243">
      <c r="I338" s="132"/>
      <c r="J338" s="365"/>
      <c r="K338" s="1"/>
      <c r="L338" s="1"/>
      <c r="M338" s="366"/>
      <c r="P338" s="365"/>
      <c r="S338" s="53"/>
      <c r="T338" s="365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364"/>
      <c r="AO338" s="364">
        <v>6.5455605596296304E-2</v>
      </c>
      <c r="AP338" s="103"/>
      <c r="AQ338" s="364">
        <v>5.6713953436940696E-2</v>
      </c>
      <c r="AR338" s="103"/>
      <c r="AS338" s="103"/>
      <c r="AT338" s="103"/>
      <c r="AU338" s="31"/>
      <c r="AV338" s="31"/>
      <c r="AW338" s="31"/>
      <c r="AX338" s="31"/>
      <c r="AY338" s="146"/>
      <c r="AZ338" s="146"/>
      <c r="BA338" s="103"/>
      <c r="BB338" s="103"/>
      <c r="BC338" s="103"/>
      <c r="BD338" s="103"/>
      <c r="BE338" s="104"/>
      <c r="BF338" s="104"/>
      <c r="BG338" s="104"/>
      <c r="BH338" s="102"/>
      <c r="BI338" s="104"/>
      <c r="BJ338" s="103"/>
      <c r="BK338" s="105"/>
      <c r="BL338" s="151"/>
      <c r="BM338" s="103"/>
      <c r="BN338" s="103"/>
      <c r="BO338" s="103"/>
      <c r="BP338" s="103"/>
      <c r="BQ338" s="103"/>
      <c r="BR338" s="103"/>
      <c r="BS338" s="103"/>
      <c r="BT338" s="103"/>
      <c r="BU338" s="103"/>
      <c r="BV338" s="103"/>
      <c r="BW338" s="103"/>
      <c r="BX338" s="103"/>
      <c r="BY338" s="103"/>
      <c r="BZ338" s="104"/>
      <c r="CA338" s="104"/>
      <c r="CB338" s="104"/>
      <c r="CC338" s="104"/>
      <c r="CD338" s="104"/>
      <c r="CE338" s="104"/>
      <c r="CF338" s="103"/>
      <c r="CG338" s="103"/>
      <c r="CH338" s="103"/>
      <c r="CI338" s="103"/>
      <c r="CJ338" s="103"/>
      <c r="CK338" s="103"/>
      <c r="CL338" s="103"/>
      <c r="CM338" s="103"/>
      <c r="CN338" s="103"/>
      <c r="CO338" s="103"/>
      <c r="CP338" s="103"/>
      <c r="CQ338" s="103"/>
      <c r="CR338" s="103"/>
      <c r="CS338" s="103"/>
      <c r="CT338" s="103"/>
      <c r="CU338" s="103"/>
      <c r="CV338" s="103"/>
      <c r="CW338" s="103"/>
      <c r="CX338" s="103"/>
      <c r="CY338" s="103"/>
      <c r="CZ338" s="103"/>
      <c r="DA338" s="103"/>
      <c r="DB338" s="103"/>
      <c r="DC338" s="103"/>
      <c r="DD338" s="103"/>
      <c r="DE338" s="107"/>
      <c r="DF338" s="465"/>
      <c r="DG338" s="1"/>
      <c r="DH338" s="51"/>
      <c r="DI338" s="465"/>
      <c r="DJ338" s="52"/>
      <c r="DK338" s="52"/>
      <c r="DL338" s="52"/>
      <c r="DM338" s="52"/>
      <c r="DN338" s="52"/>
      <c r="DO338" s="52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P338" s="53"/>
      <c r="EQ338" s="1"/>
      <c r="ER338" s="103"/>
      <c r="ES338" s="103"/>
      <c r="ET338" s="1"/>
      <c r="EU338" s="103"/>
      <c r="EV338" s="1"/>
      <c r="EW338" s="1"/>
      <c r="EX338" s="1"/>
      <c r="EY338" s="104"/>
      <c r="FN338" s="657">
        <v>14</v>
      </c>
      <c r="FO338" s="450">
        <f t="shared" ref="FO338:HZ338" ca="1" si="688">IF(AND(ISNUMBER(FO33),ISNUMBER(FO$320),FO$320&lt;&gt;0),FO33*FO$320/FO$15,"")</f>
        <v>9.7483292588425405E-4</v>
      </c>
      <c r="FP338" s="450">
        <f t="shared" ca="1" si="688"/>
        <v>1.6562156470831908E-3</v>
      </c>
      <c r="FQ338" s="450" t="str">
        <f t="shared" ca="1" si="688"/>
        <v/>
      </c>
      <c r="FR338" s="450" t="str">
        <f t="shared" ca="1" si="688"/>
        <v/>
      </c>
      <c r="FS338" s="450" t="str">
        <f t="shared" ca="1" si="688"/>
        <v/>
      </c>
      <c r="FT338" s="450" t="str">
        <f t="shared" ca="1" si="688"/>
        <v/>
      </c>
      <c r="FU338" s="450" t="str">
        <f t="shared" ca="1" si="688"/>
        <v/>
      </c>
      <c r="FV338" s="450" t="str">
        <f t="shared" ca="1" si="688"/>
        <v/>
      </c>
      <c r="FW338" s="450" t="str">
        <f t="shared" ca="1" si="688"/>
        <v/>
      </c>
      <c r="FX338" s="450" t="str">
        <f t="shared" ca="1" si="688"/>
        <v/>
      </c>
      <c r="FY338" s="450" t="str">
        <f t="shared" ca="1" si="688"/>
        <v/>
      </c>
      <c r="FZ338" s="450" t="str">
        <f t="shared" ca="1" si="688"/>
        <v/>
      </c>
      <c r="GA338" s="450" t="str">
        <f t="shared" ca="1" si="688"/>
        <v/>
      </c>
      <c r="GB338" s="450" t="str">
        <f t="shared" ca="1" si="688"/>
        <v/>
      </c>
      <c r="GC338" s="450" t="str">
        <f t="shared" ca="1" si="688"/>
        <v/>
      </c>
      <c r="GD338" s="450" t="str">
        <f t="shared" ca="1" si="688"/>
        <v/>
      </c>
      <c r="GE338" s="450" t="str">
        <f t="shared" ca="1" si="688"/>
        <v/>
      </c>
      <c r="GF338" s="450" t="str">
        <f t="shared" ca="1" si="688"/>
        <v/>
      </c>
      <c r="GG338" s="450" t="str">
        <f t="shared" ca="1" si="688"/>
        <v/>
      </c>
      <c r="GH338" s="450" t="str">
        <f t="shared" ca="1" si="688"/>
        <v/>
      </c>
      <c r="GI338" s="450" t="str">
        <f t="shared" ca="1" si="688"/>
        <v/>
      </c>
      <c r="GJ338" s="450" t="str">
        <f t="shared" ca="1" si="688"/>
        <v/>
      </c>
      <c r="GK338" s="450" t="str">
        <f t="shared" ca="1" si="688"/>
        <v/>
      </c>
      <c r="GL338" s="450" t="str">
        <f t="shared" ca="1" si="688"/>
        <v/>
      </c>
      <c r="GM338" s="450" t="str">
        <f t="shared" ca="1" si="688"/>
        <v/>
      </c>
      <c r="GN338" s="450" t="str">
        <f t="shared" ca="1" si="688"/>
        <v/>
      </c>
      <c r="GO338" s="450" t="str">
        <f t="shared" ca="1" si="688"/>
        <v/>
      </c>
      <c r="GP338" s="450" t="str">
        <f t="shared" ca="1" si="688"/>
        <v/>
      </c>
      <c r="GQ338" s="450" t="str">
        <f t="shared" ca="1" si="688"/>
        <v/>
      </c>
      <c r="GR338" s="450" t="str">
        <f t="shared" ca="1" si="688"/>
        <v/>
      </c>
      <c r="GS338" s="450" t="str">
        <f t="shared" ca="1" si="688"/>
        <v/>
      </c>
      <c r="GT338" s="450" t="str">
        <f t="shared" ca="1" si="688"/>
        <v/>
      </c>
      <c r="GU338" s="450" t="str">
        <f t="shared" ca="1" si="688"/>
        <v/>
      </c>
      <c r="GV338" s="450" t="str">
        <f t="shared" ca="1" si="688"/>
        <v/>
      </c>
      <c r="GW338" s="450" t="str">
        <f t="shared" ca="1" si="688"/>
        <v/>
      </c>
      <c r="GX338" s="450" t="str">
        <f t="shared" ca="1" si="688"/>
        <v/>
      </c>
      <c r="GY338" s="450" t="str">
        <f t="shared" ca="1" si="688"/>
        <v/>
      </c>
      <c r="GZ338" s="450" t="str">
        <f t="shared" ca="1" si="688"/>
        <v/>
      </c>
      <c r="HA338" s="450" t="str">
        <f t="shared" ca="1" si="688"/>
        <v/>
      </c>
      <c r="HB338" s="450" t="str">
        <f t="shared" ca="1" si="688"/>
        <v/>
      </c>
      <c r="HC338" s="450" t="str">
        <f t="shared" ca="1" si="688"/>
        <v/>
      </c>
      <c r="HD338" s="450" t="str">
        <f t="shared" ca="1" si="688"/>
        <v/>
      </c>
      <c r="HE338" s="450" t="str">
        <f t="shared" ca="1" si="688"/>
        <v/>
      </c>
      <c r="HF338" s="450" t="str">
        <f t="shared" ca="1" si="688"/>
        <v/>
      </c>
      <c r="HG338" s="450" t="str">
        <f t="shared" ca="1" si="688"/>
        <v/>
      </c>
      <c r="HH338" s="450" t="str">
        <f t="shared" ca="1" si="688"/>
        <v/>
      </c>
      <c r="HI338" s="450" t="str">
        <f t="shared" ca="1" si="688"/>
        <v/>
      </c>
      <c r="HJ338" s="450" t="str">
        <f t="shared" ca="1" si="688"/>
        <v/>
      </c>
      <c r="HK338" s="450" t="str">
        <f t="shared" ca="1" si="688"/>
        <v/>
      </c>
      <c r="HL338" s="450" t="str">
        <f t="shared" ca="1" si="688"/>
        <v/>
      </c>
      <c r="HM338" s="450" t="str">
        <f t="shared" ca="1" si="688"/>
        <v/>
      </c>
      <c r="HN338" s="450" t="str">
        <f t="shared" ca="1" si="688"/>
        <v/>
      </c>
      <c r="HO338" s="450" t="str">
        <f t="shared" ca="1" si="688"/>
        <v/>
      </c>
      <c r="HP338" s="450" t="str">
        <f t="shared" ca="1" si="688"/>
        <v/>
      </c>
      <c r="HQ338" s="450" t="str">
        <f t="shared" ca="1" si="688"/>
        <v/>
      </c>
      <c r="HR338" s="450" t="str">
        <f t="shared" ca="1" si="688"/>
        <v/>
      </c>
      <c r="HS338" s="450" t="str">
        <f t="shared" ca="1" si="688"/>
        <v/>
      </c>
      <c r="HT338" s="450" t="str">
        <f t="shared" ca="1" si="688"/>
        <v/>
      </c>
      <c r="HU338" s="450" t="str">
        <f t="shared" ca="1" si="688"/>
        <v/>
      </c>
      <c r="HV338" s="450" t="str">
        <f t="shared" ca="1" si="688"/>
        <v/>
      </c>
      <c r="HW338" s="450" t="str">
        <f t="shared" ca="1" si="688"/>
        <v/>
      </c>
      <c r="HX338" s="450" t="str">
        <f t="shared" ca="1" si="688"/>
        <v/>
      </c>
      <c r="HY338" s="450" t="str">
        <f t="shared" ca="1" si="688"/>
        <v/>
      </c>
      <c r="HZ338" s="450" t="str">
        <f t="shared" ca="1" si="688"/>
        <v/>
      </c>
      <c r="IA338" s="450" t="str">
        <f t="shared" ca="1" si="675"/>
        <v/>
      </c>
      <c r="IB338" s="450" t="str">
        <f t="shared" ca="1" si="685"/>
        <v/>
      </c>
      <c r="IC338" s="450" t="str">
        <f t="shared" ca="1" si="685"/>
        <v/>
      </c>
      <c r="ID338" s="450" t="str">
        <f t="shared" ca="1" si="685"/>
        <v/>
      </c>
      <c r="IE338" s="450" t="str">
        <f t="shared" ca="1" si="685"/>
        <v/>
      </c>
      <c r="IF338" s="450" t="str">
        <f t="shared" ca="1" si="685"/>
        <v/>
      </c>
      <c r="IG338" s="450" t="str">
        <f t="shared" ca="1" si="685"/>
        <v/>
      </c>
      <c r="IH338" s="658" t="str">
        <f t="shared" ca="1" si="685"/>
        <v/>
      </c>
      <c r="II338" s="242"/>
    </row>
    <row r="339" spans="9:243">
      <c r="I339" s="132"/>
      <c r="J339" s="365"/>
      <c r="K339" s="1"/>
      <c r="L339" s="1"/>
      <c r="M339" s="366"/>
      <c r="P339" s="365"/>
      <c r="S339" s="53"/>
      <c r="T339" s="365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364"/>
      <c r="AO339" s="364">
        <v>6.5465909897064911E-2</v>
      </c>
      <c r="AP339" s="103"/>
      <c r="AQ339" s="364">
        <v>5.6675988727985502E-2</v>
      </c>
      <c r="AR339" s="103"/>
      <c r="AS339" s="103"/>
      <c r="AT339" s="103"/>
      <c r="AU339" s="31"/>
      <c r="AV339" s="31"/>
      <c r="AW339" s="31"/>
      <c r="AX339" s="31"/>
      <c r="AY339" s="146"/>
      <c r="AZ339" s="146"/>
      <c r="BA339" s="103"/>
      <c r="BB339" s="103"/>
      <c r="BC339" s="103"/>
      <c r="BD339" s="103"/>
      <c r="BE339" s="104"/>
      <c r="BF339" s="104"/>
      <c r="BG339" s="104"/>
      <c r="BH339" s="102"/>
      <c r="BI339" s="104"/>
      <c r="BJ339" s="103"/>
      <c r="BK339" s="105"/>
      <c r="BL339" s="151"/>
      <c r="BM339" s="103"/>
      <c r="BN339" s="103"/>
      <c r="BO339" s="103"/>
      <c r="BP339" s="103"/>
      <c r="BQ339" s="103"/>
      <c r="BR339" s="103"/>
      <c r="BS339" s="103"/>
      <c r="BT339" s="103"/>
      <c r="BU339" s="103"/>
      <c r="BV339" s="103"/>
      <c r="BW339" s="103"/>
      <c r="BX339" s="103"/>
      <c r="BY339" s="103"/>
      <c r="BZ339" s="104"/>
      <c r="CA339" s="104"/>
      <c r="CB339" s="104"/>
      <c r="CC339" s="104"/>
      <c r="CD339" s="104"/>
      <c r="CE339" s="104"/>
      <c r="CF339" s="103"/>
      <c r="CG339" s="103"/>
      <c r="CH339" s="103"/>
      <c r="CI339" s="103"/>
      <c r="CJ339" s="103"/>
      <c r="CK339" s="103"/>
      <c r="CL339" s="103"/>
      <c r="CM339" s="103"/>
      <c r="CN339" s="103"/>
      <c r="CO339" s="103"/>
      <c r="CP339" s="103"/>
      <c r="CQ339" s="103"/>
      <c r="CR339" s="103"/>
      <c r="CS339" s="103"/>
      <c r="CT339" s="103"/>
      <c r="CU339" s="103"/>
      <c r="CV339" s="103"/>
      <c r="CW339" s="103"/>
      <c r="CX339" s="103"/>
      <c r="CY339" s="103"/>
      <c r="CZ339" s="103"/>
      <c r="DA339" s="103"/>
      <c r="DB339" s="103"/>
      <c r="DC339" s="103"/>
      <c r="DD339" s="103"/>
      <c r="DE339" s="107"/>
      <c r="DF339" s="465"/>
      <c r="DG339" s="1"/>
      <c r="DH339" s="51"/>
      <c r="DI339" s="465"/>
      <c r="DJ339" s="52"/>
      <c r="DK339" s="52"/>
      <c r="DL339" s="52"/>
      <c r="DM339" s="52"/>
      <c r="DN339" s="52"/>
      <c r="DO339" s="52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P339" s="53"/>
      <c r="EQ339" s="1"/>
      <c r="ER339" s="103"/>
      <c r="ES339" s="103"/>
      <c r="ET339" s="1"/>
      <c r="EU339" s="103"/>
      <c r="EV339" s="1"/>
      <c r="EW339" s="1"/>
      <c r="EX339" s="1"/>
      <c r="EY339" s="104"/>
      <c r="FN339" s="657">
        <v>15</v>
      </c>
      <c r="FO339" s="450">
        <f t="shared" ref="FO339:HZ339" ca="1" si="689">IF(AND(ISNUMBER(FO34),ISNUMBER(FO$320),FO$320&lt;&gt;0),FO34*FO$320/FO$15,"")</f>
        <v>9.3614743007780705E-4</v>
      </c>
      <c r="FP339" s="450">
        <f t="shared" ca="1" si="689"/>
        <v>1.5831871518992135E-3</v>
      </c>
      <c r="FQ339" s="450" t="str">
        <f t="shared" ca="1" si="689"/>
        <v/>
      </c>
      <c r="FR339" s="450" t="str">
        <f t="shared" ca="1" si="689"/>
        <v/>
      </c>
      <c r="FS339" s="450" t="str">
        <f t="shared" ca="1" si="689"/>
        <v/>
      </c>
      <c r="FT339" s="450" t="str">
        <f t="shared" ca="1" si="689"/>
        <v/>
      </c>
      <c r="FU339" s="450" t="str">
        <f t="shared" ca="1" si="689"/>
        <v/>
      </c>
      <c r="FV339" s="450" t="str">
        <f t="shared" ca="1" si="689"/>
        <v/>
      </c>
      <c r="FW339" s="450" t="str">
        <f t="shared" ca="1" si="689"/>
        <v/>
      </c>
      <c r="FX339" s="450" t="str">
        <f t="shared" ca="1" si="689"/>
        <v/>
      </c>
      <c r="FY339" s="450" t="str">
        <f t="shared" ca="1" si="689"/>
        <v/>
      </c>
      <c r="FZ339" s="450" t="str">
        <f t="shared" ca="1" si="689"/>
        <v/>
      </c>
      <c r="GA339" s="450" t="str">
        <f t="shared" ca="1" si="689"/>
        <v/>
      </c>
      <c r="GB339" s="450" t="str">
        <f t="shared" ca="1" si="689"/>
        <v/>
      </c>
      <c r="GC339" s="450" t="str">
        <f t="shared" ca="1" si="689"/>
        <v/>
      </c>
      <c r="GD339" s="450" t="str">
        <f t="shared" ca="1" si="689"/>
        <v/>
      </c>
      <c r="GE339" s="450" t="str">
        <f t="shared" ca="1" si="689"/>
        <v/>
      </c>
      <c r="GF339" s="450" t="str">
        <f t="shared" ca="1" si="689"/>
        <v/>
      </c>
      <c r="GG339" s="450" t="str">
        <f t="shared" ca="1" si="689"/>
        <v/>
      </c>
      <c r="GH339" s="450" t="str">
        <f t="shared" ca="1" si="689"/>
        <v/>
      </c>
      <c r="GI339" s="450" t="str">
        <f t="shared" ca="1" si="689"/>
        <v/>
      </c>
      <c r="GJ339" s="450" t="str">
        <f t="shared" ca="1" si="689"/>
        <v/>
      </c>
      <c r="GK339" s="450" t="str">
        <f t="shared" ca="1" si="689"/>
        <v/>
      </c>
      <c r="GL339" s="450" t="str">
        <f t="shared" ca="1" si="689"/>
        <v/>
      </c>
      <c r="GM339" s="450" t="str">
        <f t="shared" ca="1" si="689"/>
        <v/>
      </c>
      <c r="GN339" s="450" t="str">
        <f t="shared" ca="1" si="689"/>
        <v/>
      </c>
      <c r="GO339" s="450" t="str">
        <f t="shared" ca="1" si="689"/>
        <v/>
      </c>
      <c r="GP339" s="450" t="str">
        <f t="shared" ca="1" si="689"/>
        <v/>
      </c>
      <c r="GQ339" s="450" t="str">
        <f t="shared" ca="1" si="689"/>
        <v/>
      </c>
      <c r="GR339" s="450" t="str">
        <f t="shared" ca="1" si="689"/>
        <v/>
      </c>
      <c r="GS339" s="450" t="str">
        <f t="shared" ca="1" si="689"/>
        <v/>
      </c>
      <c r="GT339" s="450" t="str">
        <f t="shared" ca="1" si="689"/>
        <v/>
      </c>
      <c r="GU339" s="450" t="str">
        <f t="shared" ca="1" si="689"/>
        <v/>
      </c>
      <c r="GV339" s="450" t="str">
        <f t="shared" ca="1" si="689"/>
        <v/>
      </c>
      <c r="GW339" s="450" t="str">
        <f t="shared" ca="1" si="689"/>
        <v/>
      </c>
      <c r="GX339" s="450" t="str">
        <f t="shared" ca="1" si="689"/>
        <v/>
      </c>
      <c r="GY339" s="450" t="str">
        <f t="shared" ca="1" si="689"/>
        <v/>
      </c>
      <c r="GZ339" s="450" t="str">
        <f t="shared" ca="1" si="689"/>
        <v/>
      </c>
      <c r="HA339" s="450" t="str">
        <f t="shared" ca="1" si="689"/>
        <v/>
      </c>
      <c r="HB339" s="450" t="str">
        <f t="shared" ca="1" si="689"/>
        <v/>
      </c>
      <c r="HC339" s="450" t="str">
        <f t="shared" ca="1" si="689"/>
        <v/>
      </c>
      <c r="HD339" s="450" t="str">
        <f t="shared" ca="1" si="689"/>
        <v/>
      </c>
      <c r="HE339" s="450" t="str">
        <f t="shared" ca="1" si="689"/>
        <v/>
      </c>
      <c r="HF339" s="450" t="str">
        <f t="shared" ca="1" si="689"/>
        <v/>
      </c>
      <c r="HG339" s="450" t="str">
        <f t="shared" ca="1" si="689"/>
        <v/>
      </c>
      <c r="HH339" s="450" t="str">
        <f t="shared" ca="1" si="689"/>
        <v/>
      </c>
      <c r="HI339" s="450" t="str">
        <f t="shared" ca="1" si="689"/>
        <v/>
      </c>
      <c r="HJ339" s="450" t="str">
        <f t="shared" ca="1" si="689"/>
        <v/>
      </c>
      <c r="HK339" s="450" t="str">
        <f t="shared" ca="1" si="689"/>
        <v/>
      </c>
      <c r="HL339" s="450" t="str">
        <f t="shared" ca="1" si="689"/>
        <v/>
      </c>
      <c r="HM339" s="450" t="str">
        <f t="shared" ca="1" si="689"/>
        <v/>
      </c>
      <c r="HN339" s="450" t="str">
        <f t="shared" ca="1" si="689"/>
        <v/>
      </c>
      <c r="HO339" s="450" t="str">
        <f t="shared" ca="1" si="689"/>
        <v/>
      </c>
      <c r="HP339" s="450" t="str">
        <f t="shared" ca="1" si="689"/>
        <v/>
      </c>
      <c r="HQ339" s="450" t="str">
        <f t="shared" ca="1" si="689"/>
        <v/>
      </c>
      <c r="HR339" s="450" t="str">
        <f t="shared" ca="1" si="689"/>
        <v/>
      </c>
      <c r="HS339" s="450" t="str">
        <f t="shared" ca="1" si="689"/>
        <v/>
      </c>
      <c r="HT339" s="450" t="str">
        <f t="shared" ca="1" si="689"/>
        <v/>
      </c>
      <c r="HU339" s="450" t="str">
        <f t="shared" ca="1" si="689"/>
        <v/>
      </c>
      <c r="HV339" s="450" t="str">
        <f t="shared" ca="1" si="689"/>
        <v/>
      </c>
      <c r="HW339" s="450" t="str">
        <f t="shared" ca="1" si="689"/>
        <v/>
      </c>
      <c r="HX339" s="450" t="str">
        <f t="shared" ca="1" si="689"/>
        <v/>
      </c>
      <c r="HY339" s="450" t="str">
        <f t="shared" ca="1" si="689"/>
        <v/>
      </c>
      <c r="HZ339" s="450" t="str">
        <f t="shared" ca="1" si="689"/>
        <v/>
      </c>
      <c r="IA339" s="450" t="str">
        <f t="shared" ca="1" si="675"/>
        <v/>
      </c>
      <c r="IB339" s="450" t="str">
        <f t="shared" ca="1" si="685"/>
        <v/>
      </c>
      <c r="IC339" s="450" t="str">
        <f t="shared" ca="1" si="685"/>
        <v/>
      </c>
      <c r="ID339" s="450" t="str">
        <f t="shared" ca="1" si="685"/>
        <v/>
      </c>
      <c r="IE339" s="450" t="str">
        <f t="shared" ca="1" si="685"/>
        <v/>
      </c>
      <c r="IF339" s="450" t="str">
        <f t="shared" ca="1" si="685"/>
        <v/>
      </c>
      <c r="IG339" s="450" t="str">
        <f t="shared" ca="1" si="685"/>
        <v/>
      </c>
      <c r="IH339" s="658" t="str">
        <f t="shared" ca="1" si="685"/>
        <v/>
      </c>
      <c r="II339" s="242"/>
    </row>
    <row r="340" spans="9:243">
      <c r="I340" s="132"/>
      <c r="J340" s="365"/>
      <c r="K340" s="1"/>
      <c r="L340" s="1"/>
      <c r="M340" s="366"/>
      <c r="P340" s="365"/>
      <c r="S340" s="53"/>
      <c r="T340" s="365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364"/>
      <c r="AO340" s="364">
        <v>6.5476557674563701E-2</v>
      </c>
      <c r="AP340" s="103"/>
      <c r="AQ340" s="364">
        <v>5.6636758539313298E-2</v>
      </c>
      <c r="AR340" s="103"/>
      <c r="AS340" s="103"/>
      <c r="AT340" s="103"/>
      <c r="AU340" s="31"/>
      <c r="AV340" s="31"/>
      <c r="AW340" s="31"/>
      <c r="AX340" s="31"/>
      <c r="AY340" s="146"/>
      <c r="AZ340" s="146"/>
      <c r="BA340" s="103"/>
      <c r="BB340" s="103"/>
      <c r="BC340" s="103"/>
      <c r="BD340" s="103"/>
      <c r="BE340" s="104"/>
      <c r="BF340" s="104"/>
      <c r="BG340" s="104"/>
      <c r="BH340" s="102"/>
      <c r="BI340" s="104"/>
      <c r="BJ340" s="103"/>
      <c r="BK340" s="105"/>
      <c r="BL340" s="151"/>
      <c r="BM340" s="103"/>
      <c r="BN340" s="103"/>
      <c r="BO340" s="103"/>
      <c r="BP340" s="103"/>
      <c r="BQ340" s="103"/>
      <c r="BR340" s="103"/>
      <c r="BS340" s="103"/>
      <c r="BT340" s="103"/>
      <c r="BU340" s="103"/>
      <c r="BV340" s="103"/>
      <c r="BW340" s="103"/>
      <c r="BX340" s="103"/>
      <c r="BY340" s="103"/>
      <c r="BZ340" s="104"/>
      <c r="CA340" s="104"/>
      <c r="CB340" s="104"/>
      <c r="CC340" s="104"/>
      <c r="CD340" s="104"/>
      <c r="CE340" s="104"/>
      <c r="CF340" s="103"/>
      <c r="CG340" s="103"/>
      <c r="CH340" s="103"/>
      <c r="CI340" s="103"/>
      <c r="CJ340" s="103"/>
      <c r="CK340" s="103"/>
      <c r="CL340" s="103"/>
      <c r="CM340" s="103"/>
      <c r="CN340" s="103"/>
      <c r="CO340" s="103"/>
      <c r="CP340" s="103"/>
      <c r="CQ340" s="103"/>
      <c r="CR340" s="103"/>
      <c r="CS340" s="103"/>
      <c r="CT340" s="103"/>
      <c r="CU340" s="103"/>
      <c r="CV340" s="103"/>
      <c r="CW340" s="103"/>
      <c r="CX340" s="103"/>
      <c r="CY340" s="103"/>
      <c r="CZ340" s="103"/>
      <c r="DA340" s="103"/>
      <c r="DB340" s="103"/>
      <c r="DC340" s="103"/>
      <c r="DD340" s="103"/>
      <c r="DE340" s="107"/>
      <c r="DF340" s="465"/>
      <c r="DG340" s="1"/>
      <c r="DH340" s="51"/>
      <c r="DI340" s="465"/>
      <c r="DJ340" s="52"/>
      <c r="DK340" s="52"/>
      <c r="DL340" s="52"/>
      <c r="DM340" s="52"/>
      <c r="DN340" s="52"/>
      <c r="DO340" s="52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P340" s="53"/>
      <c r="EQ340" s="1"/>
      <c r="ER340" s="103"/>
      <c r="ES340" s="103"/>
      <c r="ET340" s="1"/>
      <c r="EU340" s="103"/>
      <c r="EV340" s="1"/>
      <c r="EW340" s="1"/>
      <c r="EX340" s="1"/>
      <c r="EY340" s="104"/>
      <c r="FN340" s="657">
        <v>16</v>
      </c>
      <c r="FO340" s="450">
        <f t="shared" ref="FO340:HZ340" ca="1" si="690">IF(AND(ISNUMBER(FO35),ISNUMBER(FO$320),FO$320&lt;&gt;0),FO35*FO$320/FO$15,"")</f>
        <v>9.0271216761693277E-4</v>
      </c>
      <c r="FP340" s="450">
        <f t="shared" ca="1" si="690"/>
        <v>1.5203595859652234E-3</v>
      </c>
      <c r="FQ340" s="450" t="str">
        <f t="shared" ca="1" si="690"/>
        <v/>
      </c>
      <c r="FR340" s="450" t="str">
        <f t="shared" ca="1" si="690"/>
        <v/>
      </c>
      <c r="FS340" s="450" t="str">
        <f t="shared" ca="1" si="690"/>
        <v/>
      </c>
      <c r="FT340" s="450" t="str">
        <f t="shared" ca="1" si="690"/>
        <v/>
      </c>
      <c r="FU340" s="450" t="str">
        <f t="shared" ca="1" si="690"/>
        <v/>
      </c>
      <c r="FV340" s="450" t="str">
        <f t="shared" ca="1" si="690"/>
        <v/>
      </c>
      <c r="FW340" s="450" t="str">
        <f t="shared" ca="1" si="690"/>
        <v/>
      </c>
      <c r="FX340" s="450" t="str">
        <f t="shared" ca="1" si="690"/>
        <v/>
      </c>
      <c r="FY340" s="450" t="str">
        <f t="shared" ca="1" si="690"/>
        <v/>
      </c>
      <c r="FZ340" s="450" t="str">
        <f t="shared" ca="1" si="690"/>
        <v/>
      </c>
      <c r="GA340" s="450" t="str">
        <f t="shared" ca="1" si="690"/>
        <v/>
      </c>
      <c r="GB340" s="450" t="str">
        <f t="shared" ca="1" si="690"/>
        <v/>
      </c>
      <c r="GC340" s="450" t="str">
        <f t="shared" ca="1" si="690"/>
        <v/>
      </c>
      <c r="GD340" s="450" t="str">
        <f t="shared" ca="1" si="690"/>
        <v/>
      </c>
      <c r="GE340" s="450" t="str">
        <f t="shared" ca="1" si="690"/>
        <v/>
      </c>
      <c r="GF340" s="450" t="str">
        <f t="shared" ca="1" si="690"/>
        <v/>
      </c>
      <c r="GG340" s="450" t="str">
        <f t="shared" ca="1" si="690"/>
        <v/>
      </c>
      <c r="GH340" s="450" t="str">
        <f t="shared" ca="1" si="690"/>
        <v/>
      </c>
      <c r="GI340" s="450" t="str">
        <f t="shared" ca="1" si="690"/>
        <v/>
      </c>
      <c r="GJ340" s="450" t="str">
        <f t="shared" ca="1" si="690"/>
        <v/>
      </c>
      <c r="GK340" s="450" t="str">
        <f t="shared" ca="1" si="690"/>
        <v/>
      </c>
      <c r="GL340" s="450" t="str">
        <f t="shared" ca="1" si="690"/>
        <v/>
      </c>
      <c r="GM340" s="450" t="str">
        <f t="shared" ca="1" si="690"/>
        <v/>
      </c>
      <c r="GN340" s="450" t="str">
        <f t="shared" ca="1" si="690"/>
        <v/>
      </c>
      <c r="GO340" s="450" t="str">
        <f t="shared" ca="1" si="690"/>
        <v/>
      </c>
      <c r="GP340" s="450" t="str">
        <f t="shared" ca="1" si="690"/>
        <v/>
      </c>
      <c r="GQ340" s="450" t="str">
        <f t="shared" ca="1" si="690"/>
        <v/>
      </c>
      <c r="GR340" s="450" t="str">
        <f t="shared" ca="1" si="690"/>
        <v/>
      </c>
      <c r="GS340" s="450" t="str">
        <f t="shared" ca="1" si="690"/>
        <v/>
      </c>
      <c r="GT340" s="450" t="str">
        <f t="shared" ca="1" si="690"/>
        <v/>
      </c>
      <c r="GU340" s="450" t="str">
        <f t="shared" ca="1" si="690"/>
        <v/>
      </c>
      <c r="GV340" s="450" t="str">
        <f t="shared" ca="1" si="690"/>
        <v/>
      </c>
      <c r="GW340" s="450" t="str">
        <f t="shared" ca="1" si="690"/>
        <v/>
      </c>
      <c r="GX340" s="450" t="str">
        <f t="shared" ca="1" si="690"/>
        <v/>
      </c>
      <c r="GY340" s="450" t="str">
        <f t="shared" ca="1" si="690"/>
        <v/>
      </c>
      <c r="GZ340" s="450" t="str">
        <f t="shared" ca="1" si="690"/>
        <v/>
      </c>
      <c r="HA340" s="450" t="str">
        <f t="shared" ca="1" si="690"/>
        <v/>
      </c>
      <c r="HB340" s="450" t="str">
        <f t="shared" ca="1" si="690"/>
        <v/>
      </c>
      <c r="HC340" s="450" t="str">
        <f t="shared" ca="1" si="690"/>
        <v/>
      </c>
      <c r="HD340" s="450" t="str">
        <f t="shared" ca="1" si="690"/>
        <v/>
      </c>
      <c r="HE340" s="450" t="str">
        <f t="shared" ca="1" si="690"/>
        <v/>
      </c>
      <c r="HF340" s="450" t="str">
        <f t="shared" ca="1" si="690"/>
        <v/>
      </c>
      <c r="HG340" s="450" t="str">
        <f t="shared" ca="1" si="690"/>
        <v/>
      </c>
      <c r="HH340" s="450" t="str">
        <f t="shared" ca="1" si="690"/>
        <v/>
      </c>
      <c r="HI340" s="450" t="str">
        <f t="shared" ca="1" si="690"/>
        <v/>
      </c>
      <c r="HJ340" s="450" t="str">
        <f t="shared" ca="1" si="690"/>
        <v/>
      </c>
      <c r="HK340" s="450" t="str">
        <f t="shared" ca="1" si="690"/>
        <v/>
      </c>
      <c r="HL340" s="450" t="str">
        <f t="shared" ca="1" si="690"/>
        <v/>
      </c>
      <c r="HM340" s="450" t="str">
        <f t="shared" ca="1" si="690"/>
        <v/>
      </c>
      <c r="HN340" s="450" t="str">
        <f t="shared" ca="1" si="690"/>
        <v/>
      </c>
      <c r="HO340" s="450" t="str">
        <f t="shared" ca="1" si="690"/>
        <v/>
      </c>
      <c r="HP340" s="450" t="str">
        <f t="shared" ca="1" si="690"/>
        <v/>
      </c>
      <c r="HQ340" s="450" t="str">
        <f t="shared" ca="1" si="690"/>
        <v/>
      </c>
      <c r="HR340" s="450" t="str">
        <f t="shared" ca="1" si="690"/>
        <v/>
      </c>
      <c r="HS340" s="450" t="str">
        <f t="shared" ca="1" si="690"/>
        <v/>
      </c>
      <c r="HT340" s="450" t="str">
        <f t="shared" ca="1" si="690"/>
        <v/>
      </c>
      <c r="HU340" s="450" t="str">
        <f t="shared" ca="1" si="690"/>
        <v/>
      </c>
      <c r="HV340" s="450" t="str">
        <f t="shared" ca="1" si="690"/>
        <v/>
      </c>
      <c r="HW340" s="450" t="str">
        <f t="shared" ca="1" si="690"/>
        <v/>
      </c>
      <c r="HX340" s="450" t="str">
        <f t="shared" ca="1" si="690"/>
        <v/>
      </c>
      <c r="HY340" s="450" t="str">
        <f t="shared" ca="1" si="690"/>
        <v/>
      </c>
      <c r="HZ340" s="450" t="str">
        <f t="shared" ca="1" si="690"/>
        <v/>
      </c>
      <c r="IA340" s="450" t="str">
        <f t="shared" ca="1" si="675"/>
        <v/>
      </c>
      <c r="IB340" s="450" t="str">
        <f t="shared" ca="1" si="685"/>
        <v/>
      </c>
      <c r="IC340" s="450" t="str">
        <f t="shared" ca="1" si="685"/>
        <v/>
      </c>
      <c r="ID340" s="450" t="str">
        <f t="shared" ca="1" si="685"/>
        <v/>
      </c>
      <c r="IE340" s="450" t="str">
        <f t="shared" ca="1" si="685"/>
        <v/>
      </c>
      <c r="IF340" s="450" t="str">
        <f t="shared" ca="1" si="685"/>
        <v/>
      </c>
      <c r="IG340" s="450" t="str">
        <f t="shared" ca="1" si="685"/>
        <v/>
      </c>
      <c r="IH340" s="658" t="str">
        <f t="shared" ca="1" si="685"/>
        <v/>
      </c>
      <c r="II340" s="242"/>
    </row>
    <row r="341" spans="9:243">
      <c r="I341" s="132"/>
      <c r="J341" s="365"/>
      <c r="K341" s="1"/>
      <c r="L341" s="1"/>
      <c r="M341" s="366"/>
      <c r="P341" s="365"/>
      <c r="S341" s="53"/>
      <c r="T341" s="365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364"/>
      <c r="AO341" s="364">
        <v>6.5487205452099392E-2</v>
      </c>
      <c r="AP341" s="103"/>
      <c r="AQ341" s="364">
        <v>5.6597528361397802E-2</v>
      </c>
      <c r="AR341" s="103"/>
      <c r="AS341" s="103"/>
      <c r="AT341" s="103"/>
      <c r="AU341" s="31"/>
      <c r="AV341" s="31"/>
      <c r="AW341" s="31"/>
      <c r="AX341" s="31"/>
      <c r="AY341" s="146"/>
      <c r="AZ341" s="146"/>
      <c r="BA341" s="103"/>
      <c r="BB341" s="103"/>
      <c r="BC341" s="103"/>
      <c r="BD341" s="103"/>
      <c r="BE341" s="104"/>
      <c r="BF341" s="104"/>
      <c r="BG341" s="104"/>
      <c r="BH341" s="102"/>
      <c r="BI341" s="104"/>
      <c r="BJ341" s="103"/>
      <c r="BK341" s="105"/>
      <c r="BL341" s="151"/>
      <c r="BM341" s="103"/>
      <c r="BN341" s="103"/>
      <c r="BO341" s="103"/>
      <c r="BP341" s="103"/>
      <c r="BQ341" s="103"/>
      <c r="BR341" s="103"/>
      <c r="BS341" s="103"/>
      <c r="BT341" s="103"/>
      <c r="BU341" s="103"/>
      <c r="BV341" s="103"/>
      <c r="BW341" s="103"/>
      <c r="BX341" s="103"/>
      <c r="BY341" s="103"/>
      <c r="BZ341" s="104"/>
      <c r="CA341" s="104"/>
      <c r="CB341" s="104"/>
      <c r="CC341" s="104"/>
      <c r="CD341" s="104"/>
      <c r="CE341" s="104"/>
      <c r="CF341" s="103"/>
      <c r="CG341" s="103"/>
      <c r="CH341" s="103"/>
      <c r="CI341" s="103"/>
      <c r="CJ341" s="103"/>
      <c r="CK341" s="103"/>
      <c r="CL341" s="103"/>
      <c r="CM341" s="103"/>
      <c r="CN341" s="103"/>
      <c r="CO341" s="103"/>
      <c r="CP341" s="103"/>
      <c r="CQ341" s="103"/>
      <c r="CR341" s="103"/>
      <c r="CS341" s="103"/>
      <c r="CT341" s="103"/>
      <c r="CU341" s="103"/>
      <c r="CV341" s="103"/>
      <c r="CW341" s="103"/>
      <c r="CX341" s="103"/>
      <c r="CY341" s="103"/>
      <c r="CZ341" s="103"/>
      <c r="DA341" s="103"/>
      <c r="DB341" s="103"/>
      <c r="DC341" s="103"/>
      <c r="DD341" s="103"/>
      <c r="DE341" s="107"/>
      <c r="DF341" s="465"/>
      <c r="DG341" s="1"/>
      <c r="DH341" s="51"/>
      <c r="DI341" s="465"/>
      <c r="DJ341" s="52"/>
      <c r="DK341" s="52"/>
      <c r="DL341" s="52"/>
      <c r="DM341" s="52"/>
      <c r="DN341" s="52"/>
      <c r="DO341" s="52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P341" s="53"/>
      <c r="EQ341" s="1"/>
      <c r="ER341" s="103"/>
      <c r="ES341" s="103"/>
      <c r="ET341" s="1"/>
      <c r="EU341" s="103"/>
      <c r="EV341" s="1"/>
      <c r="EW341" s="1"/>
      <c r="EX341" s="1"/>
      <c r="EY341" s="104"/>
      <c r="FN341" s="657">
        <v>17</v>
      </c>
      <c r="FO341" s="450">
        <f t="shared" ref="FO341:HZ341" ca="1" si="691">IF(AND(ISNUMBER(FO36),ISNUMBER(FO$320),FO$320&lt;&gt;0),FO36*FO$320/FO$15,"")</f>
        <v>8.7369518209409747E-4</v>
      </c>
      <c r="FP341" s="450">
        <f t="shared" ca="1" si="691"/>
        <v>1.466058713946135E-3</v>
      </c>
      <c r="FQ341" s="450" t="str">
        <f t="shared" ca="1" si="691"/>
        <v/>
      </c>
      <c r="FR341" s="450" t="str">
        <f t="shared" ca="1" si="691"/>
        <v/>
      </c>
      <c r="FS341" s="450" t="str">
        <f t="shared" ca="1" si="691"/>
        <v/>
      </c>
      <c r="FT341" s="450" t="str">
        <f t="shared" ca="1" si="691"/>
        <v/>
      </c>
      <c r="FU341" s="450" t="str">
        <f t="shared" ca="1" si="691"/>
        <v/>
      </c>
      <c r="FV341" s="450" t="str">
        <f t="shared" ca="1" si="691"/>
        <v/>
      </c>
      <c r="FW341" s="450" t="str">
        <f t="shared" ca="1" si="691"/>
        <v/>
      </c>
      <c r="FX341" s="450" t="str">
        <f t="shared" ca="1" si="691"/>
        <v/>
      </c>
      <c r="FY341" s="450" t="str">
        <f t="shared" ca="1" si="691"/>
        <v/>
      </c>
      <c r="FZ341" s="450" t="str">
        <f t="shared" ca="1" si="691"/>
        <v/>
      </c>
      <c r="GA341" s="450" t="str">
        <f t="shared" ca="1" si="691"/>
        <v/>
      </c>
      <c r="GB341" s="450" t="str">
        <f t="shared" ca="1" si="691"/>
        <v/>
      </c>
      <c r="GC341" s="450" t="str">
        <f t="shared" ca="1" si="691"/>
        <v/>
      </c>
      <c r="GD341" s="450" t="str">
        <f t="shared" ca="1" si="691"/>
        <v/>
      </c>
      <c r="GE341" s="450" t="str">
        <f t="shared" ca="1" si="691"/>
        <v/>
      </c>
      <c r="GF341" s="450" t="str">
        <f t="shared" ca="1" si="691"/>
        <v/>
      </c>
      <c r="GG341" s="450" t="str">
        <f t="shared" ca="1" si="691"/>
        <v/>
      </c>
      <c r="GH341" s="450" t="str">
        <f t="shared" ca="1" si="691"/>
        <v/>
      </c>
      <c r="GI341" s="450" t="str">
        <f t="shared" ca="1" si="691"/>
        <v/>
      </c>
      <c r="GJ341" s="450" t="str">
        <f t="shared" ca="1" si="691"/>
        <v/>
      </c>
      <c r="GK341" s="450" t="str">
        <f t="shared" ca="1" si="691"/>
        <v/>
      </c>
      <c r="GL341" s="450" t="str">
        <f t="shared" ca="1" si="691"/>
        <v/>
      </c>
      <c r="GM341" s="450" t="str">
        <f t="shared" ca="1" si="691"/>
        <v/>
      </c>
      <c r="GN341" s="450" t="str">
        <f t="shared" ca="1" si="691"/>
        <v/>
      </c>
      <c r="GO341" s="450" t="str">
        <f t="shared" ca="1" si="691"/>
        <v/>
      </c>
      <c r="GP341" s="450" t="str">
        <f t="shared" ca="1" si="691"/>
        <v/>
      </c>
      <c r="GQ341" s="450" t="str">
        <f t="shared" ca="1" si="691"/>
        <v/>
      </c>
      <c r="GR341" s="450" t="str">
        <f t="shared" ca="1" si="691"/>
        <v/>
      </c>
      <c r="GS341" s="450" t="str">
        <f t="shared" ca="1" si="691"/>
        <v/>
      </c>
      <c r="GT341" s="450" t="str">
        <f t="shared" ca="1" si="691"/>
        <v/>
      </c>
      <c r="GU341" s="450" t="str">
        <f t="shared" ca="1" si="691"/>
        <v/>
      </c>
      <c r="GV341" s="450" t="str">
        <f t="shared" ca="1" si="691"/>
        <v/>
      </c>
      <c r="GW341" s="450" t="str">
        <f t="shared" ca="1" si="691"/>
        <v/>
      </c>
      <c r="GX341" s="450" t="str">
        <f t="shared" ca="1" si="691"/>
        <v/>
      </c>
      <c r="GY341" s="450" t="str">
        <f t="shared" ca="1" si="691"/>
        <v/>
      </c>
      <c r="GZ341" s="450" t="str">
        <f t="shared" ca="1" si="691"/>
        <v/>
      </c>
      <c r="HA341" s="450" t="str">
        <f t="shared" ca="1" si="691"/>
        <v/>
      </c>
      <c r="HB341" s="450" t="str">
        <f t="shared" ca="1" si="691"/>
        <v/>
      </c>
      <c r="HC341" s="450" t="str">
        <f t="shared" ca="1" si="691"/>
        <v/>
      </c>
      <c r="HD341" s="450" t="str">
        <f t="shared" ca="1" si="691"/>
        <v/>
      </c>
      <c r="HE341" s="450" t="str">
        <f t="shared" ca="1" si="691"/>
        <v/>
      </c>
      <c r="HF341" s="450" t="str">
        <f t="shared" ca="1" si="691"/>
        <v/>
      </c>
      <c r="HG341" s="450" t="str">
        <f t="shared" ca="1" si="691"/>
        <v/>
      </c>
      <c r="HH341" s="450" t="str">
        <f t="shared" ca="1" si="691"/>
        <v/>
      </c>
      <c r="HI341" s="450" t="str">
        <f t="shared" ca="1" si="691"/>
        <v/>
      </c>
      <c r="HJ341" s="450" t="str">
        <f t="shared" ca="1" si="691"/>
        <v/>
      </c>
      <c r="HK341" s="450" t="str">
        <f t="shared" ca="1" si="691"/>
        <v/>
      </c>
      <c r="HL341" s="450" t="str">
        <f t="shared" ca="1" si="691"/>
        <v/>
      </c>
      <c r="HM341" s="450" t="str">
        <f t="shared" ca="1" si="691"/>
        <v/>
      </c>
      <c r="HN341" s="450" t="str">
        <f t="shared" ca="1" si="691"/>
        <v/>
      </c>
      <c r="HO341" s="450" t="str">
        <f t="shared" ca="1" si="691"/>
        <v/>
      </c>
      <c r="HP341" s="450" t="str">
        <f t="shared" ca="1" si="691"/>
        <v/>
      </c>
      <c r="HQ341" s="450" t="str">
        <f t="shared" ca="1" si="691"/>
        <v/>
      </c>
      <c r="HR341" s="450" t="str">
        <f t="shared" ca="1" si="691"/>
        <v/>
      </c>
      <c r="HS341" s="450" t="str">
        <f t="shared" ca="1" si="691"/>
        <v/>
      </c>
      <c r="HT341" s="450" t="str">
        <f t="shared" ca="1" si="691"/>
        <v/>
      </c>
      <c r="HU341" s="450" t="str">
        <f t="shared" ca="1" si="691"/>
        <v/>
      </c>
      <c r="HV341" s="450" t="str">
        <f t="shared" ca="1" si="691"/>
        <v/>
      </c>
      <c r="HW341" s="450" t="str">
        <f t="shared" ca="1" si="691"/>
        <v/>
      </c>
      <c r="HX341" s="450" t="str">
        <f t="shared" ca="1" si="691"/>
        <v/>
      </c>
      <c r="HY341" s="450" t="str">
        <f t="shared" ca="1" si="691"/>
        <v/>
      </c>
      <c r="HZ341" s="450" t="str">
        <f t="shared" ca="1" si="691"/>
        <v/>
      </c>
      <c r="IA341" s="450" t="str">
        <f t="shared" ca="1" si="675"/>
        <v/>
      </c>
      <c r="IB341" s="450" t="str">
        <f t="shared" ca="1" si="685"/>
        <v/>
      </c>
      <c r="IC341" s="450" t="str">
        <f t="shared" ca="1" si="685"/>
        <v/>
      </c>
      <c r="ID341" s="450" t="str">
        <f t="shared" ca="1" si="685"/>
        <v/>
      </c>
      <c r="IE341" s="450" t="str">
        <f t="shared" ca="1" si="685"/>
        <v/>
      </c>
      <c r="IF341" s="450" t="str">
        <f t="shared" ca="1" si="685"/>
        <v/>
      </c>
      <c r="IG341" s="450" t="str">
        <f t="shared" ca="1" si="685"/>
        <v/>
      </c>
      <c r="IH341" s="658" t="str">
        <f t="shared" ca="1" si="685"/>
        <v/>
      </c>
      <c r="II341" s="242"/>
    </row>
    <row r="342" spans="9:243">
      <c r="I342" s="132"/>
      <c r="J342" s="365"/>
      <c r="K342" s="1"/>
      <c r="L342" s="1"/>
      <c r="M342" s="366"/>
      <c r="P342" s="365"/>
      <c r="S342" s="53"/>
      <c r="T342" s="365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364"/>
      <c r="AO342" s="364">
        <v>6.5497166276279994E-2</v>
      </c>
      <c r="AP342" s="103"/>
      <c r="AQ342" s="364">
        <v>5.6560829172440201E-2</v>
      </c>
      <c r="AR342" s="103"/>
      <c r="AS342" s="103"/>
      <c r="AT342" s="103"/>
      <c r="AU342" s="31"/>
      <c r="AV342" s="31"/>
      <c r="AW342" s="31"/>
      <c r="AX342" s="31"/>
      <c r="AY342" s="146"/>
      <c r="AZ342" s="146"/>
      <c r="BA342" s="103"/>
      <c r="BB342" s="103"/>
      <c r="BC342" s="103"/>
      <c r="BD342" s="103"/>
      <c r="BE342" s="104"/>
      <c r="BF342" s="104"/>
      <c r="BG342" s="104"/>
      <c r="BH342" s="102"/>
      <c r="BI342" s="104"/>
      <c r="BJ342" s="103"/>
      <c r="BK342" s="105"/>
      <c r="BL342" s="151"/>
      <c r="BM342" s="103"/>
      <c r="BN342" s="103"/>
      <c r="BO342" s="103"/>
      <c r="BP342" s="103"/>
      <c r="BQ342" s="103"/>
      <c r="BR342" s="103"/>
      <c r="BS342" s="103"/>
      <c r="BT342" s="103"/>
      <c r="BU342" s="103"/>
      <c r="BV342" s="103"/>
      <c r="BW342" s="103"/>
      <c r="BX342" s="103"/>
      <c r="BY342" s="103"/>
      <c r="BZ342" s="104"/>
      <c r="CA342" s="104"/>
      <c r="CB342" s="104"/>
      <c r="CC342" s="104"/>
      <c r="CD342" s="104"/>
      <c r="CE342" s="104"/>
      <c r="CF342" s="103"/>
      <c r="CG342" s="103"/>
      <c r="CH342" s="103"/>
      <c r="CI342" s="103"/>
      <c r="CJ342" s="103"/>
      <c r="CK342" s="103"/>
      <c r="CL342" s="103"/>
      <c r="CM342" s="103"/>
      <c r="CN342" s="103"/>
      <c r="CO342" s="103"/>
      <c r="CP342" s="103"/>
      <c r="CQ342" s="103"/>
      <c r="CR342" s="103"/>
      <c r="CS342" s="103"/>
      <c r="CT342" s="103"/>
      <c r="CU342" s="103"/>
      <c r="CV342" s="103"/>
      <c r="CW342" s="103"/>
      <c r="CX342" s="103"/>
      <c r="CY342" s="103"/>
      <c r="CZ342" s="103"/>
      <c r="DA342" s="103"/>
      <c r="DB342" s="103"/>
      <c r="DC342" s="103"/>
      <c r="DD342" s="103"/>
      <c r="DE342" s="107"/>
      <c r="DF342" s="465"/>
      <c r="DG342" s="1"/>
      <c r="DH342" s="51"/>
      <c r="DI342" s="465"/>
      <c r="DJ342" s="52"/>
      <c r="DK342" s="52"/>
      <c r="DL342" s="52"/>
      <c r="DM342" s="52"/>
      <c r="DN342" s="52"/>
      <c r="DO342" s="52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P342" s="53"/>
      <c r="EQ342" s="1"/>
      <c r="ER342" s="103"/>
      <c r="ES342" s="103"/>
      <c r="ET342" s="1"/>
      <c r="EU342" s="103"/>
      <c r="EV342" s="1"/>
      <c r="EW342" s="1"/>
      <c r="EX342" s="1"/>
      <c r="EY342" s="104"/>
      <c r="FN342" s="657">
        <v>18</v>
      </c>
      <c r="FO342" s="450">
        <f t="shared" ref="FO342:HZ342" ca="1" si="692">IF(AND(ISNUMBER(FO37),ISNUMBER(FO$320),FO$320&lt;&gt;0),FO37*FO$320/FO$15,"")</f>
        <v>8.4841935085609602E-4</v>
      </c>
      <c r="FP342" s="450">
        <f t="shared" ca="1" si="692"/>
        <v>1.4189333887270185E-3</v>
      </c>
      <c r="FQ342" s="450" t="str">
        <f t="shared" ca="1" si="692"/>
        <v/>
      </c>
      <c r="FR342" s="450" t="str">
        <f t="shared" ca="1" si="692"/>
        <v/>
      </c>
      <c r="FS342" s="450" t="str">
        <f t="shared" ca="1" si="692"/>
        <v/>
      </c>
      <c r="FT342" s="450" t="str">
        <f t="shared" ca="1" si="692"/>
        <v/>
      </c>
      <c r="FU342" s="450" t="str">
        <f t="shared" ca="1" si="692"/>
        <v/>
      </c>
      <c r="FV342" s="450" t="str">
        <f t="shared" ca="1" si="692"/>
        <v/>
      </c>
      <c r="FW342" s="450" t="str">
        <f t="shared" ca="1" si="692"/>
        <v/>
      </c>
      <c r="FX342" s="450" t="str">
        <f t="shared" ca="1" si="692"/>
        <v/>
      </c>
      <c r="FY342" s="450" t="str">
        <f t="shared" ca="1" si="692"/>
        <v/>
      </c>
      <c r="FZ342" s="450" t="str">
        <f t="shared" ca="1" si="692"/>
        <v/>
      </c>
      <c r="GA342" s="450" t="str">
        <f t="shared" ca="1" si="692"/>
        <v/>
      </c>
      <c r="GB342" s="450" t="str">
        <f t="shared" ca="1" si="692"/>
        <v/>
      </c>
      <c r="GC342" s="450" t="str">
        <f t="shared" ca="1" si="692"/>
        <v/>
      </c>
      <c r="GD342" s="450" t="str">
        <f t="shared" ca="1" si="692"/>
        <v/>
      </c>
      <c r="GE342" s="450" t="str">
        <f t="shared" ca="1" si="692"/>
        <v/>
      </c>
      <c r="GF342" s="450" t="str">
        <f t="shared" ca="1" si="692"/>
        <v/>
      </c>
      <c r="GG342" s="450" t="str">
        <f t="shared" ca="1" si="692"/>
        <v/>
      </c>
      <c r="GH342" s="450" t="str">
        <f t="shared" ca="1" si="692"/>
        <v/>
      </c>
      <c r="GI342" s="450" t="str">
        <f t="shared" ca="1" si="692"/>
        <v/>
      </c>
      <c r="GJ342" s="450" t="str">
        <f t="shared" ca="1" si="692"/>
        <v/>
      </c>
      <c r="GK342" s="450" t="str">
        <f t="shared" ca="1" si="692"/>
        <v/>
      </c>
      <c r="GL342" s="450" t="str">
        <f t="shared" ca="1" si="692"/>
        <v/>
      </c>
      <c r="GM342" s="450" t="str">
        <f t="shared" ca="1" si="692"/>
        <v/>
      </c>
      <c r="GN342" s="450" t="str">
        <f t="shared" ca="1" si="692"/>
        <v/>
      </c>
      <c r="GO342" s="450" t="str">
        <f t="shared" ca="1" si="692"/>
        <v/>
      </c>
      <c r="GP342" s="450" t="str">
        <f t="shared" ca="1" si="692"/>
        <v/>
      </c>
      <c r="GQ342" s="450" t="str">
        <f t="shared" ca="1" si="692"/>
        <v/>
      </c>
      <c r="GR342" s="450" t="str">
        <f t="shared" ca="1" si="692"/>
        <v/>
      </c>
      <c r="GS342" s="450" t="str">
        <f t="shared" ca="1" si="692"/>
        <v/>
      </c>
      <c r="GT342" s="450" t="str">
        <f t="shared" ca="1" si="692"/>
        <v/>
      </c>
      <c r="GU342" s="450" t="str">
        <f t="shared" ca="1" si="692"/>
        <v/>
      </c>
      <c r="GV342" s="450" t="str">
        <f t="shared" ca="1" si="692"/>
        <v/>
      </c>
      <c r="GW342" s="450" t="str">
        <f t="shared" ca="1" si="692"/>
        <v/>
      </c>
      <c r="GX342" s="450" t="str">
        <f t="shared" ca="1" si="692"/>
        <v/>
      </c>
      <c r="GY342" s="450" t="str">
        <f t="shared" ca="1" si="692"/>
        <v/>
      </c>
      <c r="GZ342" s="450" t="str">
        <f t="shared" ca="1" si="692"/>
        <v/>
      </c>
      <c r="HA342" s="450" t="str">
        <f t="shared" ca="1" si="692"/>
        <v/>
      </c>
      <c r="HB342" s="450" t="str">
        <f t="shared" ca="1" si="692"/>
        <v/>
      </c>
      <c r="HC342" s="450" t="str">
        <f t="shared" ca="1" si="692"/>
        <v/>
      </c>
      <c r="HD342" s="450" t="str">
        <f t="shared" ca="1" si="692"/>
        <v/>
      </c>
      <c r="HE342" s="450" t="str">
        <f t="shared" ca="1" si="692"/>
        <v/>
      </c>
      <c r="HF342" s="450" t="str">
        <f t="shared" ca="1" si="692"/>
        <v/>
      </c>
      <c r="HG342" s="450" t="str">
        <f t="shared" ca="1" si="692"/>
        <v/>
      </c>
      <c r="HH342" s="450" t="str">
        <f t="shared" ca="1" si="692"/>
        <v/>
      </c>
      <c r="HI342" s="450" t="str">
        <f t="shared" ca="1" si="692"/>
        <v/>
      </c>
      <c r="HJ342" s="450" t="str">
        <f t="shared" ca="1" si="692"/>
        <v/>
      </c>
      <c r="HK342" s="450" t="str">
        <f t="shared" ca="1" si="692"/>
        <v/>
      </c>
      <c r="HL342" s="450" t="str">
        <f t="shared" ca="1" si="692"/>
        <v/>
      </c>
      <c r="HM342" s="450" t="str">
        <f t="shared" ca="1" si="692"/>
        <v/>
      </c>
      <c r="HN342" s="450" t="str">
        <f t="shared" ca="1" si="692"/>
        <v/>
      </c>
      <c r="HO342" s="450" t="str">
        <f t="shared" ca="1" si="692"/>
        <v/>
      </c>
      <c r="HP342" s="450" t="str">
        <f t="shared" ca="1" si="692"/>
        <v/>
      </c>
      <c r="HQ342" s="450" t="str">
        <f t="shared" ca="1" si="692"/>
        <v/>
      </c>
      <c r="HR342" s="450" t="str">
        <f t="shared" ca="1" si="692"/>
        <v/>
      </c>
      <c r="HS342" s="450" t="str">
        <f t="shared" ca="1" si="692"/>
        <v/>
      </c>
      <c r="HT342" s="450" t="str">
        <f t="shared" ca="1" si="692"/>
        <v/>
      </c>
      <c r="HU342" s="450" t="str">
        <f t="shared" ca="1" si="692"/>
        <v/>
      </c>
      <c r="HV342" s="450" t="str">
        <f t="shared" ca="1" si="692"/>
        <v/>
      </c>
      <c r="HW342" s="450" t="str">
        <f t="shared" ca="1" si="692"/>
        <v/>
      </c>
      <c r="HX342" s="450" t="str">
        <f t="shared" ca="1" si="692"/>
        <v/>
      </c>
      <c r="HY342" s="450" t="str">
        <f t="shared" ca="1" si="692"/>
        <v/>
      </c>
      <c r="HZ342" s="450" t="str">
        <f t="shared" ca="1" si="692"/>
        <v/>
      </c>
      <c r="IA342" s="450" t="str">
        <f t="shared" ca="1" si="675"/>
        <v/>
      </c>
      <c r="IB342" s="450" t="str">
        <f t="shared" ca="1" si="685"/>
        <v/>
      </c>
      <c r="IC342" s="450" t="str">
        <f t="shared" ca="1" si="685"/>
        <v/>
      </c>
      <c r="ID342" s="450" t="str">
        <f t="shared" ca="1" si="685"/>
        <v/>
      </c>
      <c r="IE342" s="450" t="str">
        <f t="shared" ca="1" si="685"/>
        <v/>
      </c>
      <c r="IF342" s="450" t="str">
        <f t="shared" ca="1" si="685"/>
        <v/>
      </c>
      <c r="IG342" s="450" t="str">
        <f t="shared" ca="1" si="685"/>
        <v/>
      </c>
      <c r="IH342" s="658" t="str">
        <f t="shared" ca="1" si="685"/>
        <v/>
      </c>
      <c r="II342" s="242"/>
    </row>
    <row r="343" spans="9:243">
      <c r="I343" s="132"/>
      <c r="J343" s="365"/>
      <c r="K343" s="1"/>
      <c r="L343" s="1"/>
      <c r="M343" s="366"/>
      <c r="P343" s="365"/>
      <c r="S343" s="53"/>
      <c r="T343" s="365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364"/>
      <c r="AO343" s="364">
        <v>6.5507814053888502E-2</v>
      </c>
      <c r="AP343" s="103"/>
      <c r="AQ343" s="364">
        <v>5.65215990153436E-2</v>
      </c>
      <c r="AR343" s="103"/>
      <c r="AS343" s="103"/>
      <c r="AT343" s="103"/>
      <c r="AU343" s="31"/>
      <c r="AV343" s="31"/>
      <c r="AW343" s="31"/>
      <c r="AX343" s="31"/>
      <c r="AY343" s="146"/>
      <c r="AZ343" s="146"/>
      <c r="BA343" s="103"/>
      <c r="BB343" s="103"/>
      <c r="BC343" s="103"/>
      <c r="BD343" s="103"/>
      <c r="BE343" s="104"/>
      <c r="BF343" s="104"/>
      <c r="BG343" s="104"/>
      <c r="BH343" s="102"/>
      <c r="BI343" s="104"/>
      <c r="BJ343" s="103"/>
      <c r="BK343" s="105"/>
      <c r="BL343" s="151"/>
      <c r="BM343" s="103"/>
      <c r="BN343" s="103"/>
      <c r="BO343" s="103"/>
      <c r="BP343" s="103"/>
      <c r="BQ343" s="103"/>
      <c r="BR343" s="103"/>
      <c r="BS343" s="103"/>
      <c r="BT343" s="103"/>
      <c r="BU343" s="103"/>
      <c r="BV343" s="103"/>
      <c r="BW343" s="103"/>
      <c r="BX343" s="103"/>
      <c r="BY343" s="103"/>
      <c r="BZ343" s="104"/>
      <c r="CA343" s="104"/>
      <c r="CB343" s="104"/>
      <c r="CC343" s="104"/>
      <c r="CD343" s="104"/>
      <c r="CE343" s="104"/>
      <c r="CF343" s="103"/>
      <c r="CG343" s="103"/>
      <c r="CH343" s="103"/>
      <c r="CI343" s="103"/>
      <c r="CJ343" s="103"/>
      <c r="CK343" s="103"/>
      <c r="CL343" s="103"/>
      <c r="CM343" s="103"/>
      <c r="CN343" s="103"/>
      <c r="CO343" s="103"/>
      <c r="CP343" s="103"/>
      <c r="CQ343" s="103"/>
      <c r="CR343" s="103"/>
      <c r="CS343" s="103"/>
      <c r="CT343" s="103"/>
      <c r="CU343" s="103"/>
      <c r="CV343" s="103"/>
      <c r="CW343" s="103"/>
      <c r="CX343" s="103"/>
      <c r="CY343" s="103"/>
      <c r="CZ343" s="103"/>
      <c r="DA343" s="103"/>
      <c r="DB343" s="103"/>
      <c r="DC343" s="103"/>
      <c r="DD343" s="103"/>
      <c r="DE343" s="107"/>
      <c r="DF343" s="465"/>
      <c r="DG343" s="1"/>
      <c r="DH343" s="51"/>
      <c r="DI343" s="465"/>
      <c r="DJ343" s="52"/>
      <c r="DK343" s="52"/>
      <c r="DL343" s="52"/>
      <c r="DM343" s="52"/>
      <c r="DN343" s="52"/>
      <c r="DO343" s="52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P343" s="53"/>
      <c r="EQ343" s="1"/>
      <c r="ER343" s="103"/>
      <c r="ES343" s="103"/>
      <c r="ET343" s="1"/>
      <c r="EU343" s="103"/>
      <c r="EV343" s="1"/>
      <c r="EW343" s="1"/>
      <c r="EX343" s="1"/>
      <c r="EY343" s="104"/>
      <c r="FN343" s="657">
        <v>19</v>
      </c>
      <c r="FO343" s="450">
        <f t="shared" ref="FO343:HZ343" ca="1" si="693">IF(AND(ISNUMBER(FO38),ISNUMBER(FO$320),FO$320&lt;&gt;0),FO38*FO$320/FO$15,"")</f>
        <v>8.2632920512368507E-4</v>
      </c>
      <c r="FP343" s="450">
        <f t="shared" ca="1" si="693"/>
        <v>1.3778839224984558E-3</v>
      </c>
      <c r="FQ343" s="450" t="str">
        <f t="shared" ca="1" si="693"/>
        <v/>
      </c>
      <c r="FR343" s="450" t="str">
        <f t="shared" ca="1" si="693"/>
        <v/>
      </c>
      <c r="FS343" s="450" t="str">
        <f t="shared" ca="1" si="693"/>
        <v/>
      </c>
      <c r="FT343" s="450" t="str">
        <f t="shared" ca="1" si="693"/>
        <v/>
      </c>
      <c r="FU343" s="450" t="str">
        <f t="shared" ca="1" si="693"/>
        <v/>
      </c>
      <c r="FV343" s="450" t="str">
        <f t="shared" ca="1" si="693"/>
        <v/>
      </c>
      <c r="FW343" s="450" t="str">
        <f t="shared" ca="1" si="693"/>
        <v/>
      </c>
      <c r="FX343" s="450" t="str">
        <f t="shared" ca="1" si="693"/>
        <v/>
      </c>
      <c r="FY343" s="450" t="str">
        <f t="shared" ca="1" si="693"/>
        <v/>
      </c>
      <c r="FZ343" s="450" t="str">
        <f t="shared" ca="1" si="693"/>
        <v/>
      </c>
      <c r="GA343" s="450" t="str">
        <f t="shared" ca="1" si="693"/>
        <v/>
      </c>
      <c r="GB343" s="450" t="str">
        <f t="shared" ca="1" si="693"/>
        <v/>
      </c>
      <c r="GC343" s="450" t="str">
        <f t="shared" ca="1" si="693"/>
        <v/>
      </c>
      <c r="GD343" s="450" t="str">
        <f t="shared" ca="1" si="693"/>
        <v/>
      </c>
      <c r="GE343" s="450" t="str">
        <f t="shared" ca="1" si="693"/>
        <v/>
      </c>
      <c r="GF343" s="450" t="str">
        <f t="shared" ca="1" si="693"/>
        <v/>
      </c>
      <c r="GG343" s="450" t="str">
        <f t="shared" ca="1" si="693"/>
        <v/>
      </c>
      <c r="GH343" s="450" t="str">
        <f t="shared" ca="1" si="693"/>
        <v/>
      </c>
      <c r="GI343" s="450" t="str">
        <f t="shared" ca="1" si="693"/>
        <v/>
      </c>
      <c r="GJ343" s="450" t="str">
        <f t="shared" ca="1" si="693"/>
        <v/>
      </c>
      <c r="GK343" s="450" t="str">
        <f t="shared" ca="1" si="693"/>
        <v/>
      </c>
      <c r="GL343" s="450" t="str">
        <f t="shared" ca="1" si="693"/>
        <v/>
      </c>
      <c r="GM343" s="450" t="str">
        <f t="shared" ca="1" si="693"/>
        <v/>
      </c>
      <c r="GN343" s="450" t="str">
        <f t="shared" ca="1" si="693"/>
        <v/>
      </c>
      <c r="GO343" s="450" t="str">
        <f t="shared" ca="1" si="693"/>
        <v/>
      </c>
      <c r="GP343" s="450" t="str">
        <f t="shared" ca="1" si="693"/>
        <v/>
      </c>
      <c r="GQ343" s="450" t="str">
        <f t="shared" ca="1" si="693"/>
        <v/>
      </c>
      <c r="GR343" s="450" t="str">
        <f t="shared" ca="1" si="693"/>
        <v/>
      </c>
      <c r="GS343" s="450" t="str">
        <f t="shared" ca="1" si="693"/>
        <v/>
      </c>
      <c r="GT343" s="450" t="str">
        <f t="shared" ca="1" si="693"/>
        <v/>
      </c>
      <c r="GU343" s="450" t="str">
        <f t="shared" ca="1" si="693"/>
        <v/>
      </c>
      <c r="GV343" s="450" t="str">
        <f t="shared" ca="1" si="693"/>
        <v/>
      </c>
      <c r="GW343" s="450" t="str">
        <f t="shared" ca="1" si="693"/>
        <v/>
      </c>
      <c r="GX343" s="450" t="str">
        <f t="shared" ca="1" si="693"/>
        <v/>
      </c>
      <c r="GY343" s="450" t="str">
        <f t="shared" ca="1" si="693"/>
        <v/>
      </c>
      <c r="GZ343" s="450" t="str">
        <f t="shared" ca="1" si="693"/>
        <v/>
      </c>
      <c r="HA343" s="450" t="str">
        <f t="shared" ca="1" si="693"/>
        <v/>
      </c>
      <c r="HB343" s="450" t="str">
        <f t="shared" ca="1" si="693"/>
        <v/>
      </c>
      <c r="HC343" s="450" t="str">
        <f t="shared" ca="1" si="693"/>
        <v/>
      </c>
      <c r="HD343" s="450" t="str">
        <f t="shared" ca="1" si="693"/>
        <v/>
      </c>
      <c r="HE343" s="450" t="str">
        <f t="shared" ca="1" si="693"/>
        <v/>
      </c>
      <c r="HF343" s="450" t="str">
        <f t="shared" ca="1" si="693"/>
        <v/>
      </c>
      <c r="HG343" s="450" t="str">
        <f t="shared" ca="1" si="693"/>
        <v/>
      </c>
      <c r="HH343" s="450" t="str">
        <f t="shared" ca="1" si="693"/>
        <v/>
      </c>
      <c r="HI343" s="450" t="str">
        <f t="shared" ca="1" si="693"/>
        <v/>
      </c>
      <c r="HJ343" s="450" t="str">
        <f t="shared" ca="1" si="693"/>
        <v/>
      </c>
      <c r="HK343" s="450" t="str">
        <f t="shared" ca="1" si="693"/>
        <v/>
      </c>
      <c r="HL343" s="450" t="str">
        <f t="shared" ca="1" si="693"/>
        <v/>
      </c>
      <c r="HM343" s="450" t="str">
        <f t="shared" ca="1" si="693"/>
        <v/>
      </c>
      <c r="HN343" s="450" t="str">
        <f t="shared" ca="1" si="693"/>
        <v/>
      </c>
      <c r="HO343" s="450" t="str">
        <f t="shared" ca="1" si="693"/>
        <v/>
      </c>
      <c r="HP343" s="450" t="str">
        <f t="shared" ca="1" si="693"/>
        <v/>
      </c>
      <c r="HQ343" s="450" t="str">
        <f t="shared" ca="1" si="693"/>
        <v/>
      </c>
      <c r="HR343" s="450" t="str">
        <f t="shared" ca="1" si="693"/>
        <v/>
      </c>
      <c r="HS343" s="450" t="str">
        <f t="shared" ca="1" si="693"/>
        <v/>
      </c>
      <c r="HT343" s="450" t="str">
        <f t="shared" ca="1" si="693"/>
        <v/>
      </c>
      <c r="HU343" s="450" t="str">
        <f t="shared" ca="1" si="693"/>
        <v/>
      </c>
      <c r="HV343" s="450" t="str">
        <f t="shared" ca="1" si="693"/>
        <v/>
      </c>
      <c r="HW343" s="450" t="str">
        <f t="shared" ca="1" si="693"/>
        <v/>
      </c>
      <c r="HX343" s="450" t="str">
        <f t="shared" ca="1" si="693"/>
        <v/>
      </c>
      <c r="HY343" s="450" t="str">
        <f t="shared" ca="1" si="693"/>
        <v/>
      </c>
      <c r="HZ343" s="450" t="str">
        <f t="shared" ca="1" si="693"/>
        <v/>
      </c>
      <c r="IA343" s="450" t="str">
        <f t="shared" ca="1" si="675"/>
        <v/>
      </c>
      <c r="IB343" s="450" t="str">
        <f t="shared" ca="1" si="685"/>
        <v/>
      </c>
      <c r="IC343" s="450" t="str">
        <f t="shared" ca="1" si="685"/>
        <v/>
      </c>
      <c r="ID343" s="450" t="str">
        <f t="shared" ca="1" si="685"/>
        <v/>
      </c>
      <c r="IE343" s="450" t="str">
        <f t="shared" ca="1" si="685"/>
        <v/>
      </c>
      <c r="IF343" s="450" t="str">
        <f t="shared" ca="1" si="685"/>
        <v/>
      </c>
      <c r="IG343" s="450" t="str">
        <f t="shared" ca="1" si="685"/>
        <v/>
      </c>
      <c r="IH343" s="658" t="str">
        <f t="shared" ca="1" si="685"/>
        <v/>
      </c>
      <c r="II343" s="242"/>
    </row>
    <row r="344" spans="9:243">
      <c r="I344" s="132"/>
      <c r="J344" s="365"/>
      <c r="K344" s="1"/>
      <c r="L344" s="1"/>
      <c r="M344" s="366"/>
      <c r="P344" s="365"/>
      <c r="S344" s="53"/>
      <c r="T344" s="365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364"/>
      <c r="AO344" s="364">
        <v>6.5518118354835703E-2</v>
      </c>
      <c r="AP344" s="103"/>
      <c r="AQ344" s="364">
        <v>5.64836343574266E-2</v>
      </c>
      <c r="AR344" s="103"/>
      <c r="AS344" s="103"/>
      <c r="AT344" s="103"/>
      <c r="AU344" s="31"/>
      <c r="AV344" s="31"/>
      <c r="AW344" s="31"/>
      <c r="AX344" s="31"/>
      <c r="AY344" s="146"/>
      <c r="AZ344" s="146"/>
      <c r="BA344" s="103"/>
      <c r="BB344" s="103"/>
      <c r="BC344" s="103"/>
      <c r="BD344" s="103"/>
      <c r="BE344" s="104"/>
      <c r="BF344" s="104"/>
      <c r="BG344" s="104"/>
      <c r="BH344" s="102"/>
      <c r="BI344" s="104"/>
      <c r="BJ344" s="103"/>
      <c r="BK344" s="105"/>
      <c r="BL344" s="151"/>
      <c r="BM344" s="103"/>
      <c r="BN344" s="103"/>
      <c r="BO344" s="103"/>
      <c r="BP344" s="103"/>
      <c r="BQ344" s="103"/>
      <c r="BR344" s="103"/>
      <c r="BS344" s="103"/>
      <c r="BT344" s="103"/>
      <c r="BU344" s="103"/>
      <c r="BV344" s="103"/>
      <c r="BW344" s="103"/>
      <c r="BX344" s="103"/>
      <c r="BY344" s="103"/>
      <c r="BZ344" s="104"/>
      <c r="CA344" s="104"/>
      <c r="CB344" s="104"/>
      <c r="CC344" s="104"/>
      <c r="CD344" s="104"/>
      <c r="CE344" s="104"/>
      <c r="CF344" s="103"/>
      <c r="CG344" s="103"/>
      <c r="CH344" s="103"/>
      <c r="CI344" s="103"/>
      <c r="CJ344" s="103"/>
      <c r="CK344" s="103"/>
      <c r="CL344" s="103"/>
      <c r="CM344" s="103"/>
      <c r="CN344" s="103"/>
      <c r="CO344" s="103"/>
      <c r="CP344" s="103"/>
      <c r="CQ344" s="103"/>
      <c r="CR344" s="103"/>
      <c r="CS344" s="103"/>
      <c r="CT344" s="103"/>
      <c r="CU344" s="103"/>
      <c r="CV344" s="103"/>
      <c r="CW344" s="103"/>
      <c r="CX344" s="103"/>
      <c r="CY344" s="103"/>
      <c r="CZ344" s="103"/>
      <c r="DA344" s="103"/>
      <c r="DB344" s="103"/>
      <c r="DC344" s="103"/>
      <c r="DD344" s="103"/>
      <c r="DE344" s="107"/>
      <c r="DF344" s="465"/>
      <c r="DG344" s="1"/>
      <c r="DH344" s="51"/>
      <c r="DI344" s="465"/>
      <c r="DJ344" s="52"/>
      <c r="DK344" s="52"/>
      <c r="DL344" s="52"/>
      <c r="DM344" s="52"/>
      <c r="DN344" s="52"/>
      <c r="DO344" s="52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P344" s="53"/>
      <c r="EQ344" s="1"/>
      <c r="ER344" s="103"/>
      <c r="ES344" s="103"/>
      <c r="ET344" s="1"/>
      <c r="EU344" s="103"/>
      <c r="EV344" s="1"/>
      <c r="EW344" s="1"/>
      <c r="EX344" s="1"/>
      <c r="EY344" s="104"/>
      <c r="FN344" s="657">
        <v>20</v>
      </c>
      <c r="FO344" s="450">
        <f t="shared" ref="FO344:HZ344" ca="1" si="694">IF(AND(ISNUMBER(FO39),ISNUMBER(FO$320),FO$320&lt;&gt;0),FO39*FO$320/FO$15,"")</f>
        <v>8.0696571548717481E-4</v>
      </c>
      <c r="FP344" s="450">
        <f t="shared" ca="1" si="694"/>
        <v>1.3420082006403631E-3</v>
      </c>
      <c r="FQ344" s="450" t="str">
        <f t="shared" ca="1" si="694"/>
        <v/>
      </c>
      <c r="FR344" s="450" t="str">
        <f t="shared" ca="1" si="694"/>
        <v/>
      </c>
      <c r="FS344" s="450" t="str">
        <f t="shared" ca="1" si="694"/>
        <v/>
      </c>
      <c r="FT344" s="450" t="str">
        <f t="shared" ca="1" si="694"/>
        <v/>
      </c>
      <c r="FU344" s="450" t="str">
        <f t="shared" ca="1" si="694"/>
        <v/>
      </c>
      <c r="FV344" s="450" t="str">
        <f t="shared" ca="1" si="694"/>
        <v/>
      </c>
      <c r="FW344" s="450" t="str">
        <f t="shared" ca="1" si="694"/>
        <v/>
      </c>
      <c r="FX344" s="450" t="str">
        <f t="shared" ca="1" si="694"/>
        <v/>
      </c>
      <c r="FY344" s="450" t="str">
        <f t="shared" ca="1" si="694"/>
        <v/>
      </c>
      <c r="FZ344" s="450" t="str">
        <f t="shared" ca="1" si="694"/>
        <v/>
      </c>
      <c r="GA344" s="450" t="str">
        <f t="shared" ca="1" si="694"/>
        <v/>
      </c>
      <c r="GB344" s="450" t="str">
        <f t="shared" ca="1" si="694"/>
        <v/>
      </c>
      <c r="GC344" s="450" t="str">
        <f t="shared" ca="1" si="694"/>
        <v/>
      </c>
      <c r="GD344" s="450" t="str">
        <f t="shared" ca="1" si="694"/>
        <v/>
      </c>
      <c r="GE344" s="450" t="str">
        <f t="shared" ca="1" si="694"/>
        <v/>
      </c>
      <c r="GF344" s="450" t="str">
        <f t="shared" ca="1" si="694"/>
        <v/>
      </c>
      <c r="GG344" s="450" t="str">
        <f t="shared" ca="1" si="694"/>
        <v/>
      </c>
      <c r="GH344" s="450" t="str">
        <f t="shared" ca="1" si="694"/>
        <v/>
      </c>
      <c r="GI344" s="450" t="str">
        <f t="shared" ca="1" si="694"/>
        <v/>
      </c>
      <c r="GJ344" s="450" t="str">
        <f t="shared" ca="1" si="694"/>
        <v/>
      </c>
      <c r="GK344" s="450" t="str">
        <f t="shared" ca="1" si="694"/>
        <v/>
      </c>
      <c r="GL344" s="450" t="str">
        <f t="shared" ca="1" si="694"/>
        <v/>
      </c>
      <c r="GM344" s="450" t="str">
        <f t="shared" ca="1" si="694"/>
        <v/>
      </c>
      <c r="GN344" s="450" t="str">
        <f t="shared" ca="1" si="694"/>
        <v/>
      </c>
      <c r="GO344" s="450" t="str">
        <f t="shared" ca="1" si="694"/>
        <v/>
      </c>
      <c r="GP344" s="450" t="str">
        <f t="shared" ca="1" si="694"/>
        <v/>
      </c>
      <c r="GQ344" s="450" t="str">
        <f t="shared" ca="1" si="694"/>
        <v/>
      </c>
      <c r="GR344" s="450" t="str">
        <f t="shared" ca="1" si="694"/>
        <v/>
      </c>
      <c r="GS344" s="450" t="str">
        <f t="shared" ca="1" si="694"/>
        <v/>
      </c>
      <c r="GT344" s="450" t="str">
        <f t="shared" ca="1" si="694"/>
        <v/>
      </c>
      <c r="GU344" s="450" t="str">
        <f t="shared" ca="1" si="694"/>
        <v/>
      </c>
      <c r="GV344" s="450" t="str">
        <f t="shared" ca="1" si="694"/>
        <v/>
      </c>
      <c r="GW344" s="450" t="str">
        <f t="shared" ca="1" si="694"/>
        <v/>
      </c>
      <c r="GX344" s="450" t="str">
        <f t="shared" ca="1" si="694"/>
        <v/>
      </c>
      <c r="GY344" s="450" t="str">
        <f t="shared" ca="1" si="694"/>
        <v/>
      </c>
      <c r="GZ344" s="450" t="str">
        <f t="shared" ca="1" si="694"/>
        <v/>
      </c>
      <c r="HA344" s="450" t="str">
        <f t="shared" ca="1" si="694"/>
        <v/>
      </c>
      <c r="HB344" s="450" t="str">
        <f t="shared" ca="1" si="694"/>
        <v/>
      </c>
      <c r="HC344" s="450" t="str">
        <f t="shared" ca="1" si="694"/>
        <v/>
      </c>
      <c r="HD344" s="450" t="str">
        <f t="shared" ca="1" si="694"/>
        <v/>
      </c>
      <c r="HE344" s="450" t="str">
        <f t="shared" ca="1" si="694"/>
        <v/>
      </c>
      <c r="HF344" s="450" t="str">
        <f t="shared" ca="1" si="694"/>
        <v/>
      </c>
      <c r="HG344" s="450" t="str">
        <f t="shared" ca="1" si="694"/>
        <v/>
      </c>
      <c r="HH344" s="450" t="str">
        <f t="shared" ca="1" si="694"/>
        <v/>
      </c>
      <c r="HI344" s="450" t="str">
        <f t="shared" ca="1" si="694"/>
        <v/>
      </c>
      <c r="HJ344" s="450" t="str">
        <f t="shared" ca="1" si="694"/>
        <v/>
      </c>
      <c r="HK344" s="450" t="str">
        <f t="shared" ca="1" si="694"/>
        <v/>
      </c>
      <c r="HL344" s="450" t="str">
        <f t="shared" ca="1" si="694"/>
        <v/>
      </c>
      <c r="HM344" s="450" t="str">
        <f t="shared" ca="1" si="694"/>
        <v/>
      </c>
      <c r="HN344" s="450" t="str">
        <f t="shared" ca="1" si="694"/>
        <v/>
      </c>
      <c r="HO344" s="450" t="str">
        <f t="shared" ca="1" si="694"/>
        <v/>
      </c>
      <c r="HP344" s="450" t="str">
        <f t="shared" ca="1" si="694"/>
        <v/>
      </c>
      <c r="HQ344" s="450" t="str">
        <f t="shared" ca="1" si="694"/>
        <v/>
      </c>
      <c r="HR344" s="450" t="str">
        <f t="shared" ca="1" si="694"/>
        <v/>
      </c>
      <c r="HS344" s="450" t="str">
        <f t="shared" ca="1" si="694"/>
        <v/>
      </c>
      <c r="HT344" s="450" t="str">
        <f t="shared" ca="1" si="694"/>
        <v/>
      </c>
      <c r="HU344" s="450" t="str">
        <f t="shared" ca="1" si="694"/>
        <v/>
      </c>
      <c r="HV344" s="450" t="str">
        <f t="shared" ca="1" si="694"/>
        <v/>
      </c>
      <c r="HW344" s="450" t="str">
        <f t="shared" ca="1" si="694"/>
        <v/>
      </c>
      <c r="HX344" s="450" t="str">
        <f t="shared" ca="1" si="694"/>
        <v/>
      </c>
      <c r="HY344" s="450" t="str">
        <f t="shared" ca="1" si="694"/>
        <v/>
      </c>
      <c r="HZ344" s="450" t="str">
        <f t="shared" ca="1" si="694"/>
        <v/>
      </c>
      <c r="IA344" s="450" t="str">
        <f t="shared" ca="1" si="675"/>
        <v/>
      </c>
      <c r="IB344" s="450" t="str">
        <f t="shared" ca="1" si="685"/>
        <v/>
      </c>
      <c r="IC344" s="450" t="str">
        <f t="shared" ca="1" si="685"/>
        <v/>
      </c>
      <c r="ID344" s="450" t="str">
        <f t="shared" ca="1" si="685"/>
        <v/>
      </c>
      <c r="IE344" s="450" t="str">
        <f t="shared" ca="1" si="685"/>
        <v/>
      </c>
      <c r="IF344" s="450" t="str">
        <f t="shared" ca="1" si="685"/>
        <v/>
      </c>
      <c r="IG344" s="450" t="str">
        <f t="shared" ca="1" si="685"/>
        <v/>
      </c>
      <c r="IH344" s="658" t="str">
        <f t="shared" ca="1" si="685"/>
        <v/>
      </c>
      <c r="II344" s="242"/>
    </row>
    <row r="345" spans="9:243">
      <c r="I345" s="132"/>
      <c r="J345" s="365"/>
      <c r="K345" s="1"/>
      <c r="L345" s="1"/>
      <c r="M345" s="366"/>
      <c r="P345" s="365"/>
      <c r="S345" s="53"/>
      <c r="T345" s="365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364"/>
      <c r="AO345" s="364">
        <v>6.5528766132518401E-2</v>
      </c>
      <c r="AP345" s="103"/>
      <c r="AQ345" s="364">
        <v>5.64444042214967E-2</v>
      </c>
      <c r="AR345" s="103"/>
      <c r="AS345" s="103"/>
      <c r="AT345" s="103"/>
      <c r="AU345" s="31"/>
      <c r="AV345" s="31"/>
      <c r="AW345" s="31"/>
      <c r="AX345" s="31"/>
      <c r="AY345" s="146"/>
      <c r="AZ345" s="146"/>
      <c r="BA345" s="103"/>
      <c r="BB345" s="103"/>
      <c r="BC345" s="103"/>
      <c r="BD345" s="103"/>
      <c r="BE345" s="104"/>
      <c r="BF345" s="104"/>
      <c r="BG345" s="104"/>
      <c r="BH345" s="102"/>
      <c r="BI345" s="104"/>
      <c r="BJ345" s="103"/>
      <c r="BK345" s="105"/>
      <c r="BL345" s="151"/>
      <c r="BM345" s="103"/>
      <c r="BN345" s="103"/>
      <c r="BO345" s="103"/>
      <c r="BP345" s="103"/>
      <c r="BQ345" s="103"/>
      <c r="BR345" s="103"/>
      <c r="BS345" s="103"/>
      <c r="BT345" s="103"/>
      <c r="BU345" s="103"/>
      <c r="BV345" s="103"/>
      <c r="BW345" s="103"/>
      <c r="BX345" s="103"/>
      <c r="BY345" s="103"/>
      <c r="BZ345" s="104"/>
      <c r="CA345" s="104"/>
      <c r="CB345" s="104"/>
      <c r="CC345" s="104"/>
      <c r="CD345" s="104"/>
      <c r="CE345" s="104"/>
      <c r="CF345" s="103"/>
      <c r="CG345" s="103"/>
      <c r="CH345" s="103"/>
      <c r="CI345" s="103"/>
      <c r="CJ345" s="103"/>
      <c r="CK345" s="103"/>
      <c r="CL345" s="103"/>
      <c r="CM345" s="103"/>
      <c r="CN345" s="103"/>
      <c r="CO345" s="103"/>
      <c r="CP345" s="103"/>
      <c r="CQ345" s="103"/>
      <c r="CR345" s="103"/>
      <c r="CS345" s="103"/>
      <c r="CT345" s="103"/>
      <c r="CU345" s="103"/>
      <c r="CV345" s="103"/>
      <c r="CW345" s="103"/>
      <c r="CX345" s="103"/>
      <c r="CY345" s="103"/>
      <c r="CZ345" s="103"/>
      <c r="DA345" s="103"/>
      <c r="DB345" s="103"/>
      <c r="DC345" s="103"/>
      <c r="DD345" s="103"/>
      <c r="DE345" s="107"/>
      <c r="DF345" s="465"/>
      <c r="DG345" s="1"/>
      <c r="DH345" s="51"/>
      <c r="DI345" s="465"/>
      <c r="DJ345" s="52"/>
      <c r="DK345" s="52"/>
      <c r="DL345" s="52"/>
      <c r="DM345" s="52"/>
      <c r="DN345" s="52"/>
      <c r="DO345" s="52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P345" s="53"/>
      <c r="EQ345" s="1"/>
      <c r="ER345" s="103"/>
      <c r="ES345" s="103"/>
      <c r="ET345" s="1"/>
      <c r="EU345" s="103"/>
      <c r="EV345" s="1"/>
      <c r="EW345" s="1"/>
      <c r="EX345" s="1"/>
      <c r="EY345" s="104"/>
      <c r="FN345" s="657">
        <v>21</v>
      </c>
      <c r="FO345" s="450">
        <f t="shared" ref="FO345:HZ345" ca="1" si="695">IF(AND(ISNUMBER(FO40),ISNUMBER(FO$320),FO$320&lt;&gt;0),FO40*FO$320/FO$15,"")</f>
        <v>7.8994694747707599E-4</v>
      </c>
      <c r="FP345" s="450">
        <f t="shared" ca="1" si="695"/>
        <v>1.310560731854213E-3</v>
      </c>
      <c r="FQ345" s="450" t="str">
        <f t="shared" ca="1" si="695"/>
        <v/>
      </c>
      <c r="FR345" s="450" t="str">
        <f t="shared" ca="1" si="695"/>
        <v/>
      </c>
      <c r="FS345" s="450" t="str">
        <f t="shared" ca="1" si="695"/>
        <v/>
      </c>
      <c r="FT345" s="450" t="str">
        <f t="shared" ca="1" si="695"/>
        <v/>
      </c>
      <c r="FU345" s="450" t="str">
        <f t="shared" ca="1" si="695"/>
        <v/>
      </c>
      <c r="FV345" s="450" t="str">
        <f t="shared" ca="1" si="695"/>
        <v/>
      </c>
      <c r="FW345" s="450" t="str">
        <f t="shared" ca="1" si="695"/>
        <v/>
      </c>
      <c r="FX345" s="450" t="str">
        <f t="shared" ca="1" si="695"/>
        <v/>
      </c>
      <c r="FY345" s="450" t="str">
        <f t="shared" ca="1" si="695"/>
        <v/>
      </c>
      <c r="FZ345" s="450" t="str">
        <f t="shared" ca="1" si="695"/>
        <v/>
      </c>
      <c r="GA345" s="450" t="str">
        <f t="shared" ca="1" si="695"/>
        <v/>
      </c>
      <c r="GB345" s="450" t="str">
        <f t="shared" ca="1" si="695"/>
        <v/>
      </c>
      <c r="GC345" s="450" t="str">
        <f t="shared" ca="1" si="695"/>
        <v/>
      </c>
      <c r="GD345" s="450" t="str">
        <f t="shared" ca="1" si="695"/>
        <v/>
      </c>
      <c r="GE345" s="450" t="str">
        <f t="shared" ca="1" si="695"/>
        <v/>
      </c>
      <c r="GF345" s="450" t="str">
        <f t="shared" ca="1" si="695"/>
        <v/>
      </c>
      <c r="GG345" s="450" t="str">
        <f t="shared" ca="1" si="695"/>
        <v/>
      </c>
      <c r="GH345" s="450" t="str">
        <f t="shared" ca="1" si="695"/>
        <v/>
      </c>
      <c r="GI345" s="450" t="str">
        <f t="shared" ca="1" si="695"/>
        <v/>
      </c>
      <c r="GJ345" s="450" t="str">
        <f t="shared" ca="1" si="695"/>
        <v/>
      </c>
      <c r="GK345" s="450" t="str">
        <f t="shared" ca="1" si="695"/>
        <v/>
      </c>
      <c r="GL345" s="450" t="str">
        <f t="shared" ca="1" si="695"/>
        <v/>
      </c>
      <c r="GM345" s="450" t="str">
        <f t="shared" ca="1" si="695"/>
        <v/>
      </c>
      <c r="GN345" s="450" t="str">
        <f t="shared" ca="1" si="695"/>
        <v/>
      </c>
      <c r="GO345" s="450" t="str">
        <f t="shared" ca="1" si="695"/>
        <v/>
      </c>
      <c r="GP345" s="450" t="str">
        <f t="shared" ca="1" si="695"/>
        <v/>
      </c>
      <c r="GQ345" s="450" t="str">
        <f t="shared" ca="1" si="695"/>
        <v/>
      </c>
      <c r="GR345" s="450" t="str">
        <f t="shared" ca="1" si="695"/>
        <v/>
      </c>
      <c r="GS345" s="450" t="str">
        <f t="shared" ca="1" si="695"/>
        <v/>
      </c>
      <c r="GT345" s="450" t="str">
        <f t="shared" ca="1" si="695"/>
        <v/>
      </c>
      <c r="GU345" s="450" t="str">
        <f t="shared" ca="1" si="695"/>
        <v/>
      </c>
      <c r="GV345" s="450" t="str">
        <f t="shared" ca="1" si="695"/>
        <v/>
      </c>
      <c r="GW345" s="450" t="str">
        <f t="shared" ca="1" si="695"/>
        <v/>
      </c>
      <c r="GX345" s="450" t="str">
        <f t="shared" ca="1" si="695"/>
        <v/>
      </c>
      <c r="GY345" s="450" t="str">
        <f t="shared" ca="1" si="695"/>
        <v/>
      </c>
      <c r="GZ345" s="450" t="str">
        <f t="shared" ca="1" si="695"/>
        <v/>
      </c>
      <c r="HA345" s="450" t="str">
        <f t="shared" ca="1" si="695"/>
        <v/>
      </c>
      <c r="HB345" s="450" t="str">
        <f t="shared" ca="1" si="695"/>
        <v/>
      </c>
      <c r="HC345" s="450" t="str">
        <f t="shared" ca="1" si="695"/>
        <v/>
      </c>
      <c r="HD345" s="450" t="str">
        <f t="shared" ca="1" si="695"/>
        <v/>
      </c>
      <c r="HE345" s="450" t="str">
        <f t="shared" ca="1" si="695"/>
        <v/>
      </c>
      <c r="HF345" s="450" t="str">
        <f t="shared" ca="1" si="695"/>
        <v/>
      </c>
      <c r="HG345" s="450" t="str">
        <f t="shared" ca="1" si="695"/>
        <v/>
      </c>
      <c r="HH345" s="450" t="str">
        <f t="shared" ca="1" si="695"/>
        <v/>
      </c>
      <c r="HI345" s="450" t="str">
        <f t="shared" ca="1" si="695"/>
        <v/>
      </c>
      <c r="HJ345" s="450" t="str">
        <f t="shared" ca="1" si="695"/>
        <v/>
      </c>
      <c r="HK345" s="450" t="str">
        <f t="shared" ca="1" si="695"/>
        <v/>
      </c>
      <c r="HL345" s="450" t="str">
        <f t="shared" ca="1" si="695"/>
        <v/>
      </c>
      <c r="HM345" s="450" t="str">
        <f t="shared" ca="1" si="695"/>
        <v/>
      </c>
      <c r="HN345" s="450" t="str">
        <f t="shared" ca="1" si="695"/>
        <v/>
      </c>
      <c r="HO345" s="450" t="str">
        <f t="shared" ca="1" si="695"/>
        <v/>
      </c>
      <c r="HP345" s="450" t="str">
        <f t="shared" ca="1" si="695"/>
        <v/>
      </c>
      <c r="HQ345" s="450" t="str">
        <f t="shared" ca="1" si="695"/>
        <v/>
      </c>
      <c r="HR345" s="450" t="str">
        <f t="shared" ca="1" si="695"/>
        <v/>
      </c>
      <c r="HS345" s="450" t="str">
        <f t="shared" ca="1" si="695"/>
        <v/>
      </c>
      <c r="HT345" s="450" t="str">
        <f t="shared" ca="1" si="695"/>
        <v/>
      </c>
      <c r="HU345" s="450" t="str">
        <f t="shared" ca="1" si="695"/>
        <v/>
      </c>
      <c r="HV345" s="450" t="str">
        <f t="shared" ca="1" si="695"/>
        <v/>
      </c>
      <c r="HW345" s="450" t="str">
        <f t="shared" ca="1" si="695"/>
        <v/>
      </c>
      <c r="HX345" s="450" t="str">
        <f t="shared" ca="1" si="695"/>
        <v/>
      </c>
      <c r="HY345" s="450" t="str">
        <f t="shared" ca="1" si="695"/>
        <v/>
      </c>
      <c r="HZ345" s="450" t="str">
        <f t="shared" ca="1" si="695"/>
        <v/>
      </c>
      <c r="IA345" s="450" t="str">
        <f t="shared" ca="1" si="675"/>
        <v/>
      </c>
      <c r="IB345" s="450" t="str">
        <f t="shared" ref="IB345:IH354" ca="1" si="696">IF(AND(ISNUMBER(IB40),ISNUMBER(IB$320),IB$320&lt;&gt;0),IB40*IB$320/IB$15,"")</f>
        <v/>
      </c>
      <c r="IC345" s="450" t="str">
        <f t="shared" ca="1" si="696"/>
        <v/>
      </c>
      <c r="ID345" s="450" t="str">
        <f t="shared" ca="1" si="696"/>
        <v/>
      </c>
      <c r="IE345" s="450" t="str">
        <f t="shared" ca="1" si="696"/>
        <v/>
      </c>
      <c r="IF345" s="450" t="str">
        <f t="shared" ca="1" si="696"/>
        <v/>
      </c>
      <c r="IG345" s="450" t="str">
        <f t="shared" ca="1" si="696"/>
        <v/>
      </c>
      <c r="IH345" s="658" t="str">
        <f t="shared" ca="1" si="696"/>
        <v/>
      </c>
      <c r="II345" s="242"/>
    </row>
    <row r="346" spans="9:243">
      <c r="I346" s="132"/>
      <c r="J346" s="365"/>
      <c r="K346" s="1"/>
      <c r="L346" s="1"/>
      <c r="M346" s="366"/>
      <c r="P346" s="365"/>
      <c r="S346" s="53"/>
      <c r="T346" s="365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364"/>
      <c r="AO346" s="364">
        <v>6.5539070433537003E-2</v>
      </c>
      <c r="AP346" s="103"/>
      <c r="AQ346" s="364">
        <v>5.64064395840638E-2</v>
      </c>
      <c r="AR346" s="103"/>
      <c r="AS346" s="103"/>
      <c r="AT346" s="103"/>
      <c r="AU346" s="31"/>
      <c r="AV346" s="31"/>
      <c r="AW346" s="31"/>
      <c r="AX346" s="31"/>
      <c r="AY346" s="146"/>
      <c r="AZ346" s="146"/>
      <c r="BA346" s="103"/>
      <c r="BB346" s="103"/>
      <c r="BC346" s="103"/>
      <c r="BD346" s="103"/>
      <c r="BE346" s="104"/>
      <c r="BF346" s="104"/>
      <c r="BG346" s="104"/>
      <c r="BH346" s="102"/>
      <c r="BI346" s="104"/>
      <c r="BJ346" s="103"/>
      <c r="BK346" s="105"/>
      <c r="BL346" s="151"/>
      <c r="BM346" s="103"/>
      <c r="BN346" s="103"/>
      <c r="BO346" s="103"/>
      <c r="BP346" s="103"/>
      <c r="BQ346" s="103"/>
      <c r="BR346" s="103"/>
      <c r="BS346" s="103"/>
      <c r="BT346" s="103"/>
      <c r="BU346" s="103"/>
      <c r="BV346" s="103"/>
      <c r="BW346" s="103"/>
      <c r="BX346" s="103"/>
      <c r="BY346" s="103"/>
      <c r="BZ346" s="104"/>
      <c r="CA346" s="104"/>
      <c r="CB346" s="104"/>
      <c r="CC346" s="104"/>
      <c r="CD346" s="104"/>
      <c r="CE346" s="104"/>
      <c r="CF346" s="103"/>
      <c r="CG346" s="103"/>
      <c r="CH346" s="103"/>
      <c r="CI346" s="103"/>
      <c r="CJ346" s="103"/>
      <c r="CK346" s="103"/>
      <c r="CL346" s="103"/>
      <c r="CM346" s="103"/>
      <c r="CN346" s="103"/>
      <c r="CO346" s="103"/>
      <c r="CP346" s="103"/>
      <c r="CQ346" s="103"/>
      <c r="CR346" s="103"/>
      <c r="CS346" s="103"/>
      <c r="CT346" s="103"/>
      <c r="CU346" s="103"/>
      <c r="CV346" s="103"/>
      <c r="CW346" s="103"/>
      <c r="CX346" s="103"/>
      <c r="CY346" s="103"/>
      <c r="CZ346" s="103"/>
      <c r="DA346" s="103"/>
      <c r="DB346" s="103"/>
      <c r="DC346" s="103"/>
      <c r="DD346" s="103"/>
      <c r="DE346" s="107"/>
      <c r="DF346" s="465"/>
      <c r="DG346" s="1"/>
      <c r="DH346" s="51"/>
      <c r="DI346" s="465"/>
      <c r="DJ346" s="52"/>
      <c r="DK346" s="52"/>
      <c r="DL346" s="52"/>
      <c r="DM346" s="52"/>
      <c r="DN346" s="52"/>
      <c r="DO346" s="52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P346" s="53"/>
      <c r="EQ346" s="1"/>
      <c r="ER346" s="103"/>
      <c r="ES346" s="103"/>
      <c r="ET346" s="1"/>
      <c r="EU346" s="103"/>
      <c r="EV346" s="1"/>
      <c r="EW346" s="1"/>
      <c r="EX346" s="1"/>
      <c r="EY346" s="104"/>
      <c r="FN346" s="657">
        <v>22</v>
      </c>
      <c r="FO346" s="450">
        <f t="shared" ref="FO346:HZ346" ca="1" si="697">IF(AND(ISNUMBER(FO41),ISNUMBER(FO$320),FO$320&lt;&gt;0),FO41*FO$320/FO$15,"")</f>
        <v>7.7495308686658683E-4</v>
      </c>
      <c r="FP346" s="450">
        <f t="shared" ca="1" si="697"/>
        <v>1.2829212316492913E-3</v>
      </c>
      <c r="FQ346" s="450" t="str">
        <f t="shared" ca="1" si="697"/>
        <v/>
      </c>
      <c r="FR346" s="450" t="str">
        <f t="shared" ca="1" si="697"/>
        <v/>
      </c>
      <c r="FS346" s="450" t="str">
        <f t="shared" ca="1" si="697"/>
        <v/>
      </c>
      <c r="FT346" s="450" t="str">
        <f t="shared" ca="1" si="697"/>
        <v/>
      </c>
      <c r="FU346" s="450" t="str">
        <f t="shared" ca="1" si="697"/>
        <v/>
      </c>
      <c r="FV346" s="450" t="str">
        <f t="shared" ca="1" si="697"/>
        <v/>
      </c>
      <c r="FW346" s="450" t="str">
        <f t="shared" ca="1" si="697"/>
        <v/>
      </c>
      <c r="FX346" s="450" t="str">
        <f t="shared" ca="1" si="697"/>
        <v/>
      </c>
      <c r="FY346" s="450" t="str">
        <f t="shared" ca="1" si="697"/>
        <v/>
      </c>
      <c r="FZ346" s="450" t="str">
        <f t="shared" ca="1" si="697"/>
        <v/>
      </c>
      <c r="GA346" s="450" t="str">
        <f t="shared" ca="1" si="697"/>
        <v/>
      </c>
      <c r="GB346" s="450" t="str">
        <f t="shared" ca="1" si="697"/>
        <v/>
      </c>
      <c r="GC346" s="450" t="str">
        <f t="shared" ca="1" si="697"/>
        <v/>
      </c>
      <c r="GD346" s="450" t="str">
        <f t="shared" ca="1" si="697"/>
        <v/>
      </c>
      <c r="GE346" s="450" t="str">
        <f t="shared" ca="1" si="697"/>
        <v/>
      </c>
      <c r="GF346" s="450" t="str">
        <f t="shared" ca="1" si="697"/>
        <v/>
      </c>
      <c r="GG346" s="450" t="str">
        <f t="shared" ca="1" si="697"/>
        <v/>
      </c>
      <c r="GH346" s="450" t="str">
        <f t="shared" ca="1" si="697"/>
        <v/>
      </c>
      <c r="GI346" s="450" t="str">
        <f t="shared" ca="1" si="697"/>
        <v/>
      </c>
      <c r="GJ346" s="450" t="str">
        <f t="shared" ca="1" si="697"/>
        <v/>
      </c>
      <c r="GK346" s="450" t="str">
        <f t="shared" ca="1" si="697"/>
        <v/>
      </c>
      <c r="GL346" s="450" t="str">
        <f t="shared" ca="1" si="697"/>
        <v/>
      </c>
      <c r="GM346" s="450" t="str">
        <f t="shared" ca="1" si="697"/>
        <v/>
      </c>
      <c r="GN346" s="450" t="str">
        <f t="shared" ca="1" si="697"/>
        <v/>
      </c>
      <c r="GO346" s="450" t="str">
        <f t="shared" ca="1" si="697"/>
        <v/>
      </c>
      <c r="GP346" s="450" t="str">
        <f t="shared" ca="1" si="697"/>
        <v/>
      </c>
      <c r="GQ346" s="450" t="str">
        <f t="shared" ca="1" si="697"/>
        <v/>
      </c>
      <c r="GR346" s="450" t="str">
        <f t="shared" ca="1" si="697"/>
        <v/>
      </c>
      <c r="GS346" s="450" t="str">
        <f t="shared" ca="1" si="697"/>
        <v/>
      </c>
      <c r="GT346" s="450" t="str">
        <f t="shared" ca="1" si="697"/>
        <v/>
      </c>
      <c r="GU346" s="450" t="str">
        <f t="shared" ca="1" si="697"/>
        <v/>
      </c>
      <c r="GV346" s="450" t="str">
        <f t="shared" ca="1" si="697"/>
        <v/>
      </c>
      <c r="GW346" s="450" t="str">
        <f t="shared" ca="1" si="697"/>
        <v/>
      </c>
      <c r="GX346" s="450" t="str">
        <f t="shared" ca="1" si="697"/>
        <v/>
      </c>
      <c r="GY346" s="450" t="str">
        <f t="shared" ca="1" si="697"/>
        <v/>
      </c>
      <c r="GZ346" s="450" t="str">
        <f t="shared" ca="1" si="697"/>
        <v/>
      </c>
      <c r="HA346" s="450" t="str">
        <f t="shared" ca="1" si="697"/>
        <v/>
      </c>
      <c r="HB346" s="450" t="str">
        <f t="shared" ca="1" si="697"/>
        <v/>
      </c>
      <c r="HC346" s="450" t="str">
        <f t="shared" ca="1" si="697"/>
        <v/>
      </c>
      <c r="HD346" s="450" t="str">
        <f t="shared" ca="1" si="697"/>
        <v/>
      </c>
      <c r="HE346" s="450" t="str">
        <f t="shared" ca="1" si="697"/>
        <v/>
      </c>
      <c r="HF346" s="450" t="str">
        <f t="shared" ca="1" si="697"/>
        <v/>
      </c>
      <c r="HG346" s="450" t="str">
        <f t="shared" ca="1" si="697"/>
        <v/>
      </c>
      <c r="HH346" s="450" t="str">
        <f t="shared" ca="1" si="697"/>
        <v/>
      </c>
      <c r="HI346" s="450" t="str">
        <f t="shared" ca="1" si="697"/>
        <v/>
      </c>
      <c r="HJ346" s="450" t="str">
        <f t="shared" ca="1" si="697"/>
        <v/>
      </c>
      <c r="HK346" s="450" t="str">
        <f t="shared" ca="1" si="697"/>
        <v/>
      </c>
      <c r="HL346" s="450" t="str">
        <f t="shared" ca="1" si="697"/>
        <v/>
      </c>
      <c r="HM346" s="450" t="str">
        <f t="shared" ca="1" si="697"/>
        <v/>
      </c>
      <c r="HN346" s="450" t="str">
        <f t="shared" ca="1" si="697"/>
        <v/>
      </c>
      <c r="HO346" s="450" t="str">
        <f t="shared" ca="1" si="697"/>
        <v/>
      </c>
      <c r="HP346" s="450" t="str">
        <f t="shared" ca="1" si="697"/>
        <v/>
      </c>
      <c r="HQ346" s="450" t="str">
        <f t="shared" ca="1" si="697"/>
        <v/>
      </c>
      <c r="HR346" s="450" t="str">
        <f t="shared" ca="1" si="697"/>
        <v/>
      </c>
      <c r="HS346" s="450" t="str">
        <f t="shared" ca="1" si="697"/>
        <v/>
      </c>
      <c r="HT346" s="450" t="str">
        <f t="shared" ca="1" si="697"/>
        <v/>
      </c>
      <c r="HU346" s="450" t="str">
        <f t="shared" ca="1" si="697"/>
        <v/>
      </c>
      <c r="HV346" s="450" t="str">
        <f t="shared" ca="1" si="697"/>
        <v/>
      </c>
      <c r="HW346" s="450" t="str">
        <f t="shared" ca="1" si="697"/>
        <v/>
      </c>
      <c r="HX346" s="450" t="str">
        <f t="shared" ca="1" si="697"/>
        <v/>
      </c>
      <c r="HY346" s="450" t="str">
        <f t="shared" ca="1" si="697"/>
        <v/>
      </c>
      <c r="HZ346" s="450" t="str">
        <f t="shared" ca="1" si="697"/>
        <v/>
      </c>
      <c r="IA346" s="450" t="str">
        <f t="shared" ca="1" si="675"/>
        <v/>
      </c>
      <c r="IB346" s="450" t="str">
        <f t="shared" ca="1" si="696"/>
        <v/>
      </c>
      <c r="IC346" s="450" t="str">
        <f t="shared" ca="1" si="696"/>
        <v/>
      </c>
      <c r="ID346" s="450" t="str">
        <f t="shared" ca="1" si="696"/>
        <v/>
      </c>
      <c r="IE346" s="450" t="str">
        <f t="shared" ca="1" si="696"/>
        <v/>
      </c>
      <c r="IF346" s="450" t="str">
        <f t="shared" ca="1" si="696"/>
        <v/>
      </c>
      <c r="IG346" s="450" t="str">
        <f t="shared" ca="1" si="696"/>
        <v/>
      </c>
      <c r="IH346" s="658" t="str">
        <f t="shared" ca="1" si="696"/>
        <v/>
      </c>
      <c r="II346" s="242"/>
    </row>
    <row r="347" spans="9:243">
      <c r="I347" s="132"/>
      <c r="J347" s="365"/>
      <c r="K347" s="1"/>
      <c r="L347" s="1"/>
      <c r="M347" s="366"/>
      <c r="P347" s="365"/>
      <c r="S347" s="53"/>
      <c r="T347" s="365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364"/>
      <c r="AO347" s="364">
        <v>6.5549718211293795E-2</v>
      </c>
      <c r="AP347" s="103"/>
      <c r="AQ347" s="364">
        <v>5.6367209469300399E-2</v>
      </c>
      <c r="AR347" s="103"/>
      <c r="AS347" s="103"/>
      <c r="AT347" s="103"/>
      <c r="AU347" s="31"/>
      <c r="AV347" s="31"/>
      <c r="AW347" s="31"/>
      <c r="AX347" s="31"/>
      <c r="AY347" s="146"/>
      <c r="AZ347" s="146"/>
      <c r="BA347" s="103"/>
      <c r="BB347" s="103"/>
      <c r="BC347" s="103"/>
      <c r="BD347" s="103"/>
      <c r="BE347" s="104"/>
      <c r="BF347" s="104"/>
      <c r="BG347" s="104"/>
      <c r="BH347" s="102"/>
      <c r="BI347" s="104"/>
      <c r="BJ347" s="103"/>
      <c r="BK347" s="105"/>
      <c r="BL347" s="151"/>
      <c r="BM347" s="103"/>
      <c r="BN347" s="103"/>
      <c r="BO347" s="103"/>
      <c r="BP347" s="103"/>
      <c r="BQ347" s="103"/>
      <c r="BR347" s="103"/>
      <c r="BS347" s="103"/>
      <c r="BT347" s="103"/>
      <c r="BU347" s="103"/>
      <c r="BV347" s="103"/>
      <c r="BW347" s="103"/>
      <c r="BX347" s="103"/>
      <c r="BY347" s="103"/>
      <c r="BZ347" s="104"/>
      <c r="CA347" s="104"/>
      <c r="CB347" s="104"/>
      <c r="CC347" s="104"/>
      <c r="CD347" s="104"/>
      <c r="CE347" s="104"/>
      <c r="CF347" s="103"/>
      <c r="CG347" s="103"/>
      <c r="CH347" s="103"/>
      <c r="CI347" s="103"/>
      <c r="CJ347" s="103"/>
      <c r="CK347" s="103"/>
      <c r="CL347" s="103"/>
      <c r="CM347" s="103"/>
      <c r="CN347" s="103"/>
      <c r="CO347" s="103"/>
      <c r="CP347" s="103"/>
      <c r="CQ347" s="103"/>
      <c r="CR347" s="103"/>
      <c r="CS347" s="103"/>
      <c r="CT347" s="103"/>
      <c r="CU347" s="103"/>
      <c r="CV347" s="103"/>
      <c r="CW347" s="103"/>
      <c r="CX347" s="103"/>
      <c r="CY347" s="103"/>
      <c r="CZ347" s="103"/>
      <c r="DA347" s="103"/>
      <c r="DB347" s="103"/>
      <c r="DC347" s="103"/>
      <c r="DD347" s="103"/>
      <c r="DE347" s="107"/>
      <c r="DF347" s="465"/>
      <c r="DG347" s="1"/>
      <c r="DH347" s="51"/>
      <c r="DI347" s="465"/>
      <c r="DJ347" s="52"/>
      <c r="DK347" s="52"/>
      <c r="DL347" s="52"/>
      <c r="DM347" s="52"/>
      <c r="DN347" s="52"/>
      <c r="DO347" s="52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P347" s="53"/>
      <c r="EQ347" s="1"/>
      <c r="ER347" s="103"/>
      <c r="ES347" s="103"/>
      <c r="ET347" s="1"/>
      <c r="EU347" s="103"/>
      <c r="EV347" s="1"/>
      <c r="EW347" s="1"/>
      <c r="EX347" s="1"/>
      <c r="EY347" s="104"/>
      <c r="FN347" s="657">
        <v>23</v>
      </c>
      <c r="FO347" s="450">
        <f t="shared" ref="FO347:HZ347" ca="1" si="698">IF(AND(ISNUMBER(FO42),ISNUMBER(FO$320),FO$320&lt;&gt;0),FO42*FO$320/FO$15,"")</f>
        <v>7.617147488476469E-4</v>
      </c>
      <c r="FP347" s="450">
        <f t="shared" ca="1" si="698"/>
        <v>1.258570302535606E-3</v>
      </c>
      <c r="FQ347" s="450" t="str">
        <f t="shared" ca="1" si="698"/>
        <v/>
      </c>
      <c r="FR347" s="450" t="str">
        <f t="shared" ca="1" si="698"/>
        <v/>
      </c>
      <c r="FS347" s="450" t="str">
        <f t="shared" ca="1" si="698"/>
        <v/>
      </c>
      <c r="FT347" s="450" t="str">
        <f t="shared" ca="1" si="698"/>
        <v/>
      </c>
      <c r="FU347" s="450" t="str">
        <f t="shared" ca="1" si="698"/>
        <v/>
      </c>
      <c r="FV347" s="450" t="str">
        <f t="shared" ca="1" si="698"/>
        <v/>
      </c>
      <c r="FW347" s="450" t="str">
        <f t="shared" ca="1" si="698"/>
        <v/>
      </c>
      <c r="FX347" s="450" t="str">
        <f t="shared" ca="1" si="698"/>
        <v/>
      </c>
      <c r="FY347" s="450" t="str">
        <f t="shared" ca="1" si="698"/>
        <v/>
      </c>
      <c r="FZ347" s="450" t="str">
        <f t="shared" ca="1" si="698"/>
        <v/>
      </c>
      <c r="GA347" s="450" t="str">
        <f t="shared" ca="1" si="698"/>
        <v/>
      </c>
      <c r="GB347" s="450" t="str">
        <f t="shared" ca="1" si="698"/>
        <v/>
      </c>
      <c r="GC347" s="450" t="str">
        <f t="shared" ca="1" si="698"/>
        <v/>
      </c>
      <c r="GD347" s="450" t="str">
        <f t="shared" ca="1" si="698"/>
        <v/>
      </c>
      <c r="GE347" s="450" t="str">
        <f t="shared" ca="1" si="698"/>
        <v/>
      </c>
      <c r="GF347" s="450" t="str">
        <f t="shared" ca="1" si="698"/>
        <v/>
      </c>
      <c r="GG347" s="450" t="str">
        <f t="shared" ca="1" si="698"/>
        <v/>
      </c>
      <c r="GH347" s="450" t="str">
        <f t="shared" ca="1" si="698"/>
        <v/>
      </c>
      <c r="GI347" s="450" t="str">
        <f t="shared" ca="1" si="698"/>
        <v/>
      </c>
      <c r="GJ347" s="450" t="str">
        <f t="shared" ca="1" si="698"/>
        <v/>
      </c>
      <c r="GK347" s="450" t="str">
        <f t="shared" ca="1" si="698"/>
        <v/>
      </c>
      <c r="GL347" s="450" t="str">
        <f t="shared" ca="1" si="698"/>
        <v/>
      </c>
      <c r="GM347" s="450" t="str">
        <f t="shared" ca="1" si="698"/>
        <v/>
      </c>
      <c r="GN347" s="450" t="str">
        <f t="shared" ca="1" si="698"/>
        <v/>
      </c>
      <c r="GO347" s="450" t="str">
        <f t="shared" ca="1" si="698"/>
        <v/>
      </c>
      <c r="GP347" s="450" t="str">
        <f t="shared" ca="1" si="698"/>
        <v/>
      </c>
      <c r="GQ347" s="450" t="str">
        <f t="shared" ca="1" si="698"/>
        <v/>
      </c>
      <c r="GR347" s="450" t="str">
        <f t="shared" ca="1" si="698"/>
        <v/>
      </c>
      <c r="GS347" s="450" t="str">
        <f t="shared" ca="1" si="698"/>
        <v/>
      </c>
      <c r="GT347" s="450" t="str">
        <f t="shared" ca="1" si="698"/>
        <v/>
      </c>
      <c r="GU347" s="450" t="str">
        <f t="shared" ca="1" si="698"/>
        <v/>
      </c>
      <c r="GV347" s="450" t="str">
        <f t="shared" ca="1" si="698"/>
        <v/>
      </c>
      <c r="GW347" s="450" t="str">
        <f t="shared" ca="1" si="698"/>
        <v/>
      </c>
      <c r="GX347" s="450" t="str">
        <f t="shared" ca="1" si="698"/>
        <v/>
      </c>
      <c r="GY347" s="450" t="str">
        <f t="shared" ca="1" si="698"/>
        <v/>
      </c>
      <c r="GZ347" s="450" t="str">
        <f t="shared" ca="1" si="698"/>
        <v/>
      </c>
      <c r="HA347" s="450" t="str">
        <f t="shared" ca="1" si="698"/>
        <v/>
      </c>
      <c r="HB347" s="450" t="str">
        <f t="shared" ca="1" si="698"/>
        <v/>
      </c>
      <c r="HC347" s="450" t="str">
        <f t="shared" ca="1" si="698"/>
        <v/>
      </c>
      <c r="HD347" s="450" t="str">
        <f t="shared" ca="1" si="698"/>
        <v/>
      </c>
      <c r="HE347" s="450" t="str">
        <f t="shared" ca="1" si="698"/>
        <v/>
      </c>
      <c r="HF347" s="450" t="str">
        <f t="shared" ca="1" si="698"/>
        <v/>
      </c>
      <c r="HG347" s="450" t="str">
        <f t="shared" ca="1" si="698"/>
        <v/>
      </c>
      <c r="HH347" s="450" t="str">
        <f t="shared" ca="1" si="698"/>
        <v/>
      </c>
      <c r="HI347" s="450" t="str">
        <f t="shared" ca="1" si="698"/>
        <v/>
      </c>
      <c r="HJ347" s="450" t="str">
        <f t="shared" ca="1" si="698"/>
        <v/>
      </c>
      <c r="HK347" s="450" t="str">
        <f t="shared" ca="1" si="698"/>
        <v/>
      </c>
      <c r="HL347" s="450" t="str">
        <f t="shared" ca="1" si="698"/>
        <v/>
      </c>
      <c r="HM347" s="450" t="str">
        <f t="shared" ca="1" si="698"/>
        <v/>
      </c>
      <c r="HN347" s="450" t="str">
        <f t="shared" ca="1" si="698"/>
        <v/>
      </c>
      <c r="HO347" s="450" t="str">
        <f t="shared" ca="1" si="698"/>
        <v/>
      </c>
      <c r="HP347" s="450" t="str">
        <f t="shared" ca="1" si="698"/>
        <v/>
      </c>
      <c r="HQ347" s="450" t="str">
        <f t="shared" ca="1" si="698"/>
        <v/>
      </c>
      <c r="HR347" s="450" t="str">
        <f t="shared" ca="1" si="698"/>
        <v/>
      </c>
      <c r="HS347" s="450" t="str">
        <f t="shared" ca="1" si="698"/>
        <v/>
      </c>
      <c r="HT347" s="450" t="str">
        <f t="shared" ca="1" si="698"/>
        <v/>
      </c>
      <c r="HU347" s="450" t="str">
        <f t="shared" ca="1" si="698"/>
        <v/>
      </c>
      <c r="HV347" s="450" t="str">
        <f t="shared" ca="1" si="698"/>
        <v/>
      </c>
      <c r="HW347" s="450" t="str">
        <f t="shared" ca="1" si="698"/>
        <v/>
      </c>
      <c r="HX347" s="450" t="str">
        <f t="shared" ca="1" si="698"/>
        <v/>
      </c>
      <c r="HY347" s="450" t="str">
        <f t="shared" ca="1" si="698"/>
        <v/>
      </c>
      <c r="HZ347" s="450" t="str">
        <f t="shared" ca="1" si="698"/>
        <v/>
      </c>
      <c r="IA347" s="450" t="str">
        <f t="shared" ca="1" si="675"/>
        <v/>
      </c>
      <c r="IB347" s="450" t="str">
        <f t="shared" ca="1" si="696"/>
        <v/>
      </c>
      <c r="IC347" s="450" t="str">
        <f t="shared" ca="1" si="696"/>
        <v/>
      </c>
      <c r="ID347" s="450" t="str">
        <f t="shared" ca="1" si="696"/>
        <v/>
      </c>
      <c r="IE347" s="450" t="str">
        <f t="shared" ca="1" si="696"/>
        <v/>
      </c>
      <c r="IF347" s="450" t="str">
        <f t="shared" ca="1" si="696"/>
        <v/>
      </c>
      <c r="IG347" s="450" t="str">
        <f t="shared" ca="1" si="696"/>
        <v/>
      </c>
      <c r="IH347" s="658" t="str">
        <f t="shared" ca="1" si="696"/>
        <v/>
      </c>
      <c r="II347" s="242"/>
    </row>
    <row r="348" spans="9:243">
      <c r="I348" s="132"/>
      <c r="J348" s="365"/>
      <c r="K348" s="1"/>
      <c r="L348" s="1"/>
      <c r="M348" s="366"/>
      <c r="P348" s="365"/>
      <c r="S348" s="53"/>
      <c r="T348" s="365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364"/>
      <c r="AO348" s="364">
        <v>6.5560365989087502E-2</v>
      </c>
      <c r="AP348" s="103"/>
      <c r="AQ348" s="364">
        <v>5.6327979365294698E-2</v>
      </c>
      <c r="AR348" s="103"/>
      <c r="AS348" s="103"/>
      <c r="AT348" s="103"/>
      <c r="AU348" s="31"/>
      <c r="AV348" s="31"/>
      <c r="AW348" s="31"/>
      <c r="AX348" s="31"/>
      <c r="AY348" s="146"/>
      <c r="AZ348" s="146"/>
      <c r="BA348" s="103"/>
      <c r="BB348" s="103"/>
      <c r="BC348" s="103"/>
      <c r="BD348" s="103"/>
      <c r="BE348" s="104"/>
      <c r="BF348" s="104"/>
      <c r="BG348" s="104"/>
      <c r="BH348" s="102"/>
      <c r="BI348" s="104"/>
      <c r="BJ348" s="103"/>
      <c r="BK348" s="105"/>
      <c r="BL348" s="151"/>
      <c r="BM348" s="103"/>
      <c r="BN348" s="103"/>
      <c r="BO348" s="103"/>
      <c r="BP348" s="103"/>
      <c r="BQ348" s="103"/>
      <c r="BR348" s="103"/>
      <c r="BS348" s="103"/>
      <c r="BT348" s="103"/>
      <c r="BU348" s="103"/>
      <c r="BV348" s="103"/>
      <c r="BW348" s="103"/>
      <c r="BX348" s="103"/>
      <c r="BY348" s="103"/>
      <c r="BZ348" s="104"/>
      <c r="CA348" s="104"/>
      <c r="CB348" s="104"/>
      <c r="CC348" s="104"/>
      <c r="CD348" s="104"/>
      <c r="CE348" s="104"/>
      <c r="CF348" s="103"/>
      <c r="CG348" s="103"/>
      <c r="CH348" s="103"/>
      <c r="CI348" s="103"/>
      <c r="CJ348" s="103"/>
      <c r="CK348" s="103"/>
      <c r="CL348" s="103"/>
      <c r="CM348" s="103"/>
      <c r="CN348" s="103"/>
      <c r="CO348" s="103"/>
      <c r="CP348" s="103"/>
      <c r="CQ348" s="103"/>
      <c r="CR348" s="103"/>
      <c r="CS348" s="103"/>
      <c r="CT348" s="103"/>
      <c r="CU348" s="103"/>
      <c r="CV348" s="103"/>
      <c r="CW348" s="103"/>
      <c r="CX348" s="103"/>
      <c r="CY348" s="103"/>
      <c r="CZ348" s="103"/>
      <c r="DA348" s="103"/>
      <c r="DB348" s="103"/>
      <c r="DC348" s="103"/>
      <c r="DD348" s="103"/>
      <c r="DE348" s="107"/>
      <c r="DF348" s="465"/>
      <c r="DG348" s="1"/>
      <c r="DH348" s="51"/>
      <c r="DI348" s="465"/>
      <c r="DJ348" s="52"/>
      <c r="DK348" s="52"/>
      <c r="DL348" s="52"/>
      <c r="DM348" s="52"/>
      <c r="DN348" s="52"/>
      <c r="DO348" s="52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P348" s="53"/>
      <c r="EQ348" s="1"/>
      <c r="ER348" s="103"/>
      <c r="ES348" s="103"/>
      <c r="ET348" s="1"/>
      <c r="EU348" s="103"/>
      <c r="EV348" s="1"/>
      <c r="EW348" s="1"/>
      <c r="EX348" s="1"/>
      <c r="EY348" s="104"/>
      <c r="FN348" s="657">
        <v>24</v>
      </c>
      <c r="FO348" s="450">
        <f t="shared" ref="FO348:HZ348" ca="1" si="699">IF(AND(ISNUMBER(FO43),ISNUMBER(FO$320),FO$320&lt;&gt;0),FO43*FO$320/FO$15,"")</f>
        <v>7.5000377725318972E-4</v>
      </c>
      <c r="FP348" s="450">
        <f t="shared" ca="1" si="699"/>
        <v>1.2370704474244615E-3</v>
      </c>
      <c r="FQ348" s="450" t="str">
        <f t="shared" ca="1" si="699"/>
        <v/>
      </c>
      <c r="FR348" s="450" t="str">
        <f t="shared" ca="1" si="699"/>
        <v/>
      </c>
      <c r="FS348" s="450" t="str">
        <f t="shared" ca="1" si="699"/>
        <v/>
      </c>
      <c r="FT348" s="450" t="str">
        <f t="shared" ca="1" si="699"/>
        <v/>
      </c>
      <c r="FU348" s="450" t="str">
        <f t="shared" ca="1" si="699"/>
        <v/>
      </c>
      <c r="FV348" s="450" t="str">
        <f t="shared" ca="1" si="699"/>
        <v/>
      </c>
      <c r="FW348" s="450" t="str">
        <f t="shared" ca="1" si="699"/>
        <v/>
      </c>
      <c r="FX348" s="450" t="str">
        <f t="shared" ca="1" si="699"/>
        <v/>
      </c>
      <c r="FY348" s="450" t="str">
        <f t="shared" ca="1" si="699"/>
        <v/>
      </c>
      <c r="FZ348" s="450" t="str">
        <f t="shared" ca="1" si="699"/>
        <v/>
      </c>
      <c r="GA348" s="450" t="str">
        <f t="shared" ca="1" si="699"/>
        <v/>
      </c>
      <c r="GB348" s="450" t="str">
        <f t="shared" ca="1" si="699"/>
        <v/>
      </c>
      <c r="GC348" s="450" t="str">
        <f t="shared" ca="1" si="699"/>
        <v/>
      </c>
      <c r="GD348" s="450" t="str">
        <f t="shared" ca="1" si="699"/>
        <v/>
      </c>
      <c r="GE348" s="450" t="str">
        <f t="shared" ca="1" si="699"/>
        <v/>
      </c>
      <c r="GF348" s="450" t="str">
        <f t="shared" ca="1" si="699"/>
        <v/>
      </c>
      <c r="GG348" s="450" t="str">
        <f t="shared" ca="1" si="699"/>
        <v/>
      </c>
      <c r="GH348" s="450" t="str">
        <f t="shared" ca="1" si="699"/>
        <v/>
      </c>
      <c r="GI348" s="450" t="str">
        <f t="shared" ca="1" si="699"/>
        <v/>
      </c>
      <c r="GJ348" s="450" t="str">
        <f t="shared" ca="1" si="699"/>
        <v/>
      </c>
      <c r="GK348" s="450" t="str">
        <f t="shared" ca="1" si="699"/>
        <v/>
      </c>
      <c r="GL348" s="450" t="str">
        <f t="shared" ca="1" si="699"/>
        <v/>
      </c>
      <c r="GM348" s="450" t="str">
        <f t="shared" ca="1" si="699"/>
        <v/>
      </c>
      <c r="GN348" s="450" t="str">
        <f t="shared" ca="1" si="699"/>
        <v/>
      </c>
      <c r="GO348" s="450" t="str">
        <f t="shared" ca="1" si="699"/>
        <v/>
      </c>
      <c r="GP348" s="450" t="str">
        <f t="shared" ca="1" si="699"/>
        <v/>
      </c>
      <c r="GQ348" s="450" t="str">
        <f t="shared" ca="1" si="699"/>
        <v/>
      </c>
      <c r="GR348" s="450" t="str">
        <f t="shared" ca="1" si="699"/>
        <v/>
      </c>
      <c r="GS348" s="450" t="str">
        <f t="shared" ca="1" si="699"/>
        <v/>
      </c>
      <c r="GT348" s="450" t="str">
        <f t="shared" ca="1" si="699"/>
        <v/>
      </c>
      <c r="GU348" s="450" t="str">
        <f t="shared" ca="1" si="699"/>
        <v/>
      </c>
      <c r="GV348" s="450" t="str">
        <f t="shared" ca="1" si="699"/>
        <v/>
      </c>
      <c r="GW348" s="450" t="str">
        <f t="shared" ca="1" si="699"/>
        <v/>
      </c>
      <c r="GX348" s="450" t="str">
        <f t="shared" ca="1" si="699"/>
        <v/>
      </c>
      <c r="GY348" s="450" t="str">
        <f t="shared" ca="1" si="699"/>
        <v/>
      </c>
      <c r="GZ348" s="450" t="str">
        <f t="shared" ca="1" si="699"/>
        <v/>
      </c>
      <c r="HA348" s="450" t="str">
        <f t="shared" ca="1" si="699"/>
        <v/>
      </c>
      <c r="HB348" s="450" t="str">
        <f t="shared" ca="1" si="699"/>
        <v/>
      </c>
      <c r="HC348" s="450" t="str">
        <f t="shared" ca="1" si="699"/>
        <v/>
      </c>
      <c r="HD348" s="450" t="str">
        <f t="shared" ca="1" si="699"/>
        <v/>
      </c>
      <c r="HE348" s="450" t="str">
        <f t="shared" ca="1" si="699"/>
        <v/>
      </c>
      <c r="HF348" s="450" t="str">
        <f t="shared" ca="1" si="699"/>
        <v/>
      </c>
      <c r="HG348" s="450" t="str">
        <f t="shared" ca="1" si="699"/>
        <v/>
      </c>
      <c r="HH348" s="450" t="str">
        <f t="shared" ca="1" si="699"/>
        <v/>
      </c>
      <c r="HI348" s="450" t="str">
        <f t="shared" ca="1" si="699"/>
        <v/>
      </c>
      <c r="HJ348" s="450" t="str">
        <f t="shared" ca="1" si="699"/>
        <v/>
      </c>
      <c r="HK348" s="450" t="str">
        <f t="shared" ca="1" si="699"/>
        <v/>
      </c>
      <c r="HL348" s="450" t="str">
        <f t="shared" ca="1" si="699"/>
        <v/>
      </c>
      <c r="HM348" s="450" t="str">
        <f t="shared" ca="1" si="699"/>
        <v/>
      </c>
      <c r="HN348" s="450" t="str">
        <f t="shared" ca="1" si="699"/>
        <v/>
      </c>
      <c r="HO348" s="450" t="str">
        <f t="shared" ca="1" si="699"/>
        <v/>
      </c>
      <c r="HP348" s="450" t="str">
        <f t="shared" ca="1" si="699"/>
        <v/>
      </c>
      <c r="HQ348" s="450" t="str">
        <f t="shared" ca="1" si="699"/>
        <v/>
      </c>
      <c r="HR348" s="450" t="str">
        <f t="shared" ca="1" si="699"/>
        <v/>
      </c>
      <c r="HS348" s="450" t="str">
        <f t="shared" ca="1" si="699"/>
        <v/>
      </c>
      <c r="HT348" s="450" t="str">
        <f t="shared" ca="1" si="699"/>
        <v/>
      </c>
      <c r="HU348" s="450" t="str">
        <f t="shared" ca="1" si="699"/>
        <v/>
      </c>
      <c r="HV348" s="450" t="str">
        <f t="shared" ca="1" si="699"/>
        <v/>
      </c>
      <c r="HW348" s="450" t="str">
        <f t="shared" ca="1" si="699"/>
        <v/>
      </c>
      <c r="HX348" s="450" t="str">
        <f t="shared" ca="1" si="699"/>
        <v/>
      </c>
      <c r="HY348" s="450" t="str">
        <f t="shared" ca="1" si="699"/>
        <v/>
      </c>
      <c r="HZ348" s="450" t="str">
        <f t="shared" ca="1" si="699"/>
        <v/>
      </c>
      <c r="IA348" s="450" t="str">
        <f t="shared" ca="1" si="675"/>
        <v/>
      </c>
      <c r="IB348" s="450" t="str">
        <f t="shared" ca="1" si="696"/>
        <v/>
      </c>
      <c r="IC348" s="450" t="str">
        <f t="shared" ca="1" si="696"/>
        <v/>
      </c>
      <c r="ID348" s="450" t="str">
        <f t="shared" ca="1" si="696"/>
        <v/>
      </c>
      <c r="IE348" s="450" t="str">
        <f t="shared" ca="1" si="696"/>
        <v/>
      </c>
      <c r="IF348" s="450" t="str">
        <f t="shared" ca="1" si="696"/>
        <v/>
      </c>
      <c r="IG348" s="450" t="str">
        <f t="shared" ca="1" si="696"/>
        <v/>
      </c>
      <c r="IH348" s="658" t="str">
        <f t="shared" ca="1" si="696"/>
        <v/>
      </c>
      <c r="II348" s="242"/>
    </row>
    <row r="349" spans="9:243">
      <c r="I349" s="132"/>
      <c r="J349" s="365"/>
      <c r="K349" s="1"/>
      <c r="L349" s="1"/>
      <c r="M349" s="366"/>
      <c r="P349" s="365"/>
      <c r="S349" s="53"/>
      <c r="T349" s="365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364"/>
      <c r="AO349" s="364">
        <v>6.55706702902141E-2</v>
      </c>
      <c r="AP349" s="103"/>
      <c r="AQ349" s="364">
        <v>5.6290014758757501E-2</v>
      </c>
      <c r="AR349" s="103"/>
      <c r="AS349" s="103"/>
      <c r="AT349" s="103"/>
      <c r="AU349" s="31"/>
      <c r="AV349" s="31"/>
      <c r="AW349" s="31"/>
      <c r="AX349" s="31"/>
      <c r="AY349" s="146"/>
      <c r="AZ349" s="146"/>
      <c r="BA349" s="103"/>
      <c r="BB349" s="103"/>
      <c r="BC349" s="103"/>
      <c r="BD349" s="103"/>
      <c r="BE349" s="104"/>
      <c r="BF349" s="104"/>
      <c r="BG349" s="104"/>
      <c r="BH349" s="102"/>
      <c r="BI349" s="104"/>
      <c r="BJ349" s="103"/>
      <c r="BK349" s="105"/>
      <c r="BL349" s="151"/>
      <c r="BM349" s="103"/>
      <c r="BN349" s="103"/>
      <c r="BO349" s="103"/>
      <c r="BP349" s="103"/>
      <c r="BQ349" s="103"/>
      <c r="BR349" s="103"/>
      <c r="BS349" s="103"/>
      <c r="BT349" s="103"/>
      <c r="BU349" s="103"/>
      <c r="BV349" s="103"/>
      <c r="BW349" s="103"/>
      <c r="BX349" s="103"/>
      <c r="BY349" s="103"/>
      <c r="BZ349" s="104"/>
      <c r="CA349" s="104"/>
      <c r="CB349" s="104"/>
      <c r="CC349" s="104"/>
      <c r="CD349" s="104"/>
      <c r="CE349" s="104"/>
      <c r="CF349" s="103"/>
      <c r="CG349" s="103"/>
      <c r="CH349" s="103"/>
      <c r="CI349" s="103"/>
      <c r="CJ349" s="103"/>
      <c r="CK349" s="103"/>
      <c r="CL349" s="103"/>
      <c r="CM349" s="103"/>
      <c r="CN349" s="103"/>
      <c r="CO349" s="103"/>
      <c r="CP349" s="103"/>
      <c r="CQ349" s="103"/>
      <c r="CR349" s="103"/>
      <c r="CS349" s="103"/>
      <c r="CT349" s="103"/>
      <c r="CU349" s="103"/>
      <c r="CV349" s="103"/>
      <c r="CW349" s="103"/>
      <c r="CX349" s="103"/>
      <c r="CY349" s="103"/>
      <c r="CZ349" s="103"/>
      <c r="DA349" s="103"/>
      <c r="DB349" s="103"/>
      <c r="DC349" s="103"/>
      <c r="DD349" s="103"/>
      <c r="DE349" s="107"/>
      <c r="DF349" s="465"/>
      <c r="DG349" s="1"/>
      <c r="DH349" s="51"/>
      <c r="DI349" s="465"/>
      <c r="DJ349" s="52"/>
      <c r="DK349" s="52"/>
      <c r="DL349" s="52"/>
      <c r="DM349" s="52"/>
      <c r="DN349" s="52"/>
      <c r="DO349" s="52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P349" s="53"/>
      <c r="EQ349" s="1"/>
      <c r="ER349" s="103"/>
      <c r="ES349" s="103"/>
      <c r="ET349" s="1"/>
      <c r="EU349" s="103"/>
      <c r="EV349" s="1"/>
      <c r="EW349" s="1"/>
      <c r="EX349" s="1"/>
      <c r="EY349" s="104"/>
      <c r="FN349" s="657">
        <v>25</v>
      </c>
      <c r="FO349" s="450">
        <f t="shared" ref="FO349:HZ349" ca="1" si="700">IF(AND(ISNUMBER(FO44),ISNUMBER(FO$320),FO$320&lt;&gt;0),FO44*FO$320/FO$15,"")</f>
        <v>7.3962594795424043E-4</v>
      </c>
      <c r="FP349" s="450">
        <f t="shared" ca="1" si="700"/>
        <v>1.2180511270134451E-3</v>
      </c>
      <c r="FQ349" s="450" t="str">
        <f t="shared" ca="1" si="700"/>
        <v/>
      </c>
      <c r="FR349" s="450" t="str">
        <f t="shared" ca="1" si="700"/>
        <v/>
      </c>
      <c r="FS349" s="450" t="str">
        <f t="shared" ca="1" si="700"/>
        <v/>
      </c>
      <c r="FT349" s="450" t="str">
        <f t="shared" ca="1" si="700"/>
        <v/>
      </c>
      <c r="FU349" s="450" t="str">
        <f t="shared" ca="1" si="700"/>
        <v/>
      </c>
      <c r="FV349" s="450" t="str">
        <f t="shared" ca="1" si="700"/>
        <v/>
      </c>
      <c r="FW349" s="450" t="str">
        <f t="shared" ca="1" si="700"/>
        <v/>
      </c>
      <c r="FX349" s="450" t="str">
        <f t="shared" ca="1" si="700"/>
        <v/>
      </c>
      <c r="FY349" s="450" t="str">
        <f t="shared" ca="1" si="700"/>
        <v/>
      </c>
      <c r="FZ349" s="450" t="str">
        <f t="shared" ca="1" si="700"/>
        <v/>
      </c>
      <c r="GA349" s="450" t="str">
        <f t="shared" ca="1" si="700"/>
        <v/>
      </c>
      <c r="GB349" s="450" t="str">
        <f t="shared" ca="1" si="700"/>
        <v/>
      </c>
      <c r="GC349" s="450" t="str">
        <f t="shared" ca="1" si="700"/>
        <v/>
      </c>
      <c r="GD349" s="450" t="str">
        <f t="shared" ca="1" si="700"/>
        <v/>
      </c>
      <c r="GE349" s="450" t="str">
        <f t="shared" ca="1" si="700"/>
        <v/>
      </c>
      <c r="GF349" s="450" t="str">
        <f t="shared" ca="1" si="700"/>
        <v/>
      </c>
      <c r="GG349" s="450" t="str">
        <f t="shared" ca="1" si="700"/>
        <v/>
      </c>
      <c r="GH349" s="450" t="str">
        <f t="shared" ca="1" si="700"/>
        <v/>
      </c>
      <c r="GI349" s="450" t="str">
        <f t="shared" ca="1" si="700"/>
        <v/>
      </c>
      <c r="GJ349" s="450" t="str">
        <f t="shared" ca="1" si="700"/>
        <v/>
      </c>
      <c r="GK349" s="450" t="str">
        <f t="shared" ca="1" si="700"/>
        <v/>
      </c>
      <c r="GL349" s="450" t="str">
        <f t="shared" ca="1" si="700"/>
        <v/>
      </c>
      <c r="GM349" s="450" t="str">
        <f t="shared" ca="1" si="700"/>
        <v/>
      </c>
      <c r="GN349" s="450" t="str">
        <f t="shared" ca="1" si="700"/>
        <v/>
      </c>
      <c r="GO349" s="450" t="str">
        <f t="shared" ca="1" si="700"/>
        <v/>
      </c>
      <c r="GP349" s="450" t="str">
        <f t="shared" ca="1" si="700"/>
        <v/>
      </c>
      <c r="GQ349" s="450" t="str">
        <f t="shared" ca="1" si="700"/>
        <v/>
      </c>
      <c r="GR349" s="450" t="str">
        <f t="shared" ca="1" si="700"/>
        <v/>
      </c>
      <c r="GS349" s="450" t="str">
        <f t="shared" ca="1" si="700"/>
        <v/>
      </c>
      <c r="GT349" s="450" t="str">
        <f t="shared" ca="1" si="700"/>
        <v/>
      </c>
      <c r="GU349" s="450" t="str">
        <f t="shared" ca="1" si="700"/>
        <v/>
      </c>
      <c r="GV349" s="450" t="str">
        <f t="shared" ca="1" si="700"/>
        <v/>
      </c>
      <c r="GW349" s="450" t="str">
        <f t="shared" ca="1" si="700"/>
        <v/>
      </c>
      <c r="GX349" s="450" t="str">
        <f t="shared" ca="1" si="700"/>
        <v/>
      </c>
      <c r="GY349" s="450" t="str">
        <f t="shared" ca="1" si="700"/>
        <v/>
      </c>
      <c r="GZ349" s="450" t="str">
        <f t="shared" ca="1" si="700"/>
        <v/>
      </c>
      <c r="HA349" s="450" t="str">
        <f t="shared" ca="1" si="700"/>
        <v/>
      </c>
      <c r="HB349" s="450" t="str">
        <f t="shared" ca="1" si="700"/>
        <v/>
      </c>
      <c r="HC349" s="450" t="str">
        <f t="shared" ca="1" si="700"/>
        <v/>
      </c>
      <c r="HD349" s="450" t="str">
        <f t="shared" ca="1" si="700"/>
        <v/>
      </c>
      <c r="HE349" s="450" t="str">
        <f t="shared" ca="1" si="700"/>
        <v/>
      </c>
      <c r="HF349" s="450" t="str">
        <f t="shared" ca="1" si="700"/>
        <v/>
      </c>
      <c r="HG349" s="450" t="str">
        <f t="shared" ca="1" si="700"/>
        <v/>
      </c>
      <c r="HH349" s="450" t="str">
        <f t="shared" ca="1" si="700"/>
        <v/>
      </c>
      <c r="HI349" s="450" t="str">
        <f t="shared" ca="1" si="700"/>
        <v/>
      </c>
      <c r="HJ349" s="450" t="str">
        <f t="shared" ca="1" si="700"/>
        <v/>
      </c>
      <c r="HK349" s="450" t="str">
        <f t="shared" ca="1" si="700"/>
        <v/>
      </c>
      <c r="HL349" s="450" t="str">
        <f t="shared" ca="1" si="700"/>
        <v/>
      </c>
      <c r="HM349" s="450" t="str">
        <f t="shared" ca="1" si="700"/>
        <v/>
      </c>
      <c r="HN349" s="450" t="str">
        <f t="shared" ca="1" si="700"/>
        <v/>
      </c>
      <c r="HO349" s="450" t="str">
        <f t="shared" ca="1" si="700"/>
        <v/>
      </c>
      <c r="HP349" s="450" t="str">
        <f t="shared" ca="1" si="700"/>
        <v/>
      </c>
      <c r="HQ349" s="450" t="str">
        <f t="shared" ca="1" si="700"/>
        <v/>
      </c>
      <c r="HR349" s="450" t="str">
        <f t="shared" ca="1" si="700"/>
        <v/>
      </c>
      <c r="HS349" s="450" t="str">
        <f t="shared" ca="1" si="700"/>
        <v/>
      </c>
      <c r="HT349" s="450" t="str">
        <f t="shared" ca="1" si="700"/>
        <v/>
      </c>
      <c r="HU349" s="450" t="str">
        <f t="shared" ca="1" si="700"/>
        <v/>
      </c>
      <c r="HV349" s="450" t="str">
        <f t="shared" ca="1" si="700"/>
        <v/>
      </c>
      <c r="HW349" s="450" t="str">
        <f t="shared" ca="1" si="700"/>
        <v/>
      </c>
      <c r="HX349" s="450" t="str">
        <f t="shared" ca="1" si="700"/>
        <v/>
      </c>
      <c r="HY349" s="450" t="str">
        <f t="shared" ca="1" si="700"/>
        <v/>
      </c>
      <c r="HZ349" s="450" t="str">
        <f t="shared" ca="1" si="700"/>
        <v/>
      </c>
      <c r="IA349" s="450" t="str">
        <f t="shared" ca="1" si="675"/>
        <v/>
      </c>
      <c r="IB349" s="450" t="str">
        <f t="shared" ca="1" si="696"/>
        <v/>
      </c>
      <c r="IC349" s="450" t="str">
        <f t="shared" ca="1" si="696"/>
        <v/>
      </c>
      <c r="ID349" s="450" t="str">
        <f t="shared" ca="1" si="696"/>
        <v/>
      </c>
      <c r="IE349" s="450" t="str">
        <f t="shared" ca="1" si="696"/>
        <v/>
      </c>
      <c r="IF349" s="450" t="str">
        <f t="shared" ca="1" si="696"/>
        <v/>
      </c>
      <c r="IG349" s="450" t="str">
        <f t="shared" ca="1" si="696"/>
        <v/>
      </c>
      <c r="IH349" s="658" t="str">
        <f t="shared" ca="1" si="696"/>
        <v/>
      </c>
      <c r="II349" s="242"/>
    </row>
    <row r="350" spans="9:243">
      <c r="I350" s="132"/>
      <c r="J350" s="365"/>
      <c r="K350" s="1"/>
      <c r="L350" s="1"/>
      <c r="M350" s="366"/>
      <c r="P350" s="365"/>
      <c r="S350" s="53"/>
      <c r="T350" s="365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364"/>
      <c r="AO350" s="364">
        <v>6.5581318068081998E-2</v>
      </c>
      <c r="AP350" s="103"/>
      <c r="AQ350" s="364">
        <v>5.62507846759202E-2</v>
      </c>
      <c r="AR350" s="103"/>
      <c r="AS350" s="103"/>
      <c r="AT350" s="103"/>
      <c r="AU350" s="31"/>
      <c r="AV350" s="31"/>
      <c r="AW350" s="31"/>
      <c r="AX350" s="31"/>
      <c r="AY350" s="146"/>
      <c r="AZ350" s="146"/>
      <c r="BA350" s="103"/>
      <c r="BB350" s="103"/>
      <c r="BC350" s="103"/>
      <c r="BD350" s="103"/>
      <c r="BE350" s="104"/>
      <c r="BF350" s="104"/>
      <c r="BG350" s="104"/>
      <c r="BH350" s="102"/>
      <c r="BI350" s="104"/>
      <c r="BJ350" s="103"/>
      <c r="BK350" s="105"/>
      <c r="BL350" s="151"/>
      <c r="BM350" s="103"/>
      <c r="BN350" s="103"/>
      <c r="BO350" s="103"/>
      <c r="BP350" s="103"/>
      <c r="BQ350" s="103"/>
      <c r="BR350" s="103"/>
      <c r="BS350" s="103"/>
      <c r="BT350" s="103"/>
      <c r="BU350" s="103"/>
      <c r="BV350" s="103"/>
      <c r="BW350" s="103"/>
      <c r="BX350" s="103"/>
      <c r="BY350" s="103"/>
      <c r="BZ350" s="104"/>
      <c r="CA350" s="104"/>
      <c r="CB350" s="104"/>
      <c r="CC350" s="104"/>
      <c r="CD350" s="104"/>
      <c r="CE350" s="104"/>
      <c r="CF350" s="103"/>
      <c r="CG350" s="103"/>
      <c r="CH350" s="103"/>
      <c r="CI350" s="103"/>
      <c r="CJ350" s="103"/>
      <c r="CK350" s="103"/>
      <c r="CL350" s="103"/>
      <c r="CM350" s="103"/>
      <c r="CN350" s="103"/>
      <c r="CO350" s="103"/>
      <c r="CP350" s="103"/>
      <c r="CQ350" s="103"/>
      <c r="CR350" s="103"/>
      <c r="CS350" s="103"/>
      <c r="CT350" s="103"/>
      <c r="CU350" s="103"/>
      <c r="CV350" s="103"/>
      <c r="CW350" s="103"/>
      <c r="CX350" s="103"/>
      <c r="CY350" s="103"/>
      <c r="CZ350" s="103"/>
      <c r="DA350" s="103"/>
      <c r="DB350" s="103"/>
      <c r="DC350" s="103"/>
      <c r="DD350" s="103"/>
      <c r="DE350" s="107"/>
      <c r="DF350" s="465"/>
      <c r="DG350" s="1"/>
      <c r="DH350" s="51"/>
      <c r="DI350" s="465"/>
      <c r="DJ350" s="52"/>
      <c r="DK350" s="52"/>
      <c r="DL350" s="52"/>
      <c r="DM350" s="52"/>
      <c r="DN350" s="52"/>
      <c r="DO350" s="52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P350" s="53"/>
      <c r="EQ350" s="1"/>
      <c r="ER350" s="103"/>
      <c r="ES350" s="103"/>
      <c r="ET350" s="1"/>
      <c r="EU350" s="103"/>
      <c r="EV350" s="1"/>
      <c r="EW350" s="1"/>
      <c r="EX350" s="1"/>
      <c r="EY350" s="104"/>
      <c r="FN350" s="657">
        <v>26</v>
      </c>
      <c r="FO350" s="450">
        <f t="shared" ref="FO350:HZ350" ca="1" si="701">IF(AND(ISNUMBER(FO45),ISNUMBER(FO$320),FO$320&lt;&gt;0),FO45*FO$320/FO$15,"")</f>
        <v>7.3041514014344708E-4</v>
      </c>
      <c r="FP350" s="450">
        <f t="shared" ca="1" si="701"/>
        <v>1.201196909665589E-3</v>
      </c>
      <c r="FQ350" s="450" t="str">
        <f t="shared" ca="1" si="701"/>
        <v/>
      </c>
      <c r="FR350" s="450" t="str">
        <f t="shared" ca="1" si="701"/>
        <v/>
      </c>
      <c r="FS350" s="450" t="str">
        <f t="shared" ca="1" si="701"/>
        <v/>
      </c>
      <c r="FT350" s="450" t="str">
        <f t="shared" ca="1" si="701"/>
        <v/>
      </c>
      <c r="FU350" s="450" t="str">
        <f t="shared" ca="1" si="701"/>
        <v/>
      </c>
      <c r="FV350" s="450" t="str">
        <f t="shared" ca="1" si="701"/>
        <v/>
      </c>
      <c r="FW350" s="450" t="str">
        <f t="shared" ca="1" si="701"/>
        <v/>
      </c>
      <c r="FX350" s="450" t="str">
        <f t="shared" ca="1" si="701"/>
        <v/>
      </c>
      <c r="FY350" s="450" t="str">
        <f t="shared" ca="1" si="701"/>
        <v/>
      </c>
      <c r="FZ350" s="450" t="str">
        <f t="shared" ca="1" si="701"/>
        <v/>
      </c>
      <c r="GA350" s="450" t="str">
        <f t="shared" ca="1" si="701"/>
        <v/>
      </c>
      <c r="GB350" s="450" t="str">
        <f t="shared" ca="1" si="701"/>
        <v/>
      </c>
      <c r="GC350" s="450" t="str">
        <f t="shared" ca="1" si="701"/>
        <v/>
      </c>
      <c r="GD350" s="450" t="str">
        <f t="shared" ca="1" si="701"/>
        <v/>
      </c>
      <c r="GE350" s="450" t="str">
        <f t="shared" ca="1" si="701"/>
        <v/>
      </c>
      <c r="GF350" s="450" t="str">
        <f t="shared" ca="1" si="701"/>
        <v/>
      </c>
      <c r="GG350" s="450" t="str">
        <f t="shared" ca="1" si="701"/>
        <v/>
      </c>
      <c r="GH350" s="450" t="str">
        <f t="shared" ca="1" si="701"/>
        <v/>
      </c>
      <c r="GI350" s="450" t="str">
        <f t="shared" ca="1" si="701"/>
        <v/>
      </c>
      <c r="GJ350" s="450" t="str">
        <f t="shared" ca="1" si="701"/>
        <v/>
      </c>
      <c r="GK350" s="450" t="str">
        <f t="shared" ca="1" si="701"/>
        <v/>
      </c>
      <c r="GL350" s="450" t="str">
        <f t="shared" ca="1" si="701"/>
        <v/>
      </c>
      <c r="GM350" s="450" t="str">
        <f t="shared" ca="1" si="701"/>
        <v/>
      </c>
      <c r="GN350" s="450" t="str">
        <f t="shared" ca="1" si="701"/>
        <v/>
      </c>
      <c r="GO350" s="450" t="str">
        <f t="shared" ca="1" si="701"/>
        <v/>
      </c>
      <c r="GP350" s="450" t="str">
        <f t="shared" ca="1" si="701"/>
        <v/>
      </c>
      <c r="GQ350" s="450" t="str">
        <f t="shared" ca="1" si="701"/>
        <v/>
      </c>
      <c r="GR350" s="450" t="str">
        <f t="shared" ca="1" si="701"/>
        <v/>
      </c>
      <c r="GS350" s="450" t="str">
        <f t="shared" ca="1" si="701"/>
        <v/>
      </c>
      <c r="GT350" s="450" t="str">
        <f t="shared" ca="1" si="701"/>
        <v/>
      </c>
      <c r="GU350" s="450" t="str">
        <f t="shared" ca="1" si="701"/>
        <v/>
      </c>
      <c r="GV350" s="450" t="str">
        <f t="shared" ca="1" si="701"/>
        <v/>
      </c>
      <c r="GW350" s="450" t="str">
        <f t="shared" ca="1" si="701"/>
        <v/>
      </c>
      <c r="GX350" s="450" t="str">
        <f t="shared" ca="1" si="701"/>
        <v/>
      </c>
      <c r="GY350" s="450" t="str">
        <f t="shared" ca="1" si="701"/>
        <v/>
      </c>
      <c r="GZ350" s="450" t="str">
        <f t="shared" ca="1" si="701"/>
        <v/>
      </c>
      <c r="HA350" s="450" t="str">
        <f t="shared" ca="1" si="701"/>
        <v/>
      </c>
      <c r="HB350" s="450" t="str">
        <f t="shared" ca="1" si="701"/>
        <v/>
      </c>
      <c r="HC350" s="450" t="str">
        <f t="shared" ca="1" si="701"/>
        <v/>
      </c>
      <c r="HD350" s="450" t="str">
        <f t="shared" ca="1" si="701"/>
        <v/>
      </c>
      <c r="HE350" s="450" t="str">
        <f t="shared" ca="1" si="701"/>
        <v/>
      </c>
      <c r="HF350" s="450" t="str">
        <f t="shared" ca="1" si="701"/>
        <v/>
      </c>
      <c r="HG350" s="450" t="str">
        <f t="shared" ca="1" si="701"/>
        <v/>
      </c>
      <c r="HH350" s="450" t="str">
        <f t="shared" ca="1" si="701"/>
        <v/>
      </c>
      <c r="HI350" s="450" t="str">
        <f t="shared" ca="1" si="701"/>
        <v/>
      </c>
      <c r="HJ350" s="450" t="str">
        <f t="shared" ca="1" si="701"/>
        <v/>
      </c>
      <c r="HK350" s="450" t="str">
        <f t="shared" ca="1" si="701"/>
        <v/>
      </c>
      <c r="HL350" s="450" t="str">
        <f t="shared" ca="1" si="701"/>
        <v/>
      </c>
      <c r="HM350" s="450" t="str">
        <f t="shared" ca="1" si="701"/>
        <v/>
      </c>
      <c r="HN350" s="450" t="str">
        <f t="shared" ca="1" si="701"/>
        <v/>
      </c>
      <c r="HO350" s="450" t="str">
        <f t="shared" ca="1" si="701"/>
        <v/>
      </c>
      <c r="HP350" s="450" t="str">
        <f t="shared" ca="1" si="701"/>
        <v/>
      </c>
      <c r="HQ350" s="450" t="str">
        <f t="shared" ca="1" si="701"/>
        <v/>
      </c>
      <c r="HR350" s="450" t="str">
        <f t="shared" ca="1" si="701"/>
        <v/>
      </c>
      <c r="HS350" s="450" t="str">
        <f t="shared" ca="1" si="701"/>
        <v/>
      </c>
      <c r="HT350" s="450" t="str">
        <f t="shared" ca="1" si="701"/>
        <v/>
      </c>
      <c r="HU350" s="450" t="str">
        <f t="shared" ca="1" si="701"/>
        <v/>
      </c>
      <c r="HV350" s="450" t="str">
        <f t="shared" ca="1" si="701"/>
        <v/>
      </c>
      <c r="HW350" s="450" t="str">
        <f t="shared" ca="1" si="701"/>
        <v/>
      </c>
      <c r="HX350" s="450" t="str">
        <f t="shared" ca="1" si="701"/>
        <v/>
      </c>
      <c r="HY350" s="450" t="str">
        <f t="shared" ca="1" si="701"/>
        <v/>
      </c>
      <c r="HZ350" s="450" t="str">
        <f t="shared" ca="1" si="701"/>
        <v/>
      </c>
      <c r="IA350" s="450" t="str">
        <f t="shared" ca="1" si="675"/>
        <v/>
      </c>
      <c r="IB350" s="450" t="str">
        <f t="shared" ca="1" si="696"/>
        <v/>
      </c>
      <c r="IC350" s="450" t="str">
        <f t="shared" ca="1" si="696"/>
        <v/>
      </c>
      <c r="ID350" s="450" t="str">
        <f t="shared" ca="1" si="696"/>
        <v/>
      </c>
      <c r="IE350" s="450" t="str">
        <f t="shared" ca="1" si="696"/>
        <v/>
      </c>
      <c r="IF350" s="450" t="str">
        <f t="shared" ca="1" si="696"/>
        <v/>
      </c>
      <c r="IG350" s="450" t="str">
        <f t="shared" ca="1" si="696"/>
        <v/>
      </c>
      <c r="IH350" s="658" t="str">
        <f t="shared" ca="1" si="696"/>
        <v/>
      </c>
      <c r="II350" s="242"/>
    </row>
    <row r="351" spans="9:243">
      <c r="I351" s="132"/>
      <c r="J351" s="365"/>
      <c r="K351" s="1"/>
      <c r="L351" s="1"/>
      <c r="M351" s="366"/>
      <c r="P351" s="365"/>
      <c r="S351" s="53"/>
      <c r="T351" s="365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364"/>
      <c r="AO351" s="364">
        <v>6.5591622369280497E-2</v>
      </c>
      <c r="AP351" s="103"/>
      <c r="AQ351" s="364">
        <v>5.6212820089868804E-2</v>
      </c>
      <c r="AR351" s="103"/>
      <c r="AS351" s="103"/>
      <c r="AT351" s="103"/>
      <c r="AU351" s="31"/>
      <c r="AV351" s="31"/>
      <c r="AW351" s="31"/>
      <c r="AX351" s="31"/>
      <c r="AY351" s="146"/>
      <c r="AZ351" s="146"/>
      <c r="BA351" s="103"/>
      <c r="BB351" s="103"/>
      <c r="BC351" s="103"/>
      <c r="BD351" s="103"/>
      <c r="BE351" s="104"/>
      <c r="BF351" s="104"/>
      <c r="BG351" s="104"/>
      <c r="BH351" s="102"/>
      <c r="BI351" s="104"/>
      <c r="BJ351" s="103"/>
      <c r="BK351" s="105"/>
      <c r="BL351" s="151"/>
      <c r="BM351" s="103"/>
      <c r="BN351" s="103"/>
      <c r="BO351" s="103"/>
      <c r="BP351" s="103"/>
      <c r="BQ351" s="103"/>
      <c r="BR351" s="103"/>
      <c r="BS351" s="103"/>
      <c r="BT351" s="103"/>
      <c r="BU351" s="103"/>
      <c r="BV351" s="103"/>
      <c r="BW351" s="103"/>
      <c r="BX351" s="103"/>
      <c r="BY351" s="103"/>
      <c r="BZ351" s="104"/>
      <c r="CA351" s="104"/>
      <c r="CB351" s="104"/>
      <c r="CC351" s="104"/>
      <c r="CD351" s="104"/>
      <c r="CE351" s="104"/>
      <c r="CF351" s="103"/>
      <c r="CG351" s="103"/>
      <c r="CH351" s="103"/>
      <c r="CI351" s="103"/>
      <c r="CJ351" s="103"/>
      <c r="CK351" s="103"/>
      <c r="CL351" s="103"/>
      <c r="CM351" s="103"/>
      <c r="CN351" s="103"/>
      <c r="CO351" s="103"/>
      <c r="CP351" s="103"/>
      <c r="CQ351" s="103"/>
      <c r="CR351" s="103"/>
      <c r="CS351" s="103"/>
      <c r="CT351" s="103"/>
      <c r="CU351" s="103"/>
      <c r="CV351" s="103"/>
      <c r="CW351" s="103"/>
      <c r="CX351" s="103"/>
      <c r="CY351" s="103"/>
      <c r="CZ351" s="103"/>
      <c r="DA351" s="103"/>
      <c r="DB351" s="103"/>
      <c r="DC351" s="103"/>
      <c r="DD351" s="103"/>
      <c r="DE351" s="107"/>
      <c r="DF351" s="465"/>
      <c r="DG351" s="1"/>
      <c r="DH351" s="51"/>
      <c r="DI351" s="465"/>
      <c r="DJ351" s="52"/>
      <c r="DK351" s="52"/>
      <c r="DL351" s="52"/>
      <c r="DM351" s="52"/>
      <c r="DN351" s="52"/>
      <c r="DO351" s="52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P351" s="53"/>
      <c r="EQ351" s="1"/>
      <c r="ER351" s="103"/>
      <c r="ES351" s="103"/>
      <c r="ET351" s="1"/>
      <c r="EU351" s="103"/>
      <c r="EV351" s="1"/>
      <c r="EW351" s="1"/>
      <c r="EX351" s="1"/>
      <c r="EY351" s="104"/>
      <c r="FN351" s="657">
        <v>27</v>
      </c>
      <c r="FO351" s="450">
        <f t="shared" ref="FO351:HZ351" ca="1" si="702">IF(AND(ISNUMBER(FO46),ISNUMBER(FO$320),FO$320&lt;&gt;0),FO46*FO$320/FO$15,"")</f>
        <v>7.22228647840267E-4</v>
      </c>
      <c r="FP351" s="450">
        <f t="shared" ca="1" si="702"/>
        <v>1.1862380052241597E-3</v>
      </c>
      <c r="FQ351" s="450" t="str">
        <f t="shared" ca="1" si="702"/>
        <v/>
      </c>
      <c r="FR351" s="450" t="str">
        <f t="shared" ca="1" si="702"/>
        <v/>
      </c>
      <c r="FS351" s="450" t="str">
        <f t="shared" ca="1" si="702"/>
        <v/>
      </c>
      <c r="FT351" s="450" t="str">
        <f t="shared" ca="1" si="702"/>
        <v/>
      </c>
      <c r="FU351" s="450" t="str">
        <f t="shared" ca="1" si="702"/>
        <v/>
      </c>
      <c r="FV351" s="450" t="str">
        <f t="shared" ca="1" si="702"/>
        <v/>
      </c>
      <c r="FW351" s="450" t="str">
        <f t="shared" ca="1" si="702"/>
        <v/>
      </c>
      <c r="FX351" s="450" t="str">
        <f t="shared" ca="1" si="702"/>
        <v/>
      </c>
      <c r="FY351" s="450" t="str">
        <f t="shared" ca="1" si="702"/>
        <v/>
      </c>
      <c r="FZ351" s="450" t="str">
        <f t="shared" ca="1" si="702"/>
        <v/>
      </c>
      <c r="GA351" s="450" t="str">
        <f t="shared" ca="1" si="702"/>
        <v/>
      </c>
      <c r="GB351" s="450" t="str">
        <f t="shared" ca="1" si="702"/>
        <v/>
      </c>
      <c r="GC351" s="450" t="str">
        <f t="shared" ca="1" si="702"/>
        <v/>
      </c>
      <c r="GD351" s="450" t="str">
        <f t="shared" ca="1" si="702"/>
        <v/>
      </c>
      <c r="GE351" s="450" t="str">
        <f t="shared" ca="1" si="702"/>
        <v/>
      </c>
      <c r="GF351" s="450" t="str">
        <f t="shared" ca="1" si="702"/>
        <v/>
      </c>
      <c r="GG351" s="450" t="str">
        <f t="shared" ca="1" si="702"/>
        <v/>
      </c>
      <c r="GH351" s="450" t="str">
        <f t="shared" ca="1" si="702"/>
        <v/>
      </c>
      <c r="GI351" s="450" t="str">
        <f t="shared" ca="1" si="702"/>
        <v/>
      </c>
      <c r="GJ351" s="450" t="str">
        <f t="shared" ca="1" si="702"/>
        <v/>
      </c>
      <c r="GK351" s="450" t="str">
        <f t="shared" ca="1" si="702"/>
        <v/>
      </c>
      <c r="GL351" s="450" t="str">
        <f t="shared" ca="1" si="702"/>
        <v/>
      </c>
      <c r="GM351" s="450" t="str">
        <f t="shared" ca="1" si="702"/>
        <v/>
      </c>
      <c r="GN351" s="450" t="str">
        <f t="shared" ca="1" si="702"/>
        <v/>
      </c>
      <c r="GO351" s="450" t="str">
        <f t="shared" ca="1" si="702"/>
        <v/>
      </c>
      <c r="GP351" s="450" t="str">
        <f t="shared" ca="1" si="702"/>
        <v/>
      </c>
      <c r="GQ351" s="450" t="str">
        <f t="shared" ca="1" si="702"/>
        <v/>
      </c>
      <c r="GR351" s="450" t="str">
        <f t="shared" ca="1" si="702"/>
        <v/>
      </c>
      <c r="GS351" s="450" t="str">
        <f t="shared" ca="1" si="702"/>
        <v/>
      </c>
      <c r="GT351" s="450" t="str">
        <f t="shared" ca="1" si="702"/>
        <v/>
      </c>
      <c r="GU351" s="450" t="str">
        <f t="shared" ca="1" si="702"/>
        <v/>
      </c>
      <c r="GV351" s="450" t="str">
        <f t="shared" ca="1" si="702"/>
        <v/>
      </c>
      <c r="GW351" s="450" t="str">
        <f t="shared" ca="1" si="702"/>
        <v/>
      </c>
      <c r="GX351" s="450" t="str">
        <f t="shared" ca="1" si="702"/>
        <v/>
      </c>
      <c r="GY351" s="450" t="str">
        <f t="shared" ca="1" si="702"/>
        <v/>
      </c>
      <c r="GZ351" s="450" t="str">
        <f t="shared" ca="1" si="702"/>
        <v/>
      </c>
      <c r="HA351" s="450" t="str">
        <f t="shared" ca="1" si="702"/>
        <v/>
      </c>
      <c r="HB351" s="450" t="str">
        <f t="shared" ca="1" si="702"/>
        <v/>
      </c>
      <c r="HC351" s="450" t="str">
        <f t="shared" ca="1" si="702"/>
        <v/>
      </c>
      <c r="HD351" s="450" t="str">
        <f t="shared" ca="1" si="702"/>
        <v/>
      </c>
      <c r="HE351" s="450" t="str">
        <f t="shared" ca="1" si="702"/>
        <v/>
      </c>
      <c r="HF351" s="450" t="str">
        <f t="shared" ca="1" si="702"/>
        <v/>
      </c>
      <c r="HG351" s="450" t="str">
        <f t="shared" ca="1" si="702"/>
        <v/>
      </c>
      <c r="HH351" s="450" t="str">
        <f t="shared" ca="1" si="702"/>
        <v/>
      </c>
      <c r="HI351" s="450" t="str">
        <f t="shared" ca="1" si="702"/>
        <v/>
      </c>
      <c r="HJ351" s="450" t="str">
        <f t="shared" ca="1" si="702"/>
        <v/>
      </c>
      <c r="HK351" s="450" t="str">
        <f t="shared" ca="1" si="702"/>
        <v/>
      </c>
      <c r="HL351" s="450" t="str">
        <f t="shared" ca="1" si="702"/>
        <v/>
      </c>
      <c r="HM351" s="450" t="str">
        <f t="shared" ca="1" si="702"/>
        <v/>
      </c>
      <c r="HN351" s="450" t="str">
        <f t="shared" ca="1" si="702"/>
        <v/>
      </c>
      <c r="HO351" s="450" t="str">
        <f t="shared" ca="1" si="702"/>
        <v/>
      </c>
      <c r="HP351" s="450" t="str">
        <f t="shared" ca="1" si="702"/>
        <v/>
      </c>
      <c r="HQ351" s="450" t="str">
        <f t="shared" ca="1" si="702"/>
        <v/>
      </c>
      <c r="HR351" s="450" t="str">
        <f t="shared" ca="1" si="702"/>
        <v/>
      </c>
      <c r="HS351" s="450" t="str">
        <f t="shared" ca="1" si="702"/>
        <v/>
      </c>
      <c r="HT351" s="450" t="str">
        <f t="shared" ca="1" si="702"/>
        <v/>
      </c>
      <c r="HU351" s="450" t="str">
        <f t="shared" ca="1" si="702"/>
        <v/>
      </c>
      <c r="HV351" s="450" t="str">
        <f t="shared" ca="1" si="702"/>
        <v/>
      </c>
      <c r="HW351" s="450" t="str">
        <f t="shared" ca="1" si="702"/>
        <v/>
      </c>
      <c r="HX351" s="450" t="str">
        <f t="shared" ca="1" si="702"/>
        <v/>
      </c>
      <c r="HY351" s="450" t="str">
        <f t="shared" ca="1" si="702"/>
        <v/>
      </c>
      <c r="HZ351" s="450" t="str">
        <f t="shared" ca="1" si="702"/>
        <v/>
      </c>
      <c r="IA351" s="450" t="str">
        <f t="shared" ca="1" si="675"/>
        <v/>
      </c>
      <c r="IB351" s="450" t="str">
        <f t="shared" ca="1" si="696"/>
        <v/>
      </c>
      <c r="IC351" s="450" t="str">
        <f t="shared" ca="1" si="696"/>
        <v/>
      </c>
      <c r="ID351" s="450" t="str">
        <f t="shared" ca="1" si="696"/>
        <v/>
      </c>
      <c r="IE351" s="450" t="str">
        <f t="shared" ca="1" si="696"/>
        <v/>
      </c>
      <c r="IF351" s="450" t="str">
        <f t="shared" ca="1" si="696"/>
        <v/>
      </c>
      <c r="IG351" s="450" t="str">
        <f t="shared" ca="1" si="696"/>
        <v/>
      </c>
      <c r="IH351" s="658" t="str">
        <f t="shared" ca="1" si="696"/>
        <v/>
      </c>
      <c r="II351" s="242"/>
    </row>
    <row r="352" spans="9:243">
      <c r="I352" s="132"/>
      <c r="J352" s="365"/>
      <c r="K352" s="1"/>
      <c r="L352" s="1"/>
      <c r="M352" s="366"/>
      <c r="P352" s="365"/>
      <c r="S352" s="53"/>
      <c r="T352" s="365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364"/>
      <c r="AO352" s="364">
        <v>6.56022701472221E-2</v>
      </c>
      <c r="AP352" s="103"/>
      <c r="AQ352" s="364">
        <v>5.6173590028199903E-2</v>
      </c>
      <c r="AR352" s="103"/>
      <c r="AS352" s="103"/>
      <c r="AT352" s="103"/>
      <c r="AU352" s="31"/>
      <c r="AV352" s="31"/>
      <c r="AW352" s="31"/>
      <c r="AX352" s="31"/>
      <c r="AY352" s="146"/>
      <c r="AZ352" s="146"/>
      <c r="BA352" s="103"/>
      <c r="BB352" s="103"/>
      <c r="BC352" s="103"/>
      <c r="BD352" s="103"/>
      <c r="BE352" s="104"/>
      <c r="BF352" s="104"/>
      <c r="BG352" s="104"/>
      <c r="BH352" s="102"/>
      <c r="BI352" s="104"/>
      <c r="BJ352" s="103"/>
      <c r="BK352" s="105"/>
      <c r="BL352" s="151"/>
      <c r="BM352" s="103"/>
      <c r="BN352" s="103"/>
      <c r="BO352" s="103"/>
      <c r="BP352" s="103"/>
      <c r="BQ352" s="103"/>
      <c r="BR352" s="103"/>
      <c r="BS352" s="103"/>
      <c r="BT352" s="103"/>
      <c r="BU352" s="103"/>
      <c r="BV352" s="103"/>
      <c r="BW352" s="103"/>
      <c r="BX352" s="103"/>
      <c r="BY352" s="103"/>
      <c r="BZ352" s="104"/>
      <c r="CA352" s="104"/>
      <c r="CB352" s="104"/>
      <c r="CC352" s="104"/>
      <c r="CD352" s="104"/>
      <c r="CE352" s="104"/>
      <c r="CF352" s="103"/>
      <c r="CG352" s="103"/>
      <c r="CH352" s="103"/>
      <c r="CI352" s="103"/>
      <c r="CJ352" s="103"/>
      <c r="CK352" s="103"/>
      <c r="CL352" s="103"/>
      <c r="CM352" s="103"/>
      <c r="CN352" s="103"/>
      <c r="CO352" s="103"/>
      <c r="CP352" s="103"/>
      <c r="CQ352" s="103"/>
      <c r="CR352" s="103"/>
      <c r="CS352" s="103"/>
      <c r="CT352" s="103"/>
      <c r="CU352" s="103"/>
      <c r="CV352" s="103"/>
      <c r="CW352" s="103"/>
      <c r="CX352" s="103"/>
      <c r="CY352" s="103"/>
      <c r="CZ352" s="103"/>
      <c r="DA352" s="103"/>
      <c r="DB352" s="103"/>
      <c r="DC352" s="103"/>
      <c r="DD352" s="103"/>
      <c r="DE352" s="107"/>
      <c r="DF352" s="465"/>
      <c r="DG352" s="1"/>
      <c r="DH352" s="51"/>
      <c r="DI352" s="465"/>
      <c r="DJ352" s="52"/>
      <c r="DK352" s="52"/>
      <c r="DL352" s="52"/>
      <c r="DM352" s="52"/>
      <c r="DN352" s="52"/>
      <c r="DO352" s="52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P352" s="53"/>
      <c r="EQ352" s="1"/>
      <c r="ER352" s="103"/>
      <c r="ES352" s="103"/>
      <c r="ET352" s="1"/>
      <c r="EU352" s="103"/>
      <c r="EV352" s="1"/>
      <c r="EW352" s="1"/>
      <c r="EX352" s="1"/>
      <c r="EY352" s="104"/>
      <c r="FN352" s="657">
        <v>28</v>
      </c>
      <c r="FO352" s="450">
        <f t="shared" ref="FO352:HZ352" ca="1" si="703">IF(AND(ISNUMBER(FO47),ISNUMBER(FO$320),FO$320&lt;&gt;0),FO47*FO$320/FO$15,"")</f>
        <v>7.1494338354663868E-4</v>
      </c>
      <c r="FP352" s="450">
        <f t="shared" ca="1" si="703"/>
        <v>1.1729426506158201E-3</v>
      </c>
      <c r="FQ352" s="450" t="str">
        <f t="shared" ca="1" si="703"/>
        <v/>
      </c>
      <c r="FR352" s="450" t="str">
        <f t="shared" ca="1" si="703"/>
        <v/>
      </c>
      <c r="FS352" s="450" t="str">
        <f t="shared" ca="1" si="703"/>
        <v/>
      </c>
      <c r="FT352" s="450" t="str">
        <f t="shared" ca="1" si="703"/>
        <v/>
      </c>
      <c r="FU352" s="450" t="str">
        <f t="shared" ca="1" si="703"/>
        <v/>
      </c>
      <c r="FV352" s="450" t="str">
        <f t="shared" ca="1" si="703"/>
        <v/>
      </c>
      <c r="FW352" s="450" t="str">
        <f t="shared" ca="1" si="703"/>
        <v/>
      </c>
      <c r="FX352" s="450" t="str">
        <f t="shared" ca="1" si="703"/>
        <v/>
      </c>
      <c r="FY352" s="450" t="str">
        <f t="shared" ca="1" si="703"/>
        <v/>
      </c>
      <c r="FZ352" s="450" t="str">
        <f t="shared" ca="1" si="703"/>
        <v/>
      </c>
      <c r="GA352" s="450" t="str">
        <f t="shared" ca="1" si="703"/>
        <v/>
      </c>
      <c r="GB352" s="450" t="str">
        <f t="shared" ca="1" si="703"/>
        <v/>
      </c>
      <c r="GC352" s="450" t="str">
        <f t="shared" ca="1" si="703"/>
        <v/>
      </c>
      <c r="GD352" s="450" t="str">
        <f t="shared" ca="1" si="703"/>
        <v/>
      </c>
      <c r="GE352" s="450" t="str">
        <f t="shared" ca="1" si="703"/>
        <v/>
      </c>
      <c r="GF352" s="450" t="str">
        <f t="shared" ca="1" si="703"/>
        <v/>
      </c>
      <c r="GG352" s="450" t="str">
        <f t="shared" ca="1" si="703"/>
        <v/>
      </c>
      <c r="GH352" s="450" t="str">
        <f t="shared" ca="1" si="703"/>
        <v/>
      </c>
      <c r="GI352" s="450" t="str">
        <f t="shared" ca="1" si="703"/>
        <v/>
      </c>
      <c r="GJ352" s="450" t="str">
        <f t="shared" ca="1" si="703"/>
        <v/>
      </c>
      <c r="GK352" s="450" t="str">
        <f t="shared" ca="1" si="703"/>
        <v/>
      </c>
      <c r="GL352" s="450" t="str">
        <f t="shared" ca="1" si="703"/>
        <v/>
      </c>
      <c r="GM352" s="450" t="str">
        <f t="shared" ca="1" si="703"/>
        <v/>
      </c>
      <c r="GN352" s="450" t="str">
        <f t="shared" ca="1" si="703"/>
        <v/>
      </c>
      <c r="GO352" s="450" t="str">
        <f t="shared" ca="1" si="703"/>
        <v/>
      </c>
      <c r="GP352" s="450" t="str">
        <f t="shared" ca="1" si="703"/>
        <v/>
      </c>
      <c r="GQ352" s="450" t="str">
        <f t="shared" ca="1" si="703"/>
        <v/>
      </c>
      <c r="GR352" s="450" t="str">
        <f t="shared" ca="1" si="703"/>
        <v/>
      </c>
      <c r="GS352" s="450" t="str">
        <f t="shared" ca="1" si="703"/>
        <v/>
      </c>
      <c r="GT352" s="450" t="str">
        <f t="shared" ca="1" si="703"/>
        <v/>
      </c>
      <c r="GU352" s="450" t="str">
        <f t="shared" ca="1" si="703"/>
        <v/>
      </c>
      <c r="GV352" s="450" t="str">
        <f t="shared" ca="1" si="703"/>
        <v/>
      </c>
      <c r="GW352" s="450" t="str">
        <f t="shared" ca="1" si="703"/>
        <v/>
      </c>
      <c r="GX352" s="450" t="str">
        <f t="shared" ca="1" si="703"/>
        <v/>
      </c>
      <c r="GY352" s="450" t="str">
        <f t="shared" ca="1" si="703"/>
        <v/>
      </c>
      <c r="GZ352" s="450" t="str">
        <f t="shared" ca="1" si="703"/>
        <v/>
      </c>
      <c r="HA352" s="450" t="str">
        <f t="shared" ca="1" si="703"/>
        <v/>
      </c>
      <c r="HB352" s="450" t="str">
        <f t="shared" ca="1" si="703"/>
        <v/>
      </c>
      <c r="HC352" s="450" t="str">
        <f t="shared" ca="1" si="703"/>
        <v/>
      </c>
      <c r="HD352" s="450" t="str">
        <f t="shared" ca="1" si="703"/>
        <v/>
      </c>
      <c r="HE352" s="450" t="str">
        <f t="shared" ca="1" si="703"/>
        <v/>
      </c>
      <c r="HF352" s="450" t="str">
        <f t="shared" ca="1" si="703"/>
        <v/>
      </c>
      <c r="HG352" s="450" t="str">
        <f t="shared" ca="1" si="703"/>
        <v/>
      </c>
      <c r="HH352" s="450" t="str">
        <f t="shared" ca="1" si="703"/>
        <v/>
      </c>
      <c r="HI352" s="450" t="str">
        <f t="shared" ca="1" si="703"/>
        <v/>
      </c>
      <c r="HJ352" s="450" t="str">
        <f t="shared" ca="1" si="703"/>
        <v/>
      </c>
      <c r="HK352" s="450" t="str">
        <f t="shared" ca="1" si="703"/>
        <v/>
      </c>
      <c r="HL352" s="450" t="str">
        <f t="shared" ca="1" si="703"/>
        <v/>
      </c>
      <c r="HM352" s="450" t="str">
        <f t="shared" ca="1" si="703"/>
        <v/>
      </c>
      <c r="HN352" s="450" t="str">
        <f t="shared" ca="1" si="703"/>
        <v/>
      </c>
      <c r="HO352" s="450" t="str">
        <f t="shared" ca="1" si="703"/>
        <v/>
      </c>
      <c r="HP352" s="450" t="str">
        <f t="shared" ca="1" si="703"/>
        <v/>
      </c>
      <c r="HQ352" s="450" t="str">
        <f t="shared" ca="1" si="703"/>
        <v/>
      </c>
      <c r="HR352" s="450" t="str">
        <f t="shared" ca="1" si="703"/>
        <v/>
      </c>
      <c r="HS352" s="450" t="str">
        <f t="shared" ca="1" si="703"/>
        <v/>
      </c>
      <c r="HT352" s="450" t="str">
        <f t="shared" ca="1" si="703"/>
        <v/>
      </c>
      <c r="HU352" s="450" t="str">
        <f t="shared" ca="1" si="703"/>
        <v/>
      </c>
      <c r="HV352" s="450" t="str">
        <f t="shared" ca="1" si="703"/>
        <v/>
      </c>
      <c r="HW352" s="450" t="str">
        <f t="shared" ca="1" si="703"/>
        <v/>
      </c>
      <c r="HX352" s="450" t="str">
        <f t="shared" ca="1" si="703"/>
        <v/>
      </c>
      <c r="HY352" s="450" t="str">
        <f t="shared" ca="1" si="703"/>
        <v/>
      </c>
      <c r="HZ352" s="450" t="str">
        <f t="shared" ca="1" si="703"/>
        <v/>
      </c>
      <c r="IA352" s="450" t="str">
        <f t="shared" ca="1" si="675"/>
        <v/>
      </c>
      <c r="IB352" s="450" t="str">
        <f t="shared" ca="1" si="696"/>
        <v/>
      </c>
      <c r="IC352" s="450" t="str">
        <f t="shared" ca="1" si="696"/>
        <v/>
      </c>
      <c r="ID352" s="450" t="str">
        <f t="shared" ca="1" si="696"/>
        <v/>
      </c>
      <c r="IE352" s="450" t="str">
        <f t="shared" ca="1" si="696"/>
        <v/>
      </c>
      <c r="IF352" s="450" t="str">
        <f t="shared" ca="1" si="696"/>
        <v/>
      </c>
      <c r="IG352" s="450" t="str">
        <f t="shared" ca="1" si="696"/>
        <v/>
      </c>
      <c r="IH352" s="658" t="str">
        <f t="shared" ca="1" si="696"/>
        <v/>
      </c>
      <c r="II352" s="242"/>
    </row>
    <row r="353" spans="9:242">
      <c r="I353" s="132"/>
      <c r="J353" s="365"/>
      <c r="K353" s="1"/>
      <c r="L353" s="1"/>
      <c r="M353" s="366"/>
      <c r="P353" s="365"/>
      <c r="S353" s="53"/>
      <c r="T353" s="365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364"/>
      <c r="AO353" s="364">
        <v>6.5612917925201394E-2</v>
      </c>
      <c r="AP353" s="103"/>
      <c r="AQ353" s="364">
        <v>5.6134359977290299E-2</v>
      </c>
      <c r="AR353" s="103"/>
      <c r="AS353" s="103"/>
      <c r="AT353" s="103"/>
      <c r="AU353" s="31"/>
      <c r="AV353" s="31"/>
      <c r="AW353" s="31"/>
      <c r="AX353" s="31"/>
      <c r="AY353" s="146"/>
      <c r="AZ353" s="146"/>
      <c r="BA353" s="103"/>
      <c r="BB353" s="103"/>
      <c r="BC353" s="103"/>
      <c r="BD353" s="103"/>
      <c r="BE353" s="104"/>
      <c r="BF353" s="104"/>
      <c r="BG353" s="104"/>
      <c r="BH353" s="102"/>
      <c r="BI353" s="104"/>
      <c r="BJ353" s="103"/>
      <c r="BK353" s="105"/>
      <c r="BL353" s="151"/>
      <c r="BM353" s="103"/>
      <c r="BN353" s="103"/>
      <c r="BO353" s="103"/>
      <c r="BP353" s="103"/>
      <c r="BQ353" s="103"/>
      <c r="BR353" s="103"/>
      <c r="BS353" s="103"/>
      <c r="BT353" s="103"/>
      <c r="BU353" s="103"/>
      <c r="BV353" s="103"/>
      <c r="BW353" s="103"/>
      <c r="BX353" s="103"/>
      <c r="BY353" s="103"/>
      <c r="BZ353" s="104"/>
      <c r="CA353" s="104"/>
      <c r="CB353" s="104"/>
      <c r="CC353" s="104"/>
      <c r="CD353" s="104"/>
      <c r="CE353" s="104"/>
      <c r="CF353" s="103"/>
      <c r="CG353" s="103"/>
      <c r="CH353" s="103"/>
      <c r="CI353" s="103"/>
      <c r="CJ353" s="103"/>
      <c r="CK353" s="103"/>
      <c r="CL353" s="103"/>
      <c r="CM353" s="103"/>
      <c r="CN353" s="103"/>
      <c r="CO353" s="103"/>
      <c r="CP353" s="103"/>
      <c r="CQ353" s="103"/>
      <c r="CR353" s="103"/>
      <c r="CS353" s="103"/>
      <c r="CT353" s="103"/>
      <c r="CU353" s="103"/>
      <c r="CV353" s="103"/>
      <c r="CW353" s="103"/>
      <c r="CX353" s="103"/>
      <c r="CY353" s="103"/>
      <c r="CZ353" s="103"/>
      <c r="DA353" s="103"/>
      <c r="DB353" s="103"/>
      <c r="DC353" s="103"/>
      <c r="DD353" s="103"/>
      <c r="DE353" s="107"/>
      <c r="DF353" s="465"/>
      <c r="DG353" s="1"/>
      <c r="DH353" s="51"/>
      <c r="DI353" s="465"/>
      <c r="DJ353" s="52"/>
      <c r="DK353" s="52"/>
      <c r="DL353" s="52"/>
      <c r="DM353" s="52"/>
      <c r="DN353" s="52"/>
      <c r="DO353" s="52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P353" s="53"/>
      <c r="EQ353" s="1"/>
      <c r="ER353" s="103"/>
      <c r="ES353" s="103"/>
      <c r="ET353" s="1"/>
      <c r="EU353" s="103"/>
      <c r="EV353" s="1"/>
      <c r="EW353" s="1"/>
      <c r="EX353" s="1"/>
      <c r="EY353" s="104"/>
      <c r="FN353" s="657">
        <v>29</v>
      </c>
      <c r="FO353" s="450">
        <f t="shared" ref="FO353:HZ353" ca="1" si="704">IF(AND(ISNUMBER(FO48),ISNUMBER(FO$320),FO$320&lt;&gt;0),FO48*FO$320/FO$15,"")</f>
        <v>7.0845278480381095E-4</v>
      </c>
      <c r="FP353" s="450">
        <f t="shared" ca="1" si="704"/>
        <v>1.1611109443596943E-3</v>
      </c>
      <c r="FQ353" s="450" t="str">
        <f t="shared" ca="1" si="704"/>
        <v/>
      </c>
      <c r="FR353" s="450" t="str">
        <f t="shared" ca="1" si="704"/>
        <v/>
      </c>
      <c r="FS353" s="450" t="str">
        <f t="shared" ca="1" si="704"/>
        <v/>
      </c>
      <c r="FT353" s="450" t="str">
        <f t="shared" ca="1" si="704"/>
        <v/>
      </c>
      <c r="FU353" s="450" t="str">
        <f t="shared" ca="1" si="704"/>
        <v/>
      </c>
      <c r="FV353" s="450" t="str">
        <f t="shared" ca="1" si="704"/>
        <v/>
      </c>
      <c r="FW353" s="450" t="str">
        <f t="shared" ca="1" si="704"/>
        <v/>
      </c>
      <c r="FX353" s="450" t="str">
        <f t="shared" ca="1" si="704"/>
        <v/>
      </c>
      <c r="FY353" s="450" t="str">
        <f t="shared" ca="1" si="704"/>
        <v/>
      </c>
      <c r="FZ353" s="450" t="str">
        <f t="shared" ca="1" si="704"/>
        <v/>
      </c>
      <c r="GA353" s="450" t="str">
        <f t="shared" ca="1" si="704"/>
        <v/>
      </c>
      <c r="GB353" s="450" t="str">
        <f t="shared" ca="1" si="704"/>
        <v/>
      </c>
      <c r="GC353" s="450" t="str">
        <f t="shared" ca="1" si="704"/>
        <v/>
      </c>
      <c r="GD353" s="450" t="str">
        <f t="shared" ca="1" si="704"/>
        <v/>
      </c>
      <c r="GE353" s="450" t="str">
        <f t="shared" ca="1" si="704"/>
        <v/>
      </c>
      <c r="GF353" s="450" t="str">
        <f t="shared" ca="1" si="704"/>
        <v/>
      </c>
      <c r="GG353" s="450" t="str">
        <f t="shared" ca="1" si="704"/>
        <v/>
      </c>
      <c r="GH353" s="450" t="str">
        <f t="shared" ca="1" si="704"/>
        <v/>
      </c>
      <c r="GI353" s="450" t="str">
        <f t="shared" ca="1" si="704"/>
        <v/>
      </c>
      <c r="GJ353" s="450" t="str">
        <f t="shared" ca="1" si="704"/>
        <v/>
      </c>
      <c r="GK353" s="450" t="str">
        <f t="shared" ca="1" si="704"/>
        <v/>
      </c>
      <c r="GL353" s="450" t="str">
        <f t="shared" ca="1" si="704"/>
        <v/>
      </c>
      <c r="GM353" s="450" t="str">
        <f t="shared" ca="1" si="704"/>
        <v/>
      </c>
      <c r="GN353" s="450" t="str">
        <f t="shared" ca="1" si="704"/>
        <v/>
      </c>
      <c r="GO353" s="450" t="str">
        <f t="shared" ca="1" si="704"/>
        <v/>
      </c>
      <c r="GP353" s="450" t="str">
        <f t="shared" ca="1" si="704"/>
        <v/>
      </c>
      <c r="GQ353" s="450" t="str">
        <f t="shared" ca="1" si="704"/>
        <v/>
      </c>
      <c r="GR353" s="450" t="str">
        <f t="shared" ca="1" si="704"/>
        <v/>
      </c>
      <c r="GS353" s="450" t="str">
        <f t="shared" ca="1" si="704"/>
        <v/>
      </c>
      <c r="GT353" s="450" t="str">
        <f t="shared" ca="1" si="704"/>
        <v/>
      </c>
      <c r="GU353" s="450" t="str">
        <f t="shared" ca="1" si="704"/>
        <v/>
      </c>
      <c r="GV353" s="450" t="str">
        <f t="shared" ca="1" si="704"/>
        <v/>
      </c>
      <c r="GW353" s="450" t="str">
        <f t="shared" ca="1" si="704"/>
        <v/>
      </c>
      <c r="GX353" s="450" t="str">
        <f t="shared" ca="1" si="704"/>
        <v/>
      </c>
      <c r="GY353" s="450" t="str">
        <f t="shared" ca="1" si="704"/>
        <v/>
      </c>
      <c r="GZ353" s="450" t="str">
        <f t="shared" ca="1" si="704"/>
        <v/>
      </c>
      <c r="HA353" s="450" t="str">
        <f t="shared" ca="1" si="704"/>
        <v/>
      </c>
      <c r="HB353" s="450" t="str">
        <f t="shared" ca="1" si="704"/>
        <v/>
      </c>
      <c r="HC353" s="450" t="str">
        <f t="shared" ca="1" si="704"/>
        <v/>
      </c>
      <c r="HD353" s="450" t="str">
        <f t="shared" ca="1" si="704"/>
        <v/>
      </c>
      <c r="HE353" s="450" t="str">
        <f t="shared" ca="1" si="704"/>
        <v/>
      </c>
      <c r="HF353" s="450" t="str">
        <f t="shared" ca="1" si="704"/>
        <v/>
      </c>
      <c r="HG353" s="450" t="str">
        <f t="shared" ca="1" si="704"/>
        <v/>
      </c>
      <c r="HH353" s="450" t="str">
        <f t="shared" ca="1" si="704"/>
        <v/>
      </c>
      <c r="HI353" s="450" t="str">
        <f t="shared" ca="1" si="704"/>
        <v/>
      </c>
      <c r="HJ353" s="450" t="str">
        <f t="shared" ca="1" si="704"/>
        <v/>
      </c>
      <c r="HK353" s="450" t="str">
        <f t="shared" ca="1" si="704"/>
        <v/>
      </c>
      <c r="HL353" s="450" t="str">
        <f t="shared" ca="1" si="704"/>
        <v/>
      </c>
      <c r="HM353" s="450" t="str">
        <f t="shared" ca="1" si="704"/>
        <v/>
      </c>
      <c r="HN353" s="450" t="str">
        <f t="shared" ca="1" si="704"/>
        <v/>
      </c>
      <c r="HO353" s="450" t="str">
        <f t="shared" ca="1" si="704"/>
        <v/>
      </c>
      <c r="HP353" s="450" t="str">
        <f t="shared" ca="1" si="704"/>
        <v/>
      </c>
      <c r="HQ353" s="450" t="str">
        <f t="shared" ca="1" si="704"/>
        <v/>
      </c>
      <c r="HR353" s="450" t="str">
        <f t="shared" ca="1" si="704"/>
        <v/>
      </c>
      <c r="HS353" s="450" t="str">
        <f t="shared" ca="1" si="704"/>
        <v/>
      </c>
      <c r="HT353" s="450" t="str">
        <f t="shared" ca="1" si="704"/>
        <v/>
      </c>
      <c r="HU353" s="450" t="str">
        <f t="shared" ca="1" si="704"/>
        <v/>
      </c>
      <c r="HV353" s="450" t="str">
        <f t="shared" ca="1" si="704"/>
        <v/>
      </c>
      <c r="HW353" s="450" t="str">
        <f t="shared" ca="1" si="704"/>
        <v/>
      </c>
      <c r="HX353" s="450" t="str">
        <f t="shared" ca="1" si="704"/>
        <v/>
      </c>
      <c r="HY353" s="450" t="str">
        <f t="shared" ca="1" si="704"/>
        <v/>
      </c>
      <c r="HZ353" s="450" t="str">
        <f t="shared" ca="1" si="704"/>
        <v/>
      </c>
      <c r="IA353" s="450" t="str">
        <f t="shared" ca="1" si="675"/>
        <v/>
      </c>
      <c r="IB353" s="450" t="str">
        <f t="shared" ca="1" si="696"/>
        <v/>
      </c>
      <c r="IC353" s="450" t="str">
        <f t="shared" ca="1" si="696"/>
        <v/>
      </c>
      <c r="ID353" s="450" t="str">
        <f t="shared" ca="1" si="696"/>
        <v/>
      </c>
      <c r="IE353" s="450" t="str">
        <f t="shared" ca="1" si="696"/>
        <v/>
      </c>
      <c r="IF353" s="450" t="str">
        <f t="shared" ca="1" si="696"/>
        <v/>
      </c>
      <c r="IG353" s="450" t="str">
        <f t="shared" ca="1" si="696"/>
        <v/>
      </c>
      <c r="IH353" s="658" t="str">
        <f t="shared" ca="1" si="696"/>
        <v/>
      </c>
    </row>
    <row r="354" spans="9:242">
      <c r="I354" s="132"/>
      <c r="J354" s="365"/>
      <c r="K354" s="1"/>
      <c r="L354" s="1"/>
      <c r="M354" s="366"/>
      <c r="P354" s="365"/>
      <c r="S354" s="53"/>
      <c r="T354" s="365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364"/>
      <c r="AO354" s="364">
        <v>6.5622535273086202E-2</v>
      </c>
      <c r="AP354" s="103"/>
      <c r="AQ354" s="364">
        <v>5.6098926392167403E-2</v>
      </c>
      <c r="AR354" s="103"/>
      <c r="AS354" s="103"/>
      <c r="AT354" s="103"/>
      <c r="AU354" s="31"/>
      <c r="AV354" s="31"/>
      <c r="AW354" s="31"/>
      <c r="AX354" s="31"/>
      <c r="AY354" s="146"/>
      <c r="AZ354" s="146"/>
      <c r="BA354" s="103"/>
      <c r="BB354" s="103"/>
      <c r="BC354" s="103"/>
      <c r="BD354" s="103"/>
      <c r="BE354" s="104"/>
      <c r="BF354" s="104"/>
      <c r="BG354" s="104"/>
      <c r="BH354" s="102"/>
      <c r="BI354" s="104"/>
      <c r="BJ354" s="103"/>
      <c r="BK354" s="105"/>
      <c r="BL354" s="151"/>
      <c r="BM354" s="103"/>
      <c r="BN354" s="103"/>
      <c r="BO354" s="103"/>
      <c r="BP354" s="103"/>
      <c r="BQ354" s="103"/>
      <c r="BR354" s="103"/>
      <c r="BS354" s="103"/>
      <c r="BT354" s="103"/>
      <c r="BU354" s="103"/>
      <c r="BV354" s="103"/>
      <c r="BW354" s="103"/>
      <c r="BX354" s="103"/>
      <c r="BY354" s="103"/>
      <c r="BZ354" s="104"/>
      <c r="CA354" s="104"/>
      <c r="CB354" s="104"/>
      <c r="CC354" s="104"/>
      <c r="CD354" s="104"/>
      <c r="CE354" s="104"/>
      <c r="CF354" s="103"/>
      <c r="CG354" s="103"/>
      <c r="CH354" s="103"/>
      <c r="CI354" s="103"/>
      <c r="CJ354" s="103"/>
      <c r="CK354" s="103"/>
      <c r="CL354" s="103"/>
      <c r="CM354" s="103"/>
      <c r="CN354" s="103"/>
      <c r="CO354" s="103"/>
      <c r="CP354" s="103"/>
      <c r="CQ354" s="103"/>
      <c r="CR354" s="103"/>
      <c r="CS354" s="103"/>
      <c r="CT354" s="103"/>
      <c r="CU354" s="103"/>
      <c r="CV354" s="103"/>
      <c r="CW354" s="103"/>
      <c r="CX354" s="103"/>
      <c r="CY354" s="103"/>
      <c r="CZ354" s="103"/>
      <c r="DA354" s="103"/>
      <c r="DB354" s="103"/>
      <c r="DC354" s="103"/>
      <c r="DD354" s="103"/>
      <c r="DE354" s="107"/>
      <c r="DF354" s="465"/>
      <c r="DG354" s="1"/>
      <c r="DH354" s="51"/>
      <c r="DI354" s="465"/>
      <c r="DJ354" s="52"/>
      <c r="DK354" s="52"/>
      <c r="DL354" s="52"/>
      <c r="DM354" s="52"/>
      <c r="DN354" s="52"/>
      <c r="DO354" s="52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P354" s="53"/>
      <c r="EQ354" s="1"/>
      <c r="ER354" s="103"/>
      <c r="ES354" s="103"/>
      <c r="ET354" s="1"/>
      <c r="EU354" s="103"/>
      <c r="EV354" s="1"/>
      <c r="EW354" s="1"/>
      <c r="EX354" s="1"/>
      <c r="EY354" s="104"/>
      <c r="FN354" s="657">
        <v>30</v>
      </c>
      <c r="FO354" s="450">
        <f t="shared" ref="FO354:HZ354" ca="1" si="705">IF(AND(ISNUMBER(FO49),ISNUMBER(FO$320),FO$320&lt;&gt;0),FO49*FO$320/FO$15,"")</f>
        <v>7.0266427822524707E-4</v>
      </c>
      <c r="FP354" s="450">
        <f t="shared" ca="1" si="705"/>
        <v>1.150569822630084E-3</v>
      </c>
      <c r="FQ354" s="450" t="str">
        <f t="shared" ca="1" si="705"/>
        <v/>
      </c>
      <c r="FR354" s="450" t="str">
        <f t="shared" ca="1" si="705"/>
        <v/>
      </c>
      <c r="FS354" s="450" t="str">
        <f t="shared" ca="1" si="705"/>
        <v/>
      </c>
      <c r="FT354" s="450" t="str">
        <f t="shared" ca="1" si="705"/>
        <v/>
      </c>
      <c r="FU354" s="450" t="str">
        <f t="shared" ca="1" si="705"/>
        <v/>
      </c>
      <c r="FV354" s="450" t="str">
        <f t="shared" ca="1" si="705"/>
        <v/>
      </c>
      <c r="FW354" s="450" t="str">
        <f t="shared" ca="1" si="705"/>
        <v/>
      </c>
      <c r="FX354" s="450" t="str">
        <f t="shared" ca="1" si="705"/>
        <v/>
      </c>
      <c r="FY354" s="450" t="str">
        <f t="shared" ca="1" si="705"/>
        <v/>
      </c>
      <c r="FZ354" s="450" t="str">
        <f t="shared" ca="1" si="705"/>
        <v/>
      </c>
      <c r="GA354" s="450" t="str">
        <f t="shared" ca="1" si="705"/>
        <v/>
      </c>
      <c r="GB354" s="450" t="str">
        <f t="shared" ca="1" si="705"/>
        <v/>
      </c>
      <c r="GC354" s="450" t="str">
        <f t="shared" ca="1" si="705"/>
        <v/>
      </c>
      <c r="GD354" s="450" t="str">
        <f t="shared" ca="1" si="705"/>
        <v/>
      </c>
      <c r="GE354" s="450" t="str">
        <f t="shared" ca="1" si="705"/>
        <v/>
      </c>
      <c r="GF354" s="450" t="str">
        <f t="shared" ca="1" si="705"/>
        <v/>
      </c>
      <c r="GG354" s="450" t="str">
        <f t="shared" ca="1" si="705"/>
        <v/>
      </c>
      <c r="GH354" s="450" t="str">
        <f t="shared" ca="1" si="705"/>
        <v/>
      </c>
      <c r="GI354" s="450" t="str">
        <f t="shared" ca="1" si="705"/>
        <v/>
      </c>
      <c r="GJ354" s="450" t="str">
        <f t="shared" ca="1" si="705"/>
        <v/>
      </c>
      <c r="GK354" s="450" t="str">
        <f t="shared" ca="1" si="705"/>
        <v/>
      </c>
      <c r="GL354" s="450" t="str">
        <f t="shared" ca="1" si="705"/>
        <v/>
      </c>
      <c r="GM354" s="450" t="str">
        <f t="shared" ca="1" si="705"/>
        <v/>
      </c>
      <c r="GN354" s="450" t="str">
        <f t="shared" ca="1" si="705"/>
        <v/>
      </c>
      <c r="GO354" s="450" t="str">
        <f t="shared" ca="1" si="705"/>
        <v/>
      </c>
      <c r="GP354" s="450" t="str">
        <f t="shared" ca="1" si="705"/>
        <v/>
      </c>
      <c r="GQ354" s="450" t="str">
        <f t="shared" ca="1" si="705"/>
        <v/>
      </c>
      <c r="GR354" s="450" t="str">
        <f t="shared" ca="1" si="705"/>
        <v/>
      </c>
      <c r="GS354" s="450" t="str">
        <f t="shared" ca="1" si="705"/>
        <v/>
      </c>
      <c r="GT354" s="450" t="str">
        <f t="shared" ca="1" si="705"/>
        <v/>
      </c>
      <c r="GU354" s="450" t="str">
        <f t="shared" ca="1" si="705"/>
        <v/>
      </c>
      <c r="GV354" s="450" t="str">
        <f t="shared" ca="1" si="705"/>
        <v/>
      </c>
      <c r="GW354" s="450" t="str">
        <f t="shared" ca="1" si="705"/>
        <v/>
      </c>
      <c r="GX354" s="450" t="str">
        <f t="shared" ca="1" si="705"/>
        <v/>
      </c>
      <c r="GY354" s="450" t="str">
        <f t="shared" ca="1" si="705"/>
        <v/>
      </c>
      <c r="GZ354" s="450" t="str">
        <f t="shared" ca="1" si="705"/>
        <v/>
      </c>
      <c r="HA354" s="450" t="str">
        <f t="shared" ca="1" si="705"/>
        <v/>
      </c>
      <c r="HB354" s="450" t="str">
        <f t="shared" ca="1" si="705"/>
        <v/>
      </c>
      <c r="HC354" s="450" t="str">
        <f t="shared" ca="1" si="705"/>
        <v/>
      </c>
      <c r="HD354" s="450" t="str">
        <f t="shared" ca="1" si="705"/>
        <v/>
      </c>
      <c r="HE354" s="450" t="str">
        <f t="shared" ca="1" si="705"/>
        <v/>
      </c>
      <c r="HF354" s="450" t="str">
        <f t="shared" ca="1" si="705"/>
        <v/>
      </c>
      <c r="HG354" s="450" t="str">
        <f t="shared" ca="1" si="705"/>
        <v/>
      </c>
      <c r="HH354" s="450" t="str">
        <f t="shared" ca="1" si="705"/>
        <v/>
      </c>
      <c r="HI354" s="450" t="str">
        <f t="shared" ca="1" si="705"/>
        <v/>
      </c>
      <c r="HJ354" s="450" t="str">
        <f t="shared" ca="1" si="705"/>
        <v/>
      </c>
      <c r="HK354" s="450" t="str">
        <f t="shared" ca="1" si="705"/>
        <v/>
      </c>
      <c r="HL354" s="450" t="str">
        <f t="shared" ca="1" si="705"/>
        <v/>
      </c>
      <c r="HM354" s="450" t="str">
        <f t="shared" ca="1" si="705"/>
        <v/>
      </c>
      <c r="HN354" s="450" t="str">
        <f t="shared" ca="1" si="705"/>
        <v/>
      </c>
      <c r="HO354" s="450" t="str">
        <f t="shared" ca="1" si="705"/>
        <v/>
      </c>
      <c r="HP354" s="450" t="str">
        <f t="shared" ca="1" si="705"/>
        <v/>
      </c>
      <c r="HQ354" s="450" t="str">
        <f t="shared" ca="1" si="705"/>
        <v/>
      </c>
      <c r="HR354" s="450" t="str">
        <f t="shared" ca="1" si="705"/>
        <v/>
      </c>
      <c r="HS354" s="450" t="str">
        <f t="shared" ca="1" si="705"/>
        <v/>
      </c>
      <c r="HT354" s="450" t="str">
        <f t="shared" ca="1" si="705"/>
        <v/>
      </c>
      <c r="HU354" s="450" t="str">
        <f t="shared" ca="1" si="705"/>
        <v/>
      </c>
      <c r="HV354" s="450" t="str">
        <f t="shared" ca="1" si="705"/>
        <v/>
      </c>
      <c r="HW354" s="450" t="str">
        <f t="shared" ca="1" si="705"/>
        <v/>
      </c>
      <c r="HX354" s="450" t="str">
        <f t="shared" ca="1" si="705"/>
        <v/>
      </c>
      <c r="HY354" s="450" t="str">
        <f t="shared" ca="1" si="705"/>
        <v/>
      </c>
      <c r="HZ354" s="450" t="str">
        <f t="shared" ca="1" si="705"/>
        <v/>
      </c>
      <c r="IA354" s="450" t="str">
        <f t="shared" ca="1" si="675"/>
        <v/>
      </c>
      <c r="IB354" s="450" t="str">
        <f t="shared" ca="1" si="696"/>
        <v/>
      </c>
      <c r="IC354" s="450" t="str">
        <f t="shared" ca="1" si="696"/>
        <v/>
      </c>
      <c r="ID354" s="450" t="str">
        <f t="shared" ca="1" si="696"/>
        <v/>
      </c>
      <c r="IE354" s="450" t="str">
        <f t="shared" ca="1" si="696"/>
        <v/>
      </c>
      <c r="IF354" s="450" t="str">
        <f t="shared" ca="1" si="696"/>
        <v/>
      </c>
      <c r="IG354" s="450" t="str">
        <f t="shared" ca="1" si="696"/>
        <v/>
      </c>
      <c r="IH354" s="658" t="str">
        <f t="shared" ca="1" si="696"/>
        <v/>
      </c>
    </row>
    <row r="355" spans="9:242">
      <c r="I355" s="132"/>
      <c r="J355" s="365"/>
      <c r="K355" s="1"/>
      <c r="L355" s="1"/>
      <c r="M355" s="366"/>
      <c r="P355" s="365"/>
      <c r="S355" s="53"/>
      <c r="T355" s="365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364"/>
      <c r="AO355" s="364">
        <v>6.5633183051136995E-2</v>
      </c>
      <c r="AP355" s="103"/>
      <c r="AQ355" s="364">
        <v>5.6059696361733004E-2</v>
      </c>
      <c r="AR355" s="103"/>
      <c r="AS355" s="103"/>
      <c r="AT355" s="103"/>
      <c r="AU355" s="31"/>
      <c r="AV355" s="31"/>
      <c r="AW355" s="31"/>
      <c r="AX355" s="31"/>
      <c r="AY355" s="146"/>
      <c r="AZ355" s="146"/>
      <c r="BA355" s="103"/>
      <c r="BB355" s="103"/>
      <c r="BC355" s="103"/>
      <c r="BD355" s="103"/>
      <c r="BE355" s="104"/>
      <c r="BF355" s="104"/>
      <c r="BG355" s="104"/>
      <c r="BH355" s="102"/>
      <c r="BI355" s="104"/>
      <c r="BJ355" s="103"/>
      <c r="BK355" s="105"/>
      <c r="BL355" s="151"/>
      <c r="BM355" s="103"/>
      <c r="BN355" s="103"/>
      <c r="BO355" s="103"/>
      <c r="BP355" s="103"/>
      <c r="BQ355" s="103"/>
      <c r="BR355" s="103"/>
      <c r="BS355" s="103"/>
      <c r="BT355" s="103"/>
      <c r="BU355" s="103"/>
      <c r="BV355" s="103"/>
      <c r="BW355" s="103"/>
      <c r="BX355" s="103"/>
      <c r="BY355" s="103"/>
      <c r="BZ355" s="104"/>
      <c r="CA355" s="104"/>
      <c r="CB355" s="104"/>
      <c r="CC355" s="104"/>
      <c r="CD355" s="104"/>
      <c r="CE355" s="104"/>
      <c r="CF355" s="103"/>
      <c r="CG355" s="103"/>
      <c r="CH355" s="103"/>
      <c r="CI355" s="103"/>
      <c r="CJ355" s="103"/>
      <c r="CK355" s="103"/>
      <c r="CL355" s="103"/>
      <c r="CM355" s="103"/>
      <c r="CN355" s="103"/>
      <c r="CO355" s="103"/>
      <c r="CP355" s="103"/>
      <c r="CQ355" s="103"/>
      <c r="CR355" s="103"/>
      <c r="CS355" s="103"/>
      <c r="CT355" s="103"/>
      <c r="CU355" s="103"/>
      <c r="CV355" s="103"/>
      <c r="CW355" s="103"/>
      <c r="CX355" s="103"/>
      <c r="CY355" s="103"/>
      <c r="CZ355" s="103"/>
      <c r="DA355" s="103"/>
      <c r="DB355" s="103"/>
      <c r="DC355" s="103"/>
      <c r="DD355" s="103"/>
      <c r="DE355" s="107"/>
      <c r="DF355" s="465"/>
      <c r="DG355" s="1"/>
      <c r="DH355" s="51"/>
      <c r="DI355" s="465"/>
      <c r="DJ355" s="52"/>
      <c r="DK355" s="52"/>
      <c r="DL355" s="52"/>
      <c r="DM355" s="52"/>
      <c r="DN355" s="52"/>
      <c r="DO355" s="52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P355" s="53"/>
      <c r="EQ355" s="1"/>
      <c r="ER355" s="103"/>
      <c r="ES355" s="103"/>
      <c r="ET355" s="1"/>
      <c r="EU355" s="103"/>
      <c r="EV355" s="1"/>
      <c r="EW355" s="1"/>
      <c r="EX355" s="1"/>
      <c r="EY355" s="104"/>
      <c r="FN355" s="657">
        <v>31</v>
      </c>
      <c r="FO355" s="450">
        <f t="shared" ref="FO355:HZ355" ca="1" si="706">IF(AND(ISNUMBER(FO50),ISNUMBER(FO$320),FO$320&lt;&gt;0),FO50*FO$320/FO$15,"")</f>
        <v>6.9749718848285914E-4</v>
      </c>
      <c r="FP355" s="450">
        <f t="shared" ca="1" si="706"/>
        <v>1.141168940693773E-3</v>
      </c>
      <c r="FQ355" s="450" t="str">
        <f t="shared" ca="1" si="706"/>
        <v/>
      </c>
      <c r="FR355" s="450" t="str">
        <f t="shared" ca="1" si="706"/>
        <v/>
      </c>
      <c r="FS355" s="450" t="str">
        <f t="shared" ca="1" si="706"/>
        <v/>
      </c>
      <c r="FT355" s="450" t="str">
        <f t="shared" ca="1" si="706"/>
        <v/>
      </c>
      <c r="FU355" s="450" t="str">
        <f t="shared" ca="1" si="706"/>
        <v/>
      </c>
      <c r="FV355" s="450" t="str">
        <f t="shared" ca="1" si="706"/>
        <v/>
      </c>
      <c r="FW355" s="450" t="str">
        <f t="shared" ca="1" si="706"/>
        <v/>
      </c>
      <c r="FX355" s="450" t="str">
        <f t="shared" ca="1" si="706"/>
        <v/>
      </c>
      <c r="FY355" s="450" t="str">
        <f t="shared" ca="1" si="706"/>
        <v/>
      </c>
      <c r="FZ355" s="450" t="str">
        <f t="shared" ca="1" si="706"/>
        <v/>
      </c>
      <c r="GA355" s="450" t="str">
        <f t="shared" ca="1" si="706"/>
        <v/>
      </c>
      <c r="GB355" s="450" t="str">
        <f t="shared" ca="1" si="706"/>
        <v/>
      </c>
      <c r="GC355" s="450" t="str">
        <f t="shared" ca="1" si="706"/>
        <v/>
      </c>
      <c r="GD355" s="450" t="str">
        <f t="shared" ca="1" si="706"/>
        <v/>
      </c>
      <c r="GE355" s="450" t="str">
        <f t="shared" ca="1" si="706"/>
        <v/>
      </c>
      <c r="GF355" s="450" t="str">
        <f t="shared" ca="1" si="706"/>
        <v/>
      </c>
      <c r="GG355" s="450" t="str">
        <f t="shared" ca="1" si="706"/>
        <v/>
      </c>
      <c r="GH355" s="450" t="str">
        <f t="shared" ca="1" si="706"/>
        <v/>
      </c>
      <c r="GI355" s="450" t="str">
        <f t="shared" ca="1" si="706"/>
        <v/>
      </c>
      <c r="GJ355" s="450" t="str">
        <f t="shared" ca="1" si="706"/>
        <v/>
      </c>
      <c r="GK355" s="450" t="str">
        <f t="shared" ca="1" si="706"/>
        <v/>
      </c>
      <c r="GL355" s="450" t="str">
        <f t="shared" ca="1" si="706"/>
        <v/>
      </c>
      <c r="GM355" s="450" t="str">
        <f t="shared" ca="1" si="706"/>
        <v/>
      </c>
      <c r="GN355" s="450" t="str">
        <f t="shared" ca="1" si="706"/>
        <v/>
      </c>
      <c r="GO355" s="450" t="str">
        <f t="shared" ca="1" si="706"/>
        <v/>
      </c>
      <c r="GP355" s="450" t="str">
        <f t="shared" ca="1" si="706"/>
        <v/>
      </c>
      <c r="GQ355" s="450" t="str">
        <f t="shared" ca="1" si="706"/>
        <v/>
      </c>
      <c r="GR355" s="450" t="str">
        <f t="shared" ca="1" si="706"/>
        <v/>
      </c>
      <c r="GS355" s="450" t="str">
        <f t="shared" ca="1" si="706"/>
        <v/>
      </c>
      <c r="GT355" s="450" t="str">
        <f t="shared" ca="1" si="706"/>
        <v/>
      </c>
      <c r="GU355" s="450" t="str">
        <f t="shared" ca="1" si="706"/>
        <v/>
      </c>
      <c r="GV355" s="450" t="str">
        <f t="shared" ca="1" si="706"/>
        <v/>
      </c>
      <c r="GW355" s="450" t="str">
        <f t="shared" ca="1" si="706"/>
        <v/>
      </c>
      <c r="GX355" s="450" t="str">
        <f t="shared" ca="1" si="706"/>
        <v/>
      </c>
      <c r="GY355" s="450" t="str">
        <f t="shared" ca="1" si="706"/>
        <v/>
      </c>
      <c r="GZ355" s="450" t="str">
        <f t="shared" ca="1" si="706"/>
        <v/>
      </c>
      <c r="HA355" s="450" t="str">
        <f t="shared" ca="1" si="706"/>
        <v/>
      </c>
      <c r="HB355" s="450" t="str">
        <f t="shared" ca="1" si="706"/>
        <v/>
      </c>
      <c r="HC355" s="450" t="str">
        <f t="shared" ca="1" si="706"/>
        <v/>
      </c>
      <c r="HD355" s="450" t="str">
        <f t="shared" ca="1" si="706"/>
        <v/>
      </c>
      <c r="HE355" s="450" t="str">
        <f t="shared" ca="1" si="706"/>
        <v/>
      </c>
      <c r="HF355" s="450" t="str">
        <f t="shared" ca="1" si="706"/>
        <v/>
      </c>
      <c r="HG355" s="450" t="str">
        <f t="shared" ca="1" si="706"/>
        <v/>
      </c>
      <c r="HH355" s="450" t="str">
        <f t="shared" ca="1" si="706"/>
        <v/>
      </c>
      <c r="HI355" s="450" t="str">
        <f t="shared" ca="1" si="706"/>
        <v/>
      </c>
      <c r="HJ355" s="450" t="str">
        <f t="shared" ca="1" si="706"/>
        <v/>
      </c>
      <c r="HK355" s="450" t="str">
        <f t="shared" ca="1" si="706"/>
        <v/>
      </c>
      <c r="HL355" s="450" t="str">
        <f t="shared" ca="1" si="706"/>
        <v/>
      </c>
      <c r="HM355" s="450" t="str">
        <f t="shared" ca="1" si="706"/>
        <v/>
      </c>
      <c r="HN355" s="450" t="str">
        <f t="shared" ca="1" si="706"/>
        <v/>
      </c>
      <c r="HO355" s="450" t="str">
        <f t="shared" ca="1" si="706"/>
        <v/>
      </c>
      <c r="HP355" s="450" t="str">
        <f t="shared" ca="1" si="706"/>
        <v/>
      </c>
      <c r="HQ355" s="450" t="str">
        <f t="shared" ca="1" si="706"/>
        <v/>
      </c>
      <c r="HR355" s="450" t="str">
        <f t="shared" ca="1" si="706"/>
        <v/>
      </c>
      <c r="HS355" s="450" t="str">
        <f t="shared" ca="1" si="706"/>
        <v/>
      </c>
      <c r="HT355" s="450" t="str">
        <f t="shared" ca="1" si="706"/>
        <v/>
      </c>
      <c r="HU355" s="450" t="str">
        <f t="shared" ca="1" si="706"/>
        <v/>
      </c>
      <c r="HV355" s="450" t="str">
        <f t="shared" ca="1" si="706"/>
        <v/>
      </c>
      <c r="HW355" s="450" t="str">
        <f t="shared" ca="1" si="706"/>
        <v/>
      </c>
      <c r="HX355" s="450" t="str">
        <f t="shared" ca="1" si="706"/>
        <v/>
      </c>
      <c r="HY355" s="450" t="str">
        <f t="shared" ca="1" si="706"/>
        <v/>
      </c>
      <c r="HZ355" s="450" t="str">
        <f t="shared" ca="1" si="706"/>
        <v/>
      </c>
      <c r="IA355" s="450" t="str">
        <f t="shared" ca="1" si="675"/>
        <v/>
      </c>
      <c r="IB355" s="450" t="str">
        <f t="shared" ref="IB355:IH364" ca="1" si="707">IF(AND(ISNUMBER(IB50),ISNUMBER(IB$320),IB$320&lt;&gt;0),IB50*IB$320/IB$15,"")</f>
        <v/>
      </c>
      <c r="IC355" s="450" t="str">
        <f t="shared" ca="1" si="707"/>
        <v/>
      </c>
      <c r="ID355" s="450" t="str">
        <f t="shared" ca="1" si="707"/>
        <v/>
      </c>
      <c r="IE355" s="450" t="str">
        <f t="shared" ca="1" si="707"/>
        <v/>
      </c>
      <c r="IF355" s="450" t="str">
        <f t="shared" ca="1" si="707"/>
        <v/>
      </c>
      <c r="IG355" s="450" t="str">
        <f t="shared" ca="1" si="707"/>
        <v/>
      </c>
      <c r="IH355" s="658" t="str">
        <f t="shared" ca="1" si="707"/>
        <v/>
      </c>
    </row>
    <row r="356" spans="9:242">
      <c r="I356" s="132"/>
      <c r="J356" s="365"/>
      <c r="K356" s="1"/>
      <c r="L356" s="1"/>
      <c r="M356" s="366"/>
      <c r="P356" s="365"/>
      <c r="S356" s="53"/>
      <c r="T356" s="365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364"/>
      <c r="AO356" s="364">
        <v>6.56434873525127E-2</v>
      </c>
      <c r="AP356" s="103"/>
      <c r="AQ356" s="364">
        <v>5.60217318263962E-2</v>
      </c>
      <c r="AR356" s="103"/>
      <c r="AS356" s="103"/>
      <c r="AT356" s="103"/>
      <c r="AU356" s="31"/>
      <c r="AV356" s="31"/>
      <c r="AW356" s="31"/>
      <c r="AX356" s="31"/>
      <c r="AY356" s="146"/>
      <c r="AZ356" s="146"/>
      <c r="BA356" s="103"/>
      <c r="BB356" s="103"/>
      <c r="BC356" s="103"/>
      <c r="BD356" s="103"/>
      <c r="BE356" s="104"/>
      <c r="BF356" s="104"/>
      <c r="BG356" s="104"/>
      <c r="BH356" s="102"/>
      <c r="BI356" s="104"/>
      <c r="BJ356" s="103"/>
      <c r="BK356" s="105"/>
      <c r="BL356" s="151"/>
      <c r="BM356" s="103"/>
      <c r="BN356" s="103"/>
      <c r="BO356" s="103"/>
      <c r="BP356" s="103"/>
      <c r="BQ356" s="103"/>
      <c r="BR356" s="103"/>
      <c r="BS356" s="103"/>
      <c r="BT356" s="103"/>
      <c r="BU356" s="103"/>
      <c r="BV356" s="103"/>
      <c r="BW356" s="103"/>
      <c r="BX356" s="103"/>
      <c r="BY356" s="103"/>
      <c r="BZ356" s="104"/>
      <c r="CA356" s="104"/>
      <c r="CB356" s="104"/>
      <c r="CC356" s="104"/>
      <c r="CD356" s="104"/>
      <c r="CE356" s="104"/>
      <c r="CF356" s="103"/>
      <c r="CG356" s="103"/>
      <c r="CH356" s="103"/>
      <c r="CI356" s="103"/>
      <c r="CJ356" s="103"/>
      <c r="CK356" s="103"/>
      <c r="CL356" s="103"/>
      <c r="CM356" s="103"/>
      <c r="CN356" s="103"/>
      <c r="CO356" s="103"/>
      <c r="CP356" s="103"/>
      <c r="CQ356" s="103"/>
      <c r="CR356" s="103"/>
      <c r="CS356" s="103"/>
      <c r="CT356" s="103"/>
      <c r="CU356" s="103"/>
      <c r="CV356" s="103"/>
      <c r="CW356" s="103"/>
      <c r="CX356" s="103"/>
      <c r="CY356" s="103"/>
      <c r="CZ356" s="103"/>
      <c r="DA356" s="103"/>
      <c r="DB356" s="103"/>
      <c r="DC356" s="103"/>
      <c r="DD356" s="103"/>
      <c r="DE356" s="107"/>
      <c r="DF356" s="465"/>
      <c r="DG356" s="1"/>
      <c r="DH356" s="51"/>
      <c r="DI356" s="465"/>
      <c r="DJ356" s="52"/>
      <c r="DK356" s="52"/>
      <c r="DL356" s="52"/>
      <c r="DM356" s="52"/>
      <c r="DN356" s="52"/>
      <c r="DO356" s="52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P356" s="53"/>
      <c r="EQ356" s="1"/>
      <c r="ER356" s="103"/>
      <c r="ES356" s="103"/>
      <c r="ET356" s="1"/>
      <c r="EU356" s="103"/>
      <c r="EV356" s="1"/>
      <c r="EW356" s="1"/>
      <c r="EX356" s="1"/>
      <c r="EY356" s="104"/>
      <c r="FN356" s="657">
        <v>32</v>
      </c>
      <c r="FO356" s="450">
        <f t="shared" ref="FO356:HZ356" ca="1" si="708">IF(AND(ISNUMBER(FO51),ISNUMBER(FO$320),FO$320&lt;&gt;0),FO51*FO$320/FO$15,"")</f>
        <v>6.9288100460718064E-4</v>
      </c>
      <c r="FP356" s="450">
        <f t="shared" ca="1" si="708"/>
        <v>1.1327772769782311E-3</v>
      </c>
      <c r="FQ356" s="450" t="str">
        <f t="shared" ca="1" si="708"/>
        <v/>
      </c>
      <c r="FR356" s="450" t="str">
        <f t="shared" ca="1" si="708"/>
        <v/>
      </c>
      <c r="FS356" s="450" t="str">
        <f t="shared" ca="1" si="708"/>
        <v/>
      </c>
      <c r="FT356" s="450" t="str">
        <f t="shared" ca="1" si="708"/>
        <v/>
      </c>
      <c r="FU356" s="450" t="str">
        <f t="shared" ca="1" si="708"/>
        <v/>
      </c>
      <c r="FV356" s="450" t="str">
        <f t="shared" ca="1" si="708"/>
        <v/>
      </c>
      <c r="FW356" s="450" t="str">
        <f t="shared" ca="1" si="708"/>
        <v/>
      </c>
      <c r="FX356" s="450" t="str">
        <f t="shared" ca="1" si="708"/>
        <v/>
      </c>
      <c r="FY356" s="450" t="str">
        <f t="shared" ca="1" si="708"/>
        <v/>
      </c>
      <c r="FZ356" s="450" t="str">
        <f t="shared" ca="1" si="708"/>
        <v/>
      </c>
      <c r="GA356" s="450" t="str">
        <f t="shared" ca="1" si="708"/>
        <v/>
      </c>
      <c r="GB356" s="450" t="str">
        <f t="shared" ca="1" si="708"/>
        <v/>
      </c>
      <c r="GC356" s="450" t="str">
        <f t="shared" ca="1" si="708"/>
        <v/>
      </c>
      <c r="GD356" s="450" t="str">
        <f t="shared" ca="1" si="708"/>
        <v/>
      </c>
      <c r="GE356" s="450" t="str">
        <f t="shared" ca="1" si="708"/>
        <v/>
      </c>
      <c r="GF356" s="450" t="str">
        <f t="shared" ca="1" si="708"/>
        <v/>
      </c>
      <c r="GG356" s="450" t="str">
        <f t="shared" ca="1" si="708"/>
        <v/>
      </c>
      <c r="GH356" s="450" t="str">
        <f t="shared" ca="1" si="708"/>
        <v/>
      </c>
      <c r="GI356" s="450" t="str">
        <f t="shared" ca="1" si="708"/>
        <v/>
      </c>
      <c r="GJ356" s="450" t="str">
        <f t="shared" ca="1" si="708"/>
        <v/>
      </c>
      <c r="GK356" s="450" t="str">
        <f t="shared" ca="1" si="708"/>
        <v/>
      </c>
      <c r="GL356" s="450" t="str">
        <f t="shared" ca="1" si="708"/>
        <v/>
      </c>
      <c r="GM356" s="450" t="str">
        <f t="shared" ca="1" si="708"/>
        <v/>
      </c>
      <c r="GN356" s="450" t="str">
        <f t="shared" ca="1" si="708"/>
        <v/>
      </c>
      <c r="GO356" s="450" t="str">
        <f t="shared" ca="1" si="708"/>
        <v/>
      </c>
      <c r="GP356" s="450" t="str">
        <f t="shared" ca="1" si="708"/>
        <v/>
      </c>
      <c r="GQ356" s="450" t="str">
        <f t="shared" ca="1" si="708"/>
        <v/>
      </c>
      <c r="GR356" s="450" t="str">
        <f t="shared" ca="1" si="708"/>
        <v/>
      </c>
      <c r="GS356" s="450" t="str">
        <f t="shared" ca="1" si="708"/>
        <v/>
      </c>
      <c r="GT356" s="450" t="str">
        <f t="shared" ca="1" si="708"/>
        <v/>
      </c>
      <c r="GU356" s="450" t="str">
        <f t="shared" ca="1" si="708"/>
        <v/>
      </c>
      <c r="GV356" s="450" t="str">
        <f t="shared" ca="1" si="708"/>
        <v/>
      </c>
      <c r="GW356" s="450" t="str">
        <f t="shared" ca="1" si="708"/>
        <v/>
      </c>
      <c r="GX356" s="450" t="str">
        <f t="shared" ca="1" si="708"/>
        <v/>
      </c>
      <c r="GY356" s="450" t="str">
        <f t="shared" ca="1" si="708"/>
        <v/>
      </c>
      <c r="GZ356" s="450" t="str">
        <f t="shared" ca="1" si="708"/>
        <v/>
      </c>
      <c r="HA356" s="450" t="str">
        <f t="shared" ca="1" si="708"/>
        <v/>
      </c>
      <c r="HB356" s="450" t="str">
        <f t="shared" ca="1" si="708"/>
        <v/>
      </c>
      <c r="HC356" s="450" t="str">
        <f t="shared" ca="1" si="708"/>
        <v/>
      </c>
      <c r="HD356" s="450" t="str">
        <f t="shared" ca="1" si="708"/>
        <v/>
      </c>
      <c r="HE356" s="450" t="str">
        <f t="shared" ca="1" si="708"/>
        <v/>
      </c>
      <c r="HF356" s="450" t="str">
        <f t="shared" ca="1" si="708"/>
        <v/>
      </c>
      <c r="HG356" s="450" t="str">
        <f t="shared" ca="1" si="708"/>
        <v/>
      </c>
      <c r="HH356" s="450" t="str">
        <f t="shared" ca="1" si="708"/>
        <v/>
      </c>
      <c r="HI356" s="450" t="str">
        <f t="shared" ca="1" si="708"/>
        <v/>
      </c>
      <c r="HJ356" s="450" t="str">
        <f t="shared" ca="1" si="708"/>
        <v/>
      </c>
      <c r="HK356" s="450" t="str">
        <f t="shared" ca="1" si="708"/>
        <v/>
      </c>
      <c r="HL356" s="450" t="str">
        <f t="shared" ca="1" si="708"/>
        <v/>
      </c>
      <c r="HM356" s="450" t="str">
        <f t="shared" ca="1" si="708"/>
        <v/>
      </c>
      <c r="HN356" s="450" t="str">
        <f t="shared" ca="1" si="708"/>
        <v/>
      </c>
      <c r="HO356" s="450" t="str">
        <f t="shared" ca="1" si="708"/>
        <v/>
      </c>
      <c r="HP356" s="450" t="str">
        <f t="shared" ca="1" si="708"/>
        <v/>
      </c>
      <c r="HQ356" s="450" t="str">
        <f t="shared" ca="1" si="708"/>
        <v/>
      </c>
      <c r="HR356" s="450" t="str">
        <f t="shared" ca="1" si="708"/>
        <v/>
      </c>
      <c r="HS356" s="450" t="str">
        <f t="shared" ca="1" si="708"/>
        <v/>
      </c>
      <c r="HT356" s="450" t="str">
        <f t="shared" ca="1" si="708"/>
        <v/>
      </c>
      <c r="HU356" s="450" t="str">
        <f t="shared" ca="1" si="708"/>
        <v/>
      </c>
      <c r="HV356" s="450" t="str">
        <f t="shared" ca="1" si="708"/>
        <v/>
      </c>
      <c r="HW356" s="450" t="str">
        <f t="shared" ca="1" si="708"/>
        <v/>
      </c>
      <c r="HX356" s="450" t="str">
        <f t="shared" ca="1" si="708"/>
        <v/>
      </c>
      <c r="HY356" s="450" t="str">
        <f t="shared" ca="1" si="708"/>
        <v/>
      </c>
      <c r="HZ356" s="450" t="str">
        <f t="shared" ca="1" si="708"/>
        <v/>
      </c>
      <c r="IA356" s="450" t="str">
        <f t="shared" ca="1" si="675"/>
        <v/>
      </c>
      <c r="IB356" s="450" t="str">
        <f t="shared" ca="1" si="707"/>
        <v/>
      </c>
      <c r="IC356" s="450" t="str">
        <f t="shared" ca="1" si="707"/>
        <v/>
      </c>
      <c r="ID356" s="450" t="str">
        <f t="shared" ca="1" si="707"/>
        <v/>
      </c>
      <c r="IE356" s="450" t="str">
        <f t="shared" ca="1" si="707"/>
        <v/>
      </c>
      <c r="IF356" s="450" t="str">
        <f t="shared" ca="1" si="707"/>
        <v/>
      </c>
      <c r="IG356" s="450" t="str">
        <f t="shared" ca="1" si="707"/>
        <v/>
      </c>
      <c r="IH356" s="658" t="str">
        <f t="shared" ca="1" si="707"/>
        <v/>
      </c>
    </row>
    <row r="357" spans="9:242">
      <c r="I357" s="132"/>
      <c r="J357" s="365"/>
      <c r="K357" s="1"/>
      <c r="L357" s="1"/>
      <c r="M357" s="366"/>
      <c r="P357" s="365"/>
      <c r="S357" s="53"/>
      <c r="T357" s="365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364"/>
      <c r="AO357" s="364">
        <v>6.5654135130637711E-2</v>
      </c>
      <c r="AP357" s="103"/>
      <c r="AQ357" s="364">
        <v>5.5982501817133407E-2</v>
      </c>
      <c r="AR357" s="103"/>
      <c r="AS357" s="103"/>
      <c r="AT357" s="103"/>
      <c r="AU357" s="31"/>
      <c r="AV357" s="31"/>
      <c r="AW357" s="31"/>
      <c r="AX357" s="31"/>
      <c r="AY357" s="146"/>
      <c r="AZ357" s="146"/>
      <c r="BA357" s="103"/>
      <c r="BB357" s="103"/>
      <c r="BC357" s="103"/>
      <c r="BD357" s="103"/>
      <c r="BE357" s="104"/>
      <c r="BF357" s="104"/>
      <c r="BG357" s="104"/>
      <c r="BH357" s="102"/>
      <c r="BI357" s="104"/>
      <c r="BJ357" s="103"/>
      <c r="BK357" s="105"/>
      <c r="BL357" s="151"/>
      <c r="BM357" s="103"/>
      <c r="BN357" s="103"/>
      <c r="BO357" s="103"/>
      <c r="BP357" s="103"/>
      <c r="BQ357" s="103"/>
      <c r="BR357" s="103"/>
      <c r="BS357" s="103"/>
      <c r="BT357" s="103"/>
      <c r="BU357" s="103"/>
      <c r="BV357" s="103"/>
      <c r="BW357" s="103"/>
      <c r="BX357" s="103"/>
      <c r="BY357" s="103"/>
      <c r="BZ357" s="104"/>
      <c r="CA357" s="104"/>
      <c r="CB357" s="104"/>
      <c r="CC357" s="104"/>
      <c r="CD357" s="104"/>
      <c r="CE357" s="104"/>
      <c r="CF357" s="103"/>
      <c r="CG357" s="103"/>
      <c r="CH357" s="103"/>
      <c r="CI357" s="103"/>
      <c r="CJ357" s="103"/>
      <c r="CK357" s="103"/>
      <c r="CL357" s="103"/>
      <c r="CM357" s="103"/>
      <c r="CN357" s="103"/>
      <c r="CO357" s="103"/>
      <c r="CP357" s="103"/>
      <c r="CQ357" s="103"/>
      <c r="CR357" s="103"/>
      <c r="CS357" s="103"/>
      <c r="CT357" s="103"/>
      <c r="CU357" s="103"/>
      <c r="CV357" s="103"/>
      <c r="CW357" s="103"/>
      <c r="CX357" s="103"/>
      <c r="CY357" s="103"/>
      <c r="CZ357" s="103"/>
      <c r="DA357" s="103"/>
      <c r="DB357" s="103"/>
      <c r="DC357" s="103"/>
      <c r="DD357" s="103"/>
      <c r="DE357" s="107"/>
      <c r="DF357" s="465"/>
      <c r="DG357" s="1"/>
      <c r="DH357" s="51"/>
      <c r="DI357" s="465"/>
      <c r="DJ357" s="52"/>
      <c r="DK357" s="52"/>
      <c r="DL357" s="52"/>
      <c r="DM357" s="52"/>
      <c r="DN357" s="52"/>
      <c r="DO357" s="52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P357" s="53"/>
      <c r="EQ357" s="1"/>
      <c r="ER357" s="103"/>
      <c r="ES357" s="103"/>
      <c r="ET357" s="1"/>
      <c r="EU357" s="103"/>
      <c r="EV357" s="1"/>
      <c r="EW357" s="1"/>
      <c r="EX357" s="1"/>
      <c r="EY357" s="104"/>
      <c r="FN357" s="657">
        <v>33</v>
      </c>
      <c r="FO357" s="450">
        <f t="shared" ref="FO357:HZ357" ca="1" si="709">IF(AND(ISNUMBER(FO52),ISNUMBER(FO$320),FO$320&lt;&gt;0),FO52*FO$320/FO$15,"")</f>
        <v>6.8875393491193244E-4</v>
      </c>
      <c r="FP357" s="450">
        <f t="shared" ca="1" si="709"/>
        <v>1.125280317439088E-3</v>
      </c>
      <c r="FQ357" s="450" t="str">
        <f t="shared" ca="1" si="709"/>
        <v/>
      </c>
      <c r="FR357" s="450" t="str">
        <f t="shared" ca="1" si="709"/>
        <v/>
      </c>
      <c r="FS357" s="450" t="str">
        <f t="shared" ca="1" si="709"/>
        <v/>
      </c>
      <c r="FT357" s="450" t="str">
        <f t="shared" ca="1" si="709"/>
        <v/>
      </c>
      <c r="FU357" s="450" t="str">
        <f t="shared" ca="1" si="709"/>
        <v/>
      </c>
      <c r="FV357" s="450" t="str">
        <f t="shared" ca="1" si="709"/>
        <v/>
      </c>
      <c r="FW357" s="450" t="str">
        <f t="shared" ca="1" si="709"/>
        <v/>
      </c>
      <c r="FX357" s="450" t="str">
        <f t="shared" ca="1" si="709"/>
        <v/>
      </c>
      <c r="FY357" s="450" t="str">
        <f t="shared" ca="1" si="709"/>
        <v/>
      </c>
      <c r="FZ357" s="450" t="str">
        <f t="shared" ca="1" si="709"/>
        <v/>
      </c>
      <c r="GA357" s="450" t="str">
        <f t="shared" ca="1" si="709"/>
        <v/>
      </c>
      <c r="GB357" s="450" t="str">
        <f t="shared" ca="1" si="709"/>
        <v/>
      </c>
      <c r="GC357" s="450" t="str">
        <f t="shared" ca="1" si="709"/>
        <v/>
      </c>
      <c r="GD357" s="450" t="str">
        <f t="shared" ca="1" si="709"/>
        <v/>
      </c>
      <c r="GE357" s="450" t="str">
        <f t="shared" ca="1" si="709"/>
        <v/>
      </c>
      <c r="GF357" s="450" t="str">
        <f t="shared" ca="1" si="709"/>
        <v/>
      </c>
      <c r="GG357" s="450" t="str">
        <f t="shared" ca="1" si="709"/>
        <v/>
      </c>
      <c r="GH357" s="450" t="str">
        <f t="shared" ca="1" si="709"/>
        <v/>
      </c>
      <c r="GI357" s="450" t="str">
        <f t="shared" ca="1" si="709"/>
        <v/>
      </c>
      <c r="GJ357" s="450" t="str">
        <f t="shared" ca="1" si="709"/>
        <v/>
      </c>
      <c r="GK357" s="450" t="str">
        <f t="shared" ca="1" si="709"/>
        <v/>
      </c>
      <c r="GL357" s="450" t="str">
        <f t="shared" ca="1" si="709"/>
        <v/>
      </c>
      <c r="GM357" s="450" t="str">
        <f t="shared" ca="1" si="709"/>
        <v/>
      </c>
      <c r="GN357" s="450" t="str">
        <f t="shared" ca="1" si="709"/>
        <v/>
      </c>
      <c r="GO357" s="450" t="str">
        <f t="shared" ca="1" si="709"/>
        <v/>
      </c>
      <c r="GP357" s="450" t="str">
        <f t="shared" ca="1" si="709"/>
        <v/>
      </c>
      <c r="GQ357" s="450" t="str">
        <f t="shared" ca="1" si="709"/>
        <v/>
      </c>
      <c r="GR357" s="450" t="str">
        <f t="shared" ca="1" si="709"/>
        <v/>
      </c>
      <c r="GS357" s="450" t="str">
        <f t="shared" ca="1" si="709"/>
        <v/>
      </c>
      <c r="GT357" s="450" t="str">
        <f t="shared" ca="1" si="709"/>
        <v/>
      </c>
      <c r="GU357" s="450" t="str">
        <f t="shared" ca="1" si="709"/>
        <v/>
      </c>
      <c r="GV357" s="450" t="str">
        <f t="shared" ca="1" si="709"/>
        <v/>
      </c>
      <c r="GW357" s="450" t="str">
        <f t="shared" ca="1" si="709"/>
        <v/>
      </c>
      <c r="GX357" s="450" t="str">
        <f t="shared" ca="1" si="709"/>
        <v/>
      </c>
      <c r="GY357" s="450" t="str">
        <f t="shared" ca="1" si="709"/>
        <v/>
      </c>
      <c r="GZ357" s="450" t="str">
        <f t="shared" ca="1" si="709"/>
        <v/>
      </c>
      <c r="HA357" s="450" t="str">
        <f t="shared" ca="1" si="709"/>
        <v/>
      </c>
      <c r="HB357" s="450" t="str">
        <f t="shared" ca="1" si="709"/>
        <v/>
      </c>
      <c r="HC357" s="450" t="str">
        <f t="shared" ca="1" si="709"/>
        <v/>
      </c>
      <c r="HD357" s="450" t="str">
        <f t="shared" ca="1" si="709"/>
        <v/>
      </c>
      <c r="HE357" s="450" t="str">
        <f t="shared" ca="1" si="709"/>
        <v/>
      </c>
      <c r="HF357" s="450" t="str">
        <f t="shared" ca="1" si="709"/>
        <v/>
      </c>
      <c r="HG357" s="450" t="str">
        <f t="shared" ca="1" si="709"/>
        <v/>
      </c>
      <c r="HH357" s="450" t="str">
        <f t="shared" ca="1" si="709"/>
        <v/>
      </c>
      <c r="HI357" s="450" t="str">
        <f t="shared" ca="1" si="709"/>
        <v/>
      </c>
      <c r="HJ357" s="450" t="str">
        <f t="shared" ca="1" si="709"/>
        <v/>
      </c>
      <c r="HK357" s="450" t="str">
        <f t="shared" ca="1" si="709"/>
        <v/>
      </c>
      <c r="HL357" s="450" t="str">
        <f t="shared" ca="1" si="709"/>
        <v/>
      </c>
      <c r="HM357" s="450" t="str">
        <f t="shared" ca="1" si="709"/>
        <v/>
      </c>
      <c r="HN357" s="450" t="str">
        <f t="shared" ca="1" si="709"/>
        <v/>
      </c>
      <c r="HO357" s="450" t="str">
        <f t="shared" ca="1" si="709"/>
        <v/>
      </c>
      <c r="HP357" s="450" t="str">
        <f t="shared" ca="1" si="709"/>
        <v/>
      </c>
      <c r="HQ357" s="450" t="str">
        <f t="shared" ca="1" si="709"/>
        <v/>
      </c>
      <c r="HR357" s="450" t="str">
        <f t="shared" ca="1" si="709"/>
        <v/>
      </c>
      <c r="HS357" s="450" t="str">
        <f t="shared" ca="1" si="709"/>
        <v/>
      </c>
      <c r="HT357" s="450" t="str">
        <f t="shared" ca="1" si="709"/>
        <v/>
      </c>
      <c r="HU357" s="450" t="str">
        <f t="shared" ca="1" si="709"/>
        <v/>
      </c>
      <c r="HV357" s="450" t="str">
        <f t="shared" ca="1" si="709"/>
        <v/>
      </c>
      <c r="HW357" s="450" t="str">
        <f t="shared" ca="1" si="709"/>
        <v/>
      </c>
      <c r="HX357" s="450" t="str">
        <f t="shared" ca="1" si="709"/>
        <v/>
      </c>
      <c r="HY357" s="450" t="str">
        <f t="shared" ca="1" si="709"/>
        <v/>
      </c>
      <c r="HZ357" s="450" t="str">
        <f t="shared" ca="1" si="709"/>
        <v/>
      </c>
      <c r="IA357" s="450" t="str">
        <f t="shared" ca="1" si="675"/>
        <v/>
      </c>
      <c r="IB357" s="450" t="str">
        <f t="shared" ca="1" si="707"/>
        <v/>
      </c>
      <c r="IC357" s="450" t="str">
        <f t="shared" ca="1" si="707"/>
        <v/>
      </c>
      <c r="ID357" s="450" t="str">
        <f t="shared" ca="1" si="707"/>
        <v/>
      </c>
      <c r="IE357" s="450" t="str">
        <f t="shared" ca="1" si="707"/>
        <v/>
      </c>
      <c r="IF357" s="450" t="str">
        <f t="shared" ca="1" si="707"/>
        <v/>
      </c>
      <c r="IG357" s="450" t="str">
        <f t="shared" ca="1" si="707"/>
        <v/>
      </c>
      <c r="IH357" s="658" t="str">
        <f t="shared" ca="1" si="707"/>
        <v/>
      </c>
    </row>
    <row r="358" spans="9:242">
      <c r="I358" s="132"/>
      <c r="J358" s="365"/>
      <c r="K358" s="1"/>
      <c r="L358" s="1"/>
      <c r="M358" s="366"/>
      <c r="P358" s="365"/>
      <c r="S358" s="53"/>
      <c r="T358" s="365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364"/>
      <c r="AO358" s="364">
        <v>6.5664439432083999E-2</v>
      </c>
      <c r="AP358" s="103"/>
      <c r="AQ358" s="364">
        <v>5.5944537302285102E-2</v>
      </c>
      <c r="AR358" s="103"/>
      <c r="AS358" s="103"/>
      <c r="AT358" s="103"/>
      <c r="AU358" s="31"/>
      <c r="AV358" s="31"/>
      <c r="AW358" s="31"/>
      <c r="AX358" s="31"/>
      <c r="AY358" s="146"/>
      <c r="AZ358" s="146"/>
      <c r="BA358" s="103"/>
      <c r="BB358" s="103"/>
      <c r="BC358" s="103"/>
      <c r="BD358" s="103"/>
      <c r="BE358" s="104"/>
      <c r="BF358" s="104"/>
      <c r="BG358" s="104"/>
      <c r="BH358" s="102"/>
      <c r="BI358" s="104"/>
      <c r="BJ358" s="103"/>
      <c r="BK358" s="105"/>
      <c r="BL358" s="151"/>
      <c r="BM358" s="103"/>
      <c r="BN358" s="103"/>
      <c r="BO358" s="103"/>
      <c r="BP358" s="103"/>
      <c r="BQ358" s="103"/>
      <c r="BR358" s="103"/>
      <c r="BS358" s="103"/>
      <c r="BT358" s="103"/>
      <c r="BU358" s="103"/>
      <c r="BV358" s="103"/>
      <c r="BW358" s="103"/>
      <c r="BX358" s="103"/>
      <c r="BY358" s="103"/>
      <c r="BZ358" s="104"/>
      <c r="CA358" s="104"/>
      <c r="CB358" s="104"/>
      <c r="CC358" s="104"/>
      <c r="CD358" s="104"/>
      <c r="CE358" s="104"/>
      <c r="CF358" s="103"/>
      <c r="CG358" s="103"/>
      <c r="CH358" s="103"/>
      <c r="CI358" s="103"/>
      <c r="CJ358" s="103"/>
      <c r="CK358" s="103"/>
      <c r="CL358" s="103"/>
      <c r="CM358" s="103"/>
      <c r="CN358" s="103"/>
      <c r="CO358" s="103"/>
      <c r="CP358" s="103"/>
      <c r="CQ358" s="103"/>
      <c r="CR358" s="103"/>
      <c r="CS358" s="103"/>
      <c r="CT358" s="103"/>
      <c r="CU358" s="103"/>
      <c r="CV358" s="103"/>
      <c r="CW358" s="103"/>
      <c r="CX358" s="103"/>
      <c r="CY358" s="103"/>
      <c r="CZ358" s="103"/>
      <c r="DA358" s="103"/>
      <c r="DB358" s="103"/>
      <c r="DC358" s="103"/>
      <c r="DD358" s="103"/>
      <c r="DE358" s="107"/>
      <c r="DF358" s="465"/>
      <c r="DG358" s="1"/>
      <c r="DH358" s="51"/>
      <c r="DI358" s="465"/>
      <c r="DJ358" s="52"/>
      <c r="DK358" s="52"/>
      <c r="DL358" s="52"/>
      <c r="DM358" s="52"/>
      <c r="DN358" s="52"/>
      <c r="DO358" s="52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P358" s="53"/>
      <c r="EQ358" s="1"/>
      <c r="ER358" s="103"/>
      <c r="ES358" s="103"/>
      <c r="ET358" s="1"/>
      <c r="EU358" s="103"/>
      <c r="EV358" s="1"/>
      <c r="EW358" s="1"/>
      <c r="EX358" s="1"/>
      <c r="EY358" s="104"/>
      <c r="FN358" s="657">
        <v>34</v>
      </c>
      <c r="FO358" s="450">
        <f t="shared" ref="FO358:HZ358" ca="1" si="710">IF(AND(ISNUMBER(FO53),ISNUMBER(FO$320),FO$320&lt;&gt;0),FO53*FO$320/FO$15,"")</f>
        <v>6.8506169638032097E-4</v>
      </c>
      <c r="FP358" s="450">
        <f t="shared" ca="1" si="710"/>
        <v>1.1185777086709415E-3</v>
      </c>
      <c r="FQ358" s="450" t="str">
        <f t="shared" ca="1" si="710"/>
        <v/>
      </c>
      <c r="FR358" s="450" t="str">
        <f t="shared" ca="1" si="710"/>
        <v/>
      </c>
      <c r="FS358" s="450" t="str">
        <f t="shared" ca="1" si="710"/>
        <v/>
      </c>
      <c r="FT358" s="450" t="str">
        <f t="shared" ca="1" si="710"/>
        <v/>
      </c>
      <c r="FU358" s="450" t="str">
        <f t="shared" ca="1" si="710"/>
        <v/>
      </c>
      <c r="FV358" s="450" t="str">
        <f t="shared" ca="1" si="710"/>
        <v/>
      </c>
      <c r="FW358" s="450" t="str">
        <f t="shared" ca="1" si="710"/>
        <v/>
      </c>
      <c r="FX358" s="450" t="str">
        <f t="shared" ca="1" si="710"/>
        <v/>
      </c>
      <c r="FY358" s="450" t="str">
        <f t="shared" ca="1" si="710"/>
        <v/>
      </c>
      <c r="FZ358" s="450" t="str">
        <f t="shared" ca="1" si="710"/>
        <v/>
      </c>
      <c r="GA358" s="450" t="str">
        <f t="shared" ca="1" si="710"/>
        <v/>
      </c>
      <c r="GB358" s="450" t="str">
        <f t="shared" ca="1" si="710"/>
        <v/>
      </c>
      <c r="GC358" s="450" t="str">
        <f t="shared" ca="1" si="710"/>
        <v/>
      </c>
      <c r="GD358" s="450" t="str">
        <f t="shared" ca="1" si="710"/>
        <v/>
      </c>
      <c r="GE358" s="450" t="str">
        <f t="shared" ca="1" si="710"/>
        <v/>
      </c>
      <c r="GF358" s="450" t="str">
        <f t="shared" ca="1" si="710"/>
        <v/>
      </c>
      <c r="GG358" s="450" t="str">
        <f t="shared" ca="1" si="710"/>
        <v/>
      </c>
      <c r="GH358" s="450" t="str">
        <f t="shared" ca="1" si="710"/>
        <v/>
      </c>
      <c r="GI358" s="450" t="str">
        <f t="shared" ca="1" si="710"/>
        <v/>
      </c>
      <c r="GJ358" s="450" t="str">
        <f t="shared" ca="1" si="710"/>
        <v/>
      </c>
      <c r="GK358" s="450" t="str">
        <f t="shared" ca="1" si="710"/>
        <v/>
      </c>
      <c r="GL358" s="450" t="str">
        <f t="shared" ca="1" si="710"/>
        <v/>
      </c>
      <c r="GM358" s="450" t="str">
        <f t="shared" ca="1" si="710"/>
        <v/>
      </c>
      <c r="GN358" s="450" t="str">
        <f t="shared" ca="1" si="710"/>
        <v/>
      </c>
      <c r="GO358" s="450" t="str">
        <f t="shared" ca="1" si="710"/>
        <v/>
      </c>
      <c r="GP358" s="450" t="str">
        <f t="shared" ca="1" si="710"/>
        <v/>
      </c>
      <c r="GQ358" s="450" t="str">
        <f t="shared" ca="1" si="710"/>
        <v/>
      </c>
      <c r="GR358" s="450" t="str">
        <f t="shared" ca="1" si="710"/>
        <v/>
      </c>
      <c r="GS358" s="450" t="str">
        <f t="shared" ca="1" si="710"/>
        <v/>
      </c>
      <c r="GT358" s="450" t="str">
        <f t="shared" ca="1" si="710"/>
        <v/>
      </c>
      <c r="GU358" s="450" t="str">
        <f t="shared" ca="1" si="710"/>
        <v/>
      </c>
      <c r="GV358" s="450" t="str">
        <f t="shared" ca="1" si="710"/>
        <v/>
      </c>
      <c r="GW358" s="450" t="str">
        <f t="shared" ca="1" si="710"/>
        <v/>
      </c>
      <c r="GX358" s="450" t="str">
        <f t="shared" ca="1" si="710"/>
        <v/>
      </c>
      <c r="GY358" s="450" t="str">
        <f t="shared" ca="1" si="710"/>
        <v/>
      </c>
      <c r="GZ358" s="450" t="str">
        <f t="shared" ca="1" si="710"/>
        <v/>
      </c>
      <c r="HA358" s="450" t="str">
        <f t="shared" ca="1" si="710"/>
        <v/>
      </c>
      <c r="HB358" s="450" t="str">
        <f t="shared" ca="1" si="710"/>
        <v/>
      </c>
      <c r="HC358" s="450" t="str">
        <f t="shared" ca="1" si="710"/>
        <v/>
      </c>
      <c r="HD358" s="450" t="str">
        <f t="shared" ca="1" si="710"/>
        <v/>
      </c>
      <c r="HE358" s="450" t="str">
        <f t="shared" ca="1" si="710"/>
        <v/>
      </c>
      <c r="HF358" s="450" t="str">
        <f t="shared" ca="1" si="710"/>
        <v/>
      </c>
      <c r="HG358" s="450" t="str">
        <f t="shared" ca="1" si="710"/>
        <v/>
      </c>
      <c r="HH358" s="450" t="str">
        <f t="shared" ca="1" si="710"/>
        <v/>
      </c>
      <c r="HI358" s="450" t="str">
        <f t="shared" ca="1" si="710"/>
        <v/>
      </c>
      <c r="HJ358" s="450" t="str">
        <f t="shared" ca="1" si="710"/>
        <v/>
      </c>
      <c r="HK358" s="450" t="str">
        <f t="shared" ca="1" si="710"/>
        <v/>
      </c>
      <c r="HL358" s="450" t="str">
        <f t="shared" ca="1" si="710"/>
        <v/>
      </c>
      <c r="HM358" s="450" t="str">
        <f t="shared" ca="1" si="710"/>
        <v/>
      </c>
      <c r="HN358" s="450" t="str">
        <f t="shared" ca="1" si="710"/>
        <v/>
      </c>
      <c r="HO358" s="450" t="str">
        <f t="shared" ca="1" si="710"/>
        <v/>
      </c>
      <c r="HP358" s="450" t="str">
        <f t="shared" ca="1" si="710"/>
        <v/>
      </c>
      <c r="HQ358" s="450" t="str">
        <f t="shared" ca="1" si="710"/>
        <v/>
      </c>
      <c r="HR358" s="450" t="str">
        <f t="shared" ca="1" si="710"/>
        <v/>
      </c>
      <c r="HS358" s="450" t="str">
        <f t="shared" ca="1" si="710"/>
        <v/>
      </c>
      <c r="HT358" s="450" t="str">
        <f t="shared" ca="1" si="710"/>
        <v/>
      </c>
      <c r="HU358" s="450" t="str">
        <f t="shared" ca="1" si="710"/>
        <v/>
      </c>
      <c r="HV358" s="450" t="str">
        <f t="shared" ca="1" si="710"/>
        <v/>
      </c>
      <c r="HW358" s="450" t="str">
        <f t="shared" ca="1" si="710"/>
        <v/>
      </c>
      <c r="HX358" s="450" t="str">
        <f t="shared" ca="1" si="710"/>
        <v/>
      </c>
      <c r="HY358" s="450" t="str">
        <f t="shared" ca="1" si="710"/>
        <v/>
      </c>
      <c r="HZ358" s="450" t="str">
        <f t="shared" ca="1" si="710"/>
        <v/>
      </c>
      <c r="IA358" s="450" t="str">
        <f t="shared" ref="IA358:IA389" ca="1" si="711">IF(AND(ISNUMBER(IA53),ISNUMBER(IA$320),IA$320&lt;&gt;0),IA53*IA$320/IA$15,"")</f>
        <v/>
      </c>
      <c r="IB358" s="450" t="str">
        <f t="shared" ca="1" si="707"/>
        <v/>
      </c>
      <c r="IC358" s="450" t="str">
        <f t="shared" ca="1" si="707"/>
        <v/>
      </c>
      <c r="ID358" s="450" t="str">
        <f t="shared" ca="1" si="707"/>
        <v/>
      </c>
      <c r="IE358" s="450" t="str">
        <f t="shared" ca="1" si="707"/>
        <v/>
      </c>
      <c r="IF358" s="450" t="str">
        <f t="shared" ca="1" si="707"/>
        <v/>
      </c>
      <c r="IG358" s="450" t="str">
        <f t="shared" ca="1" si="707"/>
        <v/>
      </c>
      <c r="IH358" s="658" t="str">
        <f t="shared" ca="1" si="707"/>
        <v/>
      </c>
    </row>
    <row r="359" spans="9:242">
      <c r="I359" s="132"/>
      <c r="J359" s="365"/>
      <c r="K359" s="1"/>
      <c r="L359" s="1"/>
      <c r="M359" s="366"/>
      <c r="P359" s="365"/>
      <c r="S359" s="53"/>
      <c r="T359" s="365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364"/>
      <c r="AO359" s="364">
        <v>6.5675087210283201E-2</v>
      </c>
      <c r="AP359" s="103"/>
      <c r="AQ359" s="364">
        <v>5.59053073141942E-2</v>
      </c>
      <c r="AR359" s="103"/>
      <c r="AS359" s="103"/>
      <c r="AT359" s="103"/>
      <c r="AU359" s="31"/>
      <c r="AV359" s="31"/>
      <c r="AW359" s="31"/>
      <c r="AX359" s="31"/>
      <c r="AY359" s="146"/>
      <c r="AZ359" s="146"/>
      <c r="BA359" s="103"/>
      <c r="BB359" s="103"/>
      <c r="BC359" s="103"/>
      <c r="BD359" s="103"/>
      <c r="BE359" s="104"/>
      <c r="BF359" s="104"/>
      <c r="BG359" s="104"/>
      <c r="BH359" s="102"/>
      <c r="BI359" s="104"/>
      <c r="BJ359" s="103"/>
      <c r="BK359" s="105"/>
      <c r="BL359" s="151"/>
      <c r="BM359" s="103"/>
      <c r="BN359" s="103"/>
      <c r="BO359" s="103"/>
      <c r="BP359" s="103"/>
      <c r="BQ359" s="103"/>
      <c r="BR359" s="103"/>
      <c r="BS359" s="103"/>
      <c r="BT359" s="103"/>
      <c r="BU359" s="103"/>
      <c r="BV359" s="103"/>
      <c r="BW359" s="103"/>
      <c r="BX359" s="103"/>
      <c r="BY359" s="103"/>
      <c r="BZ359" s="104"/>
      <c r="CA359" s="104"/>
      <c r="CB359" s="104"/>
      <c r="CC359" s="104"/>
      <c r="CD359" s="104"/>
      <c r="CE359" s="104"/>
      <c r="CF359" s="103"/>
      <c r="CG359" s="103"/>
      <c r="CH359" s="103"/>
      <c r="CI359" s="103"/>
      <c r="CJ359" s="103"/>
      <c r="CK359" s="103"/>
      <c r="CL359" s="103"/>
      <c r="CM359" s="103"/>
      <c r="CN359" s="103"/>
      <c r="CO359" s="103"/>
      <c r="CP359" s="103"/>
      <c r="CQ359" s="103"/>
      <c r="CR359" s="103"/>
      <c r="CS359" s="103"/>
      <c r="CT359" s="103"/>
      <c r="CU359" s="103"/>
      <c r="CV359" s="103"/>
      <c r="CW359" s="103"/>
      <c r="CX359" s="103"/>
      <c r="CY359" s="103"/>
      <c r="CZ359" s="103"/>
      <c r="DA359" s="103"/>
      <c r="DB359" s="103"/>
      <c r="DC359" s="103"/>
      <c r="DD359" s="103"/>
      <c r="DE359" s="107"/>
      <c r="DF359" s="465"/>
      <c r="DG359" s="1"/>
      <c r="DH359" s="51"/>
      <c r="DI359" s="465"/>
      <c r="DJ359" s="52"/>
      <c r="DK359" s="52"/>
      <c r="DL359" s="52"/>
      <c r="DM359" s="52"/>
      <c r="DN359" s="52"/>
      <c r="DO359" s="52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P359" s="53"/>
      <c r="EQ359" s="1"/>
      <c r="ER359" s="103"/>
      <c r="ES359" s="103"/>
      <c r="ET359" s="1"/>
      <c r="EU359" s="103"/>
      <c r="EV359" s="1"/>
      <c r="EW359" s="1"/>
      <c r="EX359" s="1"/>
      <c r="EY359" s="104"/>
      <c r="FN359" s="657">
        <v>35</v>
      </c>
      <c r="FO359" s="450">
        <f t="shared" ref="FO359:HZ359" ca="1" si="712">IF(AND(ISNUMBER(FO54),ISNUMBER(FO$320),FO$320&lt;&gt;0),FO54*FO$320/FO$15,"")</f>
        <v>6.8175649555702992E-4</v>
      </c>
      <c r="FP359" s="450">
        <f t="shared" ca="1" si="712"/>
        <v>1.1125812917980788E-3</v>
      </c>
      <c r="FQ359" s="450" t="str">
        <f t="shared" ca="1" si="712"/>
        <v/>
      </c>
      <c r="FR359" s="450" t="str">
        <f t="shared" ca="1" si="712"/>
        <v/>
      </c>
      <c r="FS359" s="450" t="str">
        <f t="shared" ca="1" si="712"/>
        <v/>
      </c>
      <c r="FT359" s="450" t="str">
        <f t="shared" ca="1" si="712"/>
        <v/>
      </c>
      <c r="FU359" s="450" t="str">
        <f t="shared" ca="1" si="712"/>
        <v/>
      </c>
      <c r="FV359" s="450" t="str">
        <f t="shared" ca="1" si="712"/>
        <v/>
      </c>
      <c r="FW359" s="450" t="str">
        <f t="shared" ca="1" si="712"/>
        <v/>
      </c>
      <c r="FX359" s="450" t="str">
        <f t="shared" ca="1" si="712"/>
        <v/>
      </c>
      <c r="FY359" s="450" t="str">
        <f t="shared" ca="1" si="712"/>
        <v/>
      </c>
      <c r="FZ359" s="450" t="str">
        <f t="shared" ca="1" si="712"/>
        <v/>
      </c>
      <c r="GA359" s="450" t="str">
        <f t="shared" ca="1" si="712"/>
        <v/>
      </c>
      <c r="GB359" s="450" t="str">
        <f t="shared" ca="1" si="712"/>
        <v/>
      </c>
      <c r="GC359" s="450" t="str">
        <f t="shared" ca="1" si="712"/>
        <v/>
      </c>
      <c r="GD359" s="450" t="str">
        <f t="shared" ca="1" si="712"/>
        <v/>
      </c>
      <c r="GE359" s="450" t="str">
        <f t="shared" ca="1" si="712"/>
        <v/>
      </c>
      <c r="GF359" s="450" t="str">
        <f t="shared" ca="1" si="712"/>
        <v/>
      </c>
      <c r="GG359" s="450" t="str">
        <f t="shared" ca="1" si="712"/>
        <v/>
      </c>
      <c r="GH359" s="450" t="str">
        <f t="shared" ca="1" si="712"/>
        <v/>
      </c>
      <c r="GI359" s="450" t="str">
        <f t="shared" ca="1" si="712"/>
        <v/>
      </c>
      <c r="GJ359" s="450" t="str">
        <f t="shared" ca="1" si="712"/>
        <v/>
      </c>
      <c r="GK359" s="450" t="str">
        <f t="shared" ca="1" si="712"/>
        <v/>
      </c>
      <c r="GL359" s="450" t="str">
        <f t="shared" ca="1" si="712"/>
        <v/>
      </c>
      <c r="GM359" s="450" t="str">
        <f t="shared" ca="1" si="712"/>
        <v/>
      </c>
      <c r="GN359" s="450" t="str">
        <f t="shared" ca="1" si="712"/>
        <v/>
      </c>
      <c r="GO359" s="450" t="str">
        <f t="shared" ca="1" si="712"/>
        <v/>
      </c>
      <c r="GP359" s="450" t="str">
        <f t="shared" ca="1" si="712"/>
        <v/>
      </c>
      <c r="GQ359" s="450" t="str">
        <f t="shared" ca="1" si="712"/>
        <v/>
      </c>
      <c r="GR359" s="450" t="str">
        <f t="shared" ca="1" si="712"/>
        <v/>
      </c>
      <c r="GS359" s="450" t="str">
        <f t="shared" ca="1" si="712"/>
        <v/>
      </c>
      <c r="GT359" s="450" t="str">
        <f t="shared" ca="1" si="712"/>
        <v/>
      </c>
      <c r="GU359" s="450" t="str">
        <f t="shared" ca="1" si="712"/>
        <v/>
      </c>
      <c r="GV359" s="450" t="str">
        <f t="shared" ca="1" si="712"/>
        <v/>
      </c>
      <c r="GW359" s="450" t="str">
        <f t="shared" ca="1" si="712"/>
        <v/>
      </c>
      <c r="GX359" s="450" t="str">
        <f t="shared" ca="1" si="712"/>
        <v/>
      </c>
      <c r="GY359" s="450" t="str">
        <f t="shared" ca="1" si="712"/>
        <v/>
      </c>
      <c r="GZ359" s="450" t="str">
        <f t="shared" ca="1" si="712"/>
        <v/>
      </c>
      <c r="HA359" s="450" t="str">
        <f t="shared" ca="1" si="712"/>
        <v/>
      </c>
      <c r="HB359" s="450" t="str">
        <f t="shared" ca="1" si="712"/>
        <v/>
      </c>
      <c r="HC359" s="450" t="str">
        <f t="shared" ca="1" si="712"/>
        <v/>
      </c>
      <c r="HD359" s="450" t="str">
        <f t="shared" ca="1" si="712"/>
        <v/>
      </c>
      <c r="HE359" s="450" t="str">
        <f t="shared" ca="1" si="712"/>
        <v/>
      </c>
      <c r="HF359" s="450" t="str">
        <f t="shared" ca="1" si="712"/>
        <v/>
      </c>
      <c r="HG359" s="450" t="str">
        <f t="shared" ca="1" si="712"/>
        <v/>
      </c>
      <c r="HH359" s="450" t="str">
        <f t="shared" ca="1" si="712"/>
        <v/>
      </c>
      <c r="HI359" s="450" t="str">
        <f t="shared" ca="1" si="712"/>
        <v/>
      </c>
      <c r="HJ359" s="450" t="str">
        <f t="shared" ca="1" si="712"/>
        <v/>
      </c>
      <c r="HK359" s="450" t="str">
        <f t="shared" ca="1" si="712"/>
        <v/>
      </c>
      <c r="HL359" s="450" t="str">
        <f t="shared" ca="1" si="712"/>
        <v/>
      </c>
      <c r="HM359" s="450" t="str">
        <f t="shared" ca="1" si="712"/>
        <v/>
      </c>
      <c r="HN359" s="450" t="str">
        <f t="shared" ca="1" si="712"/>
        <v/>
      </c>
      <c r="HO359" s="450" t="str">
        <f t="shared" ca="1" si="712"/>
        <v/>
      </c>
      <c r="HP359" s="450" t="str">
        <f t="shared" ca="1" si="712"/>
        <v/>
      </c>
      <c r="HQ359" s="450" t="str">
        <f t="shared" ca="1" si="712"/>
        <v/>
      </c>
      <c r="HR359" s="450" t="str">
        <f t="shared" ca="1" si="712"/>
        <v/>
      </c>
      <c r="HS359" s="450" t="str">
        <f t="shared" ca="1" si="712"/>
        <v/>
      </c>
      <c r="HT359" s="450" t="str">
        <f t="shared" ca="1" si="712"/>
        <v/>
      </c>
      <c r="HU359" s="450" t="str">
        <f t="shared" ca="1" si="712"/>
        <v/>
      </c>
      <c r="HV359" s="450" t="str">
        <f t="shared" ca="1" si="712"/>
        <v/>
      </c>
      <c r="HW359" s="450" t="str">
        <f t="shared" ca="1" si="712"/>
        <v/>
      </c>
      <c r="HX359" s="450" t="str">
        <f t="shared" ca="1" si="712"/>
        <v/>
      </c>
      <c r="HY359" s="450" t="str">
        <f t="shared" ca="1" si="712"/>
        <v/>
      </c>
      <c r="HZ359" s="450" t="str">
        <f t="shared" ca="1" si="712"/>
        <v/>
      </c>
      <c r="IA359" s="450" t="str">
        <f t="shared" ca="1" si="711"/>
        <v/>
      </c>
      <c r="IB359" s="450" t="str">
        <f t="shared" ca="1" si="707"/>
        <v/>
      </c>
      <c r="IC359" s="450" t="str">
        <f t="shared" ca="1" si="707"/>
        <v/>
      </c>
      <c r="ID359" s="450" t="str">
        <f t="shared" ca="1" si="707"/>
        <v/>
      </c>
      <c r="IE359" s="450" t="str">
        <f t="shared" ca="1" si="707"/>
        <v/>
      </c>
      <c r="IF359" s="450" t="str">
        <f t="shared" ca="1" si="707"/>
        <v/>
      </c>
      <c r="IG359" s="450" t="str">
        <f t="shared" ca="1" si="707"/>
        <v/>
      </c>
      <c r="IH359" s="658" t="str">
        <f t="shared" ca="1" si="707"/>
        <v/>
      </c>
    </row>
    <row r="360" spans="9:242">
      <c r="I360" s="132"/>
      <c r="J360" s="365"/>
      <c r="K360" s="1"/>
      <c r="L360" s="1"/>
      <c r="M360" s="366"/>
      <c r="P360" s="365"/>
      <c r="S360" s="53"/>
      <c r="T360" s="365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364"/>
      <c r="AO360" s="364">
        <v>6.5685734988519595E-2</v>
      </c>
      <c r="AP360" s="103"/>
      <c r="AQ360" s="364">
        <v>5.5866077336862704E-2</v>
      </c>
      <c r="AR360" s="103"/>
      <c r="AS360" s="103"/>
      <c r="AT360" s="103"/>
      <c r="AU360" s="31"/>
      <c r="AV360" s="31"/>
      <c r="AW360" s="31"/>
      <c r="AX360" s="31"/>
      <c r="AY360" s="146"/>
      <c r="AZ360" s="146"/>
      <c r="BA360" s="103"/>
      <c r="BB360" s="103"/>
      <c r="BC360" s="103"/>
      <c r="BD360" s="103"/>
      <c r="BE360" s="104"/>
      <c r="BF360" s="104"/>
      <c r="BG360" s="104"/>
      <c r="BH360" s="102"/>
      <c r="BI360" s="104"/>
      <c r="BJ360" s="103"/>
      <c r="BK360" s="105"/>
      <c r="BL360" s="151"/>
      <c r="BM360" s="103"/>
      <c r="BN360" s="103"/>
      <c r="BO360" s="103"/>
      <c r="BP360" s="103"/>
      <c r="BQ360" s="103"/>
      <c r="BR360" s="103"/>
      <c r="BS360" s="103"/>
      <c r="BT360" s="103"/>
      <c r="BU360" s="103"/>
      <c r="BV360" s="103"/>
      <c r="BW360" s="103"/>
      <c r="BX360" s="103"/>
      <c r="BY360" s="103"/>
      <c r="BZ360" s="104"/>
      <c r="CA360" s="104"/>
      <c r="CB360" s="104"/>
      <c r="CC360" s="104"/>
      <c r="CD360" s="104"/>
      <c r="CE360" s="104"/>
      <c r="CF360" s="103"/>
      <c r="CG360" s="103"/>
      <c r="CH360" s="103"/>
      <c r="CI360" s="103"/>
      <c r="CJ360" s="103"/>
      <c r="CK360" s="103"/>
      <c r="CL360" s="103"/>
      <c r="CM360" s="103"/>
      <c r="CN360" s="103"/>
      <c r="CO360" s="103"/>
      <c r="CP360" s="103"/>
      <c r="CQ360" s="103"/>
      <c r="CR360" s="103"/>
      <c r="CS360" s="103"/>
      <c r="CT360" s="103"/>
      <c r="CU360" s="103"/>
      <c r="CV360" s="103"/>
      <c r="CW360" s="103"/>
      <c r="CX360" s="103"/>
      <c r="CY360" s="103"/>
      <c r="CZ360" s="103"/>
      <c r="DA360" s="103"/>
      <c r="DB360" s="103"/>
      <c r="DC360" s="103"/>
      <c r="DD360" s="103"/>
      <c r="DE360" s="107"/>
      <c r="DF360" s="465"/>
      <c r="DG360" s="1"/>
      <c r="DH360" s="51"/>
      <c r="DI360" s="465"/>
      <c r="DJ360" s="52"/>
      <c r="DK360" s="52"/>
      <c r="DL360" s="52"/>
      <c r="DM360" s="52"/>
      <c r="DN360" s="52"/>
      <c r="DO360" s="52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P360" s="53"/>
      <c r="EQ360" s="1"/>
      <c r="ER360" s="103"/>
      <c r="ES360" s="103"/>
      <c r="ET360" s="1"/>
      <c r="EU360" s="103"/>
      <c r="EV360" s="1"/>
      <c r="EW360" s="1"/>
      <c r="EX360" s="1"/>
      <c r="EY360" s="104"/>
      <c r="FN360" s="657">
        <v>36</v>
      </c>
      <c r="FO360" s="450">
        <f t="shared" ref="FO360:HZ360" ca="1" si="713">IF(AND(ISNUMBER(FO55),ISNUMBER(FO$320),FO$320&lt;&gt;0),FO55*FO$320/FO$15,"")</f>
        <v>6.7879616668727321E-4</v>
      </c>
      <c r="FP360" s="450">
        <f t="shared" ca="1" si="713"/>
        <v>1.107213447381935E-3</v>
      </c>
      <c r="FQ360" s="450" t="str">
        <f t="shared" ca="1" si="713"/>
        <v/>
      </c>
      <c r="FR360" s="450" t="str">
        <f t="shared" ca="1" si="713"/>
        <v/>
      </c>
      <c r="FS360" s="450" t="str">
        <f t="shared" ca="1" si="713"/>
        <v/>
      </c>
      <c r="FT360" s="450" t="str">
        <f t="shared" ca="1" si="713"/>
        <v/>
      </c>
      <c r="FU360" s="450" t="str">
        <f t="shared" ca="1" si="713"/>
        <v/>
      </c>
      <c r="FV360" s="450" t="str">
        <f t="shared" ca="1" si="713"/>
        <v/>
      </c>
      <c r="FW360" s="450" t="str">
        <f t="shared" ca="1" si="713"/>
        <v/>
      </c>
      <c r="FX360" s="450" t="str">
        <f t="shared" ca="1" si="713"/>
        <v/>
      </c>
      <c r="FY360" s="450" t="str">
        <f t="shared" ca="1" si="713"/>
        <v/>
      </c>
      <c r="FZ360" s="450" t="str">
        <f t="shared" ca="1" si="713"/>
        <v/>
      </c>
      <c r="GA360" s="450" t="str">
        <f t="shared" ca="1" si="713"/>
        <v/>
      </c>
      <c r="GB360" s="450" t="str">
        <f t="shared" ca="1" si="713"/>
        <v/>
      </c>
      <c r="GC360" s="450" t="str">
        <f t="shared" ca="1" si="713"/>
        <v/>
      </c>
      <c r="GD360" s="450" t="str">
        <f t="shared" ca="1" si="713"/>
        <v/>
      </c>
      <c r="GE360" s="450" t="str">
        <f t="shared" ca="1" si="713"/>
        <v/>
      </c>
      <c r="GF360" s="450" t="str">
        <f t="shared" ca="1" si="713"/>
        <v/>
      </c>
      <c r="GG360" s="450" t="str">
        <f t="shared" ca="1" si="713"/>
        <v/>
      </c>
      <c r="GH360" s="450" t="str">
        <f t="shared" ca="1" si="713"/>
        <v/>
      </c>
      <c r="GI360" s="450" t="str">
        <f t="shared" ca="1" si="713"/>
        <v/>
      </c>
      <c r="GJ360" s="450" t="str">
        <f t="shared" ca="1" si="713"/>
        <v/>
      </c>
      <c r="GK360" s="450" t="str">
        <f t="shared" ca="1" si="713"/>
        <v/>
      </c>
      <c r="GL360" s="450" t="str">
        <f t="shared" ca="1" si="713"/>
        <v/>
      </c>
      <c r="GM360" s="450" t="str">
        <f t="shared" ca="1" si="713"/>
        <v/>
      </c>
      <c r="GN360" s="450" t="str">
        <f t="shared" ca="1" si="713"/>
        <v/>
      </c>
      <c r="GO360" s="450" t="str">
        <f t="shared" ca="1" si="713"/>
        <v/>
      </c>
      <c r="GP360" s="450" t="str">
        <f t="shared" ca="1" si="713"/>
        <v/>
      </c>
      <c r="GQ360" s="450" t="str">
        <f t="shared" ca="1" si="713"/>
        <v/>
      </c>
      <c r="GR360" s="450" t="str">
        <f t="shared" ca="1" si="713"/>
        <v/>
      </c>
      <c r="GS360" s="450" t="str">
        <f t="shared" ca="1" si="713"/>
        <v/>
      </c>
      <c r="GT360" s="450" t="str">
        <f t="shared" ca="1" si="713"/>
        <v/>
      </c>
      <c r="GU360" s="450" t="str">
        <f t="shared" ca="1" si="713"/>
        <v/>
      </c>
      <c r="GV360" s="450" t="str">
        <f t="shared" ca="1" si="713"/>
        <v/>
      </c>
      <c r="GW360" s="450" t="str">
        <f t="shared" ca="1" si="713"/>
        <v/>
      </c>
      <c r="GX360" s="450" t="str">
        <f t="shared" ca="1" si="713"/>
        <v/>
      </c>
      <c r="GY360" s="450" t="str">
        <f t="shared" ca="1" si="713"/>
        <v/>
      </c>
      <c r="GZ360" s="450" t="str">
        <f t="shared" ca="1" si="713"/>
        <v/>
      </c>
      <c r="HA360" s="450" t="str">
        <f t="shared" ca="1" si="713"/>
        <v/>
      </c>
      <c r="HB360" s="450" t="str">
        <f t="shared" ca="1" si="713"/>
        <v/>
      </c>
      <c r="HC360" s="450" t="str">
        <f t="shared" ca="1" si="713"/>
        <v/>
      </c>
      <c r="HD360" s="450" t="str">
        <f t="shared" ca="1" si="713"/>
        <v/>
      </c>
      <c r="HE360" s="450" t="str">
        <f t="shared" ca="1" si="713"/>
        <v/>
      </c>
      <c r="HF360" s="450" t="str">
        <f t="shared" ca="1" si="713"/>
        <v/>
      </c>
      <c r="HG360" s="450" t="str">
        <f t="shared" ca="1" si="713"/>
        <v/>
      </c>
      <c r="HH360" s="450" t="str">
        <f t="shared" ca="1" si="713"/>
        <v/>
      </c>
      <c r="HI360" s="450" t="str">
        <f t="shared" ca="1" si="713"/>
        <v/>
      </c>
      <c r="HJ360" s="450" t="str">
        <f t="shared" ca="1" si="713"/>
        <v/>
      </c>
      <c r="HK360" s="450" t="str">
        <f t="shared" ca="1" si="713"/>
        <v/>
      </c>
      <c r="HL360" s="450" t="str">
        <f t="shared" ca="1" si="713"/>
        <v/>
      </c>
      <c r="HM360" s="450" t="str">
        <f t="shared" ca="1" si="713"/>
        <v/>
      </c>
      <c r="HN360" s="450" t="str">
        <f t="shared" ca="1" si="713"/>
        <v/>
      </c>
      <c r="HO360" s="450" t="str">
        <f t="shared" ca="1" si="713"/>
        <v/>
      </c>
      <c r="HP360" s="450" t="str">
        <f t="shared" ca="1" si="713"/>
        <v/>
      </c>
      <c r="HQ360" s="450" t="str">
        <f t="shared" ca="1" si="713"/>
        <v/>
      </c>
      <c r="HR360" s="450" t="str">
        <f t="shared" ca="1" si="713"/>
        <v/>
      </c>
      <c r="HS360" s="450" t="str">
        <f t="shared" ca="1" si="713"/>
        <v/>
      </c>
      <c r="HT360" s="450" t="str">
        <f t="shared" ca="1" si="713"/>
        <v/>
      </c>
      <c r="HU360" s="450" t="str">
        <f t="shared" ca="1" si="713"/>
        <v/>
      </c>
      <c r="HV360" s="450" t="str">
        <f t="shared" ca="1" si="713"/>
        <v/>
      </c>
      <c r="HW360" s="450" t="str">
        <f t="shared" ca="1" si="713"/>
        <v/>
      </c>
      <c r="HX360" s="450" t="str">
        <f t="shared" ca="1" si="713"/>
        <v/>
      </c>
      <c r="HY360" s="450" t="str">
        <f t="shared" ca="1" si="713"/>
        <v/>
      </c>
      <c r="HZ360" s="450" t="str">
        <f t="shared" ca="1" si="713"/>
        <v/>
      </c>
      <c r="IA360" s="450" t="str">
        <f t="shared" ca="1" si="711"/>
        <v/>
      </c>
      <c r="IB360" s="450" t="str">
        <f t="shared" ca="1" si="707"/>
        <v/>
      </c>
      <c r="IC360" s="450" t="str">
        <f t="shared" ca="1" si="707"/>
        <v/>
      </c>
      <c r="ID360" s="450" t="str">
        <f t="shared" ca="1" si="707"/>
        <v/>
      </c>
      <c r="IE360" s="450" t="str">
        <f t="shared" ca="1" si="707"/>
        <v/>
      </c>
      <c r="IF360" s="450" t="str">
        <f t="shared" ca="1" si="707"/>
        <v/>
      </c>
      <c r="IG360" s="450" t="str">
        <f t="shared" ca="1" si="707"/>
        <v/>
      </c>
      <c r="IH360" s="658" t="str">
        <f t="shared" ca="1" si="707"/>
        <v/>
      </c>
    </row>
    <row r="361" spans="9:242">
      <c r="I361" s="132"/>
      <c r="J361" s="365"/>
      <c r="K361" s="1"/>
      <c r="L361" s="1"/>
      <c r="M361" s="366"/>
      <c r="P361" s="365"/>
      <c r="S361" s="53"/>
      <c r="T361" s="365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364"/>
      <c r="AO361" s="364">
        <v>6.5696039290073796E-2</v>
      </c>
      <c r="AP361" s="103"/>
      <c r="AQ361" s="364">
        <v>5.5828112852916299E-2</v>
      </c>
      <c r="AR361" s="103"/>
      <c r="AS361" s="103"/>
      <c r="AT361" s="103"/>
      <c r="AU361" s="31"/>
      <c r="AV361" s="31"/>
      <c r="AW361" s="31"/>
      <c r="AX361" s="31"/>
      <c r="AY361" s="146"/>
      <c r="AZ361" s="146"/>
      <c r="BA361" s="103"/>
      <c r="BB361" s="103"/>
      <c r="BC361" s="103"/>
      <c r="BD361" s="103"/>
      <c r="BE361" s="104"/>
      <c r="BF361" s="104"/>
      <c r="BG361" s="104"/>
      <c r="BH361" s="102"/>
      <c r="BI361" s="104"/>
      <c r="BJ361" s="103"/>
      <c r="BK361" s="105"/>
      <c r="BL361" s="151"/>
      <c r="BM361" s="103"/>
      <c r="BN361" s="103"/>
      <c r="BO361" s="103"/>
      <c r="BP361" s="103"/>
      <c r="BQ361" s="103"/>
      <c r="BR361" s="103"/>
      <c r="BS361" s="103"/>
      <c r="BT361" s="103"/>
      <c r="BU361" s="103"/>
      <c r="BV361" s="103"/>
      <c r="BW361" s="103"/>
      <c r="BX361" s="103"/>
      <c r="BY361" s="103"/>
      <c r="BZ361" s="104"/>
      <c r="CA361" s="104"/>
      <c r="CB361" s="104"/>
      <c r="CC361" s="104"/>
      <c r="CD361" s="104"/>
      <c r="CE361" s="104"/>
      <c r="CF361" s="103"/>
      <c r="CG361" s="103"/>
      <c r="CH361" s="103"/>
      <c r="CI361" s="103"/>
      <c r="CJ361" s="103"/>
      <c r="CK361" s="103"/>
      <c r="CL361" s="103"/>
      <c r="CM361" s="103"/>
      <c r="CN361" s="103"/>
      <c r="CO361" s="103"/>
      <c r="CP361" s="103"/>
      <c r="CQ361" s="103"/>
      <c r="CR361" s="103"/>
      <c r="CS361" s="103"/>
      <c r="CT361" s="103"/>
      <c r="CU361" s="103"/>
      <c r="CV361" s="103"/>
      <c r="CW361" s="103"/>
      <c r="CX361" s="103"/>
      <c r="CY361" s="103"/>
      <c r="CZ361" s="103"/>
      <c r="DA361" s="103"/>
      <c r="DB361" s="103"/>
      <c r="DC361" s="103"/>
      <c r="DD361" s="103"/>
      <c r="DE361" s="107"/>
      <c r="DF361" s="465"/>
      <c r="DG361" s="1"/>
      <c r="DH361" s="51"/>
      <c r="DI361" s="465"/>
      <c r="DJ361" s="52"/>
      <c r="DK361" s="52"/>
      <c r="DL361" s="52"/>
      <c r="DM361" s="52"/>
      <c r="DN361" s="52"/>
      <c r="DO361" s="52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P361" s="53"/>
      <c r="EQ361" s="1"/>
      <c r="ER361" s="103"/>
      <c r="ES361" s="103"/>
      <c r="ET361" s="1"/>
      <c r="EU361" s="103"/>
      <c r="EV361" s="1"/>
      <c r="EW361" s="1"/>
      <c r="EX361" s="1"/>
      <c r="EY361" s="104"/>
      <c r="FN361" s="657">
        <v>37</v>
      </c>
      <c r="FO361" s="450">
        <f t="shared" ref="FO361:HZ361" ca="1" si="714">IF(AND(ISNUMBER(FO56),ISNUMBER(FO$320),FO$320&lt;&gt;0),FO56*FO$320/FO$15,"")</f>
        <v>6.7614343963323241E-4</v>
      </c>
      <c r="FP361" s="450">
        <f t="shared" ca="1" si="714"/>
        <v>1.1024056957072118E-3</v>
      </c>
      <c r="FQ361" s="450" t="str">
        <f t="shared" ca="1" si="714"/>
        <v/>
      </c>
      <c r="FR361" s="450" t="str">
        <f t="shared" ca="1" si="714"/>
        <v/>
      </c>
      <c r="FS361" s="450" t="str">
        <f t="shared" ca="1" si="714"/>
        <v/>
      </c>
      <c r="FT361" s="450" t="str">
        <f t="shared" ca="1" si="714"/>
        <v/>
      </c>
      <c r="FU361" s="450" t="str">
        <f t="shared" ca="1" si="714"/>
        <v/>
      </c>
      <c r="FV361" s="450" t="str">
        <f t="shared" ca="1" si="714"/>
        <v/>
      </c>
      <c r="FW361" s="450" t="str">
        <f t="shared" ca="1" si="714"/>
        <v/>
      </c>
      <c r="FX361" s="450" t="str">
        <f t="shared" ca="1" si="714"/>
        <v/>
      </c>
      <c r="FY361" s="450" t="str">
        <f t="shared" ca="1" si="714"/>
        <v/>
      </c>
      <c r="FZ361" s="450" t="str">
        <f t="shared" ca="1" si="714"/>
        <v/>
      </c>
      <c r="GA361" s="450" t="str">
        <f t="shared" ca="1" si="714"/>
        <v/>
      </c>
      <c r="GB361" s="450" t="str">
        <f t="shared" ca="1" si="714"/>
        <v/>
      </c>
      <c r="GC361" s="450" t="str">
        <f t="shared" ca="1" si="714"/>
        <v/>
      </c>
      <c r="GD361" s="450" t="str">
        <f t="shared" ca="1" si="714"/>
        <v/>
      </c>
      <c r="GE361" s="450" t="str">
        <f t="shared" ca="1" si="714"/>
        <v/>
      </c>
      <c r="GF361" s="450" t="str">
        <f t="shared" ca="1" si="714"/>
        <v/>
      </c>
      <c r="GG361" s="450" t="str">
        <f t="shared" ca="1" si="714"/>
        <v/>
      </c>
      <c r="GH361" s="450" t="str">
        <f t="shared" ca="1" si="714"/>
        <v/>
      </c>
      <c r="GI361" s="450" t="str">
        <f t="shared" ca="1" si="714"/>
        <v/>
      </c>
      <c r="GJ361" s="450" t="str">
        <f t="shared" ca="1" si="714"/>
        <v/>
      </c>
      <c r="GK361" s="450" t="str">
        <f t="shared" ca="1" si="714"/>
        <v/>
      </c>
      <c r="GL361" s="450" t="str">
        <f t="shared" ca="1" si="714"/>
        <v/>
      </c>
      <c r="GM361" s="450" t="str">
        <f t="shared" ca="1" si="714"/>
        <v/>
      </c>
      <c r="GN361" s="450" t="str">
        <f t="shared" ca="1" si="714"/>
        <v/>
      </c>
      <c r="GO361" s="450" t="str">
        <f t="shared" ca="1" si="714"/>
        <v/>
      </c>
      <c r="GP361" s="450" t="str">
        <f t="shared" ca="1" si="714"/>
        <v/>
      </c>
      <c r="GQ361" s="450" t="str">
        <f t="shared" ca="1" si="714"/>
        <v/>
      </c>
      <c r="GR361" s="450" t="str">
        <f t="shared" ca="1" si="714"/>
        <v/>
      </c>
      <c r="GS361" s="450" t="str">
        <f t="shared" ca="1" si="714"/>
        <v/>
      </c>
      <c r="GT361" s="450" t="str">
        <f t="shared" ca="1" si="714"/>
        <v/>
      </c>
      <c r="GU361" s="450" t="str">
        <f t="shared" ca="1" si="714"/>
        <v/>
      </c>
      <c r="GV361" s="450" t="str">
        <f t="shared" ca="1" si="714"/>
        <v/>
      </c>
      <c r="GW361" s="450" t="str">
        <f t="shared" ca="1" si="714"/>
        <v/>
      </c>
      <c r="GX361" s="450" t="str">
        <f t="shared" ca="1" si="714"/>
        <v/>
      </c>
      <c r="GY361" s="450" t="str">
        <f t="shared" ca="1" si="714"/>
        <v/>
      </c>
      <c r="GZ361" s="450" t="str">
        <f t="shared" ca="1" si="714"/>
        <v/>
      </c>
      <c r="HA361" s="450" t="str">
        <f t="shared" ca="1" si="714"/>
        <v/>
      </c>
      <c r="HB361" s="450" t="str">
        <f t="shared" ca="1" si="714"/>
        <v/>
      </c>
      <c r="HC361" s="450" t="str">
        <f t="shared" ca="1" si="714"/>
        <v/>
      </c>
      <c r="HD361" s="450" t="str">
        <f t="shared" ca="1" si="714"/>
        <v/>
      </c>
      <c r="HE361" s="450" t="str">
        <f t="shared" ca="1" si="714"/>
        <v/>
      </c>
      <c r="HF361" s="450" t="str">
        <f t="shared" ca="1" si="714"/>
        <v/>
      </c>
      <c r="HG361" s="450" t="str">
        <f t="shared" ca="1" si="714"/>
        <v/>
      </c>
      <c r="HH361" s="450" t="str">
        <f t="shared" ca="1" si="714"/>
        <v/>
      </c>
      <c r="HI361" s="450" t="str">
        <f t="shared" ca="1" si="714"/>
        <v/>
      </c>
      <c r="HJ361" s="450" t="str">
        <f t="shared" ca="1" si="714"/>
        <v/>
      </c>
      <c r="HK361" s="450" t="str">
        <f t="shared" ca="1" si="714"/>
        <v/>
      </c>
      <c r="HL361" s="450" t="str">
        <f t="shared" ca="1" si="714"/>
        <v/>
      </c>
      <c r="HM361" s="450" t="str">
        <f t="shared" ca="1" si="714"/>
        <v/>
      </c>
      <c r="HN361" s="450" t="str">
        <f t="shared" ca="1" si="714"/>
        <v/>
      </c>
      <c r="HO361" s="450" t="str">
        <f t="shared" ca="1" si="714"/>
        <v/>
      </c>
      <c r="HP361" s="450" t="str">
        <f t="shared" ca="1" si="714"/>
        <v/>
      </c>
      <c r="HQ361" s="450" t="str">
        <f t="shared" ca="1" si="714"/>
        <v/>
      </c>
      <c r="HR361" s="450" t="str">
        <f t="shared" ca="1" si="714"/>
        <v/>
      </c>
      <c r="HS361" s="450" t="str">
        <f t="shared" ca="1" si="714"/>
        <v/>
      </c>
      <c r="HT361" s="450" t="str">
        <f t="shared" ca="1" si="714"/>
        <v/>
      </c>
      <c r="HU361" s="450" t="str">
        <f t="shared" ca="1" si="714"/>
        <v/>
      </c>
      <c r="HV361" s="450" t="str">
        <f t="shared" ca="1" si="714"/>
        <v/>
      </c>
      <c r="HW361" s="450" t="str">
        <f t="shared" ca="1" si="714"/>
        <v/>
      </c>
      <c r="HX361" s="450" t="str">
        <f t="shared" ca="1" si="714"/>
        <v/>
      </c>
      <c r="HY361" s="450" t="str">
        <f t="shared" ca="1" si="714"/>
        <v/>
      </c>
      <c r="HZ361" s="450" t="str">
        <f t="shared" ca="1" si="714"/>
        <v/>
      </c>
      <c r="IA361" s="450" t="str">
        <f t="shared" ca="1" si="711"/>
        <v/>
      </c>
      <c r="IB361" s="450" t="str">
        <f t="shared" ca="1" si="707"/>
        <v/>
      </c>
      <c r="IC361" s="450" t="str">
        <f t="shared" ca="1" si="707"/>
        <v/>
      </c>
      <c r="ID361" s="450" t="str">
        <f t="shared" ca="1" si="707"/>
        <v/>
      </c>
      <c r="IE361" s="450" t="str">
        <f t="shared" ca="1" si="707"/>
        <v/>
      </c>
      <c r="IF361" s="450" t="str">
        <f t="shared" ca="1" si="707"/>
        <v/>
      </c>
      <c r="IG361" s="450" t="str">
        <f t="shared" ca="1" si="707"/>
        <v/>
      </c>
      <c r="IH361" s="658" t="str">
        <f t="shared" ca="1" si="707"/>
        <v/>
      </c>
    </row>
    <row r="362" spans="9:242">
      <c r="I362" s="132"/>
      <c r="J362" s="365"/>
      <c r="K362" s="1"/>
      <c r="L362" s="1"/>
      <c r="M362" s="366"/>
      <c r="P362" s="365"/>
      <c r="S362" s="53"/>
      <c r="T362" s="365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364"/>
      <c r="AO362" s="364">
        <v>6.5706687068384409E-2</v>
      </c>
      <c r="AP362" s="103"/>
      <c r="AQ362" s="364">
        <v>5.5788882896758096E-2</v>
      </c>
      <c r="AR362" s="103"/>
      <c r="AS362" s="103"/>
      <c r="AT362" s="103"/>
      <c r="AU362" s="31"/>
      <c r="AV362" s="31"/>
      <c r="AW362" s="31"/>
      <c r="AX362" s="31"/>
      <c r="AY362" s="146"/>
      <c r="AZ362" s="146"/>
      <c r="BA362" s="103"/>
      <c r="BB362" s="103"/>
      <c r="BC362" s="103"/>
      <c r="BD362" s="103"/>
      <c r="BE362" s="104"/>
      <c r="BF362" s="104"/>
      <c r="BG362" s="104"/>
      <c r="BH362" s="102"/>
      <c r="BI362" s="104"/>
      <c r="BJ362" s="103"/>
      <c r="BK362" s="105"/>
      <c r="BL362" s="151"/>
      <c r="BM362" s="103"/>
      <c r="BN362" s="103"/>
      <c r="BO362" s="103"/>
      <c r="BP362" s="103"/>
      <c r="BQ362" s="103"/>
      <c r="BR362" s="103"/>
      <c r="BS362" s="103"/>
      <c r="BT362" s="103"/>
      <c r="BU362" s="103"/>
      <c r="BV362" s="103"/>
      <c r="BW362" s="103"/>
      <c r="BX362" s="103"/>
      <c r="BY362" s="103"/>
      <c r="BZ362" s="104"/>
      <c r="CA362" s="104"/>
      <c r="CB362" s="104"/>
      <c r="CC362" s="104"/>
      <c r="CD362" s="104"/>
      <c r="CE362" s="104"/>
      <c r="CF362" s="103"/>
      <c r="CG362" s="103"/>
      <c r="CH362" s="103"/>
      <c r="CI362" s="103"/>
      <c r="CJ362" s="103"/>
      <c r="CK362" s="103"/>
      <c r="CL362" s="103"/>
      <c r="CM362" s="103"/>
      <c r="CN362" s="103"/>
      <c r="CO362" s="103"/>
      <c r="CP362" s="103"/>
      <c r="CQ362" s="103"/>
      <c r="CR362" s="103"/>
      <c r="CS362" s="103"/>
      <c r="CT362" s="103"/>
      <c r="CU362" s="103"/>
      <c r="CV362" s="103"/>
      <c r="CW362" s="103"/>
      <c r="CX362" s="103"/>
      <c r="CY362" s="103"/>
      <c r="CZ362" s="103"/>
      <c r="DA362" s="103"/>
      <c r="DB362" s="103"/>
      <c r="DC362" s="103"/>
      <c r="DD362" s="103"/>
      <c r="DE362" s="107"/>
      <c r="DF362" s="465"/>
      <c r="DG362" s="1"/>
      <c r="DH362" s="51"/>
      <c r="DI362" s="465"/>
      <c r="DJ362" s="52"/>
      <c r="DK362" s="52"/>
      <c r="DL362" s="52"/>
      <c r="DM362" s="52"/>
      <c r="DN362" s="52"/>
      <c r="DO362" s="52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P362" s="53"/>
      <c r="EQ362" s="1"/>
      <c r="ER362" s="103"/>
      <c r="ES362" s="103"/>
      <c r="ET362" s="1"/>
      <c r="EU362" s="103"/>
      <c r="EV362" s="1"/>
      <c r="EW362" s="1"/>
      <c r="EX362" s="1"/>
      <c r="EY362" s="104"/>
      <c r="FN362" s="657">
        <v>38</v>
      </c>
      <c r="FO362" s="450">
        <f t="shared" ref="FO362:HZ362" ca="1" si="715">IF(AND(ISNUMBER(FO57),ISNUMBER(FO$320),FO$320&lt;&gt;0),FO57*FO$320/FO$15,"")</f>
        <v>6.737653154267676E-4</v>
      </c>
      <c r="FP362" s="450">
        <f t="shared" ca="1" si="715"/>
        <v>1.0980975078342557E-3</v>
      </c>
      <c r="FQ362" s="450" t="str">
        <f t="shared" ca="1" si="715"/>
        <v/>
      </c>
      <c r="FR362" s="450" t="str">
        <f t="shared" ca="1" si="715"/>
        <v/>
      </c>
      <c r="FS362" s="450" t="str">
        <f t="shared" ca="1" si="715"/>
        <v/>
      </c>
      <c r="FT362" s="450" t="str">
        <f t="shared" ca="1" si="715"/>
        <v/>
      </c>
      <c r="FU362" s="450" t="str">
        <f t="shared" ca="1" si="715"/>
        <v/>
      </c>
      <c r="FV362" s="450" t="str">
        <f t="shared" ca="1" si="715"/>
        <v/>
      </c>
      <c r="FW362" s="450" t="str">
        <f t="shared" ca="1" si="715"/>
        <v/>
      </c>
      <c r="FX362" s="450" t="str">
        <f t="shared" ca="1" si="715"/>
        <v/>
      </c>
      <c r="FY362" s="450" t="str">
        <f t="shared" ca="1" si="715"/>
        <v/>
      </c>
      <c r="FZ362" s="450" t="str">
        <f t="shared" ca="1" si="715"/>
        <v/>
      </c>
      <c r="GA362" s="450" t="str">
        <f t="shared" ca="1" si="715"/>
        <v/>
      </c>
      <c r="GB362" s="450" t="str">
        <f t="shared" ca="1" si="715"/>
        <v/>
      </c>
      <c r="GC362" s="450" t="str">
        <f t="shared" ca="1" si="715"/>
        <v/>
      </c>
      <c r="GD362" s="450" t="str">
        <f t="shared" ca="1" si="715"/>
        <v/>
      </c>
      <c r="GE362" s="450" t="str">
        <f t="shared" ca="1" si="715"/>
        <v/>
      </c>
      <c r="GF362" s="450" t="str">
        <f t="shared" ca="1" si="715"/>
        <v/>
      </c>
      <c r="GG362" s="450" t="str">
        <f t="shared" ca="1" si="715"/>
        <v/>
      </c>
      <c r="GH362" s="450" t="str">
        <f t="shared" ca="1" si="715"/>
        <v/>
      </c>
      <c r="GI362" s="450" t="str">
        <f t="shared" ca="1" si="715"/>
        <v/>
      </c>
      <c r="GJ362" s="450" t="str">
        <f t="shared" ca="1" si="715"/>
        <v/>
      </c>
      <c r="GK362" s="450" t="str">
        <f t="shared" ca="1" si="715"/>
        <v/>
      </c>
      <c r="GL362" s="450" t="str">
        <f t="shared" ca="1" si="715"/>
        <v/>
      </c>
      <c r="GM362" s="450" t="str">
        <f t="shared" ca="1" si="715"/>
        <v/>
      </c>
      <c r="GN362" s="450" t="str">
        <f t="shared" ca="1" si="715"/>
        <v/>
      </c>
      <c r="GO362" s="450" t="str">
        <f t="shared" ca="1" si="715"/>
        <v/>
      </c>
      <c r="GP362" s="450" t="str">
        <f t="shared" ca="1" si="715"/>
        <v/>
      </c>
      <c r="GQ362" s="450" t="str">
        <f t="shared" ca="1" si="715"/>
        <v/>
      </c>
      <c r="GR362" s="450" t="str">
        <f t="shared" ca="1" si="715"/>
        <v/>
      </c>
      <c r="GS362" s="450" t="str">
        <f t="shared" ca="1" si="715"/>
        <v/>
      </c>
      <c r="GT362" s="450" t="str">
        <f t="shared" ca="1" si="715"/>
        <v/>
      </c>
      <c r="GU362" s="450" t="str">
        <f t="shared" ca="1" si="715"/>
        <v/>
      </c>
      <c r="GV362" s="450" t="str">
        <f t="shared" ca="1" si="715"/>
        <v/>
      </c>
      <c r="GW362" s="450" t="str">
        <f t="shared" ca="1" si="715"/>
        <v/>
      </c>
      <c r="GX362" s="450" t="str">
        <f t="shared" ca="1" si="715"/>
        <v/>
      </c>
      <c r="GY362" s="450" t="str">
        <f t="shared" ca="1" si="715"/>
        <v/>
      </c>
      <c r="GZ362" s="450" t="str">
        <f t="shared" ca="1" si="715"/>
        <v/>
      </c>
      <c r="HA362" s="450" t="str">
        <f t="shared" ca="1" si="715"/>
        <v/>
      </c>
      <c r="HB362" s="450" t="str">
        <f t="shared" ca="1" si="715"/>
        <v/>
      </c>
      <c r="HC362" s="450" t="str">
        <f t="shared" ca="1" si="715"/>
        <v/>
      </c>
      <c r="HD362" s="450" t="str">
        <f t="shared" ca="1" si="715"/>
        <v/>
      </c>
      <c r="HE362" s="450" t="str">
        <f t="shared" ca="1" si="715"/>
        <v/>
      </c>
      <c r="HF362" s="450" t="str">
        <f t="shared" ca="1" si="715"/>
        <v/>
      </c>
      <c r="HG362" s="450" t="str">
        <f t="shared" ca="1" si="715"/>
        <v/>
      </c>
      <c r="HH362" s="450" t="str">
        <f t="shared" ca="1" si="715"/>
        <v/>
      </c>
      <c r="HI362" s="450" t="str">
        <f t="shared" ca="1" si="715"/>
        <v/>
      </c>
      <c r="HJ362" s="450" t="str">
        <f t="shared" ca="1" si="715"/>
        <v/>
      </c>
      <c r="HK362" s="450" t="str">
        <f t="shared" ca="1" si="715"/>
        <v/>
      </c>
      <c r="HL362" s="450" t="str">
        <f t="shared" ca="1" si="715"/>
        <v/>
      </c>
      <c r="HM362" s="450" t="str">
        <f t="shared" ca="1" si="715"/>
        <v/>
      </c>
      <c r="HN362" s="450" t="str">
        <f t="shared" ca="1" si="715"/>
        <v/>
      </c>
      <c r="HO362" s="450" t="str">
        <f t="shared" ca="1" si="715"/>
        <v/>
      </c>
      <c r="HP362" s="450" t="str">
        <f t="shared" ca="1" si="715"/>
        <v/>
      </c>
      <c r="HQ362" s="450" t="str">
        <f t="shared" ca="1" si="715"/>
        <v/>
      </c>
      <c r="HR362" s="450" t="str">
        <f t="shared" ca="1" si="715"/>
        <v/>
      </c>
      <c r="HS362" s="450" t="str">
        <f t="shared" ca="1" si="715"/>
        <v/>
      </c>
      <c r="HT362" s="450" t="str">
        <f t="shared" ca="1" si="715"/>
        <v/>
      </c>
      <c r="HU362" s="450" t="str">
        <f t="shared" ca="1" si="715"/>
        <v/>
      </c>
      <c r="HV362" s="450" t="str">
        <f t="shared" ca="1" si="715"/>
        <v/>
      </c>
      <c r="HW362" s="450" t="str">
        <f t="shared" ca="1" si="715"/>
        <v/>
      </c>
      <c r="HX362" s="450" t="str">
        <f t="shared" ca="1" si="715"/>
        <v/>
      </c>
      <c r="HY362" s="450" t="str">
        <f t="shared" ca="1" si="715"/>
        <v/>
      </c>
      <c r="HZ362" s="450" t="str">
        <f t="shared" ca="1" si="715"/>
        <v/>
      </c>
      <c r="IA362" s="450" t="str">
        <f t="shared" ca="1" si="711"/>
        <v/>
      </c>
      <c r="IB362" s="450" t="str">
        <f t="shared" ca="1" si="707"/>
        <v/>
      </c>
      <c r="IC362" s="450" t="str">
        <f t="shared" ca="1" si="707"/>
        <v/>
      </c>
      <c r="ID362" s="450" t="str">
        <f t="shared" ca="1" si="707"/>
        <v/>
      </c>
      <c r="IE362" s="450" t="str">
        <f t="shared" ca="1" si="707"/>
        <v/>
      </c>
      <c r="IF362" s="450" t="str">
        <f t="shared" ca="1" si="707"/>
        <v/>
      </c>
      <c r="IG362" s="450" t="str">
        <f t="shared" ca="1" si="707"/>
        <v/>
      </c>
      <c r="IH362" s="658" t="str">
        <f t="shared" ca="1" si="707"/>
        <v/>
      </c>
    </row>
    <row r="363" spans="9:242">
      <c r="I363" s="132"/>
      <c r="J363" s="365"/>
      <c r="K363" s="1"/>
      <c r="L363" s="1"/>
      <c r="M363" s="366"/>
      <c r="P363" s="365"/>
      <c r="S363" s="53"/>
      <c r="T363" s="365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364"/>
      <c r="AO363" s="364">
        <v>6.5716991370010608E-2</v>
      </c>
      <c r="AP363" s="103"/>
      <c r="AQ363" s="364">
        <v>5.5750918433302002E-2</v>
      </c>
      <c r="AR363" s="103"/>
      <c r="AS363" s="103"/>
      <c r="AT363" s="103"/>
      <c r="AU363" s="31"/>
      <c r="AV363" s="31"/>
      <c r="AW363" s="31"/>
      <c r="AX363" s="31"/>
      <c r="AY363" s="146"/>
      <c r="AZ363" s="146"/>
      <c r="BA363" s="103"/>
      <c r="BB363" s="103"/>
      <c r="BC363" s="103"/>
      <c r="BD363" s="103"/>
      <c r="BE363" s="104"/>
      <c r="BF363" s="104"/>
      <c r="BG363" s="104"/>
      <c r="BH363" s="102"/>
      <c r="BI363" s="104"/>
      <c r="BJ363" s="103"/>
      <c r="BK363" s="105"/>
      <c r="BL363" s="151"/>
      <c r="BM363" s="103"/>
      <c r="BN363" s="103"/>
      <c r="BO363" s="103"/>
      <c r="BP363" s="103"/>
      <c r="BQ363" s="103"/>
      <c r="BR363" s="103"/>
      <c r="BS363" s="103"/>
      <c r="BT363" s="103"/>
      <c r="BU363" s="103"/>
      <c r="BV363" s="103"/>
      <c r="BW363" s="103"/>
      <c r="BX363" s="103"/>
      <c r="BY363" s="103"/>
      <c r="BZ363" s="104"/>
      <c r="CA363" s="104"/>
      <c r="CB363" s="104"/>
      <c r="CC363" s="104"/>
      <c r="CD363" s="104"/>
      <c r="CE363" s="104"/>
      <c r="CF363" s="103"/>
      <c r="CG363" s="103"/>
      <c r="CH363" s="103"/>
      <c r="CI363" s="103"/>
      <c r="CJ363" s="103"/>
      <c r="CK363" s="103"/>
      <c r="CL363" s="103"/>
      <c r="CM363" s="103"/>
      <c r="CN363" s="103"/>
      <c r="CO363" s="103"/>
      <c r="CP363" s="103"/>
      <c r="CQ363" s="103"/>
      <c r="CR363" s="103"/>
      <c r="CS363" s="103"/>
      <c r="CT363" s="103"/>
      <c r="CU363" s="103"/>
      <c r="CV363" s="103"/>
      <c r="CW363" s="103"/>
      <c r="CX363" s="103"/>
      <c r="CY363" s="103"/>
      <c r="CZ363" s="103"/>
      <c r="DA363" s="103"/>
      <c r="DB363" s="103"/>
      <c r="DC363" s="103"/>
      <c r="DD363" s="103"/>
      <c r="DE363" s="107"/>
      <c r="DF363" s="465"/>
      <c r="DG363" s="1"/>
      <c r="DH363" s="51"/>
      <c r="DI363" s="465"/>
      <c r="DJ363" s="52"/>
      <c r="DK363" s="52"/>
      <c r="DL363" s="52"/>
      <c r="DM363" s="52"/>
      <c r="DN363" s="52"/>
      <c r="DO363" s="52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P363" s="53"/>
      <c r="EQ363" s="1"/>
      <c r="ER363" s="103"/>
      <c r="ES363" s="103"/>
      <c r="ET363" s="1"/>
      <c r="EU363" s="103"/>
      <c r="EV363" s="1"/>
      <c r="EW363" s="1"/>
      <c r="EX363" s="1"/>
      <c r="EY363" s="104"/>
      <c r="FN363" s="657">
        <v>39</v>
      </c>
      <c r="FO363" s="450">
        <f t="shared" ref="FO363:HZ363" ca="1" si="716">IF(AND(ISNUMBER(FO58),ISNUMBER(FO$320),FO$320&lt;&gt;0),FO58*FO$320/FO$15,"")</f>
        <v>6.7163253152182332E-4</v>
      </c>
      <c r="FP363" s="450">
        <f t="shared" ca="1" si="716"/>
        <v>1.0942352914591982E-3</v>
      </c>
      <c r="FQ363" s="450" t="str">
        <f t="shared" ca="1" si="716"/>
        <v/>
      </c>
      <c r="FR363" s="450" t="str">
        <f t="shared" ca="1" si="716"/>
        <v/>
      </c>
      <c r="FS363" s="450" t="str">
        <f t="shared" ca="1" si="716"/>
        <v/>
      </c>
      <c r="FT363" s="450" t="str">
        <f t="shared" ca="1" si="716"/>
        <v/>
      </c>
      <c r="FU363" s="450" t="str">
        <f t="shared" ca="1" si="716"/>
        <v/>
      </c>
      <c r="FV363" s="450" t="str">
        <f t="shared" ca="1" si="716"/>
        <v/>
      </c>
      <c r="FW363" s="450" t="str">
        <f t="shared" ca="1" si="716"/>
        <v/>
      </c>
      <c r="FX363" s="450" t="str">
        <f t="shared" ca="1" si="716"/>
        <v/>
      </c>
      <c r="FY363" s="450" t="str">
        <f t="shared" ca="1" si="716"/>
        <v/>
      </c>
      <c r="FZ363" s="450" t="str">
        <f t="shared" ca="1" si="716"/>
        <v/>
      </c>
      <c r="GA363" s="450" t="str">
        <f t="shared" ca="1" si="716"/>
        <v/>
      </c>
      <c r="GB363" s="450" t="str">
        <f t="shared" ca="1" si="716"/>
        <v/>
      </c>
      <c r="GC363" s="450" t="str">
        <f t="shared" ca="1" si="716"/>
        <v/>
      </c>
      <c r="GD363" s="450" t="str">
        <f t="shared" ca="1" si="716"/>
        <v/>
      </c>
      <c r="GE363" s="450" t="str">
        <f t="shared" ca="1" si="716"/>
        <v/>
      </c>
      <c r="GF363" s="450" t="str">
        <f t="shared" ca="1" si="716"/>
        <v/>
      </c>
      <c r="GG363" s="450" t="str">
        <f t="shared" ca="1" si="716"/>
        <v/>
      </c>
      <c r="GH363" s="450" t="str">
        <f t="shared" ca="1" si="716"/>
        <v/>
      </c>
      <c r="GI363" s="450" t="str">
        <f t="shared" ca="1" si="716"/>
        <v/>
      </c>
      <c r="GJ363" s="450" t="str">
        <f t="shared" ca="1" si="716"/>
        <v/>
      </c>
      <c r="GK363" s="450" t="str">
        <f t="shared" ca="1" si="716"/>
        <v/>
      </c>
      <c r="GL363" s="450" t="str">
        <f t="shared" ca="1" si="716"/>
        <v/>
      </c>
      <c r="GM363" s="450" t="str">
        <f t="shared" ca="1" si="716"/>
        <v/>
      </c>
      <c r="GN363" s="450" t="str">
        <f t="shared" ca="1" si="716"/>
        <v/>
      </c>
      <c r="GO363" s="450" t="str">
        <f t="shared" ca="1" si="716"/>
        <v/>
      </c>
      <c r="GP363" s="450" t="str">
        <f t="shared" ca="1" si="716"/>
        <v/>
      </c>
      <c r="GQ363" s="450" t="str">
        <f t="shared" ca="1" si="716"/>
        <v/>
      </c>
      <c r="GR363" s="450" t="str">
        <f t="shared" ca="1" si="716"/>
        <v/>
      </c>
      <c r="GS363" s="450" t="str">
        <f t="shared" ca="1" si="716"/>
        <v/>
      </c>
      <c r="GT363" s="450" t="str">
        <f t="shared" ca="1" si="716"/>
        <v/>
      </c>
      <c r="GU363" s="450" t="str">
        <f t="shared" ca="1" si="716"/>
        <v/>
      </c>
      <c r="GV363" s="450" t="str">
        <f t="shared" ca="1" si="716"/>
        <v/>
      </c>
      <c r="GW363" s="450" t="str">
        <f t="shared" ca="1" si="716"/>
        <v/>
      </c>
      <c r="GX363" s="450" t="str">
        <f t="shared" ca="1" si="716"/>
        <v/>
      </c>
      <c r="GY363" s="450" t="str">
        <f t="shared" ca="1" si="716"/>
        <v/>
      </c>
      <c r="GZ363" s="450" t="str">
        <f t="shared" ca="1" si="716"/>
        <v/>
      </c>
      <c r="HA363" s="450" t="str">
        <f t="shared" ca="1" si="716"/>
        <v/>
      </c>
      <c r="HB363" s="450" t="str">
        <f t="shared" ca="1" si="716"/>
        <v/>
      </c>
      <c r="HC363" s="450" t="str">
        <f t="shared" ca="1" si="716"/>
        <v/>
      </c>
      <c r="HD363" s="450" t="str">
        <f t="shared" ca="1" si="716"/>
        <v/>
      </c>
      <c r="HE363" s="450" t="str">
        <f t="shared" ca="1" si="716"/>
        <v/>
      </c>
      <c r="HF363" s="450" t="str">
        <f t="shared" ca="1" si="716"/>
        <v/>
      </c>
      <c r="HG363" s="450" t="str">
        <f t="shared" ca="1" si="716"/>
        <v/>
      </c>
      <c r="HH363" s="450" t="str">
        <f t="shared" ca="1" si="716"/>
        <v/>
      </c>
      <c r="HI363" s="450" t="str">
        <f t="shared" ca="1" si="716"/>
        <v/>
      </c>
      <c r="HJ363" s="450" t="str">
        <f t="shared" ca="1" si="716"/>
        <v/>
      </c>
      <c r="HK363" s="450" t="str">
        <f t="shared" ca="1" si="716"/>
        <v/>
      </c>
      <c r="HL363" s="450" t="str">
        <f t="shared" ca="1" si="716"/>
        <v/>
      </c>
      <c r="HM363" s="450" t="str">
        <f t="shared" ca="1" si="716"/>
        <v/>
      </c>
      <c r="HN363" s="450" t="str">
        <f t="shared" ca="1" si="716"/>
        <v/>
      </c>
      <c r="HO363" s="450" t="str">
        <f t="shared" ca="1" si="716"/>
        <v/>
      </c>
      <c r="HP363" s="450" t="str">
        <f t="shared" ca="1" si="716"/>
        <v/>
      </c>
      <c r="HQ363" s="450" t="str">
        <f t="shared" ca="1" si="716"/>
        <v/>
      </c>
      <c r="HR363" s="450" t="str">
        <f t="shared" ca="1" si="716"/>
        <v/>
      </c>
      <c r="HS363" s="450" t="str">
        <f t="shared" ca="1" si="716"/>
        <v/>
      </c>
      <c r="HT363" s="450" t="str">
        <f t="shared" ca="1" si="716"/>
        <v/>
      </c>
      <c r="HU363" s="450" t="str">
        <f t="shared" ca="1" si="716"/>
        <v/>
      </c>
      <c r="HV363" s="450" t="str">
        <f t="shared" ca="1" si="716"/>
        <v/>
      </c>
      <c r="HW363" s="450" t="str">
        <f t="shared" ca="1" si="716"/>
        <v/>
      </c>
      <c r="HX363" s="450" t="str">
        <f t="shared" ca="1" si="716"/>
        <v/>
      </c>
      <c r="HY363" s="450" t="str">
        <f t="shared" ca="1" si="716"/>
        <v/>
      </c>
      <c r="HZ363" s="450" t="str">
        <f t="shared" ca="1" si="716"/>
        <v/>
      </c>
      <c r="IA363" s="450" t="str">
        <f t="shared" ca="1" si="711"/>
        <v/>
      </c>
      <c r="IB363" s="450" t="str">
        <f t="shared" ca="1" si="707"/>
        <v/>
      </c>
      <c r="IC363" s="450" t="str">
        <f t="shared" ca="1" si="707"/>
        <v/>
      </c>
      <c r="ID363" s="450" t="str">
        <f t="shared" ca="1" si="707"/>
        <v/>
      </c>
      <c r="IE363" s="450" t="str">
        <f t="shared" ca="1" si="707"/>
        <v/>
      </c>
      <c r="IF363" s="450" t="str">
        <f t="shared" ca="1" si="707"/>
        <v/>
      </c>
      <c r="IG363" s="450" t="str">
        <f t="shared" ca="1" si="707"/>
        <v/>
      </c>
      <c r="IH363" s="658" t="str">
        <f t="shared" ca="1" si="707"/>
        <v/>
      </c>
    </row>
    <row r="364" spans="9:242">
      <c r="I364" s="132"/>
      <c r="J364" s="365"/>
      <c r="K364" s="1"/>
      <c r="L364" s="1"/>
      <c r="M364" s="366"/>
      <c r="P364" s="365"/>
      <c r="S364" s="53"/>
      <c r="T364" s="365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364"/>
      <c r="AO364" s="364">
        <v>6.5727639148394995E-2</v>
      </c>
      <c r="AP364" s="103"/>
      <c r="AQ364" s="364">
        <v>5.5711688498318E-2</v>
      </c>
      <c r="AR364" s="103"/>
      <c r="AS364" s="103"/>
      <c r="AT364" s="103"/>
      <c r="AU364" s="31"/>
      <c r="AV364" s="31"/>
      <c r="AW364" s="31"/>
      <c r="AX364" s="31"/>
      <c r="AY364" s="146"/>
      <c r="AZ364" s="146"/>
      <c r="BA364" s="103"/>
      <c r="BB364" s="103"/>
      <c r="BC364" s="103"/>
      <c r="BD364" s="103"/>
      <c r="BE364" s="104"/>
      <c r="BF364" s="104"/>
      <c r="BG364" s="104"/>
      <c r="BH364" s="102"/>
      <c r="BI364" s="104"/>
      <c r="BJ364" s="103"/>
      <c r="BK364" s="105"/>
      <c r="BL364" s="151"/>
      <c r="BM364" s="103"/>
      <c r="BN364" s="103"/>
      <c r="BO364" s="103"/>
      <c r="BP364" s="103"/>
      <c r="BQ364" s="103"/>
      <c r="BR364" s="103"/>
      <c r="BS364" s="103"/>
      <c r="BT364" s="103"/>
      <c r="BU364" s="103"/>
      <c r="BV364" s="103"/>
      <c r="BW364" s="103"/>
      <c r="BX364" s="103"/>
      <c r="BY364" s="103"/>
      <c r="BZ364" s="104"/>
      <c r="CA364" s="104"/>
      <c r="CB364" s="104"/>
      <c r="CC364" s="104"/>
      <c r="CD364" s="104"/>
      <c r="CE364" s="104"/>
      <c r="CF364" s="103"/>
      <c r="CG364" s="103"/>
      <c r="CH364" s="103"/>
      <c r="CI364" s="103"/>
      <c r="CJ364" s="103"/>
      <c r="CK364" s="103"/>
      <c r="CL364" s="103"/>
      <c r="CM364" s="103"/>
      <c r="CN364" s="103"/>
      <c r="CO364" s="103"/>
      <c r="CP364" s="103"/>
      <c r="CQ364" s="103"/>
      <c r="CR364" s="103"/>
      <c r="CS364" s="103"/>
      <c r="CT364" s="103"/>
      <c r="CU364" s="103"/>
      <c r="CV364" s="103"/>
      <c r="CW364" s="103"/>
      <c r="CX364" s="103"/>
      <c r="CY364" s="103"/>
      <c r="CZ364" s="103"/>
      <c r="DA364" s="103"/>
      <c r="DB364" s="103"/>
      <c r="DC364" s="103"/>
      <c r="DD364" s="103"/>
      <c r="DE364" s="107"/>
      <c r="DF364" s="465"/>
      <c r="DG364" s="1"/>
      <c r="DH364" s="51"/>
      <c r="DI364" s="465"/>
      <c r="DJ364" s="52"/>
      <c r="DK364" s="52"/>
      <c r="DL364" s="52"/>
      <c r="DM364" s="52"/>
      <c r="DN364" s="52"/>
      <c r="DO364" s="52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P364" s="53"/>
      <c r="EQ364" s="1"/>
      <c r="ER364" s="103"/>
      <c r="ES364" s="103"/>
      <c r="ET364" s="1"/>
      <c r="EU364" s="103"/>
      <c r="EV364" s="1"/>
      <c r="EW364" s="1"/>
      <c r="EX364" s="1"/>
      <c r="EY364" s="104"/>
      <c r="FN364" s="657">
        <v>40</v>
      </c>
      <c r="FO364" s="450">
        <f t="shared" ref="FO364:HZ364" ca="1" si="717">IF(AND(ISNUMBER(FO59),ISNUMBER(FO$320),FO$320&lt;&gt;0),FO59*FO$320/FO$15,"")</f>
        <v>6.6971910214452812E-4</v>
      </c>
      <c r="FP364" s="450">
        <f t="shared" ca="1" si="717"/>
        <v>1.0907715224517834E-3</v>
      </c>
      <c r="FQ364" s="450" t="str">
        <f t="shared" ca="1" si="717"/>
        <v/>
      </c>
      <c r="FR364" s="450" t="str">
        <f t="shared" ca="1" si="717"/>
        <v/>
      </c>
      <c r="FS364" s="450" t="str">
        <f t="shared" ca="1" si="717"/>
        <v/>
      </c>
      <c r="FT364" s="450" t="str">
        <f t="shared" ca="1" si="717"/>
        <v/>
      </c>
      <c r="FU364" s="450" t="str">
        <f t="shared" ca="1" si="717"/>
        <v/>
      </c>
      <c r="FV364" s="450" t="str">
        <f t="shared" ca="1" si="717"/>
        <v/>
      </c>
      <c r="FW364" s="450" t="str">
        <f t="shared" ca="1" si="717"/>
        <v/>
      </c>
      <c r="FX364" s="450" t="str">
        <f t="shared" ca="1" si="717"/>
        <v/>
      </c>
      <c r="FY364" s="450" t="str">
        <f t="shared" ca="1" si="717"/>
        <v/>
      </c>
      <c r="FZ364" s="450" t="str">
        <f t="shared" ca="1" si="717"/>
        <v/>
      </c>
      <c r="GA364" s="450" t="str">
        <f t="shared" ca="1" si="717"/>
        <v/>
      </c>
      <c r="GB364" s="450" t="str">
        <f t="shared" ca="1" si="717"/>
        <v/>
      </c>
      <c r="GC364" s="450" t="str">
        <f t="shared" ca="1" si="717"/>
        <v/>
      </c>
      <c r="GD364" s="450" t="str">
        <f t="shared" ca="1" si="717"/>
        <v/>
      </c>
      <c r="GE364" s="450" t="str">
        <f t="shared" ca="1" si="717"/>
        <v/>
      </c>
      <c r="GF364" s="450" t="str">
        <f t="shared" ca="1" si="717"/>
        <v/>
      </c>
      <c r="GG364" s="450" t="str">
        <f t="shared" ca="1" si="717"/>
        <v/>
      </c>
      <c r="GH364" s="450" t="str">
        <f t="shared" ca="1" si="717"/>
        <v/>
      </c>
      <c r="GI364" s="450" t="str">
        <f t="shared" ca="1" si="717"/>
        <v/>
      </c>
      <c r="GJ364" s="450" t="str">
        <f t="shared" ca="1" si="717"/>
        <v/>
      </c>
      <c r="GK364" s="450" t="str">
        <f t="shared" ca="1" si="717"/>
        <v/>
      </c>
      <c r="GL364" s="450" t="str">
        <f t="shared" ca="1" si="717"/>
        <v/>
      </c>
      <c r="GM364" s="450" t="str">
        <f t="shared" ca="1" si="717"/>
        <v/>
      </c>
      <c r="GN364" s="450" t="str">
        <f t="shared" ca="1" si="717"/>
        <v/>
      </c>
      <c r="GO364" s="450" t="str">
        <f t="shared" ca="1" si="717"/>
        <v/>
      </c>
      <c r="GP364" s="450" t="str">
        <f t="shared" ca="1" si="717"/>
        <v/>
      </c>
      <c r="GQ364" s="450" t="str">
        <f t="shared" ca="1" si="717"/>
        <v/>
      </c>
      <c r="GR364" s="450" t="str">
        <f t="shared" ca="1" si="717"/>
        <v/>
      </c>
      <c r="GS364" s="450" t="str">
        <f t="shared" ca="1" si="717"/>
        <v/>
      </c>
      <c r="GT364" s="450" t="str">
        <f t="shared" ca="1" si="717"/>
        <v/>
      </c>
      <c r="GU364" s="450" t="str">
        <f t="shared" ca="1" si="717"/>
        <v/>
      </c>
      <c r="GV364" s="450" t="str">
        <f t="shared" ca="1" si="717"/>
        <v/>
      </c>
      <c r="GW364" s="450" t="str">
        <f t="shared" ca="1" si="717"/>
        <v/>
      </c>
      <c r="GX364" s="450" t="str">
        <f t="shared" ca="1" si="717"/>
        <v/>
      </c>
      <c r="GY364" s="450" t="str">
        <f t="shared" ca="1" si="717"/>
        <v/>
      </c>
      <c r="GZ364" s="450" t="str">
        <f t="shared" ca="1" si="717"/>
        <v/>
      </c>
      <c r="HA364" s="450" t="str">
        <f t="shared" ca="1" si="717"/>
        <v/>
      </c>
      <c r="HB364" s="450" t="str">
        <f t="shared" ca="1" si="717"/>
        <v/>
      </c>
      <c r="HC364" s="450" t="str">
        <f t="shared" ca="1" si="717"/>
        <v/>
      </c>
      <c r="HD364" s="450" t="str">
        <f t="shared" ca="1" si="717"/>
        <v/>
      </c>
      <c r="HE364" s="450" t="str">
        <f t="shared" ca="1" si="717"/>
        <v/>
      </c>
      <c r="HF364" s="450" t="str">
        <f t="shared" ca="1" si="717"/>
        <v/>
      </c>
      <c r="HG364" s="450" t="str">
        <f t="shared" ca="1" si="717"/>
        <v/>
      </c>
      <c r="HH364" s="450" t="str">
        <f t="shared" ca="1" si="717"/>
        <v/>
      </c>
      <c r="HI364" s="450" t="str">
        <f t="shared" ca="1" si="717"/>
        <v/>
      </c>
      <c r="HJ364" s="450" t="str">
        <f t="shared" ca="1" si="717"/>
        <v/>
      </c>
      <c r="HK364" s="450" t="str">
        <f t="shared" ca="1" si="717"/>
        <v/>
      </c>
      <c r="HL364" s="450" t="str">
        <f t="shared" ca="1" si="717"/>
        <v/>
      </c>
      <c r="HM364" s="450" t="str">
        <f t="shared" ca="1" si="717"/>
        <v/>
      </c>
      <c r="HN364" s="450" t="str">
        <f t="shared" ca="1" si="717"/>
        <v/>
      </c>
      <c r="HO364" s="450" t="str">
        <f t="shared" ca="1" si="717"/>
        <v/>
      </c>
      <c r="HP364" s="450" t="str">
        <f t="shared" ca="1" si="717"/>
        <v/>
      </c>
      <c r="HQ364" s="450" t="str">
        <f t="shared" ca="1" si="717"/>
        <v/>
      </c>
      <c r="HR364" s="450" t="str">
        <f t="shared" ca="1" si="717"/>
        <v/>
      </c>
      <c r="HS364" s="450" t="str">
        <f t="shared" ca="1" si="717"/>
        <v/>
      </c>
      <c r="HT364" s="450" t="str">
        <f t="shared" ca="1" si="717"/>
        <v/>
      </c>
      <c r="HU364" s="450" t="str">
        <f t="shared" ca="1" si="717"/>
        <v/>
      </c>
      <c r="HV364" s="450" t="str">
        <f t="shared" ca="1" si="717"/>
        <v/>
      </c>
      <c r="HW364" s="450" t="str">
        <f t="shared" ca="1" si="717"/>
        <v/>
      </c>
      <c r="HX364" s="450" t="str">
        <f t="shared" ca="1" si="717"/>
        <v/>
      </c>
      <c r="HY364" s="450" t="str">
        <f t="shared" ca="1" si="717"/>
        <v/>
      </c>
      <c r="HZ364" s="450" t="str">
        <f t="shared" ca="1" si="717"/>
        <v/>
      </c>
      <c r="IA364" s="450" t="str">
        <f t="shared" ca="1" si="711"/>
        <v/>
      </c>
      <c r="IB364" s="450" t="str">
        <f t="shared" ca="1" si="707"/>
        <v/>
      </c>
      <c r="IC364" s="450" t="str">
        <f t="shared" ca="1" si="707"/>
        <v/>
      </c>
      <c r="ID364" s="450" t="str">
        <f t="shared" ca="1" si="707"/>
        <v/>
      </c>
      <c r="IE364" s="450" t="str">
        <f t="shared" ca="1" si="707"/>
        <v/>
      </c>
      <c r="IF364" s="450" t="str">
        <f t="shared" ca="1" si="707"/>
        <v/>
      </c>
      <c r="IG364" s="450" t="str">
        <f t="shared" ca="1" si="707"/>
        <v/>
      </c>
      <c r="IH364" s="658" t="str">
        <f t="shared" ca="1" si="707"/>
        <v/>
      </c>
    </row>
    <row r="365" spans="9:242">
      <c r="I365" s="132"/>
      <c r="J365" s="365"/>
      <c r="K365" s="1"/>
      <c r="L365" s="1"/>
      <c r="M365" s="366"/>
      <c r="P365" s="365"/>
      <c r="S365" s="53"/>
      <c r="T365" s="365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364"/>
      <c r="AO365" s="364">
        <v>6.5738286926816603E-2</v>
      </c>
      <c r="AP365" s="103"/>
      <c r="AQ365" s="364">
        <v>5.5672458574093801E-2</v>
      </c>
      <c r="AR365" s="103"/>
      <c r="AS365" s="103"/>
      <c r="AT365" s="103"/>
      <c r="AU365" s="31"/>
      <c r="AV365" s="31"/>
      <c r="AW365" s="31"/>
      <c r="AX365" s="31"/>
      <c r="AY365" s="146"/>
      <c r="AZ365" s="146"/>
      <c r="BA365" s="103"/>
      <c r="BB365" s="103"/>
      <c r="BC365" s="103"/>
      <c r="BD365" s="103"/>
      <c r="BE365" s="104"/>
      <c r="BF365" s="104"/>
      <c r="BG365" s="104"/>
      <c r="BH365" s="102"/>
      <c r="BI365" s="104"/>
      <c r="BJ365" s="103"/>
      <c r="BK365" s="105"/>
      <c r="BL365" s="151"/>
      <c r="BM365" s="103"/>
      <c r="BN365" s="103"/>
      <c r="BO365" s="103"/>
      <c r="BP365" s="103"/>
      <c r="BQ365" s="103"/>
      <c r="BR365" s="103"/>
      <c r="BS365" s="103"/>
      <c r="BT365" s="103"/>
      <c r="BU365" s="103"/>
      <c r="BV365" s="103"/>
      <c r="BW365" s="103"/>
      <c r="BX365" s="103"/>
      <c r="BY365" s="103"/>
      <c r="BZ365" s="104"/>
      <c r="CA365" s="104"/>
      <c r="CB365" s="104"/>
      <c r="CC365" s="104"/>
      <c r="CD365" s="104"/>
      <c r="CE365" s="104"/>
      <c r="CF365" s="103"/>
      <c r="CG365" s="103"/>
      <c r="CH365" s="103"/>
      <c r="CI365" s="103"/>
      <c r="CJ365" s="103"/>
      <c r="CK365" s="103"/>
      <c r="CL365" s="103"/>
      <c r="CM365" s="103"/>
      <c r="CN365" s="103"/>
      <c r="CO365" s="103"/>
      <c r="CP365" s="103"/>
      <c r="CQ365" s="103"/>
      <c r="CR365" s="103"/>
      <c r="CS365" s="103"/>
      <c r="CT365" s="103"/>
      <c r="CU365" s="103"/>
      <c r="CV365" s="103"/>
      <c r="CW365" s="103"/>
      <c r="CX365" s="103"/>
      <c r="CY365" s="103"/>
      <c r="CZ365" s="103"/>
      <c r="DA365" s="103"/>
      <c r="DB365" s="103"/>
      <c r="DC365" s="103"/>
      <c r="DD365" s="103"/>
      <c r="DE365" s="107"/>
      <c r="DF365" s="465"/>
      <c r="DG365" s="1"/>
      <c r="DH365" s="51"/>
      <c r="DI365" s="465"/>
      <c r="DJ365" s="52"/>
      <c r="DK365" s="52"/>
      <c r="DL365" s="52"/>
      <c r="DM365" s="52"/>
      <c r="DN365" s="52"/>
      <c r="DO365" s="52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P365" s="53"/>
      <c r="EQ365" s="1"/>
      <c r="ER365" s="103"/>
      <c r="ES365" s="103"/>
      <c r="ET365" s="1"/>
      <c r="EU365" s="103"/>
      <c r="EV365" s="1"/>
      <c r="EW365" s="1"/>
      <c r="EX365" s="1"/>
      <c r="EY365" s="104"/>
      <c r="FN365" s="657">
        <v>41</v>
      </c>
      <c r="FO365" s="450">
        <f t="shared" ref="FO365:HZ365" ca="1" si="718">IF(AND(ISNUMBER(FO60),ISNUMBER(FO$320),FO$320&lt;&gt;0),FO60*FO$320/FO$15,"")</f>
        <v>6.680019217966556E-4</v>
      </c>
      <c r="FP365" s="450">
        <f t="shared" ca="1" si="718"/>
        <v>1.087663998356357E-3</v>
      </c>
      <c r="FQ365" s="450" t="str">
        <f t="shared" ca="1" si="718"/>
        <v/>
      </c>
      <c r="FR365" s="450" t="str">
        <f t="shared" ca="1" si="718"/>
        <v/>
      </c>
      <c r="FS365" s="450" t="str">
        <f t="shared" ca="1" si="718"/>
        <v/>
      </c>
      <c r="FT365" s="450" t="str">
        <f t="shared" ca="1" si="718"/>
        <v/>
      </c>
      <c r="FU365" s="450" t="str">
        <f t="shared" ca="1" si="718"/>
        <v/>
      </c>
      <c r="FV365" s="450" t="str">
        <f t="shared" ca="1" si="718"/>
        <v/>
      </c>
      <c r="FW365" s="450" t="str">
        <f t="shared" ca="1" si="718"/>
        <v/>
      </c>
      <c r="FX365" s="450" t="str">
        <f t="shared" ca="1" si="718"/>
        <v/>
      </c>
      <c r="FY365" s="450" t="str">
        <f t="shared" ca="1" si="718"/>
        <v/>
      </c>
      <c r="FZ365" s="450" t="str">
        <f t="shared" ca="1" si="718"/>
        <v/>
      </c>
      <c r="GA365" s="450" t="str">
        <f t="shared" ca="1" si="718"/>
        <v/>
      </c>
      <c r="GB365" s="450" t="str">
        <f t="shared" ca="1" si="718"/>
        <v/>
      </c>
      <c r="GC365" s="450" t="str">
        <f t="shared" ca="1" si="718"/>
        <v/>
      </c>
      <c r="GD365" s="450" t="str">
        <f t="shared" ca="1" si="718"/>
        <v/>
      </c>
      <c r="GE365" s="450" t="str">
        <f t="shared" ca="1" si="718"/>
        <v/>
      </c>
      <c r="GF365" s="450" t="str">
        <f t="shared" ca="1" si="718"/>
        <v/>
      </c>
      <c r="GG365" s="450" t="str">
        <f t="shared" ca="1" si="718"/>
        <v/>
      </c>
      <c r="GH365" s="450" t="str">
        <f t="shared" ca="1" si="718"/>
        <v/>
      </c>
      <c r="GI365" s="450" t="str">
        <f t="shared" ca="1" si="718"/>
        <v/>
      </c>
      <c r="GJ365" s="450" t="str">
        <f t="shared" ca="1" si="718"/>
        <v/>
      </c>
      <c r="GK365" s="450" t="str">
        <f t="shared" ca="1" si="718"/>
        <v/>
      </c>
      <c r="GL365" s="450" t="str">
        <f t="shared" ca="1" si="718"/>
        <v/>
      </c>
      <c r="GM365" s="450" t="str">
        <f t="shared" ca="1" si="718"/>
        <v/>
      </c>
      <c r="GN365" s="450" t="str">
        <f t="shared" ca="1" si="718"/>
        <v/>
      </c>
      <c r="GO365" s="450" t="str">
        <f t="shared" ca="1" si="718"/>
        <v/>
      </c>
      <c r="GP365" s="450" t="str">
        <f t="shared" ca="1" si="718"/>
        <v/>
      </c>
      <c r="GQ365" s="450" t="str">
        <f t="shared" ca="1" si="718"/>
        <v/>
      </c>
      <c r="GR365" s="450" t="str">
        <f t="shared" ca="1" si="718"/>
        <v/>
      </c>
      <c r="GS365" s="450" t="str">
        <f t="shared" ca="1" si="718"/>
        <v/>
      </c>
      <c r="GT365" s="450" t="str">
        <f t="shared" ca="1" si="718"/>
        <v/>
      </c>
      <c r="GU365" s="450" t="str">
        <f t="shared" ca="1" si="718"/>
        <v/>
      </c>
      <c r="GV365" s="450" t="str">
        <f t="shared" ca="1" si="718"/>
        <v/>
      </c>
      <c r="GW365" s="450" t="str">
        <f t="shared" ca="1" si="718"/>
        <v/>
      </c>
      <c r="GX365" s="450" t="str">
        <f t="shared" ca="1" si="718"/>
        <v/>
      </c>
      <c r="GY365" s="450" t="str">
        <f t="shared" ca="1" si="718"/>
        <v/>
      </c>
      <c r="GZ365" s="450" t="str">
        <f t="shared" ca="1" si="718"/>
        <v/>
      </c>
      <c r="HA365" s="450" t="str">
        <f t="shared" ca="1" si="718"/>
        <v/>
      </c>
      <c r="HB365" s="450" t="str">
        <f t="shared" ca="1" si="718"/>
        <v/>
      </c>
      <c r="HC365" s="450" t="str">
        <f t="shared" ca="1" si="718"/>
        <v/>
      </c>
      <c r="HD365" s="450" t="str">
        <f t="shared" ca="1" si="718"/>
        <v/>
      </c>
      <c r="HE365" s="450" t="str">
        <f t="shared" ca="1" si="718"/>
        <v/>
      </c>
      <c r="HF365" s="450" t="str">
        <f t="shared" ca="1" si="718"/>
        <v/>
      </c>
      <c r="HG365" s="450" t="str">
        <f t="shared" ca="1" si="718"/>
        <v/>
      </c>
      <c r="HH365" s="450" t="str">
        <f t="shared" ca="1" si="718"/>
        <v/>
      </c>
      <c r="HI365" s="450" t="str">
        <f t="shared" ca="1" si="718"/>
        <v/>
      </c>
      <c r="HJ365" s="450" t="str">
        <f t="shared" ca="1" si="718"/>
        <v/>
      </c>
      <c r="HK365" s="450" t="str">
        <f t="shared" ca="1" si="718"/>
        <v/>
      </c>
      <c r="HL365" s="450" t="str">
        <f t="shared" ca="1" si="718"/>
        <v/>
      </c>
      <c r="HM365" s="450" t="str">
        <f t="shared" ca="1" si="718"/>
        <v/>
      </c>
      <c r="HN365" s="450" t="str">
        <f t="shared" ca="1" si="718"/>
        <v/>
      </c>
      <c r="HO365" s="450" t="str">
        <f t="shared" ca="1" si="718"/>
        <v/>
      </c>
      <c r="HP365" s="450" t="str">
        <f t="shared" ca="1" si="718"/>
        <v/>
      </c>
      <c r="HQ365" s="450" t="str">
        <f t="shared" ca="1" si="718"/>
        <v/>
      </c>
      <c r="HR365" s="450" t="str">
        <f t="shared" ca="1" si="718"/>
        <v/>
      </c>
      <c r="HS365" s="450" t="str">
        <f t="shared" ca="1" si="718"/>
        <v/>
      </c>
      <c r="HT365" s="450" t="str">
        <f t="shared" ca="1" si="718"/>
        <v/>
      </c>
      <c r="HU365" s="450" t="str">
        <f t="shared" ca="1" si="718"/>
        <v/>
      </c>
      <c r="HV365" s="450" t="str">
        <f t="shared" ca="1" si="718"/>
        <v/>
      </c>
      <c r="HW365" s="450" t="str">
        <f t="shared" ca="1" si="718"/>
        <v/>
      </c>
      <c r="HX365" s="450" t="str">
        <f t="shared" ca="1" si="718"/>
        <v/>
      </c>
      <c r="HY365" s="450" t="str">
        <f t="shared" ca="1" si="718"/>
        <v/>
      </c>
      <c r="HZ365" s="450" t="str">
        <f t="shared" ca="1" si="718"/>
        <v/>
      </c>
      <c r="IA365" s="450" t="str">
        <f t="shared" ca="1" si="711"/>
        <v/>
      </c>
      <c r="IB365" s="450" t="str">
        <f t="shared" ref="IB365:IH374" ca="1" si="719">IF(AND(ISNUMBER(IB60),ISNUMBER(IB$320),IB$320&lt;&gt;0),IB60*IB$320/IB$15,"")</f>
        <v/>
      </c>
      <c r="IC365" s="450" t="str">
        <f t="shared" ca="1" si="719"/>
        <v/>
      </c>
      <c r="ID365" s="450" t="str">
        <f t="shared" ca="1" si="719"/>
        <v/>
      </c>
      <c r="IE365" s="450" t="str">
        <f t="shared" ca="1" si="719"/>
        <v/>
      </c>
      <c r="IF365" s="450" t="str">
        <f t="shared" ca="1" si="719"/>
        <v/>
      </c>
      <c r="IG365" s="450" t="str">
        <f t="shared" ca="1" si="719"/>
        <v/>
      </c>
      <c r="IH365" s="658" t="str">
        <f t="shared" ca="1" si="719"/>
        <v/>
      </c>
    </row>
    <row r="366" spans="9:242">
      <c r="I366" s="132"/>
      <c r="J366" s="365"/>
      <c r="K366" s="1"/>
      <c r="L366" s="1"/>
      <c r="M366" s="366"/>
      <c r="P366" s="365"/>
      <c r="S366" s="53"/>
      <c r="T366" s="365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364"/>
      <c r="AO366" s="364">
        <v>6.5747904275100993E-2</v>
      </c>
      <c r="AP366" s="103"/>
      <c r="AQ366" s="364">
        <v>5.5637025103399303E-2</v>
      </c>
      <c r="AR366" s="103"/>
      <c r="AS366" s="103"/>
      <c r="AT366" s="103"/>
      <c r="AU366" s="31"/>
      <c r="AV366" s="31"/>
      <c r="AW366" s="31"/>
      <c r="AX366" s="31"/>
      <c r="AY366" s="146"/>
      <c r="AZ366" s="146"/>
      <c r="BA366" s="103"/>
      <c r="BB366" s="103"/>
      <c r="BC366" s="103"/>
      <c r="BD366" s="103"/>
      <c r="BE366" s="104"/>
      <c r="BF366" s="104"/>
      <c r="BG366" s="104"/>
      <c r="BH366" s="102"/>
      <c r="BI366" s="104"/>
      <c r="BJ366" s="103"/>
      <c r="BK366" s="105"/>
      <c r="BL366" s="151"/>
      <c r="BM366" s="103"/>
      <c r="BN366" s="103"/>
      <c r="BO366" s="103"/>
      <c r="BP366" s="103"/>
      <c r="BQ366" s="103"/>
      <c r="BR366" s="103"/>
      <c r="BS366" s="103"/>
      <c r="BT366" s="103"/>
      <c r="BU366" s="103"/>
      <c r="BV366" s="103"/>
      <c r="BW366" s="103"/>
      <c r="BX366" s="103"/>
      <c r="BY366" s="103"/>
      <c r="BZ366" s="104"/>
      <c r="CA366" s="104"/>
      <c r="CB366" s="104"/>
      <c r="CC366" s="104"/>
      <c r="CD366" s="104"/>
      <c r="CE366" s="104"/>
      <c r="CF366" s="103"/>
      <c r="CG366" s="103"/>
      <c r="CH366" s="103"/>
      <c r="CI366" s="103"/>
      <c r="CJ366" s="103"/>
      <c r="CK366" s="103"/>
      <c r="CL366" s="103"/>
      <c r="CM366" s="103"/>
      <c r="CN366" s="103"/>
      <c r="CO366" s="103"/>
      <c r="CP366" s="103"/>
      <c r="CQ366" s="103"/>
      <c r="CR366" s="103"/>
      <c r="CS366" s="103"/>
      <c r="CT366" s="103"/>
      <c r="CU366" s="103"/>
      <c r="CV366" s="103"/>
      <c r="CW366" s="103"/>
      <c r="CX366" s="103"/>
      <c r="CY366" s="103"/>
      <c r="CZ366" s="103"/>
      <c r="DA366" s="103"/>
      <c r="DB366" s="103"/>
      <c r="DC366" s="103"/>
      <c r="DD366" s="103"/>
      <c r="DE366" s="107"/>
      <c r="DF366" s="465"/>
      <c r="DG366" s="1"/>
      <c r="DH366" s="51"/>
      <c r="DI366" s="465"/>
      <c r="DJ366" s="52"/>
      <c r="DK366" s="52"/>
      <c r="DL366" s="52"/>
      <c r="DM366" s="52"/>
      <c r="DN366" s="52"/>
      <c r="DO366" s="52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P366" s="53"/>
      <c r="EQ366" s="1"/>
      <c r="ER366" s="103"/>
      <c r="ES366" s="103"/>
      <c r="ET366" s="1"/>
      <c r="EU366" s="103"/>
      <c r="EV366" s="1"/>
      <c r="EW366" s="1"/>
      <c r="EX366" s="1"/>
      <c r="EY366" s="104"/>
      <c r="FN366" s="657">
        <v>42</v>
      </c>
      <c r="FO366" s="450">
        <f t="shared" ref="FO366:HZ366" ca="1" si="720">IF(AND(ISNUMBER(FO61),ISNUMBER(FO$320),FO$320&lt;&gt;0),FO61*FO$320/FO$15,"")</f>
        <v>6.6646042209640894E-4</v>
      </c>
      <c r="FP366" s="450">
        <f t="shared" ca="1" si="720"/>
        <v>1.0848751944576996E-3</v>
      </c>
      <c r="FQ366" s="450" t="str">
        <f t="shared" ca="1" si="720"/>
        <v/>
      </c>
      <c r="FR366" s="450" t="str">
        <f t="shared" ca="1" si="720"/>
        <v/>
      </c>
      <c r="FS366" s="450" t="str">
        <f t="shared" ca="1" si="720"/>
        <v/>
      </c>
      <c r="FT366" s="450" t="str">
        <f t="shared" ca="1" si="720"/>
        <v/>
      </c>
      <c r="FU366" s="450" t="str">
        <f t="shared" ca="1" si="720"/>
        <v/>
      </c>
      <c r="FV366" s="450" t="str">
        <f t="shared" ca="1" si="720"/>
        <v/>
      </c>
      <c r="FW366" s="450" t="str">
        <f t="shared" ca="1" si="720"/>
        <v/>
      </c>
      <c r="FX366" s="450" t="str">
        <f t="shared" ca="1" si="720"/>
        <v/>
      </c>
      <c r="FY366" s="450" t="str">
        <f t="shared" ca="1" si="720"/>
        <v/>
      </c>
      <c r="FZ366" s="450" t="str">
        <f t="shared" ca="1" si="720"/>
        <v/>
      </c>
      <c r="GA366" s="450" t="str">
        <f t="shared" ca="1" si="720"/>
        <v/>
      </c>
      <c r="GB366" s="450" t="str">
        <f t="shared" ca="1" si="720"/>
        <v/>
      </c>
      <c r="GC366" s="450" t="str">
        <f t="shared" ca="1" si="720"/>
        <v/>
      </c>
      <c r="GD366" s="450" t="str">
        <f t="shared" ca="1" si="720"/>
        <v/>
      </c>
      <c r="GE366" s="450" t="str">
        <f t="shared" ca="1" si="720"/>
        <v/>
      </c>
      <c r="GF366" s="450" t="str">
        <f t="shared" ca="1" si="720"/>
        <v/>
      </c>
      <c r="GG366" s="450" t="str">
        <f t="shared" ca="1" si="720"/>
        <v/>
      </c>
      <c r="GH366" s="450" t="str">
        <f t="shared" ca="1" si="720"/>
        <v/>
      </c>
      <c r="GI366" s="450" t="str">
        <f t="shared" ca="1" si="720"/>
        <v/>
      </c>
      <c r="GJ366" s="450" t="str">
        <f t="shared" ca="1" si="720"/>
        <v/>
      </c>
      <c r="GK366" s="450" t="str">
        <f t="shared" ca="1" si="720"/>
        <v/>
      </c>
      <c r="GL366" s="450" t="str">
        <f t="shared" ca="1" si="720"/>
        <v/>
      </c>
      <c r="GM366" s="450" t="str">
        <f t="shared" ca="1" si="720"/>
        <v/>
      </c>
      <c r="GN366" s="450" t="str">
        <f t="shared" ca="1" si="720"/>
        <v/>
      </c>
      <c r="GO366" s="450" t="str">
        <f t="shared" ca="1" si="720"/>
        <v/>
      </c>
      <c r="GP366" s="450" t="str">
        <f t="shared" ca="1" si="720"/>
        <v/>
      </c>
      <c r="GQ366" s="450" t="str">
        <f t="shared" ca="1" si="720"/>
        <v/>
      </c>
      <c r="GR366" s="450" t="str">
        <f t="shared" ca="1" si="720"/>
        <v/>
      </c>
      <c r="GS366" s="450" t="str">
        <f t="shared" ca="1" si="720"/>
        <v/>
      </c>
      <c r="GT366" s="450" t="str">
        <f t="shared" ca="1" si="720"/>
        <v/>
      </c>
      <c r="GU366" s="450" t="str">
        <f t="shared" ca="1" si="720"/>
        <v/>
      </c>
      <c r="GV366" s="450" t="str">
        <f t="shared" ca="1" si="720"/>
        <v/>
      </c>
      <c r="GW366" s="450" t="str">
        <f t="shared" ca="1" si="720"/>
        <v/>
      </c>
      <c r="GX366" s="450" t="str">
        <f t="shared" ca="1" si="720"/>
        <v/>
      </c>
      <c r="GY366" s="450" t="str">
        <f t="shared" ca="1" si="720"/>
        <v/>
      </c>
      <c r="GZ366" s="450" t="str">
        <f t="shared" ca="1" si="720"/>
        <v/>
      </c>
      <c r="HA366" s="450" t="str">
        <f t="shared" ca="1" si="720"/>
        <v/>
      </c>
      <c r="HB366" s="450" t="str">
        <f t="shared" ca="1" si="720"/>
        <v/>
      </c>
      <c r="HC366" s="450" t="str">
        <f t="shared" ca="1" si="720"/>
        <v/>
      </c>
      <c r="HD366" s="450" t="str">
        <f t="shared" ca="1" si="720"/>
        <v/>
      </c>
      <c r="HE366" s="450" t="str">
        <f t="shared" ca="1" si="720"/>
        <v/>
      </c>
      <c r="HF366" s="450" t="str">
        <f t="shared" ca="1" si="720"/>
        <v/>
      </c>
      <c r="HG366" s="450" t="str">
        <f t="shared" ca="1" si="720"/>
        <v/>
      </c>
      <c r="HH366" s="450" t="str">
        <f t="shared" ca="1" si="720"/>
        <v/>
      </c>
      <c r="HI366" s="450" t="str">
        <f t="shared" ca="1" si="720"/>
        <v/>
      </c>
      <c r="HJ366" s="450" t="str">
        <f t="shared" ca="1" si="720"/>
        <v/>
      </c>
      <c r="HK366" s="450" t="str">
        <f t="shared" ca="1" si="720"/>
        <v/>
      </c>
      <c r="HL366" s="450" t="str">
        <f t="shared" ca="1" si="720"/>
        <v/>
      </c>
      <c r="HM366" s="450" t="str">
        <f t="shared" ca="1" si="720"/>
        <v/>
      </c>
      <c r="HN366" s="450" t="str">
        <f t="shared" ca="1" si="720"/>
        <v/>
      </c>
      <c r="HO366" s="450" t="str">
        <f t="shared" ca="1" si="720"/>
        <v/>
      </c>
      <c r="HP366" s="450" t="str">
        <f t="shared" ca="1" si="720"/>
        <v/>
      </c>
      <c r="HQ366" s="450" t="str">
        <f t="shared" ca="1" si="720"/>
        <v/>
      </c>
      <c r="HR366" s="450" t="str">
        <f t="shared" ca="1" si="720"/>
        <v/>
      </c>
      <c r="HS366" s="450" t="str">
        <f t="shared" ca="1" si="720"/>
        <v/>
      </c>
      <c r="HT366" s="450" t="str">
        <f t="shared" ca="1" si="720"/>
        <v/>
      </c>
      <c r="HU366" s="450" t="str">
        <f t="shared" ca="1" si="720"/>
        <v/>
      </c>
      <c r="HV366" s="450" t="str">
        <f t="shared" ca="1" si="720"/>
        <v/>
      </c>
      <c r="HW366" s="450" t="str">
        <f t="shared" ca="1" si="720"/>
        <v/>
      </c>
      <c r="HX366" s="450" t="str">
        <f t="shared" ca="1" si="720"/>
        <v/>
      </c>
      <c r="HY366" s="450" t="str">
        <f t="shared" ca="1" si="720"/>
        <v/>
      </c>
      <c r="HZ366" s="450" t="str">
        <f t="shared" ca="1" si="720"/>
        <v/>
      </c>
      <c r="IA366" s="450" t="str">
        <f t="shared" ca="1" si="711"/>
        <v/>
      </c>
      <c r="IB366" s="450" t="str">
        <f t="shared" ca="1" si="719"/>
        <v/>
      </c>
      <c r="IC366" s="450" t="str">
        <f t="shared" ca="1" si="719"/>
        <v/>
      </c>
      <c r="ID366" s="450" t="str">
        <f t="shared" ca="1" si="719"/>
        <v/>
      </c>
      <c r="IE366" s="450" t="str">
        <f t="shared" ca="1" si="719"/>
        <v/>
      </c>
      <c r="IF366" s="450" t="str">
        <f t="shared" ca="1" si="719"/>
        <v/>
      </c>
      <c r="IG366" s="450" t="str">
        <f t="shared" ca="1" si="719"/>
        <v/>
      </c>
      <c r="IH366" s="658" t="str">
        <f t="shared" ca="1" si="719"/>
        <v/>
      </c>
    </row>
    <row r="367" spans="9:242">
      <c r="I367" s="132"/>
      <c r="J367" s="365"/>
      <c r="K367" s="1"/>
      <c r="L367" s="1"/>
      <c r="M367" s="366"/>
      <c r="P367" s="365"/>
      <c r="S367" s="53"/>
      <c r="T367" s="365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364"/>
      <c r="AO367" s="364">
        <v>6.5758552053594196E-2</v>
      </c>
      <c r="AP367" s="103"/>
      <c r="AQ367" s="364">
        <v>5.5597795199656498E-2</v>
      </c>
      <c r="AR367" s="103"/>
      <c r="AS367" s="103"/>
      <c r="AT367" s="103"/>
      <c r="AU367" s="31"/>
      <c r="AV367" s="31"/>
      <c r="AW367" s="31"/>
      <c r="AX367" s="31"/>
      <c r="AY367" s="146"/>
      <c r="AZ367" s="146"/>
      <c r="BA367" s="103"/>
      <c r="BB367" s="103"/>
      <c r="BC367" s="103"/>
      <c r="BD367" s="103"/>
      <c r="BE367" s="104"/>
      <c r="BF367" s="104"/>
      <c r="BG367" s="104"/>
      <c r="BH367" s="102"/>
      <c r="BI367" s="104"/>
      <c r="BJ367" s="103"/>
      <c r="BK367" s="105"/>
      <c r="BL367" s="151"/>
      <c r="BM367" s="103"/>
      <c r="BN367" s="103"/>
      <c r="BO367" s="103"/>
      <c r="BP367" s="103"/>
      <c r="BQ367" s="103"/>
      <c r="BR367" s="103"/>
      <c r="BS367" s="103"/>
      <c r="BT367" s="103"/>
      <c r="BU367" s="103"/>
      <c r="BV367" s="103"/>
      <c r="BW367" s="103"/>
      <c r="BX367" s="103"/>
      <c r="BY367" s="103"/>
      <c r="BZ367" s="104"/>
      <c r="CA367" s="104"/>
      <c r="CB367" s="104"/>
      <c r="CC367" s="104"/>
      <c r="CD367" s="104"/>
      <c r="CE367" s="104"/>
      <c r="CF367" s="103"/>
      <c r="CG367" s="103"/>
      <c r="CH367" s="103"/>
      <c r="CI367" s="103"/>
      <c r="CJ367" s="103"/>
      <c r="CK367" s="103"/>
      <c r="CL367" s="103"/>
      <c r="CM367" s="103"/>
      <c r="CN367" s="103"/>
      <c r="CO367" s="103"/>
      <c r="CP367" s="103"/>
      <c r="CQ367" s="103"/>
      <c r="CR367" s="103"/>
      <c r="CS367" s="103"/>
      <c r="CT367" s="103"/>
      <c r="CU367" s="103"/>
      <c r="CV367" s="103"/>
      <c r="CW367" s="103"/>
      <c r="CX367" s="103"/>
      <c r="CY367" s="103"/>
      <c r="CZ367" s="103"/>
      <c r="DA367" s="103"/>
      <c r="DB367" s="103"/>
      <c r="DC367" s="103"/>
      <c r="DD367" s="103"/>
      <c r="DE367" s="107"/>
      <c r="DF367" s="465"/>
      <c r="DG367" s="1"/>
      <c r="DH367" s="51"/>
      <c r="DI367" s="465"/>
      <c r="DJ367" s="52"/>
      <c r="DK367" s="52"/>
      <c r="DL367" s="52"/>
      <c r="DM367" s="52"/>
      <c r="DN367" s="52"/>
      <c r="DO367" s="52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P367" s="53"/>
      <c r="EQ367" s="1"/>
      <c r="ER367" s="103"/>
      <c r="ES367" s="103"/>
      <c r="ET367" s="1"/>
      <c r="EU367" s="103"/>
      <c r="EV367" s="1"/>
      <c r="EW367" s="1"/>
      <c r="EX367" s="1"/>
      <c r="EY367" s="104"/>
      <c r="FN367" s="657">
        <v>43</v>
      </c>
      <c r="FO367" s="450">
        <f t="shared" ref="FO367:HZ367" ca="1" si="721">IF(AND(ISNUMBER(FO62),ISNUMBER(FO$320),FO$320&lt;&gt;0),FO62*FO$320/FO$15,"")</f>
        <v>6.6507627385277467E-4</v>
      </c>
      <c r="FP367" s="450">
        <f t="shared" ca="1" si="721"/>
        <v>1.0823717064698749E-3</v>
      </c>
      <c r="FQ367" s="450" t="str">
        <f t="shared" ca="1" si="721"/>
        <v/>
      </c>
      <c r="FR367" s="450" t="str">
        <f t="shared" ca="1" si="721"/>
        <v/>
      </c>
      <c r="FS367" s="450" t="str">
        <f t="shared" ca="1" si="721"/>
        <v/>
      </c>
      <c r="FT367" s="450" t="str">
        <f t="shared" ca="1" si="721"/>
        <v/>
      </c>
      <c r="FU367" s="450" t="str">
        <f t="shared" ca="1" si="721"/>
        <v/>
      </c>
      <c r="FV367" s="450" t="str">
        <f t="shared" ca="1" si="721"/>
        <v/>
      </c>
      <c r="FW367" s="450" t="str">
        <f t="shared" ca="1" si="721"/>
        <v/>
      </c>
      <c r="FX367" s="450" t="str">
        <f t="shared" ca="1" si="721"/>
        <v/>
      </c>
      <c r="FY367" s="450" t="str">
        <f t="shared" ca="1" si="721"/>
        <v/>
      </c>
      <c r="FZ367" s="450" t="str">
        <f t="shared" ca="1" si="721"/>
        <v/>
      </c>
      <c r="GA367" s="450" t="str">
        <f t="shared" ca="1" si="721"/>
        <v/>
      </c>
      <c r="GB367" s="450" t="str">
        <f t="shared" ca="1" si="721"/>
        <v/>
      </c>
      <c r="GC367" s="450" t="str">
        <f t="shared" ca="1" si="721"/>
        <v/>
      </c>
      <c r="GD367" s="450" t="str">
        <f t="shared" ca="1" si="721"/>
        <v/>
      </c>
      <c r="GE367" s="450" t="str">
        <f t="shared" ca="1" si="721"/>
        <v/>
      </c>
      <c r="GF367" s="450" t="str">
        <f t="shared" ca="1" si="721"/>
        <v/>
      </c>
      <c r="GG367" s="450" t="str">
        <f t="shared" ca="1" si="721"/>
        <v/>
      </c>
      <c r="GH367" s="450" t="str">
        <f t="shared" ca="1" si="721"/>
        <v/>
      </c>
      <c r="GI367" s="450" t="str">
        <f t="shared" ca="1" si="721"/>
        <v/>
      </c>
      <c r="GJ367" s="450" t="str">
        <f t="shared" ca="1" si="721"/>
        <v/>
      </c>
      <c r="GK367" s="450" t="str">
        <f t="shared" ca="1" si="721"/>
        <v/>
      </c>
      <c r="GL367" s="450" t="str">
        <f t="shared" ca="1" si="721"/>
        <v/>
      </c>
      <c r="GM367" s="450" t="str">
        <f t="shared" ca="1" si="721"/>
        <v/>
      </c>
      <c r="GN367" s="450" t="str">
        <f t="shared" ca="1" si="721"/>
        <v/>
      </c>
      <c r="GO367" s="450" t="str">
        <f t="shared" ca="1" si="721"/>
        <v/>
      </c>
      <c r="GP367" s="450" t="str">
        <f t="shared" ca="1" si="721"/>
        <v/>
      </c>
      <c r="GQ367" s="450" t="str">
        <f t="shared" ca="1" si="721"/>
        <v/>
      </c>
      <c r="GR367" s="450" t="str">
        <f t="shared" ca="1" si="721"/>
        <v/>
      </c>
      <c r="GS367" s="450" t="str">
        <f t="shared" ca="1" si="721"/>
        <v/>
      </c>
      <c r="GT367" s="450" t="str">
        <f t="shared" ca="1" si="721"/>
        <v/>
      </c>
      <c r="GU367" s="450" t="str">
        <f t="shared" ca="1" si="721"/>
        <v/>
      </c>
      <c r="GV367" s="450" t="str">
        <f t="shared" ca="1" si="721"/>
        <v/>
      </c>
      <c r="GW367" s="450" t="str">
        <f t="shared" ca="1" si="721"/>
        <v/>
      </c>
      <c r="GX367" s="450" t="str">
        <f t="shared" ca="1" si="721"/>
        <v/>
      </c>
      <c r="GY367" s="450" t="str">
        <f t="shared" ca="1" si="721"/>
        <v/>
      </c>
      <c r="GZ367" s="450" t="str">
        <f t="shared" ca="1" si="721"/>
        <v/>
      </c>
      <c r="HA367" s="450" t="str">
        <f t="shared" ca="1" si="721"/>
        <v/>
      </c>
      <c r="HB367" s="450" t="str">
        <f t="shared" ca="1" si="721"/>
        <v/>
      </c>
      <c r="HC367" s="450" t="str">
        <f t="shared" ca="1" si="721"/>
        <v/>
      </c>
      <c r="HD367" s="450" t="str">
        <f t="shared" ca="1" si="721"/>
        <v/>
      </c>
      <c r="HE367" s="450" t="str">
        <f t="shared" ca="1" si="721"/>
        <v/>
      </c>
      <c r="HF367" s="450" t="str">
        <f t="shared" ca="1" si="721"/>
        <v/>
      </c>
      <c r="HG367" s="450" t="str">
        <f t="shared" ca="1" si="721"/>
        <v/>
      </c>
      <c r="HH367" s="450" t="str">
        <f t="shared" ca="1" si="721"/>
        <v/>
      </c>
      <c r="HI367" s="450" t="str">
        <f t="shared" ca="1" si="721"/>
        <v/>
      </c>
      <c r="HJ367" s="450" t="str">
        <f t="shared" ca="1" si="721"/>
        <v/>
      </c>
      <c r="HK367" s="450" t="str">
        <f t="shared" ca="1" si="721"/>
        <v/>
      </c>
      <c r="HL367" s="450" t="str">
        <f t="shared" ca="1" si="721"/>
        <v/>
      </c>
      <c r="HM367" s="450" t="str">
        <f t="shared" ca="1" si="721"/>
        <v/>
      </c>
      <c r="HN367" s="450" t="str">
        <f t="shared" ca="1" si="721"/>
        <v/>
      </c>
      <c r="HO367" s="450" t="str">
        <f t="shared" ca="1" si="721"/>
        <v/>
      </c>
      <c r="HP367" s="450" t="str">
        <f t="shared" ca="1" si="721"/>
        <v/>
      </c>
      <c r="HQ367" s="450" t="str">
        <f t="shared" ca="1" si="721"/>
        <v/>
      </c>
      <c r="HR367" s="450" t="str">
        <f t="shared" ca="1" si="721"/>
        <v/>
      </c>
      <c r="HS367" s="450" t="str">
        <f t="shared" ca="1" si="721"/>
        <v/>
      </c>
      <c r="HT367" s="450" t="str">
        <f t="shared" ca="1" si="721"/>
        <v/>
      </c>
      <c r="HU367" s="450" t="str">
        <f t="shared" ca="1" si="721"/>
        <v/>
      </c>
      <c r="HV367" s="450" t="str">
        <f t="shared" ca="1" si="721"/>
        <v/>
      </c>
      <c r="HW367" s="450" t="str">
        <f t="shared" ca="1" si="721"/>
        <v/>
      </c>
      <c r="HX367" s="450" t="str">
        <f t="shared" ca="1" si="721"/>
        <v/>
      </c>
      <c r="HY367" s="450" t="str">
        <f t="shared" ca="1" si="721"/>
        <v/>
      </c>
      <c r="HZ367" s="450" t="str">
        <f t="shared" ca="1" si="721"/>
        <v/>
      </c>
      <c r="IA367" s="450" t="str">
        <f t="shared" ca="1" si="711"/>
        <v/>
      </c>
      <c r="IB367" s="450" t="str">
        <f t="shared" ca="1" si="719"/>
        <v/>
      </c>
      <c r="IC367" s="450" t="str">
        <f t="shared" ca="1" si="719"/>
        <v/>
      </c>
      <c r="ID367" s="450" t="str">
        <f t="shared" ca="1" si="719"/>
        <v/>
      </c>
      <c r="IE367" s="450" t="str">
        <f t="shared" ca="1" si="719"/>
        <v/>
      </c>
      <c r="IF367" s="450" t="str">
        <f t="shared" ca="1" si="719"/>
        <v/>
      </c>
      <c r="IG367" s="450" t="str">
        <f t="shared" ca="1" si="719"/>
        <v/>
      </c>
      <c r="IH367" s="658" t="str">
        <f t="shared" ca="1" si="719"/>
        <v/>
      </c>
    </row>
    <row r="368" spans="9:242">
      <c r="I368" s="132"/>
      <c r="J368" s="365"/>
      <c r="K368" s="1"/>
      <c r="L368" s="1"/>
      <c r="M368" s="366"/>
      <c r="P368" s="365"/>
      <c r="S368" s="53"/>
      <c r="T368" s="365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364"/>
      <c r="AO368" s="364">
        <v>6.5768856355397504E-2</v>
      </c>
      <c r="AP368" s="103"/>
      <c r="AQ368" s="364">
        <v>5.5559830786925606E-2</v>
      </c>
      <c r="AR368" s="103"/>
      <c r="AS368" s="103"/>
      <c r="AT368" s="103"/>
      <c r="AU368" s="31"/>
      <c r="AV368" s="31"/>
      <c r="AW368" s="31"/>
      <c r="AX368" s="31"/>
      <c r="AY368" s="146"/>
      <c r="AZ368" s="146"/>
      <c r="BA368" s="103"/>
      <c r="BB368" s="103"/>
      <c r="BC368" s="103"/>
      <c r="BD368" s="103"/>
      <c r="BE368" s="104"/>
      <c r="BF368" s="104"/>
      <c r="BG368" s="104"/>
      <c r="BH368" s="102"/>
      <c r="BI368" s="104"/>
      <c r="BJ368" s="103"/>
      <c r="BK368" s="105"/>
      <c r="BL368" s="151"/>
      <c r="BM368" s="103"/>
      <c r="BN368" s="103"/>
      <c r="BO368" s="103"/>
      <c r="BP368" s="103"/>
      <c r="BQ368" s="103"/>
      <c r="BR368" s="103"/>
      <c r="BS368" s="103"/>
      <c r="BT368" s="103"/>
      <c r="BU368" s="103"/>
      <c r="BV368" s="103"/>
      <c r="BW368" s="103"/>
      <c r="BX368" s="103"/>
      <c r="BY368" s="103"/>
      <c r="BZ368" s="104"/>
      <c r="CA368" s="104"/>
      <c r="CB368" s="104"/>
      <c r="CC368" s="104"/>
      <c r="CD368" s="104"/>
      <c r="CE368" s="104"/>
      <c r="CF368" s="103"/>
      <c r="CG368" s="103"/>
      <c r="CH368" s="103"/>
      <c r="CI368" s="103"/>
      <c r="CJ368" s="103"/>
      <c r="CK368" s="103"/>
      <c r="CL368" s="103"/>
      <c r="CM368" s="103"/>
      <c r="CN368" s="103"/>
      <c r="CO368" s="103"/>
      <c r="CP368" s="103"/>
      <c r="CQ368" s="103"/>
      <c r="CR368" s="103"/>
      <c r="CS368" s="103"/>
      <c r="CT368" s="103"/>
      <c r="CU368" s="103"/>
      <c r="CV368" s="103"/>
      <c r="CW368" s="103"/>
      <c r="CX368" s="103"/>
      <c r="CY368" s="103"/>
      <c r="CZ368" s="103"/>
      <c r="DA368" s="103"/>
      <c r="DB368" s="103"/>
      <c r="DC368" s="103"/>
      <c r="DD368" s="103"/>
      <c r="DE368" s="107"/>
      <c r="DF368" s="465"/>
      <c r="DG368" s="1"/>
      <c r="DH368" s="51"/>
      <c r="DI368" s="465"/>
      <c r="DJ368" s="52"/>
      <c r="DK368" s="52"/>
      <c r="DL368" s="52"/>
      <c r="DM368" s="52"/>
      <c r="DN368" s="52"/>
      <c r="DO368" s="52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P368" s="53"/>
      <c r="EQ368" s="1"/>
      <c r="ER368" s="103"/>
      <c r="ES368" s="103"/>
      <c r="ET368" s="1"/>
      <c r="EU368" s="103"/>
      <c r="EV368" s="1"/>
      <c r="EW368" s="1"/>
      <c r="EX368" s="1"/>
      <c r="EY368" s="104"/>
      <c r="FN368" s="657">
        <v>44</v>
      </c>
      <c r="FO368" s="450">
        <f t="shared" ref="FO368:HZ368" ca="1" si="722">IF(AND(ISNUMBER(FO63),ISNUMBER(FO$320),FO$320&lt;&gt;0),FO63*FO$320/FO$15,"")</f>
        <v>6.6383312765349049E-4</v>
      </c>
      <c r="FP368" s="450">
        <f t="shared" ca="1" si="722"/>
        <v>1.0801237666871087E-3</v>
      </c>
      <c r="FQ368" s="450" t="str">
        <f t="shared" ca="1" si="722"/>
        <v/>
      </c>
      <c r="FR368" s="450" t="str">
        <f t="shared" ca="1" si="722"/>
        <v/>
      </c>
      <c r="FS368" s="450" t="str">
        <f t="shared" ca="1" si="722"/>
        <v/>
      </c>
      <c r="FT368" s="450" t="str">
        <f t="shared" ca="1" si="722"/>
        <v/>
      </c>
      <c r="FU368" s="450" t="str">
        <f t="shared" ca="1" si="722"/>
        <v/>
      </c>
      <c r="FV368" s="450" t="str">
        <f t="shared" ca="1" si="722"/>
        <v/>
      </c>
      <c r="FW368" s="450" t="str">
        <f t="shared" ca="1" si="722"/>
        <v/>
      </c>
      <c r="FX368" s="450" t="str">
        <f t="shared" ca="1" si="722"/>
        <v/>
      </c>
      <c r="FY368" s="450" t="str">
        <f t="shared" ca="1" si="722"/>
        <v/>
      </c>
      <c r="FZ368" s="450" t="str">
        <f t="shared" ca="1" si="722"/>
        <v/>
      </c>
      <c r="GA368" s="450" t="str">
        <f t="shared" ca="1" si="722"/>
        <v/>
      </c>
      <c r="GB368" s="450" t="str">
        <f t="shared" ca="1" si="722"/>
        <v/>
      </c>
      <c r="GC368" s="450" t="str">
        <f t="shared" ca="1" si="722"/>
        <v/>
      </c>
      <c r="GD368" s="450" t="str">
        <f t="shared" ca="1" si="722"/>
        <v/>
      </c>
      <c r="GE368" s="450" t="str">
        <f t="shared" ca="1" si="722"/>
        <v/>
      </c>
      <c r="GF368" s="450" t="str">
        <f t="shared" ca="1" si="722"/>
        <v/>
      </c>
      <c r="GG368" s="450" t="str">
        <f t="shared" ca="1" si="722"/>
        <v/>
      </c>
      <c r="GH368" s="450" t="str">
        <f t="shared" ca="1" si="722"/>
        <v/>
      </c>
      <c r="GI368" s="450" t="str">
        <f t="shared" ca="1" si="722"/>
        <v/>
      </c>
      <c r="GJ368" s="450" t="str">
        <f t="shared" ca="1" si="722"/>
        <v/>
      </c>
      <c r="GK368" s="450" t="str">
        <f t="shared" ca="1" si="722"/>
        <v/>
      </c>
      <c r="GL368" s="450" t="str">
        <f t="shared" ca="1" si="722"/>
        <v/>
      </c>
      <c r="GM368" s="450" t="str">
        <f t="shared" ca="1" si="722"/>
        <v/>
      </c>
      <c r="GN368" s="450" t="str">
        <f t="shared" ca="1" si="722"/>
        <v/>
      </c>
      <c r="GO368" s="450" t="str">
        <f t="shared" ca="1" si="722"/>
        <v/>
      </c>
      <c r="GP368" s="450" t="str">
        <f t="shared" ca="1" si="722"/>
        <v/>
      </c>
      <c r="GQ368" s="450" t="str">
        <f t="shared" ca="1" si="722"/>
        <v/>
      </c>
      <c r="GR368" s="450" t="str">
        <f t="shared" ca="1" si="722"/>
        <v/>
      </c>
      <c r="GS368" s="450" t="str">
        <f t="shared" ca="1" si="722"/>
        <v/>
      </c>
      <c r="GT368" s="450" t="str">
        <f t="shared" ca="1" si="722"/>
        <v/>
      </c>
      <c r="GU368" s="450" t="str">
        <f t="shared" ca="1" si="722"/>
        <v/>
      </c>
      <c r="GV368" s="450" t="str">
        <f t="shared" ca="1" si="722"/>
        <v/>
      </c>
      <c r="GW368" s="450" t="str">
        <f t="shared" ca="1" si="722"/>
        <v/>
      </c>
      <c r="GX368" s="450" t="str">
        <f t="shared" ca="1" si="722"/>
        <v/>
      </c>
      <c r="GY368" s="450" t="str">
        <f t="shared" ca="1" si="722"/>
        <v/>
      </c>
      <c r="GZ368" s="450" t="str">
        <f t="shared" ca="1" si="722"/>
        <v/>
      </c>
      <c r="HA368" s="450" t="str">
        <f t="shared" ca="1" si="722"/>
        <v/>
      </c>
      <c r="HB368" s="450" t="str">
        <f t="shared" ca="1" si="722"/>
        <v/>
      </c>
      <c r="HC368" s="450" t="str">
        <f t="shared" ca="1" si="722"/>
        <v/>
      </c>
      <c r="HD368" s="450" t="str">
        <f t="shared" ca="1" si="722"/>
        <v/>
      </c>
      <c r="HE368" s="450" t="str">
        <f t="shared" ca="1" si="722"/>
        <v/>
      </c>
      <c r="HF368" s="450" t="str">
        <f t="shared" ca="1" si="722"/>
        <v/>
      </c>
      <c r="HG368" s="450" t="str">
        <f t="shared" ca="1" si="722"/>
        <v/>
      </c>
      <c r="HH368" s="450" t="str">
        <f t="shared" ca="1" si="722"/>
        <v/>
      </c>
      <c r="HI368" s="450" t="str">
        <f t="shared" ca="1" si="722"/>
        <v/>
      </c>
      <c r="HJ368" s="450" t="str">
        <f t="shared" ca="1" si="722"/>
        <v/>
      </c>
      <c r="HK368" s="450" t="str">
        <f t="shared" ca="1" si="722"/>
        <v/>
      </c>
      <c r="HL368" s="450" t="str">
        <f t="shared" ca="1" si="722"/>
        <v/>
      </c>
      <c r="HM368" s="450" t="str">
        <f t="shared" ca="1" si="722"/>
        <v/>
      </c>
      <c r="HN368" s="450" t="str">
        <f t="shared" ca="1" si="722"/>
        <v/>
      </c>
      <c r="HO368" s="450" t="str">
        <f t="shared" ca="1" si="722"/>
        <v/>
      </c>
      <c r="HP368" s="450" t="str">
        <f t="shared" ca="1" si="722"/>
        <v/>
      </c>
      <c r="HQ368" s="450" t="str">
        <f t="shared" ca="1" si="722"/>
        <v/>
      </c>
      <c r="HR368" s="450" t="str">
        <f t="shared" ca="1" si="722"/>
        <v/>
      </c>
      <c r="HS368" s="450" t="str">
        <f t="shared" ca="1" si="722"/>
        <v/>
      </c>
      <c r="HT368" s="450" t="str">
        <f t="shared" ca="1" si="722"/>
        <v/>
      </c>
      <c r="HU368" s="450" t="str">
        <f t="shared" ca="1" si="722"/>
        <v/>
      </c>
      <c r="HV368" s="450" t="str">
        <f t="shared" ca="1" si="722"/>
        <v/>
      </c>
      <c r="HW368" s="450" t="str">
        <f t="shared" ca="1" si="722"/>
        <v/>
      </c>
      <c r="HX368" s="450" t="str">
        <f t="shared" ca="1" si="722"/>
        <v/>
      </c>
      <c r="HY368" s="450" t="str">
        <f t="shared" ca="1" si="722"/>
        <v/>
      </c>
      <c r="HZ368" s="450" t="str">
        <f t="shared" ca="1" si="722"/>
        <v/>
      </c>
      <c r="IA368" s="450" t="str">
        <f t="shared" ca="1" si="711"/>
        <v/>
      </c>
      <c r="IB368" s="450" t="str">
        <f t="shared" ca="1" si="719"/>
        <v/>
      </c>
      <c r="IC368" s="450" t="str">
        <f t="shared" ca="1" si="719"/>
        <v/>
      </c>
      <c r="ID368" s="450" t="str">
        <f t="shared" ca="1" si="719"/>
        <v/>
      </c>
      <c r="IE368" s="450" t="str">
        <f t="shared" ca="1" si="719"/>
        <v/>
      </c>
      <c r="IF368" s="450" t="str">
        <f t="shared" ca="1" si="719"/>
        <v/>
      </c>
      <c r="IG368" s="450" t="str">
        <f t="shared" ca="1" si="719"/>
        <v/>
      </c>
      <c r="IH368" s="658" t="str">
        <f t="shared" ca="1" si="719"/>
        <v/>
      </c>
    </row>
    <row r="369" spans="9:242">
      <c r="I369" s="132"/>
      <c r="J369" s="365"/>
      <c r="K369" s="1"/>
      <c r="L369" s="1"/>
      <c r="M369" s="366"/>
      <c r="P369" s="365"/>
      <c r="S369" s="53"/>
      <c r="T369" s="365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364"/>
      <c r="AO369" s="364">
        <v>6.57795041339648E-2</v>
      </c>
      <c r="AP369" s="103"/>
      <c r="AQ369" s="364">
        <v>5.55206009043578E-2</v>
      </c>
      <c r="AR369" s="103"/>
      <c r="AS369" s="103"/>
      <c r="AT369" s="103"/>
      <c r="AU369" s="31"/>
      <c r="AV369" s="31"/>
      <c r="AW369" s="31"/>
      <c r="AX369" s="31"/>
      <c r="AY369" s="146"/>
      <c r="AZ369" s="146"/>
      <c r="BA369" s="103"/>
      <c r="BB369" s="103"/>
      <c r="BC369" s="103"/>
      <c r="BD369" s="103"/>
      <c r="BE369" s="104"/>
      <c r="BF369" s="104"/>
      <c r="BG369" s="104"/>
      <c r="BH369" s="102"/>
      <c r="BI369" s="104"/>
      <c r="BJ369" s="103"/>
      <c r="BK369" s="105"/>
      <c r="BL369" s="151"/>
      <c r="BM369" s="103"/>
      <c r="BN369" s="103"/>
      <c r="BO369" s="103"/>
      <c r="BP369" s="103"/>
      <c r="BQ369" s="103"/>
      <c r="BR369" s="103"/>
      <c r="BS369" s="103"/>
      <c r="BT369" s="103"/>
      <c r="BU369" s="103"/>
      <c r="BV369" s="103"/>
      <c r="BW369" s="103"/>
      <c r="BX369" s="103"/>
      <c r="BY369" s="103"/>
      <c r="BZ369" s="104"/>
      <c r="CA369" s="104"/>
      <c r="CB369" s="104"/>
      <c r="CC369" s="104"/>
      <c r="CD369" s="104"/>
      <c r="CE369" s="104"/>
      <c r="CF369" s="103"/>
      <c r="CG369" s="103"/>
      <c r="CH369" s="103"/>
      <c r="CI369" s="103"/>
      <c r="CJ369" s="103"/>
      <c r="CK369" s="103"/>
      <c r="CL369" s="103"/>
      <c r="CM369" s="103"/>
      <c r="CN369" s="103"/>
      <c r="CO369" s="103"/>
      <c r="CP369" s="103"/>
      <c r="CQ369" s="103"/>
      <c r="CR369" s="103"/>
      <c r="CS369" s="103"/>
      <c r="CT369" s="103"/>
      <c r="CU369" s="103"/>
      <c r="CV369" s="103"/>
      <c r="CW369" s="103"/>
      <c r="CX369" s="103"/>
      <c r="CY369" s="103"/>
      <c r="CZ369" s="103"/>
      <c r="DA369" s="103"/>
      <c r="DB369" s="103"/>
      <c r="DC369" s="103"/>
      <c r="DD369" s="103"/>
      <c r="DE369" s="107"/>
      <c r="DF369" s="465"/>
      <c r="DG369" s="1"/>
      <c r="DH369" s="51"/>
      <c r="DI369" s="465"/>
      <c r="DJ369" s="52"/>
      <c r="DK369" s="52"/>
      <c r="DL369" s="52"/>
      <c r="DM369" s="52"/>
      <c r="DN369" s="52"/>
      <c r="DO369" s="52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P369" s="53"/>
      <c r="EQ369" s="1"/>
      <c r="ER369" s="103"/>
      <c r="ES369" s="103"/>
      <c r="ET369" s="1"/>
      <c r="EU369" s="103"/>
      <c r="EV369" s="1"/>
      <c r="EW369" s="1"/>
      <c r="EX369" s="1"/>
      <c r="EY369" s="104"/>
      <c r="FN369" s="657">
        <v>45</v>
      </c>
      <c r="FO369" s="450">
        <f t="shared" ref="FO369:HZ369" ca="1" si="723">IF(AND(ISNUMBER(FO64),ISNUMBER(FO$320),FO$320&lt;&gt;0),FO64*FO$320/FO$15,"")</f>
        <v>6.6271638736994563E-4</v>
      </c>
      <c r="FP369" s="450">
        <f t="shared" ca="1" si="723"/>
        <v>1.0781048226830849E-3</v>
      </c>
      <c r="FQ369" s="450" t="str">
        <f t="shared" ca="1" si="723"/>
        <v/>
      </c>
      <c r="FR369" s="450" t="str">
        <f t="shared" ca="1" si="723"/>
        <v/>
      </c>
      <c r="FS369" s="450" t="str">
        <f t="shared" ca="1" si="723"/>
        <v/>
      </c>
      <c r="FT369" s="450" t="str">
        <f t="shared" ca="1" si="723"/>
        <v/>
      </c>
      <c r="FU369" s="450" t="str">
        <f t="shared" ca="1" si="723"/>
        <v/>
      </c>
      <c r="FV369" s="450" t="str">
        <f t="shared" ca="1" si="723"/>
        <v/>
      </c>
      <c r="FW369" s="450" t="str">
        <f t="shared" ca="1" si="723"/>
        <v/>
      </c>
      <c r="FX369" s="450" t="str">
        <f t="shared" ca="1" si="723"/>
        <v/>
      </c>
      <c r="FY369" s="450" t="str">
        <f t="shared" ca="1" si="723"/>
        <v/>
      </c>
      <c r="FZ369" s="450" t="str">
        <f t="shared" ca="1" si="723"/>
        <v/>
      </c>
      <c r="GA369" s="450" t="str">
        <f t="shared" ca="1" si="723"/>
        <v/>
      </c>
      <c r="GB369" s="450" t="str">
        <f t="shared" ca="1" si="723"/>
        <v/>
      </c>
      <c r="GC369" s="450" t="str">
        <f t="shared" ca="1" si="723"/>
        <v/>
      </c>
      <c r="GD369" s="450" t="str">
        <f t="shared" ca="1" si="723"/>
        <v/>
      </c>
      <c r="GE369" s="450" t="str">
        <f t="shared" ca="1" si="723"/>
        <v/>
      </c>
      <c r="GF369" s="450" t="str">
        <f t="shared" ca="1" si="723"/>
        <v/>
      </c>
      <c r="GG369" s="450" t="str">
        <f t="shared" ca="1" si="723"/>
        <v/>
      </c>
      <c r="GH369" s="450" t="str">
        <f t="shared" ca="1" si="723"/>
        <v/>
      </c>
      <c r="GI369" s="450" t="str">
        <f t="shared" ca="1" si="723"/>
        <v/>
      </c>
      <c r="GJ369" s="450" t="str">
        <f t="shared" ca="1" si="723"/>
        <v/>
      </c>
      <c r="GK369" s="450" t="str">
        <f t="shared" ca="1" si="723"/>
        <v/>
      </c>
      <c r="GL369" s="450" t="str">
        <f t="shared" ca="1" si="723"/>
        <v/>
      </c>
      <c r="GM369" s="450" t="str">
        <f t="shared" ca="1" si="723"/>
        <v/>
      </c>
      <c r="GN369" s="450" t="str">
        <f t="shared" ca="1" si="723"/>
        <v/>
      </c>
      <c r="GO369" s="450" t="str">
        <f t="shared" ca="1" si="723"/>
        <v/>
      </c>
      <c r="GP369" s="450" t="str">
        <f t="shared" ca="1" si="723"/>
        <v/>
      </c>
      <c r="GQ369" s="450" t="str">
        <f t="shared" ca="1" si="723"/>
        <v/>
      </c>
      <c r="GR369" s="450" t="str">
        <f t="shared" ca="1" si="723"/>
        <v/>
      </c>
      <c r="GS369" s="450" t="str">
        <f t="shared" ca="1" si="723"/>
        <v/>
      </c>
      <c r="GT369" s="450" t="str">
        <f t="shared" ca="1" si="723"/>
        <v/>
      </c>
      <c r="GU369" s="450" t="str">
        <f t="shared" ca="1" si="723"/>
        <v/>
      </c>
      <c r="GV369" s="450" t="str">
        <f t="shared" ca="1" si="723"/>
        <v/>
      </c>
      <c r="GW369" s="450" t="str">
        <f t="shared" ca="1" si="723"/>
        <v/>
      </c>
      <c r="GX369" s="450" t="str">
        <f t="shared" ca="1" si="723"/>
        <v/>
      </c>
      <c r="GY369" s="450" t="str">
        <f t="shared" ca="1" si="723"/>
        <v/>
      </c>
      <c r="GZ369" s="450" t="str">
        <f t="shared" ca="1" si="723"/>
        <v/>
      </c>
      <c r="HA369" s="450" t="str">
        <f t="shared" ca="1" si="723"/>
        <v/>
      </c>
      <c r="HB369" s="450" t="str">
        <f t="shared" ca="1" si="723"/>
        <v/>
      </c>
      <c r="HC369" s="450" t="str">
        <f t="shared" ca="1" si="723"/>
        <v/>
      </c>
      <c r="HD369" s="450" t="str">
        <f t="shared" ca="1" si="723"/>
        <v/>
      </c>
      <c r="HE369" s="450" t="str">
        <f t="shared" ca="1" si="723"/>
        <v/>
      </c>
      <c r="HF369" s="450" t="str">
        <f t="shared" ca="1" si="723"/>
        <v/>
      </c>
      <c r="HG369" s="450" t="str">
        <f t="shared" ca="1" si="723"/>
        <v/>
      </c>
      <c r="HH369" s="450" t="str">
        <f t="shared" ca="1" si="723"/>
        <v/>
      </c>
      <c r="HI369" s="450" t="str">
        <f t="shared" ca="1" si="723"/>
        <v/>
      </c>
      <c r="HJ369" s="450" t="str">
        <f t="shared" ca="1" si="723"/>
        <v/>
      </c>
      <c r="HK369" s="450" t="str">
        <f t="shared" ca="1" si="723"/>
        <v/>
      </c>
      <c r="HL369" s="450" t="str">
        <f t="shared" ca="1" si="723"/>
        <v/>
      </c>
      <c r="HM369" s="450" t="str">
        <f t="shared" ca="1" si="723"/>
        <v/>
      </c>
      <c r="HN369" s="450" t="str">
        <f t="shared" ca="1" si="723"/>
        <v/>
      </c>
      <c r="HO369" s="450" t="str">
        <f t="shared" ca="1" si="723"/>
        <v/>
      </c>
      <c r="HP369" s="450" t="str">
        <f t="shared" ca="1" si="723"/>
        <v/>
      </c>
      <c r="HQ369" s="450" t="str">
        <f t="shared" ca="1" si="723"/>
        <v/>
      </c>
      <c r="HR369" s="450" t="str">
        <f t="shared" ca="1" si="723"/>
        <v/>
      </c>
      <c r="HS369" s="450" t="str">
        <f t="shared" ca="1" si="723"/>
        <v/>
      </c>
      <c r="HT369" s="450" t="str">
        <f t="shared" ca="1" si="723"/>
        <v/>
      </c>
      <c r="HU369" s="450" t="str">
        <f t="shared" ca="1" si="723"/>
        <v/>
      </c>
      <c r="HV369" s="450" t="str">
        <f t="shared" ca="1" si="723"/>
        <v/>
      </c>
      <c r="HW369" s="450" t="str">
        <f t="shared" ca="1" si="723"/>
        <v/>
      </c>
      <c r="HX369" s="450" t="str">
        <f t="shared" ca="1" si="723"/>
        <v/>
      </c>
      <c r="HY369" s="450" t="str">
        <f t="shared" ca="1" si="723"/>
        <v/>
      </c>
      <c r="HZ369" s="450" t="str">
        <f t="shared" ca="1" si="723"/>
        <v/>
      </c>
      <c r="IA369" s="450" t="str">
        <f t="shared" ca="1" si="711"/>
        <v/>
      </c>
      <c r="IB369" s="450" t="str">
        <f t="shared" ca="1" si="719"/>
        <v/>
      </c>
      <c r="IC369" s="450" t="str">
        <f t="shared" ca="1" si="719"/>
        <v/>
      </c>
      <c r="ID369" s="450" t="str">
        <f t="shared" ca="1" si="719"/>
        <v/>
      </c>
      <c r="IE369" s="450" t="str">
        <f t="shared" ca="1" si="719"/>
        <v/>
      </c>
      <c r="IF369" s="450" t="str">
        <f t="shared" ca="1" si="719"/>
        <v/>
      </c>
      <c r="IG369" s="450" t="str">
        <f t="shared" ca="1" si="719"/>
        <v/>
      </c>
      <c r="IH369" s="658" t="str">
        <f t="shared" ca="1" si="719"/>
        <v/>
      </c>
    </row>
    <row r="370" spans="9:242">
      <c r="I370" s="132"/>
      <c r="J370" s="365"/>
      <c r="K370" s="1"/>
      <c r="L370" s="1"/>
      <c r="M370" s="366"/>
      <c r="P370" s="365"/>
      <c r="S370" s="53"/>
      <c r="T370" s="365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364"/>
      <c r="AO370" s="364">
        <v>6.57898084358393E-2</v>
      </c>
      <c r="AP370" s="103"/>
      <c r="AQ370" s="364">
        <v>5.5482636512120397E-2</v>
      </c>
      <c r="AR370" s="103"/>
      <c r="AS370" s="103"/>
      <c r="AT370" s="103"/>
      <c r="AU370" s="31"/>
      <c r="AV370" s="31"/>
      <c r="AW370" s="31"/>
      <c r="AX370" s="31"/>
      <c r="AY370" s="146"/>
      <c r="AZ370" s="146"/>
      <c r="BA370" s="103"/>
      <c r="BB370" s="103"/>
      <c r="BC370" s="103"/>
      <c r="BD370" s="103"/>
      <c r="BE370" s="104"/>
      <c r="BF370" s="104"/>
      <c r="BG370" s="104"/>
      <c r="BH370" s="102"/>
      <c r="BI370" s="104"/>
      <c r="BJ370" s="103"/>
      <c r="BK370" s="105"/>
      <c r="BL370" s="151"/>
      <c r="BM370" s="103"/>
      <c r="BN370" s="103"/>
      <c r="BO370" s="103"/>
      <c r="BP370" s="103"/>
      <c r="BQ370" s="103"/>
      <c r="BR370" s="103"/>
      <c r="BS370" s="103"/>
      <c r="BT370" s="103"/>
      <c r="BU370" s="103"/>
      <c r="BV370" s="103"/>
      <c r="BW370" s="103"/>
      <c r="BX370" s="103"/>
      <c r="BY370" s="103"/>
      <c r="BZ370" s="104"/>
      <c r="CA370" s="104"/>
      <c r="CB370" s="104"/>
      <c r="CC370" s="104"/>
      <c r="CD370" s="104"/>
      <c r="CE370" s="104"/>
      <c r="CF370" s="103"/>
      <c r="CG370" s="103"/>
      <c r="CH370" s="103"/>
      <c r="CI370" s="103"/>
      <c r="CJ370" s="103"/>
      <c r="CK370" s="103"/>
      <c r="CL370" s="103"/>
      <c r="CM370" s="103"/>
      <c r="CN370" s="103"/>
      <c r="CO370" s="103"/>
      <c r="CP370" s="103"/>
      <c r="CQ370" s="103"/>
      <c r="CR370" s="103"/>
      <c r="CS370" s="103"/>
      <c r="CT370" s="103"/>
      <c r="CU370" s="103"/>
      <c r="CV370" s="103"/>
      <c r="CW370" s="103"/>
      <c r="CX370" s="103"/>
      <c r="CY370" s="103"/>
      <c r="CZ370" s="103"/>
      <c r="DA370" s="103"/>
      <c r="DB370" s="103"/>
      <c r="DC370" s="103"/>
      <c r="DD370" s="103"/>
      <c r="DE370" s="107"/>
      <c r="DF370" s="465"/>
      <c r="DG370" s="1"/>
      <c r="DH370" s="51"/>
      <c r="DI370" s="465"/>
      <c r="DJ370" s="52"/>
      <c r="DK370" s="52"/>
      <c r="DL370" s="52"/>
      <c r="DM370" s="52"/>
      <c r="DN370" s="52"/>
      <c r="DO370" s="52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P370" s="53"/>
      <c r="EQ370" s="1"/>
      <c r="ER370" s="103"/>
      <c r="ES370" s="103"/>
      <c r="ET370" s="1"/>
      <c r="EU370" s="103"/>
      <c r="EV370" s="1"/>
      <c r="EW370" s="1"/>
      <c r="EX370" s="1"/>
      <c r="EY370" s="104"/>
      <c r="FN370" s="657">
        <v>46</v>
      </c>
      <c r="FO370" s="450">
        <f t="shared" ref="FO370:HZ370" ca="1" si="724">IF(AND(ISNUMBER(FO65),ISNUMBER(FO$320),FO$320&lt;&gt;0),FO65*FO$320/FO$15,"")</f>
        <v>6.6171301189806822E-4</v>
      </c>
      <c r="FP370" s="450">
        <f t="shared" ca="1" si="724"/>
        <v>1.0762911694693171E-3</v>
      </c>
      <c r="FQ370" s="450" t="str">
        <f t="shared" ca="1" si="724"/>
        <v/>
      </c>
      <c r="FR370" s="450" t="str">
        <f t="shared" ca="1" si="724"/>
        <v/>
      </c>
      <c r="FS370" s="450" t="str">
        <f t="shared" ca="1" si="724"/>
        <v/>
      </c>
      <c r="FT370" s="450" t="str">
        <f t="shared" ca="1" si="724"/>
        <v/>
      </c>
      <c r="FU370" s="450" t="str">
        <f t="shared" ca="1" si="724"/>
        <v/>
      </c>
      <c r="FV370" s="450" t="str">
        <f t="shared" ca="1" si="724"/>
        <v/>
      </c>
      <c r="FW370" s="450" t="str">
        <f t="shared" ca="1" si="724"/>
        <v/>
      </c>
      <c r="FX370" s="450" t="str">
        <f t="shared" ca="1" si="724"/>
        <v/>
      </c>
      <c r="FY370" s="450" t="str">
        <f t="shared" ca="1" si="724"/>
        <v/>
      </c>
      <c r="FZ370" s="450" t="str">
        <f t="shared" ca="1" si="724"/>
        <v/>
      </c>
      <c r="GA370" s="450" t="str">
        <f t="shared" ca="1" si="724"/>
        <v/>
      </c>
      <c r="GB370" s="450" t="str">
        <f t="shared" ca="1" si="724"/>
        <v/>
      </c>
      <c r="GC370" s="450" t="str">
        <f t="shared" ca="1" si="724"/>
        <v/>
      </c>
      <c r="GD370" s="450" t="str">
        <f t="shared" ca="1" si="724"/>
        <v/>
      </c>
      <c r="GE370" s="450" t="str">
        <f t="shared" ca="1" si="724"/>
        <v/>
      </c>
      <c r="GF370" s="450" t="str">
        <f t="shared" ca="1" si="724"/>
        <v/>
      </c>
      <c r="GG370" s="450" t="str">
        <f t="shared" ca="1" si="724"/>
        <v/>
      </c>
      <c r="GH370" s="450" t="str">
        <f t="shared" ca="1" si="724"/>
        <v/>
      </c>
      <c r="GI370" s="450" t="str">
        <f t="shared" ca="1" si="724"/>
        <v/>
      </c>
      <c r="GJ370" s="450" t="str">
        <f t="shared" ca="1" si="724"/>
        <v/>
      </c>
      <c r="GK370" s="450" t="str">
        <f t="shared" ca="1" si="724"/>
        <v/>
      </c>
      <c r="GL370" s="450" t="str">
        <f t="shared" ca="1" si="724"/>
        <v/>
      </c>
      <c r="GM370" s="450" t="str">
        <f t="shared" ca="1" si="724"/>
        <v/>
      </c>
      <c r="GN370" s="450" t="str">
        <f t="shared" ca="1" si="724"/>
        <v/>
      </c>
      <c r="GO370" s="450" t="str">
        <f t="shared" ca="1" si="724"/>
        <v/>
      </c>
      <c r="GP370" s="450" t="str">
        <f t="shared" ca="1" si="724"/>
        <v/>
      </c>
      <c r="GQ370" s="450" t="str">
        <f t="shared" ca="1" si="724"/>
        <v/>
      </c>
      <c r="GR370" s="450" t="str">
        <f t="shared" ca="1" si="724"/>
        <v/>
      </c>
      <c r="GS370" s="450" t="str">
        <f t="shared" ca="1" si="724"/>
        <v/>
      </c>
      <c r="GT370" s="450" t="str">
        <f t="shared" ca="1" si="724"/>
        <v/>
      </c>
      <c r="GU370" s="450" t="str">
        <f t="shared" ca="1" si="724"/>
        <v/>
      </c>
      <c r="GV370" s="450" t="str">
        <f t="shared" ca="1" si="724"/>
        <v/>
      </c>
      <c r="GW370" s="450" t="str">
        <f t="shared" ca="1" si="724"/>
        <v/>
      </c>
      <c r="GX370" s="450" t="str">
        <f t="shared" ca="1" si="724"/>
        <v/>
      </c>
      <c r="GY370" s="450" t="str">
        <f t="shared" ca="1" si="724"/>
        <v/>
      </c>
      <c r="GZ370" s="450" t="str">
        <f t="shared" ca="1" si="724"/>
        <v/>
      </c>
      <c r="HA370" s="450" t="str">
        <f t="shared" ca="1" si="724"/>
        <v/>
      </c>
      <c r="HB370" s="450" t="str">
        <f t="shared" ca="1" si="724"/>
        <v/>
      </c>
      <c r="HC370" s="450" t="str">
        <f t="shared" ca="1" si="724"/>
        <v/>
      </c>
      <c r="HD370" s="450" t="str">
        <f t="shared" ca="1" si="724"/>
        <v/>
      </c>
      <c r="HE370" s="450" t="str">
        <f t="shared" ca="1" si="724"/>
        <v/>
      </c>
      <c r="HF370" s="450" t="str">
        <f t="shared" ca="1" si="724"/>
        <v/>
      </c>
      <c r="HG370" s="450" t="str">
        <f t="shared" ca="1" si="724"/>
        <v/>
      </c>
      <c r="HH370" s="450" t="str">
        <f t="shared" ca="1" si="724"/>
        <v/>
      </c>
      <c r="HI370" s="450" t="str">
        <f t="shared" ca="1" si="724"/>
        <v/>
      </c>
      <c r="HJ370" s="450" t="str">
        <f t="shared" ca="1" si="724"/>
        <v/>
      </c>
      <c r="HK370" s="450" t="str">
        <f t="shared" ca="1" si="724"/>
        <v/>
      </c>
      <c r="HL370" s="450" t="str">
        <f t="shared" ca="1" si="724"/>
        <v/>
      </c>
      <c r="HM370" s="450" t="str">
        <f t="shared" ca="1" si="724"/>
        <v/>
      </c>
      <c r="HN370" s="450" t="str">
        <f t="shared" ca="1" si="724"/>
        <v/>
      </c>
      <c r="HO370" s="450" t="str">
        <f t="shared" ca="1" si="724"/>
        <v/>
      </c>
      <c r="HP370" s="450" t="str">
        <f t="shared" ca="1" si="724"/>
        <v/>
      </c>
      <c r="HQ370" s="450" t="str">
        <f t="shared" ca="1" si="724"/>
        <v/>
      </c>
      <c r="HR370" s="450" t="str">
        <f t="shared" ca="1" si="724"/>
        <v/>
      </c>
      <c r="HS370" s="450" t="str">
        <f t="shared" ca="1" si="724"/>
        <v/>
      </c>
      <c r="HT370" s="450" t="str">
        <f t="shared" ca="1" si="724"/>
        <v/>
      </c>
      <c r="HU370" s="450" t="str">
        <f t="shared" ca="1" si="724"/>
        <v/>
      </c>
      <c r="HV370" s="450" t="str">
        <f t="shared" ca="1" si="724"/>
        <v/>
      </c>
      <c r="HW370" s="450" t="str">
        <f t="shared" ca="1" si="724"/>
        <v/>
      </c>
      <c r="HX370" s="450" t="str">
        <f t="shared" ca="1" si="724"/>
        <v/>
      </c>
      <c r="HY370" s="450" t="str">
        <f t="shared" ca="1" si="724"/>
        <v/>
      </c>
      <c r="HZ370" s="450" t="str">
        <f t="shared" ca="1" si="724"/>
        <v/>
      </c>
      <c r="IA370" s="450" t="str">
        <f t="shared" ca="1" si="711"/>
        <v/>
      </c>
      <c r="IB370" s="450" t="str">
        <f t="shared" ca="1" si="719"/>
        <v/>
      </c>
      <c r="IC370" s="450" t="str">
        <f t="shared" ca="1" si="719"/>
        <v/>
      </c>
      <c r="ID370" s="450" t="str">
        <f t="shared" ca="1" si="719"/>
        <v/>
      </c>
      <c r="IE370" s="450" t="str">
        <f t="shared" ca="1" si="719"/>
        <v/>
      </c>
      <c r="IF370" s="450" t="str">
        <f t="shared" ca="1" si="719"/>
        <v/>
      </c>
      <c r="IG370" s="450" t="str">
        <f t="shared" ca="1" si="719"/>
        <v/>
      </c>
      <c r="IH370" s="658" t="str">
        <f t="shared" ca="1" si="719"/>
        <v/>
      </c>
    </row>
    <row r="371" spans="9:242">
      <c r="I371" s="132"/>
      <c r="J371" s="365"/>
      <c r="K371" s="1"/>
      <c r="L371" s="1"/>
      <c r="M371" s="366"/>
      <c r="P371" s="365"/>
      <c r="S371" s="53"/>
      <c r="T371" s="365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364"/>
      <c r="AO371" s="364">
        <v>6.580045621448069E-2</v>
      </c>
      <c r="AP371" s="103"/>
      <c r="AQ371" s="364">
        <v>5.5443406650729402E-2</v>
      </c>
      <c r="AR371" s="103"/>
      <c r="AS371" s="103"/>
      <c r="AT371" s="103"/>
      <c r="AU371" s="31"/>
      <c r="AV371" s="31"/>
      <c r="AW371" s="31"/>
      <c r="AX371" s="31"/>
      <c r="AY371" s="146"/>
      <c r="AZ371" s="146"/>
      <c r="BA371" s="103"/>
      <c r="BB371" s="103"/>
      <c r="BC371" s="103"/>
      <c r="BD371" s="103"/>
      <c r="BE371" s="104"/>
      <c r="BF371" s="104"/>
      <c r="BG371" s="104"/>
      <c r="BH371" s="102"/>
      <c r="BI371" s="104"/>
      <c r="BJ371" s="103"/>
      <c r="BK371" s="105"/>
      <c r="BL371" s="151"/>
      <c r="BM371" s="103"/>
      <c r="BN371" s="103"/>
      <c r="BO371" s="103"/>
      <c r="BP371" s="103"/>
      <c r="BQ371" s="103"/>
      <c r="BR371" s="103"/>
      <c r="BS371" s="103"/>
      <c r="BT371" s="103"/>
      <c r="BU371" s="103"/>
      <c r="BV371" s="103"/>
      <c r="BW371" s="103"/>
      <c r="BX371" s="103"/>
      <c r="BY371" s="103"/>
      <c r="BZ371" s="104"/>
      <c r="CA371" s="104"/>
      <c r="CB371" s="104"/>
      <c r="CC371" s="104"/>
      <c r="CD371" s="104"/>
      <c r="CE371" s="104"/>
      <c r="CF371" s="103"/>
      <c r="CG371" s="103"/>
      <c r="CH371" s="103"/>
      <c r="CI371" s="103"/>
      <c r="CJ371" s="103"/>
      <c r="CK371" s="103"/>
      <c r="CL371" s="103"/>
      <c r="CM371" s="103"/>
      <c r="CN371" s="103"/>
      <c r="CO371" s="103"/>
      <c r="CP371" s="103"/>
      <c r="CQ371" s="103"/>
      <c r="CR371" s="103"/>
      <c r="CS371" s="103"/>
      <c r="CT371" s="103"/>
      <c r="CU371" s="103"/>
      <c r="CV371" s="103"/>
      <c r="CW371" s="103"/>
      <c r="CX371" s="103"/>
      <c r="CY371" s="103"/>
      <c r="CZ371" s="103"/>
      <c r="DA371" s="103"/>
      <c r="DB371" s="103"/>
      <c r="DC371" s="103"/>
      <c r="DD371" s="103"/>
      <c r="DE371" s="107"/>
      <c r="DF371" s="465"/>
      <c r="DG371" s="1"/>
      <c r="DH371" s="51"/>
      <c r="DI371" s="465"/>
      <c r="DJ371" s="52"/>
      <c r="DK371" s="52"/>
      <c r="DL371" s="52"/>
      <c r="DM371" s="52"/>
      <c r="DN371" s="52"/>
      <c r="DO371" s="52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P371" s="53"/>
      <c r="EQ371" s="1"/>
      <c r="ER371" s="103"/>
      <c r="ES371" s="103"/>
      <c r="ET371" s="1"/>
      <c r="EU371" s="103"/>
      <c r="EV371" s="1"/>
      <c r="EW371" s="1"/>
      <c r="EX371" s="1"/>
      <c r="EY371" s="104"/>
      <c r="FN371" s="657">
        <v>47</v>
      </c>
      <c r="FO371" s="450">
        <f t="shared" ref="FO371:HZ371" ca="1" si="725">IF(AND(ISNUMBER(FO66),ISNUMBER(FO$320),FO$320&lt;&gt;0),FO66*FO$320/FO$15,"")</f>
        <v>6.608113412039481E-4</v>
      </c>
      <c r="FP371" s="450">
        <f t="shared" ca="1" si="725"/>
        <v>1.0746616275104568E-3</v>
      </c>
      <c r="FQ371" s="450" t="str">
        <f t="shared" ca="1" si="725"/>
        <v/>
      </c>
      <c r="FR371" s="450" t="str">
        <f t="shared" ca="1" si="725"/>
        <v/>
      </c>
      <c r="FS371" s="450" t="str">
        <f t="shared" ca="1" si="725"/>
        <v/>
      </c>
      <c r="FT371" s="450" t="str">
        <f t="shared" ca="1" si="725"/>
        <v/>
      </c>
      <c r="FU371" s="450" t="str">
        <f t="shared" ca="1" si="725"/>
        <v/>
      </c>
      <c r="FV371" s="450" t="str">
        <f t="shared" ca="1" si="725"/>
        <v/>
      </c>
      <c r="FW371" s="450" t="str">
        <f t="shared" ca="1" si="725"/>
        <v/>
      </c>
      <c r="FX371" s="450" t="str">
        <f t="shared" ca="1" si="725"/>
        <v/>
      </c>
      <c r="FY371" s="450" t="str">
        <f t="shared" ca="1" si="725"/>
        <v/>
      </c>
      <c r="FZ371" s="450" t="str">
        <f t="shared" ca="1" si="725"/>
        <v/>
      </c>
      <c r="GA371" s="450" t="str">
        <f t="shared" ca="1" si="725"/>
        <v/>
      </c>
      <c r="GB371" s="450" t="str">
        <f t="shared" ca="1" si="725"/>
        <v/>
      </c>
      <c r="GC371" s="450" t="str">
        <f t="shared" ca="1" si="725"/>
        <v/>
      </c>
      <c r="GD371" s="450" t="str">
        <f t="shared" ca="1" si="725"/>
        <v/>
      </c>
      <c r="GE371" s="450" t="str">
        <f t="shared" ca="1" si="725"/>
        <v/>
      </c>
      <c r="GF371" s="450" t="str">
        <f t="shared" ca="1" si="725"/>
        <v/>
      </c>
      <c r="GG371" s="450" t="str">
        <f t="shared" ca="1" si="725"/>
        <v/>
      </c>
      <c r="GH371" s="450" t="str">
        <f t="shared" ca="1" si="725"/>
        <v/>
      </c>
      <c r="GI371" s="450" t="str">
        <f t="shared" ca="1" si="725"/>
        <v/>
      </c>
      <c r="GJ371" s="450" t="str">
        <f t="shared" ca="1" si="725"/>
        <v/>
      </c>
      <c r="GK371" s="450" t="str">
        <f t="shared" ca="1" si="725"/>
        <v/>
      </c>
      <c r="GL371" s="450" t="str">
        <f t="shared" ca="1" si="725"/>
        <v/>
      </c>
      <c r="GM371" s="450" t="str">
        <f t="shared" ca="1" si="725"/>
        <v/>
      </c>
      <c r="GN371" s="450" t="str">
        <f t="shared" ca="1" si="725"/>
        <v/>
      </c>
      <c r="GO371" s="450" t="str">
        <f t="shared" ca="1" si="725"/>
        <v/>
      </c>
      <c r="GP371" s="450" t="str">
        <f t="shared" ca="1" si="725"/>
        <v/>
      </c>
      <c r="GQ371" s="450" t="str">
        <f t="shared" ca="1" si="725"/>
        <v/>
      </c>
      <c r="GR371" s="450" t="str">
        <f t="shared" ca="1" si="725"/>
        <v/>
      </c>
      <c r="GS371" s="450" t="str">
        <f t="shared" ca="1" si="725"/>
        <v/>
      </c>
      <c r="GT371" s="450" t="str">
        <f t="shared" ca="1" si="725"/>
        <v/>
      </c>
      <c r="GU371" s="450" t="str">
        <f t="shared" ca="1" si="725"/>
        <v/>
      </c>
      <c r="GV371" s="450" t="str">
        <f t="shared" ca="1" si="725"/>
        <v/>
      </c>
      <c r="GW371" s="450" t="str">
        <f t="shared" ca="1" si="725"/>
        <v/>
      </c>
      <c r="GX371" s="450" t="str">
        <f t="shared" ca="1" si="725"/>
        <v/>
      </c>
      <c r="GY371" s="450" t="str">
        <f t="shared" ca="1" si="725"/>
        <v/>
      </c>
      <c r="GZ371" s="450" t="str">
        <f t="shared" ca="1" si="725"/>
        <v/>
      </c>
      <c r="HA371" s="450" t="str">
        <f t="shared" ca="1" si="725"/>
        <v/>
      </c>
      <c r="HB371" s="450" t="str">
        <f t="shared" ca="1" si="725"/>
        <v/>
      </c>
      <c r="HC371" s="450" t="str">
        <f t="shared" ca="1" si="725"/>
        <v/>
      </c>
      <c r="HD371" s="450" t="str">
        <f t="shared" ca="1" si="725"/>
        <v/>
      </c>
      <c r="HE371" s="450" t="str">
        <f t="shared" ca="1" si="725"/>
        <v/>
      </c>
      <c r="HF371" s="450" t="str">
        <f t="shared" ca="1" si="725"/>
        <v/>
      </c>
      <c r="HG371" s="450" t="str">
        <f t="shared" ca="1" si="725"/>
        <v/>
      </c>
      <c r="HH371" s="450" t="str">
        <f t="shared" ca="1" si="725"/>
        <v/>
      </c>
      <c r="HI371" s="450" t="str">
        <f t="shared" ca="1" si="725"/>
        <v/>
      </c>
      <c r="HJ371" s="450" t="str">
        <f t="shared" ca="1" si="725"/>
        <v/>
      </c>
      <c r="HK371" s="450" t="str">
        <f t="shared" ca="1" si="725"/>
        <v/>
      </c>
      <c r="HL371" s="450" t="str">
        <f t="shared" ca="1" si="725"/>
        <v/>
      </c>
      <c r="HM371" s="450" t="str">
        <f t="shared" ca="1" si="725"/>
        <v/>
      </c>
      <c r="HN371" s="450" t="str">
        <f t="shared" ca="1" si="725"/>
        <v/>
      </c>
      <c r="HO371" s="450" t="str">
        <f t="shared" ca="1" si="725"/>
        <v/>
      </c>
      <c r="HP371" s="450" t="str">
        <f t="shared" ca="1" si="725"/>
        <v/>
      </c>
      <c r="HQ371" s="450" t="str">
        <f t="shared" ca="1" si="725"/>
        <v/>
      </c>
      <c r="HR371" s="450" t="str">
        <f t="shared" ca="1" si="725"/>
        <v/>
      </c>
      <c r="HS371" s="450" t="str">
        <f t="shared" ca="1" si="725"/>
        <v/>
      </c>
      <c r="HT371" s="450" t="str">
        <f t="shared" ca="1" si="725"/>
        <v/>
      </c>
      <c r="HU371" s="450" t="str">
        <f t="shared" ca="1" si="725"/>
        <v/>
      </c>
      <c r="HV371" s="450" t="str">
        <f t="shared" ca="1" si="725"/>
        <v/>
      </c>
      <c r="HW371" s="450" t="str">
        <f t="shared" ca="1" si="725"/>
        <v/>
      </c>
      <c r="HX371" s="450" t="str">
        <f t="shared" ca="1" si="725"/>
        <v/>
      </c>
      <c r="HY371" s="450" t="str">
        <f t="shared" ca="1" si="725"/>
        <v/>
      </c>
      <c r="HZ371" s="450" t="str">
        <f t="shared" ca="1" si="725"/>
        <v/>
      </c>
      <c r="IA371" s="450" t="str">
        <f t="shared" ca="1" si="711"/>
        <v/>
      </c>
      <c r="IB371" s="450" t="str">
        <f t="shared" ca="1" si="719"/>
        <v/>
      </c>
      <c r="IC371" s="450" t="str">
        <f t="shared" ca="1" si="719"/>
        <v/>
      </c>
      <c r="ID371" s="450" t="str">
        <f t="shared" ca="1" si="719"/>
        <v/>
      </c>
      <c r="IE371" s="450" t="str">
        <f t="shared" ca="1" si="719"/>
        <v/>
      </c>
      <c r="IF371" s="450" t="str">
        <f t="shared" ca="1" si="719"/>
        <v/>
      </c>
      <c r="IG371" s="450" t="str">
        <f t="shared" ca="1" si="719"/>
        <v/>
      </c>
      <c r="IH371" s="658" t="str">
        <f t="shared" ca="1" si="719"/>
        <v/>
      </c>
    </row>
    <row r="372" spans="9:242">
      <c r="I372" s="132"/>
      <c r="J372" s="365"/>
      <c r="K372" s="1"/>
      <c r="L372" s="1"/>
      <c r="M372" s="366"/>
      <c r="P372" s="365"/>
      <c r="S372" s="53"/>
      <c r="T372" s="365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364"/>
      <c r="AO372" s="364">
        <v>6.5811103993159495E-2</v>
      </c>
      <c r="AP372" s="103"/>
      <c r="AQ372" s="364">
        <v>5.5404176800100603E-2</v>
      </c>
      <c r="AR372" s="103"/>
      <c r="AS372" s="103"/>
      <c r="AT372" s="103"/>
      <c r="AU372" s="31"/>
      <c r="AV372" s="31"/>
      <c r="AW372" s="31"/>
      <c r="AX372" s="31"/>
      <c r="AY372" s="146"/>
      <c r="AZ372" s="146"/>
      <c r="BA372" s="103"/>
      <c r="BB372" s="103"/>
      <c r="BC372" s="103"/>
      <c r="BD372" s="103"/>
      <c r="BE372" s="104"/>
      <c r="BF372" s="104"/>
      <c r="BG372" s="104"/>
      <c r="BH372" s="102"/>
      <c r="BI372" s="104"/>
      <c r="BJ372" s="103"/>
      <c r="BK372" s="105"/>
      <c r="BL372" s="151"/>
      <c r="BM372" s="103"/>
      <c r="BN372" s="103"/>
      <c r="BO372" s="103"/>
      <c r="BP372" s="103"/>
      <c r="BQ372" s="103"/>
      <c r="BR372" s="103"/>
      <c r="BS372" s="103"/>
      <c r="BT372" s="103"/>
      <c r="BU372" s="103"/>
      <c r="BV372" s="103"/>
      <c r="BW372" s="103"/>
      <c r="BX372" s="103"/>
      <c r="BY372" s="103"/>
      <c r="BZ372" s="104"/>
      <c r="CA372" s="104"/>
      <c r="CB372" s="104"/>
      <c r="CC372" s="104"/>
      <c r="CD372" s="104"/>
      <c r="CE372" s="104"/>
      <c r="CF372" s="103"/>
      <c r="CG372" s="103"/>
      <c r="CH372" s="103"/>
      <c r="CI372" s="103"/>
      <c r="CJ372" s="103"/>
      <c r="CK372" s="103"/>
      <c r="CL372" s="103"/>
      <c r="CM372" s="103"/>
      <c r="CN372" s="103"/>
      <c r="CO372" s="103"/>
      <c r="CP372" s="103"/>
      <c r="CQ372" s="103"/>
      <c r="CR372" s="103"/>
      <c r="CS372" s="103"/>
      <c r="CT372" s="103"/>
      <c r="CU372" s="103"/>
      <c r="CV372" s="103"/>
      <c r="CW372" s="103"/>
      <c r="CX372" s="103"/>
      <c r="CY372" s="103"/>
      <c r="CZ372" s="103"/>
      <c r="DA372" s="103"/>
      <c r="DB372" s="103"/>
      <c r="DC372" s="103"/>
      <c r="DD372" s="103"/>
      <c r="DE372" s="107"/>
      <c r="DF372" s="465"/>
      <c r="DG372" s="1"/>
      <c r="DH372" s="51"/>
      <c r="DI372" s="465"/>
      <c r="DJ372" s="52"/>
      <c r="DK372" s="52"/>
      <c r="DL372" s="52"/>
      <c r="DM372" s="52"/>
      <c r="DN372" s="52"/>
      <c r="DO372" s="52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P372" s="53"/>
      <c r="EQ372" s="1"/>
      <c r="ER372" s="103"/>
      <c r="ES372" s="103"/>
      <c r="ET372" s="1"/>
      <c r="EU372" s="103"/>
      <c r="EV372" s="1"/>
      <c r="EW372" s="1"/>
      <c r="EX372" s="1"/>
      <c r="EY372" s="104"/>
      <c r="FN372" s="657">
        <v>48</v>
      </c>
      <c r="FO372" s="450">
        <f t="shared" ref="FO372:HZ372" ca="1" si="726">IF(AND(ISNUMBER(FO67),ISNUMBER(FO$320),FO$320&lt;&gt;0),FO67*FO$320/FO$15,"")</f>
        <v>6.6000094335927361E-4</v>
      </c>
      <c r="FP372" s="450">
        <f t="shared" ca="1" si="726"/>
        <v>1.0731972602119474E-3</v>
      </c>
      <c r="FQ372" s="450" t="str">
        <f t="shared" ca="1" si="726"/>
        <v/>
      </c>
      <c r="FR372" s="450" t="str">
        <f t="shared" ca="1" si="726"/>
        <v/>
      </c>
      <c r="FS372" s="450" t="str">
        <f t="shared" ca="1" si="726"/>
        <v/>
      </c>
      <c r="FT372" s="450" t="str">
        <f t="shared" ca="1" si="726"/>
        <v/>
      </c>
      <c r="FU372" s="450" t="str">
        <f t="shared" ca="1" si="726"/>
        <v/>
      </c>
      <c r="FV372" s="450" t="str">
        <f t="shared" ca="1" si="726"/>
        <v/>
      </c>
      <c r="FW372" s="450" t="str">
        <f t="shared" ca="1" si="726"/>
        <v/>
      </c>
      <c r="FX372" s="450" t="str">
        <f t="shared" ca="1" si="726"/>
        <v/>
      </c>
      <c r="FY372" s="450" t="str">
        <f t="shared" ca="1" si="726"/>
        <v/>
      </c>
      <c r="FZ372" s="450" t="str">
        <f t="shared" ca="1" si="726"/>
        <v/>
      </c>
      <c r="GA372" s="450" t="str">
        <f t="shared" ca="1" si="726"/>
        <v/>
      </c>
      <c r="GB372" s="450" t="str">
        <f t="shared" ca="1" si="726"/>
        <v/>
      </c>
      <c r="GC372" s="450" t="str">
        <f t="shared" ca="1" si="726"/>
        <v/>
      </c>
      <c r="GD372" s="450" t="str">
        <f t="shared" ca="1" si="726"/>
        <v/>
      </c>
      <c r="GE372" s="450" t="str">
        <f t="shared" ca="1" si="726"/>
        <v/>
      </c>
      <c r="GF372" s="450" t="str">
        <f t="shared" ca="1" si="726"/>
        <v/>
      </c>
      <c r="GG372" s="450" t="str">
        <f t="shared" ca="1" si="726"/>
        <v/>
      </c>
      <c r="GH372" s="450" t="str">
        <f t="shared" ca="1" si="726"/>
        <v/>
      </c>
      <c r="GI372" s="450" t="str">
        <f t="shared" ca="1" si="726"/>
        <v/>
      </c>
      <c r="GJ372" s="450" t="str">
        <f t="shared" ca="1" si="726"/>
        <v/>
      </c>
      <c r="GK372" s="450" t="str">
        <f t="shared" ca="1" si="726"/>
        <v/>
      </c>
      <c r="GL372" s="450" t="str">
        <f t="shared" ca="1" si="726"/>
        <v/>
      </c>
      <c r="GM372" s="450" t="str">
        <f t="shared" ca="1" si="726"/>
        <v/>
      </c>
      <c r="GN372" s="450" t="str">
        <f t="shared" ca="1" si="726"/>
        <v/>
      </c>
      <c r="GO372" s="450" t="str">
        <f t="shared" ca="1" si="726"/>
        <v/>
      </c>
      <c r="GP372" s="450" t="str">
        <f t="shared" ca="1" si="726"/>
        <v/>
      </c>
      <c r="GQ372" s="450" t="str">
        <f t="shared" ca="1" si="726"/>
        <v/>
      </c>
      <c r="GR372" s="450" t="str">
        <f t="shared" ca="1" si="726"/>
        <v/>
      </c>
      <c r="GS372" s="450" t="str">
        <f t="shared" ca="1" si="726"/>
        <v/>
      </c>
      <c r="GT372" s="450" t="str">
        <f t="shared" ca="1" si="726"/>
        <v/>
      </c>
      <c r="GU372" s="450" t="str">
        <f t="shared" ca="1" si="726"/>
        <v/>
      </c>
      <c r="GV372" s="450" t="str">
        <f t="shared" ca="1" si="726"/>
        <v/>
      </c>
      <c r="GW372" s="450" t="str">
        <f t="shared" ca="1" si="726"/>
        <v/>
      </c>
      <c r="GX372" s="450" t="str">
        <f t="shared" ca="1" si="726"/>
        <v/>
      </c>
      <c r="GY372" s="450" t="str">
        <f t="shared" ca="1" si="726"/>
        <v/>
      </c>
      <c r="GZ372" s="450" t="str">
        <f t="shared" ca="1" si="726"/>
        <v/>
      </c>
      <c r="HA372" s="450" t="str">
        <f t="shared" ca="1" si="726"/>
        <v/>
      </c>
      <c r="HB372" s="450" t="str">
        <f t="shared" ca="1" si="726"/>
        <v/>
      </c>
      <c r="HC372" s="450" t="str">
        <f t="shared" ca="1" si="726"/>
        <v/>
      </c>
      <c r="HD372" s="450" t="str">
        <f t="shared" ca="1" si="726"/>
        <v/>
      </c>
      <c r="HE372" s="450" t="str">
        <f t="shared" ca="1" si="726"/>
        <v/>
      </c>
      <c r="HF372" s="450" t="str">
        <f t="shared" ca="1" si="726"/>
        <v/>
      </c>
      <c r="HG372" s="450" t="str">
        <f t="shared" ca="1" si="726"/>
        <v/>
      </c>
      <c r="HH372" s="450" t="str">
        <f t="shared" ca="1" si="726"/>
        <v/>
      </c>
      <c r="HI372" s="450" t="str">
        <f t="shared" ca="1" si="726"/>
        <v/>
      </c>
      <c r="HJ372" s="450" t="str">
        <f t="shared" ca="1" si="726"/>
        <v/>
      </c>
      <c r="HK372" s="450" t="str">
        <f t="shared" ca="1" si="726"/>
        <v/>
      </c>
      <c r="HL372" s="450" t="str">
        <f t="shared" ca="1" si="726"/>
        <v/>
      </c>
      <c r="HM372" s="450" t="str">
        <f t="shared" ca="1" si="726"/>
        <v/>
      </c>
      <c r="HN372" s="450" t="str">
        <f t="shared" ca="1" si="726"/>
        <v/>
      </c>
      <c r="HO372" s="450" t="str">
        <f t="shared" ca="1" si="726"/>
        <v/>
      </c>
      <c r="HP372" s="450" t="str">
        <f t="shared" ca="1" si="726"/>
        <v/>
      </c>
      <c r="HQ372" s="450" t="str">
        <f t="shared" ca="1" si="726"/>
        <v/>
      </c>
      <c r="HR372" s="450" t="str">
        <f t="shared" ca="1" si="726"/>
        <v/>
      </c>
      <c r="HS372" s="450" t="str">
        <f t="shared" ca="1" si="726"/>
        <v/>
      </c>
      <c r="HT372" s="450" t="str">
        <f t="shared" ca="1" si="726"/>
        <v/>
      </c>
      <c r="HU372" s="450" t="str">
        <f t="shared" ca="1" si="726"/>
        <v/>
      </c>
      <c r="HV372" s="450" t="str">
        <f t="shared" ca="1" si="726"/>
        <v/>
      </c>
      <c r="HW372" s="450" t="str">
        <f t="shared" ca="1" si="726"/>
        <v/>
      </c>
      <c r="HX372" s="450" t="str">
        <f t="shared" ca="1" si="726"/>
        <v/>
      </c>
      <c r="HY372" s="450" t="str">
        <f t="shared" ca="1" si="726"/>
        <v/>
      </c>
      <c r="HZ372" s="450" t="str">
        <f t="shared" ca="1" si="726"/>
        <v/>
      </c>
      <c r="IA372" s="450" t="str">
        <f t="shared" ca="1" si="711"/>
        <v/>
      </c>
      <c r="IB372" s="450" t="str">
        <f t="shared" ca="1" si="719"/>
        <v/>
      </c>
      <c r="IC372" s="450" t="str">
        <f t="shared" ca="1" si="719"/>
        <v/>
      </c>
      <c r="ID372" s="450" t="str">
        <f t="shared" ca="1" si="719"/>
        <v/>
      </c>
      <c r="IE372" s="450" t="str">
        <f t="shared" ca="1" si="719"/>
        <v/>
      </c>
      <c r="IF372" s="450" t="str">
        <f t="shared" ca="1" si="719"/>
        <v/>
      </c>
      <c r="IG372" s="450" t="str">
        <f t="shared" ca="1" si="719"/>
        <v/>
      </c>
      <c r="IH372" s="658" t="str">
        <f t="shared" ca="1" si="719"/>
        <v/>
      </c>
    </row>
    <row r="373" spans="9:242">
      <c r="I373" s="132"/>
      <c r="J373" s="365"/>
      <c r="K373" s="1"/>
      <c r="L373" s="1"/>
      <c r="M373" s="366"/>
      <c r="P373" s="365"/>
      <c r="S373" s="53"/>
      <c r="T373" s="365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364"/>
      <c r="AO373" s="364">
        <v>6.5821408295141798E-2</v>
      </c>
      <c r="AP373" s="103"/>
      <c r="AQ373" s="364">
        <v>5.5366212438771698E-2</v>
      </c>
      <c r="AR373" s="103"/>
      <c r="AS373" s="103"/>
      <c r="AT373" s="103"/>
      <c r="AU373" s="31"/>
      <c r="AV373" s="31"/>
      <c r="AW373" s="31"/>
      <c r="AX373" s="31"/>
      <c r="AY373" s="146"/>
      <c r="AZ373" s="146"/>
      <c r="BA373" s="103"/>
      <c r="BB373" s="103"/>
      <c r="BC373" s="103"/>
      <c r="BD373" s="103"/>
      <c r="BE373" s="104"/>
      <c r="BF373" s="104"/>
      <c r="BG373" s="104"/>
      <c r="BH373" s="102"/>
      <c r="BI373" s="104"/>
      <c r="BJ373" s="103"/>
      <c r="BK373" s="105"/>
      <c r="BL373" s="151"/>
      <c r="BM373" s="103"/>
      <c r="BN373" s="103"/>
      <c r="BO373" s="103"/>
      <c r="BP373" s="103"/>
      <c r="BQ373" s="103"/>
      <c r="BR373" s="103"/>
      <c r="BS373" s="103"/>
      <c r="BT373" s="103"/>
      <c r="BU373" s="103"/>
      <c r="BV373" s="103"/>
      <c r="BW373" s="103"/>
      <c r="BX373" s="103"/>
      <c r="BY373" s="103"/>
      <c r="BZ373" s="104"/>
      <c r="CA373" s="104"/>
      <c r="CB373" s="104"/>
      <c r="CC373" s="104"/>
      <c r="CD373" s="104"/>
      <c r="CE373" s="104"/>
      <c r="CF373" s="103"/>
      <c r="CG373" s="103"/>
      <c r="CH373" s="103"/>
      <c r="CI373" s="103"/>
      <c r="CJ373" s="103"/>
      <c r="CK373" s="103"/>
      <c r="CL373" s="103"/>
      <c r="CM373" s="103"/>
      <c r="CN373" s="103"/>
      <c r="CO373" s="103"/>
      <c r="CP373" s="103"/>
      <c r="CQ373" s="103"/>
      <c r="CR373" s="103"/>
      <c r="CS373" s="103"/>
      <c r="CT373" s="103"/>
      <c r="CU373" s="103"/>
      <c r="CV373" s="103"/>
      <c r="CW373" s="103"/>
      <c r="CX373" s="103"/>
      <c r="CY373" s="103"/>
      <c r="CZ373" s="103"/>
      <c r="DA373" s="103"/>
      <c r="DB373" s="103"/>
      <c r="DC373" s="103"/>
      <c r="DD373" s="103"/>
      <c r="DE373" s="107"/>
      <c r="DF373" s="465"/>
      <c r="DG373" s="1"/>
      <c r="DH373" s="51"/>
      <c r="DI373" s="465"/>
      <c r="DJ373" s="52"/>
      <c r="DK373" s="52"/>
      <c r="DL373" s="52"/>
      <c r="DM373" s="52"/>
      <c r="DN373" s="52"/>
      <c r="DO373" s="52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P373" s="53"/>
      <c r="EQ373" s="1"/>
      <c r="ER373" s="103"/>
      <c r="ES373" s="103"/>
      <c r="ET373" s="1"/>
      <c r="EU373" s="103"/>
      <c r="EV373" s="1"/>
      <c r="EW373" s="1"/>
      <c r="EX373" s="1"/>
      <c r="EY373" s="104"/>
      <c r="FN373" s="657">
        <v>49</v>
      </c>
      <c r="FO373" s="450">
        <f t="shared" ref="FO373:HZ373" ca="1" si="727">IF(AND(ISNUMBER(FO68),ISNUMBER(FO$320),FO$320&lt;&gt;0),FO68*FO$320/FO$15,"")</f>
        <v>6.5927247976041003E-4</v>
      </c>
      <c r="FP373" s="450">
        <f t="shared" ca="1" si="727"/>
        <v>1.0718811254963995E-3</v>
      </c>
      <c r="FQ373" s="450" t="str">
        <f t="shared" ca="1" si="727"/>
        <v/>
      </c>
      <c r="FR373" s="450" t="str">
        <f t="shared" ca="1" si="727"/>
        <v/>
      </c>
      <c r="FS373" s="450" t="str">
        <f t="shared" ca="1" si="727"/>
        <v/>
      </c>
      <c r="FT373" s="450" t="str">
        <f t="shared" ca="1" si="727"/>
        <v/>
      </c>
      <c r="FU373" s="450" t="str">
        <f t="shared" ca="1" si="727"/>
        <v/>
      </c>
      <c r="FV373" s="450" t="str">
        <f t="shared" ca="1" si="727"/>
        <v/>
      </c>
      <c r="FW373" s="450" t="str">
        <f t="shared" ca="1" si="727"/>
        <v/>
      </c>
      <c r="FX373" s="450" t="str">
        <f t="shared" ca="1" si="727"/>
        <v/>
      </c>
      <c r="FY373" s="450" t="str">
        <f t="shared" ca="1" si="727"/>
        <v/>
      </c>
      <c r="FZ373" s="450" t="str">
        <f t="shared" ca="1" si="727"/>
        <v/>
      </c>
      <c r="GA373" s="450" t="str">
        <f t="shared" ca="1" si="727"/>
        <v/>
      </c>
      <c r="GB373" s="450" t="str">
        <f t="shared" ca="1" si="727"/>
        <v/>
      </c>
      <c r="GC373" s="450" t="str">
        <f t="shared" ca="1" si="727"/>
        <v/>
      </c>
      <c r="GD373" s="450" t="str">
        <f t="shared" ca="1" si="727"/>
        <v/>
      </c>
      <c r="GE373" s="450" t="str">
        <f t="shared" ca="1" si="727"/>
        <v/>
      </c>
      <c r="GF373" s="450" t="str">
        <f t="shared" ca="1" si="727"/>
        <v/>
      </c>
      <c r="GG373" s="450" t="str">
        <f t="shared" ca="1" si="727"/>
        <v/>
      </c>
      <c r="GH373" s="450" t="str">
        <f t="shared" ca="1" si="727"/>
        <v/>
      </c>
      <c r="GI373" s="450" t="str">
        <f t="shared" ca="1" si="727"/>
        <v/>
      </c>
      <c r="GJ373" s="450" t="str">
        <f t="shared" ca="1" si="727"/>
        <v/>
      </c>
      <c r="GK373" s="450" t="str">
        <f t="shared" ca="1" si="727"/>
        <v/>
      </c>
      <c r="GL373" s="450" t="str">
        <f t="shared" ca="1" si="727"/>
        <v/>
      </c>
      <c r="GM373" s="450" t="str">
        <f t="shared" ca="1" si="727"/>
        <v/>
      </c>
      <c r="GN373" s="450" t="str">
        <f t="shared" ca="1" si="727"/>
        <v/>
      </c>
      <c r="GO373" s="450" t="str">
        <f t="shared" ca="1" si="727"/>
        <v/>
      </c>
      <c r="GP373" s="450" t="str">
        <f t="shared" ca="1" si="727"/>
        <v/>
      </c>
      <c r="GQ373" s="450" t="str">
        <f t="shared" ca="1" si="727"/>
        <v/>
      </c>
      <c r="GR373" s="450" t="str">
        <f t="shared" ca="1" si="727"/>
        <v/>
      </c>
      <c r="GS373" s="450" t="str">
        <f t="shared" ca="1" si="727"/>
        <v/>
      </c>
      <c r="GT373" s="450" t="str">
        <f t="shared" ca="1" si="727"/>
        <v/>
      </c>
      <c r="GU373" s="450" t="str">
        <f t="shared" ca="1" si="727"/>
        <v/>
      </c>
      <c r="GV373" s="450" t="str">
        <f t="shared" ca="1" si="727"/>
        <v/>
      </c>
      <c r="GW373" s="450" t="str">
        <f t="shared" ca="1" si="727"/>
        <v/>
      </c>
      <c r="GX373" s="450" t="str">
        <f t="shared" ca="1" si="727"/>
        <v/>
      </c>
      <c r="GY373" s="450" t="str">
        <f t="shared" ca="1" si="727"/>
        <v/>
      </c>
      <c r="GZ373" s="450" t="str">
        <f t="shared" ca="1" si="727"/>
        <v/>
      </c>
      <c r="HA373" s="450" t="str">
        <f t="shared" ca="1" si="727"/>
        <v/>
      </c>
      <c r="HB373" s="450" t="str">
        <f t="shared" ca="1" si="727"/>
        <v/>
      </c>
      <c r="HC373" s="450" t="str">
        <f t="shared" ca="1" si="727"/>
        <v/>
      </c>
      <c r="HD373" s="450" t="str">
        <f t="shared" ca="1" si="727"/>
        <v/>
      </c>
      <c r="HE373" s="450" t="str">
        <f t="shared" ca="1" si="727"/>
        <v/>
      </c>
      <c r="HF373" s="450" t="str">
        <f t="shared" ca="1" si="727"/>
        <v/>
      </c>
      <c r="HG373" s="450" t="str">
        <f t="shared" ca="1" si="727"/>
        <v/>
      </c>
      <c r="HH373" s="450" t="str">
        <f t="shared" ca="1" si="727"/>
        <v/>
      </c>
      <c r="HI373" s="450" t="str">
        <f t="shared" ca="1" si="727"/>
        <v/>
      </c>
      <c r="HJ373" s="450" t="str">
        <f t="shared" ca="1" si="727"/>
        <v/>
      </c>
      <c r="HK373" s="450" t="str">
        <f t="shared" ca="1" si="727"/>
        <v/>
      </c>
      <c r="HL373" s="450" t="str">
        <f t="shared" ca="1" si="727"/>
        <v/>
      </c>
      <c r="HM373" s="450" t="str">
        <f t="shared" ca="1" si="727"/>
        <v/>
      </c>
      <c r="HN373" s="450" t="str">
        <f t="shared" ca="1" si="727"/>
        <v/>
      </c>
      <c r="HO373" s="450" t="str">
        <f t="shared" ca="1" si="727"/>
        <v/>
      </c>
      <c r="HP373" s="450" t="str">
        <f t="shared" ca="1" si="727"/>
        <v/>
      </c>
      <c r="HQ373" s="450" t="str">
        <f t="shared" ca="1" si="727"/>
        <v/>
      </c>
      <c r="HR373" s="450" t="str">
        <f t="shared" ca="1" si="727"/>
        <v/>
      </c>
      <c r="HS373" s="450" t="str">
        <f t="shared" ca="1" si="727"/>
        <v/>
      </c>
      <c r="HT373" s="450" t="str">
        <f t="shared" ca="1" si="727"/>
        <v/>
      </c>
      <c r="HU373" s="450" t="str">
        <f t="shared" ca="1" si="727"/>
        <v/>
      </c>
      <c r="HV373" s="450" t="str">
        <f t="shared" ca="1" si="727"/>
        <v/>
      </c>
      <c r="HW373" s="450" t="str">
        <f t="shared" ca="1" si="727"/>
        <v/>
      </c>
      <c r="HX373" s="450" t="str">
        <f t="shared" ca="1" si="727"/>
        <v/>
      </c>
      <c r="HY373" s="450" t="str">
        <f t="shared" ca="1" si="727"/>
        <v/>
      </c>
      <c r="HZ373" s="450" t="str">
        <f t="shared" ca="1" si="727"/>
        <v/>
      </c>
      <c r="IA373" s="450" t="str">
        <f t="shared" ca="1" si="711"/>
        <v/>
      </c>
      <c r="IB373" s="450" t="str">
        <f t="shared" ca="1" si="719"/>
        <v/>
      </c>
      <c r="IC373" s="450" t="str">
        <f t="shared" ca="1" si="719"/>
        <v/>
      </c>
      <c r="ID373" s="450" t="str">
        <f t="shared" ca="1" si="719"/>
        <v/>
      </c>
      <c r="IE373" s="450" t="str">
        <f t="shared" ca="1" si="719"/>
        <v/>
      </c>
      <c r="IF373" s="450" t="str">
        <f t="shared" ca="1" si="719"/>
        <v/>
      </c>
      <c r="IG373" s="450" t="str">
        <f t="shared" ca="1" si="719"/>
        <v/>
      </c>
      <c r="IH373" s="658" t="str">
        <f t="shared" ca="1" si="719"/>
        <v/>
      </c>
    </row>
    <row r="374" spans="9:242">
      <c r="I374" s="132"/>
      <c r="J374" s="365"/>
      <c r="K374" s="1"/>
      <c r="L374" s="1"/>
      <c r="M374" s="366"/>
      <c r="P374" s="365"/>
      <c r="S374" s="53"/>
      <c r="T374" s="365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364"/>
      <c r="AO374" s="364">
        <v>6.5832056073894807E-2</v>
      </c>
      <c r="AP374" s="103"/>
      <c r="AQ374" s="364">
        <v>5.5326982609320098E-2</v>
      </c>
      <c r="AR374" s="103"/>
      <c r="AS374" s="103"/>
      <c r="AT374" s="103"/>
      <c r="AU374" s="31"/>
      <c r="AV374" s="31"/>
      <c r="AW374" s="31"/>
      <c r="AX374" s="31"/>
      <c r="AY374" s="146"/>
      <c r="AZ374" s="146"/>
      <c r="BA374" s="103"/>
      <c r="BB374" s="103"/>
      <c r="BC374" s="103"/>
      <c r="BD374" s="103"/>
      <c r="BE374" s="104"/>
      <c r="BF374" s="104"/>
      <c r="BG374" s="104"/>
      <c r="BH374" s="102"/>
      <c r="BI374" s="104"/>
      <c r="BJ374" s="103"/>
      <c r="BK374" s="105"/>
      <c r="BL374" s="151"/>
      <c r="BM374" s="103"/>
      <c r="BN374" s="103"/>
      <c r="BO374" s="103"/>
      <c r="BP374" s="103"/>
      <c r="BQ374" s="103"/>
      <c r="BR374" s="103"/>
      <c r="BS374" s="103"/>
      <c r="BT374" s="103"/>
      <c r="BU374" s="103"/>
      <c r="BV374" s="103"/>
      <c r="BW374" s="103"/>
      <c r="BX374" s="103"/>
      <c r="BY374" s="103"/>
      <c r="BZ374" s="104"/>
      <c r="CA374" s="104"/>
      <c r="CB374" s="104"/>
      <c r="CC374" s="104"/>
      <c r="CD374" s="104"/>
      <c r="CE374" s="104"/>
      <c r="CF374" s="103"/>
      <c r="CG374" s="103"/>
      <c r="CH374" s="103"/>
      <c r="CI374" s="103"/>
      <c r="CJ374" s="103"/>
      <c r="CK374" s="103"/>
      <c r="CL374" s="103"/>
      <c r="CM374" s="103"/>
      <c r="CN374" s="103"/>
      <c r="CO374" s="103"/>
      <c r="CP374" s="103"/>
      <c r="CQ374" s="103"/>
      <c r="CR374" s="103"/>
      <c r="CS374" s="103"/>
      <c r="CT374" s="103"/>
      <c r="CU374" s="103"/>
      <c r="CV374" s="103"/>
      <c r="CW374" s="103"/>
      <c r="CX374" s="103"/>
      <c r="CY374" s="103"/>
      <c r="CZ374" s="103"/>
      <c r="DA374" s="103"/>
      <c r="DB374" s="103"/>
      <c r="DC374" s="103"/>
      <c r="DD374" s="103"/>
      <c r="DE374" s="107"/>
      <c r="DF374" s="465"/>
      <c r="DG374" s="1"/>
      <c r="DH374" s="51"/>
      <c r="DI374" s="465"/>
      <c r="DJ374" s="52"/>
      <c r="DK374" s="52"/>
      <c r="DL374" s="52"/>
      <c r="DM374" s="52"/>
      <c r="DN374" s="52"/>
      <c r="DO374" s="52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P374" s="53"/>
      <c r="EQ374" s="1"/>
      <c r="ER374" s="103"/>
      <c r="ES374" s="103"/>
      <c r="ET374" s="1"/>
      <c r="EU374" s="103"/>
      <c r="EV374" s="1"/>
      <c r="EW374" s="1"/>
      <c r="EX374" s="1"/>
      <c r="EY374" s="104"/>
      <c r="FN374" s="657">
        <v>50</v>
      </c>
      <c r="FO374" s="450">
        <f t="shared" ref="FO374:HZ374" ca="1" si="728">IF(AND(ISNUMBER(FO69),ISNUMBER(FO$320),FO$320&lt;&gt;0),FO69*FO$320/FO$15,"")</f>
        <v>6.5861758614660067E-4</v>
      </c>
      <c r="FP374" s="450">
        <f t="shared" ca="1" si="728"/>
        <v>1.070698056911287E-3</v>
      </c>
      <c r="FQ374" s="450" t="str">
        <f t="shared" ca="1" si="728"/>
        <v/>
      </c>
      <c r="FR374" s="450" t="str">
        <f t="shared" ca="1" si="728"/>
        <v/>
      </c>
      <c r="FS374" s="450" t="str">
        <f t="shared" ca="1" si="728"/>
        <v/>
      </c>
      <c r="FT374" s="450" t="str">
        <f t="shared" ca="1" si="728"/>
        <v/>
      </c>
      <c r="FU374" s="450" t="str">
        <f t="shared" ca="1" si="728"/>
        <v/>
      </c>
      <c r="FV374" s="450" t="str">
        <f t="shared" ca="1" si="728"/>
        <v/>
      </c>
      <c r="FW374" s="450" t="str">
        <f t="shared" ca="1" si="728"/>
        <v/>
      </c>
      <c r="FX374" s="450" t="str">
        <f t="shared" ca="1" si="728"/>
        <v/>
      </c>
      <c r="FY374" s="450" t="str">
        <f t="shared" ca="1" si="728"/>
        <v/>
      </c>
      <c r="FZ374" s="450" t="str">
        <f t="shared" ca="1" si="728"/>
        <v/>
      </c>
      <c r="GA374" s="450" t="str">
        <f t="shared" ca="1" si="728"/>
        <v/>
      </c>
      <c r="GB374" s="450" t="str">
        <f t="shared" ca="1" si="728"/>
        <v/>
      </c>
      <c r="GC374" s="450" t="str">
        <f t="shared" ca="1" si="728"/>
        <v/>
      </c>
      <c r="GD374" s="450" t="str">
        <f t="shared" ca="1" si="728"/>
        <v/>
      </c>
      <c r="GE374" s="450" t="str">
        <f t="shared" ca="1" si="728"/>
        <v/>
      </c>
      <c r="GF374" s="450" t="str">
        <f t="shared" ca="1" si="728"/>
        <v/>
      </c>
      <c r="GG374" s="450" t="str">
        <f t="shared" ca="1" si="728"/>
        <v/>
      </c>
      <c r="GH374" s="450" t="str">
        <f t="shared" ca="1" si="728"/>
        <v/>
      </c>
      <c r="GI374" s="450" t="str">
        <f t="shared" ca="1" si="728"/>
        <v/>
      </c>
      <c r="GJ374" s="450" t="str">
        <f t="shared" ca="1" si="728"/>
        <v/>
      </c>
      <c r="GK374" s="450" t="str">
        <f t="shared" ca="1" si="728"/>
        <v/>
      </c>
      <c r="GL374" s="450" t="str">
        <f t="shared" ca="1" si="728"/>
        <v/>
      </c>
      <c r="GM374" s="450" t="str">
        <f t="shared" ca="1" si="728"/>
        <v/>
      </c>
      <c r="GN374" s="450" t="str">
        <f t="shared" ca="1" si="728"/>
        <v/>
      </c>
      <c r="GO374" s="450" t="str">
        <f t="shared" ca="1" si="728"/>
        <v/>
      </c>
      <c r="GP374" s="450" t="str">
        <f t="shared" ca="1" si="728"/>
        <v/>
      </c>
      <c r="GQ374" s="450" t="str">
        <f t="shared" ca="1" si="728"/>
        <v/>
      </c>
      <c r="GR374" s="450" t="str">
        <f t="shared" ca="1" si="728"/>
        <v/>
      </c>
      <c r="GS374" s="450" t="str">
        <f t="shared" ca="1" si="728"/>
        <v/>
      </c>
      <c r="GT374" s="450" t="str">
        <f t="shared" ca="1" si="728"/>
        <v/>
      </c>
      <c r="GU374" s="450" t="str">
        <f t="shared" ca="1" si="728"/>
        <v/>
      </c>
      <c r="GV374" s="450" t="str">
        <f t="shared" ca="1" si="728"/>
        <v/>
      </c>
      <c r="GW374" s="450" t="str">
        <f t="shared" ca="1" si="728"/>
        <v/>
      </c>
      <c r="GX374" s="450" t="str">
        <f t="shared" ca="1" si="728"/>
        <v/>
      </c>
      <c r="GY374" s="450" t="str">
        <f t="shared" ca="1" si="728"/>
        <v/>
      </c>
      <c r="GZ374" s="450" t="str">
        <f t="shared" ca="1" si="728"/>
        <v/>
      </c>
      <c r="HA374" s="450" t="str">
        <f t="shared" ca="1" si="728"/>
        <v/>
      </c>
      <c r="HB374" s="450" t="str">
        <f t="shared" ca="1" si="728"/>
        <v/>
      </c>
      <c r="HC374" s="450" t="str">
        <f t="shared" ca="1" si="728"/>
        <v/>
      </c>
      <c r="HD374" s="450" t="str">
        <f t="shared" ca="1" si="728"/>
        <v/>
      </c>
      <c r="HE374" s="450" t="str">
        <f t="shared" ca="1" si="728"/>
        <v/>
      </c>
      <c r="HF374" s="450" t="str">
        <f t="shared" ca="1" si="728"/>
        <v/>
      </c>
      <c r="HG374" s="450" t="str">
        <f t="shared" ca="1" si="728"/>
        <v/>
      </c>
      <c r="HH374" s="450" t="str">
        <f t="shared" ca="1" si="728"/>
        <v/>
      </c>
      <c r="HI374" s="450" t="str">
        <f t="shared" ca="1" si="728"/>
        <v/>
      </c>
      <c r="HJ374" s="450" t="str">
        <f t="shared" ca="1" si="728"/>
        <v/>
      </c>
      <c r="HK374" s="450" t="str">
        <f t="shared" ca="1" si="728"/>
        <v/>
      </c>
      <c r="HL374" s="450" t="str">
        <f t="shared" ca="1" si="728"/>
        <v/>
      </c>
      <c r="HM374" s="450" t="str">
        <f t="shared" ca="1" si="728"/>
        <v/>
      </c>
      <c r="HN374" s="450" t="str">
        <f t="shared" ca="1" si="728"/>
        <v/>
      </c>
      <c r="HO374" s="450" t="str">
        <f t="shared" ca="1" si="728"/>
        <v/>
      </c>
      <c r="HP374" s="450" t="str">
        <f t="shared" ca="1" si="728"/>
        <v/>
      </c>
      <c r="HQ374" s="450" t="str">
        <f t="shared" ca="1" si="728"/>
        <v/>
      </c>
      <c r="HR374" s="450" t="str">
        <f t="shared" ca="1" si="728"/>
        <v/>
      </c>
      <c r="HS374" s="450" t="str">
        <f t="shared" ca="1" si="728"/>
        <v/>
      </c>
      <c r="HT374" s="450" t="str">
        <f t="shared" ca="1" si="728"/>
        <v/>
      </c>
      <c r="HU374" s="450" t="str">
        <f t="shared" ca="1" si="728"/>
        <v/>
      </c>
      <c r="HV374" s="450" t="str">
        <f t="shared" ca="1" si="728"/>
        <v/>
      </c>
      <c r="HW374" s="450" t="str">
        <f t="shared" ca="1" si="728"/>
        <v/>
      </c>
      <c r="HX374" s="450" t="str">
        <f t="shared" ca="1" si="728"/>
        <v/>
      </c>
      <c r="HY374" s="450" t="str">
        <f t="shared" ca="1" si="728"/>
        <v/>
      </c>
      <c r="HZ374" s="450" t="str">
        <f t="shared" ca="1" si="728"/>
        <v/>
      </c>
      <c r="IA374" s="450" t="str">
        <f t="shared" ca="1" si="711"/>
        <v/>
      </c>
      <c r="IB374" s="450" t="str">
        <f t="shared" ca="1" si="719"/>
        <v/>
      </c>
      <c r="IC374" s="450" t="str">
        <f t="shared" ca="1" si="719"/>
        <v/>
      </c>
      <c r="ID374" s="450" t="str">
        <f t="shared" ca="1" si="719"/>
        <v/>
      </c>
      <c r="IE374" s="450" t="str">
        <f t="shared" ca="1" si="719"/>
        <v/>
      </c>
      <c r="IF374" s="450" t="str">
        <f t="shared" ca="1" si="719"/>
        <v/>
      </c>
      <c r="IG374" s="450" t="str">
        <f t="shared" ca="1" si="719"/>
        <v/>
      </c>
      <c r="IH374" s="658" t="str">
        <f t="shared" ca="1" si="719"/>
        <v/>
      </c>
    </row>
    <row r="375" spans="9:242">
      <c r="I375" s="132"/>
      <c r="J375" s="365"/>
      <c r="K375" s="1"/>
      <c r="L375" s="1"/>
      <c r="M375" s="366"/>
      <c r="P375" s="365"/>
      <c r="S375" s="53"/>
      <c r="T375" s="365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364"/>
      <c r="AO375" s="364">
        <v>6.5842360375948997E-2</v>
      </c>
      <c r="AP375" s="103"/>
      <c r="AQ375" s="364">
        <v>5.5289018268486E-2</v>
      </c>
      <c r="AR375" s="103"/>
      <c r="AS375" s="103"/>
      <c r="AT375" s="103"/>
      <c r="AU375" s="31"/>
      <c r="AV375" s="31"/>
      <c r="AW375" s="31"/>
      <c r="AX375" s="31"/>
      <c r="AY375" s="146"/>
      <c r="AZ375" s="146"/>
      <c r="BA375" s="103"/>
      <c r="BB375" s="103"/>
      <c r="BC375" s="103"/>
      <c r="BD375" s="103"/>
      <c r="BE375" s="104"/>
      <c r="BF375" s="104"/>
      <c r="BG375" s="104"/>
      <c r="BH375" s="102"/>
      <c r="BI375" s="104"/>
      <c r="BJ375" s="103"/>
      <c r="BK375" s="105"/>
      <c r="BL375" s="151"/>
      <c r="BM375" s="103"/>
      <c r="BN375" s="103"/>
      <c r="BO375" s="103"/>
      <c r="BP375" s="103"/>
      <c r="BQ375" s="103"/>
      <c r="BR375" s="103"/>
      <c r="BS375" s="103"/>
      <c r="BT375" s="103"/>
      <c r="BU375" s="103"/>
      <c r="BV375" s="103"/>
      <c r="BW375" s="103"/>
      <c r="BX375" s="103"/>
      <c r="BY375" s="103"/>
      <c r="BZ375" s="104"/>
      <c r="CA375" s="104"/>
      <c r="CB375" s="104"/>
      <c r="CC375" s="104"/>
      <c r="CD375" s="104"/>
      <c r="CE375" s="104"/>
      <c r="CF375" s="103"/>
      <c r="CG375" s="103"/>
      <c r="CH375" s="103"/>
      <c r="CI375" s="103"/>
      <c r="CJ375" s="103"/>
      <c r="CK375" s="103"/>
      <c r="CL375" s="103"/>
      <c r="CM375" s="103"/>
      <c r="CN375" s="103"/>
      <c r="CO375" s="103"/>
      <c r="CP375" s="103"/>
      <c r="CQ375" s="103"/>
      <c r="CR375" s="103"/>
      <c r="CS375" s="103"/>
      <c r="CT375" s="103"/>
      <c r="CU375" s="103"/>
      <c r="CV375" s="103"/>
      <c r="CW375" s="103"/>
      <c r="CX375" s="103"/>
      <c r="CY375" s="103"/>
      <c r="CZ375" s="103"/>
      <c r="DA375" s="103"/>
      <c r="DB375" s="103"/>
      <c r="DC375" s="103"/>
      <c r="DD375" s="103"/>
      <c r="DE375" s="107"/>
      <c r="DF375" s="465"/>
      <c r="DG375" s="1"/>
      <c r="DH375" s="51"/>
      <c r="DI375" s="465"/>
      <c r="DJ375" s="52"/>
      <c r="DK375" s="52"/>
      <c r="DL375" s="52"/>
      <c r="DM375" s="52"/>
      <c r="DN375" s="52"/>
      <c r="DO375" s="52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P375" s="53"/>
      <c r="EQ375" s="1"/>
      <c r="ER375" s="103"/>
      <c r="ES375" s="103"/>
      <c r="ET375" s="1"/>
      <c r="EU375" s="103"/>
      <c r="EV375" s="1"/>
      <c r="EW375" s="1"/>
      <c r="EX375" s="1"/>
      <c r="EY375" s="104"/>
      <c r="FN375" s="657">
        <v>51</v>
      </c>
      <c r="FO375" s="450">
        <f t="shared" ref="FO375:HZ375" ca="1" si="729">IF(AND(ISNUMBER(FO70),ISNUMBER(FO$320),FO$320&lt;&gt;0),FO70*FO$320/FO$15,"")</f>
        <v>6.5802876738362123E-4</v>
      </c>
      <c r="FP375" s="450">
        <f t="shared" ca="1" si="729"/>
        <v>1.0696344703953686E-3</v>
      </c>
      <c r="FQ375" s="450" t="str">
        <f t="shared" ca="1" si="729"/>
        <v/>
      </c>
      <c r="FR375" s="450" t="str">
        <f t="shared" ca="1" si="729"/>
        <v/>
      </c>
      <c r="FS375" s="450" t="str">
        <f t="shared" ca="1" si="729"/>
        <v/>
      </c>
      <c r="FT375" s="450" t="str">
        <f t="shared" ca="1" si="729"/>
        <v/>
      </c>
      <c r="FU375" s="450" t="str">
        <f t="shared" ca="1" si="729"/>
        <v/>
      </c>
      <c r="FV375" s="450" t="str">
        <f t="shared" ca="1" si="729"/>
        <v/>
      </c>
      <c r="FW375" s="450" t="str">
        <f t="shared" ca="1" si="729"/>
        <v/>
      </c>
      <c r="FX375" s="450" t="str">
        <f t="shared" ca="1" si="729"/>
        <v/>
      </c>
      <c r="FY375" s="450" t="str">
        <f t="shared" ca="1" si="729"/>
        <v/>
      </c>
      <c r="FZ375" s="450" t="str">
        <f t="shared" ca="1" si="729"/>
        <v/>
      </c>
      <c r="GA375" s="450" t="str">
        <f t="shared" ca="1" si="729"/>
        <v/>
      </c>
      <c r="GB375" s="450" t="str">
        <f t="shared" ca="1" si="729"/>
        <v/>
      </c>
      <c r="GC375" s="450" t="str">
        <f t="shared" ca="1" si="729"/>
        <v/>
      </c>
      <c r="GD375" s="450" t="str">
        <f t="shared" ca="1" si="729"/>
        <v/>
      </c>
      <c r="GE375" s="450" t="str">
        <f t="shared" ca="1" si="729"/>
        <v/>
      </c>
      <c r="GF375" s="450" t="str">
        <f t="shared" ca="1" si="729"/>
        <v/>
      </c>
      <c r="GG375" s="450" t="str">
        <f t="shared" ca="1" si="729"/>
        <v/>
      </c>
      <c r="GH375" s="450" t="str">
        <f t="shared" ca="1" si="729"/>
        <v/>
      </c>
      <c r="GI375" s="450" t="str">
        <f t="shared" ca="1" si="729"/>
        <v/>
      </c>
      <c r="GJ375" s="450" t="str">
        <f t="shared" ca="1" si="729"/>
        <v/>
      </c>
      <c r="GK375" s="450" t="str">
        <f t="shared" ca="1" si="729"/>
        <v/>
      </c>
      <c r="GL375" s="450" t="str">
        <f t="shared" ca="1" si="729"/>
        <v/>
      </c>
      <c r="GM375" s="450" t="str">
        <f t="shared" ca="1" si="729"/>
        <v/>
      </c>
      <c r="GN375" s="450" t="str">
        <f t="shared" ca="1" si="729"/>
        <v/>
      </c>
      <c r="GO375" s="450" t="str">
        <f t="shared" ca="1" si="729"/>
        <v/>
      </c>
      <c r="GP375" s="450" t="str">
        <f t="shared" ca="1" si="729"/>
        <v/>
      </c>
      <c r="GQ375" s="450" t="str">
        <f t="shared" ca="1" si="729"/>
        <v/>
      </c>
      <c r="GR375" s="450" t="str">
        <f t="shared" ca="1" si="729"/>
        <v/>
      </c>
      <c r="GS375" s="450" t="str">
        <f t="shared" ca="1" si="729"/>
        <v/>
      </c>
      <c r="GT375" s="450" t="str">
        <f t="shared" ca="1" si="729"/>
        <v/>
      </c>
      <c r="GU375" s="450" t="str">
        <f t="shared" ca="1" si="729"/>
        <v/>
      </c>
      <c r="GV375" s="450" t="str">
        <f t="shared" ca="1" si="729"/>
        <v/>
      </c>
      <c r="GW375" s="450" t="str">
        <f t="shared" ca="1" si="729"/>
        <v/>
      </c>
      <c r="GX375" s="450" t="str">
        <f t="shared" ca="1" si="729"/>
        <v/>
      </c>
      <c r="GY375" s="450" t="str">
        <f t="shared" ca="1" si="729"/>
        <v/>
      </c>
      <c r="GZ375" s="450" t="str">
        <f t="shared" ca="1" si="729"/>
        <v/>
      </c>
      <c r="HA375" s="450" t="str">
        <f t="shared" ca="1" si="729"/>
        <v/>
      </c>
      <c r="HB375" s="450" t="str">
        <f t="shared" ca="1" si="729"/>
        <v/>
      </c>
      <c r="HC375" s="450" t="str">
        <f t="shared" ca="1" si="729"/>
        <v/>
      </c>
      <c r="HD375" s="450" t="str">
        <f t="shared" ca="1" si="729"/>
        <v/>
      </c>
      <c r="HE375" s="450" t="str">
        <f t="shared" ca="1" si="729"/>
        <v/>
      </c>
      <c r="HF375" s="450" t="str">
        <f t="shared" ca="1" si="729"/>
        <v/>
      </c>
      <c r="HG375" s="450" t="str">
        <f t="shared" ca="1" si="729"/>
        <v/>
      </c>
      <c r="HH375" s="450" t="str">
        <f t="shared" ca="1" si="729"/>
        <v/>
      </c>
      <c r="HI375" s="450" t="str">
        <f t="shared" ca="1" si="729"/>
        <v/>
      </c>
      <c r="HJ375" s="450" t="str">
        <f t="shared" ca="1" si="729"/>
        <v/>
      </c>
      <c r="HK375" s="450" t="str">
        <f t="shared" ca="1" si="729"/>
        <v/>
      </c>
      <c r="HL375" s="450" t="str">
        <f t="shared" ca="1" si="729"/>
        <v/>
      </c>
      <c r="HM375" s="450" t="str">
        <f t="shared" ca="1" si="729"/>
        <v/>
      </c>
      <c r="HN375" s="450" t="str">
        <f t="shared" ca="1" si="729"/>
        <v/>
      </c>
      <c r="HO375" s="450" t="str">
        <f t="shared" ca="1" si="729"/>
        <v/>
      </c>
      <c r="HP375" s="450" t="str">
        <f t="shared" ca="1" si="729"/>
        <v/>
      </c>
      <c r="HQ375" s="450" t="str">
        <f t="shared" ca="1" si="729"/>
        <v/>
      </c>
      <c r="HR375" s="450" t="str">
        <f t="shared" ca="1" si="729"/>
        <v/>
      </c>
      <c r="HS375" s="450" t="str">
        <f t="shared" ca="1" si="729"/>
        <v/>
      </c>
      <c r="HT375" s="450" t="str">
        <f t="shared" ca="1" si="729"/>
        <v/>
      </c>
      <c r="HU375" s="450" t="str">
        <f t="shared" ca="1" si="729"/>
        <v/>
      </c>
      <c r="HV375" s="450" t="str">
        <f t="shared" ca="1" si="729"/>
        <v/>
      </c>
      <c r="HW375" s="450" t="str">
        <f t="shared" ca="1" si="729"/>
        <v/>
      </c>
      <c r="HX375" s="450" t="str">
        <f t="shared" ca="1" si="729"/>
        <v/>
      </c>
      <c r="HY375" s="450" t="str">
        <f t="shared" ca="1" si="729"/>
        <v/>
      </c>
      <c r="HZ375" s="450" t="str">
        <f t="shared" ca="1" si="729"/>
        <v/>
      </c>
      <c r="IA375" s="450" t="str">
        <f t="shared" ca="1" si="711"/>
        <v/>
      </c>
      <c r="IB375" s="450" t="str">
        <f t="shared" ref="IB375:IH384" ca="1" si="730">IF(AND(ISNUMBER(IB70),ISNUMBER(IB$320),IB$320&lt;&gt;0),IB70*IB$320/IB$15,"")</f>
        <v/>
      </c>
      <c r="IC375" s="450" t="str">
        <f t="shared" ca="1" si="730"/>
        <v/>
      </c>
      <c r="ID375" s="450" t="str">
        <f t="shared" ca="1" si="730"/>
        <v/>
      </c>
      <c r="IE375" s="450" t="str">
        <f t="shared" ca="1" si="730"/>
        <v/>
      </c>
      <c r="IF375" s="450" t="str">
        <f t="shared" ca="1" si="730"/>
        <v/>
      </c>
      <c r="IG375" s="450" t="str">
        <f t="shared" ca="1" si="730"/>
        <v/>
      </c>
      <c r="IH375" s="658" t="str">
        <f t="shared" ca="1" si="730"/>
        <v/>
      </c>
    </row>
    <row r="376" spans="9:242">
      <c r="I376" s="132"/>
      <c r="J376" s="365"/>
      <c r="K376" s="1"/>
      <c r="L376" s="1"/>
      <c r="M376" s="366"/>
      <c r="P376" s="365"/>
      <c r="S376" s="53"/>
      <c r="T376" s="365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364"/>
      <c r="AO376" s="364">
        <v>6.5853008154775197E-2</v>
      </c>
      <c r="AP376" s="103"/>
      <c r="AQ376" s="364">
        <v>5.5249788460213396E-2</v>
      </c>
      <c r="AR376" s="103"/>
      <c r="AS376" s="103"/>
      <c r="AT376" s="103"/>
      <c r="AU376" s="31"/>
      <c r="AV376" s="31"/>
      <c r="AW376" s="31"/>
      <c r="AX376" s="31"/>
      <c r="AY376" s="146"/>
      <c r="AZ376" s="146"/>
      <c r="BA376" s="103"/>
      <c r="BB376" s="103"/>
      <c r="BC376" s="103"/>
      <c r="BD376" s="103"/>
      <c r="BE376" s="104"/>
      <c r="BF376" s="104"/>
      <c r="BG376" s="104"/>
      <c r="BH376" s="102"/>
      <c r="BI376" s="104"/>
      <c r="BJ376" s="103"/>
      <c r="BK376" s="105"/>
      <c r="BL376" s="151"/>
      <c r="BM376" s="103"/>
      <c r="BN376" s="103"/>
      <c r="BO376" s="103"/>
      <c r="BP376" s="103"/>
      <c r="BQ376" s="103"/>
      <c r="BR376" s="103"/>
      <c r="BS376" s="103"/>
      <c r="BT376" s="103"/>
      <c r="BU376" s="103"/>
      <c r="BV376" s="103"/>
      <c r="BW376" s="103"/>
      <c r="BX376" s="103"/>
      <c r="BY376" s="103"/>
      <c r="BZ376" s="104"/>
      <c r="CA376" s="104"/>
      <c r="CB376" s="104"/>
      <c r="CC376" s="104"/>
      <c r="CD376" s="104"/>
      <c r="CE376" s="104"/>
      <c r="CF376" s="103"/>
      <c r="CG376" s="103"/>
      <c r="CH376" s="103"/>
      <c r="CI376" s="103"/>
      <c r="CJ376" s="103"/>
      <c r="CK376" s="103"/>
      <c r="CL376" s="103"/>
      <c r="CM376" s="103"/>
      <c r="CN376" s="103"/>
      <c r="CO376" s="103"/>
      <c r="CP376" s="103"/>
      <c r="CQ376" s="103"/>
      <c r="CR376" s="103"/>
      <c r="CS376" s="103"/>
      <c r="CT376" s="103"/>
      <c r="CU376" s="103"/>
      <c r="CV376" s="103"/>
      <c r="CW376" s="103"/>
      <c r="CX376" s="103"/>
      <c r="CY376" s="103"/>
      <c r="CZ376" s="103"/>
      <c r="DA376" s="103"/>
      <c r="DB376" s="103"/>
      <c r="DC376" s="103"/>
      <c r="DD376" s="103"/>
      <c r="DE376" s="107"/>
      <c r="DF376" s="465"/>
      <c r="DG376" s="1"/>
      <c r="DH376" s="51"/>
      <c r="DI376" s="465"/>
      <c r="DJ376" s="52"/>
      <c r="DK376" s="52"/>
      <c r="DL376" s="52"/>
      <c r="DM376" s="52"/>
      <c r="DN376" s="52"/>
      <c r="DO376" s="52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P376" s="53"/>
      <c r="EQ376" s="1"/>
      <c r="ER376" s="103"/>
      <c r="ES376" s="103"/>
      <c r="ET376" s="1"/>
      <c r="EU376" s="103"/>
      <c r="EV376" s="1"/>
      <c r="EW376" s="1"/>
      <c r="EX376" s="1"/>
      <c r="EY376" s="104"/>
      <c r="FN376" s="657">
        <v>52</v>
      </c>
      <c r="FO376" s="450">
        <f t="shared" ref="FO376:HZ376" ca="1" si="731">IF(AND(ISNUMBER(FO71),ISNUMBER(FO$320),FO$320&lt;&gt;0),FO71*FO$320/FO$15,"")</f>
        <v>6.5749930427229689E-4</v>
      </c>
      <c r="FP376" s="450">
        <f t="shared" ca="1" si="731"/>
        <v>1.0686781934010306E-3</v>
      </c>
      <c r="FQ376" s="450" t="str">
        <f t="shared" ca="1" si="731"/>
        <v/>
      </c>
      <c r="FR376" s="450" t="str">
        <f t="shared" ca="1" si="731"/>
        <v/>
      </c>
      <c r="FS376" s="450" t="str">
        <f t="shared" ca="1" si="731"/>
        <v/>
      </c>
      <c r="FT376" s="450" t="str">
        <f t="shared" ca="1" si="731"/>
        <v/>
      </c>
      <c r="FU376" s="450" t="str">
        <f t="shared" ca="1" si="731"/>
        <v/>
      </c>
      <c r="FV376" s="450" t="str">
        <f t="shared" ca="1" si="731"/>
        <v/>
      </c>
      <c r="FW376" s="450" t="str">
        <f t="shared" ca="1" si="731"/>
        <v/>
      </c>
      <c r="FX376" s="450" t="str">
        <f t="shared" ca="1" si="731"/>
        <v/>
      </c>
      <c r="FY376" s="450" t="str">
        <f t="shared" ca="1" si="731"/>
        <v/>
      </c>
      <c r="FZ376" s="450" t="str">
        <f t="shared" ca="1" si="731"/>
        <v/>
      </c>
      <c r="GA376" s="450" t="str">
        <f t="shared" ca="1" si="731"/>
        <v/>
      </c>
      <c r="GB376" s="450" t="str">
        <f t="shared" ca="1" si="731"/>
        <v/>
      </c>
      <c r="GC376" s="450" t="str">
        <f t="shared" ca="1" si="731"/>
        <v/>
      </c>
      <c r="GD376" s="450" t="str">
        <f t="shared" ca="1" si="731"/>
        <v/>
      </c>
      <c r="GE376" s="450" t="str">
        <f t="shared" ca="1" si="731"/>
        <v/>
      </c>
      <c r="GF376" s="450" t="str">
        <f t="shared" ca="1" si="731"/>
        <v/>
      </c>
      <c r="GG376" s="450" t="str">
        <f t="shared" ca="1" si="731"/>
        <v/>
      </c>
      <c r="GH376" s="450" t="str">
        <f t="shared" ca="1" si="731"/>
        <v/>
      </c>
      <c r="GI376" s="450" t="str">
        <f t="shared" ca="1" si="731"/>
        <v/>
      </c>
      <c r="GJ376" s="450" t="str">
        <f t="shared" ca="1" si="731"/>
        <v/>
      </c>
      <c r="GK376" s="450" t="str">
        <f t="shared" ca="1" si="731"/>
        <v/>
      </c>
      <c r="GL376" s="450" t="str">
        <f t="shared" ca="1" si="731"/>
        <v/>
      </c>
      <c r="GM376" s="450" t="str">
        <f t="shared" ca="1" si="731"/>
        <v/>
      </c>
      <c r="GN376" s="450" t="str">
        <f t="shared" ca="1" si="731"/>
        <v/>
      </c>
      <c r="GO376" s="450" t="str">
        <f t="shared" ca="1" si="731"/>
        <v/>
      </c>
      <c r="GP376" s="450" t="str">
        <f t="shared" ca="1" si="731"/>
        <v/>
      </c>
      <c r="GQ376" s="450" t="str">
        <f t="shared" ca="1" si="731"/>
        <v/>
      </c>
      <c r="GR376" s="450" t="str">
        <f t="shared" ca="1" si="731"/>
        <v/>
      </c>
      <c r="GS376" s="450" t="str">
        <f t="shared" ca="1" si="731"/>
        <v/>
      </c>
      <c r="GT376" s="450" t="str">
        <f t="shared" ca="1" si="731"/>
        <v/>
      </c>
      <c r="GU376" s="450" t="str">
        <f t="shared" ca="1" si="731"/>
        <v/>
      </c>
      <c r="GV376" s="450" t="str">
        <f t="shared" ca="1" si="731"/>
        <v/>
      </c>
      <c r="GW376" s="450" t="str">
        <f t="shared" ca="1" si="731"/>
        <v/>
      </c>
      <c r="GX376" s="450" t="str">
        <f t="shared" ca="1" si="731"/>
        <v/>
      </c>
      <c r="GY376" s="450" t="str">
        <f t="shared" ca="1" si="731"/>
        <v/>
      </c>
      <c r="GZ376" s="450" t="str">
        <f t="shared" ca="1" si="731"/>
        <v/>
      </c>
      <c r="HA376" s="450" t="str">
        <f t="shared" ca="1" si="731"/>
        <v/>
      </c>
      <c r="HB376" s="450" t="str">
        <f t="shared" ca="1" si="731"/>
        <v/>
      </c>
      <c r="HC376" s="450" t="str">
        <f t="shared" ca="1" si="731"/>
        <v/>
      </c>
      <c r="HD376" s="450" t="str">
        <f t="shared" ca="1" si="731"/>
        <v/>
      </c>
      <c r="HE376" s="450" t="str">
        <f t="shared" ca="1" si="731"/>
        <v/>
      </c>
      <c r="HF376" s="450" t="str">
        <f t="shared" ca="1" si="731"/>
        <v/>
      </c>
      <c r="HG376" s="450" t="str">
        <f t="shared" ca="1" si="731"/>
        <v/>
      </c>
      <c r="HH376" s="450" t="str">
        <f t="shared" ca="1" si="731"/>
        <v/>
      </c>
      <c r="HI376" s="450" t="str">
        <f t="shared" ca="1" si="731"/>
        <v/>
      </c>
      <c r="HJ376" s="450" t="str">
        <f t="shared" ca="1" si="731"/>
        <v/>
      </c>
      <c r="HK376" s="450" t="str">
        <f t="shared" ca="1" si="731"/>
        <v/>
      </c>
      <c r="HL376" s="450" t="str">
        <f t="shared" ca="1" si="731"/>
        <v/>
      </c>
      <c r="HM376" s="450" t="str">
        <f t="shared" ca="1" si="731"/>
        <v/>
      </c>
      <c r="HN376" s="450" t="str">
        <f t="shared" ca="1" si="731"/>
        <v/>
      </c>
      <c r="HO376" s="450" t="str">
        <f t="shared" ca="1" si="731"/>
        <v/>
      </c>
      <c r="HP376" s="450" t="str">
        <f t="shared" ca="1" si="731"/>
        <v/>
      </c>
      <c r="HQ376" s="450" t="str">
        <f t="shared" ca="1" si="731"/>
        <v/>
      </c>
      <c r="HR376" s="450" t="str">
        <f t="shared" ca="1" si="731"/>
        <v/>
      </c>
      <c r="HS376" s="450" t="str">
        <f t="shared" ca="1" si="731"/>
        <v/>
      </c>
      <c r="HT376" s="450" t="str">
        <f t="shared" ca="1" si="731"/>
        <v/>
      </c>
      <c r="HU376" s="450" t="str">
        <f t="shared" ca="1" si="731"/>
        <v/>
      </c>
      <c r="HV376" s="450" t="str">
        <f t="shared" ca="1" si="731"/>
        <v/>
      </c>
      <c r="HW376" s="450" t="str">
        <f t="shared" ca="1" si="731"/>
        <v/>
      </c>
      <c r="HX376" s="450" t="str">
        <f t="shared" ca="1" si="731"/>
        <v/>
      </c>
      <c r="HY376" s="450" t="str">
        <f t="shared" ca="1" si="731"/>
        <v/>
      </c>
      <c r="HZ376" s="450" t="str">
        <f t="shared" ca="1" si="731"/>
        <v/>
      </c>
      <c r="IA376" s="450" t="str">
        <f t="shared" ca="1" si="711"/>
        <v/>
      </c>
      <c r="IB376" s="450" t="str">
        <f t="shared" ca="1" si="730"/>
        <v/>
      </c>
      <c r="IC376" s="450" t="str">
        <f t="shared" ca="1" si="730"/>
        <v/>
      </c>
      <c r="ID376" s="450" t="str">
        <f t="shared" ca="1" si="730"/>
        <v/>
      </c>
      <c r="IE376" s="450" t="str">
        <f t="shared" ca="1" si="730"/>
        <v/>
      </c>
      <c r="IF376" s="450" t="str">
        <f t="shared" ca="1" si="730"/>
        <v/>
      </c>
      <c r="IG376" s="450" t="str">
        <f t="shared" ca="1" si="730"/>
        <v/>
      </c>
      <c r="IH376" s="658" t="str">
        <f t="shared" ca="1" si="730"/>
        <v/>
      </c>
    </row>
    <row r="377" spans="9:242">
      <c r="I377" s="132"/>
      <c r="J377" s="365"/>
      <c r="K377" s="1"/>
      <c r="L377" s="1"/>
      <c r="M377" s="366"/>
      <c r="P377" s="365"/>
      <c r="S377" s="53"/>
      <c r="T377" s="365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364"/>
      <c r="AO377" s="364">
        <v>6.5863655933639589E-2</v>
      </c>
      <c r="AP377" s="103"/>
      <c r="AQ377" s="364">
        <v>5.5210558662703905E-2</v>
      </c>
      <c r="AR377" s="103"/>
      <c r="AS377" s="103"/>
      <c r="AT377" s="103"/>
      <c r="AU377" s="31"/>
      <c r="AV377" s="31"/>
      <c r="AW377" s="31"/>
      <c r="AX377" s="31"/>
      <c r="AY377" s="146"/>
      <c r="AZ377" s="146"/>
      <c r="BA377" s="103"/>
      <c r="BB377" s="103"/>
      <c r="BC377" s="103"/>
      <c r="BD377" s="103"/>
      <c r="BE377" s="104"/>
      <c r="BF377" s="104"/>
      <c r="BG377" s="104"/>
      <c r="BH377" s="102"/>
      <c r="BI377" s="104"/>
      <c r="BJ377" s="103"/>
      <c r="BK377" s="105"/>
      <c r="BL377" s="151"/>
      <c r="BM377" s="103"/>
      <c r="BN377" s="103"/>
      <c r="BO377" s="103"/>
      <c r="BP377" s="103"/>
      <c r="BQ377" s="103"/>
      <c r="BR377" s="103"/>
      <c r="BS377" s="103"/>
      <c r="BT377" s="103"/>
      <c r="BU377" s="103"/>
      <c r="BV377" s="103"/>
      <c r="BW377" s="103"/>
      <c r="BX377" s="103"/>
      <c r="BY377" s="103"/>
      <c r="BZ377" s="104"/>
      <c r="CA377" s="104"/>
      <c r="CB377" s="104"/>
      <c r="CC377" s="104"/>
      <c r="CD377" s="104"/>
      <c r="CE377" s="104"/>
      <c r="CF377" s="103"/>
      <c r="CG377" s="103"/>
      <c r="CH377" s="103"/>
      <c r="CI377" s="103"/>
      <c r="CJ377" s="103"/>
      <c r="CK377" s="103"/>
      <c r="CL377" s="103"/>
      <c r="CM377" s="103"/>
      <c r="CN377" s="103"/>
      <c r="CO377" s="103"/>
      <c r="CP377" s="103"/>
      <c r="CQ377" s="103"/>
      <c r="CR377" s="103"/>
      <c r="CS377" s="103"/>
      <c r="CT377" s="103"/>
      <c r="CU377" s="103"/>
      <c r="CV377" s="103"/>
      <c r="CW377" s="103"/>
      <c r="CX377" s="103"/>
      <c r="CY377" s="103"/>
      <c r="CZ377" s="103"/>
      <c r="DA377" s="103"/>
      <c r="DB377" s="103"/>
      <c r="DC377" s="103"/>
      <c r="DD377" s="103"/>
      <c r="DE377" s="107"/>
      <c r="DF377" s="465"/>
      <c r="DG377" s="1"/>
      <c r="DH377" s="51"/>
      <c r="DI377" s="465"/>
      <c r="DJ377" s="52"/>
      <c r="DK377" s="52"/>
      <c r="DL377" s="52"/>
      <c r="DM377" s="52"/>
      <c r="DN377" s="52"/>
      <c r="DO377" s="52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P377" s="53"/>
      <c r="EQ377" s="1"/>
      <c r="ER377" s="103"/>
      <c r="ES377" s="103"/>
      <c r="ET377" s="1"/>
      <c r="EU377" s="103"/>
      <c r="EV377" s="1"/>
      <c r="EW377" s="1"/>
      <c r="EX377" s="1"/>
      <c r="EY377" s="104"/>
      <c r="FN377" s="657">
        <v>53</v>
      </c>
      <c r="FO377" s="450">
        <f t="shared" ref="FO377:HZ377" ca="1" si="732">IF(AND(ISNUMBER(FO72),ISNUMBER(FO$320),FO$320&lt;&gt;0),FO72*FO$320/FO$15,"")</f>
        <v>6.5702317088705599E-4</v>
      </c>
      <c r="FP377" s="450">
        <f t="shared" ca="1" si="732"/>
        <v>1.0678183135457283E-3</v>
      </c>
      <c r="FQ377" s="450" t="str">
        <f t="shared" ca="1" si="732"/>
        <v/>
      </c>
      <c r="FR377" s="450" t="str">
        <f t="shared" ca="1" si="732"/>
        <v/>
      </c>
      <c r="FS377" s="450" t="str">
        <f t="shared" ca="1" si="732"/>
        <v/>
      </c>
      <c r="FT377" s="450" t="str">
        <f t="shared" ca="1" si="732"/>
        <v/>
      </c>
      <c r="FU377" s="450" t="str">
        <f t="shared" ca="1" si="732"/>
        <v/>
      </c>
      <c r="FV377" s="450" t="str">
        <f t="shared" ca="1" si="732"/>
        <v/>
      </c>
      <c r="FW377" s="450" t="str">
        <f t="shared" ca="1" si="732"/>
        <v/>
      </c>
      <c r="FX377" s="450" t="str">
        <f t="shared" ca="1" si="732"/>
        <v/>
      </c>
      <c r="FY377" s="450" t="str">
        <f t="shared" ca="1" si="732"/>
        <v/>
      </c>
      <c r="FZ377" s="450" t="str">
        <f t="shared" ca="1" si="732"/>
        <v/>
      </c>
      <c r="GA377" s="450" t="str">
        <f t="shared" ca="1" si="732"/>
        <v/>
      </c>
      <c r="GB377" s="450" t="str">
        <f t="shared" ca="1" si="732"/>
        <v/>
      </c>
      <c r="GC377" s="450" t="str">
        <f t="shared" ca="1" si="732"/>
        <v/>
      </c>
      <c r="GD377" s="450" t="str">
        <f t="shared" ca="1" si="732"/>
        <v/>
      </c>
      <c r="GE377" s="450" t="str">
        <f t="shared" ca="1" si="732"/>
        <v/>
      </c>
      <c r="GF377" s="450" t="str">
        <f t="shared" ca="1" si="732"/>
        <v/>
      </c>
      <c r="GG377" s="450" t="str">
        <f t="shared" ca="1" si="732"/>
        <v/>
      </c>
      <c r="GH377" s="450" t="str">
        <f t="shared" ca="1" si="732"/>
        <v/>
      </c>
      <c r="GI377" s="450" t="str">
        <f t="shared" ca="1" si="732"/>
        <v/>
      </c>
      <c r="GJ377" s="450" t="str">
        <f t="shared" ca="1" si="732"/>
        <v/>
      </c>
      <c r="GK377" s="450" t="str">
        <f t="shared" ca="1" si="732"/>
        <v/>
      </c>
      <c r="GL377" s="450" t="str">
        <f t="shared" ca="1" si="732"/>
        <v/>
      </c>
      <c r="GM377" s="450" t="str">
        <f t="shared" ca="1" si="732"/>
        <v/>
      </c>
      <c r="GN377" s="450" t="str">
        <f t="shared" ca="1" si="732"/>
        <v/>
      </c>
      <c r="GO377" s="450" t="str">
        <f t="shared" ca="1" si="732"/>
        <v/>
      </c>
      <c r="GP377" s="450" t="str">
        <f t="shared" ca="1" si="732"/>
        <v/>
      </c>
      <c r="GQ377" s="450" t="str">
        <f t="shared" ca="1" si="732"/>
        <v/>
      </c>
      <c r="GR377" s="450" t="str">
        <f t="shared" ca="1" si="732"/>
        <v/>
      </c>
      <c r="GS377" s="450" t="str">
        <f t="shared" ca="1" si="732"/>
        <v/>
      </c>
      <c r="GT377" s="450" t="str">
        <f t="shared" ca="1" si="732"/>
        <v/>
      </c>
      <c r="GU377" s="450" t="str">
        <f t="shared" ca="1" si="732"/>
        <v/>
      </c>
      <c r="GV377" s="450" t="str">
        <f t="shared" ca="1" si="732"/>
        <v/>
      </c>
      <c r="GW377" s="450" t="str">
        <f t="shared" ca="1" si="732"/>
        <v/>
      </c>
      <c r="GX377" s="450" t="str">
        <f t="shared" ca="1" si="732"/>
        <v/>
      </c>
      <c r="GY377" s="450" t="str">
        <f t="shared" ca="1" si="732"/>
        <v/>
      </c>
      <c r="GZ377" s="450" t="str">
        <f t="shared" ca="1" si="732"/>
        <v/>
      </c>
      <c r="HA377" s="450" t="str">
        <f t="shared" ca="1" si="732"/>
        <v/>
      </c>
      <c r="HB377" s="450" t="str">
        <f t="shared" ca="1" si="732"/>
        <v/>
      </c>
      <c r="HC377" s="450" t="str">
        <f t="shared" ca="1" si="732"/>
        <v/>
      </c>
      <c r="HD377" s="450" t="str">
        <f t="shared" ca="1" si="732"/>
        <v/>
      </c>
      <c r="HE377" s="450" t="str">
        <f t="shared" ca="1" si="732"/>
        <v/>
      </c>
      <c r="HF377" s="450" t="str">
        <f t="shared" ca="1" si="732"/>
        <v/>
      </c>
      <c r="HG377" s="450" t="str">
        <f t="shared" ca="1" si="732"/>
        <v/>
      </c>
      <c r="HH377" s="450" t="str">
        <f t="shared" ca="1" si="732"/>
        <v/>
      </c>
      <c r="HI377" s="450" t="str">
        <f t="shared" ca="1" si="732"/>
        <v/>
      </c>
      <c r="HJ377" s="450" t="str">
        <f t="shared" ca="1" si="732"/>
        <v/>
      </c>
      <c r="HK377" s="450" t="str">
        <f t="shared" ca="1" si="732"/>
        <v/>
      </c>
      <c r="HL377" s="450" t="str">
        <f t="shared" ca="1" si="732"/>
        <v/>
      </c>
      <c r="HM377" s="450" t="str">
        <f t="shared" ca="1" si="732"/>
        <v/>
      </c>
      <c r="HN377" s="450" t="str">
        <f t="shared" ca="1" si="732"/>
        <v/>
      </c>
      <c r="HO377" s="450" t="str">
        <f t="shared" ca="1" si="732"/>
        <v/>
      </c>
      <c r="HP377" s="450" t="str">
        <f t="shared" ca="1" si="732"/>
        <v/>
      </c>
      <c r="HQ377" s="450" t="str">
        <f t="shared" ca="1" si="732"/>
        <v/>
      </c>
      <c r="HR377" s="450" t="str">
        <f t="shared" ca="1" si="732"/>
        <v/>
      </c>
      <c r="HS377" s="450" t="str">
        <f t="shared" ca="1" si="732"/>
        <v/>
      </c>
      <c r="HT377" s="450" t="str">
        <f t="shared" ca="1" si="732"/>
        <v/>
      </c>
      <c r="HU377" s="450" t="str">
        <f t="shared" ca="1" si="732"/>
        <v/>
      </c>
      <c r="HV377" s="450" t="str">
        <f t="shared" ca="1" si="732"/>
        <v/>
      </c>
      <c r="HW377" s="450" t="str">
        <f t="shared" ca="1" si="732"/>
        <v/>
      </c>
      <c r="HX377" s="450" t="str">
        <f t="shared" ca="1" si="732"/>
        <v/>
      </c>
      <c r="HY377" s="450" t="str">
        <f t="shared" ca="1" si="732"/>
        <v/>
      </c>
      <c r="HZ377" s="450" t="str">
        <f t="shared" ca="1" si="732"/>
        <v/>
      </c>
      <c r="IA377" s="450" t="str">
        <f t="shared" ca="1" si="711"/>
        <v/>
      </c>
      <c r="IB377" s="450" t="str">
        <f t="shared" ca="1" si="730"/>
        <v/>
      </c>
      <c r="IC377" s="450" t="str">
        <f t="shared" ca="1" si="730"/>
        <v/>
      </c>
      <c r="ID377" s="450" t="str">
        <f t="shared" ca="1" si="730"/>
        <v/>
      </c>
      <c r="IE377" s="450" t="str">
        <f t="shared" ca="1" si="730"/>
        <v/>
      </c>
      <c r="IF377" s="450" t="str">
        <f t="shared" ca="1" si="730"/>
        <v/>
      </c>
      <c r="IG377" s="450" t="str">
        <f t="shared" ca="1" si="730"/>
        <v/>
      </c>
      <c r="IH377" s="658" t="str">
        <f t="shared" ca="1" si="730"/>
        <v/>
      </c>
    </row>
    <row r="378" spans="9:242">
      <c r="I378" s="132"/>
      <c r="J378" s="365"/>
      <c r="K378" s="1"/>
      <c r="L378" s="1"/>
      <c r="M378" s="366"/>
      <c r="P378" s="365"/>
      <c r="S378" s="53"/>
      <c r="T378" s="365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364"/>
      <c r="AO378" s="364">
        <v>6.58732732823233E-2</v>
      </c>
      <c r="AP378" s="103"/>
      <c r="AQ378" s="364"/>
      <c r="AR378" s="103"/>
      <c r="AS378" s="103"/>
      <c r="AT378" s="103"/>
      <c r="AU378" s="31"/>
      <c r="AV378" s="31"/>
      <c r="AW378" s="31"/>
      <c r="AX378" s="31"/>
      <c r="AY378" s="146"/>
      <c r="AZ378" s="146"/>
      <c r="BA378" s="103"/>
      <c r="BB378" s="103"/>
      <c r="BC378" s="103"/>
      <c r="BD378" s="103"/>
      <c r="BE378" s="104"/>
      <c r="BF378" s="104"/>
      <c r="BG378" s="104"/>
      <c r="BH378" s="102"/>
      <c r="BI378" s="104"/>
      <c r="BJ378" s="103"/>
      <c r="BK378" s="105"/>
      <c r="BL378" s="151"/>
      <c r="BM378" s="103"/>
      <c r="BN378" s="103"/>
      <c r="BO378" s="103"/>
      <c r="BP378" s="103"/>
      <c r="BQ378" s="103"/>
      <c r="BR378" s="103"/>
      <c r="BS378" s="103"/>
      <c r="BT378" s="103"/>
      <c r="BU378" s="103"/>
      <c r="BV378" s="103"/>
      <c r="BW378" s="103"/>
      <c r="BX378" s="103"/>
      <c r="BY378" s="103"/>
      <c r="BZ378" s="104"/>
      <c r="CA378" s="104"/>
      <c r="CB378" s="104"/>
      <c r="CC378" s="104"/>
      <c r="CD378" s="104"/>
      <c r="CE378" s="104"/>
      <c r="CF378" s="103"/>
      <c r="CG378" s="103"/>
      <c r="CH378" s="103"/>
      <c r="CI378" s="103"/>
      <c r="CJ378" s="103"/>
      <c r="CK378" s="103"/>
      <c r="CL378" s="103"/>
      <c r="CM378" s="103"/>
      <c r="CN378" s="103"/>
      <c r="CO378" s="103"/>
      <c r="CP378" s="103"/>
      <c r="CQ378" s="103"/>
      <c r="CR378" s="103"/>
      <c r="CS378" s="103"/>
      <c r="CT378" s="103"/>
      <c r="CU378" s="103"/>
      <c r="CV378" s="103"/>
      <c r="CW378" s="103"/>
      <c r="CX378" s="103"/>
      <c r="CY378" s="103"/>
      <c r="CZ378" s="103"/>
      <c r="DA378" s="103"/>
      <c r="DB378" s="103"/>
      <c r="DC378" s="103"/>
      <c r="DD378" s="103"/>
      <c r="DE378" s="107"/>
      <c r="DF378" s="465"/>
      <c r="DG378" s="1"/>
      <c r="DH378" s="51"/>
      <c r="DI378" s="465"/>
      <c r="DJ378" s="52"/>
      <c r="DK378" s="52"/>
      <c r="DL378" s="52"/>
      <c r="DM378" s="52"/>
      <c r="DN378" s="52"/>
      <c r="DO378" s="52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P378" s="53"/>
      <c r="EQ378" s="1"/>
      <c r="ER378" s="103"/>
      <c r="ES378" s="103"/>
      <c r="ET378" s="1"/>
      <c r="EU378" s="103"/>
      <c r="EV378" s="1"/>
      <c r="EW378" s="1"/>
      <c r="EX378" s="1"/>
      <c r="EY378" s="104"/>
      <c r="FN378" s="657">
        <v>54</v>
      </c>
      <c r="FO378" s="450">
        <f t="shared" ref="FO378:HZ378" ca="1" si="733">IF(AND(ISNUMBER(FO73),ISNUMBER(FO$320),FO$320&lt;&gt;0),FO73*FO$320/FO$15,"")</f>
        <v>6.5659496115656182E-4</v>
      </c>
      <c r="FP378" s="450">
        <f t="shared" ca="1" si="733"/>
        <v>1.0670450443648379E-3</v>
      </c>
      <c r="FQ378" s="450" t="str">
        <f t="shared" ca="1" si="733"/>
        <v/>
      </c>
      <c r="FR378" s="450" t="str">
        <f t="shared" ca="1" si="733"/>
        <v/>
      </c>
      <c r="FS378" s="450" t="str">
        <f t="shared" ca="1" si="733"/>
        <v/>
      </c>
      <c r="FT378" s="450" t="str">
        <f t="shared" ca="1" si="733"/>
        <v/>
      </c>
      <c r="FU378" s="450" t="str">
        <f t="shared" ca="1" si="733"/>
        <v/>
      </c>
      <c r="FV378" s="450" t="str">
        <f t="shared" ca="1" si="733"/>
        <v/>
      </c>
      <c r="FW378" s="450" t="str">
        <f t="shared" ca="1" si="733"/>
        <v/>
      </c>
      <c r="FX378" s="450" t="str">
        <f t="shared" ca="1" si="733"/>
        <v/>
      </c>
      <c r="FY378" s="450" t="str">
        <f t="shared" ca="1" si="733"/>
        <v/>
      </c>
      <c r="FZ378" s="450" t="str">
        <f t="shared" ca="1" si="733"/>
        <v/>
      </c>
      <c r="GA378" s="450" t="str">
        <f t="shared" ca="1" si="733"/>
        <v/>
      </c>
      <c r="GB378" s="450" t="str">
        <f t="shared" ca="1" si="733"/>
        <v/>
      </c>
      <c r="GC378" s="450" t="str">
        <f t="shared" ca="1" si="733"/>
        <v/>
      </c>
      <c r="GD378" s="450" t="str">
        <f t="shared" ca="1" si="733"/>
        <v/>
      </c>
      <c r="GE378" s="450" t="str">
        <f t="shared" ca="1" si="733"/>
        <v/>
      </c>
      <c r="GF378" s="450" t="str">
        <f t="shared" ca="1" si="733"/>
        <v/>
      </c>
      <c r="GG378" s="450" t="str">
        <f t="shared" ca="1" si="733"/>
        <v/>
      </c>
      <c r="GH378" s="450" t="str">
        <f t="shared" ca="1" si="733"/>
        <v/>
      </c>
      <c r="GI378" s="450" t="str">
        <f t="shared" ca="1" si="733"/>
        <v/>
      </c>
      <c r="GJ378" s="450" t="str">
        <f t="shared" ca="1" si="733"/>
        <v/>
      </c>
      <c r="GK378" s="450" t="str">
        <f t="shared" ca="1" si="733"/>
        <v/>
      </c>
      <c r="GL378" s="450" t="str">
        <f t="shared" ca="1" si="733"/>
        <v/>
      </c>
      <c r="GM378" s="450" t="str">
        <f t="shared" ca="1" si="733"/>
        <v/>
      </c>
      <c r="GN378" s="450" t="str">
        <f t="shared" ca="1" si="733"/>
        <v/>
      </c>
      <c r="GO378" s="450" t="str">
        <f t="shared" ca="1" si="733"/>
        <v/>
      </c>
      <c r="GP378" s="450" t="str">
        <f t="shared" ca="1" si="733"/>
        <v/>
      </c>
      <c r="GQ378" s="450" t="str">
        <f t="shared" ca="1" si="733"/>
        <v/>
      </c>
      <c r="GR378" s="450" t="str">
        <f t="shared" ca="1" si="733"/>
        <v/>
      </c>
      <c r="GS378" s="450" t="str">
        <f t="shared" ca="1" si="733"/>
        <v/>
      </c>
      <c r="GT378" s="450" t="str">
        <f t="shared" ca="1" si="733"/>
        <v/>
      </c>
      <c r="GU378" s="450" t="str">
        <f t="shared" ca="1" si="733"/>
        <v/>
      </c>
      <c r="GV378" s="450" t="str">
        <f t="shared" ca="1" si="733"/>
        <v/>
      </c>
      <c r="GW378" s="450" t="str">
        <f t="shared" ca="1" si="733"/>
        <v/>
      </c>
      <c r="GX378" s="450" t="str">
        <f t="shared" ca="1" si="733"/>
        <v/>
      </c>
      <c r="GY378" s="450" t="str">
        <f t="shared" ca="1" si="733"/>
        <v/>
      </c>
      <c r="GZ378" s="450" t="str">
        <f t="shared" ca="1" si="733"/>
        <v/>
      </c>
      <c r="HA378" s="450" t="str">
        <f t="shared" ca="1" si="733"/>
        <v/>
      </c>
      <c r="HB378" s="450" t="str">
        <f t="shared" ca="1" si="733"/>
        <v/>
      </c>
      <c r="HC378" s="450" t="str">
        <f t="shared" ca="1" si="733"/>
        <v/>
      </c>
      <c r="HD378" s="450" t="str">
        <f t="shared" ca="1" si="733"/>
        <v/>
      </c>
      <c r="HE378" s="450" t="str">
        <f t="shared" ca="1" si="733"/>
        <v/>
      </c>
      <c r="HF378" s="450" t="str">
        <f t="shared" ca="1" si="733"/>
        <v/>
      </c>
      <c r="HG378" s="450" t="str">
        <f t="shared" ca="1" si="733"/>
        <v/>
      </c>
      <c r="HH378" s="450" t="str">
        <f t="shared" ca="1" si="733"/>
        <v/>
      </c>
      <c r="HI378" s="450" t="str">
        <f t="shared" ca="1" si="733"/>
        <v/>
      </c>
      <c r="HJ378" s="450" t="str">
        <f t="shared" ca="1" si="733"/>
        <v/>
      </c>
      <c r="HK378" s="450" t="str">
        <f t="shared" ca="1" si="733"/>
        <v/>
      </c>
      <c r="HL378" s="450" t="str">
        <f t="shared" ca="1" si="733"/>
        <v/>
      </c>
      <c r="HM378" s="450" t="str">
        <f t="shared" ca="1" si="733"/>
        <v/>
      </c>
      <c r="HN378" s="450" t="str">
        <f t="shared" ca="1" si="733"/>
        <v/>
      </c>
      <c r="HO378" s="450" t="str">
        <f t="shared" ca="1" si="733"/>
        <v/>
      </c>
      <c r="HP378" s="450" t="str">
        <f t="shared" ca="1" si="733"/>
        <v/>
      </c>
      <c r="HQ378" s="450" t="str">
        <f t="shared" ca="1" si="733"/>
        <v/>
      </c>
      <c r="HR378" s="450" t="str">
        <f t="shared" ca="1" si="733"/>
        <v/>
      </c>
      <c r="HS378" s="450" t="str">
        <f t="shared" ca="1" si="733"/>
        <v/>
      </c>
      <c r="HT378" s="450" t="str">
        <f t="shared" ca="1" si="733"/>
        <v/>
      </c>
      <c r="HU378" s="450" t="str">
        <f t="shared" ca="1" si="733"/>
        <v/>
      </c>
      <c r="HV378" s="450" t="str">
        <f t="shared" ca="1" si="733"/>
        <v/>
      </c>
      <c r="HW378" s="450" t="str">
        <f t="shared" ca="1" si="733"/>
        <v/>
      </c>
      <c r="HX378" s="450" t="str">
        <f t="shared" ca="1" si="733"/>
        <v/>
      </c>
      <c r="HY378" s="450" t="str">
        <f t="shared" ca="1" si="733"/>
        <v/>
      </c>
      <c r="HZ378" s="450" t="str">
        <f t="shared" ca="1" si="733"/>
        <v/>
      </c>
      <c r="IA378" s="450" t="str">
        <f t="shared" ca="1" si="711"/>
        <v/>
      </c>
      <c r="IB378" s="450" t="str">
        <f t="shared" ca="1" si="730"/>
        <v/>
      </c>
      <c r="IC378" s="450" t="str">
        <f t="shared" ca="1" si="730"/>
        <v/>
      </c>
      <c r="ID378" s="450" t="str">
        <f t="shared" ca="1" si="730"/>
        <v/>
      </c>
      <c r="IE378" s="450" t="str">
        <f t="shared" ca="1" si="730"/>
        <v/>
      </c>
      <c r="IF378" s="450" t="str">
        <f t="shared" ca="1" si="730"/>
        <v/>
      </c>
      <c r="IG378" s="450" t="str">
        <f t="shared" ca="1" si="730"/>
        <v/>
      </c>
      <c r="IH378" s="658" t="str">
        <f t="shared" ca="1" si="730"/>
        <v/>
      </c>
    </row>
    <row r="379" spans="9:242">
      <c r="I379" s="132"/>
      <c r="J379" s="365"/>
      <c r="K379" s="1"/>
      <c r="L379" s="1"/>
      <c r="M379" s="366"/>
      <c r="P379" s="365"/>
      <c r="S379" s="53"/>
      <c r="T379" s="365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364"/>
      <c r="AO379" s="364">
        <v>6.5883921061258705E-2</v>
      </c>
      <c r="AP379" s="103"/>
      <c r="AQ379" s="364"/>
      <c r="AR379" s="103"/>
      <c r="AS379" s="103"/>
      <c r="AT379" s="103"/>
      <c r="AU379" s="31"/>
      <c r="AV379" s="31"/>
      <c r="AW379" s="31"/>
      <c r="AX379" s="31"/>
      <c r="AY379" s="146"/>
      <c r="AZ379" s="146"/>
      <c r="BA379" s="103"/>
      <c r="BB379" s="103"/>
      <c r="BC379" s="103"/>
      <c r="BD379" s="103"/>
      <c r="BE379" s="104"/>
      <c r="BF379" s="104"/>
      <c r="BG379" s="104"/>
      <c r="BH379" s="102"/>
      <c r="BI379" s="104"/>
      <c r="BJ379" s="103"/>
      <c r="BK379" s="105"/>
      <c r="BL379" s="151"/>
      <c r="BM379" s="103"/>
      <c r="BN379" s="103"/>
      <c r="BO379" s="103"/>
      <c r="BP379" s="103"/>
      <c r="BQ379" s="103"/>
      <c r="BR379" s="103"/>
      <c r="BS379" s="103"/>
      <c r="BT379" s="103"/>
      <c r="BU379" s="103"/>
      <c r="BV379" s="103"/>
      <c r="BW379" s="103"/>
      <c r="BX379" s="103"/>
      <c r="BY379" s="103"/>
      <c r="BZ379" s="104"/>
      <c r="CA379" s="104"/>
      <c r="CB379" s="104"/>
      <c r="CC379" s="104"/>
      <c r="CD379" s="104"/>
      <c r="CE379" s="104"/>
      <c r="CF379" s="103"/>
      <c r="CG379" s="103"/>
      <c r="CH379" s="103"/>
      <c r="CI379" s="103"/>
      <c r="CJ379" s="103"/>
      <c r="CK379" s="103"/>
      <c r="CL379" s="103"/>
      <c r="CM379" s="103"/>
      <c r="CN379" s="103"/>
      <c r="CO379" s="103"/>
      <c r="CP379" s="103"/>
      <c r="CQ379" s="103"/>
      <c r="CR379" s="103"/>
      <c r="CS379" s="103"/>
      <c r="CT379" s="103"/>
      <c r="CU379" s="103"/>
      <c r="CV379" s="103"/>
      <c r="CW379" s="103"/>
      <c r="CX379" s="103"/>
      <c r="CY379" s="103"/>
      <c r="CZ379" s="103"/>
      <c r="DA379" s="103"/>
      <c r="DB379" s="103"/>
      <c r="DC379" s="103"/>
      <c r="DD379" s="103"/>
      <c r="DE379" s="107"/>
      <c r="DF379" s="465"/>
      <c r="DG379" s="1"/>
      <c r="DH379" s="51"/>
      <c r="DI379" s="465"/>
      <c r="DJ379" s="52"/>
      <c r="DK379" s="52"/>
      <c r="DL379" s="52"/>
      <c r="DM379" s="52"/>
      <c r="DN379" s="52"/>
      <c r="DO379" s="52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P379" s="53"/>
      <c r="EQ379" s="1"/>
      <c r="ER379" s="103"/>
      <c r="ES379" s="103"/>
      <c r="ET379" s="1"/>
      <c r="EU379" s="103"/>
      <c r="EV379" s="1"/>
      <c r="EW379" s="1"/>
      <c r="EX379" s="1"/>
      <c r="EY379" s="104"/>
      <c r="FN379" s="657">
        <v>55</v>
      </c>
      <c r="FO379" s="450">
        <f t="shared" ref="FO379:HZ379" ca="1" si="734">IF(AND(ISNUMBER(FO74),ISNUMBER(FO$320),FO$320&lt;&gt;0),FO74*FO$320/FO$15,"")</f>
        <v>6.562098235732358E-4</v>
      </c>
      <c r="FP379" s="450">
        <f t="shared" ca="1" si="734"/>
        <v>1.0663496060741981E-3</v>
      </c>
      <c r="FQ379" s="450" t="str">
        <f t="shared" ca="1" si="734"/>
        <v/>
      </c>
      <c r="FR379" s="450" t="str">
        <f t="shared" ca="1" si="734"/>
        <v/>
      </c>
      <c r="FS379" s="450" t="str">
        <f t="shared" ca="1" si="734"/>
        <v/>
      </c>
      <c r="FT379" s="450" t="str">
        <f t="shared" ca="1" si="734"/>
        <v/>
      </c>
      <c r="FU379" s="450" t="str">
        <f t="shared" ca="1" si="734"/>
        <v/>
      </c>
      <c r="FV379" s="450" t="str">
        <f t="shared" ca="1" si="734"/>
        <v/>
      </c>
      <c r="FW379" s="450" t="str">
        <f t="shared" ca="1" si="734"/>
        <v/>
      </c>
      <c r="FX379" s="450" t="str">
        <f t="shared" ca="1" si="734"/>
        <v/>
      </c>
      <c r="FY379" s="450" t="str">
        <f t="shared" ca="1" si="734"/>
        <v/>
      </c>
      <c r="FZ379" s="450" t="str">
        <f t="shared" ca="1" si="734"/>
        <v/>
      </c>
      <c r="GA379" s="450" t="str">
        <f t="shared" ca="1" si="734"/>
        <v/>
      </c>
      <c r="GB379" s="450" t="str">
        <f t="shared" ca="1" si="734"/>
        <v/>
      </c>
      <c r="GC379" s="450" t="str">
        <f t="shared" ca="1" si="734"/>
        <v/>
      </c>
      <c r="GD379" s="450" t="str">
        <f t="shared" ca="1" si="734"/>
        <v/>
      </c>
      <c r="GE379" s="450" t="str">
        <f t="shared" ca="1" si="734"/>
        <v/>
      </c>
      <c r="GF379" s="450" t="str">
        <f t="shared" ca="1" si="734"/>
        <v/>
      </c>
      <c r="GG379" s="450" t="str">
        <f t="shared" ca="1" si="734"/>
        <v/>
      </c>
      <c r="GH379" s="450" t="str">
        <f t="shared" ca="1" si="734"/>
        <v/>
      </c>
      <c r="GI379" s="450" t="str">
        <f t="shared" ca="1" si="734"/>
        <v/>
      </c>
      <c r="GJ379" s="450" t="str">
        <f t="shared" ca="1" si="734"/>
        <v/>
      </c>
      <c r="GK379" s="450" t="str">
        <f t="shared" ca="1" si="734"/>
        <v/>
      </c>
      <c r="GL379" s="450" t="str">
        <f t="shared" ca="1" si="734"/>
        <v/>
      </c>
      <c r="GM379" s="450" t="str">
        <f t="shared" ca="1" si="734"/>
        <v/>
      </c>
      <c r="GN379" s="450" t="str">
        <f t="shared" ca="1" si="734"/>
        <v/>
      </c>
      <c r="GO379" s="450" t="str">
        <f t="shared" ca="1" si="734"/>
        <v/>
      </c>
      <c r="GP379" s="450" t="str">
        <f t="shared" ca="1" si="734"/>
        <v/>
      </c>
      <c r="GQ379" s="450" t="str">
        <f t="shared" ca="1" si="734"/>
        <v/>
      </c>
      <c r="GR379" s="450" t="str">
        <f t="shared" ca="1" si="734"/>
        <v/>
      </c>
      <c r="GS379" s="450" t="str">
        <f t="shared" ca="1" si="734"/>
        <v/>
      </c>
      <c r="GT379" s="450" t="str">
        <f t="shared" ca="1" si="734"/>
        <v/>
      </c>
      <c r="GU379" s="450" t="str">
        <f t="shared" ca="1" si="734"/>
        <v/>
      </c>
      <c r="GV379" s="450" t="str">
        <f t="shared" ca="1" si="734"/>
        <v/>
      </c>
      <c r="GW379" s="450" t="str">
        <f t="shared" ca="1" si="734"/>
        <v/>
      </c>
      <c r="GX379" s="450" t="str">
        <f t="shared" ca="1" si="734"/>
        <v/>
      </c>
      <c r="GY379" s="450" t="str">
        <f t="shared" ca="1" si="734"/>
        <v/>
      </c>
      <c r="GZ379" s="450" t="str">
        <f t="shared" ca="1" si="734"/>
        <v/>
      </c>
      <c r="HA379" s="450" t="str">
        <f t="shared" ca="1" si="734"/>
        <v/>
      </c>
      <c r="HB379" s="450" t="str">
        <f t="shared" ca="1" si="734"/>
        <v/>
      </c>
      <c r="HC379" s="450" t="str">
        <f t="shared" ca="1" si="734"/>
        <v/>
      </c>
      <c r="HD379" s="450" t="str">
        <f t="shared" ca="1" si="734"/>
        <v/>
      </c>
      <c r="HE379" s="450" t="str">
        <f t="shared" ca="1" si="734"/>
        <v/>
      </c>
      <c r="HF379" s="450" t="str">
        <f t="shared" ca="1" si="734"/>
        <v/>
      </c>
      <c r="HG379" s="450" t="str">
        <f t="shared" ca="1" si="734"/>
        <v/>
      </c>
      <c r="HH379" s="450" t="str">
        <f t="shared" ca="1" si="734"/>
        <v/>
      </c>
      <c r="HI379" s="450" t="str">
        <f t="shared" ca="1" si="734"/>
        <v/>
      </c>
      <c r="HJ379" s="450" t="str">
        <f t="shared" ca="1" si="734"/>
        <v/>
      </c>
      <c r="HK379" s="450" t="str">
        <f t="shared" ca="1" si="734"/>
        <v/>
      </c>
      <c r="HL379" s="450" t="str">
        <f t="shared" ca="1" si="734"/>
        <v/>
      </c>
      <c r="HM379" s="450" t="str">
        <f t="shared" ca="1" si="734"/>
        <v/>
      </c>
      <c r="HN379" s="450" t="str">
        <f t="shared" ca="1" si="734"/>
        <v/>
      </c>
      <c r="HO379" s="450" t="str">
        <f t="shared" ca="1" si="734"/>
        <v/>
      </c>
      <c r="HP379" s="450" t="str">
        <f t="shared" ca="1" si="734"/>
        <v/>
      </c>
      <c r="HQ379" s="450" t="str">
        <f t="shared" ca="1" si="734"/>
        <v/>
      </c>
      <c r="HR379" s="450" t="str">
        <f t="shared" ca="1" si="734"/>
        <v/>
      </c>
      <c r="HS379" s="450" t="str">
        <f t="shared" ca="1" si="734"/>
        <v/>
      </c>
      <c r="HT379" s="450" t="str">
        <f t="shared" ca="1" si="734"/>
        <v/>
      </c>
      <c r="HU379" s="450" t="str">
        <f t="shared" ca="1" si="734"/>
        <v/>
      </c>
      <c r="HV379" s="450" t="str">
        <f t="shared" ca="1" si="734"/>
        <v/>
      </c>
      <c r="HW379" s="450" t="str">
        <f t="shared" ca="1" si="734"/>
        <v/>
      </c>
      <c r="HX379" s="450" t="str">
        <f t="shared" ca="1" si="734"/>
        <v/>
      </c>
      <c r="HY379" s="450" t="str">
        <f t="shared" ca="1" si="734"/>
        <v/>
      </c>
      <c r="HZ379" s="450" t="str">
        <f t="shared" ca="1" si="734"/>
        <v/>
      </c>
      <c r="IA379" s="450" t="str">
        <f t="shared" ca="1" si="711"/>
        <v/>
      </c>
      <c r="IB379" s="450" t="str">
        <f t="shared" ca="1" si="730"/>
        <v/>
      </c>
      <c r="IC379" s="450" t="str">
        <f t="shared" ca="1" si="730"/>
        <v/>
      </c>
      <c r="ID379" s="450" t="str">
        <f t="shared" ca="1" si="730"/>
        <v/>
      </c>
      <c r="IE379" s="450" t="str">
        <f t="shared" ca="1" si="730"/>
        <v/>
      </c>
      <c r="IF379" s="450" t="str">
        <f t="shared" ca="1" si="730"/>
        <v/>
      </c>
      <c r="IG379" s="450" t="str">
        <f t="shared" ca="1" si="730"/>
        <v/>
      </c>
      <c r="IH379" s="658" t="str">
        <f t="shared" ca="1" si="730"/>
        <v/>
      </c>
    </row>
    <row r="380" spans="9:242">
      <c r="I380" s="132"/>
      <c r="J380" s="365"/>
      <c r="K380" s="1"/>
      <c r="L380" s="1"/>
      <c r="M380" s="366"/>
      <c r="P380" s="365"/>
      <c r="S380" s="53"/>
      <c r="T380" s="365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364"/>
      <c r="AO380" s="364"/>
      <c r="AP380" s="103"/>
      <c r="AQ380" s="364"/>
      <c r="AR380" s="103"/>
      <c r="AS380" s="103"/>
      <c r="AT380" s="103"/>
      <c r="AU380" s="31"/>
      <c r="AV380" s="31"/>
      <c r="AW380" s="31"/>
      <c r="AX380" s="31"/>
      <c r="AY380" s="146"/>
      <c r="AZ380" s="146"/>
      <c r="BA380" s="103"/>
      <c r="BB380" s="103"/>
      <c r="BC380" s="103"/>
      <c r="BD380" s="103"/>
      <c r="BE380" s="104"/>
      <c r="BF380" s="104"/>
      <c r="BG380" s="104"/>
      <c r="BH380" s="102"/>
      <c r="BI380" s="104"/>
      <c r="BJ380" s="103"/>
      <c r="BK380" s="105"/>
      <c r="BL380" s="151"/>
      <c r="BM380" s="103"/>
      <c r="BN380" s="103"/>
      <c r="BO380" s="103"/>
      <c r="BP380" s="103"/>
      <c r="BQ380" s="103"/>
      <c r="BR380" s="103"/>
      <c r="BS380" s="103"/>
      <c r="BT380" s="103"/>
      <c r="BU380" s="103"/>
      <c r="BV380" s="103"/>
      <c r="BW380" s="103"/>
      <c r="BX380" s="103"/>
      <c r="BY380" s="103"/>
      <c r="BZ380" s="104"/>
      <c r="CA380" s="104"/>
      <c r="CB380" s="104"/>
      <c r="CC380" s="104"/>
      <c r="CD380" s="104"/>
      <c r="CE380" s="104"/>
      <c r="CF380" s="103"/>
      <c r="CG380" s="103"/>
      <c r="CH380" s="103"/>
      <c r="CI380" s="103"/>
      <c r="CJ380" s="103"/>
      <c r="CK380" s="103"/>
      <c r="CL380" s="103"/>
      <c r="CM380" s="103"/>
      <c r="CN380" s="103"/>
      <c r="CO380" s="103"/>
      <c r="CP380" s="103"/>
      <c r="CQ380" s="103"/>
      <c r="CR380" s="103"/>
      <c r="CS380" s="103"/>
      <c r="CT380" s="103"/>
      <c r="CU380" s="103"/>
      <c r="CV380" s="103"/>
      <c r="CW380" s="103"/>
      <c r="CX380" s="103"/>
      <c r="CY380" s="103"/>
      <c r="CZ380" s="103"/>
      <c r="DA380" s="103"/>
      <c r="DB380" s="103"/>
      <c r="DC380" s="103"/>
      <c r="DD380" s="103"/>
      <c r="DE380" s="107"/>
      <c r="DF380" s="465"/>
      <c r="DG380" s="1"/>
      <c r="DH380" s="51"/>
      <c r="DI380" s="465"/>
      <c r="DJ380" s="52"/>
      <c r="DK380" s="52"/>
      <c r="DL380" s="52"/>
      <c r="DM380" s="52"/>
      <c r="DN380" s="52"/>
      <c r="DO380" s="52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P380" s="53"/>
      <c r="EQ380" s="1"/>
      <c r="ER380" s="103"/>
      <c r="ES380" s="103"/>
      <c r="ET380" s="1"/>
      <c r="EU380" s="103"/>
      <c r="EV380" s="1"/>
      <c r="EW380" s="1"/>
      <c r="EX380" s="1"/>
      <c r="EY380" s="104"/>
      <c r="FN380" s="657">
        <v>56</v>
      </c>
      <c r="FO380" s="450">
        <f t="shared" ref="FO380:HZ380" ca="1" si="735">IF(AND(ISNUMBER(FO75),ISNUMBER(FO$320),FO$320&lt;&gt;0),FO75*FO$320/FO$15,"")</f>
        <v>6.5586340306668085E-4</v>
      </c>
      <c r="FP380" s="450">
        <f t="shared" ca="1" si="735"/>
        <v>1.0657241195344586E-3</v>
      </c>
      <c r="FQ380" s="450" t="str">
        <f t="shared" ca="1" si="735"/>
        <v/>
      </c>
      <c r="FR380" s="450" t="str">
        <f t="shared" ca="1" si="735"/>
        <v/>
      </c>
      <c r="FS380" s="450" t="str">
        <f t="shared" ca="1" si="735"/>
        <v/>
      </c>
      <c r="FT380" s="450" t="str">
        <f t="shared" ca="1" si="735"/>
        <v/>
      </c>
      <c r="FU380" s="450" t="str">
        <f t="shared" ca="1" si="735"/>
        <v/>
      </c>
      <c r="FV380" s="450" t="str">
        <f t="shared" ca="1" si="735"/>
        <v/>
      </c>
      <c r="FW380" s="450" t="str">
        <f t="shared" ca="1" si="735"/>
        <v/>
      </c>
      <c r="FX380" s="450" t="str">
        <f t="shared" ca="1" si="735"/>
        <v/>
      </c>
      <c r="FY380" s="450" t="str">
        <f t="shared" ca="1" si="735"/>
        <v/>
      </c>
      <c r="FZ380" s="450" t="str">
        <f t="shared" ca="1" si="735"/>
        <v/>
      </c>
      <c r="GA380" s="450" t="str">
        <f t="shared" ca="1" si="735"/>
        <v/>
      </c>
      <c r="GB380" s="450" t="str">
        <f t="shared" ca="1" si="735"/>
        <v/>
      </c>
      <c r="GC380" s="450" t="str">
        <f t="shared" ca="1" si="735"/>
        <v/>
      </c>
      <c r="GD380" s="450" t="str">
        <f t="shared" ca="1" si="735"/>
        <v/>
      </c>
      <c r="GE380" s="450" t="str">
        <f t="shared" ca="1" si="735"/>
        <v/>
      </c>
      <c r="GF380" s="450" t="str">
        <f t="shared" ca="1" si="735"/>
        <v/>
      </c>
      <c r="GG380" s="450" t="str">
        <f t="shared" ca="1" si="735"/>
        <v/>
      </c>
      <c r="GH380" s="450" t="str">
        <f t="shared" ca="1" si="735"/>
        <v/>
      </c>
      <c r="GI380" s="450" t="str">
        <f t="shared" ca="1" si="735"/>
        <v/>
      </c>
      <c r="GJ380" s="450" t="str">
        <f t="shared" ca="1" si="735"/>
        <v/>
      </c>
      <c r="GK380" s="450" t="str">
        <f t="shared" ca="1" si="735"/>
        <v/>
      </c>
      <c r="GL380" s="450" t="str">
        <f t="shared" ca="1" si="735"/>
        <v/>
      </c>
      <c r="GM380" s="450" t="str">
        <f t="shared" ca="1" si="735"/>
        <v/>
      </c>
      <c r="GN380" s="450" t="str">
        <f t="shared" ca="1" si="735"/>
        <v/>
      </c>
      <c r="GO380" s="450" t="str">
        <f t="shared" ca="1" si="735"/>
        <v/>
      </c>
      <c r="GP380" s="450" t="str">
        <f t="shared" ca="1" si="735"/>
        <v/>
      </c>
      <c r="GQ380" s="450" t="str">
        <f t="shared" ca="1" si="735"/>
        <v/>
      </c>
      <c r="GR380" s="450" t="str">
        <f t="shared" ca="1" si="735"/>
        <v/>
      </c>
      <c r="GS380" s="450" t="str">
        <f t="shared" ca="1" si="735"/>
        <v/>
      </c>
      <c r="GT380" s="450" t="str">
        <f t="shared" ca="1" si="735"/>
        <v/>
      </c>
      <c r="GU380" s="450" t="str">
        <f t="shared" ca="1" si="735"/>
        <v/>
      </c>
      <c r="GV380" s="450" t="str">
        <f t="shared" ca="1" si="735"/>
        <v/>
      </c>
      <c r="GW380" s="450" t="str">
        <f t="shared" ca="1" si="735"/>
        <v/>
      </c>
      <c r="GX380" s="450" t="str">
        <f t="shared" ca="1" si="735"/>
        <v/>
      </c>
      <c r="GY380" s="450" t="str">
        <f t="shared" ca="1" si="735"/>
        <v/>
      </c>
      <c r="GZ380" s="450" t="str">
        <f t="shared" ca="1" si="735"/>
        <v/>
      </c>
      <c r="HA380" s="450" t="str">
        <f t="shared" ca="1" si="735"/>
        <v/>
      </c>
      <c r="HB380" s="450" t="str">
        <f t="shared" ca="1" si="735"/>
        <v/>
      </c>
      <c r="HC380" s="450" t="str">
        <f t="shared" ca="1" si="735"/>
        <v/>
      </c>
      <c r="HD380" s="450" t="str">
        <f t="shared" ca="1" si="735"/>
        <v/>
      </c>
      <c r="HE380" s="450" t="str">
        <f t="shared" ca="1" si="735"/>
        <v/>
      </c>
      <c r="HF380" s="450" t="str">
        <f t="shared" ca="1" si="735"/>
        <v/>
      </c>
      <c r="HG380" s="450" t="str">
        <f t="shared" ca="1" si="735"/>
        <v/>
      </c>
      <c r="HH380" s="450" t="str">
        <f t="shared" ca="1" si="735"/>
        <v/>
      </c>
      <c r="HI380" s="450" t="str">
        <f t="shared" ca="1" si="735"/>
        <v/>
      </c>
      <c r="HJ380" s="450" t="str">
        <f t="shared" ca="1" si="735"/>
        <v/>
      </c>
      <c r="HK380" s="450" t="str">
        <f t="shared" ca="1" si="735"/>
        <v/>
      </c>
      <c r="HL380" s="450" t="str">
        <f t="shared" ca="1" si="735"/>
        <v/>
      </c>
      <c r="HM380" s="450" t="str">
        <f t="shared" ca="1" si="735"/>
        <v/>
      </c>
      <c r="HN380" s="450" t="str">
        <f t="shared" ca="1" si="735"/>
        <v/>
      </c>
      <c r="HO380" s="450" t="str">
        <f t="shared" ca="1" si="735"/>
        <v/>
      </c>
      <c r="HP380" s="450" t="str">
        <f t="shared" ca="1" si="735"/>
        <v/>
      </c>
      <c r="HQ380" s="450" t="str">
        <f t="shared" ca="1" si="735"/>
        <v/>
      </c>
      <c r="HR380" s="450" t="str">
        <f t="shared" ca="1" si="735"/>
        <v/>
      </c>
      <c r="HS380" s="450" t="str">
        <f t="shared" ca="1" si="735"/>
        <v/>
      </c>
      <c r="HT380" s="450" t="str">
        <f t="shared" ca="1" si="735"/>
        <v/>
      </c>
      <c r="HU380" s="450" t="str">
        <f t="shared" ca="1" si="735"/>
        <v/>
      </c>
      <c r="HV380" s="450" t="str">
        <f t="shared" ca="1" si="735"/>
        <v/>
      </c>
      <c r="HW380" s="450" t="str">
        <f t="shared" ca="1" si="735"/>
        <v/>
      </c>
      <c r="HX380" s="450" t="str">
        <f t="shared" ca="1" si="735"/>
        <v/>
      </c>
      <c r="HY380" s="450" t="str">
        <f t="shared" ca="1" si="735"/>
        <v/>
      </c>
      <c r="HZ380" s="450" t="str">
        <f t="shared" ca="1" si="735"/>
        <v/>
      </c>
      <c r="IA380" s="450" t="str">
        <f t="shared" ca="1" si="711"/>
        <v/>
      </c>
      <c r="IB380" s="450" t="str">
        <f t="shared" ca="1" si="730"/>
        <v/>
      </c>
      <c r="IC380" s="450" t="str">
        <f t="shared" ca="1" si="730"/>
        <v/>
      </c>
      <c r="ID380" s="450" t="str">
        <f t="shared" ca="1" si="730"/>
        <v/>
      </c>
      <c r="IE380" s="450" t="str">
        <f t="shared" ca="1" si="730"/>
        <v/>
      </c>
      <c r="IF380" s="450" t="str">
        <f t="shared" ca="1" si="730"/>
        <v/>
      </c>
      <c r="IG380" s="450" t="str">
        <f t="shared" ca="1" si="730"/>
        <v/>
      </c>
      <c r="IH380" s="658" t="str">
        <f t="shared" ca="1" si="730"/>
        <v/>
      </c>
    </row>
    <row r="381" spans="9:242">
      <c r="I381" s="132"/>
      <c r="J381" s="365"/>
      <c r="K381" s="1"/>
      <c r="L381" s="1"/>
      <c r="M381" s="366"/>
      <c r="P381" s="365"/>
      <c r="S381" s="53"/>
      <c r="T381" s="365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364"/>
      <c r="AO381" s="364"/>
      <c r="AP381" s="103"/>
      <c r="AQ381" s="364"/>
      <c r="AR381" s="103"/>
      <c r="AS381" s="103"/>
      <c r="AT381" s="103"/>
      <c r="AU381" s="31"/>
      <c r="AV381" s="31"/>
      <c r="AW381" s="31"/>
      <c r="AX381" s="31"/>
      <c r="AY381" s="146"/>
      <c r="AZ381" s="146"/>
      <c r="BA381" s="103"/>
      <c r="BB381" s="103"/>
      <c r="BC381" s="103"/>
      <c r="BD381" s="103"/>
      <c r="BE381" s="104"/>
      <c r="BF381" s="104"/>
      <c r="BG381" s="104"/>
      <c r="BH381" s="102"/>
      <c r="BI381" s="104"/>
      <c r="BJ381" s="103"/>
      <c r="BK381" s="105"/>
      <c r="BL381" s="151"/>
      <c r="BM381" s="103"/>
      <c r="BN381" s="103"/>
      <c r="BO381" s="103"/>
      <c r="BP381" s="103"/>
      <c r="BQ381" s="103"/>
      <c r="BR381" s="103"/>
      <c r="BS381" s="103"/>
      <c r="BT381" s="103"/>
      <c r="BU381" s="103"/>
      <c r="BV381" s="103"/>
      <c r="BW381" s="103"/>
      <c r="BX381" s="103"/>
      <c r="BY381" s="103"/>
      <c r="BZ381" s="104"/>
      <c r="CA381" s="104"/>
      <c r="CB381" s="104"/>
      <c r="CC381" s="104"/>
      <c r="CD381" s="104"/>
      <c r="CE381" s="104"/>
      <c r="CF381" s="103"/>
      <c r="CG381" s="103"/>
      <c r="CH381" s="103"/>
      <c r="CI381" s="103"/>
      <c r="CJ381" s="103"/>
      <c r="CK381" s="103"/>
      <c r="CL381" s="103"/>
      <c r="CM381" s="103"/>
      <c r="CN381" s="103"/>
      <c r="CO381" s="103"/>
      <c r="CP381" s="103"/>
      <c r="CQ381" s="103"/>
      <c r="CR381" s="103"/>
      <c r="CS381" s="103"/>
      <c r="CT381" s="103"/>
      <c r="CU381" s="103"/>
      <c r="CV381" s="103"/>
      <c r="CW381" s="103"/>
      <c r="CX381" s="103"/>
      <c r="CY381" s="103"/>
      <c r="CZ381" s="103"/>
      <c r="DA381" s="103"/>
      <c r="DB381" s="103"/>
      <c r="DC381" s="103"/>
      <c r="DD381" s="103"/>
      <c r="DE381" s="107"/>
      <c r="DF381" s="465"/>
      <c r="DG381" s="1"/>
      <c r="DH381" s="51"/>
      <c r="DI381" s="465"/>
      <c r="DJ381" s="52"/>
      <c r="DK381" s="52"/>
      <c r="DL381" s="52"/>
      <c r="DM381" s="52"/>
      <c r="DN381" s="52"/>
      <c r="DO381" s="52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P381" s="53"/>
      <c r="EQ381" s="1"/>
      <c r="ER381" s="103"/>
      <c r="ES381" s="103"/>
      <c r="ET381" s="1"/>
      <c r="EU381" s="103"/>
      <c r="EV381" s="1"/>
      <c r="EW381" s="1"/>
      <c r="EX381" s="1"/>
      <c r="EY381" s="104"/>
      <c r="FN381" s="657">
        <v>57</v>
      </c>
      <c r="FO381" s="450">
        <f t="shared" ref="FO381:HZ381" ca="1" si="736">IF(AND(ISNUMBER(FO76),ISNUMBER(FO$320),FO$320&lt;&gt;0),FO76*FO$320/FO$15,"")</f>
        <v>6.5555178920211597E-4</v>
      </c>
      <c r="FP381" s="450">
        <f t="shared" ca="1" si="736"/>
        <v>1.0651615118500346E-3</v>
      </c>
      <c r="FQ381" s="450" t="str">
        <f t="shared" ca="1" si="736"/>
        <v/>
      </c>
      <c r="FR381" s="450" t="str">
        <f t="shared" ca="1" si="736"/>
        <v/>
      </c>
      <c r="FS381" s="450" t="str">
        <f t="shared" ca="1" si="736"/>
        <v/>
      </c>
      <c r="FT381" s="450" t="str">
        <f t="shared" ca="1" si="736"/>
        <v/>
      </c>
      <c r="FU381" s="450" t="str">
        <f t="shared" ca="1" si="736"/>
        <v/>
      </c>
      <c r="FV381" s="450" t="str">
        <f t="shared" ca="1" si="736"/>
        <v/>
      </c>
      <c r="FW381" s="450" t="str">
        <f t="shared" ca="1" si="736"/>
        <v/>
      </c>
      <c r="FX381" s="450" t="str">
        <f t="shared" ca="1" si="736"/>
        <v/>
      </c>
      <c r="FY381" s="450" t="str">
        <f t="shared" ca="1" si="736"/>
        <v/>
      </c>
      <c r="FZ381" s="450" t="str">
        <f t="shared" ca="1" si="736"/>
        <v/>
      </c>
      <c r="GA381" s="450" t="str">
        <f t="shared" ca="1" si="736"/>
        <v/>
      </c>
      <c r="GB381" s="450" t="str">
        <f t="shared" ca="1" si="736"/>
        <v/>
      </c>
      <c r="GC381" s="450" t="str">
        <f t="shared" ca="1" si="736"/>
        <v/>
      </c>
      <c r="GD381" s="450" t="str">
        <f t="shared" ca="1" si="736"/>
        <v/>
      </c>
      <c r="GE381" s="450" t="str">
        <f t="shared" ca="1" si="736"/>
        <v/>
      </c>
      <c r="GF381" s="450" t="str">
        <f t="shared" ca="1" si="736"/>
        <v/>
      </c>
      <c r="GG381" s="450" t="str">
        <f t="shared" ca="1" si="736"/>
        <v/>
      </c>
      <c r="GH381" s="450" t="str">
        <f t="shared" ca="1" si="736"/>
        <v/>
      </c>
      <c r="GI381" s="450" t="str">
        <f t="shared" ca="1" si="736"/>
        <v/>
      </c>
      <c r="GJ381" s="450" t="str">
        <f t="shared" ca="1" si="736"/>
        <v/>
      </c>
      <c r="GK381" s="450" t="str">
        <f t="shared" ca="1" si="736"/>
        <v/>
      </c>
      <c r="GL381" s="450" t="str">
        <f t="shared" ca="1" si="736"/>
        <v/>
      </c>
      <c r="GM381" s="450" t="str">
        <f t="shared" ca="1" si="736"/>
        <v/>
      </c>
      <c r="GN381" s="450" t="str">
        <f t="shared" ca="1" si="736"/>
        <v/>
      </c>
      <c r="GO381" s="450" t="str">
        <f t="shared" ca="1" si="736"/>
        <v/>
      </c>
      <c r="GP381" s="450" t="str">
        <f t="shared" ca="1" si="736"/>
        <v/>
      </c>
      <c r="GQ381" s="450" t="str">
        <f t="shared" ca="1" si="736"/>
        <v/>
      </c>
      <c r="GR381" s="450" t="str">
        <f t="shared" ca="1" si="736"/>
        <v/>
      </c>
      <c r="GS381" s="450" t="str">
        <f t="shared" ca="1" si="736"/>
        <v/>
      </c>
      <c r="GT381" s="450" t="str">
        <f t="shared" ca="1" si="736"/>
        <v/>
      </c>
      <c r="GU381" s="450" t="str">
        <f t="shared" ca="1" si="736"/>
        <v/>
      </c>
      <c r="GV381" s="450" t="str">
        <f t="shared" ca="1" si="736"/>
        <v/>
      </c>
      <c r="GW381" s="450" t="str">
        <f t="shared" ca="1" si="736"/>
        <v/>
      </c>
      <c r="GX381" s="450" t="str">
        <f t="shared" ca="1" si="736"/>
        <v/>
      </c>
      <c r="GY381" s="450" t="str">
        <f t="shared" ca="1" si="736"/>
        <v/>
      </c>
      <c r="GZ381" s="450" t="str">
        <f t="shared" ca="1" si="736"/>
        <v/>
      </c>
      <c r="HA381" s="450" t="str">
        <f t="shared" ca="1" si="736"/>
        <v/>
      </c>
      <c r="HB381" s="450" t="str">
        <f t="shared" ca="1" si="736"/>
        <v/>
      </c>
      <c r="HC381" s="450" t="str">
        <f t="shared" ca="1" si="736"/>
        <v/>
      </c>
      <c r="HD381" s="450" t="str">
        <f t="shared" ca="1" si="736"/>
        <v/>
      </c>
      <c r="HE381" s="450" t="str">
        <f t="shared" ca="1" si="736"/>
        <v/>
      </c>
      <c r="HF381" s="450" t="str">
        <f t="shared" ca="1" si="736"/>
        <v/>
      </c>
      <c r="HG381" s="450" t="str">
        <f t="shared" ca="1" si="736"/>
        <v/>
      </c>
      <c r="HH381" s="450" t="str">
        <f t="shared" ca="1" si="736"/>
        <v/>
      </c>
      <c r="HI381" s="450" t="str">
        <f t="shared" ca="1" si="736"/>
        <v/>
      </c>
      <c r="HJ381" s="450" t="str">
        <f t="shared" ca="1" si="736"/>
        <v/>
      </c>
      <c r="HK381" s="450" t="str">
        <f t="shared" ca="1" si="736"/>
        <v/>
      </c>
      <c r="HL381" s="450" t="str">
        <f t="shared" ca="1" si="736"/>
        <v/>
      </c>
      <c r="HM381" s="450" t="str">
        <f t="shared" ca="1" si="736"/>
        <v/>
      </c>
      <c r="HN381" s="450" t="str">
        <f t="shared" ca="1" si="736"/>
        <v/>
      </c>
      <c r="HO381" s="450" t="str">
        <f t="shared" ca="1" si="736"/>
        <v/>
      </c>
      <c r="HP381" s="450" t="str">
        <f t="shared" ca="1" si="736"/>
        <v/>
      </c>
      <c r="HQ381" s="450" t="str">
        <f t="shared" ca="1" si="736"/>
        <v/>
      </c>
      <c r="HR381" s="450" t="str">
        <f t="shared" ca="1" si="736"/>
        <v/>
      </c>
      <c r="HS381" s="450" t="str">
        <f t="shared" ca="1" si="736"/>
        <v/>
      </c>
      <c r="HT381" s="450" t="str">
        <f t="shared" ca="1" si="736"/>
        <v/>
      </c>
      <c r="HU381" s="450" t="str">
        <f t="shared" ca="1" si="736"/>
        <v/>
      </c>
      <c r="HV381" s="450" t="str">
        <f t="shared" ca="1" si="736"/>
        <v/>
      </c>
      <c r="HW381" s="450" t="str">
        <f t="shared" ca="1" si="736"/>
        <v/>
      </c>
      <c r="HX381" s="450" t="str">
        <f t="shared" ca="1" si="736"/>
        <v/>
      </c>
      <c r="HY381" s="450" t="str">
        <f t="shared" ca="1" si="736"/>
        <v/>
      </c>
      <c r="HZ381" s="450" t="str">
        <f t="shared" ca="1" si="736"/>
        <v/>
      </c>
      <c r="IA381" s="450" t="str">
        <f t="shared" ca="1" si="711"/>
        <v/>
      </c>
      <c r="IB381" s="450" t="str">
        <f t="shared" ca="1" si="730"/>
        <v/>
      </c>
      <c r="IC381" s="450" t="str">
        <f t="shared" ca="1" si="730"/>
        <v/>
      </c>
      <c r="ID381" s="450" t="str">
        <f t="shared" ca="1" si="730"/>
        <v/>
      </c>
      <c r="IE381" s="450" t="str">
        <f t="shared" ca="1" si="730"/>
        <v/>
      </c>
      <c r="IF381" s="450" t="str">
        <f t="shared" ca="1" si="730"/>
        <v/>
      </c>
      <c r="IG381" s="450" t="str">
        <f t="shared" ca="1" si="730"/>
        <v/>
      </c>
      <c r="IH381" s="658" t="str">
        <f t="shared" ca="1" si="730"/>
        <v/>
      </c>
    </row>
    <row r="382" spans="9:242">
      <c r="I382" s="132"/>
      <c r="J382" s="365"/>
      <c r="K382" s="1"/>
      <c r="L382" s="1"/>
      <c r="M382" s="366"/>
      <c r="P382" s="365"/>
      <c r="S382" s="53"/>
      <c r="T382" s="365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364"/>
      <c r="AO382" s="364"/>
      <c r="AP382" s="103"/>
      <c r="AQ382" s="364"/>
      <c r="AR382" s="103"/>
      <c r="AS382" s="103"/>
      <c r="AT382" s="103"/>
      <c r="AU382" s="31"/>
      <c r="AV382" s="31"/>
      <c r="AW382" s="31"/>
      <c r="AX382" s="31"/>
      <c r="AY382" s="146"/>
      <c r="AZ382" s="146"/>
      <c r="BA382" s="103"/>
      <c r="BB382" s="103"/>
      <c r="BC382" s="103"/>
      <c r="BD382" s="103"/>
      <c r="BE382" s="104"/>
      <c r="BF382" s="104"/>
      <c r="BG382" s="104"/>
      <c r="BH382" s="102"/>
      <c r="BI382" s="104"/>
      <c r="BJ382" s="103"/>
      <c r="BK382" s="105"/>
      <c r="BL382" s="151"/>
      <c r="BM382" s="103"/>
      <c r="BN382" s="103"/>
      <c r="BO382" s="103"/>
      <c r="BP382" s="103"/>
      <c r="BQ382" s="103"/>
      <c r="BR382" s="103"/>
      <c r="BS382" s="103"/>
      <c r="BT382" s="103"/>
      <c r="BU382" s="103"/>
      <c r="BV382" s="103"/>
      <c r="BW382" s="103"/>
      <c r="BX382" s="103"/>
      <c r="BY382" s="103"/>
      <c r="BZ382" s="104"/>
      <c r="CA382" s="104"/>
      <c r="CB382" s="104"/>
      <c r="CC382" s="104"/>
      <c r="CD382" s="104"/>
      <c r="CE382" s="104"/>
      <c r="CF382" s="103"/>
      <c r="CG382" s="103"/>
      <c r="CH382" s="103"/>
      <c r="CI382" s="103"/>
      <c r="CJ382" s="103"/>
      <c r="CK382" s="103"/>
      <c r="CL382" s="103"/>
      <c r="CM382" s="103"/>
      <c r="CN382" s="103"/>
      <c r="CO382" s="103"/>
      <c r="CP382" s="103"/>
      <c r="CQ382" s="103"/>
      <c r="CR382" s="103"/>
      <c r="CS382" s="103"/>
      <c r="CT382" s="103"/>
      <c r="CU382" s="103"/>
      <c r="CV382" s="103"/>
      <c r="CW382" s="103"/>
      <c r="CX382" s="103"/>
      <c r="CY382" s="103"/>
      <c r="CZ382" s="103"/>
      <c r="DA382" s="103"/>
      <c r="DB382" s="103"/>
      <c r="DC382" s="103"/>
      <c r="DD382" s="103"/>
      <c r="DE382" s="107"/>
      <c r="DF382" s="465"/>
      <c r="DG382" s="1"/>
      <c r="DH382" s="51"/>
      <c r="DI382" s="465"/>
      <c r="DJ382" s="52"/>
      <c r="DK382" s="52"/>
      <c r="DL382" s="52"/>
      <c r="DM382" s="52"/>
      <c r="DN382" s="52"/>
      <c r="DO382" s="52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P382" s="53"/>
      <c r="EQ382" s="1"/>
      <c r="ER382" s="103"/>
      <c r="ES382" s="103"/>
      <c r="ET382" s="1"/>
      <c r="EU382" s="103"/>
      <c r="EV382" s="1"/>
      <c r="EW382" s="1"/>
      <c r="EX382" s="1"/>
      <c r="EY382" s="104"/>
      <c r="FN382" s="657">
        <v>58</v>
      </c>
      <c r="FO382" s="450">
        <f t="shared" ref="FO382:HZ382" ca="1" si="737">IF(AND(ISNUMBER(FO77),ISNUMBER(FO$320),FO$320&lt;&gt;0),FO77*FO$320/FO$15,"")</f>
        <v>6.5527146997260805E-4</v>
      </c>
      <c r="FP382" s="450">
        <f t="shared" ca="1" si="737"/>
        <v>1.0646554322402539E-3</v>
      </c>
      <c r="FQ382" s="450" t="str">
        <f t="shared" ca="1" si="737"/>
        <v/>
      </c>
      <c r="FR382" s="450" t="str">
        <f t="shared" ca="1" si="737"/>
        <v/>
      </c>
      <c r="FS382" s="450" t="str">
        <f t="shared" ca="1" si="737"/>
        <v/>
      </c>
      <c r="FT382" s="450" t="str">
        <f t="shared" ca="1" si="737"/>
        <v/>
      </c>
      <c r="FU382" s="450" t="str">
        <f t="shared" ca="1" si="737"/>
        <v/>
      </c>
      <c r="FV382" s="450" t="str">
        <f t="shared" ca="1" si="737"/>
        <v/>
      </c>
      <c r="FW382" s="450" t="str">
        <f t="shared" ca="1" si="737"/>
        <v/>
      </c>
      <c r="FX382" s="450" t="str">
        <f t="shared" ca="1" si="737"/>
        <v/>
      </c>
      <c r="FY382" s="450" t="str">
        <f t="shared" ca="1" si="737"/>
        <v/>
      </c>
      <c r="FZ382" s="450" t="str">
        <f t="shared" ca="1" si="737"/>
        <v/>
      </c>
      <c r="GA382" s="450" t="str">
        <f t="shared" ca="1" si="737"/>
        <v/>
      </c>
      <c r="GB382" s="450" t="str">
        <f t="shared" ca="1" si="737"/>
        <v/>
      </c>
      <c r="GC382" s="450" t="str">
        <f t="shared" ca="1" si="737"/>
        <v/>
      </c>
      <c r="GD382" s="450" t="str">
        <f t="shared" ca="1" si="737"/>
        <v/>
      </c>
      <c r="GE382" s="450" t="str">
        <f t="shared" ca="1" si="737"/>
        <v/>
      </c>
      <c r="GF382" s="450" t="str">
        <f t="shared" ca="1" si="737"/>
        <v/>
      </c>
      <c r="GG382" s="450" t="str">
        <f t="shared" ca="1" si="737"/>
        <v/>
      </c>
      <c r="GH382" s="450" t="str">
        <f t="shared" ca="1" si="737"/>
        <v/>
      </c>
      <c r="GI382" s="450" t="str">
        <f t="shared" ca="1" si="737"/>
        <v/>
      </c>
      <c r="GJ382" s="450" t="str">
        <f t="shared" ca="1" si="737"/>
        <v/>
      </c>
      <c r="GK382" s="450" t="str">
        <f t="shared" ca="1" si="737"/>
        <v/>
      </c>
      <c r="GL382" s="450" t="str">
        <f t="shared" ca="1" si="737"/>
        <v/>
      </c>
      <c r="GM382" s="450" t="str">
        <f t="shared" ca="1" si="737"/>
        <v/>
      </c>
      <c r="GN382" s="450" t="str">
        <f t="shared" ca="1" si="737"/>
        <v/>
      </c>
      <c r="GO382" s="450" t="str">
        <f t="shared" ca="1" si="737"/>
        <v/>
      </c>
      <c r="GP382" s="450" t="str">
        <f t="shared" ca="1" si="737"/>
        <v/>
      </c>
      <c r="GQ382" s="450" t="str">
        <f t="shared" ca="1" si="737"/>
        <v/>
      </c>
      <c r="GR382" s="450" t="str">
        <f t="shared" ca="1" si="737"/>
        <v/>
      </c>
      <c r="GS382" s="450" t="str">
        <f t="shared" ca="1" si="737"/>
        <v/>
      </c>
      <c r="GT382" s="450" t="str">
        <f t="shared" ca="1" si="737"/>
        <v/>
      </c>
      <c r="GU382" s="450" t="str">
        <f t="shared" ca="1" si="737"/>
        <v/>
      </c>
      <c r="GV382" s="450" t="str">
        <f t="shared" ca="1" si="737"/>
        <v/>
      </c>
      <c r="GW382" s="450" t="str">
        <f t="shared" ca="1" si="737"/>
        <v/>
      </c>
      <c r="GX382" s="450" t="str">
        <f t="shared" ca="1" si="737"/>
        <v/>
      </c>
      <c r="GY382" s="450" t="str">
        <f t="shared" ca="1" si="737"/>
        <v/>
      </c>
      <c r="GZ382" s="450" t="str">
        <f t="shared" ca="1" si="737"/>
        <v/>
      </c>
      <c r="HA382" s="450" t="str">
        <f t="shared" ca="1" si="737"/>
        <v/>
      </c>
      <c r="HB382" s="450" t="str">
        <f t="shared" ca="1" si="737"/>
        <v/>
      </c>
      <c r="HC382" s="450" t="str">
        <f t="shared" ca="1" si="737"/>
        <v/>
      </c>
      <c r="HD382" s="450" t="str">
        <f t="shared" ca="1" si="737"/>
        <v/>
      </c>
      <c r="HE382" s="450" t="str">
        <f t="shared" ca="1" si="737"/>
        <v/>
      </c>
      <c r="HF382" s="450" t="str">
        <f t="shared" ca="1" si="737"/>
        <v/>
      </c>
      <c r="HG382" s="450" t="str">
        <f t="shared" ca="1" si="737"/>
        <v/>
      </c>
      <c r="HH382" s="450" t="str">
        <f t="shared" ca="1" si="737"/>
        <v/>
      </c>
      <c r="HI382" s="450" t="str">
        <f t="shared" ca="1" si="737"/>
        <v/>
      </c>
      <c r="HJ382" s="450" t="str">
        <f t="shared" ca="1" si="737"/>
        <v/>
      </c>
      <c r="HK382" s="450" t="str">
        <f t="shared" ca="1" si="737"/>
        <v/>
      </c>
      <c r="HL382" s="450" t="str">
        <f t="shared" ca="1" si="737"/>
        <v/>
      </c>
      <c r="HM382" s="450" t="str">
        <f t="shared" ca="1" si="737"/>
        <v/>
      </c>
      <c r="HN382" s="450" t="str">
        <f t="shared" ca="1" si="737"/>
        <v/>
      </c>
      <c r="HO382" s="450" t="str">
        <f t="shared" ca="1" si="737"/>
        <v/>
      </c>
      <c r="HP382" s="450" t="str">
        <f t="shared" ca="1" si="737"/>
        <v/>
      </c>
      <c r="HQ382" s="450" t="str">
        <f t="shared" ca="1" si="737"/>
        <v/>
      </c>
      <c r="HR382" s="450" t="str">
        <f t="shared" ca="1" si="737"/>
        <v/>
      </c>
      <c r="HS382" s="450" t="str">
        <f t="shared" ca="1" si="737"/>
        <v/>
      </c>
      <c r="HT382" s="450" t="str">
        <f t="shared" ca="1" si="737"/>
        <v/>
      </c>
      <c r="HU382" s="450" t="str">
        <f t="shared" ca="1" si="737"/>
        <v/>
      </c>
      <c r="HV382" s="450" t="str">
        <f t="shared" ca="1" si="737"/>
        <v/>
      </c>
      <c r="HW382" s="450" t="str">
        <f t="shared" ca="1" si="737"/>
        <v/>
      </c>
      <c r="HX382" s="450" t="str">
        <f t="shared" ca="1" si="737"/>
        <v/>
      </c>
      <c r="HY382" s="450" t="str">
        <f t="shared" ca="1" si="737"/>
        <v/>
      </c>
      <c r="HZ382" s="450" t="str">
        <f t="shared" ca="1" si="737"/>
        <v/>
      </c>
      <c r="IA382" s="450" t="str">
        <f t="shared" ca="1" si="711"/>
        <v/>
      </c>
      <c r="IB382" s="450" t="str">
        <f t="shared" ca="1" si="730"/>
        <v/>
      </c>
      <c r="IC382" s="450" t="str">
        <f t="shared" ca="1" si="730"/>
        <v/>
      </c>
      <c r="ID382" s="450" t="str">
        <f t="shared" ca="1" si="730"/>
        <v/>
      </c>
      <c r="IE382" s="450" t="str">
        <f t="shared" ca="1" si="730"/>
        <v/>
      </c>
      <c r="IF382" s="450" t="str">
        <f t="shared" ca="1" si="730"/>
        <v/>
      </c>
      <c r="IG382" s="450" t="str">
        <f t="shared" ca="1" si="730"/>
        <v/>
      </c>
      <c r="IH382" s="658" t="str">
        <f t="shared" ca="1" si="730"/>
        <v/>
      </c>
    </row>
    <row r="383" spans="9:242">
      <c r="I383" s="132"/>
      <c r="J383" s="365"/>
      <c r="K383" s="1"/>
      <c r="L383" s="1"/>
      <c r="M383" s="366"/>
      <c r="P383" s="365"/>
      <c r="S383" s="53"/>
      <c r="T383" s="365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364"/>
      <c r="AO383" s="364"/>
      <c r="AP383" s="103"/>
      <c r="AQ383" s="364"/>
      <c r="AR383" s="103"/>
      <c r="AS383" s="103"/>
      <c r="AT383" s="103"/>
      <c r="AU383" s="31"/>
      <c r="AV383" s="31"/>
      <c r="AW383" s="31"/>
      <c r="AX383" s="31"/>
      <c r="AY383" s="146"/>
      <c r="AZ383" s="146"/>
      <c r="BA383" s="103"/>
      <c r="BB383" s="103"/>
      <c r="BC383" s="103"/>
      <c r="BD383" s="103"/>
      <c r="BE383" s="104"/>
      <c r="BF383" s="104"/>
      <c r="BG383" s="104"/>
      <c r="BH383" s="102"/>
      <c r="BI383" s="104"/>
      <c r="BJ383" s="103"/>
      <c r="BK383" s="105"/>
      <c r="BL383" s="151"/>
      <c r="BM383" s="103"/>
      <c r="BN383" s="103"/>
      <c r="BO383" s="103"/>
      <c r="BP383" s="103"/>
      <c r="BQ383" s="103"/>
      <c r="BR383" s="103"/>
      <c r="BS383" s="103"/>
      <c r="BT383" s="103"/>
      <c r="BU383" s="103"/>
      <c r="BV383" s="103"/>
      <c r="BW383" s="103"/>
      <c r="BX383" s="103"/>
      <c r="BY383" s="103"/>
      <c r="BZ383" s="104"/>
      <c r="CA383" s="104"/>
      <c r="CB383" s="104"/>
      <c r="CC383" s="104"/>
      <c r="CD383" s="104"/>
      <c r="CE383" s="104"/>
      <c r="CF383" s="103"/>
      <c r="CG383" s="103"/>
      <c r="CH383" s="103"/>
      <c r="CI383" s="103"/>
      <c r="CJ383" s="103"/>
      <c r="CK383" s="103"/>
      <c r="CL383" s="103"/>
      <c r="CM383" s="103"/>
      <c r="CN383" s="103"/>
      <c r="CO383" s="103"/>
      <c r="CP383" s="103"/>
      <c r="CQ383" s="103"/>
      <c r="CR383" s="103"/>
      <c r="CS383" s="103"/>
      <c r="CT383" s="103"/>
      <c r="CU383" s="103"/>
      <c r="CV383" s="103"/>
      <c r="CW383" s="103"/>
      <c r="CX383" s="103"/>
      <c r="CY383" s="103"/>
      <c r="CZ383" s="103"/>
      <c r="DA383" s="103"/>
      <c r="DB383" s="103"/>
      <c r="DC383" s="103"/>
      <c r="DD383" s="103"/>
      <c r="DE383" s="107"/>
      <c r="DF383" s="465"/>
      <c r="DG383" s="1"/>
      <c r="DH383" s="51"/>
      <c r="DI383" s="465"/>
      <c r="DJ383" s="52"/>
      <c r="DK383" s="52"/>
      <c r="DL383" s="52"/>
      <c r="DM383" s="52"/>
      <c r="DN383" s="52"/>
      <c r="DO383" s="52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P383" s="53"/>
      <c r="EQ383" s="1"/>
      <c r="ER383" s="103"/>
      <c r="ES383" s="103"/>
      <c r="ET383" s="1"/>
      <c r="EU383" s="103"/>
      <c r="EV383" s="1"/>
      <c r="EW383" s="1"/>
      <c r="EX383" s="1"/>
      <c r="EY383" s="104"/>
      <c r="FN383" s="657">
        <v>59</v>
      </c>
      <c r="FO383" s="450">
        <f t="shared" ref="FO383:HZ383" ca="1" si="738">IF(AND(ISNUMBER(FO78),ISNUMBER(FO$320),FO$320&lt;&gt;0),FO78*FO$320/FO$15,"")</f>
        <v>6.5501929054613702E-4</v>
      </c>
      <c r="FP383" s="450">
        <f t="shared" ca="1" si="738"/>
        <v>1.0642001769951724E-3</v>
      </c>
      <c r="FQ383" s="450" t="str">
        <f t="shared" ca="1" si="738"/>
        <v/>
      </c>
      <c r="FR383" s="450" t="str">
        <f t="shared" ca="1" si="738"/>
        <v/>
      </c>
      <c r="FS383" s="450" t="str">
        <f t="shared" ca="1" si="738"/>
        <v/>
      </c>
      <c r="FT383" s="450" t="str">
        <f t="shared" ca="1" si="738"/>
        <v/>
      </c>
      <c r="FU383" s="450" t="str">
        <f t="shared" ca="1" si="738"/>
        <v/>
      </c>
      <c r="FV383" s="450" t="str">
        <f t="shared" ca="1" si="738"/>
        <v/>
      </c>
      <c r="FW383" s="450" t="str">
        <f t="shared" ca="1" si="738"/>
        <v/>
      </c>
      <c r="FX383" s="450" t="str">
        <f t="shared" ca="1" si="738"/>
        <v/>
      </c>
      <c r="FY383" s="450" t="str">
        <f t="shared" ca="1" si="738"/>
        <v/>
      </c>
      <c r="FZ383" s="450" t="str">
        <f t="shared" ca="1" si="738"/>
        <v/>
      </c>
      <c r="GA383" s="450" t="str">
        <f t="shared" ca="1" si="738"/>
        <v/>
      </c>
      <c r="GB383" s="450" t="str">
        <f t="shared" ca="1" si="738"/>
        <v/>
      </c>
      <c r="GC383" s="450" t="str">
        <f t="shared" ca="1" si="738"/>
        <v/>
      </c>
      <c r="GD383" s="450" t="str">
        <f t="shared" ca="1" si="738"/>
        <v/>
      </c>
      <c r="GE383" s="450" t="str">
        <f t="shared" ca="1" si="738"/>
        <v/>
      </c>
      <c r="GF383" s="450" t="str">
        <f t="shared" ca="1" si="738"/>
        <v/>
      </c>
      <c r="GG383" s="450" t="str">
        <f t="shared" ca="1" si="738"/>
        <v/>
      </c>
      <c r="GH383" s="450" t="str">
        <f t="shared" ca="1" si="738"/>
        <v/>
      </c>
      <c r="GI383" s="450" t="str">
        <f t="shared" ca="1" si="738"/>
        <v/>
      </c>
      <c r="GJ383" s="450" t="str">
        <f t="shared" ca="1" si="738"/>
        <v/>
      </c>
      <c r="GK383" s="450" t="str">
        <f t="shared" ca="1" si="738"/>
        <v/>
      </c>
      <c r="GL383" s="450" t="str">
        <f t="shared" ca="1" si="738"/>
        <v/>
      </c>
      <c r="GM383" s="450" t="str">
        <f t="shared" ca="1" si="738"/>
        <v/>
      </c>
      <c r="GN383" s="450" t="str">
        <f t="shared" ca="1" si="738"/>
        <v/>
      </c>
      <c r="GO383" s="450" t="str">
        <f t="shared" ca="1" si="738"/>
        <v/>
      </c>
      <c r="GP383" s="450" t="str">
        <f t="shared" ca="1" si="738"/>
        <v/>
      </c>
      <c r="GQ383" s="450" t="str">
        <f t="shared" ca="1" si="738"/>
        <v/>
      </c>
      <c r="GR383" s="450" t="str">
        <f t="shared" ca="1" si="738"/>
        <v/>
      </c>
      <c r="GS383" s="450" t="str">
        <f t="shared" ca="1" si="738"/>
        <v/>
      </c>
      <c r="GT383" s="450" t="str">
        <f t="shared" ca="1" si="738"/>
        <v/>
      </c>
      <c r="GU383" s="450" t="str">
        <f t="shared" ca="1" si="738"/>
        <v/>
      </c>
      <c r="GV383" s="450" t="str">
        <f t="shared" ca="1" si="738"/>
        <v/>
      </c>
      <c r="GW383" s="450" t="str">
        <f t="shared" ca="1" si="738"/>
        <v/>
      </c>
      <c r="GX383" s="450" t="str">
        <f t="shared" ca="1" si="738"/>
        <v/>
      </c>
      <c r="GY383" s="450" t="str">
        <f t="shared" ca="1" si="738"/>
        <v/>
      </c>
      <c r="GZ383" s="450" t="str">
        <f t="shared" ca="1" si="738"/>
        <v/>
      </c>
      <c r="HA383" s="450" t="str">
        <f t="shared" ca="1" si="738"/>
        <v/>
      </c>
      <c r="HB383" s="450" t="str">
        <f t="shared" ca="1" si="738"/>
        <v/>
      </c>
      <c r="HC383" s="450" t="str">
        <f t="shared" ca="1" si="738"/>
        <v/>
      </c>
      <c r="HD383" s="450" t="str">
        <f t="shared" ca="1" si="738"/>
        <v/>
      </c>
      <c r="HE383" s="450" t="str">
        <f t="shared" ca="1" si="738"/>
        <v/>
      </c>
      <c r="HF383" s="450" t="str">
        <f t="shared" ca="1" si="738"/>
        <v/>
      </c>
      <c r="HG383" s="450" t="str">
        <f t="shared" ca="1" si="738"/>
        <v/>
      </c>
      <c r="HH383" s="450" t="str">
        <f t="shared" ca="1" si="738"/>
        <v/>
      </c>
      <c r="HI383" s="450" t="str">
        <f t="shared" ca="1" si="738"/>
        <v/>
      </c>
      <c r="HJ383" s="450" t="str">
        <f t="shared" ca="1" si="738"/>
        <v/>
      </c>
      <c r="HK383" s="450" t="str">
        <f t="shared" ca="1" si="738"/>
        <v/>
      </c>
      <c r="HL383" s="450" t="str">
        <f t="shared" ca="1" si="738"/>
        <v/>
      </c>
      <c r="HM383" s="450" t="str">
        <f t="shared" ca="1" si="738"/>
        <v/>
      </c>
      <c r="HN383" s="450" t="str">
        <f t="shared" ca="1" si="738"/>
        <v/>
      </c>
      <c r="HO383" s="450" t="str">
        <f t="shared" ca="1" si="738"/>
        <v/>
      </c>
      <c r="HP383" s="450" t="str">
        <f t="shared" ca="1" si="738"/>
        <v/>
      </c>
      <c r="HQ383" s="450" t="str">
        <f t="shared" ca="1" si="738"/>
        <v/>
      </c>
      <c r="HR383" s="450" t="str">
        <f t="shared" ca="1" si="738"/>
        <v/>
      </c>
      <c r="HS383" s="450" t="str">
        <f t="shared" ca="1" si="738"/>
        <v/>
      </c>
      <c r="HT383" s="450" t="str">
        <f t="shared" ca="1" si="738"/>
        <v/>
      </c>
      <c r="HU383" s="450" t="str">
        <f t="shared" ca="1" si="738"/>
        <v/>
      </c>
      <c r="HV383" s="450" t="str">
        <f t="shared" ca="1" si="738"/>
        <v/>
      </c>
      <c r="HW383" s="450" t="str">
        <f t="shared" ca="1" si="738"/>
        <v/>
      </c>
      <c r="HX383" s="450" t="str">
        <f t="shared" ca="1" si="738"/>
        <v/>
      </c>
      <c r="HY383" s="450" t="str">
        <f t="shared" ca="1" si="738"/>
        <v/>
      </c>
      <c r="HZ383" s="450" t="str">
        <f t="shared" ca="1" si="738"/>
        <v/>
      </c>
      <c r="IA383" s="450" t="str">
        <f t="shared" ca="1" si="711"/>
        <v/>
      </c>
      <c r="IB383" s="450" t="str">
        <f t="shared" ca="1" si="730"/>
        <v/>
      </c>
      <c r="IC383" s="450" t="str">
        <f t="shared" ca="1" si="730"/>
        <v/>
      </c>
      <c r="ID383" s="450" t="str">
        <f t="shared" ca="1" si="730"/>
        <v/>
      </c>
      <c r="IE383" s="450" t="str">
        <f t="shared" ca="1" si="730"/>
        <v/>
      </c>
      <c r="IF383" s="450" t="str">
        <f t="shared" ca="1" si="730"/>
        <v/>
      </c>
      <c r="IG383" s="450" t="str">
        <f t="shared" ca="1" si="730"/>
        <v/>
      </c>
      <c r="IH383" s="658" t="str">
        <f t="shared" ca="1" si="730"/>
        <v/>
      </c>
    </row>
    <row r="384" spans="9:242">
      <c r="I384" s="132"/>
      <c r="J384" s="365"/>
      <c r="K384" s="1"/>
      <c r="L384" s="1"/>
      <c r="M384" s="366"/>
      <c r="P384" s="365"/>
      <c r="S384" s="53"/>
      <c r="T384" s="365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364"/>
      <c r="AO384" s="364"/>
      <c r="AP384" s="103"/>
      <c r="AQ384" s="364"/>
      <c r="AR384" s="103"/>
      <c r="AS384" s="103"/>
      <c r="AT384" s="103"/>
      <c r="AU384" s="31"/>
      <c r="AV384" s="31"/>
      <c r="AW384" s="31"/>
      <c r="AX384" s="31"/>
      <c r="AY384" s="146"/>
      <c r="AZ384" s="146"/>
      <c r="BA384" s="103"/>
      <c r="BB384" s="103"/>
      <c r="BC384" s="103"/>
      <c r="BD384" s="103"/>
      <c r="BE384" s="104"/>
      <c r="BF384" s="104"/>
      <c r="BG384" s="104"/>
      <c r="BH384" s="102"/>
      <c r="BI384" s="104"/>
      <c r="BJ384" s="103"/>
      <c r="BK384" s="105"/>
      <c r="BL384" s="151"/>
      <c r="BM384" s="103"/>
      <c r="BN384" s="103"/>
      <c r="BO384" s="103"/>
      <c r="BP384" s="103"/>
      <c r="BQ384" s="103"/>
      <c r="BR384" s="103"/>
      <c r="BS384" s="103"/>
      <c r="BT384" s="103"/>
      <c r="BU384" s="103"/>
      <c r="BV384" s="103"/>
      <c r="BW384" s="103"/>
      <c r="BX384" s="103"/>
      <c r="BY384" s="103"/>
      <c r="BZ384" s="104"/>
      <c r="CA384" s="104"/>
      <c r="CB384" s="104"/>
      <c r="CC384" s="104"/>
      <c r="CD384" s="104"/>
      <c r="CE384" s="104"/>
      <c r="CF384" s="103"/>
      <c r="CG384" s="103"/>
      <c r="CH384" s="103"/>
      <c r="CI384" s="103"/>
      <c r="CJ384" s="103"/>
      <c r="CK384" s="103"/>
      <c r="CL384" s="103"/>
      <c r="CM384" s="103"/>
      <c r="CN384" s="103"/>
      <c r="CO384" s="103"/>
      <c r="CP384" s="103"/>
      <c r="CQ384" s="103"/>
      <c r="CR384" s="103"/>
      <c r="CS384" s="103"/>
      <c r="CT384" s="103"/>
      <c r="CU384" s="103"/>
      <c r="CV384" s="103"/>
      <c r="CW384" s="103"/>
      <c r="CX384" s="103"/>
      <c r="CY384" s="103"/>
      <c r="CZ384" s="103"/>
      <c r="DA384" s="103"/>
      <c r="DB384" s="103"/>
      <c r="DC384" s="103"/>
      <c r="DD384" s="103"/>
      <c r="DE384" s="107"/>
      <c r="DF384" s="465"/>
      <c r="DG384" s="1"/>
      <c r="DH384" s="51"/>
      <c r="DI384" s="465"/>
      <c r="DJ384" s="52"/>
      <c r="DK384" s="52"/>
      <c r="DL384" s="52"/>
      <c r="DM384" s="52"/>
      <c r="DN384" s="52"/>
      <c r="DO384" s="52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P384" s="53"/>
      <c r="EQ384" s="1"/>
      <c r="ER384" s="103"/>
      <c r="ES384" s="103"/>
      <c r="ET384" s="1"/>
      <c r="EU384" s="103"/>
      <c r="EV384" s="1"/>
      <c r="EW384" s="1"/>
      <c r="EX384" s="1"/>
      <c r="EY384" s="104"/>
      <c r="FN384" s="657">
        <v>60</v>
      </c>
      <c r="FO384" s="450">
        <f t="shared" ref="FO384:HZ384" ca="1" si="739">IF(AND(ISNUMBER(FO79),ISNUMBER(FO$320),FO$320&lt;&gt;0),FO79*FO$320/FO$15,"")</f>
        <v>6.5479241640781704E-4</v>
      </c>
      <c r="FP384" s="450">
        <f t="shared" ca="1" si="739"/>
        <v>1.0637906224783302E-3</v>
      </c>
      <c r="FQ384" s="450" t="str">
        <f t="shared" ca="1" si="739"/>
        <v/>
      </c>
      <c r="FR384" s="450" t="str">
        <f t="shared" ca="1" si="739"/>
        <v/>
      </c>
      <c r="FS384" s="450" t="str">
        <f t="shared" ca="1" si="739"/>
        <v/>
      </c>
      <c r="FT384" s="450" t="str">
        <f t="shared" ca="1" si="739"/>
        <v/>
      </c>
      <c r="FU384" s="450" t="str">
        <f t="shared" ca="1" si="739"/>
        <v/>
      </c>
      <c r="FV384" s="450" t="str">
        <f t="shared" ca="1" si="739"/>
        <v/>
      </c>
      <c r="FW384" s="450" t="str">
        <f t="shared" ca="1" si="739"/>
        <v/>
      </c>
      <c r="FX384" s="450" t="str">
        <f t="shared" ca="1" si="739"/>
        <v/>
      </c>
      <c r="FY384" s="450" t="str">
        <f t="shared" ca="1" si="739"/>
        <v/>
      </c>
      <c r="FZ384" s="450" t="str">
        <f t="shared" ca="1" si="739"/>
        <v/>
      </c>
      <c r="GA384" s="450" t="str">
        <f t="shared" ca="1" si="739"/>
        <v/>
      </c>
      <c r="GB384" s="450" t="str">
        <f t="shared" ca="1" si="739"/>
        <v/>
      </c>
      <c r="GC384" s="450" t="str">
        <f t="shared" ca="1" si="739"/>
        <v/>
      </c>
      <c r="GD384" s="450" t="str">
        <f t="shared" ca="1" si="739"/>
        <v/>
      </c>
      <c r="GE384" s="450" t="str">
        <f t="shared" ca="1" si="739"/>
        <v/>
      </c>
      <c r="GF384" s="450" t="str">
        <f t="shared" ca="1" si="739"/>
        <v/>
      </c>
      <c r="GG384" s="450" t="str">
        <f t="shared" ca="1" si="739"/>
        <v/>
      </c>
      <c r="GH384" s="450" t="str">
        <f t="shared" ca="1" si="739"/>
        <v/>
      </c>
      <c r="GI384" s="450" t="str">
        <f t="shared" ca="1" si="739"/>
        <v/>
      </c>
      <c r="GJ384" s="450" t="str">
        <f t="shared" ca="1" si="739"/>
        <v/>
      </c>
      <c r="GK384" s="450" t="str">
        <f t="shared" ca="1" si="739"/>
        <v/>
      </c>
      <c r="GL384" s="450" t="str">
        <f t="shared" ca="1" si="739"/>
        <v/>
      </c>
      <c r="GM384" s="450" t="str">
        <f t="shared" ca="1" si="739"/>
        <v/>
      </c>
      <c r="GN384" s="450" t="str">
        <f t="shared" ca="1" si="739"/>
        <v/>
      </c>
      <c r="GO384" s="450" t="str">
        <f t="shared" ca="1" si="739"/>
        <v/>
      </c>
      <c r="GP384" s="450" t="str">
        <f t="shared" ca="1" si="739"/>
        <v/>
      </c>
      <c r="GQ384" s="450" t="str">
        <f t="shared" ca="1" si="739"/>
        <v/>
      </c>
      <c r="GR384" s="450" t="str">
        <f t="shared" ca="1" si="739"/>
        <v/>
      </c>
      <c r="GS384" s="450" t="str">
        <f t="shared" ca="1" si="739"/>
        <v/>
      </c>
      <c r="GT384" s="450" t="str">
        <f t="shared" ca="1" si="739"/>
        <v/>
      </c>
      <c r="GU384" s="450" t="str">
        <f t="shared" ca="1" si="739"/>
        <v/>
      </c>
      <c r="GV384" s="450" t="str">
        <f t="shared" ca="1" si="739"/>
        <v/>
      </c>
      <c r="GW384" s="450" t="str">
        <f t="shared" ca="1" si="739"/>
        <v/>
      </c>
      <c r="GX384" s="450" t="str">
        <f t="shared" ca="1" si="739"/>
        <v/>
      </c>
      <c r="GY384" s="450" t="str">
        <f t="shared" ca="1" si="739"/>
        <v/>
      </c>
      <c r="GZ384" s="450" t="str">
        <f t="shared" ca="1" si="739"/>
        <v/>
      </c>
      <c r="HA384" s="450" t="str">
        <f t="shared" ca="1" si="739"/>
        <v/>
      </c>
      <c r="HB384" s="450" t="str">
        <f t="shared" ca="1" si="739"/>
        <v/>
      </c>
      <c r="HC384" s="450" t="str">
        <f t="shared" ca="1" si="739"/>
        <v/>
      </c>
      <c r="HD384" s="450" t="str">
        <f t="shared" ca="1" si="739"/>
        <v/>
      </c>
      <c r="HE384" s="450" t="str">
        <f t="shared" ca="1" si="739"/>
        <v/>
      </c>
      <c r="HF384" s="450" t="str">
        <f t="shared" ca="1" si="739"/>
        <v/>
      </c>
      <c r="HG384" s="450" t="str">
        <f t="shared" ca="1" si="739"/>
        <v/>
      </c>
      <c r="HH384" s="450" t="str">
        <f t="shared" ca="1" si="739"/>
        <v/>
      </c>
      <c r="HI384" s="450" t="str">
        <f t="shared" ca="1" si="739"/>
        <v/>
      </c>
      <c r="HJ384" s="450" t="str">
        <f t="shared" ca="1" si="739"/>
        <v/>
      </c>
      <c r="HK384" s="450" t="str">
        <f t="shared" ca="1" si="739"/>
        <v/>
      </c>
      <c r="HL384" s="450" t="str">
        <f t="shared" ca="1" si="739"/>
        <v/>
      </c>
      <c r="HM384" s="450" t="str">
        <f t="shared" ca="1" si="739"/>
        <v/>
      </c>
      <c r="HN384" s="450" t="str">
        <f t="shared" ca="1" si="739"/>
        <v/>
      </c>
      <c r="HO384" s="450" t="str">
        <f t="shared" ca="1" si="739"/>
        <v/>
      </c>
      <c r="HP384" s="450" t="str">
        <f t="shared" ca="1" si="739"/>
        <v/>
      </c>
      <c r="HQ384" s="450" t="str">
        <f t="shared" ca="1" si="739"/>
        <v/>
      </c>
      <c r="HR384" s="450" t="str">
        <f t="shared" ca="1" si="739"/>
        <v/>
      </c>
      <c r="HS384" s="450" t="str">
        <f t="shared" ca="1" si="739"/>
        <v/>
      </c>
      <c r="HT384" s="450" t="str">
        <f t="shared" ca="1" si="739"/>
        <v/>
      </c>
      <c r="HU384" s="450" t="str">
        <f t="shared" ca="1" si="739"/>
        <v/>
      </c>
      <c r="HV384" s="450" t="str">
        <f t="shared" ca="1" si="739"/>
        <v/>
      </c>
      <c r="HW384" s="450" t="str">
        <f t="shared" ca="1" si="739"/>
        <v/>
      </c>
      <c r="HX384" s="450" t="str">
        <f t="shared" ca="1" si="739"/>
        <v/>
      </c>
      <c r="HY384" s="450" t="str">
        <f t="shared" ca="1" si="739"/>
        <v/>
      </c>
      <c r="HZ384" s="450" t="str">
        <f t="shared" ca="1" si="739"/>
        <v/>
      </c>
      <c r="IA384" s="450" t="str">
        <f t="shared" ca="1" si="711"/>
        <v/>
      </c>
      <c r="IB384" s="450" t="str">
        <f t="shared" ca="1" si="730"/>
        <v/>
      </c>
      <c r="IC384" s="450" t="str">
        <f t="shared" ca="1" si="730"/>
        <v/>
      </c>
      <c r="ID384" s="450" t="str">
        <f t="shared" ca="1" si="730"/>
        <v/>
      </c>
      <c r="IE384" s="450" t="str">
        <f t="shared" ca="1" si="730"/>
        <v/>
      </c>
      <c r="IF384" s="450" t="str">
        <f t="shared" ca="1" si="730"/>
        <v/>
      </c>
      <c r="IG384" s="450" t="str">
        <f t="shared" ca="1" si="730"/>
        <v/>
      </c>
      <c r="IH384" s="658" t="str">
        <f t="shared" ca="1" si="730"/>
        <v/>
      </c>
    </row>
    <row r="385" spans="9:242">
      <c r="I385" s="132"/>
      <c r="J385" s="365"/>
      <c r="K385" s="1"/>
      <c r="L385" s="1"/>
      <c r="M385" s="366"/>
      <c r="P385" s="365"/>
      <c r="S385" s="53"/>
      <c r="T385" s="365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364"/>
      <c r="AO385" s="364"/>
      <c r="AP385" s="103"/>
      <c r="AQ385" s="364"/>
      <c r="AR385" s="103"/>
      <c r="AS385" s="103"/>
      <c r="AT385" s="103"/>
      <c r="AU385" s="31"/>
      <c r="AV385" s="31"/>
      <c r="AW385" s="31"/>
      <c r="AX385" s="31"/>
      <c r="AY385" s="146"/>
      <c r="AZ385" s="146"/>
      <c r="BA385" s="103"/>
      <c r="BB385" s="103"/>
      <c r="BC385" s="103"/>
      <c r="BD385" s="103"/>
      <c r="BE385" s="104"/>
      <c r="BF385" s="104"/>
      <c r="BG385" s="104"/>
      <c r="BH385" s="102"/>
      <c r="BI385" s="104"/>
      <c r="BJ385" s="103"/>
      <c r="BK385" s="105"/>
      <c r="BL385" s="151"/>
      <c r="BM385" s="103"/>
      <c r="BN385" s="103"/>
      <c r="BO385" s="103"/>
      <c r="BP385" s="103"/>
      <c r="BQ385" s="103"/>
      <c r="BR385" s="103"/>
      <c r="BS385" s="103"/>
      <c r="BT385" s="103"/>
      <c r="BU385" s="103"/>
      <c r="BV385" s="103"/>
      <c r="BW385" s="103"/>
      <c r="BX385" s="103"/>
      <c r="BY385" s="103"/>
      <c r="BZ385" s="104"/>
      <c r="CA385" s="104"/>
      <c r="CB385" s="104"/>
      <c r="CC385" s="104"/>
      <c r="CD385" s="104"/>
      <c r="CE385" s="104"/>
      <c r="CF385" s="103"/>
      <c r="CG385" s="103"/>
      <c r="CH385" s="103"/>
      <c r="CI385" s="103"/>
      <c r="CJ385" s="103"/>
      <c r="CK385" s="103"/>
      <c r="CL385" s="103"/>
      <c r="CM385" s="103"/>
      <c r="CN385" s="103"/>
      <c r="CO385" s="103"/>
      <c r="CP385" s="103"/>
      <c r="CQ385" s="103"/>
      <c r="CR385" s="103"/>
      <c r="CS385" s="103"/>
      <c r="CT385" s="103"/>
      <c r="CU385" s="103"/>
      <c r="CV385" s="103"/>
      <c r="CW385" s="103"/>
      <c r="CX385" s="103"/>
      <c r="CY385" s="103"/>
      <c r="CZ385" s="103"/>
      <c r="DA385" s="103"/>
      <c r="DB385" s="103"/>
      <c r="DC385" s="103"/>
      <c r="DD385" s="103"/>
      <c r="DE385" s="107"/>
      <c r="DF385" s="465"/>
      <c r="DG385" s="1"/>
      <c r="DH385" s="51"/>
      <c r="DI385" s="465"/>
      <c r="DJ385" s="52"/>
      <c r="DK385" s="52"/>
      <c r="DL385" s="52"/>
      <c r="DM385" s="52"/>
      <c r="DN385" s="52"/>
      <c r="DO385" s="52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P385" s="53"/>
      <c r="EQ385" s="1"/>
      <c r="ER385" s="103"/>
      <c r="ES385" s="103"/>
      <c r="ET385" s="1"/>
      <c r="EU385" s="103"/>
      <c r="EV385" s="1"/>
      <c r="EW385" s="1"/>
      <c r="EX385" s="1"/>
      <c r="EY385" s="104"/>
      <c r="FN385" s="657">
        <v>61</v>
      </c>
      <c r="FO385" s="450">
        <f t="shared" ref="FO385:HZ385" ca="1" si="740">IF(AND(ISNUMBER(FO80),ISNUMBER(FO$320),FO$320&lt;&gt;0),FO80*FO$320/FO$15,"")</f>
        <v>6.5458830040595944E-4</v>
      </c>
      <c r="FP385" s="450">
        <f t="shared" ca="1" si="740"/>
        <v>1.0634221652675107E-3</v>
      </c>
      <c r="FQ385" s="450" t="str">
        <f t="shared" ca="1" si="740"/>
        <v/>
      </c>
      <c r="FR385" s="450" t="str">
        <f t="shared" ca="1" si="740"/>
        <v/>
      </c>
      <c r="FS385" s="450" t="str">
        <f t="shared" ca="1" si="740"/>
        <v/>
      </c>
      <c r="FT385" s="450" t="str">
        <f t="shared" ca="1" si="740"/>
        <v/>
      </c>
      <c r="FU385" s="450" t="str">
        <f t="shared" ca="1" si="740"/>
        <v/>
      </c>
      <c r="FV385" s="450" t="str">
        <f t="shared" ca="1" si="740"/>
        <v/>
      </c>
      <c r="FW385" s="450" t="str">
        <f t="shared" ca="1" si="740"/>
        <v/>
      </c>
      <c r="FX385" s="450" t="str">
        <f t="shared" ca="1" si="740"/>
        <v/>
      </c>
      <c r="FY385" s="450" t="str">
        <f t="shared" ca="1" si="740"/>
        <v/>
      </c>
      <c r="FZ385" s="450" t="str">
        <f t="shared" ca="1" si="740"/>
        <v/>
      </c>
      <c r="GA385" s="450" t="str">
        <f t="shared" ca="1" si="740"/>
        <v/>
      </c>
      <c r="GB385" s="450" t="str">
        <f t="shared" ca="1" si="740"/>
        <v/>
      </c>
      <c r="GC385" s="450" t="str">
        <f t="shared" ca="1" si="740"/>
        <v/>
      </c>
      <c r="GD385" s="450" t="str">
        <f t="shared" ca="1" si="740"/>
        <v/>
      </c>
      <c r="GE385" s="450" t="str">
        <f t="shared" ca="1" si="740"/>
        <v/>
      </c>
      <c r="GF385" s="450" t="str">
        <f t="shared" ca="1" si="740"/>
        <v/>
      </c>
      <c r="GG385" s="450" t="str">
        <f t="shared" ca="1" si="740"/>
        <v/>
      </c>
      <c r="GH385" s="450" t="str">
        <f t="shared" ca="1" si="740"/>
        <v/>
      </c>
      <c r="GI385" s="450" t="str">
        <f t="shared" ca="1" si="740"/>
        <v/>
      </c>
      <c r="GJ385" s="450" t="str">
        <f t="shared" ca="1" si="740"/>
        <v/>
      </c>
      <c r="GK385" s="450" t="str">
        <f t="shared" ca="1" si="740"/>
        <v/>
      </c>
      <c r="GL385" s="450" t="str">
        <f t="shared" ca="1" si="740"/>
        <v/>
      </c>
      <c r="GM385" s="450" t="str">
        <f t="shared" ca="1" si="740"/>
        <v/>
      </c>
      <c r="GN385" s="450" t="str">
        <f t="shared" ca="1" si="740"/>
        <v/>
      </c>
      <c r="GO385" s="450" t="str">
        <f t="shared" ca="1" si="740"/>
        <v/>
      </c>
      <c r="GP385" s="450" t="str">
        <f t="shared" ca="1" si="740"/>
        <v/>
      </c>
      <c r="GQ385" s="450" t="str">
        <f t="shared" ca="1" si="740"/>
        <v/>
      </c>
      <c r="GR385" s="450" t="str">
        <f t="shared" ca="1" si="740"/>
        <v/>
      </c>
      <c r="GS385" s="450" t="str">
        <f t="shared" ca="1" si="740"/>
        <v/>
      </c>
      <c r="GT385" s="450" t="str">
        <f t="shared" ca="1" si="740"/>
        <v/>
      </c>
      <c r="GU385" s="450" t="str">
        <f t="shared" ca="1" si="740"/>
        <v/>
      </c>
      <c r="GV385" s="450" t="str">
        <f t="shared" ca="1" si="740"/>
        <v/>
      </c>
      <c r="GW385" s="450" t="str">
        <f t="shared" ca="1" si="740"/>
        <v/>
      </c>
      <c r="GX385" s="450" t="str">
        <f t="shared" ca="1" si="740"/>
        <v/>
      </c>
      <c r="GY385" s="450" t="str">
        <f t="shared" ca="1" si="740"/>
        <v/>
      </c>
      <c r="GZ385" s="450" t="str">
        <f t="shared" ca="1" si="740"/>
        <v/>
      </c>
      <c r="HA385" s="450" t="str">
        <f t="shared" ca="1" si="740"/>
        <v/>
      </c>
      <c r="HB385" s="450" t="str">
        <f t="shared" ca="1" si="740"/>
        <v/>
      </c>
      <c r="HC385" s="450" t="str">
        <f t="shared" ca="1" si="740"/>
        <v/>
      </c>
      <c r="HD385" s="450" t="str">
        <f t="shared" ca="1" si="740"/>
        <v/>
      </c>
      <c r="HE385" s="450" t="str">
        <f t="shared" ca="1" si="740"/>
        <v/>
      </c>
      <c r="HF385" s="450" t="str">
        <f t="shared" ca="1" si="740"/>
        <v/>
      </c>
      <c r="HG385" s="450" t="str">
        <f t="shared" ca="1" si="740"/>
        <v/>
      </c>
      <c r="HH385" s="450" t="str">
        <f t="shared" ca="1" si="740"/>
        <v/>
      </c>
      <c r="HI385" s="450" t="str">
        <f t="shared" ca="1" si="740"/>
        <v/>
      </c>
      <c r="HJ385" s="450" t="str">
        <f t="shared" ca="1" si="740"/>
        <v/>
      </c>
      <c r="HK385" s="450" t="str">
        <f t="shared" ca="1" si="740"/>
        <v/>
      </c>
      <c r="HL385" s="450" t="str">
        <f t="shared" ca="1" si="740"/>
        <v/>
      </c>
      <c r="HM385" s="450" t="str">
        <f t="shared" ca="1" si="740"/>
        <v/>
      </c>
      <c r="HN385" s="450" t="str">
        <f t="shared" ca="1" si="740"/>
        <v/>
      </c>
      <c r="HO385" s="450" t="str">
        <f t="shared" ca="1" si="740"/>
        <v/>
      </c>
      <c r="HP385" s="450" t="str">
        <f t="shared" ca="1" si="740"/>
        <v/>
      </c>
      <c r="HQ385" s="450" t="str">
        <f t="shared" ca="1" si="740"/>
        <v/>
      </c>
      <c r="HR385" s="450" t="str">
        <f t="shared" ca="1" si="740"/>
        <v/>
      </c>
      <c r="HS385" s="450" t="str">
        <f t="shared" ca="1" si="740"/>
        <v/>
      </c>
      <c r="HT385" s="450" t="str">
        <f t="shared" ca="1" si="740"/>
        <v/>
      </c>
      <c r="HU385" s="450" t="str">
        <f t="shared" ca="1" si="740"/>
        <v/>
      </c>
      <c r="HV385" s="450" t="str">
        <f t="shared" ca="1" si="740"/>
        <v/>
      </c>
      <c r="HW385" s="450" t="str">
        <f t="shared" ca="1" si="740"/>
        <v/>
      </c>
      <c r="HX385" s="450" t="str">
        <f t="shared" ca="1" si="740"/>
        <v/>
      </c>
      <c r="HY385" s="450" t="str">
        <f t="shared" ca="1" si="740"/>
        <v/>
      </c>
      <c r="HZ385" s="450" t="str">
        <f t="shared" ca="1" si="740"/>
        <v/>
      </c>
      <c r="IA385" s="450" t="str">
        <f t="shared" ca="1" si="711"/>
        <v/>
      </c>
      <c r="IB385" s="450" t="str">
        <f t="shared" ref="IB385:IH394" ca="1" si="741">IF(AND(ISNUMBER(IB80),ISNUMBER(IB$320),IB$320&lt;&gt;0),IB80*IB$320/IB$15,"")</f>
        <v/>
      </c>
      <c r="IC385" s="450" t="str">
        <f t="shared" ca="1" si="741"/>
        <v/>
      </c>
      <c r="ID385" s="450" t="str">
        <f t="shared" ca="1" si="741"/>
        <v/>
      </c>
      <c r="IE385" s="450" t="str">
        <f t="shared" ca="1" si="741"/>
        <v/>
      </c>
      <c r="IF385" s="450" t="str">
        <f t="shared" ca="1" si="741"/>
        <v/>
      </c>
      <c r="IG385" s="450" t="str">
        <f t="shared" ca="1" si="741"/>
        <v/>
      </c>
      <c r="IH385" s="658" t="str">
        <f t="shared" ca="1" si="741"/>
        <v/>
      </c>
    </row>
    <row r="386" spans="9:242">
      <c r="I386" s="132"/>
      <c r="J386" s="365"/>
      <c r="K386" s="1"/>
      <c r="L386" s="1"/>
      <c r="M386" s="366"/>
      <c r="P386" s="365"/>
      <c r="S386" s="53"/>
      <c r="T386" s="365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364"/>
      <c r="AO386" s="364"/>
      <c r="AP386" s="103"/>
      <c r="AQ386" s="364"/>
      <c r="AR386" s="103"/>
      <c r="AS386" s="103"/>
      <c r="AT386" s="103"/>
      <c r="AU386" s="31"/>
      <c r="AV386" s="31"/>
      <c r="AW386" s="31"/>
      <c r="AX386" s="31"/>
      <c r="AY386" s="146"/>
      <c r="AZ386" s="146"/>
      <c r="BA386" s="103"/>
      <c r="BB386" s="103"/>
      <c r="BC386" s="103"/>
      <c r="BD386" s="103"/>
      <c r="BE386" s="104"/>
      <c r="BF386" s="104"/>
      <c r="BG386" s="104"/>
      <c r="BH386" s="102"/>
      <c r="BI386" s="104"/>
      <c r="BJ386" s="103"/>
      <c r="BK386" s="105"/>
      <c r="BL386" s="151"/>
      <c r="BM386" s="103"/>
      <c r="BN386" s="103"/>
      <c r="BO386" s="103"/>
      <c r="BP386" s="103"/>
      <c r="BQ386" s="103"/>
      <c r="BR386" s="103"/>
      <c r="BS386" s="103"/>
      <c r="BT386" s="103"/>
      <c r="BU386" s="103"/>
      <c r="BV386" s="103"/>
      <c r="BW386" s="103"/>
      <c r="BX386" s="103"/>
      <c r="BY386" s="103"/>
      <c r="BZ386" s="104"/>
      <c r="CA386" s="104"/>
      <c r="CB386" s="104"/>
      <c r="CC386" s="104"/>
      <c r="CD386" s="104"/>
      <c r="CE386" s="104"/>
      <c r="CF386" s="103"/>
      <c r="CG386" s="103"/>
      <c r="CH386" s="103"/>
      <c r="CI386" s="103"/>
      <c r="CJ386" s="103"/>
      <c r="CK386" s="103"/>
      <c r="CL386" s="103"/>
      <c r="CM386" s="103"/>
      <c r="CN386" s="103"/>
      <c r="CO386" s="103"/>
      <c r="CP386" s="103"/>
      <c r="CQ386" s="103"/>
      <c r="CR386" s="103"/>
      <c r="CS386" s="103"/>
      <c r="CT386" s="103"/>
      <c r="CU386" s="103"/>
      <c r="CV386" s="103"/>
      <c r="CW386" s="103"/>
      <c r="CX386" s="103"/>
      <c r="CY386" s="103"/>
      <c r="CZ386" s="103"/>
      <c r="DA386" s="103"/>
      <c r="DB386" s="103"/>
      <c r="DC386" s="103"/>
      <c r="DD386" s="103"/>
      <c r="DE386" s="107"/>
      <c r="DF386" s="465"/>
      <c r="DG386" s="1"/>
      <c r="DH386" s="51"/>
      <c r="DI386" s="465"/>
      <c r="DJ386" s="52"/>
      <c r="DK386" s="52"/>
      <c r="DL386" s="52"/>
      <c r="DM386" s="52"/>
      <c r="DN386" s="52"/>
      <c r="DO386" s="52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P386" s="53"/>
      <c r="EQ386" s="1"/>
      <c r="ER386" s="103"/>
      <c r="ES386" s="103"/>
      <c r="ET386" s="1"/>
      <c r="EU386" s="103"/>
      <c r="EV386" s="1"/>
      <c r="EW386" s="1"/>
      <c r="EX386" s="1"/>
      <c r="EY386" s="104"/>
      <c r="FN386" s="657">
        <v>62</v>
      </c>
      <c r="FO386" s="450">
        <f t="shared" ref="FO386:HZ386" ca="1" si="742">IF(AND(ISNUMBER(FO81),ISNUMBER(FO$320),FO$320&lt;&gt;0),FO81*FO$320/FO$15,"")</f>
        <v>6.5440465326977685E-4</v>
      </c>
      <c r="FP386" s="450">
        <f t="shared" ca="1" si="742"/>
        <v>1.0630906686355675E-3</v>
      </c>
      <c r="FQ386" s="450" t="str">
        <f t="shared" ca="1" si="742"/>
        <v/>
      </c>
      <c r="FR386" s="450" t="str">
        <f t="shared" ca="1" si="742"/>
        <v/>
      </c>
      <c r="FS386" s="450" t="str">
        <f t="shared" ca="1" si="742"/>
        <v/>
      </c>
      <c r="FT386" s="450" t="str">
        <f t="shared" ca="1" si="742"/>
        <v/>
      </c>
      <c r="FU386" s="450" t="str">
        <f t="shared" ca="1" si="742"/>
        <v/>
      </c>
      <c r="FV386" s="450" t="str">
        <f t="shared" ca="1" si="742"/>
        <v/>
      </c>
      <c r="FW386" s="450" t="str">
        <f t="shared" ca="1" si="742"/>
        <v/>
      </c>
      <c r="FX386" s="450" t="str">
        <f t="shared" ca="1" si="742"/>
        <v/>
      </c>
      <c r="FY386" s="450" t="str">
        <f t="shared" ca="1" si="742"/>
        <v/>
      </c>
      <c r="FZ386" s="450" t="str">
        <f t="shared" ca="1" si="742"/>
        <v/>
      </c>
      <c r="GA386" s="450" t="str">
        <f t="shared" ca="1" si="742"/>
        <v/>
      </c>
      <c r="GB386" s="450" t="str">
        <f t="shared" ca="1" si="742"/>
        <v/>
      </c>
      <c r="GC386" s="450" t="str">
        <f t="shared" ca="1" si="742"/>
        <v/>
      </c>
      <c r="GD386" s="450" t="str">
        <f t="shared" ca="1" si="742"/>
        <v/>
      </c>
      <c r="GE386" s="450" t="str">
        <f t="shared" ca="1" si="742"/>
        <v/>
      </c>
      <c r="GF386" s="450" t="str">
        <f t="shared" ca="1" si="742"/>
        <v/>
      </c>
      <c r="GG386" s="450" t="str">
        <f t="shared" ca="1" si="742"/>
        <v/>
      </c>
      <c r="GH386" s="450" t="str">
        <f t="shared" ca="1" si="742"/>
        <v/>
      </c>
      <c r="GI386" s="450" t="str">
        <f t="shared" ca="1" si="742"/>
        <v/>
      </c>
      <c r="GJ386" s="450" t="str">
        <f t="shared" ca="1" si="742"/>
        <v/>
      </c>
      <c r="GK386" s="450" t="str">
        <f t="shared" ca="1" si="742"/>
        <v/>
      </c>
      <c r="GL386" s="450" t="str">
        <f t="shared" ca="1" si="742"/>
        <v/>
      </c>
      <c r="GM386" s="450" t="str">
        <f t="shared" ca="1" si="742"/>
        <v/>
      </c>
      <c r="GN386" s="450" t="str">
        <f t="shared" ca="1" si="742"/>
        <v/>
      </c>
      <c r="GO386" s="450" t="str">
        <f t="shared" ca="1" si="742"/>
        <v/>
      </c>
      <c r="GP386" s="450" t="str">
        <f t="shared" ca="1" si="742"/>
        <v/>
      </c>
      <c r="GQ386" s="450" t="str">
        <f t="shared" ca="1" si="742"/>
        <v/>
      </c>
      <c r="GR386" s="450" t="str">
        <f t="shared" ca="1" si="742"/>
        <v/>
      </c>
      <c r="GS386" s="450" t="str">
        <f t="shared" ca="1" si="742"/>
        <v/>
      </c>
      <c r="GT386" s="450" t="str">
        <f t="shared" ca="1" si="742"/>
        <v/>
      </c>
      <c r="GU386" s="450" t="str">
        <f t="shared" ca="1" si="742"/>
        <v/>
      </c>
      <c r="GV386" s="450" t="str">
        <f t="shared" ca="1" si="742"/>
        <v/>
      </c>
      <c r="GW386" s="450" t="str">
        <f t="shared" ca="1" si="742"/>
        <v/>
      </c>
      <c r="GX386" s="450" t="str">
        <f t="shared" ca="1" si="742"/>
        <v/>
      </c>
      <c r="GY386" s="450" t="str">
        <f t="shared" ca="1" si="742"/>
        <v/>
      </c>
      <c r="GZ386" s="450" t="str">
        <f t="shared" ca="1" si="742"/>
        <v/>
      </c>
      <c r="HA386" s="450" t="str">
        <f t="shared" ca="1" si="742"/>
        <v/>
      </c>
      <c r="HB386" s="450" t="str">
        <f t="shared" ca="1" si="742"/>
        <v/>
      </c>
      <c r="HC386" s="450" t="str">
        <f t="shared" ca="1" si="742"/>
        <v/>
      </c>
      <c r="HD386" s="450" t="str">
        <f t="shared" ca="1" si="742"/>
        <v/>
      </c>
      <c r="HE386" s="450" t="str">
        <f t="shared" ca="1" si="742"/>
        <v/>
      </c>
      <c r="HF386" s="450" t="str">
        <f t="shared" ca="1" si="742"/>
        <v/>
      </c>
      <c r="HG386" s="450" t="str">
        <f t="shared" ca="1" si="742"/>
        <v/>
      </c>
      <c r="HH386" s="450" t="str">
        <f t="shared" ca="1" si="742"/>
        <v/>
      </c>
      <c r="HI386" s="450" t="str">
        <f t="shared" ca="1" si="742"/>
        <v/>
      </c>
      <c r="HJ386" s="450" t="str">
        <f t="shared" ca="1" si="742"/>
        <v/>
      </c>
      <c r="HK386" s="450" t="str">
        <f t="shared" ca="1" si="742"/>
        <v/>
      </c>
      <c r="HL386" s="450" t="str">
        <f t="shared" ca="1" si="742"/>
        <v/>
      </c>
      <c r="HM386" s="450" t="str">
        <f t="shared" ca="1" si="742"/>
        <v/>
      </c>
      <c r="HN386" s="450" t="str">
        <f t="shared" ca="1" si="742"/>
        <v/>
      </c>
      <c r="HO386" s="450" t="str">
        <f t="shared" ca="1" si="742"/>
        <v/>
      </c>
      <c r="HP386" s="450" t="str">
        <f t="shared" ca="1" si="742"/>
        <v/>
      </c>
      <c r="HQ386" s="450" t="str">
        <f t="shared" ca="1" si="742"/>
        <v/>
      </c>
      <c r="HR386" s="450" t="str">
        <f t="shared" ca="1" si="742"/>
        <v/>
      </c>
      <c r="HS386" s="450" t="str">
        <f t="shared" ca="1" si="742"/>
        <v/>
      </c>
      <c r="HT386" s="450" t="str">
        <f t="shared" ca="1" si="742"/>
        <v/>
      </c>
      <c r="HU386" s="450" t="str">
        <f t="shared" ca="1" si="742"/>
        <v/>
      </c>
      <c r="HV386" s="450" t="str">
        <f t="shared" ca="1" si="742"/>
        <v/>
      </c>
      <c r="HW386" s="450" t="str">
        <f t="shared" ca="1" si="742"/>
        <v/>
      </c>
      <c r="HX386" s="450" t="str">
        <f t="shared" ca="1" si="742"/>
        <v/>
      </c>
      <c r="HY386" s="450" t="str">
        <f t="shared" ca="1" si="742"/>
        <v/>
      </c>
      <c r="HZ386" s="450" t="str">
        <f t="shared" ca="1" si="742"/>
        <v/>
      </c>
      <c r="IA386" s="450" t="str">
        <f t="shared" ca="1" si="711"/>
        <v/>
      </c>
      <c r="IB386" s="450" t="str">
        <f t="shared" ca="1" si="741"/>
        <v/>
      </c>
      <c r="IC386" s="450" t="str">
        <f t="shared" ca="1" si="741"/>
        <v/>
      </c>
      <c r="ID386" s="450" t="str">
        <f t="shared" ca="1" si="741"/>
        <v/>
      </c>
      <c r="IE386" s="450" t="str">
        <f t="shared" ca="1" si="741"/>
        <v/>
      </c>
      <c r="IF386" s="450" t="str">
        <f t="shared" ca="1" si="741"/>
        <v/>
      </c>
      <c r="IG386" s="450" t="str">
        <f t="shared" ca="1" si="741"/>
        <v/>
      </c>
      <c r="IH386" s="658" t="str">
        <f t="shared" ca="1" si="741"/>
        <v/>
      </c>
    </row>
    <row r="387" spans="9:242">
      <c r="I387" s="132"/>
      <c r="J387" s="365"/>
      <c r="K387" s="1"/>
      <c r="L387" s="1"/>
      <c r="M387" s="366"/>
      <c r="P387" s="365"/>
      <c r="S387" s="53"/>
      <c r="T387" s="365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364"/>
      <c r="AO387" s="364"/>
      <c r="AP387" s="103"/>
      <c r="AQ387" s="364"/>
      <c r="AR387" s="103"/>
      <c r="AS387" s="103"/>
      <c r="AT387" s="103"/>
      <c r="AU387" s="31"/>
      <c r="AV387" s="31"/>
      <c r="AW387" s="31"/>
      <c r="AX387" s="31"/>
      <c r="AY387" s="146"/>
      <c r="AZ387" s="146"/>
      <c r="BA387" s="103"/>
      <c r="BB387" s="103"/>
      <c r="BC387" s="103"/>
      <c r="BD387" s="103"/>
      <c r="BE387" s="104"/>
      <c r="BF387" s="104"/>
      <c r="BG387" s="104"/>
      <c r="BH387" s="102"/>
      <c r="BI387" s="104"/>
      <c r="BJ387" s="103"/>
      <c r="BK387" s="105"/>
      <c r="BL387" s="151"/>
      <c r="BM387" s="103"/>
      <c r="BN387" s="103"/>
      <c r="BO387" s="103"/>
      <c r="BP387" s="103"/>
      <c r="BQ387" s="103"/>
      <c r="BR387" s="103"/>
      <c r="BS387" s="103"/>
      <c r="BT387" s="103"/>
      <c r="BU387" s="103"/>
      <c r="BV387" s="103"/>
      <c r="BW387" s="103"/>
      <c r="BX387" s="103"/>
      <c r="BY387" s="103"/>
      <c r="BZ387" s="104"/>
      <c r="CA387" s="104"/>
      <c r="CB387" s="104"/>
      <c r="CC387" s="104"/>
      <c r="CD387" s="104"/>
      <c r="CE387" s="104"/>
      <c r="CF387" s="103"/>
      <c r="CG387" s="103"/>
      <c r="CH387" s="103"/>
      <c r="CI387" s="103"/>
      <c r="CJ387" s="103"/>
      <c r="CK387" s="103"/>
      <c r="CL387" s="103"/>
      <c r="CM387" s="103"/>
      <c r="CN387" s="103"/>
      <c r="CO387" s="103"/>
      <c r="CP387" s="103"/>
      <c r="CQ387" s="103"/>
      <c r="CR387" s="103"/>
      <c r="CS387" s="103"/>
      <c r="CT387" s="103"/>
      <c r="CU387" s="103"/>
      <c r="CV387" s="103"/>
      <c r="CW387" s="103"/>
      <c r="CX387" s="103"/>
      <c r="CY387" s="103"/>
      <c r="CZ387" s="103"/>
      <c r="DA387" s="103"/>
      <c r="DB387" s="103"/>
      <c r="DC387" s="103"/>
      <c r="DD387" s="103"/>
      <c r="DE387" s="107"/>
      <c r="DF387" s="465"/>
      <c r="DG387" s="1"/>
      <c r="DH387" s="51"/>
      <c r="DI387" s="465"/>
      <c r="DJ387" s="52"/>
      <c r="DK387" s="52"/>
      <c r="DL387" s="52"/>
      <c r="DM387" s="52"/>
      <c r="DN387" s="52"/>
      <c r="DO387" s="52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P387" s="53"/>
      <c r="EQ387" s="1"/>
      <c r="ER387" s="103"/>
      <c r="ES387" s="103"/>
      <c r="ET387" s="1"/>
      <c r="EU387" s="103"/>
      <c r="EV387" s="1"/>
      <c r="EW387" s="1"/>
      <c r="EX387" s="1"/>
      <c r="EY387" s="104"/>
      <c r="FN387" s="657">
        <v>63</v>
      </c>
      <c r="FO387" s="450">
        <f t="shared" ref="FO387:HZ387" ca="1" si="743">IF(AND(ISNUMBER(FO82),ISNUMBER(FO$320),FO$320&lt;&gt;0),FO82*FO$320/FO$15,"")</f>
        <v>6.5423941721779919E-4</v>
      </c>
      <c r="FP387" s="450">
        <f t="shared" ca="1" si="743"/>
        <v>1.0627924146694083E-3</v>
      </c>
      <c r="FQ387" s="450" t="str">
        <f t="shared" ca="1" si="743"/>
        <v/>
      </c>
      <c r="FR387" s="450" t="str">
        <f t="shared" ca="1" si="743"/>
        <v/>
      </c>
      <c r="FS387" s="450" t="str">
        <f t="shared" ca="1" si="743"/>
        <v/>
      </c>
      <c r="FT387" s="450" t="str">
        <f t="shared" ca="1" si="743"/>
        <v/>
      </c>
      <c r="FU387" s="450" t="str">
        <f t="shared" ca="1" si="743"/>
        <v/>
      </c>
      <c r="FV387" s="450" t="str">
        <f t="shared" ca="1" si="743"/>
        <v/>
      </c>
      <c r="FW387" s="450" t="str">
        <f t="shared" ca="1" si="743"/>
        <v/>
      </c>
      <c r="FX387" s="450" t="str">
        <f t="shared" ca="1" si="743"/>
        <v/>
      </c>
      <c r="FY387" s="450" t="str">
        <f t="shared" ca="1" si="743"/>
        <v/>
      </c>
      <c r="FZ387" s="450" t="str">
        <f t="shared" ca="1" si="743"/>
        <v/>
      </c>
      <c r="GA387" s="450" t="str">
        <f t="shared" ca="1" si="743"/>
        <v/>
      </c>
      <c r="GB387" s="450" t="str">
        <f t="shared" ca="1" si="743"/>
        <v/>
      </c>
      <c r="GC387" s="450" t="str">
        <f t="shared" ca="1" si="743"/>
        <v/>
      </c>
      <c r="GD387" s="450" t="str">
        <f t="shared" ca="1" si="743"/>
        <v/>
      </c>
      <c r="GE387" s="450" t="str">
        <f t="shared" ca="1" si="743"/>
        <v/>
      </c>
      <c r="GF387" s="450" t="str">
        <f t="shared" ca="1" si="743"/>
        <v/>
      </c>
      <c r="GG387" s="450" t="str">
        <f t="shared" ca="1" si="743"/>
        <v/>
      </c>
      <c r="GH387" s="450" t="str">
        <f t="shared" ca="1" si="743"/>
        <v/>
      </c>
      <c r="GI387" s="450" t="str">
        <f t="shared" ca="1" si="743"/>
        <v/>
      </c>
      <c r="GJ387" s="450" t="str">
        <f t="shared" ca="1" si="743"/>
        <v/>
      </c>
      <c r="GK387" s="450" t="str">
        <f t="shared" ca="1" si="743"/>
        <v/>
      </c>
      <c r="GL387" s="450" t="str">
        <f t="shared" ca="1" si="743"/>
        <v/>
      </c>
      <c r="GM387" s="450" t="str">
        <f t="shared" ca="1" si="743"/>
        <v/>
      </c>
      <c r="GN387" s="450" t="str">
        <f t="shared" ca="1" si="743"/>
        <v/>
      </c>
      <c r="GO387" s="450" t="str">
        <f t="shared" ca="1" si="743"/>
        <v/>
      </c>
      <c r="GP387" s="450" t="str">
        <f t="shared" ca="1" si="743"/>
        <v/>
      </c>
      <c r="GQ387" s="450" t="str">
        <f t="shared" ca="1" si="743"/>
        <v/>
      </c>
      <c r="GR387" s="450" t="str">
        <f t="shared" ca="1" si="743"/>
        <v/>
      </c>
      <c r="GS387" s="450" t="str">
        <f t="shared" ca="1" si="743"/>
        <v/>
      </c>
      <c r="GT387" s="450" t="str">
        <f t="shared" ca="1" si="743"/>
        <v/>
      </c>
      <c r="GU387" s="450" t="str">
        <f t="shared" ca="1" si="743"/>
        <v/>
      </c>
      <c r="GV387" s="450" t="str">
        <f t="shared" ca="1" si="743"/>
        <v/>
      </c>
      <c r="GW387" s="450" t="str">
        <f t="shared" ca="1" si="743"/>
        <v/>
      </c>
      <c r="GX387" s="450" t="str">
        <f t="shared" ca="1" si="743"/>
        <v/>
      </c>
      <c r="GY387" s="450" t="str">
        <f t="shared" ca="1" si="743"/>
        <v/>
      </c>
      <c r="GZ387" s="450" t="str">
        <f t="shared" ca="1" si="743"/>
        <v/>
      </c>
      <c r="HA387" s="450" t="str">
        <f t="shared" ca="1" si="743"/>
        <v/>
      </c>
      <c r="HB387" s="450" t="str">
        <f t="shared" ca="1" si="743"/>
        <v/>
      </c>
      <c r="HC387" s="450" t="str">
        <f t="shared" ca="1" si="743"/>
        <v/>
      </c>
      <c r="HD387" s="450" t="str">
        <f t="shared" ca="1" si="743"/>
        <v/>
      </c>
      <c r="HE387" s="450" t="str">
        <f t="shared" ca="1" si="743"/>
        <v/>
      </c>
      <c r="HF387" s="450" t="str">
        <f t="shared" ca="1" si="743"/>
        <v/>
      </c>
      <c r="HG387" s="450" t="str">
        <f t="shared" ca="1" si="743"/>
        <v/>
      </c>
      <c r="HH387" s="450" t="str">
        <f t="shared" ca="1" si="743"/>
        <v/>
      </c>
      <c r="HI387" s="450" t="str">
        <f t="shared" ca="1" si="743"/>
        <v/>
      </c>
      <c r="HJ387" s="450" t="str">
        <f t="shared" ca="1" si="743"/>
        <v/>
      </c>
      <c r="HK387" s="450" t="str">
        <f t="shared" ca="1" si="743"/>
        <v/>
      </c>
      <c r="HL387" s="450" t="str">
        <f t="shared" ca="1" si="743"/>
        <v/>
      </c>
      <c r="HM387" s="450" t="str">
        <f t="shared" ca="1" si="743"/>
        <v/>
      </c>
      <c r="HN387" s="450" t="str">
        <f t="shared" ca="1" si="743"/>
        <v/>
      </c>
      <c r="HO387" s="450" t="str">
        <f t="shared" ca="1" si="743"/>
        <v/>
      </c>
      <c r="HP387" s="450" t="str">
        <f t="shared" ca="1" si="743"/>
        <v/>
      </c>
      <c r="HQ387" s="450" t="str">
        <f t="shared" ca="1" si="743"/>
        <v/>
      </c>
      <c r="HR387" s="450" t="str">
        <f t="shared" ca="1" si="743"/>
        <v/>
      </c>
      <c r="HS387" s="450" t="str">
        <f t="shared" ca="1" si="743"/>
        <v/>
      </c>
      <c r="HT387" s="450" t="str">
        <f t="shared" ca="1" si="743"/>
        <v/>
      </c>
      <c r="HU387" s="450" t="str">
        <f t="shared" ca="1" si="743"/>
        <v/>
      </c>
      <c r="HV387" s="450" t="str">
        <f t="shared" ca="1" si="743"/>
        <v/>
      </c>
      <c r="HW387" s="450" t="str">
        <f t="shared" ca="1" si="743"/>
        <v/>
      </c>
      <c r="HX387" s="450" t="str">
        <f t="shared" ca="1" si="743"/>
        <v/>
      </c>
      <c r="HY387" s="450" t="str">
        <f t="shared" ca="1" si="743"/>
        <v/>
      </c>
      <c r="HZ387" s="450" t="str">
        <f t="shared" ca="1" si="743"/>
        <v/>
      </c>
      <c r="IA387" s="450" t="str">
        <f t="shared" ca="1" si="711"/>
        <v/>
      </c>
      <c r="IB387" s="450" t="str">
        <f t="shared" ca="1" si="741"/>
        <v/>
      </c>
      <c r="IC387" s="450" t="str">
        <f t="shared" ca="1" si="741"/>
        <v/>
      </c>
      <c r="ID387" s="450" t="str">
        <f t="shared" ca="1" si="741"/>
        <v/>
      </c>
      <c r="IE387" s="450" t="str">
        <f t="shared" ca="1" si="741"/>
        <v/>
      </c>
      <c r="IF387" s="450" t="str">
        <f t="shared" ca="1" si="741"/>
        <v/>
      </c>
      <c r="IG387" s="450" t="str">
        <f t="shared" ca="1" si="741"/>
        <v/>
      </c>
      <c r="IH387" s="658" t="str">
        <f t="shared" ca="1" si="741"/>
        <v/>
      </c>
    </row>
    <row r="388" spans="9:242">
      <c r="I388" s="132"/>
      <c r="J388" s="365"/>
      <c r="K388" s="1"/>
      <c r="L388" s="1"/>
      <c r="M388" s="366"/>
      <c r="P388" s="365"/>
      <c r="S388" s="53"/>
      <c r="T388" s="365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364"/>
      <c r="AO388" s="364"/>
      <c r="AP388" s="103"/>
      <c r="AQ388" s="364"/>
      <c r="AR388" s="103"/>
      <c r="AS388" s="103"/>
      <c r="AT388" s="103"/>
      <c r="AU388" s="31"/>
      <c r="AV388" s="31"/>
      <c r="AW388" s="31"/>
      <c r="AX388" s="31"/>
      <c r="AY388" s="146"/>
      <c r="AZ388" s="146"/>
      <c r="BA388" s="103"/>
      <c r="BB388" s="103"/>
      <c r="BC388" s="103"/>
      <c r="BD388" s="103"/>
      <c r="BE388" s="104"/>
      <c r="BF388" s="104"/>
      <c r="BG388" s="104"/>
      <c r="BH388" s="102"/>
      <c r="BI388" s="104"/>
      <c r="BJ388" s="103"/>
      <c r="BK388" s="105"/>
      <c r="BL388" s="151"/>
      <c r="BM388" s="103"/>
      <c r="BN388" s="103"/>
      <c r="BO388" s="103"/>
      <c r="BP388" s="103"/>
      <c r="BQ388" s="103"/>
      <c r="BR388" s="103"/>
      <c r="BS388" s="103"/>
      <c r="BT388" s="103"/>
      <c r="BU388" s="103"/>
      <c r="BV388" s="103"/>
      <c r="BW388" s="103"/>
      <c r="BX388" s="103"/>
      <c r="BY388" s="103"/>
      <c r="BZ388" s="104"/>
      <c r="CA388" s="104"/>
      <c r="CB388" s="104"/>
      <c r="CC388" s="104"/>
      <c r="CD388" s="104"/>
      <c r="CE388" s="104"/>
      <c r="CF388" s="103"/>
      <c r="CG388" s="103"/>
      <c r="CH388" s="103"/>
      <c r="CI388" s="103"/>
      <c r="CJ388" s="103"/>
      <c r="CK388" s="103"/>
      <c r="CL388" s="103"/>
      <c r="CM388" s="103"/>
      <c r="CN388" s="103"/>
      <c r="CO388" s="103"/>
      <c r="CP388" s="103"/>
      <c r="CQ388" s="103"/>
      <c r="CR388" s="103"/>
      <c r="CS388" s="103"/>
      <c r="CT388" s="103"/>
      <c r="CU388" s="103"/>
      <c r="CV388" s="103"/>
      <c r="CW388" s="103"/>
      <c r="CX388" s="103"/>
      <c r="CY388" s="103"/>
      <c r="CZ388" s="103"/>
      <c r="DA388" s="103"/>
      <c r="DB388" s="103"/>
      <c r="DC388" s="103"/>
      <c r="DD388" s="103"/>
      <c r="DE388" s="107"/>
      <c r="DF388" s="465"/>
      <c r="DG388" s="1"/>
      <c r="DH388" s="51"/>
      <c r="DI388" s="465"/>
      <c r="DJ388" s="52"/>
      <c r="DK388" s="52"/>
      <c r="DL388" s="52"/>
      <c r="DM388" s="52"/>
      <c r="DN388" s="52"/>
      <c r="DO388" s="52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P388" s="53"/>
      <c r="EQ388" s="1"/>
      <c r="ER388" s="103"/>
      <c r="ES388" s="103"/>
      <c r="ET388" s="1"/>
      <c r="EU388" s="103"/>
      <c r="EV388" s="1"/>
      <c r="EW388" s="1"/>
      <c r="EX388" s="1"/>
      <c r="EY388" s="104"/>
      <c r="FN388" s="657">
        <v>64</v>
      </c>
      <c r="FO388" s="450">
        <f t="shared" ref="FO388:HZ388" ca="1" si="744">IF(AND(ISNUMBER(FO83),ISNUMBER(FO$320),FO$320&lt;&gt;0),FO83*FO$320/FO$15,"")</f>
        <v>6.5409074232065684E-4</v>
      </c>
      <c r="FP388" s="450">
        <f t="shared" ca="1" si="744"/>
        <v>1.0625240614084799E-3</v>
      </c>
      <c r="FQ388" s="450" t="str">
        <f t="shared" ca="1" si="744"/>
        <v/>
      </c>
      <c r="FR388" s="450" t="str">
        <f t="shared" ca="1" si="744"/>
        <v/>
      </c>
      <c r="FS388" s="450" t="str">
        <f t="shared" ca="1" si="744"/>
        <v/>
      </c>
      <c r="FT388" s="450" t="str">
        <f t="shared" ca="1" si="744"/>
        <v/>
      </c>
      <c r="FU388" s="450" t="str">
        <f t="shared" ca="1" si="744"/>
        <v/>
      </c>
      <c r="FV388" s="450" t="str">
        <f t="shared" ca="1" si="744"/>
        <v/>
      </c>
      <c r="FW388" s="450" t="str">
        <f t="shared" ca="1" si="744"/>
        <v/>
      </c>
      <c r="FX388" s="450" t="str">
        <f t="shared" ca="1" si="744"/>
        <v/>
      </c>
      <c r="FY388" s="450" t="str">
        <f t="shared" ca="1" si="744"/>
        <v/>
      </c>
      <c r="FZ388" s="450" t="str">
        <f t="shared" ca="1" si="744"/>
        <v/>
      </c>
      <c r="GA388" s="450" t="str">
        <f t="shared" ca="1" si="744"/>
        <v/>
      </c>
      <c r="GB388" s="450" t="str">
        <f t="shared" ca="1" si="744"/>
        <v/>
      </c>
      <c r="GC388" s="450" t="str">
        <f t="shared" ca="1" si="744"/>
        <v/>
      </c>
      <c r="GD388" s="450" t="str">
        <f t="shared" ca="1" si="744"/>
        <v/>
      </c>
      <c r="GE388" s="450" t="str">
        <f t="shared" ca="1" si="744"/>
        <v/>
      </c>
      <c r="GF388" s="450" t="str">
        <f t="shared" ca="1" si="744"/>
        <v/>
      </c>
      <c r="GG388" s="450" t="str">
        <f t="shared" ca="1" si="744"/>
        <v/>
      </c>
      <c r="GH388" s="450" t="str">
        <f t="shared" ca="1" si="744"/>
        <v/>
      </c>
      <c r="GI388" s="450" t="str">
        <f t="shared" ca="1" si="744"/>
        <v/>
      </c>
      <c r="GJ388" s="450" t="str">
        <f t="shared" ca="1" si="744"/>
        <v/>
      </c>
      <c r="GK388" s="450" t="str">
        <f t="shared" ca="1" si="744"/>
        <v/>
      </c>
      <c r="GL388" s="450" t="str">
        <f t="shared" ca="1" si="744"/>
        <v/>
      </c>
      <c r="GM388" s="450" t="str">
        <f t="shared" ca="1" si="744"/>
        <v/>
      </c>
      <c r="GN388" s="450" t="str">
        <f t="shared" ca="1" si="744"/>
        <v/>
      </c>
      <c r="GO388" s="450" t="str">
        <f t="shared" ca="1" si="744"/>
        <v/>
      </c>
      <c r="GP388" s="450" t="str">
        <f t="shared" ca="1" si="744"/>
        <v/>
      </c>
      <c r="GQ388" s="450" t="str">
        <f t="shared" ca="1" si="744"/>
        <v/>
      </c>
      <c r="GR388" s="450" t="str">
        <f t="shared" ca="1" si="744"/>
        <v/>
      </c>
      <c r="GS388" s="450" t="str">
        <f t="shared" ca="1" si="744"/>
        <v/>
      </c>
      <c r="GT388" s="450" t="str">
        <f t="shared" ca="1" si="744"/>
        <v/>
      </c>
      <c r="GU388" s="450" t="str">
        <f t="shared" ca="1" si="744"/>
        <v/>
      </c>
      <c r="GV388" s="450" t="str">
        <f t="shared" ca="1" si="744"/>
        <v/>
      </c>
      <c r="GW388" s="450" t="str">
        <f t="shared" ca="1" si="744"/>
        <v/>
      </c>
      <c r="GX388" s="450" t="str">
        <f t="shared" ca="1" si="744"/>
        <v/>
      </c>
      <c r="GY388" s="450" t="str">
        <f t="shared" ca="1" si="744"/>
        <v/>
      </c>
      <c r="GZ388" s="450" t="str">
        <f t="shared" ca="1" si="744"/>
        <v/>
      </c>
      <c r="HA388" s="450" t="str">
        <f t="shared" ca="1" si="744"/>
        <v/>
      </c>
      <c r="HB388" s="450" t="str">
        <f t="shared" ca="1" si="744"/>
        <v/>
      </c>
      <c r="HC388" s="450" t="str">
        <f t="shared" ca="1" si="744"/>
        <v/>
      </c>
      <c r="HD388" s="450" t="str">
        <f t="shared" ca="1" si="744"/>
        <v/>
      </c>
      <c r="HE388" s="450" t="str">
        <f t="shared" ca="1" si="744"/>
        <v/>
      </c>
      <c r="HF388" s="450" t="str">
        <f t="shared" ca="1" si="744"/>
        <v/>
      </c>
      <c r="HG388" s="450" t="str">
        <f t="shared" ca="1" si="744"/>
        <v/>
      </c>
      <c r="HH388" s="450" t="str">
        <f t="shared" ca="1" si="744"/>
        <v/>
      </c>
      <c r="HI388" s="450" t="str">
        <f t="shared" ca="1" si="744"/>
        <v/>
      </c>
      <c r="HJ388" s="450" t="str">
        <f t="shared" ca="1" si="744"/>
        <v/>
      </c>
      <c r="HK388" s="450" t="str">
        <f t="shared" ca="1" si="744"/>
        <v/>
      </c>
      <c r="HL388" s="450" t="str">
        <f t="shared" ca="1" si="744"/>
        <v/>
      </c>
      <c r="HM388" s="450" t="str">
        <f t="shared" ca="1" si="744"/>
        <v/>
      </c>
      <c r="HN388" s="450" t="str">
        <f t="shared" ca="1" si="744"/>
        <v/>
      </c>
      <c r="HO388" s="450" t="str">
        <f t="shared" ca="1" si="744"/>
        <v/>
      </c>
      <c r="HP388" s="450" t="str">
        <f t="shared" ca="1" si="744"/>
        <v/>
      </c>
      <c r="HQ388" s="450" t="str">
        <f t="shared" ca="1" si="744"/>
        <v/>
      </c>
      <c r="HR388" s="450" t="str">
        <f t="shared" ca="1" si="744"/>
        <v/>
      </c>
      <c r="HS388" s="450" t="str">
        <f t="shared" ca="1" si="744"/>
        <v/>
      </c>
      <c r="HT388" s="450" t="str">
        <f t="shared" ca="1" si="744"/>
        <v/>
      </c>
      <c r="HU388" s="450" t="str">
        <f t="shared" ca="1" si="744"/>
        <v/>
      </c>
      <c r="HV388" s="450" t="str">
        <f t="shared" ca="1" si="744"/>
        <v/>
      </c>
      <c r="HW388" s="450" t="str">
        <f t="shared" ca="1" si="744"/>
        <v/>
      </c>
      <c r="HX388" s="450" t="str">
        <f t="shared" ca="1" si="744"/>
        <v/>
      </c>
      <c r="HY388" s="450" t="str">
        <f t="shared" ca="1" si="744"/>
        <v/>
      </c>
      <c r="HZ388" s="450" t="str">
        <f t="shared" ca="1" si="744"/>
        <v/>
      </c>
      <c r="IA388" s="450" t="str">
        <f t="shared" ca="1" si="711"/>
        <v/>
      </c>
      <c r="IB388" s="450" t="str">
        <f t="shared" ca="1" si="741"/>
        <v/>
      </c>
      <c r="IC388" s="450" t="str">
        <f t="shared" ca="1" si="741"/>
        <v/>
      </c>
      <c r="ID388" s="450" t="str">
        <f t="shared" ca="1" si="741"/>
        <v/>
      </c>
      <c r="IE388" s="450" t="str">
        <f t="shared" ca="1" si="741"/>
        <v/>
      </c>
      <c r="IF388" s="450" t="str">
        <f t="shared" ca="1" si="741"/>
        <v/>
      </c>
      <c r="IG388" s="450" t="str">
        <f t="shared" ca="1" si="741"/>
        <v/>
      </c>
      <c r="IH388" s="658" t="str">
        <f t="shared" ca="1" si="741"/>
        <v/>
      </c>
    </row>
    <row r="389" spans="9:242">
      <c r="I389" s="132"/>
      <c r="J389" s="365"/>
      <c r="K389" s="1"/>
      <c r="L389" s="1"/>
      <c r="M389" s="366"/>
      <c r="P389" s="365"/>
      <c r="S389" s="53"/>
      <c r="T389" s="365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364"/>
      <c r="AO389" s="364"/>
      <c r="AP389" s="103"/>
      <c r="AQ389" s="364"/>
      <c r="AR389" s="103"/>
      <c r="AS389" s="103"/>
      <c r="AT389" s="103"/>
      <c r="AU389" s="31"/>
      <c r="AV389" s="31"/>
      <c r="AW389" s="31"/>
      <c r="AX389" s="31"/>
      <c r="AY389" s="146"/>
      <c r="AZ389" s="146"/>
      <c r="BA389" s="103"/>
      <c r="BB389" s="103"/>
      <c r="BC389" s="103"/>
      <c r="BD389" s="103"/>
      <c r="BE389" s="104"/>
      <c r="BF389" s="104"/>
      <c r="BG389" s="104"/>
      <c r="BH389" s="102"/>
      <c r="BI389" s="104"/>
      <c r="BJ389" s="103"/>
      <c r="BK389" s="105"/>
      <c r="BL389" s="151"/>
      <c r="BM389" s="103"/>
      <c r="BN389" s="103"/>
      <c r="BO389" s="103"/>
      <c r="BP389" s="103"/>
      <c r="BQ389" s="103"/>
      <c r="BR389" s="103"/>
      <c r="BS389" s="103"/>
      <c r="BT389" s="103"/>
      <c r="BU389" s="103"/>
      <c r="BV389" s="103"/>
      <c r="BW389" s="103"/>
      <c r="BX389" s="103"/>
      <c r="BY389" s="103"/>
      <c r="BZ389" s="104"/>
      <c r="CA389" s="104"/>
      <c r="CB389" s="104"/>
      <c r="CC389" s="104"/>
      <c r="CD389" s="104"/>
      <c r="CE389" s="104"/>
      <c r="CF389" s="103"/>
      <c r="CG389" s="103"/>
      <c r="CH389" s="103"/>
      <c r="CI389" s="103"/>
      <c r="CJ389" s="103"/>
      <c r="CK389" s="103"/>
      <c r="CL389" s="103"/>
      <c r="CM389" s="103"/>
      <c r="CN389" s="103"/>
      <c r="CO389" s="103"/>
      <c r="CP389" s="103"/>
      <c r="CQ389" s="103"/>
      <c r="CR389" s="103"/>
      <c r="CS389" s="103"/>
      <c r="CT389" s="103"/>
      <c r="CU389" s="103"/>
      <c r="CV389" s="103"/>
      <c r="CW389" s="103"/>
      <c r="CX389" s="103"/>
      <c r="CY389" s="103"/>
      <c r="CZ389" s="103"/>
      <c r="DA389" s="103"/>
      <c r="DB389" s="103"/>
      <c r="DC389" s="103"/>
      <c r="DD389" s="103"/>
      <c r="DE389" s="107"/>
      <c r="DF389" s="465"/>
      <c r="DG389" s="1"/>
      <c r="DH389" s="51"/>
      <c r="DI389" s="465"/>
      <c r="DJ389" s="52"/>
      <c r="DK389" s="52"/>
      <c r="DL389" s="52"/>
      <c r="DM389" s="52"/>
      <c r="DN389" s="52"/>
      <c r="DO389" s="52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P389" s="53"/>
      <c r="EQ389" s="1"/>
      <c r="ER389" s="103"/>
      <c r="ES389" s="103"/>
      <c r="ET389" s="1"/>
      <c r="EU389" s="103"/>
      <c r="EV389" s="1"/>
      <c r="EW389" s="1"/>
      <c r="EX389" s="1"/>
      <c r="EY389" s="104"/>
      <c r="FN389" s="657">
        <v>65</v>
      </c>
      <c r="FO389" s="450">
        <f t="shared" ref="FO389:HZ389" ca="1" si="745">IF(AND(ISNUMBER(FO84),ISNUMBER(FO$320),FO$320&lt;&gt;0),FO84*FO$320/FO$15,"")</f>
        <v>6.5395696532075532E-4</v>
      </c>
      <c r="FP389" s="450">
        <f t="shared" ca="1" si="745"/>
        <v>1.062282604456508E-3</v>
      </c>
      <c r="FQ389" s="450" t="str">
        <f t="shared" ca="1" si="745"/>
        <v/>
      </c>
      <c r="FR389" s="450" t="str">
        <f t="shared" ca="1" si="745"/>
        <v/>
      </c>
      <c r="FS389" s="450" t="str">
        <f t="shared" ca="1" si="745"/>
        <v/>
      </c>
      <c r="FT389" s="450" t="str">
        <f t="shared" ca="1" si="745"/>
        <v/>
      </c>
      <c r="FU389" s="450" t="str">
        <f t="shared" ca="1" si="745"/>
        <v/>
      </c>
      <c r="FV389" s="450" t="str">
        <f t="shared" ca="1" si="745"/>
        <v/>
      </c>
      <c r="FW389" s="450" t="str">
        <f t="shared" ca="1" si="745"/>
        <v/>
      </c>
      <c r="FX389" s="450" t="str">
        <f t="shared" ca="1" si="745"/>
        <v/>
      </c>
      <c r="FY389" s="450" t="str">
        <f t="shared" ca="1" si="745"/>
        <v/>
      </c>
      <c r="FZ389" s="450" t="str">
        <f t="shared" ca="1" si="745"/>
        <v/>
      </c>
      <c r="GA389" s="450" t="str">
        <f t="shared" ca="1" si="745"/>
        <v/>
      </c>
      <c r="GB389" s="450" t="str">
        <f t="shared" ca="1" si="745"/>
        <v/>
      </c>
      <c r="GC389" s="450" t="str">
        <f t="shared" ca="1" si="745"/>
        <v/>
      </c>
      <c r="GD389" s="450" t="str">
        <f t="shared" ca="1" si="745"/>
        <v/>
      </c>
      <c r="GE389" s="450" t="str">
        <f t="shared" ca="1" si="745"/>
        <v/>
      </c>
      <c r="GF389" s="450" t="str">
        <f t="shared" ca="1" si="745"/>
        <v/>
      </c>
      <c r="GG389" s="450" t="str">
        <f t="shared" ca="1" si="745"/>
        <v/>
      </c>
      <c r="GH389" s="450" t="str">
        <f t="shared" ca="1" si="745"/>
        <v/>
      </c>
      <c r="GI389" s="450" t="str">
        <f t="shared" ca="1" si="745"/>
        <v/>
      </c>
      <c r="GJ389" s="450" t="str">
        <f t="shared" ca="1" si="745"/>
        <v/>
      </c>
      <c r="GK389" s="450" t="str">
        <f t="shared" ca="1" si="745"/>
        <v/>
      </c>
      <c r="GL389" s="450" t="str">
        <f t="shared" ca="1" si="745"/>
        <v/>
      </c>
      <c r="GM389" s="450" t="str">
        <f t="shared" ca="1" si="745"/>
        <v/>
      </c>
      <c r="GN389" s="450" t="str">
        <f t="shared" ca="1" si="745"/>
        <v/>
      </c>
      <c r="GO389" s="450" t="str">
        <f t="shared" ca="1" si="745"/>
        <v/>
      </c>
      <c r="GP389" s="450" t="str">
        <f t="shared" ca="1" si="745"/>
        <v/>
      </c>
      <c r="GQ389" s="450" t="str">
        <f t="shared" ca="1" si="745"/>
        <v/>
      </c>
      <c r="GR389" s="450" t="str">
        <f t="shared" ca="1" si="745"/>
        <v/>
      </c>
      <c r="GS389" s="450" t="str">
        <f t="shared" ca="1" si="745"/>
        <v/>
      </c>
      <c r="GT389" s="450" t="str">
        <f t="shared" ca="1" si="745"/>
        <v/>
      </c>
      <c r="GU389" s="450" t="str">
        <f t="shared" ca="1" si="745"/>
        <v/>
      </c>
      <c r="GV389" s="450" t="str">
        <f t="shared" ca="1" si="745"/>
        <v/>
      </c>
      <c r="GW389" s="450" t="str">
        <f t="shared" ca="1" si="745"/>
        <v/>
      </c>
      <c r="GX389" s="450" t="str">
        <f t="shared" ca="1" si="745"/>
        <v/>
      </c>
      <c r="GY389" s="450" t="str">
        <f t="shared" ca="1" si="745"/>
        <v/>
      </c>
      <c r="GZ389" s="450" t="str">
        <f t="shared" ca="1" si="745"/>
        <v/>
      </c>
      <c r="HA389" s="450" t="str">
        <f t="shared" ca="1" si="745"/>
        <v/>
      </c>
      <c r="HB389" s="450" t="str">
        <f t="shared" ca="1" si="745"/>
        <v/>
      </c>
      <c r="HC389" s="450" t="str">
        <f t="shared" ca="1" si="745"/>
        <v/>
      </c>
      <c r="HD389" s="450" t="str">
        <f t="shared" ca="1" si="745"/>
        <v/>
      </c>
      <c r="HE389" s="450" t="str">
        <f t="shared" ca="1" si="745"/>
        <v/>
      </c>
      <c r="HF389" s="450" t="str">
        <f t="shared" ca="1" si="745"/>
        <v/>
      </c>
      <c r="HG389" s="450" t="str">
        <f t="shared" ca="1" si="745"/>
        <v/>
      </c>
      <c r="HH389" s="450" t="str">
        <f t="shared" ca="1" si="745"/>
        <v/>
      </c>
      <c r="HI389" s="450" t="str">
        <f t="shared" ca="1" si="745"/>
        <v/>
      </c>
      <c r="HJ389" s="450" t="str">
        <f t="shared" ca="1" si="745"/>
        <v/>
      </c>
      <c r="HK389" s="450" t="str">
        <f t="shared" ca="1" si="745"/>
        <v/>
      </c>
      <c r="HL389" s="450" t="str">
        <f t="shared" ca="1" si="745"/>
        <v/>
      </c>
      <c r="HM389" s="450" t="str">
        <f t="shared" ca="1" si="745"/>
        <v/>
      </c>
      <c r="HN389" s="450" t="str">
        <f t="shared" ca="1" si="745"/>
        <v/>
      </c>
      <c r="HO389" s="450" t="str">
        <f t="shared" ca="1" si="745"/>
        <v/>
      </c>
      <c r="HP389" s="450" t="str">
        <f t="shared" ca="1" si="745"/>
        <v/>
      </c>
      <c r="HQ389" s="450" t="str">
        <f t="shared" ca="1" si="745"/>
        <v/>
      </c>
      <c r="HR389" s="450" t="str">
        <f t="shared" ca="1" si="745"/>
        <v/>
      </c>
      <c r="HS389" s="450" t="str">
        <f t="shared" ca="1" si="745"/>
        <v/>
      </c>
      <c r="HT389" s="450" t="str">
        <f t="shared" ca="1" si="745"/>
        <v/>
      </c>
      <c r="HU389" s="450" t="str">
        <f t="shared" ca="1" si="745"/>
        <v/>
      </c>
      <c r="HV389" s="450" t="str">
        <f t="shared" ca="1" si="745"/>
        <v/>
      </c>
      <c r="HW389" s="450" t="str">
        <f t="shared" ca="1" si="745"/>
        <v/>
      </c>
      <c r="HX389" s="450" t="str">
        <f t="shared" ca="1" si="745"/>
        <v/>
      </c>
      <c r="HY389" s="450" t="str">
        <f t="shared" ca="1" si="745"/>
        <v/>
      </c>
      <c r="HZ389" s="450" t="str">
        <f t="shared" ca="1" si="745"/>
        <v/>
      </c>
      <c r="IA389" s="450" t="str">
        <f t="shared" ca="1" si="711"/>
        <v/>
      </c>
      <c r="IB389" s="450" t="str">
        <f t="shared" ca="1" si="741"/>
        <v/>
      </c>
      <c r="IC389" s="450" t="str">
        <f t="shared" ca="1" si="741"/>
        <v/>
      </c>
      <c r="ID389" s="450" t="str">
        <f t="shared" ca="1" si="741"/>
        <v/>
      </c>
      <c r="IE389" s="450" t="str">
        <f t="shared" ca="1" si="741"/>
        <v/>
      </c>
      <c r="IF389" s="450" t="str">
        <f t="shared" ca="1" si="741"/>
        <v/>
      </c>
      <c r="IG389" s="450" t="str">
        <f t="shared" ca="1" si="741"/>
        <v/>
      </c>
      <c r="IH389" s="658" t="str">
        <f t="shared" ca="1" si="741"/>
        <v/>
      </c>
    </row>
    <row r="390" spans="9:242">
      <c r="I390" s="132"/>
      <c r="J390" s="365"/>
      <c r="K390" s="1"/>
      <c r="L390" s="1"/>
      <c r="M390" s="366"/>
      <c r="P390" s="365"/>
      <c r="S390" s="53"/>
      <c r="T390" s="365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364"/>
      <c r="AO390" s="364"/>
      <c r="AP390" s="103"/>
      <c r="AQ390" s="364"/>
      <c r="AR390" s="103"/>
      <c r="AS390" s="103"/>
      <c r="AT390" s="103"/>
      <c r="AU390" s="31"/>
      <c r="AV390" s="31"/>
      <c r="AW390" s="31"/>
      <c r="AX390" s="31"/>
      <c r="AY390" s="146"/>
      <c r="AZ390" s="146"/>
      <c r="BA390" s="103"/>
      <c r="BB390" s="103"/>
      <c r="BC390" s="103"/>
      <c r="BD390" s="103"/>
      <c r="BE390" s="104"/>
      <c r="BF390" s="104"/>
      <c r="BG390" s="104"/>
      <c r="BH390" s="102"/>
      <c r="BI390" s="104"/>
      <c r="BJ390" s="103"/>
      <c r="BK390" s="105"/>
      <c r="BL390" s="151"/>
      <c r="BM390" s="103"/>
      <c r="BN390" s="103"/>
      <c r="BO390" s="103"/>
      <c r="BP390" s="103"/>
      <c r="BQ390" s="103"/>
      <c r="BR390" s="103"/>
      <c r="BS390" s="103"/>
      <c r="BT390" s="103"/>
      <c r="BU390" s="103"/>
      <c r="BV390" s="103"/>
      <c r="BW390" s="103"/>
      <c r="BX390" s="103"/>
      <c r="BY390" s="103"/>
      <c r="BZ390" s="104"/>
      <c r="CA390" s="104"/>
      <c r="CB390" s="104"/>
      <c r="CC390" s="104"/>
      <c r="CD390" s="104"/>
      <c r="CE390" s="104"/>
      <c r="CF390" s="103"/>
      <c r="CG390" s="103"/>
      <c r="CH390" s="103"/>
      <c r="CI390" s="103"/>
      <c r="CJ390" s="103"/>
      <c r="CK390" s="103"/>
      <c r="CL390" s="103"/>
      <c r="CM390" s="103"/>
      <c r="CN390" s="103"/>
      <c r="CO390" s="103"/>
      <c r="CP390" s="103"/>
      <c r="CQ390" s="103"/>
      <c r="CR390" s="103"/>
      <c r="CS390" s="103"/>
      <c r="CT390" s="103"/>
      <c r="CU390" s="103"/>
      <c r="CV390" s="103"/>
      <c r="CW390" s="103"/>
      <c r="CX390" s="103"/>
      <c r="CY390" s="103"/>
      <c r="CZ390" s="103"/>
      <c r="DA390" s="103"/>
      <c r="DB390" s="103"/>
      <c r="DC390" s="103"/>
      <c r="DD390" s="103"/>
      <c r="DE390" s="107"/>
      <c r="DF390" s="465"/>
      <c r="DG390" s="1"/>
      <c r="DH390" s="51"/>
      <c r="DI390" s="465"/>
      <c r="DJ390" s="52"/>
      <c r="DK390" s="52"/>
      <c r="DL390" s="52"/>
      <c r="DM390" s="52"/>
      <c r="DN390" s="52"/>
      <c r="DO390" s="52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P390" s="53"/>
      <c r="EQ390" s="1"/>
      <c r="ER390" s="103"/>
      <c r="ES390" s="103"/>
      <c r="ET390" s="1"/>
      <c r="EU390" s="103"/>
      <c r="EV390" s="1"/>
      <c r="EW390" s="1"/>
      <c r="EX390" s="1"/>
      <c r="EY390" s="104"/>
      <c r="FN390" s="657">
        <v>66</v>
      </c>
      <c r="FO390" s="450">
        <f t="shared" ref="FO390:HZ390" ca="1" si="746">IF(AND(ISNUMBER(FO85),ISNUMBER(FO$320),FO$320&lt;&gt;0),FO85*FO$320/FO$15,"")</f>
        <v>6.5383659064534349E-4</v>
      </c>
      <c r="FP390" s="450">
        <f t="shared" ca="1" si="746"/>
        <v>1.0620653425833808E-3</v>
      </c>
      <c r="FQ390" s="450" t="str">
        <f t="shared" ca="1" si="746"/>
        <v/>
      </c>
      <c r="FR390" s="450" t="str">
        <f t="shared" ca="1" si="746"/>
        <v/>
      </c>
      <c r="FS390" s="450" t="str">
        <f t="shared" ca="1" si="746"/>
        <v/>
      </c>
      <c r="FT390" s="450" t="str">
        <f t="shared" ca="1" si="746"/>
        <v/>
      </c>
      <c r="FU390" s="450" t="str">
        <f t="shared" ca="1" si="746"/>
        <v/>
      </c>
      <c r="FV390" s="450" t="str">
        <f t="shared" ca="1" si="746"/>
        <v/>
      </c>
      <c r="FW390" s="450" t="str">
        <f t="shared" ca="1" si="746"/>
        <v/>
      </c>
      <c r="FX390" s="450" t="str">
        <f t="shared" ca="1" si="746"/>
        <v/>
      </c>
      <c r="FY390" s="450" t="str">
        <f t="shared" ca="1" si="746"/>
        <v/>
      </c>
      <c r="FZ390" s="450" t="str">
        <f t="shared" ca="1" si="746"/>
        <v/>
      </c>
      <c r="GA390" s="450" t="str">
        <f t="shared" ca="1" si="746"/>
        <v/>
      </c>
      <c r="GB390" s="450" t="str">
        <f t="shared" ca="1" si="746"/>
        <v/>
      </c>
      <c r="GC390" s="450" t="str">
        <f t="shared" ca="1" si="746"/>
        <v/>
      </c>
      <c r="GD390" s="450" t="str">
        <f t="shared" ca="1" si="746"/>
        <v/>
      </c>
      <c r="GE390" s="450" t="str">
        <f t="shared" ca="1" si="746"/>
        <v/>
      </c>
      <c r="GF390" s="450" t="str">
        <f t="shared" ca="1" si="746"/>
        <v/>
      </c>
      <c r="GG390" s="450" t="str">
        <f t="shared" ca="1" si="746"/>
        <v/>
      </c>
      <c r="GH390" s="450" t="str">
        <f t="shared" ca="1" si="746"/>
        <v/>
      </c>
      <c r="GI390" s="450" t="str">
        <f t="shared" ca="1" si="746"/>
        <v/>
      </c>
      <c r="GJ390" s="450" t="str">
        <f t="shared" ca="1" si="746"/>
        <v/>
      </c>
      <c r="GK390" s="450" t="str">
        <f t="shared" ca="1" si="746"/>
        <v/>
      </c>
      <c r="GL390" s="450" t="str">
        <f t="shared" ca="1" si="746"/>
        <v/>
      </c>
      <c r="GM390" s="450" t="str">
        <f t="shared" ca="1" si="746"/>
        <v/>
      </c>
      <c r="GN390" s="450" t="str">
        <f t="shared" ca="1" si="746"/>
        <v/>
      </c>
      <c r="GO390" s="450" t="str">
        <f t="shared" ca="1" si="746"/>
        <v/>
      </c>
      <c r="GP390" s="450" t="str">
        <f t="shared" ca="1" si="746"/>
        <v/>
      </c>
      <c r="GQ390" s="450" t="str">
        <f t="shared" ca="1" si="746"/>
        <v/>
      </c>
      <c r="GR390" s="450" t="str">
        <f t="shared" ca="1" si="746"/>
        <v/>
      </c>
      <c r="GS390" s="450" t="str">
        <f t="shared" ca="1" si="746"/>
        <v/>
      </c>
      <c r="GT390" s="450" t="str">
        <f t="shared" ca="1" si="746"/>
        <v/>
      </c>
      <c r="GU390" s="450" t="str">
        <f t="shared" ca="1" si="746"/>
        <v/>
      </c>
      <c r="GV390" s="450" t="str">
        <f t="shared" ca="1" si="746"/>
        <v/>
      </c>
      <c r="GW390" s="450" t="str">
        <f t="shared" ca="1" si="746"/>
        <v/>
      </c>
      <c r="GX390" s="450" t="str">
        <f t="shared" ca="1" si="746"/>
        <v/>
      </c>
      <c r="GY390" s="450" t="str">
        <f t="shared" ca="1" si="746"/>
        <v/>
      </c>
      <c r="GZ390" s="450" t="str">
        <f t="shared" ca="1" si="746"/>
        <v/>
      </c>
      <c r="HA390" s="450" t="str">
        <f t="shared" ca="1" si="746"/>
        <v/>
      </c>
      <c r="HB390" s="450" t="str">
        <f t="shared" ca="1" si="746"/>
        <v/>
      </c>
      <c r="HC390" s="450" t="str">
        <f t="shared" ca="1" si="746"/>
        <v/>
      </c>
      <c r="HD390" s="450" t="str">
        <f t="shared" ca="1" si="746"/>
        <v/>
      </c>
      <c r="HE390" s="450" t="str">
        <f t="shared" ca="1" si="746"/>
        <v/>
      </c>
      <c r="HF390" s="450" t="str">
        <f t="shared" ca="1" si="746"/>
        <v/>
      </c>
      <c r="HG390" s="450" t="str">
        <f t="shared" ca="1" si="746"/>
        <v/>
      </c>
      <c r="HH390" s="450" t="str">
        <f t="shared" ca="1" si="746"/>
        <v/>
      </c>
      <c r="HI390" s="450" t="str">
        <f t="shared" ca="1" si="746"/>
        <v/>
      </c>
      <c r="HJ390" s="450" t="str">
        <f t="shared" ca="1" si="746"/>
        <v/>
      </c>
      <c r="HK390" s="450" t="str">
        <f t="shared" ca="1" si="746"/>
        <v/>
      </c>
      <c r="HL390" s="450" t="str">
        <f t="shared" ca="1" si="746"/>
        <v/>
      </c>
      <c r="HM390" s="450" t="str">
        <f t="shared" ca="1" si="746"/>
        <v/>
      </c>
      <c r="HN390" s="450" t="str">
        <f t="shared" ca="1" si="746"/>
        <v/>
      </c>
      <c r="HO390" s="450" t="str">
        <f t="shared" ca="1" si="746"/>
        <v/>
      </c>
      <c r="HP390" s="450" t="str">
        <f t="shared" ca="1" si="746"/>
        <v/>
      </c>
      <c r="HQ390" s="450" t="str">
        <f t="shared" ca="1" si="746"/>
        <v/>
      </c>
      <c r="HR390" s="450" t="str">
        <f t="shared" ca="1" si="746"/>
        <v/>
      </c>
      <c r="HS390" s="450" t="str">
        <f t="shared" ca="1" si="746"/>
        <v/>
      </c>
      <c r="HT390" s="450" t="str">
        <f t="shared" ca="1" si="746"/>
        <v/>
      </c>
      <c r="HU390" s="450" t="str">
        <f t="shared" ca="1" si="746"/>
        <v/>
      </c>
      <c r="HV390" s="450" t="str">
        <f t="shared" ca="1" si="746"/>
        <v/>
      </c>
      <c r="HW390" s="450" t="str">
        <f t="shared" ca="1" si="746"/>
        <v/>
      </c>
      <c r="HX390" s="450" t="str">
        <f t="shared" ca="1" si="746"/>
        <v/>
      </c>
      <c r="HY390" s="450" t="str">
        <f t="shared" ca="1" si="746"/>
        <v/>
      </c>
      <c r="HZ390" s="450" t="str">
        <f t="shared" ca="1" si="746"/>
        <v/>
      </c>
      <c r="IA390" s="450" t="str">
        <f ca="1">IF(AND(ISNUMBER(IA85),ISNUMBER(IA$320),IA$320&lt;&gt;0),IA85*IA$320/IA$15,"")</f>
        <v/>
      </c>
      <c r="IB390" s="450" t="str">
        <f t="shared" ca="1" si="741"/>
        <v/>
      </c>
      <c r="IC390" s="450" t="str">
        <f t="shared" ca="1" si="741"/>
        <v/>
      </c>
      <c r="ID390" s="450" t="str">
        <f t="shared" ca="1" si="741"/>
        <v/>
      </c>
      <c r="IE390" s="450" t="str">
        <f t="shared" ca="1" si="741"/>
        <v/>
      </c>
      <c r="IF390" s="450" t="str">
        <f t="shared" ca="1" si="741"/>
        <v/>
      </c>
      <c r="IG390" s="450" t="str">
        <f t="shared" ca="1" si="741"/>
        <v/>
      </c>
      <c r="IH390" s="658" t="str">
        <f t="shared" ca="1" si="741"/>
        <v/>
      </c>
    </row>
    <row r="391" spans="9:242">
      <c r="I391" s="132"/>
      <c r="J391" s="365"/>
      <c r="K391" s="1"/>
      <c r="L391" s="1"/>
      <c r="M391" s="366"/>
      <c r="P391" s="365"/>
      <c r="S391" s="53"/>
      <c r="T391" s="365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364"/>
      <c r="AO391" s="364"/>
      <c r="AP391" s="103"/>
      <c r="AQ391" s="364"/>
      <c r="AR391" s="103"/>
      <c r="AS391" s="103"/>
      <c r="AT391" s="103"/>
      <c r="AU391" s="31"/>
      <c r="AV391" s="31"/>
      <c r="AW391" s="31"/>
      <c r="AX391" s="31"/>
      <c r="AY391" s="146"/>
      <c r="AZ391" s="146"/>
      <c r="BA391" s="103"/>
      <c r="BB391" s="103"/>
      <c r="BC391" s="103"/>
      <c r="BD391" s="103"/>
      <c r="BE391" s="104"/>
      <c r="BF391" s="104"/>
      <c r="BG391" s="104"/>
      <c r="BH391" s="102"/>
      <c r="BI391" s="104"/>
      <c r="BJ391" s="103"/>
      <c r="BK391" s="105"/>
      <c r="BL391" s="151"/>
      <c r="BM391" s="103"/>
      <c r="BN391" s="103"/>
      <c r="BO391" s="103"/>
      <c r="BP391" s="103"/>
      <c r="BQ391" s="103"/>
      <c r="BR391" s="103"/>
      <c r="BS391" s="103"/>
      <c r="BT391" s="103"/>
      <c r="BU391" s="103"/>
      <c r="BV391" s="103"/>
      <c r="BW391" s="103"/>
      <c r="BX391" s="103"/>
      <c r="BY391" s="103"/>
      <c r="BZ391" s="104"/>
      <c r="CA391" s="104"/>
      <c r="CB391" s="104"/>
      <c r="CC391" s="104"/>
      <c r="CD391" s="104"/>
      <c r="CE391" s="104"/>
      <c r="CF391" s="103"/>
      <c r="CG391" s="103"/>
      <c r="CH391" s="103"/>
      <c r="CI391" s="103"/>
      <c r="CJ391" s="103"/>
      <c r="CK391" s="103"/>
      <c r="CL391" s="103"/>
      <c r="CM391" s="103"/>
      <c r="CN391" s="103"/>
      <c r="CO391" s="103"/>
      <c r="CP391" s="103"/>
      <c r="CQ391" s="103"/>
      <c r="CR391" s="103"/>
      <c r="CS391" s="103"/>
      <c r="CT391" s="103"/>
      <c r="CU391" s="103"/>
      <c r="CV391" s="103"/>
      <c r="CW391" s="103"/>
      <c r="CX391" s="103"/>
      <c r="CY391" s="103"/>
      <c r="CZ391" s="103"/>
      <c r="DA391" s="103"/>
      <c r="DB391" s="103"/>
      <c r="DC391" s="103"/>
      <c r="DD391" s="103"/>
      <c r="DE391" s="107"/>
      <c r="DF391" s="465"/>
      <c r="DG391" s="1"/>
      <c r="DH391" s="51"/>
      <c r="DI391" s="465"/>
      <c r="DJ391" s="52"/>
      <c r="DK391" s="52"/>
      <c r="DL391" s="52"/>
      <c r="DM391" s="52"/>
      <c r="DN391" s="52"/>
      <c r="DO391" s="52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P391" s="53"/>
      <c r="EQ391" s="1"/>
      <c r="ER391" s="103"/>
      <c r="ES391" s="103"/>
      <c r="ET391" s="1"/>
      <c r="EU391" s="103"/>
      <c r="EV391" s="1"/>
      <c r="EW391" s="1"/>
      <c r="EX391" s="1"/>
      <c r="EY391" s="104"/>
      <c r="FN391" s="657">
        <v>67</v>
      </c>
      <c r="FO391" s="450">
        <f t="shared" ref="FO391:HZ391" ca="1" si="747">IF(AND(ISNUMBER(FO86),ISNUMBER(FO$320),FO$320&lt;&gt;0),FO86*FO$320/FO$15,"")</f>
        <v>6.5372827337923788E-4</v>
      </c>
      <c r="FP391" s="450">
        <f t="shared" ca="1" si="747"/>
        <v>1.0618698468892306E-3</v>
      </c>
      <c r="FQ391" s="450" t="str">
        <f t="shared" ca="1" si="747"/>
        <v/>
      </c>
      <c r="FR391" s="450" t="str">
        <f t="shared" ca="1" si="747"/>
        <v/>
      </c>
      <c r="FS391" s="450" t="str">
        <f t="shared" ca="1" si="747"/>
        <v/>
      </c>
      <c r="FT391" s="450" t="str">
        <f t="shared" ca="1" si="747"/>
        <v/>
      </c>
      <c r="FU391" s="450" t="str">
        <f t="shared" ca="1" si="747"/>
        <v/>
      </c>
      <c r="FV391" s="450" t="str">
        <f t="shared" ca="1" si="747"/>
        <v/>
      </c>
      <c r="FW391" s="450" t="str">
        <f t="shared" ca="1" si="747"/>
        <v/>
      </c>
      <c r="FX391" s="450" t="str">
        <f t="shared" ca="1" si="747"/>
        <v/>
      </c>
      <c r="FY391" s="450" t="str">
        <f t="shared" ca="1" si="747"/>
        <v/>
      </c>
      <c r="FZ391" s="450" t="str">
        <f t="shared" ca="1" si="747"/>
        <v/>
      </c>
      <c r="GA391" s="450" t="str">
        <f t="shared" ca="1" si="747"/>
        <v/>
      </c>
      <c r="GB391" s="450" t="str">
        <f t="shared" ca="1" si="747"/>
        <v/>
      </c>
      <c r="GC391" s="450" t="str">
        <f t="shared" ca="1" si="747"/>
        <v/>
      </c>
      <c r="GD391" s="450" t="str">
        <f t="shared" ca="1" si="747"/>
        <v/>
      </c>
      <c r="GE391" s="450" t="str">
        <f t="shared" ca="1" si="747"/>
        <v/>
      </c>
      <c r="GF391" s="450" t="str">
        <f t="shared" ca="1" si="747"/>
        <v/>
      </c>
      <c r="GG391" s="450" t="str">
        <f t="shared" ca="1" si="747"/>
        <v/>
      </c>
      <c r="GH391" s="450" t="str">
        <f t="shared" ca="1" si="747"/>
        <v/>
      </c>
      <c r="GI391" s="450" t="str">
        <f t="shared" ca="1" si="747"/>
        <v/>
      </c>
      <c r="GJ391" s="450" t="str">
        <f t="shared" ca="1" si="747"/>
        <v/>
      </c>
      <c r="GK391" s="450" t="str">
        <f t="shared" ca="1" si="747"/>
        <v/>
      </c>
      <c r="GL391" s="450" t="str">
        <f t="shared" ca="1" si="747"/>
        <v/>
      </c>
      <c r="GM391" s="450" t="str">
        <f t="shared" ca="1" si="747"/>
        <v/>
      </c>
      <c r="GN391" s="450" t="str">
        <f t="shared" ca="1" si="747"/>
        <v/>
      </c>
      <c r="GO391" s="450" t="str">
        <f t="shared" ca="1" si="747"/>
        <v/>
      </c>
      <c r="GP391" s="450" t="str">
        <f t="shared" ca="1" si="747"/>
        <v/>
      </c>
      <c r="GQ391" s="450" t="str">
        <f t="shared" ca="1" si="747"/>
        <v/>
      </c>
      <c r="GR391" s="450" t="str">
        <f t="shared" ca="1" si="747"/>
        <v/>
      </c>
      <c r="GS391" s="450" t="str">
        <f t="shared" ca="1" si="747"/>
        <v/>
      </c>
      <c r="GT391" s="450" t="str">
        <f t="shared" ca="1" si="747"/>
        <v/>
      </c>
      <c r="GU391" s="450" t="str">
        <f t="shared" ca="1" si="747"/>
        <v/>
      </c>
      <c r="GV391" s="450" t="str">
        <f t="shared" ca="1" si="747"/>
        <v/>
      </c>
      <c r="GW391" s="450" t="str">
        <f t="shared" ca="1" si="747"/>
        <v/>
      </c>
      <c r="GX391" s="450" t="str">
        <f t="shared" ca="1" si="747"/>
        <v/>
      </c>
      <c r="GY391" s="450" t="str">
        <f t="shared" ca="1" si="747"/>
        <v/>
      </c>
      <c r="GZ391" s="450" t="str">
        <f t="shared" ca="1" si="747"/>
        <v/>
      </c>
      <c r="HA391" s="450" t="str">
        <f t="shared" ca="1" si="747"/>
        <v/>
      </c>
      <c r="HB391" s="450" t="str">
        <f t="shared" ca="1" si="747"/>
        <v/>
      </c>
      <c r="HC391" s="450" t="str">
        <f t="shared" ca="1" si="747"/>
        <v/>
      </c>
      <c r="HD391" s="450" t="str">
        <f t="shared" ca="1" si="747"/>
        <v/>
      </c>
      <c r="HE391" s="450" t="str">
        <f t="shared" ca="1" si="747"/>
        <v/>
      </c>
      <c r="HF391" s="450" t="str">
        <f t="shared" ca="1" si="747"/>
        <v/>
      </c>
      <c r="HG391" s="450" t="str">
        <f t="shared" ca="1" si="747"/>
        <v/>
      </c>
      <c r="HH391" s="450" t="str">
        <f t="shared" ca="1" si="747"/>
        <v/>
      </c>
      <c r="HI391" s="450" t="str">
        <f t="shared" ca="1" si="747"/>
        <v/>
      </c>
      <c r="HJ391" s="450" t="str">
        <f t="shared" ca="1" si="747"/>
        <v/>
      </c>
      <c r="HK391" s="450" t="str">
        <f t="shared" ca="1" si="747"/>
        <v/>
      </c>
      <c r="HL391" s="450" t="str">
        <f t="shared" ca="1" si="747"/>
        <v/>
      </c>
      <c r="HM391" s="450" t="str">
        <f t="shared" ca="1" si="747"/>
        <v/>
      </c>
      <c r="HN391" s="450" t="str">
        <f t="shared" ca="1" si="747"/>
        <v/>
      </c>
      <c r="HO391" s="450" t="str">
        <f t="shared" ca="1" si="747"/>
        <v/>
      </c>
      <c r="HP391" s="450" t="str">
        <f t="shared" ca="1" si="747"/>
        <v/>
      </c>
      <c r="HQ391" s="450" t="str">
        <f t="shared" ca="1" si="747"/>
        <v/>
      </c>
      <c r="HR391" s="450" t="str">
        <f t="shared" ca="1" si="747"/>
        <v/>
      </c>
      <c r="HS391" s="450" t="str">
        <f t="shared" ca="1" si="747"/>
        <v/>
      </c>
      <c r="HT391" s="450" t="str">
        <f t="shared" ca="1" si="747"/>
        <v/>
      </c>
      <c r="HU391" s="450" t="str">
        <f t="shared" ca="1" si="747"/>
        <v/>
      </c>
      <c r="HV391" s="450" t="str">
        <f t="shared" ca="1" si="747"/>
        <v/>
      </c>
      <c r="HW391" s="450" t="str">
        <f t="shared" ca="1" si="747"/>
        <v/>
      </c>
      <c r="HX391" s="450" t="str">
        <f t="shared" ca="1" si="747"/>
        <v/>
      </c>
      <c r="HY391" s="450" t="str">
        <f t="shared" ca="1" si="747"/>
        <v/>
      </c>
      <c r="HZ391" s="450" t="str">
        <f t="shared" ca="1" si="747"/>
        <v/>
      </c>
      <c r="IA391" s="450" t="str">
        <f ca="1">IF(AND(ISNUMBER(IA86),ISNUMBER(IA$320),IA$320&lt;&gt;0),IA86*IA$320/IA$15,"")</f>
        <v/>
      </c>
      <c r="IB391" s="450" t="str">
        <f t="shared" ca="1" si="741"/>
        <v/>
      </c>
      <c r="IC391" s="450" t="str">
        <f t="shared" ca="1" si="741"/>
        <v/>
      </c>
      <c r="ID391" s="450" t="str">
        <f t="shared" ca="1" si="741"/>
        <v/>
      </c>
      <c r="IE391" s="450" t="str">
        <f t="shared" ca="1" si="741"/>
        <v/>
      </c>
      <c r="IF391" s="450" t="str">
        <f t="shared" ca="1" si="741"/>
        <v/>
      </c>
      <c r="IG391" s="450" t="str">
        <f t="shared" ca="1" si="741"/>
        <v/>
      </c>
      <c r="IH391" s="658" t="str">
        <f t="shared" ca="1" si="741"/>
        <v/>
      </c>
    </row>
    <row r="392" spans="9:242">
      <c r="I392" s="132"/>
      <c r="J392" s="365"/>
      <c r="K392" s="1"/>
      <c r="L392" s="1"/>
      <c r="M392" s="366"/>
      <c r="P392" s="365"/>
      <c r="S392" s="53"/>
      <c r="T392" s="365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364"/>
      <c r="AO392" s="364"/>
      <c r="AP392" s="103"/>
      <c r="AQ392" s="364"/>
      <c r="AR392" s="103"/>
      <c r="AS392" s="103"/>
      <c r="AT392" s="103"/>
      <c r="AU392" s="31"/>
      <c r="AV392" s="31"/>
      <c r="AW392" s="31"/>
      <c r="AX392" s="31"/>
      <c r="AY392" s="146"/>
      <c r="AZ392" s="146"/>
      <c r="BA392" s="103"/>
      <c r="BB392" s="103"/>
      <c r="BC392" s="103"/>
      <c r="BD392" s="103"/>
      <c r="BE392" s="104"/>
      <c r="BF392" s="104"/>
      <c r="BG392" s="104"/>
      <c r="BH392" s="102"/>
      <c r="BI392" s="104"/>
      <c r="BJ392" s="103"/>
      <c r="BK392" s="105"/>
      <c r="BL392" s="151"/>
      <c r="BM392" s="103"/>
      <c r="BN392" s="103"/>
      <c r="BO392" s="103"/>
      <c r="BP392" s="103"/>
      <c r="BQ392" s="103"/>
      <c r="BR392" s="103"/>
      <c r="BS392" s="103"/>
      <c r="BT392" s="103"/>
      <c r="BU392" s="103"/>
      <c r="BV392" s="103"/>
      <c r="BW392" s="103"/>
      <c r="BX392" s="103"/>
      <c r="BY392" s="103"/>
      <c r="BZ392" s="104"/>
      <c r="CA392" s="104"/>
      <c r="CB392" s="104"/>
      <c r="CC392" s="104"/>
      <c r="CD392" s="104"/>
      <c r="CE392" s="104"/>
      <c r="CF392" s="103"/>
      <c r="CG392" s="103"/>
      <c r="CH392" s="103"/>
      <c r="CI392" s="103"/>
      <c r="CJ392" s="103"/>
      <c r="CK392" s="103"/>
      <c r="CL392" s="103"/>
      <c r="CM392" s="103"/>
      <c r="CN392" s="103"/>
      <c r="CO392" s="103"/>
      <c r="CP392" s="103"/>
      <c r="CQ392" s="103"/>
      <c r="CR392" s="103"/>
      <c r="CS392" s="103"/>
      <c r="CT392" s="103"/>
      <c r="CU392" s="103"/>
      <c r="CV392" s="103"/>
      <c r="CW392" s="103"/>
      <c r="CX392" s="103"/>
      <c r="CY392" s="103"/>
      <c r="CZ392" s="103"/>
      <c r="DA392" s="103"/>
      <c r="DB392" s="103"/>
      <c r="DC392" s="103"/>
      <c r="DD392" s="103"/>
      <c r="DE392" s="107"/>
      <c r="DF392" s="465"/>
      <c r="DG392" s="1"/>
      <c r="DH392" s="51"/>
      <c r="DI392" s="465"/>
      <c r="DJ392" s="52"/>
      <c r="DK392" s="52"/>
      <c r="DL392" s="52"/>
      <c r="DM392" s="52"/>
      <c r="DN392" s="52"/>
      <c r="DO392" s="52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P392" s="53"/>
      <c r="EQ392" s="1"/>
      <c r="ER392" s="103"/>
      <c r="ES392" s="103"/>
      <c r="ET392" s="1"/>
      <c r="EU392" s="103"/>
      <c r="EV392" s="1"/>
      <c r="EW392" s="1"/>
      <c r="EX392" s="1"/>
      <c r="EY392" s="104"/>
      <c r="FN392" s="657">
        <v>68</v>
      </c>
      <c r="FO392" s="450">
        <f t="shared" ref="FO392:HZ392" ca="1" si="748">IF(AND(ISNUMBER(FO87),ISNUMBER(FO$320),FO$320&lt;&gt;0),FO87*FO$320/FO$15,"")</f>
        <v>6.5363080398959928E-4</v>
      </c>
      <c r="FP392" s="450">
        <f t="shared" ca="1" si="748"/>
        <v>1.0616939331511183E-3</v>
      </c>
      <c r="FQ392" s="450" t="str">
        <f t="shared" ca="1" si="748"/>
        <v/>
      </c>
      <c r="FR392" s="450" t="str">
        <f t="shared" ca="1" si="748"/>
        <v/>
      </c>
      <c r="FS392" s="450" t="str">
        <f t="shared" ca="1" si="748"/>
        <v/>
      </c>
      <c r="FT392" s="450" t="str">
        <f t="shared" ca="1" si="748"/>
        <v/>
      </c>
      <c r="FU392" s="450" t="str">
        <f t="shared" ca="1" si="748"/>
        <v/>
      </c>
      <c r="FV392" s="450" t="str">
        <f t="shared" ca="1" si="748"/>
        <v/>
      </c>
      <c r="FW392" s="450" t="str">
        <f t="shared" ca="1" si="748"/>
        <v/>
      </c>
      <c r="FX392" s="450" t="str">
        <f t="shared" ca="1" si="748"/>
        <v/>
      </c>
      <c r="FY392" s="450" t="str">
        <f t="shared" ca="1" si="748"/>
        <v/>
      </c>
      <c r="FZ392" s="450" t="str">
        <f t="shared" ca="1" si="748"/>
        <v/>
      </c>
      <c r="GA392" s="450" t="str">
        <f t="shared" ca="1" si="748"/>
        <v/>
      </c>
      <c r="GB392" s="450" t="str">
        <f t="shared" ca="1" si="748"/>
        <v/>
      </c>
      <c r="GC392" s="450" t="str">
        <f t="shared" ca="1" si="748"/>
        <v/>
      </c>
      <c r="GD392" s="450" t="str">
        <f t="shared" ca="1" si="748"/>
        <v/>
      </c>
      <c r="GE392" s="450" t="str">
        <f t="shared" ca="1" si="748"/>
        <v/>
      </c>
      <c r="GF392" s="450" t="str">
        <f t="shared" ca="1" si="748"/>
        <v/>
      </c>
      <c r="GG392" s="450" t="str">
        <f t="shared" ca="1" si="748"/>
        <v/>
      </c>
      <c r="GH392" s="450" t="str">
        <f t="shared" ca="1" si="748"/>
        <v/>
      </c>
      <c r="GI392" s="450" t="str">
        <f t="shared" ca="1" si="748"/>
        <v/>
      </c>
      <c r="GJ392" s="450" t="str">
        <f t="shared" ca="1" si="748"/>
        <v/>
      </c>
      <c r="GK392" s="450" t="str">
        <f t="shared" ca="1" si="748"/>
        <v/>
      </c>
      <c r="GL392" s="450" t="str">
        <f t="shared" ca="1" si="748"/>
        <v/>
      </c>
      <c r="GM392" s="450" t="str">
        <f t="shared" ca="1" si="748"/>
        <v/>
      </c>
      <c r="GN392" s="450" t="str">
        <f t="shared" ca="1" si="748"/>
        <v/>
      </c>
      <c r="GO392" s="450" t="str">
        <f t="shared" ca="1" si="748"/>
        <v/>
      </c>
      <c r="GP392" s="450" t="str">
        <f t="shared" ca="1" si="748"/>
        <v/>
      </c>
      <c r="GQ392" s="450" t="str">
        <f t="shared" ca="1" si="748"/>
        <v/>
      </c>
      <c r="GR392" s="450" t="str">
        <f t="shared" ca="1" si="748"/>
        <v/>
      </c>
      <c r="GS392" s="450" t="str">
        <f t="shared" ca="1" si="748"/>
        <v/>
      </c>
      <c r="GT392" s="450" t="str">
        <f t="shared" ca="1" si="748"/>
        <v/>
      </c>
      <c r="GU392" s="450" t="str">
        <f t="shared" ca="1" si="748"/>
        <v/>
      </c>
      <c r="GV392" s="450" t="str">
        <f t="shared" ca="1" si="748"/>
        <v/>
      </c>
      <c r="GW392" s="450" t="str">
        <f t="shared" ca="1" si="748"/>
        <v/>
      </c>
      <c r="GX392" s="450" t="str">
        <f t="shared" ca="1" si="748"/>
        <v/>
      </c>
      <c r="GY392" s="450" t="str">
        <f t="shared" ca="1" si="748"/>
        <v/>
      </c>
      <c r="GZ392" s="450" t="str">
        <f t="shared" ca="1" si="748"/>
        <v/>
      </c>
      <c r="HA392" s="450" t="str">
        <f t="shared" ca="1" si="748"/>
        <v/>
      </c>
      <c r="HB392" s="450" t="str">
        <f t="shared" ca="1" si="748"/>
        <v/>
      </c>
      <c r="HC392" s="450" t="str">
        <f t="shared" ca="1" si="748"/>
        <v/>
      </c>
      <c r="HD392" s="450" t="str">
        <f t="shared" ca="1" si="748"/>
        <v/>
      </c>
      <c r="HE392" s="450" t="str">
        <f t="shared" ca="1" si="748"/>
        <v/>
      </c>
      <c r="HF392" s="450" t="str">
        <f t="shared" ca="1" si="748"/>
        <v/>
      </c>
      <c r="HG392" s="450" t="str">
        <f t="shared" ca="1" si="748"/>
        <v/>
      </c>
      <c r="HH392" s="450" t="str">
        <f t="shared" ca="1" si="748"/>
        <v/>
      </c>
      <c r="HI392" s="450" t="str">
        <f t="shared" ca="1" si="748"/>
        <v/>
      </c>
      <c r="HJ392" s="450" t="str">
        <f t="shared" ca="1" si="748"/>
        <v/>
      </c>
      <c r="HK392" s="450" t="str">
        <f t="shared" ca="1" si="748"/>
        <v/>
      </c>
      <c r="HL392" s="450" t="str">
        <f t="shared" ca="1" si="748"/>
        <v/>
      </c>
      <c r="HM392" s="450" t="str">
        <f t="shared" ca="1" si="748"/>
        <v/>
      </c>
      <c r="HN392" s="450" t="str">
        <f t="shared" ca="1" si="748"/>
        <v/>
      </c>
      <c r="HO392" s="450" t="str">
        <f t="shared" ca="1" si="748"/>
        <v/>
      </c>
      <c r="HP392" s="450" t="str">
        <f t="shared" ca="1" si="748"/>
        <v/>
      </c>
      <c r="HQ392" s="450" t="str">
        <f t="shared" ca="1" si="748"/>
        <v/>
      </c>
      <c r="HR392" s="450" t="str">
        <f t="shared" ca="1" si="748"/>
        <v/>
      </c>
      <c r="HS392" s="450" t="str">
        <f t="shared" ca="1" si="748"/>
        <v/>
      </c>
      <c r="HT392" s="450" t="str">
        <f t="shared" ca="1" si="748"/>
        <v/>
      </c>
      <c r="HU392" s="450" t="str">
        <f t="shared" ca="1" si="748"/>
        <v/>
      </c>
      <c r="HV392" s="450" t="str">
        <f t="shared" ca="1" si="748"/>
        <v/>
      </c>
      <c r="HW392" s="450" t="str">
        <f t="shared" ca="1" si="748"/>
        <v/>
      </c>
      <c r="HX392" s="450" t="str">
        <f t="shared" ca="1" si="748"/>
        <v/>
      </c>
      <c r="HY392" s="450" t="str">
        <f t="shared" ca="1" si="748"/>
        <v/>
      </c>
      <c r="HZ392" s="450" t="str">
        <f t="shared" ca="1" si="748"/>
        <v/>
      </c>
      <c r="IA392" s="450" t="str">
        <f ca="1">IF(AND(ISNUMBER(IA87),ISNUMBER(IA$320),IA$320&lt;&gt;0),IA87*IA$320/IA$15,"")</f>
        <v/>
      </c>
      <c r="IB392" s="450" t="str">
        <f t="shared" ca="1" si="741"/>
        <v/>
      </c>
      <c r="IC392" s="450" t="str">
        <f t="shared" ca="1" si="741"/>
        <v/>
      </c>
      <c r="ID392" s="450" t="str">
        <f t="shared" ca="1" si="741"/>
        <v/>
      </c>
      <c r="IE392" s="450" t="str">
        <f t="shared" ca="1" si="741"/>
        <v/>
      </c>
      <c r="IF392" s="450" t="str">
        <f t="shared" ca="1" si="741"/>
        <v/>
      </c>
      <c r="IG392" s="450" t="str">
        <f t="shared" ca="1" si="741"/>
        <v/>
      </c>
      <c r="IH392" s="658" t="str">
        <f t="shared" ca="1" si="741"/>
        <v/>
      </c>
    </row>
    <row r="393" spans="9:242">
      <c r="I393" s="132"/>
      <c r="J393" s="365"/>
      <c r="K393" s="1"/>
      <c r="L393" s="1"/>
      <c r="M393" s="366"/>
      <c r="P393" s="365"/>
      <c r="S393" s="53"/>
      <c r="T393" s="365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364"/>
      <c r="AO393" s="364"/>
      <c r="AP393" s="103"/>
      <c r="AQ393" s="364"/>
      <c r="AR393" s="103"/>
      <c r="AS393" s="103"/>
      <c r="AT393" s="103"/>
      <c r="AU393" s="31"/>
      <c r="AV393" s="31"/>
      <c r="AW393" s="31"/>
      <c r="AX393" s="31"/>
      <c r="AY393" s="146"/>
      <c r="AZ393" s="146"/>
      <c r="BA393" s="103"/>
      <c r="BB393" s="103"/>
      <c r="BC393" s="103"/>
      <c r="BD393" s="103"/>
      <c r="BE393" s="104"/>
      <c r="BF393" s="104"/>
      <c r="BG393" s="104"/>
      <c r="BH393" s="102"/>
      <c r="BI393" s="104"/>
      <c r="BJ393" s="103"/>
      <c r="BK393" s="105"/>
      <c r="BL393" s="151"/>
      <c r="BM393" s="103"/>
      <c r="BN393" s="103"/>
      <c r="BO393" s="103"/>
      <c r="BP393" s="103"/>
      <c r="BQ393" s="103"/>
      <c r="BR393" s="103"/>
      <c r="BS393" s="103"/>
      <c r="BT393" s="103"/>
      <c r="BU393" s="103"/>
      <c r="BV393" s="103"/>
      <c r="BW393" s="103"/>
      <c r="BX393" s="103"/>
      <c r="BY393" s="103"/>
      <c r="BZ393" s="104"/>
      <c r="CA393" s="104"/>
      <c r="CB393" s="104"/>
      <c r="CC393" s="104"/>
      <c r="CD393" s="104"/>
      <c r="CE393" s="104"/>
      <c r="CF393" s="103"/>
      <c r="CG393" s="103"/>
      <c r="CH393" s="103"/>
      <c r="CI393" s="103"/>
      <c r="CJ393" s="103"/>
      <c r="CK393" s="103"/>
      <c r="CL393" s="103"/>
      <c r="CM393" s="103"/>
      <c r="CN393" s="103"/>
      <c r="CO393" s="103"/>
      <c r="CP393" s="103"/>
      <c r="CQ393" s="103"/>
      <c r="CR393" s="103"/>
      <c r="CS393" s="103"/>
      <c r="CT393" s="103"/>
      <c r="CU393" s="103"/>
      <c r="CV393" s="103"/>
      <c r="CW393" s="103"/>
      <c r="CX393" s="103"/>
      <c r="CY393" s="103"/>
      <c r="CZ393" s="103"/>
      <c r="DA393" s="103"/>
      <c r="DB393" s="103"/>
      <c r="DC393" s="103"/>
      <c r="DD393" s="103"/>
      <c r="DE393" s="107"/>
      <c r="DF393" s="465"/>
      <c r="DG393" s="1"/>
      <c r="DH393" s="51"/>
      <c r="DI393" s="465"/>
      <c r="DJ393" s="52"/>
      <c r="DK393" s="52"/>
      <c r="DL393" s="52"/>
      <c r="DM393" s="52"/>
      <c r="DN393" s="52"/>
      <c r="DO393" s="52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P393" s="53"/>
      <c r="EQ393" s="1"/>
      <c r="ER393" s="103"/>
      <c r="ES393" s="103"/>
      <c r="ET393" s="1"/>
      <c r="EU393" s="103"/>
      <c r="EV393" s="1"/>
      <c r="EW393" s="1"/>
      <c r="EX393" s="1"/>
      <c r="EY393" s="104"/>
      <c r="FN393" s="657">
        <v>69</v>
      </c>
      <c r="FO393" s="450">
        <f t="shared" ref="FO393:HZ393" ca="1" si="749">IF(AND(ISNUMBER(FO88),ISNUMBER(FO$320),FO$320&lt;&gt;0),FO88*FO$320/FO$15,"")</f>
        <v>6.5354309461814126E-4</v>
      </c>
      <c r="FP393" s="450">
        <f t="shared" ca="1" si="749"/>
        <v>1.061535637015153E-3</v>
      </c>
      <c r="FQ393" s="450" t="str">
        <f t="shared" ca="1" si="749"/>
        <v/>
      </c>
      <c r="FR393" s="450" t="str">
        <f t="shared" ca="1" si="749"/>
        <v/>
      </c>
      <c r="FS393" s="450" t="str">
        <f t="shared" ca="1" si="749"/>
        <v/>
      </c>
      <c r="FT393" s="450" t="str">
        <f t="shared" ca="1" si="749"/>
        <v/>
      </c>
      <c r="FU393" s="450" t="str">
        <f t="shared" ca="1" si="749"/>
        <v/>
      </c>
      <c r="FV393" s="450" t="str">
        <f t="shared" ca="1" si="749"/>
        <v/>
      </c>
      <c r="FW393" s="450" t="str">
        <f t="shared" ca="1" si="749"/>
        <v/>
      </c>
      <c r="FX393" s="450" t="str">
        <f t="shared" ca="1" si="749"/>
        <v/>
      </c>
      <c r="FY393" s="450" t="str">
        <f t="shared" ca="1" si="749"/>
        <v/>
      </c>
      <c r="FZ393" s="450" t="str">
        <f t="shared" ca="1" si="749"/>
        <v/>
      </c>
      <c r="GA393" s="450" t="str">
        <f t="shared" ca="1" si="749"/>
        <v/>
      </c>
      <c r="GB393" s="450" t="str">
        <f t="shared" ca="1" si="749"/>
        <v/>
      </c>
      <c r="GC393" s="450" t="str">
        <f t="shared" ca="1" si="749"/>
        <v/>
      </c>
      <c r="GD393" s="450" t="str">
        <f t="shared" ca="1" si="749"/>
        <v/>
      </c>
      <c r="GE393" s="450" t="str">
        <f t="shared" ca="1" si="749"/>
        <v/>
      </c>
      <c r="GF393" s="450" t="str">
        <f t="shared" ca="1" si="749"/>
        <v/>
      </c>
      <c r="GG393" s="450" t="str">
        <f t="shared" ca="1" si="749"/>
        <v/>
      </c>
      <c r="GH393" s="450" t="str">
        <f t="shared" ca="1" si="749"/>
        <v/>
      </c>
      <c r="GI393" s="450" t="str">
        <f t="shared" ca="1" si="749"/>
        <v/>
      </c>
      <c r="GJ393" s="450" t="str">
        <f t="shared" ca="1" si="749"/>
        <v/>
      </c>
      <c r="GK393" s="450" t="str">
        <f t="shared" ca="1" si="749"/>
        <v/>
      </c>
      <c r="GL393" s="450" t="str">
        <f t="shared" ca="1" si="749"/>
        <v/>
      </c>
      <c r="GM393" s="450" t="str">
        <f t="shared" ca="1" si="749"/>
        <v/>
      </c>
      <c r="GN393" s="450" t="str">
        <f t="shared" ca="1" si="749"/>
        <v/>
      </c>
      <c r="GO393" s="450" t="str">
        <f t="shared" ca="1" si="749"/>
        <v/>
      </c>
      <c r="GP393" s="450" t="str">
        <f t="shared" ca="1" si="749"/>
        <v/>
      </c>
      <c r="GQ393" s="450" t="str">
        <f t="shared" ca="1" si="749"/>
        <v/>
      </c>
      <c r="GR393" s="450" t="str">
        <f t="shared" ca="1" si="749"/>
        <v/>
      </c>
      <c r="GS393" s="450" t="str">
        <f t="shared" ca="1" si="749"/>
        <v/>
      </c>
      <c r="GT393" s="450" t="str">
        <f t="shared" ca="1" si="749"/>
        <v/>
      </c>
      <c r="GU393" s="450" t="str">
        <f t="shared" ca="1" si="749"/>
        <v/>
      </c>
      <c r="GV393" s="450" t="str">
        <f t="shared" ca="1" si="749"/>
        <v/>
      </c>
      <c r="GW393" s="450" t="str">
        <f t="shared" ca="1" si="749"/>
        <v/>
      </c>
      <c r="GX393" s="450" t="str">
        <f t="shared" ca="1" si="749"/>
        <v/>
      </c>
      <c r="GY393" s="450" t="str">
        <f t="shared" ca="1" si="749"/>
        <v/>
      </c>
      <c r="GZ393" s="450" t="str">
        <f t="shared" ca="1" si="749"/>
        <v/>
      </c>
      <c r="HA393" s="450" t="str">
        <f t="shared" ca="1" si="749"/>
        <v/>
      </c>
      <c r="HB393" s="450" t="str">
        <f t="shared" ca="1" si="749"/>
        <v/>
      </c>
      <c r="HC393" s="450" t="str">
        <f t="shared" ca="1" si="749"/>
        <v/>
      </c>
      <c r="HD393" s="450" t="str">
        <f t="shared" ca="1" si="749"/>
        <v/>
      </c>
      <c r="HE393" s="450" t="str">
        <f t="shared" ca="1" si="749"/>
        <v/>
      </c>
      <c r="HF393" s="450" t="str">
        <f t="shared" ca="1" si="749"/>
        <v/>
      </c>
      <c r="HG393" s="450" t="str">
        <f t="shared" ca="1" si="749"/>
        <v/>
      </c>
      <c r="HH393" s="450" t="str">
        <f t="shared" ca="1" si="749"/>
        <v/>
      </c>
      <c r="HI393" s="450" t="str">
        <f t="shared" ca="1" si="749"/>
        <v/>
      </c>
      <c r="HJ393" s="450" t="str">
        <f t="shared" ca="1" si="749"/>
        <v/>
      </c>
      <c r="HK393" s="450" t="str">
        <f t="shared" ca="1" si="749"/>
        <v/>
      </c>
      <c r="HL393" s="450" t="str">
        <f t="shared" ca="1" si="749"/>
        <v/>
      </c>
      <c r="HM393" s="450" t="str">
        <f t="shared" ca="1" si="749"/>
        <v/>
      </c>
      <c r="HN393" s="450" t="str">
        <f t="shared" ca="1" si="749"/>
        <v/>
      </c>
      <c r="HO393" s="450" t="str">
        <f t="shared" ca="1" si="749"/>
        <v/>
      </c>
      <c r="HP393" s="450" t="str">
        <f t="shared" ca="1" si="749"/>
        <v/>
      </c>
      <c r="HQ393" s="450" t="str">
        <f t="shared" ca="1" si="749"/>
        <v/>
      </c>
      <c r="HR393" s="450" t="str">
        <f t="shared" ca="1" si="749"/>
        <v/>
      </c>
      <c r="HS393" s="450" t="str">
        <f t="shared" ca="1" si="749"/>
        <v/>
      </c>
      <c r="HT393" s="450" t="str">
        <f t="shared" ca="1" si="749"/>
        <v/>
      </c>
      <c r="HU393" s="450" t="str">
        <f t="shared" ca="1" si="749"/>
        <v/>
      </c>
      <c r="HV393" s="450" t="str">
        <f t="shared" ca="1" si="749"/>
        <v/>
      </c>
      <c r="HW393" s="450" t="str">
        <f t="shared" ca="1" si="749"/>
        <v/>
      </c>
      <c r="HX393" s="450" t="str">
        <f t="shared" ca="1" si="749"/>
        <v/>
      </c>
      <c r="HY393" s="450" t="str">
        <f t="shared" ca="1" si="749"/>
        <v/>
      </c>
      <c r="HZ393" s="450" t="str">
        <f t="shared" ca="1" si="749"/>
        <v/>
      </c>
      <c r="IA393" s="450" t="str">
        <f ca="1">IF(AND(ISNUMBER(IA88),ISNUMBER(IA$320),IA$320&lt;&gt;0),IA88*IA$320/IA$15,"")</f>
        <v/>
      </c>
      <c r="IB393" s="450" t="str">
        <f t="shared" ca="1" si="741"/>
        <v/>
      </c>
      <c r="IC393" s="450" t="str">
        <f t="shared" ca="1" si="741"/>
        <v/>
      </c>
      <c r="ID393" s="450" t="str">
        <f t="shared" ca="1" si="741"/>
        <v/>
      </c>
      <c r="IE393" s="450" t="str">
        <f t="shared" ca="1" si="741"/>
        <v/>
      </c>
      <c r="IF393" s="450" t="str">
        <f t="shared" ca="1" si="741"/>
        <v/>
      </c>
      <c r="IG393" s="450" t="str">
        <f t="shared" ca="1" si="741"/>
        <v/>
      </c>
      <c r="IH393" s="658" t="str">
        <f t="shared" ca="1" si="741"/>
        <v/>
      </c>
    </row>
    <row r="394" spans="9:242">
      <c r="I394" s="132"/>
      <c r="J394" s="365"/>
      <c r="K394" s="1"/>
      <c r="L394" s="1"/>
      <c r="M394" s="366"/>
      <c r="P394" s="365"/>
      <c r="S394" s="53"/>
      <c r="T394" s="365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364"/>
      <c r="AO394" s="364"/>
      <c r="AP394" s="103"/>
      <c r="AQ394" s="364"/>
      <c r="AR394" s="103"/>
      <c r="AS394" s="103"/>
      <c r="AT394" s="103"/>
      <c r="AU394" s="31"/>
      <c r="AV394" s="31"/>
      <c r="AW394" s="31"/>
      <c r="AX394" s="31"/>
      <c r="AY394" s="146"/>
      <c r="AZ394" s="146"/>
      <c r="BA394" s="103"/>
      <c r="BB394" s="103"/>
      <c r="BC394" s="103"/>
      <c r="BD394" s="103"/>
      <c r="BE394" s="104"/>
      <c r="BF394" s="104"/>
      <c r="BG394" s="104"/>
      <c r="BH394" s="102"/>
      <c r="BI394" s="104"/>
      <c r="BJ394" s="103"/>
      <c r="BK394" s="105"/>
      <c r="BL394" s="151"/>
      <c r="BM394" s="103"/>
      <c r="BN394" s="103"/>
      <c r="BO394" s="103"/>
      <c r="BP394" s="103"/>
      <c r="BQ394" s="103"/>
      <c r="BR394" s="103"/>
      <c r="BS394" s="103"/>
      <c r="BT394" s="103"/>
      <c r="BU394" s="103"/>
      <c r="BV394" s="103"/>
      <c r="BW394" s="103"/>
      <c r="BX394" s="103"/>
      <c r="BY394" s="103"/>
      <c r="BZ394" s="104"/>
      <c r="CA394" s="104"/>
      <c r="CB394" s="104"/>
      <c r="CC394" s="104"/>
      <c r="CD394" s="104"/>
      <c r="CE394" s="104"/>
      <c r="CF394" s="103"/>
      <c r="CG394" s="103"/>
      <c r="CH394" s="103"/>
      <c r="CI394" s="103"/>
      <c r="CJ394" s="103"/>
      <c r="CK394" s="103"/>
      <c r="CL394" s="103"/>
      <c r="CM394" s="103"/>
      <c r="CN394" s="103"/>
      <c r="CO394" s="103"/>
      <c r="CP394" s="103"/>
      <c r="CQ394" s="103"/>
      <c r="CR394" s="103"/>
      <c r="CS394" s="103"/>
      <c r="CT394" s="103"/>
      <c r="CU394" s="103"/>
      <c r="CV394" s="103"/>
      <c r="CW394" s="103"/>
      <c r="CX394" s="103"/>
      <c r="CY394" s="103"/>
      <c r="CZ394" s="103"/>
      <c r="DA394" s="103"/>
      <c r="DB394" s="103"/>
      <c r="DC394" s="103"/>
      <c r="DD394" s="103"/>
      <c r="DE394" s="107"/>
      <c r="DF394" s="465"/>
      <c r="DG394" s="1"/>
      <c r="DH394" s="51"/>
      <c r="DI394" s="465"/>
      <c r="DJ394" s="52"/>
      <c r="DK394" s="52"/>
      <c r="DL394" s="52"/>
      <c r="DM394" s="52"/>
      <c r="DN394" s="52"/>
      <c r="DO394" s="52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P394" s="53"/>
      <c r="EQ394" s="1"/>
      <c r="ER394" s="103"/>
      <c r="ES394" s="103"/>
      <c r="ET394" s="1"/>
      <c r="EU394" s="103"/>
      <c r="EV394" s="1"/>
      <c r="EW394" s="1"/>
      <c r="EX394" s="1"/>
      <c r="EY394" s="104"/>
      <c r="FN394" s="657">
        <v>70</v>
      </c>
      <c r="FO394" s="450">
        <f t="shared" ref="FO394:HZ394" ca="1" si="750">IF(AND(ISNUMBER(FO89),ISNUMBER(FO$320),FO$320&lt;&gt;0),FO89*FO$320/FO$15,"")</f>
        <v>6.5346416677641492E-4</v>
      </c>
      <c r="FP394" s="450">
        <f t="shared" ca="1" si="750"/>
        <v>1.0613931917342165E-3</v>
      </c>
      <c r="FQ394" s="450" t="str">
        <f t="shared" ca="1" si="750"/>
        <v/>
      </c>
      <c r="FR394" s="450" t="str">
        <f t="shared" ca="1" si="750"/>
        <v/>
      </c>
      <c r="FS394" s="450" t="str">
        <f t="shared" ca="1" si="750"/>
        <v/>
      </c>
      <c r="FT394" s="450" t="str">
        <f t="shared" ca="1" si="750"/>
        <v/>
      </c>
      <c r="FU394" s="450" t="str">
        <f t="shared" ca="1" si="750"/>
        <v/>
      </c>
      <c r="FV394" s="450" t="str">
        <f t="shared" ca="1" si="750"/>
        <v/>
      </c>
      <c r="FW394" s="450" t="str">
        <f t="shared" ca="1" si="750"/>
        <v/>
      </c>
      <c r="FX394" s="450" t="str">
        <f t="shared" ca="1" si="750"/>
        <v/>
      </c>
      <c r="FY394" s="450" t="str">
        <f t="shared" ca="1" si="750"/>
        <v/>
      </c>
      <c r="FZ394" s="450" t="str">
        <f t="shared" ca="1" si="750"/>
        <v/>
      </c>
      <c r="GA394" s="450" t="str">
        <f t="shared" ca="1" si="750"/>
        <v/>
      </c>
      <c r="GB394" s="450" t="str">
        <f t="shared" ca="1" si="750"/>
        <v/>
      </c>
      <c r="GC394" s="450" t="str">
        <f t="shared" ca="1" si="750"/>
        <v/>
      </c>
      <c r="GD394" s="450" t="str">
        <f t="shared" ca="1" si="750"/>
        <v/>
      </c>
      <c r="GE394" s="450" t="str">
        <f t="shared" ca="1" si="750"/>
        <v/>
      </c>
      <c r="GF394" s="450" t="str">
        <f t="shared" ca="1" si="750"/>
        <v/>
      </c>
      <c r="GG394" s="450" t="str">
        <f t="shared" ca="1" si="750"/>
        <v/>
      </c>
      <c r="GH394" s="450" t="str">
        <f t="shared" ca="1" si="750"/>
        <v/>
      </c>
      <c r="GI394" s="450" t="str">
        <f t="shared" ca="1" si="750"/>
        <v/>
      </c>
      <c r="GJ394" s="450" t="str">
        <f t="shared" ca="1" si="750"/>
        <v/>
      </c>
      <c r="GK394" s="450" t="str">
        <f t="shared" ca="1" si="750"/>
        <v/>
      </c>
      <c r="GL394" s="450" t="str">
        <f t="shared" ca="1" si="750"/>
        <v/>
      </c>
      <c r="GM394" s="450" t="str">
        <f t="shared" ca="1" si="750"/>
        <v/>
      </c>
      <c r="GN394" s="450" t="str">
        <f t="shared" ca="1" si="750"/>
        <v/>
      </c>
      <c r="GO394" s="450" t="str">
        <f t="shared" ca="1" si="750"/>
        <v/>
      </c>
      <c r="GP394" s="450" t="str">
        <f t="shared" ca="1" si="750"/>
        <v/>
      </c>
      <c r="GQ394" s="450" t="str">
        <f t="shared" ca="1" si="750"/>
        <v/>
      </c>
      <c r="GR394" s="450" t="str">
        <f t="shared" ca="1" si="750"/>
        <v/>
      </c>
      <c r="GS394" s="450" t="str">
        <f t="shared" ca="1" si="750"/>
        <v/>
      </c>
      <c r="GT394" s="450" t="str">
        <f t="shared" ca="1" si="750"/>
        <v/>
      </c>
      <c r="GU394" s="450" t="str">
        <f t="shared" ca="1" si="750"/>
        <v/>
      </c>
      <c r="GV394" s="450" t="str">
        <f t="shared" ca="1" si="750"/>
        <v/>
      </c>
      <c r="GW394" s="450" t="str">
        <f t="shared" ca="1" si="750"/>
        <v/>
      </c>
      <c r="GX394" s="450" t="str">
        <f t="shared" ca="1" si="750"/>
        <v/>
      </c>
      <c r="GY394" s="450" t="str">
        <f t="shared" ca="1" si="750"/>
        <v/>
      </c>
      <c r="GZ394" s="450" t="str">
        <f t="shared" ca="1" si="750"/>
        <v/>
      </c>
      <c r="HA394" s="450" t="str">
        <f t="shared" ca="1" si="750"/>
        <v/>
      </c>
      <c r="HB394" s="450" t="str">
        <f t="shared" ca="1" si="750"/>
        <v/>
      </c>
      <c r="HC394" s="450" t="str">
        <f t="shared" ca="1" si="750"/>
        <v/>
      </c>
      <c r="HD394" s="450" t="str">
        <f t="shared" ca="1" si="750"/>
        <v/>
      </c>
      <c r="HE394" s="450" t="str">
        <f t="shared" ca="1" si="750"/>
        <v/>
      </c>
      <c r="HF394" s="450" t="str">
        <f t="shared" ca="1" si="750"/>
        <v/>
      </c>
      <c r="HG394" s="450" t="str">
        <f t="shared" ca="1" si="750"/>
        <v/>
      </c>
      <c r="HH394" s="450" t="str">
        <f t="shared" ca="1" si="750"/>
        <v/>
      </c>
      <c r="HI394" s="450" t="str">
        <f t="shared" ca="1" si="750"/>
        <v/>
      </c>
      <c r="HJ394" s="450" t="str">
        <f t="shared" ca="1" si="750"/>
        <v/>
      </c>
      <c r="HK394" s="450" t="str">
        <f t="shared" ca="1" si="750"/>
        <v/>
      </c>
      <c r="HL394" s="450" t="str">
        <f t="shared" ca="1" si="750"/>
        <v/>
      </c>
      <c r="HM394" s="450" t="str">
        <f t="shared" ca="1" si="750"/>
        <v/>
      </c>
      <c r="HN394" s="450" t="str">
        <f t="shared" ca="1" si="750"/>
        <v/>
      </c>
      <c r="HO394" s="450" t="str">
        <f t="shared" ca="1" si="750"/>
        <v/>
      </c>
      <c r="HP394" s="450" t="str">
        <f t="shared" ca="1" si="750"/>
        <v/>
      </c>
      <c r="HQ394" s="450" t="str">
        <f t="shared" ca="1" si="750"/>
        <v/>
      </c>
      <c r="HR394" s="450" t="str">
        <f t="shared" ca="1" si="750"/>
        <v/>
      </c>
      <c r="HS394" s="450" t="str">
        <f t="shared" ca="1" si="750"/>
        <v/>
      </c>
      <c r="HT394" s="450" t="str">
        <f t="shared" ca="1" si="750"/>
        <v/>
      </c>
      <c r="HU394" s="450" t="str">
        <f t="shared" ca="1" si="750"/>
        <v/>
      </c>
      <c r="HV394" s="450" t="str">
        <f t="shared" ca="1" si="750"/>
        <v/>
      </c>
      <c r="HW394" s="450" t="str">
        <f t="shared" ca="1" si="750"/>
        <v/>
      </c>
      <c r="HX394" s="450" t="str">
        <f t="shared" ca="1" si="750"/>
        <v/>
      </c>
      <c r="HY394" s="450" t="str">
        <f t="shared" ca="1" si="750"/>
        <v/>
      </c>
      <c r="HZ394" s="450" t="str">
        <f t="shared" ca="1" si="750"/>
        <v/>
      </c>
      <c r="IA394" s="450" t="str">
        <f ca="1">IF(AND(ISNUMBER(IA89),ISNUMBER(IA$320),IA$320&lt;&gt;0),IA89*IA$320/IA$15,"")</f>
        <v/>
      </c>
      <c r="IB394" s="450" t="str">
        <f t="shared" ca="1" si="741"/>
        <v/>
      </c>
      <c r="IC394" s="450" t="str">
        <f t="shared" ca="1" si="741"/>
        <v/>
      </c>
      <c r="ID394" s="450" t="str">
        <f t="shared" ca="1" si="741"/>
        <v/>
      </c>
      <c r="IE394" s="450" t="str">
        <f t="shared" ca="1" si="741"/>
        <v/>
      </c>
      <c r="IF394" s="450" t="str">
        <f t="shared" ca="1" si="741"/>
        <v/>
      </c>
      <c r="IG394" s="450" t="str">
        <f t="shared" ca="1" si="741"/>
        <v/>
      </c>
      <c r="IH394" s="658" t="str">
        <f t="shared" ca="1" si="741"/>
        <v/>
      </c>
    </row>
    <row r="395" spans="9:242">
      <c r="I395" s="132"/>
      <c r="J395" s="365"/>
      <c r="K395" s="1"/>
      <c r="L395" s="1"/>
      <c r="M395" s="366"/>
      <c r="P395" s="365"/>
      <c r="S395" s="53"/>
      <c r="T395" s="365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364"/>
      <c r="AO395" s="364"/>
      <c r="AP395" s="103"/>
      <c r="AQ395" s="364"/>
      <c r="AR395" s="103"/>
      <c r="AS395" s="103"/>
      <c r="AT395" s="103"/>
      <c r="AU395" s="31"/>
      <c r="AV395" s="31"/>
      <c r="AW395" s="31"/>
      <c r="AX395" s="31"/>
      <c r="AY395" s="146"/>
      <c r="AZ395" s="146"/>
      <c r="BA395" s="103"/>
      <c r="BB395" s="103"/>
      <c r="BC395" s="103"/>
      <c r="BD395" s="103"/>
      <c r="BE395" s="104"/>
      <c r="BF395" s="104"/>
      <c r="BG395" s="104"/>
      <c r="BH395" s="102"/>
      <c r="BI395" s="104"/>
      <c r="BJ395" s="103"/>
      <c r="BK395" s="105"/>
      <c r="BL395" s="151"/>
      <c r="BM395" s="103"/>
      <c r="BN395" s="103"/>
      <c r="BO395" s="103"/>
      <c r="BP395" s="103"/>
      <c r="BQ395" s="103"/>
      <c r="BR395" s="103"/>
      <c r="BS395" s="103"/>
      <c r="BT395" s="103"/>
      <c r="BU395" s="103"/>
      <c r="BV395" s="103"/>
      <c r="BW395" s="103"/>
      <c r="BX395" s="103"/>
      <c r="BY395" s="103"/>
      <c r="BZ395" s="104"/>
      <c r="CA395" s="104"/>
      <c r="CB395" s="104"/>
      <c r="CC395" s="104"/>
      <c r="CD395" s="104"/>
      <c r="CE395" s="104"/>
      <c r="CF395" s="103"/>
      <c r="CG395" s="103"/>
      <c r="CH395" s="103"/>
      <c r="CI395" s="103"/>
      <c r="CJ395" s="103"/>
      <c r="CK395" s="103"/>
      <c r="CL395" s="103"/>
      <c r="CM395" s="103"/>
      <c r="CN395" s="103"/>
      <c r="CO395" s="103"/>
      <c r="CP395" s="103"/>
      <c r="CQ395" s="103"/>
      <c r="CR395" s="103"/>
      <c r="CS395" s="103"/>
      <c r="CT395" s="103"/>
      <c r="CU395" s="103"/>
      <c r="CV395" s="103"/>
      <c r="CW395" s="103"/>
      <c r="CX395" s="103"/>
      <c r="CY395" s="103"/>
      <c r="CZ395" s="103"/>
      <c r="DA395" s="103"/>
      <c r="DB395" s="103"/>
      <c r="DC395" s="103"/>
      <c r="DD395" s="103"/>
      <c r="DE395" s="107"/>
      <c r="DF395" s="465"/>
      <c r="DG395" s="1"/>
      <c r="DH395" s="51"/>
      <c r="DI395" s="465"/>
      <c r="DJ395" s="52"/>
      <c r="DK395" s="52"/>
      <c r="DL395" s="52"/>
      <c r="DM395" s="52"/>
      <c r="DN395" s="52"/>
      <c r="DO395" s="52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P395" s="53"/>
      <c r="EQ395" s="1"/>
      <c r="ER395" s="103"/>
      <c r="ES395" s="103"/>
      <c r="ET395" s="1"/>
      <c r="EU395" s="103"/>
      <c r="EV395" s="1"/>
      <c r="EW395" s="1"/>
      <c r="EX395" s="1"/>
      <c r="EY395" s="104"/>
      <c r="FN395" s="657">
        <v>71</v>
      </c>
      <c r="FO395" s="450">
        <f t="shared" ref="FO395:HZ395" ca="1" si="751">IF(AND(ISNUMBER(FO90),ISNUMBER(FO$320),FO$320&lt;&gt;0),FO90*FO$320/FO$15,"")</f>
        <v>6.5339314029770439E-4</v>
      </c>
      <c r="FP395" s="450">
        <f t="shared" ca="1" si="751"/>
        <v>1.061265008184369E-3</v>
      </c>
      <c r="FQ395" s="450" t="str">
        <f t="shared" ca="1" si="751"/>
        <v/>
      </c>
      <c r="FR395" s="450" t="str">
        <f t="shared" ca="1" si="751"/>
        <v/>
      </c>
      <c r="FS395" s="450" t="str">
        <f t="shared" ca="1" si="751"/>
        <v/>
      </c>
      <c r="FT395" s="450" t="str">
        <f t="shared" ca="1" si="751"/>
        <v/>
      </c>
      <c r="FU395" s="450" t="str">
        <f t="shared" ca="1" si="751"/>
        <v/>
      </c>
      <c r="FV395" s="450" t="str">
        <f t="shared" ca="1" si="751"/>
        <v/>
      </c>
      <c r="FW395" s="450" t="str">
        <f t="shared" ca="1" si="751"/>
        <v/>
      </c>
      <c r="FX395" s="450" t="str">
        <f t="shared" ca="1" si="751"/>
        <v/>
      </c>
      <c r="FY395" s="450" t="str">
        <f t="shared" ca="1" si="751"/>
        <v/>
      </c>
      <c r="FZ395" s="450" t="str">
        <f t="shared" ca="1" si="751"/>
        <v/>
      </c>
      <c r="GA395" s="450" t="str">
        <f t="shared" ca="1" si="751"/>
        <v/>
      </c>
      <c r="GB395" s="450" t="str">
        <f t="shared" ca="1" si="751"/>
        <v/>
      </c>
      <c r="GC395" s="450" t="str">
        <f t="shared" ca="1" si="751"/>
        <v/>
      </c>
      <c r="GD395" s="450" t="str">
        <f t="shared" ca="1" si="751"/>
        <v/>
      </c>
      <c r="GE395" s="450" t="str">
        <f t="shared" ca="1" si="751"/>
        <v/>
      </c>
      <c r="GF395" s="450" t="str">
        <f t="shared" ca="1" si="751"/>
        <v/>
      </c>
      <c r="GG395" s="450" t="str">
        <f t="shared" ca="1" si="751"/>
        <v/>
      </c>
      <c r="GH395" s="450" t="str">
        <f t="shared" ca="1" si="751"/>
        <v/>
      </c>
      <c r="GI395" s="450" t="str">
        <f t="shared" ca="1" si="751"/>
        <v/>
      </c>
      <c r="GJ395" s="450" t="str">
        <f t="shared" ca="1" si="751"/>
        <v/>
      </c>
      <c r="GK395" s="450" t="str">
        <f t="shared" ca="1" si="751"/>
        <v/>
      </c>
      <c r="GL395" s="450" t="str">
        <f t="shared" ca="1" si="751"/>
        <v/>
      </c>
      <c r="GM395" s="450" t="str">
        <f t="shared" ca="1" si="751"/>
        <v/>
      </c>
      <c r="GN395" s="450" t="str">
        <f t="shared" ca="1" si="751"/>
        <v/>
      </c>
      <c r="GO395" s="450" t="str">
        <f t="shared" ca="1" si="751"/>
        <v/>
      </c>
      <c r="GP395" s="450" t="str">
        <f t="shared" ca="1" si="751"/>
        <v/>
      </c>
      <c r="GQ395" s="450" t="str">
        <f t="shared" ca="1" si="751"/>
        <v/>
      </c>
      <c r="GR395" s="450" t="str">
        <f t="shared" ca="1" si="751"/>
        <v/>
      </c>
      <c r="GS395" s="450" t="str">
        <f t="shared" ca="1" si="751"/>
        <v/>
      </c>
      <c r="GT395" s="450" t="str">
        <f t="shared" ca="1" si="751"/>
        <v/>
      </c>
      <c r="GU395" s="450" t="str">
        <f t="shared" ca="1" si="751"/>
        <v/>
      </c>
      <c r="GV395" s="450" t="str">
        <f t="shared" ca="1" si="751"/>
        <v/>
      </c>
      <c r="GW395" s="450" t="str">
        <f t="shared" ca="1" si="751"/>
        <v/>
      </c>
      <c r="GX395" s="450" t="str">
        <f t="shared" ca="1" si="751"/>
        <v/>
      </c>
      <c r="GY395" s="450" t="str">
        <f t="shared" ca="1" si="751"/>
        <v/>
      </c>
      <c r="GZ395" s="450" t="str">
        <f t="shared" ca="1" si="751"/>
        <v/>
      </c>
      <c r="HA395" s="450" t="str">
        <f t="shared" ca="1" si="751"/>
        <v/>
      </c>
      <c r="HB395" s="450" t="str">
        <f t="shared" ca="1" si="751"/>
        <v/>
      </c>
      <c r="HC395" s="450" t="str">
        <f t="shared" ca="1" si="751"/>
        <v/>
      </c>
      <c r="HD395" s="450" t="str">
        <f t="shared" ca="1" si="751"/>
        <v/>
      </c>
      <c r="HE395" s="450" t="str">
        <f t="shared" ca="1" si="751"/>
        <v/>
      </c>
      <c r="HF395" s="450" t="str">
        <f t="shared" ca="1" si="751"/>
        <v/>
      </c>
      <c r="HG395" s="450" t="str">
        <f t="shared" ca="1" si="751"/>
        <v/>
      </c>
      <c r="HH395" s="450" t="str">
        <f t="shared" ca="1" si="751"/>
        <v/>
      </c>
      <c r="HI395" s="450" t="str">
        <f t="shared" ca="1" si="751"/>
        <v/>
      </c>
      <c r="HJ395" s="450" t="str">
        <f t="shared" ca="1" si="751"/>
        <v/>
      </c>
      <c r="HK395" s="450" t="str">
        <f t="shared" ca="1" si="751"/>
        <v/>
      </c>
      <c r="HL395" s="450" t="str">
        <f t="shared" ca="1" si="751"/>
        <v/>
      </c>
      <c r="HM395" s="450" t="str">
        <f t="shared" ca="1" si="751"/>
        <v/>
      </c>
      <c r="HN395" s="450" t="str">
        <f t="shared" ca="1" si="751"/>
        <v/>
      </c>
      <c r="HO395" s="450" t="str">
        <f t="shared" ca="1" si="751"/>
        <v/>
      </c>
      <c r="HP395" s="450" t="str">
        <f t="shared" ca="1" si="751"/>
        <v/>
      </c>
      <c r="HQ395" s="450" t="str">
        <f t="shared" ca="1" si="751"/>
        <v/>
      </c>
      <c r="HR395" s="450" t="str">
        <f t="shared" ca="1" si="751"/>
        <v/>
      </c>
      <c r="HS395" s="450" t="str">
        <f t="shared" ca="1" si="751"/>
        <v/>
      </c>
      <c r="HT395" s="450" t="str">
        <f t="shared" ca="1" si="751"/>
        <v/>
      </c>
      <c r="HU395" s="450" t="str">
        <f t="shared" ca="1" si="751"/>
        <v/>
      </c>
      <c r="HV395" s="450" t="str">
        <f t="shared" ca="1" si="751"/>
        <v/>
      </c>
      <c r="HW395" s="450" t="str">
        <f t="shared" ca="1" si="751"/>
        <v/>
      </c>
      <c r="HX395" s="450" t="str">
        <f t="shared" ca="1" si="751"/>
        <v/>
      </c>
      <c r="HY395" s="450" t="str">
        <f t="shared" ca="1" si="751"/>
        <v/>
      </c>
      <c r="HZ395" s="450" t="str">
        <f t="shared" ca="1" si="751"/>
        <v/>
      </c>
      <c r="IA395" s="450" t="str">
        <f t="shared" ref="IA395:IH395" ca="1" si="752">IF(AND(ISNUMBER(IA90),ISNUMBER(IA$320),IA$320&lt;&gt;0),IA90*IA$320/IA$15,"")</f>
        <v/>
      </c>
      <c r="IB395" s="450" t="str">
        <f t="shared" ca="1" si="752"/>
        <v/>
      </c>
      <c r="IC395" s="450" t="str">
        <f t="shared" ca="1" si="752"/>
        <v/>
      </c>
      <c r="ID395" s="450" t="str">
        <f t="shared" ca="1" si="752"/>
        <v/>
      </c>
      <c r="IE395" s="450" t="str">
        <f t="shared" ca="1" si="752"/>
        <v/>
      </c>
      <c r="IF395" s="450" t="str">
        <f t="shared" ca="1" si="752"/>
        <v/>
      </c>
      <c r="IG395" s="450" t="str">
        <f t="shared" ca="1" si="752"/>
        <v/>
      </c>
      <c r="IH395" s="658" t="str">
        <f t="shared" ca="1" si="752"/>
        <v/>
      </c>
    </row>
    <row r="396" spans="9:242">
      <c r="I396" s="132"/>
      <c r="J396" s="365"/>
      <c r="K396" s="1"/>
      <c r="L396" s="1"/>
      <c r="M396" s="366"/>
      <c r="P396" s="365"/>
      <c r="S396" s="53"/>
      <c r="T396" s="365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364"/>
      <c r="AO396" s="364"/>
      <c r="AP396" s="103"/>
      <c r="AQ396" s="364"/>
      <c r="AR396" s="103"/>
      <c r="AS396" s="103"/>
      <c r="AT396" s="103"/>
      <c r="AU396" s="31"/>
      <c r="AV396" s="31"/>
      <c r="AW396" s="31"/>
      <c r="AX396" s="31"/>
      <c r="AY396" s="146"/>
      <c r="AZ396" s="146"/>
      <c r="BA396" s="103"/>
      <c r="BB396" s="103"/>
      <c r="BC396" s="103"/>
      <c r="BD396" s="103"/>
      <c r="BE396" s="104"/>
      <c r="BF396" s="104"/>
      <c r="BG396" s="104"/>
      <c r="BH396" s="102"/>
      <c r="BI396" s="104"/>
      <c r="BJ396" s="103"/>
      <c r="BK396" s="105"/>
      <c r="BL396" s="151"/>
      <c r="BM396" s="103"/>
      <c r="BN396" s="103"/>
      <c r="BO396" s="103"/>
      <c r="BP396" s="103"/>
      <c r="BQ396" s="103"/>
      <c r="BR396" s="103"/>
      <c r="BS396" s="103"/>
      <c r="BT396" s="103"/>
      <c r="BU396" s="103"/>
      <c r="BV396" s="103"/>
      <c r="BW396" s="103"/>
      <c r="BX396" s="103"/>
      <c r="BY396" s="103"/>
      <c r="BZ396" s="104"/>
      <c r="CA396" s="104"/>
      <c r="CB396" s="104"/>
      <c r="CC396" s="104"/>
      <c r="CD396" s="104"/>
      <c r="CE396" s="104"/>
      <c r="CF396" s="103"/>
      <c r="CG396" s="103"/>
      <c r="CH396" s="103"/>
      <c r="CI396" s="103"/>
      <c r="CJ396" s="103"/>
      <c r="CK396" s="103"/>
      <c r="CL396" s="103"/>
      <c r="CM396" s="103"/>
      <c r="CN396" s="103"/>
      <c r="CO396" s="103"/>
      <c r="CP396" s="103"/>
      <c r="CQ396" s="103"/>
      <c r="CR396" s="103"/>
      <c r="CS396" s="103"/>
      <c r="CT396" s="103"/>
      <c r="CU396" s="103"/>
      <c r="CV396" s="103"/>
      <c r="CW396" s="103"/>
      <c r="CX396" s="103"/>
      <c r="CY396" s="103"/>
      <c r="CZ396" s="103"/>
      <c r="DA396" s="103"/>
      <c r="DB396" s="103"/>
      <c r="DC396" s="103"/>
      <c r="DD396" s="103"/>
      <c r="DE396" s="107"/>
      <c r="DF396" s="465"/>
      <c r="DG396" s="1"/>
      <c r="DH396" s="51"/>
      <c r="DI396" s="465"/>
      <c r="DJ396" s="52"/>
      <c r="DK396" s="52"/>
      <c r="DL396" s="52"/>
      <c r="DM396" s="52"/>
      <c r="DN396" s="52"/>
      <c r="DO396" s="52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P396" s="53"/>
      <c r="EQ396" s="1"/>
      <c r="ER396" s="103"/>
      <c r="ES396" s="103"/>
      <c r="ET396" s="1"/>
      <c r="EU396" s="103"/>
      <c r="EV396" s="1"/>
      <c r="EW396" s="1"/>
      <c r="EX396" s="1"/>
      <c r="EY396" s="104"/>
      <c r="FN396" s="659">
        <v>72</v>
      </c>
      <c r="FO396" s="660">
        <f t="shared" ref="FO396:HZ396" ca="1" si="753">IF(AND(ISNUMBER(FO91),ISNUMBER(FO$320),FO$320&lt;&gt;0),FO91*FO$320/FO$15,"")</f>
        <v>6.5332922341488882E-4</v>
      </c>
      <c r="FP396" s="660">
        <f t="shared" ca="1" si="753"/>
        <v>1.0611496569220623E-3</v>
      </c>
      <c r="FQ396" s="660" t="str">
        <f t="shared" ca="1" si="753"/>
        <v/>
      </c>
      <c r="FR396" s="660" t="str">
        <f t="shared" ca="1" si="753"/>
        <v/>
      </c>
      <c r="FS396" s="660" t="str">
        <f t="shared" ca="1" si="753"/>
        <v/>
      </c>
      <c r="FT396" s="660" t="str">
        <f t="shared" ca="1" si="753"/>
        <v/>
      </c>
      <c r="FU396" s="660" t="str">
        <f t="shared" ca="1" si="753"/>
        <v/>
      </c>
      <c r="FV396" s="660" t="str">
        <f t="shared" ca="1" si="753"/>
        <v/>
      </c>
      <c r="FW396" s="660" t="str">
        <f t="shared" ca="1" si="753"/>
        <v/>
      </c>
      <c r="FX396" s="660" t="str">
        <f t="shared" ca="1" si="753"/>
        <v/>
      </c>
      <c r="FY396" s="660" t="str">
        <f t="shared" ca="1" si="753"/>
        <v/>
      </c>
      <c r="FZ396" s="660" t="str">
        <f t="shared" ca="1" si="753"/>
        <v/>
      </c>
      <c r="GA396" s="660" t="str">
        <f t="shared" ca="1" si="753"/>
        <v/>
      </c>
      <c r="GB396" s="660" t="str">
        <f t="shared" ca="1" si="753"/>
        <v/>
      </c>
      <c r="GC396" s="660" t="str">
        <f t="shared" ca="1" si="753"/>
        <v/>
      </c>
      <c r="GD396" s="660" t="str">
        <f t="shared" ca="1" si="753"/>
        <v/>
      </c>
      <c r="GE396" s="660" t="str">
        <f t="shared" ca="1" si="753"/>
        <v/>
      </c>
      <c r="GF396" s="660" t="str">
        <f t="shared" ca="1" si="753"/>
        <v/>
      </c>
      <c r="GG396" s="660" t="str">
        <f t="shared" ca="1" si="753"/>
        <v/>
      </c>
      <c r="GH396" s="660" t="str">
        <f t="shared" ca="1" si="753"/>
        <v/>
      </c>
      <c r="GI396" s="660" t="str">
        <f t="shared" ca="1" si="753"/>
        <v/>
      </c>
      <c r="GJ396" s="660" t="str">
        <f t="shared" ca="1" si="753"/>
        <v/>
      </c>
      <c r="GK396" s="660" t="str">
        <f t="shared" ca="1" si="753"/>
        <v/>
      </c>
      <c r="GL396" s="660" t="str">
        <f t="shared" ca="1" si="753"/>
        <v/>
      </c>
      <c r="GM396" s="660" t="str">
        <f t="shared" ca="1" si="753"/>
        <v/>
      </c>
      <c r="GN396" s="660" t="str">
        <f t="shared" ca="1" si="753"/>
        <v/>
      </c>
      <c r="GO396" s="660" t="str">
        <f t="shared" ca="1" si="753"/>
        <v/>
      </c>
      <c r="GP396" s="660" t="str">
        <f t="shared" ca="1" si="753"/>
        <v/>
      </c>
      <c r="GQ396" s="660" t="str">
        <f t="shared" ca="1" si="753"/>
        <v/>
      </c>
      <c r="GR396" s="660" t="str">
        <f t="shared" ca="1" si="753"/>
        <v/>
      </c>
      <c r="GS396" s="660" t="str">
        <f t="shared" ca="1" si="753"/>
        <v/>
      </c>
      <c r="GT396" s="660" t="str">
        <f t="shared" ca="1" si="753"/>
        <v/>
      </c>
      <c r="GU396" s="660" t="str">
        <f t="shared" ca="1" si="753"/>
        <v/>
      </c>
      <c r="GV396" s="660" t="str">
        <f t="shared" ca="1" si="753"/>
        <v/>
      </c>
      <c r="GW396" s="660" t="str">
        <f t="shared" ca="1" si="753"/>
        <v/>
      </c>
      <c r="GX396" s="660" t="str">
        <f t="shared" ca="1" si="753"/>
        <v/>
      </c>
      <c r="GY396" s="660" t="str">
        <f t="shared" ca="1" si="753"/>
        <v/>
      </c>
      <c r="GZ396" s="660" t="str">
        <f t="shared" ca="1" si="753"/>
        <v/>
      </c>
      <c r="HA396" s="660" t="str">
        <f t="shared" ca="1" si="753"/>
        <v/>
      </c>
      <c r="HB396" s="660" t="str">
        <f t="shared" ca="1" si="753"/>
        <v/>
      </c>
      <c r="HC396" s="660" t="str">
        <f t="shared" ca="1" si="753"/>
        <v/>
      </c>
      <c r="HD396" s="660" t="str">
        <f t="shared" ca="1" si="753"/>
        <v/>
      </c>
      <c r="HE396" s="660" t="str">
        <f t="shared" ca="1" si="753"/>
        <v/>
      </c>
      <c r="HF396" s="660" t="str">
        <f t="shared" ca="1" si="753"/>
        <v/>
      </c>
      <c r="HG396" s="660" t="str">
        <f t="shared" ca="1" si="753"/>
        <v/>
      </c>
      <c r="HH396" s="660" t="str">
        <f t="shared" ca="1" si="753"/>
        <v/>
      </c>
      <c r="HI396" s="660" t="str">
        <f t="shared" ca="1" si="753"/>
        <v/>
      </c>
      <c r="HJ396" s="660" t="str">
        <f t="shared" ca="1" si="753"/>
        <v/>
      </c>
      <c r="HK396" s="660" t="str">
        <f t="shared" ca="1" si="753"/>
        <v/>
      </c>
      <c r="HL396" s="660" t="str">
        <f t="shared" ca="1" si="753"/>
        <v/>
      </c>
      <c r="HM396" s="660" t="str">
        <f t="shared" ca="1" si="753"/>
        <v/>
      </c>
      <c r="HN396" s="660" t="str">
        <f t="shared" ca="1" si="753"/>
        <v/>
      </c>
      <c r="HO396" s="660" t="str">
        <f t="shared" ca="1" si="753"/>
        <v/>
      </c>
      <c r="HP396" s="660" t="str">
        <f t="shared" ca="1" si="753"/>
        <v/>
      </c>
      <c r="HQ396" s="660" t="str">
        <f t="shared" ca="1" si="753"/>
        <v/>
      </c>
      <c r="HR396" s="660" t="str">
        <f t="shared" ca="1" si="753"/>
        <v/>
      </c>
      <c r="HS396" s="660" t="str">
        <f t="shared" ca="1" si="753"/>
        <v/>
      </c>
      <c r="HT396" s="660" t="str">
        <f t="shared" ca="1" si="753"/>
        <v/>
      </c>
      <c r="HU396" s="660" t="str">
        <f t="shared" ca="1" si="753"/>
        <v/>
      </c>
      <c r="HV396" s="660" t="str">
        <f t="shared" ca="1" si="753"/>
        <v/>
      </c>
      <c r="HW396" s="660" t="str">
        <f t="shared" ca="1" si="753"/>
        <v/>
      </c>
      <c r="HX396" s="660" t="str">
        <f t="shared" ca="1" si="753"/>
        <v/>
      </c>
      <c r="HY396" s="660" t="str">
        <f t="shared" ca="1" si="753"/>
        <v/>
      </c>
      <c r="HZ396" s="660" t="str">
        <f t="shared" ca="1" si="753"/>
        <v/>
      </c>
      <c r="IA396" s="660" t="str">
        <f t="shared" ref="IA396:IH396" ca="1" si="754">IF(AND(ISNUMBER(IA91),ISNUMBER(IA$320),IA$320&lt;&gt;0),IA91*IA$320/IA$15,"")</f>
        <v/>
      </c>
      <c r="IB396" s="660" t="str">
        <f t="shared" ca="1" si="754"/>
        <v/>
      </c>
      <c r="IC396" s="660" t="str">
        <f t="shared" ca="1" si="754"/>
        <v/>
      </c>
      <c r="ID396" s="660" t="str">
        <f t="shared" ca="1" si="754"/>
        <v/>
      </c>
      <c r="IE396" s="660" t="str">
        <f t="shared" ca="1" si="754"/>
        <v/>
      </c>
      <c r="IF396" s="660" t="str">
        <f t="shared" ca="1" si="754"/>
        <v/>
      </c>
      <c r="IG396" s="660" t="str">
        <f t="shared" ca="1" si="754"/>
        <v/>
      </c>
      <c r="IH396" s="661" t="str">
        <f t="shared" ca="1" si="754"/>
        <v/>
      </c>
    </row>
    <row r="397" spans="9:242">
      <c r="I397" s="132"/>
      <c r="J397" s="365"/>
      <c r="K397" s="1"/>
      <c r="L397" s="1"/>
      <c r="M397" s="366"/>
      <c r="P397" s="365"/>
      <c r="S397" s="53"/>
      <c r="T397" s="365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364"/>
      <c r="AO397" s="364"/>
      <c r="AP397" s="103"/>
      <c r="AQ397" s="364"/>
      <c r="AR397" s="103"/>
      <c r="AS397" s="103"/>
      <c r="AT397" s="103"/>
      <c r="AU397" s="31"/>
      <c r="AV397" s="31"/>
      <c r="AW397" s="31"/>
      <c r="AX397" s="31"/>
      <c r="AY397" s="146"/>
      <c r="AZ397" s="146"/>
      <c r="BA397" s="103"/>
      <c r="BB397" s="103"/>
      <c r="BC397" s="103"/>
      <c r="BD397" s="103"/>
      <c r="BE397" s="104"/>
      <c r="BF397" s="104"/>
      <c r="BG397" s="104"/>
      <c r="BH397" s="102"/>
      <c r="BI397" s="104"/>
      <c r="BJ397" s="103"/>
      <c r="BK397" s="105"/>
      <c r="BL397" s="151"/>
      <c r="BM397" s="103"/>
      <c r="BN397" s="103"/>
      <c r="BO397" s="103"/>
      <c r="BP397" s="103"/>
      <c r="BQ397" s="103"/>
      <c r="BR397" s="103"/>
      <c r="BS397" s="103"/>
      <c r="BT397" s="103"/>
      <c r="BU397" s="103"/>
      <c r="BV397" s="103"/>
      <c r="BW397" s="103"/>
      <c r="BX397" s="103"/>
      <c r="BY397" s="103"/>
      <c r="BZ397" s="104"/>
      <c r="CA397" s="104"/>
      <c r="CB397" s="104"/>
      <c r="CC397" s="104"/>
      <c r="CD397" s="104"/>
      <c r="CE397" s="104"/>
      <c r="CF397" s="103"/>
      <c r="CG397" s="103"/>
      <c r="CH397" s="103"/>
      <c r="CI397" s="103"/>
      <c r="CJ397" s="103"/>
      <c r="CK397" s="103"/>
      <c r="CL397" s="103"/>
      <c r="CM397" s="103"/>
      <c r="CN397" s="103"/>
      <c r="CO397" s="103"/>
      <c r="CP397" s="103"/>
      <c r="CQ397" s="103"/>
      <c r="CR397" s="103"/>
      <c r="CS397" s="103"/>
      <c r="CT397" s="103"/>
      <c r="CU397" s="103"/>
      <c r="CV397" s="103"/>
      <c r="CW397" s="103"/>
      <c r="CX397" s="103"/>
      <c r="CY397" s="103"/>
      <c r="CZ397" s="103"/>
      <c r="DA397" s="103"/>
      <c r="DB397" s="103"/>
      <c r="DC397" s="103"/>
      <c r="DD397" s="103"/>
      <c r="DE397" s="107"/>
      <c r="DF397" s="465"/>
      <c r="DG397" s="1"/>
      <c r="DH397" s="51"/>
      <c r="DI397" s="465"/>
      <c r="DJ397" s="52"/>
      <c r="DK397" s="52"/>
      <c r="DL397" s="52"/>
      <c r="DM397" s="52"/>
      <c r="DN397" s="52"/>
      <c r="DO397" s="52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P397" s="53"/>
      <c r="EQ397" s="1"/>
      <c r="ER397" s="103"/>
      <c r="ES397" s="103"/>
      <c r="ET397" s="1"/>
      <c r="EU397" s="103"/>
      <c r="EV397" s="1"/>
      <c r="EW397" s="1"/>
      <c r="EX397" s="1"/>
      <c r="EY397" s="104"/>
    </row>
    <row r="398" spans="9:242">
      <c r="I398" s="132"/>
      <c r="J398" s="365"/>
      <c r="K398" s="1"/>
      <c r="L398" s="1"/>
      <c r="M398" s="366"/>
      <c r="P398" s="365"/>
      <c r="S398" s="53"/>
      <c r="T398" s="365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364"/>
      <c r="AO398" s="364"/>
      <c r="AP398" s="103"/>
      <c r="AQ398" s="364"/>
      <c r="AR398" s="103"/>
      <c r="AS398" s="103"/>
      <c r="AT398" s="103"/>
      <c r="AU398" s="31"/>
      <c r="AV398" s="31"/>
      <c r="AW398" s="31"/>
      <c r="AX398" s="31"/>
      <c r="AY398" s="146"/>
      <c r="AZ398" s="146"/>
      <c r="BA398" s="103"/>
      <c r="BB398" s="103"/>
      <c r="BC398" s="103"/>
      <c r="BD398" s="103"/>
      <c r="BE398" s="104"/>
      <c r="BF398" s="104"/>
      <c r="BG398" s="104"/>
      <c r="BH398" s="102"/>
      <c r="BI398" s="104"/>
      <c r="BJ398" s="103"/>
      <c r="BK398" s="105"/>
      <c r="BL398" s="151"/>
      <c r="BM398" s="103"/>
      <c r="BN398" s="103"/>
      <c r="BO398" s="103"/>
      <c r="BP398" s="103"/>
      <c r="BQ398" s="103"/>
      <c r="BR398" s="103"/>
      <c r="BS398" s="103"/>
      <c r="BT398" s="103"/>
      <c r="BU398" s="103"/>
      <c r="BV398" s="103"/>
      <c r="BW398" s="103"/>
      <c r="BX398" s="103"/>
      <c r="BY398" s="103"/>
      <c r="BZ398" s="104"/>
      <c r="CA398" s="104"/>
      <c r="CB398" s="104"/>
      <c r="CC398" s="104"/>
      <c r="CD398" s="104"/>
      <c r="CE398" s="104"/>
      <c r="CF398" s="103"/>
      <c r="CG398" s="103"/>
      <c r="CH398" s="103"/>
      <c r="CI398" s="103"/>
      <c r="CJ398" s="103"/>
      <c r="CK398" s="103"/>
      <c r="CL398" s="103"/>
      <c r="CM398" s="103"/>
      <c r="CN398" s="103"/>
      <c r="CO398" s="103"/>
      <c r="CP398" s="103"/>
      <c r="CQ398" s="103"/>
      <c r="CR398" s="103"/>
      <c r="CS398" s="103"/>
      <c r="CT398" s="103"/>
      <c r="CU398" s="103"/>
      <c r="CV398" s="103"/>
      <c r="CW398" s="103"/>
      <c r="CX398" s="103"/>
      <c r="CY398" s="103"/>
      <c r="CZ398" s="103"/>
      <c r="DA398" s="103"/>
      <c r="DB398" s="103"/>
      <c r="DC398" s="103"/>
      <c r="DD398" s="103"/>
      <c r="DE398" s="107"/>
      <c r="DF398" s="465"/>
      <c r="DG398" s="1"/>
      <c r="DH398" s="51"/>
      <c r="DI398" s="465"/>
      <c r="DJ398" s="52"/>
      <c r="DK398" s="52"/>
      <c r="DL398" s="52"/>
      <c r="DM398" s="52"/>
      <c r="DN398" s="52"/>
      <c r="DO398" s="52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P398" s="53"/>
      <c r="EQ398" s="1"/>
      <c r="ER398" s="103"/>
      <c r="ES398" s="103"/>
      <c r="ET398" s="1"/>
      <c r="EU398" s="103"/>
      <c r="EV398" s="1"/>
      <c r="EW398" s="1"/>
      <c r="EX398" s="1"/>
      <c r="EY398" s="104"/>
    </row>
    <row r="399" spans="9:242">
      <c r="I399" s="132"/>
      <c r="J399" s="365"/>
      <c r="K399" s="1"/>
      <c r="L399" s="1"/>
      <c r="M399" s="366"/>
      <c r="P399" s="365"/>
      <c r="S399" s="53"/>
      <c r="T399" s="365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364"/>
      <c r="AO399" s="364"/>
      <c r="AP399" s="103"/>
      <c r="AQ399" s="364"/>
      <c r="AR399" s="103"/>
      <c r="AS399" s="103"/>
      <c r="AT399" s="103"/>
      <c r="AU399" s="31"/>
      <c r="AV399" s="31"/>
      <c r="AW399" s="31"/>
      <c r="AX399" s="31"/>
      <c r="AY399" s="146"/>
      <c r="AZ399" s="146"/>
      <c r="BA399" s="103"/>
      <c r="BB399" s="103"/>
      <c r="BC399" s="103"/>
      <c r="BD399" s="103"/>
      <c r="BE399" s="104"/>
      <c r="BF399" s="104"/>
      <c r="BG399" s="104"/>
      <c r="BH399" s="102"/>
      <c r="BI399" s="104"/>
      <c r="BJ399" s="103"/>
      <c r="BK399" s="105"/>
      <c r="BL399" s="151"/>
      <c r="BM399" s="103"/>
      <c r="BN399" s="103"/>
      <c r="BO399" s="103"/>
      <c r="BP399" s="103"/>
      <c r="BQ399" s="103"/>
      <c r="BR399" s="103"/>
      <c r="BS399" s="103"/>
      <c r="BT399" s="103"/>
      <c r="BU399" s="103"/>
      <c r="BV399" s="103"/>
      <c r="BW399" s="103"/>
      <c r="BX399" s="103"/>
      <c r="BY399" s="103"/>
      <c r="BZ399" s="104"/>
      <c r="CA399" s="104"/>
      <c r="CB399" s="104"/>
      <c r="CC399" s="104"/>
      <c r="CD399" s="104"/>
      <c r="CE399" s="104"/>
      <c r="CF399" s="103"/>
      <c r="CG399" s="103"/>
      <c r="CH399" s="103"/>
      <c r="CI399" s="103"/>
      <c r="CJ399" s="103"/>
      <c r="CK399" s="103"/>
      <c r="CL399" s="103"/>
      <c r="CM399" s="103"/>
      <c r="CN399" s="103"/>
      <c r="CO399" s="103"/>
      <c r="CP399" s="103"/>
      <c r="CQ399" s="103"/>
      <c r="CR399" s="103"/>
      <c r="CS399" s="103"/>
      <c r="CT399" s="103"/>
      <c r="CU399" s="103"/>
      <c r="CV399" s="103"/>
      <c r="CW399" s="103"/>
      <c r="CX399" s="103"/>
      <c r="CY399" s="103"/>
      <c r="CZ399" s="103"/>
      <c r="DA399" s="103"/>
      <c r="DB399" s="103"/>
      <c r="DC399" s="103"/>
      <c r="DD399" s="103"/>
      <c r="DE399" s="107"/>
      <c r="DF399" s="465"/>
      <c r="DG399" s="1"/>
      <c r="DH399" s="51"/>
      <c r="DI399" s="465"/>
      <c r="DJ399" s="52"/>
      <c r="DK399" s="52"/>
      <c r="DL399" s="52"/>
      <c r="DM399" s="52"/>
      <c r="DN399" s="52"/>
      <c r="DO399" s="52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P399" s="53"/>
      <c r="EQ399" s="1"/>
      <c r="ER399" s="103"/>
      <c r="ES399" s="103"/>
      <c r="ET399" s="1"/>
      <c r="EU399" s="103"/>
      <c r="EV399" s="1"/>
      <c r="EW399" s="1"/>
      <c r="EX399" s="1"/>
      <c r="EY399" s="104"/>
    </row>
    <row r="400" spans="9:242">
      <c r="I400" s="132"/>
      <c r="J400" s="365"/>
      <c r="K400" s="1"/>
      <c r="L400" s="1"/>
      <c r="M400" s="366"/>
      <c r="P400" s="365"/>
      <c r="S400" s="53"/>
      <c r="T400" s="365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364"/>
      <c r="AO400" s="364"/>
      <c r="AP400" s="103"/>
      <c r="AQ400" s="364"/>
      <c r="AR400" s="103"/>
      <c r="AS400" s="103"/>
      <c r="AT400" s="103"/>
      <c r="AU400" s="31"/>
      <c r="AV400" s="31"/>
      <c r="AW400" s="31"/>
      <c r="AX400" s="31"/>
      <c r="AY400" s="146"/>
      <c r="AZ400" s="146"/>
      <c r="BA400" s="103"/>
      <c r="BB400" s="103"/>
      <c r="BC400" s="103"/>
      <c r="BD400" s="103"/>
      <c r="BE400" s="104"/>
      <c r="BF400" s="104"/>
      <c r="BG400" s="104"/>
      <c r="BH400" s="102"/>
      <c r="BI400" s="104"/>
      <c r="BJ400" s="103"/>
      <c r="BK400" s="105"/>
      <c r="BL400" s="151"/>
      <c r="BM400" s="103"/>
      <c r="BN400" s="103"/>
      <c r="BO400" s="103"/>
      <c r="BP400" s="103"/>
      <c r="BQ400" s="103"/>
      <c r="BR400" s="103"/>
      <c r="BS400" s="103"/>
      <c r="BT400" s="103"/>
      <c r="BU400" s="103"/>
      <c r="BV400" s="103"/>
      <c r="BW400" s="103"/>
      <c r="BX400" s="103"/>
      <c r="BY400" s="103"/>
      <c r="BZ400" s="104"/>
      <c r="CA400" s="104"/>
      <c r="CB400" s="104"/>
      <c r="CC400" s="104"/>
      <c r="CD400" s="104"/>
      <c r="CE400" s="104"/>
      <c r="CF400" s="103"/>
      <c r="CG400" s="103"/>
      <c r="CH400" s="103"/>
      <c r="CI400" s="103"/>
      <c r="CJ400" s="103"/>
      <c r="CK400" s="103"/>
      <c r="CL400" s="103"/>
      <c r="CM400" s="103"/>
      <c r="CN400" s="103"/>
      <c r="CO400" s="103"/>
      <c r="CP400" s="103"/>
      <c r="CQ400" s="103"/>
      <c r="CR400" s="103"/>
      <c r="CS400" s="103"/>
      <c r="CT400" s="103"/>
      <c r="CU400" s="103"/>
      <c r="CV400" s="103"/>
      <c r="CW400" s="103"/>
      <c r="CX400" s="103"/>
      <c r="CY400" s="103"/>
      <c r="CZ400" s="103"/>
      <c r="DA400" s="103"/>
      <c r="DB400" s="103"/>
      <c r="DC400" s="103"/>
      <c r="DD400" s="103"/>
      <c r="DE400" s="107"/>
      <c r="DF400" s="465"/>
      <c r="DG400" s="1"/>
      <c r="DH400" s="51"/>
      <c r="DI400" s="465"/>
      <c r="DJ400" s="52"/>
      <c r="DK400" s="52"/>
      <c r="DL400" s="52"/>
      <c r="DM400" s="52"/>
      <c r="DN400" s="52"/>
      <c r="DO400" s="52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P400" s="53"/>
      <c r="EQ400" s="1"/>
      <c r="ER400" s="103"/>
      <c r="ES400" s="103"/>
      <c r="ET400" s="1"/>
      <c r="EU400" s="103"/>
      <c r="EV400" s="1"/>
      <c r="EW400" s="1"/>
      <c r="EX400" s="1"/>
      <c r="EY400" s="104"/>
    </row>
    <row r="401" spans="9:155">
      <c r="I401" s="132"/>
      <c r="J401" s="365"/>
      <c r="K401" s="1"/>
      <c r="L401" s="1"/>
      <c r="M401" s="366"/>
      <c r="P401" s="365"/>
      <c r="S401" s="53"/>
      <c r="T401" s="365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364"/>
      <c r="AO401" s="364"/>
      <c r="AP401" s="103"/>
      <c r="AQ401" s="364"/>
      <c r="AR401" s="103"/>
      <c r="AS401" s="103"/>
      <c r="AT401" s="103"/>
      <c r="AU401" s="31"/>
      <c r="AV401" s="31"/>
      <c r="AW401" s="31"/>
      <c r="AX401" s="31"/>
      <c r="AY401" s="146"/>
      <c r="AZ401" s="146"/>
      <c r="BA401" s="103"/>
      <c r="BB401" s="103"/>
      <c r="BC401" s="103"/>
      <c r="BD401" s="103"/>
      <c r="BE401" s="104"/>
      <c r="BF401" s="104"/>
      <c r="BG401" s="104"/>
      <c r="BH401" s="102"/>
      <c r="BI401" s="104"/>
      <c r="BJ401" s="103"/>
      <c r="BK401" s="105"/>
      <c r="BL401" s="151"/>
      <c r="BM401" s="103"/>
      <c r="BN401" s="103"/>
      <c r="BO401" s="103"/>
      <c r="BP401" s="103"/>
      <c r="BQ401" s="103"/>
      <c r="BR401" s="103"/>
      <c r="BS401" s="103"/>
      <c r="BT401" s="103"/>
      <c r="BU401" s="103"/>
      <c r="BV401" s="103"/>
      <c r="BW401" s="103"/>
      <c r="BX401" s="103"/>
      <c r="BY401" s="103"/>
      <c r="BZ401" s="104"/>
      <c r="CA401" s="104"/>
      <c r="CB401" s="104"/>
      <c r="CC401" s="104"/>
      <c r="CD401" s="104"/>
      <c r="CE401" s="104"/>
      <c r="CF401" s="103"/>
      <c r="CG401" s="103"/>
      <c r="CH401" s="103"/>
      <c r="CI401" s="103"/>
      <c r="CJ401" s="103"/>
      <c r="CK401" s="103"/>
      <c r="CL401" s="103"/>
      <c r="CM401" s="103"/>
      <c r="CN401" s="103"/>
      <c r="CO401" s="103"/>
      <c r="CP401" s="103"/>
      <c r="CQ401" s="103"/>
      <c r="CR401" s="103"/>
      <c r="CS401" s="103"/>
      <c r="CT401" s="103"/>
      <c r="CU401" s="103"/>
      <c r="CV401" s="103"/>
      <c r="CW401" s="103"/>
      <c r="CX401" s="103"/>
      <c r="CY401" s="103"/>
      <c r="CZ401" s="103"/>
      <c r="DA401" s="103"/>
      <c r="DB401" s="103"/>
      <c r="DC401" s="103"/>
      <c r="DD401" s="103"/>
      <c r="DE401" s="107"/>
      <c r="DF401" s="465"/>
      <c r="DG401" s="1"/>
      <c r="DH401" s="51"/>
      <c r="DI401" s="465"/>
      <c r="DJ401" s="52"/>
      <c r="DK401" s="52"/>
      <c r="DL401" s="52"/>
      <c r="DM401" s="52"/>
      <c r="DN401" s="52"/>
      <c r="DO401" s="52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P401" s="53"/>
      <c r="EQ401" s="1"/>
      <c r="ER401" s="103"/>
      <c r="ES401" s="103"/>
      <c r="ET401" s="1"/>
      <c r="EU401" s="103"/>
      <c r="EV401" s="1"/>
      <c r="EW401" s="1"/>
      <c r="EX401" s="1"/>
      <c r="EY401" s="104"/>
    </row>
    <row r="402" spans="9:155">
      <c r="I402" s="132"/>
      <c r="J402" s="365"/>
      <c r="K402" s="1"/>
      <c r="L402" s="1"/>
      <c r="M402" s="366"/>
      <c r="P402" s="365"/>
      <c r="S402" s="53"/>
      <c r="T402" s="365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364"/>
      <c r="AO402" s="364"/>
      <c r="AP402" s="103"/>
      <c r="AQ402" s="364"/>
      <c r="AR402" s="103"/>
      <c r="AS402" s="103"/>
      <c r="AT402" s="103"/>
      <c r="AU402" s="31"/>
      <c r="AV402" s="31"/>
      <c r="AW402" s="31"/>
      <c r="AX402" s="31"/>
      <c r="AY402" s="146"/>
      <c r="AZ402" s="146"/>
      <c r="BA402" s="103"/>
      <c r="BB402" s="103"/>
      <c r="BC402" s="103"/>
      <c r="BD402" s="103"/>
      <c r="BE402" s="104"/>
      <c r="BF402" s="104"/>
      <c r="BG402" s="104"/>
      <c r="BH402" s="102"/>
      <c r="BI402" s="104"/>
      <c r="BJ402" s="103"/>
      <c r="BK402" s="105"/>
      <c r="BL402" s="151"/>
      <c r="BM402" s="103"/>
      <c r="BN402" s="103"/>
      <c r="BO402" s="103"/>
      <c r="BP402" s="103"/>
      <c r="BQ402" s="103"/>
      <c r="BR402" s="103"/>
      <c r="BS402" s="103"/>
      <c r="BT402" s="103"/>
      <c r="BU402" s="103"/>
      <c r="BV402" s="103"/>
      <c r="BW402" s="103"/>
      <c r="BX402" s="103"/>
      <c r="BY402" s="103"/>
      <c r="BZ402" s="104"/>
      <c r="CA402" s="104"/>
      <c r="CB402" s="104"/>
      <c r="CC402" s="104"/>
      <c r="CD402" s="104"/>
      <c r="CE402" s="104"/>
      <c r="CF402" s="103"/>
      <c r="CG402" s="103"/>
      <c r="CH402" s="103"/>
      <c r="CI402" s="103"/>
      <c r="CJ402" s="103"/>
      <c r="CK402" s="103"/>
      <c r="CL402" s="103"/>
      <c r="CM402" s="103"/>
      <c r="CN402" s="103"/>
      <c r="CO402" s="103"/>
      <c r="CP402" s="103"/>
      <c r="CQ402" s="103"/>
      <c r="CR402" s="103"/>
      <c r="CS402" s="103"/>
      <c r="CT402" s="103"/>
      <c r="CU402" s="103"/>
      <c r="CV402" s="103"/>
      <c r="CW402" s="103"/>
      <c r="CX402" s="103"/>
      <c r="CY402" s="103"/>
      <c r="CZ402" s="103"/>
      <c r="DA402" s="103"/>
      <c r="DB402" s="103"/>
      <c r="DC402" s="103"/>
      <c r="DD402" s="103"/>
      <c r="DE402" s="107"/>
      <c r="DF402" s="465"/>
      <c r="DG402" s="1"/>
      <c r="DH402" s="51"/>
      <c r="DI402" s="465"/>
      <c r="DJ402" s="52"/>
      <c r="DK402" s="52"/>
      <c r="DL402" s="52"/>
      <c r="DM402" s="52"/>
      <c r="DN402" s="52"/>
      <c r="DO402" s="52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P402" s="53"/>
      <c r="EQ402" s="1"/>
      <c r="ER402" s="103"/>
      <c r="ES402" s="103"/>
      <c r="ET402" s="1"/>
      <c r="EU402" s="103"/>
      <c r="EV402" s="1"/>
      <c r="EW402" s="1"/>
      <c r="EX402" s="1"/>
      <c r="EY402" s="104"/>
    </row>
    <row r="403" spans="9:155">
      <c r="I403" s="132"/>
      <c r="J403" s="365"/>
      <c r="K403" s="1"/>
      <c r="L403" s="1"/>
      <c r="M403" s="366"/>
      <c r="P403" s="365"/>
      <c r="S403" s="53"/>
      <c r="T403" s="365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364"/>
      <c r="AO403" s="364"/>
      <c r="AP403" s="103"/>
      <c r="AQ403" s="364"/>
      <c r="AR403" s="103"/>
      <c r="AS403" s="103"/>
      <c r="AT403" s="103"/>
      <c r="AU403" s="31"/>
      <c r="AV403" s="31"/>
      <c r="AW403" s="31"/>
      <c r="AX403" s="31"/>
      <c r="AY403" s="146"/>
      <c r="AZ403" s="146"/>
      <c r="BA403" s="103"/>
      <c r="BB403" s="103"/>
      <c r="BC403" s="103"/>
      <c r="BD403" s="103"/>
      <c r="BE403" s="104"/>
      <c r="BF403" s="104"/>
      <c r="BG403" s="104"/>
      <c r="BH403" s="102"/>
      <c r="BI403" s="104"/>
      <c r="BJ403" s="103"/>
      <c r="BK403" s="105"/>
      <c r="BL403" s="151"/>
      <c r="BM403" s="103"/>
      <c r="BN403" s="103"/>
      <c r="BO403" s="103"/>
      <c r="BP403" s="103"/>
      <c r="BQ403" s="103"/>
      <c r="BR403" s="103"/>
      <c r="BS403" s="103"/>
      <c r="BT403" s="103"/>
      <c r="BU403" s="103"/>
      <c r="BV403" s="103"/>
      <c r="BW403" s="103"/>
      <c r="BX403" s="103"/>
      <c r="BY403" s="103"/>
      <c r="BZ403" s="104"/>
      <c r="CA403" s="104"/>
      <c r="CB403" s="104"/>
      <c r="CC403" s="104"/>
      <c r="CD403" s="104"/>
      <c r="CE403" s="104"/>
      <c r="CF403" s="103"/>
      <c r="CG403" s="103"/>
      <c r="CH403" s="103"/>
      <c r="CI403" s="103"/>
      <c r="CJ403" s="103"/>
      <c r="CK403" s="103"/>
      <c r="CL403" s="103"/>
      <c r="CM403" s="103"/>
      <c r="CN403" s="103"/>
      <c r="CO403" s="103"/>
      <c r="CP403" s="103"/>
      <c r="CQ403" s="103"/>
      <c r="CR403" s="103"/>
      <c r="CS403" s="103"/>
      <c r="CT403" s="103"/>
      <c r="CU403" s="103"/>
      <c r="CV403" s="103"/>
      <c r="CW403" s="103"/>
      <c r="CX403" s="103"/>
      <c r="CY403" s="103"/>
      <c r="CZ403" s="103"/>
      <c r="DA403" s="103"/>
      <c r="DB403" s="103"/>
      <c r="DC403" s="103"/>
      <c r="DD403" s="103"/>
      <c r="DE403" s="107"/>
      <c r="DF403" s="465"/>
      <c r="DG403" s="1"/>
      <c r="DH403" s="51"/>
      <c r="DI403" s="465"/>
      <c r="DJ403" s="52"/>
      <c r="DK403" s="52"/>
      <c r="DL403" s="52"/>
      <c r="DM403" s="52"/>
      <c r="DN403" s="52"/>
      <c r="DO403" s="52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P403" s="53"/>
      <c r="EQ403" s="1"/>
      <c r="ER403" s="103"/>
      <c r="ES403" s="103"/>
      <c r="ET403" s="1"/>
      <c r="EU403" s="103"/>
      <c r="EV403" s="1"/>
      <c r="EW403" s="1"/>
      <c r="EX403" s="1"/>
      <c r="EY403" s="104"/>
    </row>
    <row r="404" spans="9:155">
      <c r="I404" s="132"/>
      <c r="J404" s="365"/>
      <c r="K404" s="1"/>
      <c r="L404" s="1"/>
      <c r="M404" s="366"/>
      <c r="P404" s="365"/>
      <c r="S404" s="53"/>
      <c r="T404" s="365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364"/>
      <c r="AO404" s="364"/>
      <c r="AP404" s="103"/>
      <c r="AQ404" s="364"/>
      <c r="AR404" s="103"/>
      <c r="AS404" s="103"/>
      <c r="AT404" s="103"/>
      <c r="AU404" s="31"/>
      <c r="AV404" s="31"/>
      <c r="AW404" s="31"/>
      <c r="AX404" s="31"/>
      <c r="AY404" s="146"/>
      <c r="AZ404" s="146"/>
      <c r="BA404" s="103"/>
      <c r="BB404" s="103"/>
      <c r="BC404" s="103"/>
      <c r="BD404" s="103"/>
      <c r="BE404" s="104"/>
      <c r="BF404" s="104"/>
      <c r="BG404" s="104"/>
      <c r="BH404" s="102"/>
      <c r="BI404" s="104"/>
      <c r="BJ404" s="103"/>
      <c r="BK404" s="105"/>
      <c r="BL404" s="151"/>
      <c r="BM404" s="103"/>
      <c r="BN404" s="103"/>
      <c r="BO404" s="103"/>
      <c r="BP404" s="103"/>
      <c r="BQ404" s="103"/>
      <c r="BR404" s="103"/>
      <c r="BS404" s="103"/>
      <c r="BT404" s="103"/>
      <c r="BU404" s="103"/>
      <c r="BV404" s="103"/>
      <c r="BW404" s="103"/>
      <c r="BX404" s="103"/>
      <c r="BY404" s="103"/>
      <c r="BZ404" s="104"/>
      <c r="CA404" s="104"/>
      <c r="CB404" s="104"/>
      <c r="CC404" s="104"/>
      <c r="CD404" s="104"/>
      <c r="CE404" s="104"/>
      <c r="CF404" s="103"/>
      <c r="CG404" s="103"/>
      <c r="CH404" s="103"/>
      <c r="CI404" s="103"/>
      <c r="CJ404" s="103"/>
      <c r="CK404" s="103"/>
      <c r="CL404" s="103"/>
      <c r="CM404" s="103"/>
      <c r="CN404" s="103"/>
      <c r="CO404" s="103"/>
      <c r="CP404" s="103"/>
      <c r="CQ404" s="103"/>
      <c r="CR404" s="103"/>
      <c r="CS404" s="103"/>
      <c r="CT404" s="103"/>
      <c r="CU404" s="103"/>
      <c r="CV404" s="103"/>
      <c r="CW404" s="103"/>
      <c r="CX404" s="103"/>
      <c r="CY404" s="103"/>
      <c r="CZ404" s="103"/>
      <c r="DA404" s="103"/>
      <c r="DB404" s="103"/>
      <c r="DC404" s="103"/>
      <c r="DD404" s="103"/>
      <c r="DE404" s="107"/>
      <c r="DF404" s="465"/>
      <c r="DG404" s="1"/>
      <c r="DH404" s="51"/>
      <c r="DI404" s="465"/>
      <c r="DJ404" s="52"/>
      <c r="DK404" s="52"/>
      <c r="DL404" s="52"/>
      <c r="DM404" s="52"/>
      <c r="DN404" s="52"/>
      <c r="DO404" s="52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P404" s="53"/>
      <c r="EQ404" s="1"/>
      <c r="ER404" s="103"/>
      <c r="ES404" s="103"/>
      <c r="ET404" s="1"/>
      <c r="EU404" s="103"/>
      <c r="EV404" s="1"/>
      <c r="EW404" s="1"/>
      <c r="EX404" s="1"/>
      <c r="EY404" s="104"/>
    </row>
    <row r="405" spans="9:155">
      <c r="I405" s="132"/>
      <c r="J405" s="365"/>
      <c r="K405" s="1"/>
      <c r="L405" s="1"/>
      <c r="M405" s="366"/>
      <c r="P405" s="365"/>
      <c r="S405" s="53"/>
      <c r="T405" s="365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364"/>
      <c r="AO405" s="364"/>
      <c r="AP405" s="103"/>
      <c r="AQ405" s="364"/>
      <c r="AR405" s="103"/>
      <c r="AS405" s="103"/>
      <c r="AT405" s="103"/>
      <c r="AU405" s="31"/>
      <c r="AV405" s="31"/>
      <c r="AW405" s="31"/>
      <c r="AX405" s="31"/>
      <c r="AY405" s="146"/>
      <c r="AZ405" s="146"/>
      <c r="BA405" s="103"/>
      <c r="BB405" s="103"/>
      <c r="BC405" s="103"/>
      <c r="BD405" s="103"/>
      <c r="BE405" s="104"/>
      <c r="BF405" s="104"/>
      <c r="BG405" s="104"/>
      <c r="BH405" s="102"/>
      <c r="BI405" s="104"/>
      <c r="BJ405" s="103"/>
      <c r="BK405" s="105"/>
      <c r="BL405" s="151"/>
      <c r="BM405" s="103"/>
      <c r="BN405" s="103"/>
      <c r="BO405" s="103"/>
      <c r="BP405" s="103"/>
      <c r="BQ405" s="103"/>
      <c r="BR405" s="103"/>
      <c r="BS405" s="103"/>
      <c r="BT405" s="103"/>
      <c r="BU405" s="103"/>
      <c r="BV405" s="103"/>
      <c r="BW405" s="103"/>
      <c r="BX405" s="103"/>
      <c r="BY405" s="103"/>
      <c r="BZ405" s="104"/>
      <c r="CA405" s="104"/>
      <c r="CB405" s="104"/>
      <c r="CC405" s="104"/>
      <c r="CD405" s="104"/>
      <c r="CE405" s="104"/>
      <c r="CF405" s="103"/>
      <c r="CG405" s="103"/>
      <c r="CH405" s="103"/>
      <c r="CI405" s="103"/>
      <c r="CJ405" s="103"/>
      <c r="CK405" s="103"/>
      <c r="CL405" s="103"/>
      <c r="CM405" s="103"/>
      <c r="CN405" s="103"/>
      <c r="CO405" s="103"/>
      <c r="CP405" s="103"/>
      <c r="CQ405" s="103"/>
      <c r="CR405" s="103"/>
      <c r="CS405" s="103"/>
      <c r="CT405" s="103"/>
      <c r="CU405" s="103"/>
      <c r="CV405" s="103"/>
      <c r="CW405" s="103"/>
      <c r="CX405" s="103"/>
      <c r="CY405" s="103"/>
      <c r="CZ405" s="103"/>
      <c r="DA405" s="103"/>
      <c r="DB405" s="103"/>
      <c r="DC405" s="103"/>
      <c r="DD405" s="103"/>
      <c r="DE405" s="107"/>
      <c r="DF405" s="465"/>
      <c r="DG405" s="1"/>
      <c r="DH405" s="51"/>
      <c r="DI405" s="465"/>
      <c r="DJ405" s="52"/>
      <c r="DK405" s="52"/>
      <c r="DL405" s="52"/>
      <c r="DM405" s="52"/>
      <c r="DN405" s="52"/>
      <c r="DO405" s="52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P405" s="53"/>
      <c r="EQ405" s="1"/>
      <c r="ER405" s="103"/>
      <c r="ES405" s="103"/>
      <c r="ET405" s="1"/>
      <c r="EU405" s="103"/>
      <c r="EV405" s="1"/>
      <c r="EW405" s="1"/>
      <c r="EX405" s="1"/>
      <c r="EY405" s="104"/>
    </row>
    <row r="406" spans="9:155">
      <c r="I406" s="132"/>
      <c r="J406" s="365"/>
      <c r="K406" s="1"/>
      <c r="L406" s="1"/>
      <c r="M406" s="366"/>
      <c r="P406" s="365"/>
      <c r="S406" s="53"/>
      <c r="T406" s="365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364"/>
      <c r="AO406" s="364"/>
      <c r="AP406" s="103"/>
      <c r="AQ406" s="364"/>
      <c r="AR406" s="103"/>
      <c r="AS406" s="103"/>
      <c r="AT406" s="103"/>
      <c r="AU406" s="31"/>
      <c r="AV406" s="31"/>
      <c r="AW406" s="31"/>
      <c r="AX406" s="31"/>
      <c r="AY406" s="146"/>
      <c r="AZ406" s="146"/>
      <c r="BA406" s="103"/>
      <c r="BB406" s="103"/>
      <c r="BC406" s="103"/>
      <c r="BD406" s="103"/>
      <c r="BE406" s="104"/>
      <c r="BF406" s="104"/>
      <c r="BG406" s="104"/>
      <c r="BH406" s="102"/>
      <c r="BI406" s="104"/>
      <c r="BJ406" s="103"/>
      <c r="BK406" s="105"/>
      <c r="BL406" s="151"/>
      <c r="BM406" s="103"/>
      <c r="BN406" s="103"/>
      <c r="BO406" s="103"/>
      <c r="BP406" s="103"/>
      <c r="BQ406" s="103"/>
      <c r="BR406" s="103"/>
      <c r="BS406" s="103"/>
      <c r="BT406" s="103"/>
      <c r="BU406" s="103"/>
      <c r="BV406" s="103"/>
      <c r="BW406" s="103"/>
      <c r="BX406" s="103"/>
      <c r="BY406" s="103"/>
      <c r="BZ406" s="104"/>
      <c r="CA406" s="104"/>
      <c r="CB406" s="104"/>
      <c r="CC406" s="104"/>
      <c r="CD406" s="104"/>
      <c r="CE406" s="104"/>
      <c r="CF406" s="103"/>
      <c r="CG406" s="103"/>
      <c r="CH406" s="103"/>
      <c r="CI406" s="103"/>
      <c r="CJ406" s="103"/>
      <c r="CK406" s="103"/>
      <c r="CL406" s="103"/>
      <c r="CM406" s="103"/>
      <c r="CN406" s="103"/>
      <c r="CO406" s="103"/>
      <c r="CP406" s="103"/>
      <c r="CQ406" s="103"/>
      <c r="CR406" s="103"/>
      <c r="CS406" s="103"/>
      <c r="CT406" s="103"/>
      <c r="CU406" s="103"/>
      <c r="CV406" s="103"/>
      <c r="CW406" s="103"/>
      <c r="CX406" s="103"/>
      <c r="CY406" s="103"/>
      <c r="CZ406" s="103"/>
      <c r="DA406" s="103"/>
      <c r="DB406" s="103"/>
      <c r="DC406" s="103"/>
      <c r="DD406" s="103"/>
      <c r="DE406" s="107"/>
      <c r="DF406" s="465"/>
      <c r="DG406" s="1"/>
      <c r="DH406" s="51"/>
      <c r="DI406" s="465"/>
      <c r="DJ406" s="52"/>
      <c r="DK406" s="52"/>
      <c r="DL406" s="52"/>
      <c r="DM406" s="52"/>
      <c r="DN406" s="52"/>
      <c r="DO406" s="52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P406" s="53"/>
      <c r="EQ406" s="1"/>
      <c r="ER406" s="103"/>
      <c r="ES406" s="103"/>
      <c r="ET406" s="1"/>
      <c r="EU406" s="103"/>
      <c r="EV406" s="1"/>
      <c r="EW406" s="1"/>
      <c r="EX406" s="1"/>
      <c r="EY406" s="104"/>
    </row>
    <row r="407" spans="9:155">
      <c r="I407" s="132"/>
      <c r="J407" s="365"/>
      <c r="K407" s="1"/>
      <c r="L407" s="1"/>
      <c r="M407" s="366"/>
      <c r="P407" s="365"/>
      <c r="S407" s="53"/>
      <c r="T407" s="365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364"/>
      <c r="AO407" s="364"/>
      <c r="AP407" s="103"/>
      <c r="AQ407" s="364"/>
      <c r="AR407" s="103"/>
      <c r="AS407" s="103"/>
      <c r="AT407" s="103"/>
      <c r="AU407" s="31"/>
      <c r="AV407" s="31"/>
      <c r="AW407" s="31"/>
      <c r="AX407" s="31"/>
      <c r="AY407" s="146"/>
      <c r="AZ407" s="146"/>
      <c r="BA407" s="103"/>
      <c r="BB407" s="103"/>
      <c r="BC407" s="103"/>
      <c r="BD407" s="103"/>
      <c r="BE407" s="104"/>
      <c r="BF407" s="104"/>
      <c r="BG407" s="104"/>
      <c r="BH407" s="102"/>
      <c r="BI407" s="104"/>
      <c r="BJ407" s="103"/>
      <c r="BK407" s="105"/>
      <c r="BL407" s="151"/>
      <c r="BM407" s="103"/>
      <c r="BN407" s="103"/>
      <c r="BO407" s="103"/>
      <c r="BP407" s="103"/>
      <c r="BQ407" s="103"/>
      <c r="BR407" s="103"/>
      <c r="BS407" s="103"/>
      <c r="BT407" s="103"/>
      <c r="BU407" s="103"/>
      <c r="BV407" s="103"/>
      <c r="BW407" s="103"/>
      <c r="BX407" s="103"/>
      <c r="BY407" s="103"/>
      <c r="BZ407" s="104"/>
      <c r="CA407" s="104"/>
      <c r="CB407" s="104"/>
      <c r="CC407" s="104"/>
      <c r="CD407" s="104"/>
      <c r="CE407" s="104"/>
      <c r="CF407" s="103"/>
      <c r="CG407" s="103"/>
      <c r="CH407" s="103"/>
      <c r="CI407" s="103"/>
      <c r="CJ407" s="103"/>
      <c r="CK407" s="103"/>
      <c r="CL407" s="103"/>
      <c r="CM407" s="103"/>
      <c r="CN407" s="103"/>
      <c r="CO407" s="103"/>
      <c r="CP407" s="103"/>
      <c r="CQ407" s="103"/>
      <c r="CR407" s="103"/>
      <c r="CS407" s="103"/>
      <c r="CT407" s="103"/>
      <c r="CU407" s="103"/>
      <c r="CV407" s="103"/>
      <c r="CW407" s="103"/>
      <c r="CX407" s="103"/>
      <c r="CY407" s="103"/>
      <c r="CZ407" s="103"/>
      <c r="DA407" s="103"/>
      <c r="DB407" s="103"/>
      <c r="DC407" s="103"/>
      <c r="DD407" s="103"/>
      <c r="DE407" s="107"/>
      <c r="DF407" s="465"/>
      <c r="DG407" s="1"/>
      <c r="DH407" s="51"/>
      <c r="DI407" s="465"/>
      <c r="DJ407" s="52"/>
      <c r="DK407" s="52"/>
      <c r="DL407" s="52"/>
      <c r="DM407" s="52"/>
      <c r="DN407" s="52"/>
      <c r="DO407" s="52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P407" s="53"/>
      <c r="EQ407" s="1"/>
      <c r="ER407" s="103"/>
      <c r="ES407" s="103"/>
      <c r="ET407" s="1"/>
      <c r="EU407" s="103"/>
      <c r="EV407" s="1"/>
      <c r="EW407" s="1"/>
      <c r="EX407" s="1"/>
      <c r="EY407" s="104"/>
    </row>
    <row r="408" spans="9:155">
      <c r="I408" s="132"/>
      <c r="J408" s="365"/>
      <c r="K408" s="1"/>
      <c r="L408" s="1"/>
      <c r="M408" s="366"/>
      <c r="P408" s="365"/>
      <c r="S408" s="53"/>
      <c r="T408" s="365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364"/>
      <c r="AO408" s="364"/>
      <c r="AP408" s="103"/>
      <c r="AQ408" s="364"/>
      <c r="AR408" s="103"/>
      <c r="AS408" s="103"/>
      <c r="AT408" s="103"/>
      <c r="AU408" s="31"/>
      <c r="AV408" s="31"/>
      <c r="AW408" s="31"/>
      <c r="AX408" s="31"/>
      <c r="AY408" s="146"/>
      <c r="AZ408" s="146"/>
      <c r="BA408" s="103"/>
      <c r="BB408" s="103"/>
      <c r="BC408" s="103"/>
      <c r="BD408" s="103"/>
      <c r="BE408" s="104"/>
      <c r="BF408" s="104"/>
      <c r="BG408" s="104"/>
      <c r="BH408" s="102"/>
      <c r="BI408" s="104"/>
      <c r="BJ408" s="103"/>
      <c r="BK408" s="105"/>
      <c r="BL408" s="151"/>
      <c r="BM408" s="103"/>
      <c r="BN408" s="103"/>
      <c r="BO408" s="103"/>
      <c r="BP408" s="103"/>
      <c r="BQ408" s="103"/>
      <c r="BR408" s="103"/>
      <c r="BS408" s="103"/>
      <c r="BT408" s="103"/>
      <c r="BU408" s="103"/>
      <c r="BV408" s="103"/>
      <c r="BW408" s="103"/>
      <c r="BX408" s="103"/>
      <c r="BY408" s="103"/>
      <c r="BZ408" s="104"/>
      <c r="CA408" s="104"/>
      <c r="CB408" s="104"/>
      <c r="CC408" s="104"/>
      <c r="CD408" s="104"/>
      <c r="CE408" s="104"/>
      <c r="CF408" s="103"/>
      <c r="CG408" s="103"/>
      <c r="CH408" s="103"/>
      <c r="CI408" s="103"/>
      <c r="CJ408" s="103"/>
      <c r="CK408" s="103"/>
      <c r="CL408" s="103"/>
      <c r="CM408" s="103"/>
      <c r="CN408" s="103"/>
      <c r="CO408" s="103"/>
      <c r="CP408" s="103"/>
      <c r="CQ408" s="103"/>
      <c r="CR408" s="103"/>
      <c r="CS408" s="103"/>
      <c r="CT408" s="103"/>
      <c r="CU408" s="103"/>
      <c r="CV408" s="103"/>
      <c r="CW408" s="103"/>
      <c r="CX408" s="103"/>
      <c r="CY408" s="103"/>
      <c r="CZ408" s="103"/>
      <c r="DA408" s="103"/>
      <c r="DB408" s="103"/>
      <c r="DC408" s="103"/>
      <c r="DD408" s="103"/>
      <c r="DE408" s="107"/>
      <c r="DF408" s="465"/>
      <c r="DG408" s="1"/>
      <c r="DH408" s="51"/>
      <c r="DI408" s="465"/>
      <c r="DJ408" s="52"/>
      <c r="DK408" s="52"/>
      <c r="DL408" s="52"/>
      <c r="DM408" s="52"/>
      <c r="DN408" s="52"/>
      <c r="DO408" s="52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P408" s="53"/>
      <c r="EQ408" s="1"/>
      <c r="ER408" s="103"/>
      <c r="ES408" s="103"/>
      <c r="ET408" s="1"/>
      <c r="EU408" s="103"/>
      <c r="EV408" s="1"/>
      <c r="EW408" s="1"/>
      <c r="EX408" s="1"/>
      <c r="EY408" s="104"/>
    </row>
    <row r="409" spans="9:155">
      <c r="I409" s="132"/>
      <c r="J409" s="365"/>
      <c r="K409" s="1"/>
      <c r="L409" s="1"/>
      <c r="M409" s="366"/>
      <c r="P409" s="365"/>
      <c r="S409" s="53"/>
      <c r="T409" s="365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364"/>
      <c r="AO409" s="364"/>
      <c r="AP409" s="103"/>
      <c r="AQ409" s="364"/>
      <c r="AR409" s="103"/>
      <c r="AS409" s="103"/>
      <c r="AT409" s="103"/>
      <c r="AU409" s="31"/>
      <c r="AV409" s="31"/>
      <c r="AW409" s="31"/>
      <c r="AX409" s="31"/>
      <c r="AY409" s="146"/>
      <c r="AZ409" s="146"/>
      <c r="BA409" s="103"/>
      <c r="BB409" s="103"/>
      <c r="BC409" s="103"/>
      <c r="BD409" s="103"/>
      <c r="BE409" s="104"/>
      <c r="BF409" s="104"/>
      <c r="BG409" s="104"/>
      <c r="BH409" s="102"/>
      <c r="BI409" s="104"/>
      <c r="BJ409" s="103"/>
      <c r="BK409" s="105"/>
      <c r="BL409" s="151"/>
      <c r="BM409" s="103"/>
      <c r="BN409" s="103"/>
      <c r="BO409" s="103"/>
      <c r="BP409" s="103"/>
      <c r="BQ409" s="103"/>
      <c r="BR409" s="103"/>
      <c r="BS409" s="103"/>
      <c r="BT409" s="103"/>
      <c r="BU409" s="103"/>
      <c r="BV409" s="103"/>
      <c r="BW409" s="103"/>
      <c r="BX409" s="103"/>
      <c r="BY409" s="103"/>
      <c r="BZ409" s="104"/>
      <c r="CA409" s="104"/>
      <c r="CB409" s="104"/>
      <c r="CC409" s="104"/>
      <c r="CD409" s="104"/>
      <c r="CE409" s="104"/>
      <c r="CF409" s="103"/>
      <c r="CG409" s="103"/>
      <c r="CH409" s="103"/>
      <c r="CI409" s="103"/>
      <c r="CJ409" s="103"/>
      <c r="CK409" s="103"/>
      <c r="CL409" s="103"/>
      <c r="CM409" s="103"/>
      <c r="CN409" s="103"/>
      <c r="CO409" s="103"/>
      <c r="CP409" s="103"/>
      <c r="CQ409" s="103"/>
      <c r="CR409" s="103"/>
      <c r="CS409" s="103"/>
      <c r="CT409" s="103"/>
      <c r="CU409" s="103"/>
      <c r="CV409" s="103"/>
      <c r="CW409" s="103"/>
      <c r="CX409" s="103"/>
      <c r="CY409" s="103"/>
      <c r="CZ409" s="103"/>
      <c r="DA409" s="103"/>
      <c r="DB409" s="103"/>
      <c r="DC409" s="103"/>
      <c r="DD409" s="103"/>
      <c r="DE409" s="107"/>
      <c r="DF409" s="465"/>
      <c r="DG409" s="1"/>
      <c r="DH409" s="51"/>
      <c r="DI409" s="465"/>
      <c r="DJ409" s="52"/>
      <c r="DK409" s="52"/>
      <c r="DL409" s="52"/>
      <c r="DM409" s="52"/>
      <c r="DN409" s="52"/>
      <c r="DO409" s="52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P409" s="53"/>
      <c r="EQ409" s="1"/>
      <c r="ER409" s="103"/>
      <c r="ES409" s="103"/>
      <c r="ET409" s="1"/>
      <c r="EU409" s="103"/>
      <c r="EV409" s="1"/>
      <c r="EW409" s="1"/>
      <c r="EX409" s="1"/>
      <c r="EY409" s="104"/>
    </row>
    <row r="410" spans="9:155">
      <c r="I410" s="132"/>
      <c r="J410" s="365"/>
      <c r="K410" s="1"/>
      <c r="L410" s="1"/>
      <c r="M410" s="366"/>
      <c r="P410" s="365"/>
      <c r="S410" s="53"/>
      <c r="T410" s="365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364"/>
      <c r="AO410" s="364"/>
      <c r="AP410" s="103"/>
      <c r="AQ410" s="364"/>
      <c r="AR410" s="103"/>
      <c r="AS410" s="103"/>
      <c r="AT410" s="103"/>
      <c r="AU410" s="31"/>
      <c r="AV410" s="31"/>
      <c r="AW410" s="31"/>
      <c r="AX410" s="31"/>
      <c r="AY410" s="146"/>
      <c r="AZ410" s="146"/>
      <c r="BA410" s="103"/>
      <c r="BB410" s="103"/>
      <c r="BC410" s="103"/>
      <c r="BD410" s="103"/>
      <c r="BE410" s="104"/>
      <c r="BF410" s="104"/>
      <c r="BG410" s="104"/>
      <c r="BH410" s="102"/>
      <c r="BI410" s="104"/>
      <c r="BJ410" s="103"/>
      <c r="BK410" s="105"/>
      <c r="BL410" s="151"/>
      <c r="BM410" s="103"/>
      <c r="BN410" s="103"/>
      <c r="BO410" s="103"/>
      <c r="BP410" s="103"/>
      <c r="BQ410" s="103"/>
      <c r="BR410" s="103"/>
      <c r="BS410" s="103"/>
      <c r="BT410" s="103"/>
      <c r="BU410" s="103"/>
      <c r="BV410" s="103"/>
      <c r="BW410" s="103"/>
      <c r="BX410" s="103"/>
      <c r="BY410" s="103"/>
      <c r="BZ410" s="104"/>
      <c r="CA410" s="104"/>
      <c r="CB410" s="104"/>
      <c r="CC410" s="104"/>
      <c r="CD410" s="104"/>
      <c r="CE410" s="104"/>
      <c r="CF410" s="103"/>
      <c r="CG410" s="103"/>
      <c r="CH410" s="103"/>
      <c r="CI410" s="103"/>
      <c r="CJ410" s="103"/>
      <c r="CK410" s="103"/>
      <c r="CL410" s="103"/>
      <c r="CM410" s="103"/>
      <c r="CN410" s="103"/>
      <c r="CO410" s="103"/>
      <c r="CP410" s="103"/>
      <c r="CQ410" s="103"/>
      <c r="CR410" s="103"/>
      <c r="CS410" s="103"/>
      <c r="CT410" s="103"/>
      <c r="CU410" s="103"/>
      <c r="CV410" s="103"/>
      <c r="CW410" s="103"/>
      <c r="CX410" s="103"/>
      <c r="CY410" s="103"/>
      <c r="CZ410" s="103"/>
      <c r="DA410" s="103"/>
      <c r="DB410" s="103"/>
      <c r="DC410" s="103"/>
      <c r="DD410" s="103"/>
      <c r="DE410" s="107"/>
      <c r="DF410" s="465"/>
      <c r="DG410" s="1"/>
      <c r="DH410" s="51"/>
      <c r="DI410" s="465"/>
      <c r="DJ410" s="52"/>
      <c r="DK410" s="52"/>
      <c r="DL410" s="52"/>
      <c r="DM410" s="52"/>
      <c r="DN410" s="52"/>
      <c r="DO410" s="52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P410" s="53"/>
      <c r="EQ410" s="1"/>
      <c r="ER410" s="103"/>
      <c r="ES410" s="103"/>
      <c r="ET410" s="1"/>
      <c r="EU410" s="103"/>
      <c r="EV410" s="1"/>
      <c r="EW410" s="1"/>
      <c r="EX410" s="1"/>
      <c r="EY410" s="104"/>
    </row>
    <row r="411" spans="9:155">
      <c r="I411" s="132"/>
      <c r="J411" s="365"/>
      <c r="K411" s="1"/>
      <c r="L411" s="1"/>
      <c r="M411" s="366"/>
      <c r="P411" s="365"/>
      <c r="S411" s="53"/>
      <c r="T411" s="365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364"/>
      <c r="AO411" s="364"/>
      <c r="AP411" s="103"/>
      <c r="AQ411" s="364"/>
      <c r="AR411" s="103"/>
      <c r="AS411" s="103"/>
      <c r="AT411" s="103"/>
      <c r="AU411" s="31"/>
      <c r="AV411" s="31"/>
      <c r="AW411" s="31"/>
      <c r="AX411" s="31"/>
      <c r="AY411" s="146"/>
      <c r="AZ411" s="146"/>
      <c r="BA411" s="103"/>
      <c r="BB411" s="103"/>
      <c r="BC411" s="103"/>
      <c r="BD411" s="103"/>
      <c r="BE411" s="104"/>
      <c r="BF411" s="104"/>
      <c r="BG411" s="104"/>
      <c r="BH411" s="102"/>
      <c r="BI411" s="104"/>
      <c r="BJ411" s="103"/>
      <c r="BK411" s="105"/>
      <c r="BL411" s="151"/>
      <c r="BM411" s="103"/>
      <c r="BN411" s="103"/>
      <c r="BO411" s="103"/>
      <c r="BP411" s="103"/>
      <c r="BQ411" s="103"/>
      <c r="BR411" s="103"/>
      <c r="BS411" s="103"/>
      <c r="BT411" s="103"/>
      <c r="BU411" s="103"/>
      <c r="BV411" s="103"/>
      <c r="BW411" s="103"/>
      <c r="BX411" s="103"/>
      <c r="BY411" s="103"/>
      <c r="BZ411" s="104"/>
      <c r="CA411" s="104"/>
      <c r="CB411" s="104"/>
      <c r="CC411" s="104"/>
      <c r="CD411" s="104"/>
      <c r="CE411" s="104"/>
      <c r="CF411" s="103"/>
      <c r="CG411" s="103"/>
      <c r="CH411" s="103"/>
      <c r="CI411" s="103"/>
      <c r="CJ411" s="103"/>
      <c r="CK411" s="103"/>
      <c r="CL411" s="103"/>
      <c r="CM411" s="103"/>
      <c r="CN411" s="103"/>
      <c r="CO411" s="103"/>
      <c r="CP411" s="103"/>
      <c r="CQ411" s="103"/>
      <c r="CR411" s="103"/>
      <c r="CS411" s="103"/>
      <c r="CT411" s="103"/>
      <c r="CU411" s="103"/>
      <c r="CV411" s="103"/>
      <c r="CW411" s="103"/>
      <c r="CX411" s="103"/>
      <c r="CY411" s="103"/>
      <c r="CZ411" s="103"/>
      <c r="DA411" s="103"/>
      <c r="DB411" s="103"/>
      <c r="DC411" s="103"/>
      <c r="DD411" s="103"/>
      <c r="DE411" s="107"/>
      <c r="DF411" s="465"/>
      <c r="DG411" s="1"/>
      <c r="DH411" s="51"/>
      <c r="DI411" s="465"/>
      <c r="DJ411" s="52"/>
      <c r="DK411" s="52"/>
      <c r="DL411" s="52"/>
      <c r="DM411" s="52"/>
      <c r="DN411" s="52"/>
      <c r="DO411" s="52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P411" s="53"/>
      <c r="EQ411" s="1"/>
      <c r="ER411" s="103"/>
      <c r="ES411" s="103"/>
      <c r="ET411" s="1"/>
      <c r="EU411" s="103"/>
      <c r="EV411" s="1"/>
      <c r="EW411" s="1"/>
      <c r="EX411" s="1"/>
      <c r="EY411" s="104"/>
    </row>
    <row r="412" spans="9:155">
      <c r="I412" s="132"/>
      <c r="J412" s="365"/>
      <c r="K412" s="1"/>
      <c r="L412" s="1"/>
      <c r="M412" s="366"/>
      <c r="P412" s="365"/>
      <c r="S412" s="53"/>
      <c r="T412" s="365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364"/>
      <c r="AO412" s="364"/>
      <c r="AP412" s="103"/>
      <c r="AQ412" s="364"/>
      <c r="AR412" s="103"/>
      <c r="AS412" s="103"/>
      <c r="AT412" s="103"/>
      <c r="AU412" s="31"/>
      <c r="AV412" s="31"/>
      <c r="AW412" s="31"/>
      <c r="AX412" s="31"/>
      <c r="AY412" s="146"/>
      <c r="AZ412" s="146"/>
      <c r="BA412" s="103"/>
      <c r="BB412" s="103"/>
      <c r="BC412" s="103"/>
      <c r="BD412" s="103"/>
      <c r="BE412" s="104"/>
      <c r="BF412" s="104"/>
      <c r="BG412" s="104"/>
      <c r="BH412" s="102"/>
      <c r="BI412" s="104"/>
      <c r="BJ412" s="103"/>
      <c r="BK412" s="105"/>
      <c r="BL412" s="151"/>
      <c r="BM412" s="103"/>
      <c r="BN412" s="103"/>
      <c r="BO412" s="103"/>
      <c r="BP412" s="103"/>
      <c r="BQ412" s="103"/>
      <c r="BR412" s="103"/>
      <c r="BS412" s="103"/>
      <c r="BT412" s="103"/>
      <c r="BU412" s="103"/>
      <c r="BV412" s="103"/>
      <c r="BW412" s="103"/>
      <c r="BX412" s="103"/>
      <c r="BY412" s="103"/>
      <c r="BZ412" s="104"/>
      <c r="CA412" s="104"/>
      <c r="CB412" s="104"/>
      <c r="CC412" s="104"/>
      <c r="CD412" s="104"/>
      <c r="CE412" s="104"/>
      <c r="CF412" s="103"/>
      <c r="CG412" s="103"/>
      <c r="CH412" s="103"/>
      <c r="CI412" s="103"/>
      <c r="CJ412" s="103"/>
      <c r="CK412" s="103"/>
      <c r="CL412" s="103"/>
      <c r="CM412" s="103"/>
      <c r="CN412" s="103"/>
      <c r="CO412" s="103"/>
      <c r="CP412" s="103"/>
      <c r="CQ412" s="103"/>
      <c r="CR412" s="103"/>
      <c r="CS412" s="103"/>
      <c r="CT412" s="103"/>
      <c r="CU412" s="103"/>
      <c r="CV412" s="103"/>
      <c r="CW412" s="103"/>
      <c r="CX412" s="103"/>
      <c r="CY412" s="103"/>
      <c r="CZ412" s="103"/>
      <c r="DA412" s="103"/>
      <c r="DB412" s="103"/>
      <c r="DC412" s="103"/>
      <c r="DD412" s="103"/>
      <c r="DE412" s="107"/>
      <c r="DF412" s="465"/>
      <c r="DG412" s="1"/>
      <c r="DH412" s="51"/>
      <c r="DI412" s="465"/>
      <c r="DJ412" s="52"/>
      <c r="DK412" s="52"/>
      <c r="DL412" s="52"/>
      <c r="DM412" s="52"/>
      <c r="DN412" s="52"/>
      <c r="DO412" s="52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P412" s="53"/>
      <c r="EQ412" s="1"/>
      <c r="ER412" s="103"/>
      <c r="ES412" s="103"/>
      <c r="ET412" s="1"/>
      <c r="EU412" s="103"/>
      <c r="EV412" s="1"/>
      <c r="EW412" s="1"/>
      <c r="EX412" s="1"/>
      <c r="EY412" s="104"/>
    </row>
    <row r="413" spans="9:155">
      <c r="I413" s="132"/>
      <c r="J413" s="365"/>
      <c r="K413" s="1"/>
      <c r="L413" s="1"/>
      <c r="M413" s="366"/>
      <c r="P413" s="365"/>
      <c r="S413" s="53"/>
      <c r="T413" s="365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364"/>
      <c r="AO413" s="364"/>
      <c r="AP413" s="103"/>
      <c r="AQ413" s="364"/>
      <c r="AR413" s="103"/>
      <c r="AS413" s="103"/>
      <c r="AT413" s="103"/>
      <c r="AU413" s="31"/>
      <c r="AV413" s="31"/>
      <c r="AW413" s="31"/>
      <c r="AX413" s="31"/>
      <c r="AY413" s="146"/>
      <c r="AZ413" s="146"/>
      <c r="BA413" s="103"/>
      <c r="BB413" s="103"/>
      <c r="BC413" s="103"/>
      <c r="BD413" s="103"/>
      <c r="BE413" s="104"/>
      <c r="BF413" s="104"/>
      <c r="BG413" s="104"/>
      <c r="BH413" s="102"/>
      <c r="BI413" s="104"/>
      <c r="BJ413" s="103"/>
      <c r="BK413" s="105"/>
      <c r="BL413" s="151"/>
      <c r="BM413" s="103"/>
      <c r="BN413" s="103"/>
      <c r="BO413" s="103"/>
      <c r="BP413" s="103"/>
      <c r="BQ413" s="103"/>
      <c r="BR413" s="103"/>
      <c r="BS413" s="103"/>
      <c r="BT413" s="103"/>
      <c r="BU413" s="103"/>
      <c r="BV413" s="103"/>
      <c r="BW413" s="103"/>
      <c r="BX413" s="103"/>
      <c r="BY413" s="103"/>
      <c r="BZ413" s="104"/>
      <c r="CA413" s="104"/>
      <c r="CB413" s="104"/>
      <c r="CC413" s="104"/>
      <c r="CD413" s="104"/>
      <c r="CE413" s="104"/>
      <c r="CF413" s="103"/>
      <c r="CG413" s="103"/>
      <c r="CH413" s="103"/>
      <c r="CI413" s="103"/>
      <c r="CJ413" s="103"/>
      <c r="CK413" s="103"/>
      <c r="CL413" s="103"/>
      <c r="CM413" s="103"/>
      <c r="CN413" s="103"/>
      <c r="CO413" s="103"/>
      <c r="CP413" s="103"/>
      <c r="CQ413" s="103"/>
      <c r="CR413" s="103"/>
      <c r="CS413" s="103"/>
      <c r="CT413" s="103"/>
      <c r="CU413" s="103"/>
      <c r="CV413" s="103"/>
      <c r="CW413" s="103"/>
      <c r="CX413" s="103"/>
      <c r="CY413" s="103"/>
      <c r="CZ413" s="103"/>
      <c r="DA413" s="103"/>
      <c r="DB413" s="103"/>
      <c r="DC413" s="103"/>
      <c r="DD413" s="103"/>
      <c r="DE413" s="107"/>
      <c r="DF413" s="465"/>
      <c r="DG413" s="1"/>
      <c r="DH413" s="51"/>
      <c r="DI413" s="465"/>
      <c r="DJ413" s="52"/>
      <c r="DK413" s="52"/>
      <c r="DL413" s="52"/>
      <c r="DM413" s="52"/>
      <c r="DN413" s="52"/>
      <c r="DO413" s="52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P413" s="53"/>
      <c r="EQ413" s="1"/>
      <c r="ER413" s="103"/>
      <c r="ES413" s="103"/>
      <c r="ET413" s="1"/>
      <c r="EU413" s="103"/>
      <c r="EV413" s="1"/>
      <c r="EW413" s="1"/>
      <c r="EX413" s="1"/>
      <c r="EY413" s="104"/>
    </row>
    <row r="414" spans="9:155">
      <c r="I414" s="132"/>
      <c r="J414" s="365"/>
      <c r="K414" s="1"/>
      <c r="L414" s="1"/>
      <c r="M414" s="366"/>
      <c r="P414" s="365"/>
      <c r="S414" s="53"/>
      <c r="T414" s="365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364"/>
      <c r="AO414" s="364"/>
      <c r="AP414" s="103"/>
      <c r="AQ414" s="364"/>
      <c r="AR414" s="103"/>
      <c r="AS414" s="103"/>
      <c r="AT414" s="103"/>
      <c r="AU414" s="31"/>
      <c r="AV414" s="31"/>
      <c r="AW414" s="31"/>
      <c r="AX414" s="31"/>
      <c r="AY414" s="146"/>
      <c r="AZ414" s="146"/>
      <c r="BA414" s="103"/>
      <c r="BB414" s="103"/>
      <c r="BC414" s="103"/>
      <c r="BD414" s="103"/>
      <c r="BE414" s="104"/>
      <c r="BF414" s="104"/>
      <c r="BG414" s="104"/>
      <c r="BH414" s="102"/>
      <c r="BI414" s="104"/>
      <c r="BJ414" s="103"/>
      <c r="BK414" s="105"/>
      <c r="BL414" s="151"/>
      <c r="BM414" s="103"/>
      <c r="BN414" s="103"/>
      <c r="BO414" s="103"/>
      <c r="BP414" s="103"/>
      <c r="BQ414" s="103"/>
      <c r="BR414" s="103"/>
      <c r="BS414" s="103"/>
      <c r="BT414" s="103"/>
      <c r="BU414" s="103"/>
      <c r="BV414" s="103"/>
      <c r="BW414" s="103"/>
      <c r="BX414" s="103"/>
      <c r="BY414" s="103"/>
      <c r="BZ414" s="104"/>
      <c r="CA414" s="104"/>
      <c r="CB414" s="104"/>
      <c r="CC414" s="104"/>
      <c r="CD414" s="104"/>
      <c r="CE414" s="104"/>
      <c r="CF414" s="103"/>
      <c r="CG414" s="103"/>
      <c r="CH414" s="103"/>
      <c r="CI414" s="103"/>
      <c r="CJ414" s="103"/>
      <c r="CK414" s="103"/>
      <c r="CL414" s="103"/>
      <c r="CM414" s="103"/>
      <c r="CN414" s="103"/>
      <c r="CO414" s="103"/>
      <c r="CP414" s="103"/>
      <c r="CQ414" s="103"/>
      <c r="CR414" s="103"/>
      <c r="CS414" s="103"/>
      <c r="CT414" s="103"/>
      <c r="CU414" s="103"/>
      <c r="CV414" s="103"/>
      <c r="CW414" s="103"/>
      <c r="CX414" s="103"/>
      <c r="CY414" s="103"/>
      <c r="CZ414" s="103"/>
      <c r="DA414" s="103"/>
      <c r="DB414" s="103"/>
      <c r="DC414" s="103"/>
      <c r="DD414" s="103"/>
      <c r="DE414" s="107"/>
      <c r="DF414" s="465"/>
      <c r="DG414" s="1"/>
      <c r="DH414" s="51"/>
      <c r="DI414" s="465"/>
      <c r="DJ414" s="52"/>
      <c r="DK414" s="52"/>
      <c r="DL414" s="52"/>
      <c r="DM414" s="52"/>
      <c r="DN414" s="52"/>
      <c r="DO414" s="52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P414" s="53"/>
      <c r="EQ414" s="1"/>
      <c r="ER414" s="103"/>
      <c r="ES414" s="103"/>
      <c r="ET414" s="1"/>
      <c r="EU414" s="103"/>
      <c r="EV414" s="1"/>
      <c r="EW414" s="1"/>
      <c r="EX414" s="1"/>
      <c r="EY414" s="104"/>
    </row>
    <row r="415" spans="9:155">
      <c r="I415" s="132"/>
      <c r="J415" s="365"/>
      <c r="K415" s="1"/>
      <c r="L415" s="1"/>
      <c r="M415" s="366"/>
      <c r="P415" s="365"/>
      <c r="S415" s="53"/>
      <c r="T415" s="365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364"/>
      <c r="AO415" s="364"/>
      <c r="AP415" s="103"/>
      <c r="AQ415" s="364"/>
      <c r="AR415" s="103"/>
      <c r="AS415" s="103"/>
      <c r="AT415" s="103"/>
      <c r="AU415" s="31"/>
      <c r="AV415" s="31"/>
      <c r="AW415" s="31"/>
      <c r="AX415" s="31"/>
      <c r="AY415" s="146"/>
      <c r="AZ415" s="146"/>
      <c r="BA415" s="103"/>
      <c r="BB415" s="103"/>
      <c r="BC415" s="103"/>
      <c r="BD415" s="103"/>
      <c r="BE415" s="104"/>
      <c r="BF415" s="104"/>
      <c r="BG415" s="104"/>
      <c r="BH415" s="102"/>
      <c r="BI415" s="104"/>
      <c r="BJ415" s="103"/>
      <c r="BK415" s="105"/>
      <c r="BL415" s="151"/>
      <c r="BM415" s="103"/>
      <c r="BN415" s="103"/>
      <c r="BO415" s="103"/>
      <c r="BP415" s="103"/>
      <c r="BQ415" s="103"/>
      <c r="BR415" s="103"/>
      <c r="BS415" s="103"/>
      <c r="BT415" s="103"/>
      <c r="BU415" s="103"/>
      <c r="BV415" s="103"/>
      <c r="BW415" s="103"/>
      <c r="BX415" s="103"/>
      <c r="BY415" s="103"/>
      <c r="BZ415" s="104"/>
      <c r="CA415" s="104"/>
      <c r="CB415" s="104"/>
      <c r="CC415" s="104"/>
      <c r="CD415" s="104"/>
      <c r="CE415" s="104"/>
      <c r="CF415" s="103"/>
      <c r="CG415" s="103"/>
      <c r="CH415" s="103"/>
      <c r="CI415" s="103"/>
      <c r="CJ415" s="103"/>
      <c r="CK415" s="103"/>
      <c r="CL415" s="103"/>
      <c r="CM415" s="103"/>
      <c r="CN415" s="103"/>
      <c r="CO415" s="103"/>
      <c r="CP415" s="103"/>
      <c r="CQ415" s="103"/>
      <c r="CR415" s="103"/>
      <c r="CS415" s="103"/>
      <c r="CT415" s="103"/>
      <c r="CU415" s="103"/>
      <c r="CV415" s="103"/>
      <c r="CW415" s="103"/>
      <c r="CX415" s="103"/>
      <c r="CY415" s="103"/>
      <c r="CZ415" s="103"/>
      <c r="DA415" s="103"/>
      <c r="DB415" s="103"/>
      <c r="DC415" s="103"/>
      <c r="DD415" s="103"/>
      <c r="DE415" s="107"/>
      <c r="DF415" s="465"/>
      <c r="DG415" s="1"/>
      <c r="DH415" s="51"/>
      <c r="DI415" s="465"/>
      <c r="DJ415" s="52"/>
      <c r="DK415" s="52"/>
      <c r="DL415" s="52"/>
      <c r="DM415" s="52"/>
      <c r="DN415" s="52"/>
      <c r="DO415" s="52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P415" s="53"/>
      <c r="EQ415" s="1"/>
      <c r="ER415" s="103"/>
      <c r="ES415" s="103"/>
      <c r="ET415" s="1"/>
      <c r="EU415" s="103"/>
      <c r="EV415" s="1"/>
      <c r="EW415" s="1"/>
      <c r="EX415" s="1"/>
      <c r="EY415" s="104"/>
    </row>
    <row r="416" spans="9:155">
      <c r="I416" s="132"/>
      <c r="J416" s="365"/>
      <c r="K416" s="1"/>
      <c r="L416" s="1"/>
      <c r="M416" s="366"/>
      <c r="P416" s="365"/>
      <c r="S416" s="53"/>
      <c r="T416" s="365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364"/>
      <c r="AO416" s="364"/>
      <c r="AP416" s="103"/>
      <c r="AQ416" s="364"/>
      <c r="AR416" s="103"/>
      <c r="AS416" s="103"/>
      <c r="AT416" s="103"/>
      <c r="AU416" s="31"/>
      <c r="AV416" s="31"/>
      <c r="AW416" s="31"/>
      <c r="AX416" s="31"/>
      <c r="AY416" s="146"/>
      <c r="AZ416" s="146"/>
      <c r="BA416" s="103"/>
      <c r="BB416" s="103"/>
      <c r="BC416" s="103"/>
      <c r="BD416" s="103"/>
      <c r="BE416" s="104"/>
      <c r="BF416" s="104"/>
      <c r="BG416" s="104"/>
      <c r="BH416" s="102"/>
      <c r="BI416" s="104"/>
      <c r="BJ416" s="103"/>
      <c r="BK416" s="105"/>
      <c r="BL416" s="151"/>
      <c r="BM416" s="103"/>
      <c r="BN416" s="103"/>
      <c r="BO416" s="103"/>
      <c r="BP416" s="103"/>
      <c r="BQ416" s="103"/>
      <c r="BR416" s="103"/>
      <c r="BS416" s="103"/>
      <c r="BT416" s="103"/>
      <c r="BU416" s="103"/>
      <c r="BV416" s="103"/>
      <c r="BW416" s="103"/>
      <c r="BX416" s="103"/>
      <c r="BY416" s="103"/>
      <c r="BZ416" s="104"/>
      <c r="CA416" s="104"/>
      <c r="CB416" s="104"/>
      <c r="CC416" s="104"/>
      <c r="CD416" s="104"/>
      <c r="CE416" s="104"/>
      <c r="CF416" s="103"/>
      <c r="CG416" s="103"/>
      <c r="CH416" s="103"/>
      <c r="CI416" s="103"/>
      <c r="CJ416" s="103"/>
      <c r="CK416" s="103"/>
      <c r="CL416" s="103"/>
      <c r="CM416" s="103"/>
      <c r="CN416" s="103"/>
      <c r="CO416" s="103"/>
      <c r="CP416" s="103"/>
      <c r="CQ416" s="103"/>
      <c r="CR416" s="103"/>
      <c r="CS416" s="103"/>
      <c r="CT416" s="103"/>
      <c r="CU416" s="103"/>
      <c r="CV416" s="103"/>
      <c r="CW416" s="103"/>
      <c r="CX416" s="103"/>
      <c r="CY416" s="103"/>
      <c r="CZ416" s="103"/>
      <c r="DA416" s="103"/>
      <c r="DB416" s="103"/>
      <c r="DC416" s="103"/>
      <c r="DD416" s="103"/>
      <c r="DE416" s="107"/>
      <c r="DF416" s="465"/>
      <c r="DG416" s="1"/>
      <c r="DH416" s="51"/>
      <c r="DI416" s="465"/>
      <c r="DJ416" s="52"/>
      <c r="DK416" s="52"/>
      <c r="DL416" s="52"/>
      <c r="DM416" s="52"/>
      <c r="DN416" s="52"/>
      <c r="DO416" s="52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P416" s="53"/>
      <c r="EQ416" s="1"/>
      <c r="ER416" s="103"/>
      <c r="ES416" s="103"/>
      <c r="ET416" s="1"/>
      <c r="EU416" s="103"/>
      <c r="EV416" s="1"/>
      <c r="EW416" s="1"/>
      <c r="EX416" s="1"/>
      <c r="EY416" s="104"/>
    </row>
    <row r="417" spans="9:155">
      <c r="I417" s="132"/>
      <c r="J417" s="365"/>
      <c r="K417" s="1"/>
      <c r="L417" s="1"/>
      <c r="M417" s="366"/>
      <c r="P417" s="365"/>
      <c r="S417" s="53"/>
      <c r="T417" s="365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364"/>
      <c r="AO417" s="364"/>
      <c r="AP417" s="103"/>
      <c r="AQ417" s="364"/>
      <c r="AR417" s="103"/>
      <c r="AS417" s="103"/>
      <c r="AT417" s="103"/>
      <c r="AU417" s="31"/>
      <c r="AV417" s="31"/>
      <c r="AW417" s="31"/>
      <c r="AX417" s="31"/>
      <c r="AY417" s="146"/>
      <c r="AZ417" s="146"/>
      <c r="BA417" s="103"/>
      <c r="BB417" s="103"/>
      <c r="BC417" s="103"/>
      <c r="BD417" s="103"/>
      <c r="BE417" s="104"/>
      <c r="BF417" s="104"/>
      <c r="BG417" s="104"/>
      <c r="BH417" s="102"/>
      <c r="BI417" s="104"/>
      <c r="BJ417" s="103"/>
      <c r="BK417" s="105"/>
      <c r="BL417" s="151"/>
      <c r="BM417" s="103"/>
      <c r="BN417" s="103"/>
      <c r="BO417" s="103"/>
      <c r="BP417" s="103"/>
      <c r="BQ417" s="103"/>
      <c r="BR417" s="103"/>
      <c r="BS417" s="103"/>
      <c r="BT417" s="103"/>
      <c r="BU417" s="103"/>
      <c r="BV417" s="103"/>
      <c r="BW417" s="103"/>
      <c r="BX417" s="103"/>
      <c r="BY417" s="103"/>
      <c r="BZ417" s="104"/>
      <c r="CA417" s="104"/>
      <c r="CB417" s="104"/>
      <c r="CC417" s="104"/>
      <c r="CD417" s="104"/>
      <c r="CE417" s="104"/>
      <c r="CF417" s="103"/>
      <c r="CG417" s="103"/>
      <c r="CH417" s="103"/>
      <c r="CI417" s="103"/>
      <c r="CJ417" s="103"/>
      <c r="CK417" s="103"/>
      <c r="CL417" s="103"/>
      <c r="CM417" s="103"/>
      <c r="CN417" s="103"/>
      <c r="CO417" s="103"/>
      <c r="CP417" s="103"/>
      <c r="CQ417" s="103"/>
      <c r="CR417" s="103"/>
      <c r="CS417" s="103"/>
      <c r="CT417" s="103"/>
      <c r="CU417" s="103"/>
      <c r="CV417" s="103"/>
      <c r="CW417" s="103"/>
      <c r="CX417" s="103"/>
      <c r="CY417" s="103"/>
      <c r="CZ417" s="103"/>
      <c r="DA417" s="103"/>
      <c r="DB417" s="103"/>
      <c r="DC417" s="103"/>
      <c r="DD417" s="103"/>
      <c r="DE417" s="107"/>
      <c r="DF417" s="465"/>
      <c r="DG417" s="1"/>
      <c r="DH417" s="51"/>
      <c r="DI417" s="465"/>
      <c r="DJ417" s="52"/>
      <c r="DK417" s="52"/>
      <c r="DL417" s="52"/>
      <c r="DM417" s="52"/>
      <c r="DN417" s="52"/>
      <c r="DO417" s="52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P417" s="53"/>
      <c r="EQ417" s="1"/>
      <c r="ER417" s="103"/>
      <c r="ES417" s="103"/>
      <c r="ET417" s="1"/>
      <c r="EU417" s="103"/>
      <c r="EV417" s="1"/>
      <c r="EW417" s="1"/>
      <c r="EX417" s="1"/>
      <c r="EY417" s="104"/>
    </row>
    <row r="418" spans="9:155">
      <c r="I418" s="132"/>
      <c r="J418" s="365"/>
      <c r="K418" s="1"/>
      <c r="L418" s="1"/>
      <c r="M418" s="366"/>
      <c r="P418" s="365"/>
      <c r="S418" s="53"/>
      <c r="T418" s="365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364"/>
      <c r="AO418" s="364"/>
      <c r="AP418" s="103"/>
      <c r="AQ418" s="364"/>
      <c r="AR418" s="103"/>
      <c r="AS418" s="103"/>
      <c r="AT418" s="103"/>
      <c r="AU418" s="31"/>
      <c r="AV418" s="31"/>
      <c r="AW418" s="31"/>
      <c r="AX418" s="31"/>
      <c r="AY418" s="146"/>
      <c r="AZ418" s="146"/>
      <c r="BA418" s="103"/>
      <c r="BB418" s="103"/>
      <c r="BC418" s="103"/>
      <c r="BD418" s="103"/>
      <c r="BE418" s="104"/>
      <c r="BF418" s="104"/>
      <c r="BG418" s="104"/>
      <c r="BH418" s="102"/>
      <c r="BI418" s="104"/>
      <c r="BJ418" s="103"/>
      <c r="BK418" s="105"/>
      <c r="BL418" s="151"/>
      <c r="BM418" s="103"/>
      <c r="BN418" s="103"/>
      <c r="BO418" s="103"/>
      <c r="BP418" s="103"/>
      <c r="BQ418" s="103"/>
      <c r="BR418" s="103"/>
      <c r="BS418" s="103"/>
      <c r="BT418" s="103"/>
      <c r="BU418" s="103"/>
      <c r="BV418" s="103"/>
      <c r="BW418" s="103"/>
      <c r="BX418" s="103"/>
      <c r="BY418" s="103"/>
      <c r="BZ418" s="104"/>
      <c r="CA418" s="104"/>
      <c r="CB418" s="104"/>
      <c r="CC418" s="104"/>
      <c r="CD418" s="104"/>
      <c r="CE418" s="104"/>
      <c r="CF418" s="103"/>
      <c r="CG418" s="103"/>
      <c r="CH418" s="103"/>
      <c r="CI418" s="103"/>
      <c r="CJ418" s="103"/>
      <c r="CK418" s="103"/>
      <c r="CL418" s="103"/>
      <c r="CM418" s="103"/>
      <c r="CN418" s="103"/>
      <c r="CO418" s="103"/>
      <c r="CP418" s="103"/>
      <c r="CQ418" s="103"/>
      <c r="CR418" s="103"/>
      <c r="CS418" s="103"/>
      <c r="CT418" s="103"/>
      <c r="CU418" s="103"/>
      <c r="CV418" s="103"/>
      <c r="CW418" s="103"/>
      <c r="CX418" s="103"/>
      <c r="CY418" s="103"/>
      <c r="CZ418" s="103"/>
      <c r="DA418" s="103"/>
      <c r="DB418" s="103"/>
      <c r="DC418" s="103"/>
      <c r="DD418" s="103"/>
      <c r="DE418" s="107"/>
      <c r="DF418" s="465"/>
      <c r="DG418" s="1"/>
      <c r="DH418" s="51"/>
      <c r="DI418" s="465"/>
      <c r="DJ418" s="52"/>
      <c r="DK418" s="52"/>
      <c r="DL418" s="52"/>
      <c r="DM418" s="52"/>
      <c r="DN418" s="52"/>
      <c r="DO418" s="52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P418" s="53"/>
      <c r="EQ418" s="1"/>
      <c r="ER418" s="103"/>
      <c r="ES418" s="103"/>
      <c r="ET418" s="1"/>
      <c r="EU418" s="103"/>
      <c r="EV418" s="1"/>
      <c r="EW418" s="1"/>
      <c r="EX418" s="1"/>
      <c r="EY418" s="104"/>
    </row>
    <row r="419" spans="9:155">
      <c r="I419" s="132"/>
      <c r="J419" s="365"/>
      <c r="K419" s="1"/>
      <c r="L419" s="1"/>
      <c r="M419" s="366"/>
      <c r="P419" s="365"/>
      <c r="S419" s="53"/>
      <c r="T419" s="365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364"/>
      <c r="AO419" s="364"/>
      <c r="AP419" s="103"/>
      <c r="AQ419" s="364"/>
      <c r="AR419" s="103"/>
      <c r="AS419" s="103"/>
      <c r="AT419" s="103"/>
      <c r="AU419" s="31"/>
      <c r="AV419" s="31"/>
      <c r="AW419" s="31"/>
      <c r="AX419" s="31"/>
      <c r="AY419" s="146"/>
      <c r="AZ419" s="146"/>
      <c r="BA419" s="103"/>
      <c r="BB419" s="103"/>
      <c r="BC419" s="103"/>
      <c r="BD419" s="103"/>
      <c r="BE419" s="104"/>
      <c r="BF419" s="104"/>
      <c r="BG419" s="104"/>
      <c r="BH419" s="102"/>
      <c r="BI419" s="104"/>
      <c r="BJ419" s="103"/>
      <c r="BK419" s="105"/>
      <c r="BL419" s="151"/>
      <c r="BM419" s="103"/>
      <c r="BN419" s="103"/>
      <c r="BO419" s="103"/>
      <c r="BP419" s="103"/>
      <c r="BQ419" s="103"/>
      <c r="BR419" s="103"/>
      <c r="BS419" s="103"/>
      <c r="BT419" s="103"/>
      <c r="BU419" s="103"/>
      <c r="BV419" s="103"/>
      <c r="BW419" s="103"/>
      <c r="BX419" s="103"/>
      <c r="BY419" s="103"/>
      <c r="BZ419" s="104"/>
      <c r="CA419" s="104"/>
      <c r="CB419" s="104"/>
      <c r="CC419" s="104"/>
      <c r="CD419" s="104"/>
      <c r="CE419" s="104"/>
      <c r="CF419" s="103"/>
      <c r="CG419" s="103"/>
      <c r="CH419" s="103"/>
      <c r="CI419" s="103"/>
      <c r="CJ419" s="103"/>
      <c r="CK419" s="103"/>
      <c r="CL419" s="103"/>
      <c r="CM419" s="103"/>
      <c r="CN419" s="103"/>
      <c r="CO419" s="103"/>
      <c r="CP419" s="103"/>
      <c r="CQ419" s="103"/>
      <c r="CR419" s="103"/>
      <c r="CS419" s="103"/>
      <c r="CT419" s="103"/>
      <c r="CU419" s="103"/>
      <c r="CV419" s="103"/>
      <c r="CW419" s="103"/>
      <c r="CX419" s="103"/>
      <c r="CY419" s="103"/>
      <c r="CZ419" s="103"/>
      <c r="DA419" s="103"/>
      <c r="DB419" s="103"/>
      <c r="DC419" s="103"/>
      <c r="DD419" s="103"/>
      <c r="DE419" s="107"/>
      <c r="DF419" s="465"/>
      <c r="DG419" s="1"/>
      <c r="DH419" s="51"/>
      <c r="DI419" s="465"/>
      <c r="DJ419" s="52"/>
      <c r="DK419" s="52"/>
      <c r="DL419" s="52"/>
      <c r="DM419" s="52"/>
      <c r="DN419" s="52"/>
      <c r="DO419" s="52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P419" s="53"/>
      <c r="EQ419" s="1"/>
      <c r="ER419" s="103"/>
      <c r="ES419" s="103"/>
      <c r="ET419" s="1"/>
      <c r="EU419" s="103"/>
      <c r="EV419" s="1"/>
      <c r="EW419" s="1"/>
      <c r="EX419" s="1"/>
      <c r="EY419" s="104"/>
    </row>
    <row r="420" spans="9:155">
      <c r="I420" s="132"/>
      <c r="J420" s="365"/>
      <c r="K420" s="1"/>
      <c r="L420" s="1"/>
      <c r="M420" s="366"/>
      <c r="P420" s="365"/>
      <c r="S420" s="53"/>
      <c r="T420" s="365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364"/>
      <c r="AO420" s="364"/>
      <c r="AP420" s="103"/>
      <c r="AQ420" s="364"/>
      <c r="AR420" s="103"/>
      <c r="AS420" s="103"/>
      <c r="AT420" s="103"/>
      <c r="AU420" s="31"/>
      <c r="AV420" s="31"/>
      <c r="AW420" s="31"/>
      <c r="AX420" s="31"/>
      <c r="AY420" s="146"/>
      <c r="AZ420" s="146"/>
      <c r="BA420" s="103"/>
      <c r="BB420" s="103"/>
      <c r="BC420" s="103"/>
      <c r="BD420" s="103"/>
      <c r="BE420" s="104"/>
      <c r="BF420" s="104"/>
      <c r="BG420" s="104"/>
      <c r="BH420" s="102"/>
      <c r="BI420" s="104"/>
      <c r="BJ420" s="103"/>
      <c r="BK420" s="105"/>
      <c r="BL420" s="151"/>
      <c r="BM420" s="103"/>
      <c r="BN420" s="103"/>
      <c r="BO420" s="103"/>
      <c r="BP420" s="103"/>
      <c r="BQ420" s="103"/>
      <c r="BR420" s="103"/>
      <c r="BS420" s="103"/>
      <c r="BT420" s="103"/>
      <c r="BU420" s="103"/>
      <c r="BV420" s="103"/>
      <c r="BW420" s="103"/>
      <c r="BX420" s="103"/>
      <c r="BY420" s="103"/>
      <c r="BZ420" s="104"/>
      <c r="CA420" s="104"/>
      <c r="CB420" s="104"/>
      <c r="CC420" s="104"/>
      <c r="CD420" s="104"/>
      <c r="CE420" s="104"/>
      <c r="CF420" s="103"/>
      <c r="CG420" s="103"/>
      <c r="CH420" s="103"/>
      <c r="CI420" s="103"/>
      <c r="CJ420" s="103"/>
      <c r="CK420" s="103"/>
      <c r="CL420" s="103"/>
      <c r="CM420" s="103"/>
      <c r="CN420" s="103"/>
      <c r="CO420" s="103"/>
      <c r="CP420" s="103"/>
      <c r="CQ420" s="103"/>
      <c r="CR420" s="103"/>
      <c r="CS420" s="103"/>
      <c r="CT420" s="103"/>
      <c r="CU420" s="103"/>
      <c r="CV420" s="103"/>
      <c r="CW420" s="103"/>
      <c r="CX420" s="103"/>
      <c r="CY420" s="103"/>
      <c r="CZ420" s="103"/>
      <c r="DA420" s="103"/>
      <c r="DB420" s="103"/>
      <c r="DC420" s="103"/>
      <c r="DD420" s="103"/>
      <c r="DE420" s="107"/>
      <c r="DF420" s="465"/>
      <c r="DG420" s="1"/>
      <c r="DH420" s="51"/>
      <c r="DI420" s="465"/>
      <c r="DJ420" s="52"/>
      <c r="DK420" s="52"/>
      <c r="DL420" s="52"/>
      <c r="DM420" s="52"/>
      <c r="DN420" s="52"/>
      <c r="DO420" s="52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P420" s="53"/>
      <c r="EQ420" s="1"/>
      <c r="ER420" s="103"/>
      <c r="ES420" s="103"/>
      <c r="ET420" s="1"/>
      <c r="EU420" s="103"/>
      <c r="EV420" s="1"/>
      <c r="EW420" s="1"/>
      <c r="EX420" s="1"/>
      <c r="EY420" s="104"/>
    </row>
    <row r="421" spans="9:155">
      <c r="I421" s="132"/>
      <c r="J421" s="365"/>
      <c r="K421" s="1"/>
      <c r="L421" s="1"/>
      <c r="M421" s="366"/>
      <c r="P421" s="365"/>
      <c r="S421" s="53"/>
      <c r="T421" s="365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364"/>
      <c r="AO421" s="364"/>
      <c r="AP421" s="103"/>
      <c r="AQ421" s="364"/>
      <c r="AR421" s="103"/>
      <c r="AS421" s="103"/>
      <c r="AT421" s="103"/>
      <c r="AU421" s="31"/>
      <c r="AV421" s="31"/>
      <c r="AW421" s="31"/>
      <c r="AX421" s="31"/>
      <c r="AY421" s="146"/>
      <c r="AZ421" s="146"/>
      <c r="BA421" s="103"/>
      <c r="BB421" s="103"/>
      <c r="BC421" s="103"/>
      <c r="BD421" s="103"/>
      <c r="BE421" s="104"/>
      <c r="BF421" s="104"/>
      <c r="BG421" s="104"/>
      <c r="BH421" s="102"/>
      <c r="BI421" s="104"/>
      <c r="BJ421" s="103"/>
      <c r="BK421" s="105"/>
      <c r="BL421" s="151"/>
      <c r="BM421" s="103"/>
      <c r="BN421" s="103"/>
      <c r="BO421" s="103"/>
      <c r="BP421" s="103"/>
      <c r="BQ421" s="103"/>
      <c r="BR421" s="103"/>
      <c r="BS421" s="103"/>
      <c r="BT421" s="103"/>
      <c r="BU421" s="103"/>
      <c r="BV421" s="103"/>
      <c r="BW421" s="103"/>
      <c r="BX421" s="103"/>
      <c r="BY421" s="103"/>
      <c r="BZ421" s="104"/>
      <c r="CA421" s="104"/>
      <c r="CB421" s="104"/>
      <c r="CC421" s="104"/>
      <c r="CD421" s="104"/>
      <c r="CE421" s="104"/>
      <c r="CF421" s="103"/>
      <c r="CG421" s="103"/>
      <c r="CH421" s="103"/>
      <c r="CI421" s="103"/>
      <c r="CJ421" s="103"/>
      <c r="CK421" s="103"/>
      <c r="CL421" s="103"/>
      <c r="CM421" s="103"/>
      <c r="CN421" s="103"/>
      <c r="CO421" s="103"/>
      <c r="CP421" s="103"/>
      <c r="CQ421" s="103"/>
      <c r="CR421" s="103"/>
      <c r="CS421" s="103"/>
      <c r="CT421" s="103"/>
      <c r="CU421" s="103"/>
      <c r="CV421" s="103"/>
      <c r="CW421" s="103"/>
      <c r="CX421" s="103"/>
      <c r="CY421" s="103"/>
      <c r="CZ421" s="103"/>
      <c r="DA421" s="103"/>
      <c r="DB421" s="103"/>
      <c r="DC421" s="103"/>
      <c r="DD421" s="103"/>
      <c r="DE421" s="107"/>
      <c r="DF421" s="465"/>
      <c r="DG421" s="1"/>
      <c r="DH421" s="51"/>
      <c r="DI421" s="465"/>
      <c r="DJ421" s="52"/>
      <c r="DK421" s="52"/>
      <c r="DL421" s="52"/>
      <c r="DM421" s="52"/>
      <c r="DN421" s="52"/>
      <c r="DO421" s="52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P421" s="53"/>
      <c r="EQ421" s="1"/>
      <c r="ER421" s="103"/>
      <c r="ES421" s="103"/>
      <c r="ET421" s="1"/>
      <c r="EU421" s="103"/>
      <c r="EV421" s="1"/>
      <c r="EW421" s="1"/>
      <c r="EX421" s="1"/>
      <c r="EY421" s="104"/>
    </row>
    <row r="422" spans="9:155">
      <c r="I422" s="132"/>
      <c r="J422" s="365"/>
      <c r="K422" s="1"/>
      <c r="L422" s="1"/>
      <c r="M422" s="366"/>
      <c r="P422" s="365"/>
      <c r="S422" s="53"/>
      <c r="T422" s="365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364"/>
      <c r="AO422" s="364"/>
      <c r="AP422" s="103"/>
      <c r="AQ422" s="364"/>
      <c r="AR422" s="103"/>
      <c r="AS422" s="103"/>
      <c r="AT422" s="103"/>
      <c r="AU422" s="31"/>
      <c r="AV422" s="31"/>
      <c r="AW422" s="31"/>
      <c r="AX422" s="31"/>
      <c r="AY422" s="146"/>
      <c r="AZ422" s="146"/>
      <c r="BA422" s="103"/>
      <c r="BB422" s="103"/>
      <c r="BC422" s="103"/>
      <c r="BD422" s="103"/>
      <c r="BE422" s="104"/>
      <c r="BF422" s="104"/>
      <c r="BG422" s="104"/>
      <c r="BH422" s="102"/>
      <c r="BI422" s="104"/>
      <c r="BJ422" s="103"/>
      <c r="BK422" s="105"/>
      <c r="BL422" s="151"/>
      <c r="BM422" s="103"/>
      <c r="BN422" s="103"/>
      <c r="BO422" s="103"/>
      <c r="BP422" s="103"/>
      <c r="BQ422" s="103"/>
      <c r="BR422" s="103"/>
      <c r="BS422" s="103"/>
      <c r="BT422" s="103"/>
      <c r="BU422" s="103"/>
      <c r="BV422" s="103"/>
      <c r="BW422" s="103"/>
      <c r="BX422" s="103"/>
      <c r="BY422" s="103"/>
      <c r="BZ422" s="104"/>
      <c r="CA422" s="104"/>
      <c r="CB422" s="104"/>
      <c r="CC422" s="104"/>
      <c r="CD422" s="104"/>
      <c r="CE422" s="104"/>
      <c r="CF422" s="103"/>
      <c r="CG422" s="103"/>
      <c r="CH422" s="103"/>
      <c r="CI422" s="103"/>
      <c r="CJ422" s="103"/>
      <c r="CK422" s="103"/>
      <c r="CL422" s="103"/>
      <c r="CM422" s="103"/>
      <c r="CN422" s="103"/>
      <c r="CO422" s="103"/>
      <c r="CP422" s="103"/>
      <c r="CQ422" s="103"/>
      <c r="CR422" s="103"/>
      <c r="CS422" s="103"/>
      <c r="CT422" s="103"/>
      <c r="CU422" s="103"/>
      <c r="CV422" s="103"/>
      <c r="CW422" s="103"/>
      <c r="CX422" s="103"/>
      <c r="CY422" s="103"/>
      <c r="CZ422" s="103"/>
      <c r="DA422" s="103"/>
      <c r="DB422" s="103"/>
      <c r="DC422" s="103"/>
      <c r="DD422" s="103"/>
      <c r="DE422" s="107"/>
      <c r="DF422" s="465"/>
      <c r="DG422" s="1"/>
      <c r="DH422" s="51"/>
      <c r="DI422" s="465"/>
      <c r="DJ422" s="52"/>
      <c r="DK422" s="52"/>
      <c r="DL422" s="52"/>
      <c r="DM422" s="52"/>
      <c r="DN422" s="52"/>
      <c r="DO422" s="52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P422" s="53"/>
      <c r="EQ422" s="1"/>
      <c r="ER422" s="103"/>
      <c r="ES422" s="103"/>
      <c r="ET422" s="1"/>
      <c r="EU422" s="103"/>
      <c r="EV422" s="1"/>
      <c r="EW422" s="1"/>
      <c r="EX422" s="1"/>
      <c r="EY422" s="104"/>
    </row>
    <row r="423" spans="9:155">
      <c r="I423" s="132"/>
      <c r="J423" s="365"/>
      <c r="K423" s="1"/>
      <c r="L423" s="1"/>
      <c r="M423" s="366"/>
      <c r="P423" s="365"/>
      <c r="S423" s="53"/>
      <c r="T423" s="365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364"/>
      <c r="AO423" s="364"/>
      <c r="AP423" s="103"/>
      <c r="AQ423" s="364"/>
      <c r="AR423" s="103"/>
      <c r="AS423" s="103"/>
      <c r="AT423" s="103"/>
      <c r="AU423" s="31"/>
      <c r="AV423" s="31"/>
      <c r="AW423" s="31"/>
      <c r="AX423" s="31"/>
      <c r="AY423" s="146"/>
      <c r="AZ423" s="146"/>
      <c r="BA423" s="103"/>
      <c r="BB423" s="103"/>
      <c r="BC423" s="103"/>
      <c r="BD423" s="103"/>
      <c r="BE423" s="104"/>
      <c r="BF423" s="104"/>
      <c r="BG423" s="104"/>
      <c r="BH423" s="102"/>
      <c r="BI423" s="104"/>
      <c r="BJ423" s="103"/>
      <c r="BK423" s="105"/>
      <c r="BL423" s="151"/>
      <c r="BM423" s="103"/>
      <c r="BN423" s="103"/>
      <c r="BO423" s="103"/>
      <c r="BP423" s="103"/>
      <c r="BQ423" s="103"/>
      <c r="BR423" s="103"/>
      <c r="BS423" s="103"/>
      <c r="BT423" s="103"/>
      <c r="BU423" s="103"/>
      <c r="BV423" s="103"/>
      <c r="BW423" s="103"/>
      <c r="BX423" s="103"/>
      <c r="BY423" s="103"/>
      <c r="BZ423" s="104"/>
      <c r="CA423" s="104"/>
      <c r="CB423" s="104"/>
      <c r="CC423" s="104"/>
      <c r="CD423" s="104"/>
      <c r="CE423" s="104"/>
      <c r="CF423" s="103"/>
      <c r="CG423" s="103"/>
      <c r="CH423" s="103"/>
      <c r="CI423" s="103"/>
      <c r="CJ423" s="103"/>
      <c r="CK423" s="103"/>
      <c r="CL423" s="103"/>
      <c r="CM423" s="103"/>
      <c r="CN423" s="103"/>
      <c r="CO423" s="103"/>
      <c r="CP423" s="103"/>
      <c r="CQ423" s="103"/>
      <c r="CR423" s="103"/>
      <c r="CS423" s="103"/>
      <c r="CT423" s="103"/>
      <c r="CU423" s="103"/>
      <c r="CV423" s="103"/>
      <c r="CW423" s="103"/>
      <c r="CX423" s="103"/>
      <c r="CY423" s="103"/>
      <c r="CZ423" s="103"/>
      <c r="DA423" s="103"/>
      <c r="DB423" s="103"/>
      <c r="DC423" s="103"/>
      <c r="DD423" s="103"/>
      <c r="DE423" s="107"/>
      <c r="DF423" s="465"/>
      <c r="DG423" s="1"/>
      <c r="DH423" s="51"/>
      <c r="DI423" s="465"/>
      <c r="DJ423" s="52"/>
      <c r="DK423" s="52"/>
      <c r="DL423" s="52"/>
      <c r="DM423" s="52"/>
      <c r="DN423" s="52"/>
      <c r="DO423" s="52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P423" s="53"/>
      <c r="EQ423" s="1"/>
      <c r="ER423" s="103"/>
      <c r="ES423" s="103"/>
      <c r="ET423" s="1"/>
      <c r="EU423" s="103"/>
      <c r="EV423" s="1"/>
      <c r="EW423" s="1"/>
      <c r="EX423" s="1"/>
      <c r="EY423" s="104"/>
    </row>
    <row r="424" spans="9:155">
      <c r="I424" s="132"/>
      <c r="J424" s="365"/>
      <c r="K424" s="1"/>
      <c r="L424" s="1"/>
      <c r="M424" s="366"/>
      <c r="P424" s="365"/>
      <c r="S424" s="53"/>
      <c r="T424" s="365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364"/>
      <c r="AO424" s="364"/>
      <c r="AP424" s="103"/>
      <c r="AQ424" s="364"/>
      <c r="AR424" s="103"/>
      <c r="AS424" s="103"/>
      <c r="AT424" s="103"/>
      <c r="AU424" s="31"/>
      <c r="AV424" s="31"/>
      <c r="AW424" s="31"/>
      <c r="AX424" s="31"/>
      <c r="AY424" s="146"/>
      <c r="AZ424" s="146"/>
      <c r="BA424" s="103"/>
      <c r="BB424" s="103"/>
      <c r="BC424" s="103"/>
      <c r="BD424" s="103"/>
      <c r="BE424" s="104"/>
      <c r="BF424" s="104"/>
      <c r="BG424" s="104"/>
      <c r="BH424" s="102"/>
      <c r="BI424" s="104"/>
      <c r="BJ424" s="103"/>
      <c r="BK424" s="105"/>
      <c r="BL424" s="151"/>
      <c r="BM424" s="103"/>
      <c r="BN424" s="103"/>
      <c r="BO424" s="103"/>
      <c r="BP424" s="103"/>
      <c r="BQ424" s="103"/>
      <c r="BR424" s="103"/>
      <c r="BS424" s="103"/>
      <c r="BT424" s="103"/>
      <c r="BU424" s="103"/>
      <c r="BV424" s="103"/>
      <c r="BW424" s="103"/>
      <c r="BX424" s="103"/>
      <c r="BY424" s="103"/>
      <c r="BZ424" s="104"/>
      <c r="CA424" s="104"/>
      <c r="CB424" s="104"/>
      <c r="CC424" s="104"/>
      <c r="CD424" s="104"/>
      <c r="CE424" s="104"/>
      <c r="CF424" s="103"/>
      <c r="CG424" s="103"/>
      <c r="CH424" s="103"/>
      <c r="CI424" s="103"/>
      <c r="CJ424" s="103"/>
      <c r="CK424" s="103"/>
      <c r="CL424" s="103"/>
      <c r="CM424" s="103"/>
      <c r="CN424" s="103"/>
      <c r="CO424" s="103"/>
      <c r="CP424" s="103"/>
      <c r="CQ424" s="103"/>
      <c r="CR424" s="103"/>
      <c r="CS424" s="103"/>
      <c r="CT424" s="103"/>
      <c r="CU424" s="103"/>
      <c r="CV424" s="103"/>
      <c r="CW424" s="103"/>
      <c r="CX424" s="103"/>
      <c r="CY424" s="103"/>
      <c r="CZ424" s="103"/>
      <c r="DA424" s="103"/>
      <c r="DB424" s="103"/>
      <c r="DC424" s="103"/>
      <c r="DD424" s="103"/>
      <c r="DE424" s="107"/>
      <c r="DF424" s="465"/>
      <c r="DG424" s="1"/>
      <c r="DH424" s="51"/>
      <c r="DI424" s="465"/>
      <c r="DJ424" s="52"/>
      <c r="DK424" s="52"/>
      <c r="DL424" s="52"/>
      <c r="DM424" s="52"/>
      <c r="DN424" s="52"/>
      <c r="DO424" s="52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P424" s="53"/>
      <c r="EQ424" s="1"/>
      <c r="ER424" s="103"/>
      <c r="ES424" s="103"/>
      <c r="ET424" s="1"/>
      <c r="EU424" s="103"/>
      <c r="EV424" s="1"/>
      <c r="EW424" s="1"/>
      <c r="EX424" s="1"/>
      <c r="EY424" s="104"/>
    </row>
    <row r="425" spans="9:155">
      <c r="I425" s="132"/>
      <c r="J425" s="365"/>
      <c r="K425" s="1"/>
      <c r="L425" s="1"/>
      <c r="M425" s="366"/>
      <c r="P425" s="365"/>
      <c r="S425" s="53"/>
      <c r="T425" s="365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364"/>
      <c r="AO425" s="364"/>
      <c r="AP425" s="103"/>
      <c r="AQ425" s="364"/>
      <c r="AR425" s="103"/>
      <c r="AS425" s="103"/>
      <c r="AT425" s="103"/>
      <c r="AU425" s="31"/>
      <c r="AV425" s="31"/>
      <c r="AW425" s="31"/>
      <c r="AX425" s="31"/>
      <c r="AY425" s="146"/>
      <c r="AZ425" s="146"/>
      <c r="BA425" s="103"/>
      <c r="BB425" s="103"/>
      <c r="BC425" s="103"/>
      <c r="BD425" s="103"/>
      <c r="BE425" s="104"/>
      <c r="BF425" s="104"/>
      <c r="BG425" s="104"/>
      <c r="BH425" s="102"/>
      <c r="BI425" s="104"/>
      <c r="BJ425" s="103"/>
      <c r="BK425" s="105"/>
      <c r="BL425" s="151"/>
      <c r="BM425" s="103"/>
      <c r="BN425" s="103"/>
      <c r="BO425" s="103"/>
      <c r="BP425" s="103"/>
      <c r="BQ425" s="103"/>
      <c r="BR425" s="103"/>
      <c r="BS425" s="103"/>
      <c r="BT425" s="103"/>
      <c r="BU425" s="103"/>
      <c r="BV425" s="103"/>
      <c r="BW425" s="103"/>
      <c r="BX425" s="103"/>
      <c r="BY425" s="103"/>
      <c r="BZ425" s="104"/>
      <c r="CA425" s="104"/>
      <c r="CB425" s="104"/>
      <c r="CC425" s="104"/>
      <c r="CD425" s="104"/>
      <c r="CE425" s="104"/>
      <c r="CF425" s="103"/>
      <c r="CG425" s="103"/>
      <c r="CH425" s="103"/>
      <c r="CI425" s="103"/>
      <c r="CJ425" s="103"/>
      <c r="CK425" s="103"/>
      <c r="CL425" s="103"/>
      <c r="CM425" s="103"/>
      <c r="CN425" s="103"/>
      <c r="CO425" s="103"/>
      <c r="CP425" s="103"/>
      <c r="CQ425" s="103"/>
      <c r="CR425" s="103"/>
      <c r="CS425" s="103"/>
      <c r="CT425" s="103"/>
      <c r="CU425" s="103"/>
      <c r="CV425" s="103"/>
      <c r="CW425" s="103"/>
      <c r="CX425" s="103"/>
      <c r="CY425" s="103"/>
      <c r="CZ425" s="103"/>
      <c r="DA425" s="103"/>
      <c r="DB425" s="103"/>
      <c r="DC425" s="103"/>
      <c r="DD425" s="103"/>
      <c r="DE425" s="107"/>
      <c r="DF425" s="465"/>
      <c r="DG425" s="1"/>
      <c r="DH425" s="51"/>
      <c r="DI425" s="465"/>
      <c r="DJ425" s="52"/>
      <c r="DK425" s="52"/>
      <c r="DL425" s="52"/>
      <c r="DM425" s="52"/>
      <c r="DN425" s="52"/>
      <c r="DO425" s="52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P425" s="53"/>
      <c r="EQ425" s="1"/>
      <c r="ER425" s="103"/>
      <c r="ES425" s="103"/>
      <c r="ET425" s="1"/>
      <c r="EU425" s="103"/>
      <c r="EV425" s="1"/>
      <c r="EW425" s="1"/>
      <c r="EX425" s="1"/>
      <c r="EY425" s="104"/>
    </row>
    <row r="426" spans="9:155">
      <c r="I426" s="132"/>
      <c r="J426" s="365"/>
      <c r="K426" s="1"/>
      <c r="L426" s="1"/>
      <c r="M426" s="366"/>
      <c r="P426" s="365"/>
      <c r="S426" s="53"/>
      <c r="T426" s="365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364"/>
      <c r="AO426" s="364"/>
      <c r="AP426" s="103"/>
      <c r="AQ426" s="364"/>
      <c r="AR426" s="103"/>
      <c r="AS426" s="103"/>
      <c r="AT426" s="103"/>
      <c r="AU426" s="31"/>
      <c r="AV426" s="31"/>
      <c r="AW426" s="31"/>
      <c r="AX426" s="31"/>
      <c r="AY426" s="146"/>
      <c r="AZ426" s="146"/>
      <c r="BA426" s="103"/>
      <c r="BB426" s="103"/>
      <c r="BC426" s="103"/>
      <c r="BD426" s="103"/>
      <c r="BE426" s="104"/>
      <c r="BF426" s="104"/>
      <c r="BG426" s="104"/>
      <c r="BH426" s="102"/>
      <c r="BI426" s="104"/>
      <c r="BJ426" s="103"/>
      <c r="BK426" s="105"/>
      <c r="BL426" s="151"/>
      <c r="BM426" s="103"/>
      <c r="BN426" s="103"/>
      <c r="BO426" s="103"/>
      <c r="BP426" s="103"/>
      <c r="BQ426" s="103"/>
      <c r="BR426" s="103"/>
      <c r="BS426" s="103"/>
      <c r="BT426" s="103"/>
      <c r="BU426" s="103"/>
      <c r="BV426" s="103"/>
      <c r="BW426" s="103"/>
      <c r="BX426" s="103"/>
      <c r="BY426" s="103"/>
      <c r="BZ426" s="104"/>
      <c r="CA426" s="104"/>
      <c r="CB426" s="104"/>
      <c r="CC426" s="104"/>
      <c r="CD426" s="104"/>
      <c r="CE426" s="104"/>
      <c r="CF426" s="103"/>
      <c r="CG426" s="103"/>
      <c r="CH426" s="103"/>
      <c r="CI426" s="103"/>
      <c r="CJ426" s="103"/>
      <c r="CK426" s="103"/>
      <c r="CL426" s="103"/>
      <c r="CM426" s="103"/>
      <c r="CN426" s="103"/>
      <c r="CO426" s="103"/>
      <c r="CP426" s="103"/>
      <c r="CQ426" s="103"/>
      <c r="CR426" s="103"/>
      <c r="CS426" s="103"/>
      <c r="CT426" s="103"/>
      <c r="CU426" s="103"/>
      <c r="CV426" s="103"/>
      <c r="CW426" s="103"/>
      <c r="CX426" s="103"/>
      <c r="CY426" s="103"/>
      <c r="CZ426" s="103"/>
      <c r="DA426" s="103"/>
      <c r="DB426" s="103"/>
      <c r="DC426" s="103"/>
      <c r="DD426" s="103"/>
      <c r="DE426" s="107"/>
      <c r="DF426" s="465"/>
      <c r="DG426" s="1"/>
      <c r="DH426" s="51"/>
      <c r="DI426" s="465"/>
      <c r="DJ426" s="52"/>
      <c r="DK426" s="52"/>
      <c r="DL426" s="52"/>
      <c r="DM426" s="52"/>
      <c r="DN426" s="52"/>
      <c r="DO426" s="52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P426" s="53"/>
      <c r="EQ426" s="1"/>
      <c r="ER426" s="103"/>
      <c r="ES426" s="103"/>
      <c r="ET426" s="1"/>
      <c r="EU426" s="103"/>
      <c r="EV426" s="1"/>
      <c r="EW426" s="1"/>
      <c r="EX426" s="1"/>
      <c r="EY426" s="104"/>
    </row>
    <row r="427" spans="9:155">
      <c r="I427" s="132"/>
      <c r="J427" s="365"/>
      <c r="K427" s="1"/>
      <c r="L427" s="1"/>
      <c r="M427" s="366"/>
      <c r="P427" s="365"/>
      <c r="S427" s="53"/>
      <c r="T427" s="365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364"/>
      <c r="AO427" s="364"/>
      <c r="AP427" s="103"/>
      <c r="AQ427" s="364"/>
      <c r="AR427" s="103"/>
      <c r="AS427" s="103"/>
      <c r="AT427" s="103"/>
      <c r="AU427" s="31"/>
      <c r="AV427" s="31"/>
      <c r="AW427" s="31"/>
      <c r="AX427" s="31"/>
      <c r="AY427" s="146"/>
      <c r="AZ427" s="146"/>
      <c r="BA427" s="103"/>
      <c r="BB427" s="103"/>
      <c r="BC427" s="103"/>
      <c r="BD427" s="103"/>
      <c r="BE427" s="104"/>
      <c r="BF427" s="104"/>
      <c r="BG427" s="104"/>
      <c r="BH427" s="102"/>
      <c r="BI427" s="104"/>
      <c r="BJ427" s="103"/>
      <c r="BK427" s="105"/>
      <c r="BL427" s="151"/>
      <c r="BM427" s="103"/>
      <c r="BN427" s="103"/>
      <c r="BO427" s="103"/>
      <c r="BP427" s="103"/>
      <c r="BQ427" s="103"/>
      <c r="BR427" s="103"/>
      <c r="BS427" s="103"/>
      <c r="BT427" s="103"/>
      <c r="BU427" s="103"/>
      <c r="BV427" s="103"/>
      <c r="BW427" s="103"/>
      <c r="BX427" s="103"/>
      <c r="BY427" s="103"/>
      <c r="BZ427" s="104"/>
      <c r="CA427" s="104"/>
      <c r="CB427" s="104"/>
      <c r="CC427" s="104"/>
      <c r="CD427" s="104"/>
      <c r="CE427" s="104"/>
      <c r="CF427" s="103"/>
      <c r="CG427" s="103"/>
      <c r="CH427" s="103"/>
      <c r="CI427" s="103"/>
      <c r="CJ427" s="103"/>
      <c r="CK427" s="103"/>
      <c r="CL427" s="103"/>
      <c r="CM427" s="103"/>
      <c r="CN427" s="103"/>
      <c r="CO427" s="103"/>
      <c r="CP427" s="103"/>
      <c r="CQ427" s="103"/>
      <c r="CR427" s="103"/>
      <c r="CS427" s="103"/>
      <c r="CT427" s="103"/>
      <c r="CU427" s="103"/>
      <c r="CV427" s="103"/>
      <c r="CW427" s="103"/>
      <c r="CX427" s="103"/>
      <c r="CY427" s="103"/>
      <c r="CZ427" s="103"/>
      <c r="DA427" s="103"/>
      <c r="DB427" s="103"/>
      <c r="DC427" s="103"/>
      <c r="DD427" s="103"/>
      <c r="DE427" s="107"/>
      <c r="DF427" s="465"/>
      <c r="DG427" s="1"/>
      <c r="DH427" s="51"/>
      <c r="DI427" s="465"/>
      <c r="DJ427" s="52"/>
      <c r="DK427" s="52"/>
      <c r="DL427" s="52"/>
      <c r="DM427" s="52"/>
      <c r="DN427" s="52"/>
      <c r="DO427" s="52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P427" s="53"/>
      <c r="EQ427" s="1"/>
      <c r="ER427" s="103"/>
      <c r="ES427" s="103"/>
      <c r="ET427" s="1"/>
      <c r="EU427" s="103"/>
      <c r="EV427" s="1"/>
      <c r="EW427" s="1"/>
      <c r="EX427" s="1"/>
      <c r="EY427" s="104"/>
    </row>
    <row r="428" spans="9:155">
      <c r="I428" s="132"/>
      <c r="J428" s="365"/>
      <c r="K428" s="1"/>
      <c r="L428" s="1"/>
      <c r="M428" s="366"/>
      <c r="P428" s="365"/>
      <c r="S428" s="53"/>
      <c r="T428" s="365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364"/>
      <c r="AO428" s="364"/>
      <c r="AP428" s="103"/>
      <c r="AQ428" s="364"/>
      <c r="AR428" s="103"/>
      <c r="AS428" s="103"/>
      <c r="AT428" s="103"/>
      <c r="AU428" s="31"/>
      <c r="AV428" s="31"/>
      <c r="AW428" s="31"/>
      <c r="AX428" s="31"/>
      <c r="AY428" s="146"/>
      <c r="AZ428" s="146"/>
      <c r="BA428" s="103"/>
      <c r="BB428" s="103"/>
      <c r="BC428" s="103"/>
      <c r="BD428" s="103"/>
      <c r="BE428" s="104"/>
      <c r="BF428" s="104"/>
      <c r="BG428" s="104"/>
      <c r="BH428" s="102"/>
      <c r="BI428" s="104"/>
      <c r="BJ428" s="103"/>
      <c r="BK428" s="105"/>
      <c r="BL428" s="151"/>
      <c r="BM428" s="103"/>
      <c r="BN428" s="103"/>
      <c r="BO428" s="103"/>
      <c r="BP428" s="103"/>
      <c r="BQ428" s="103"/>
      <c r="BR428" s="103"/>
      <c r="BS428" s="103"/>
      <c r="BT428" s="103"/>
      <c r="BU428" s="103"/>
      <c r="BV428" s="103"/>
      <c r="BW428" s="103"/>
      <c r="BX428" s="103"/>
      <c r="BY428" s="103"/>
      <c r="BZ428" s="104"/>
      <c r="CA428" s="104"/>
      <c r="CB428" s="104"/>
      <c r="CC428" s="104"/>
      <c r="CD428" s="104"/>
      <c r="CE428" s="104"/>
      <c r="CF428" s="103"/>
      <c r="CG428" s="103"/>
      <c r="CH428" s="103"/>
      <c r="CI428" s="103"/>
      <c r="CJ428" s="103"/>
      <c r="CK428" s="103"/>
      <c r="CL428" s="103"/>
      <c r="CM428" s="103"/>
      <c r="CN428" s="103"/>
      <c r="CO428" s="103"/>
      <c r="CP428" s="103"/>
      <c r="CQ428" s="103"/>
      <c r="CR428" s="103"/>
      <c r="CS428" s="103"/>
      <c r="CT428" s="103"/>
      <c r="CU428" s="103"/>
      <c r="CV428" s="103"/>
      <c r="CW428" s="103"/>
      <c r="CX428" s="103"/>
      <c r="CY428" s="103"/>
      <c r="CZ428" s="103"/>
      <c r="DA428" s="103"/>
      <c r="DB428" s="103"/>
      <c r="DC428" s="103"/>
      <c r="DD428" s="103"/>
      <c r="DE428" s="107"/>
      <c r="DF428" s="465"/>
      <c r="DG428" s="1"/>
      <c r="DH428" s="51"/>
      <c r="DI428" s="465"/>
      <c r="DJ428" s="52"/>
      <c r="DK428" s="52"/>
      <c r="DL428" s="52"/>
      <c r="DM428" s="52"/>
      <c r="DN428" s="52"/>
      <c r="DO428" s="52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P428" s="53"/>
      <c r="EQ428" s="1"/>
      <c r="ER428" s="103"/>
      <c r="ES428" s="103"/>
      <c r="ET428" s="1"/>
      <c r="EU428" s="103"/>
      <c r="EV428" s="1"/>
      <c r="EW428" s="1"/>
      <c r="EX428" s="1"/>
      <c r="EY428" s="104"/>
    </row>
    <row r="429" spans="9:155">
      <c r="I429" s="132"/>
      <c r="J429" s="365"/>
      <c r="K429" s="1"/>
      <c r="L429" s="1"/>
      <c r="M429" s="366"/>
      <c r="P429" s="365"/>
      <c r="S429" s="53"/>
      <c r="T429" s="365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364"/>
      <c r="AO429" s="364"/>
      <c r="AP429" s="103"/>
      <c r="AQ429" s="364"/>
      <c r="AR429" s="103"/>
      <c r="AS429" s="103"/>
      <c r="AT429" s="103"/>
      <c r="AU429" s="31"/>
      <c r="AV429" s="31"/>
      <c r="AW429" s="31"/>
      <c r="AX429" s="31"/>
      <c r="AY429" s="146"/>
      <c r="AZ429" s="146"/>
      <c r="BA429" s="103"/>
      <c r="BB429" s="103"/>
      <c r="BC429" s="103"/>
      <c r="BD429" s="103"/>
      <c r="BE429" s="104"/>
      <c r="BF429" s="104"/>
      <c r="BG429" s="104"/>
      <c r="BH429" s="102"/>
      <c r="BI429" s="104"/>
      <c r="BJ429" s="103"/>
      <c r="BK429" s="105"/>
      <c r="BL429" s="151"/>
      <c r="BM429" s="103"/>
      <c r="BN429" s="103"/>
      <c r="BO429" s="103"/>
      <c r="BP429" s="103"/>
      <c r="BQ429" s="103"/>
      <c r="BR429" s="103"/>
      <c r="BS429" s="103"/>
      <c r="BT429" s="103"/>
      <c r="BU429" s="103"/>
      <c r="BV429" s="103"/>
      <c r="BW429" s="103"/>
      <c r="BX429" s="103"/>
      <c r="BY429" s="103"/>
      <c r="BZ429" s="104"/>
      <c r="CA429" s="104"/>
      <c r="CB429" s="104"/>
      <c r="CC429" s="104"/>
      <c r="CD429" s="104"/>
      <c r="CE429" s="104"/>
      <c r="CF429" s="103"/>
      <c r="CG429" s="103"/>
      <c r="CH429" s="103"/>
      <c r="CI429" s="103"/>
      <c r="CJ429" s="103"/>
      <c r="CK429" s="103"/>
      <c r="CL429" s="103"/>
      <c r="CM429" s="103"/>
      <c r="CN429" s="103"/>
      <c r="CO429" s="103"/>
      <c r="CP429" s="103"/>
      <c r="CQ429" s="103"/>
      <c r="CR429" s="103"/>
      <c r="CS429" s="103"/>
      <c r="CT429" s="103"/>
      <c r="CU429" s="103"/>
      <c r="CV429" s="103"/>
      <c r="CW429" s="103"/>
      <c r="CX429" s="103"/>
      <c r="CY429" s="103"/>
      <c r="CZ429" s="103"/>
      <c r="DA429" s="103"/>
      <c r="DB429" s="103"/>
      <c r="DC429" s="103"/>
      <c r="DD429" s="103"/>
      <c r="DE429" s="107"/>
      <c r="DF429" s="465"/>
      <c r="DG429" s="1"/>
      <c r="DH429" s="51"/>
      <c r="DI429" s="465"/>
      <c r="DJ429" s="52"/>
      <c r="DK429" s="52"/>
      <c r="DL429" s="52"/>
      <c r="DM429" s="52"/>
      <c r="DN429" s="52"/>
      <c r="DO429" s="52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P429" s="53"/>
      <c r="EQ429" s="1"/>
      <c r="ER429" s="103"/>
      <c r="ES429" s="103"/>
      <c r="ET429" s="1"/>
      <c r="EU429" s="103"/>
      <c r="EV429" s="1"/>
      <c r="EW429" s="1"/>
      <c r="EX429" s="1"/>
      <c r="EY429" s="104"/>
    </row>
    <row r="430" spans="9:155">
      <c r="I430" s="132"/>
      <c r="J430" s="365"/>
      <c r="K430" s="1"/>
      <c r="L430" s="1"/>
      <c r="M430" s="366"/>
      <c r="P430" s="365"/>
      <c r="S430" s="53"/>
      <c r="T430" s="365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364"/>
      <c r="AO430" s="364"/>
      <c r="AP430" s="103"/>
      <c r="AQ430" s="364"/>
      <c r="AR430" s="103"/>
      <c r="AS430" s="103"/>
      <c r="AT430" s="103"/>
      <c r="AU430" s="31"/>
      <c r="AV430" s="31"/>
      <c r="AW430" s="31"/>
      <c r="AX430" s="31"/>
      <c r="AY430" s="146"/>
      <c r="AZ430" s="146"/>
      <c r="BA430" s="103"/>
      <c r="BB430" s="103"/>
      <c r="BC430" s="103"/>
      <c r="BD430" s="103"/>
      <c r="BE430" s="104"/>
      <c r="BF430" s="104"/>
      <c r="BG430" s="104"/>
      <c r="BH430" s="102"/>
      <c r="BI430" s="104"/>
      <c r="BJ430" s="103"/>
      <c r="BK430" s="105"/>
      <c r="BL430" s="151"/>
      <c r="BM430" s="103"/>
      <c r="BN430" s="103"/>
      <c r="BO430" s="103"/>
      <c r="BP430" s="103"/>
      <c r="BQ430" s="103"/>
      <c r="BR430" s="103"/>
      <c r="BS430" s="103"/>
      <c r="BT430" s="103"/>
      <c r="BU430" s="103"/>
      <c r="BV430" s="103"/>
      <c r="BW430" s="103"/>
      <c r="BX430" s="103"/>
      <c r="BY430" s="103"/>
      <c r="BZ430" s="104"/>
      <c r="CA430" s="104"/>
      <c r="CB430" s="104"/>
      <c r="CC430" s="104"/>
      <c r="CD430" s="104"/>
      <c r="CE430" s="104"/>
      <c r="CF430" s="103"/>
      <c r="CG430" s="103"/>
      <c r="CH430" s="103"/>
      <c r="CI430" s="103"/>
      <c r="CJ430" s="103"/>
      <c r="CK430" s="103"/>
      <c r="CL430" s="103"/>
      <c r="CM430" s="103"/>
      <c r="CN430" s="103"/>
      <c r="CO430" s="103"/>
      <c r="CP430" s="103"/>
      <c r="CQ430" s="103"/>
      <c r="CR430" s="103"/>
      <c r="CS430" s="103"/>
      <c r="CT430" s="103"/>
      <c r="CU430" s="103"/>
      <c r="CV430" s="103"/>
      <c r="CW430" s="103"/>
      <c r="CX430" s="103"/>
      <c r="CY430" s="103"/>
      <c r="CZ430" s="103"/>
      <c r="DA430" s="103"/>
      <c r="DB430" s="103"/>
      <c r="DC430" s="103"/>
      <c r="DD430" s="103"/>
      <c r="DE430" s="107"/>
      <c r="DF430" s="465"/>
      <c r="DG430" s="1"/>
      <c r="DH430" s="51"/>
      <c r="DI430" s="465"/>
      <c r="DJ430" s="52"/>
      <c r="DK430" s="52"/>
      <c r="DL430" s="52"/>
      <c r="DM430" s="52"/>
      <c r="DN430" s="52"/>
      <c r="DO430" s="52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P430" s="53"/>
      <c r="EQ430" s="1"/>
      <c r="ER430" s="103"/>
      <c r="ES430" s="103"/>
      <c r="ET430" s="1"/>
      <c r="EU430" s="103"/>
      <c r="EV430" s="1"/>
      <c r="EW430" s="1"/>
      <c r="EX430" s="1"/>
      <c r="EY430" s="104"/>
    </row>
    <row r="431" spans="9:155">
      <c r="I431" s="132"/>
      <c r="J431" s="365"/>
      <c r="K431" s="1"/>
      <c r="L431" s="1"/>
      <c r="M431" s="366"/>
      <c r="P431" s="365"/>
      <c r="S431" s="53"/>
      <c r="T431" s="365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364"/>
      <c r="AO431" s="364"/>
      <c r="AP431" s="103"/>
      <c r="AQ431" s="364"/>
      <c r="AR431" s="103"/>
      <c r="AS431" s="103"/>
      <c r="AT431" s="103"/>
      <c r="AU431" s="31"/>
      <c r="AV431" s="31"/>
      <c r="AW431" s="31"/>
      <c r="AX431" s="31"/>
      <c r="AY431" s="146"/>
      <c r="AZ431" s="146"/>
      <c r="BA431" s="103"/>
      <c r="BB431" s="103"/>
      <c r="BC431" s="103"/>
      <c r="BD431" s="103"/>
      <c r="BE431" s="104"/>
      <c r="BF431" s="104"/>
      <c r="BG431" s="104"/>
      <c r="BH431" s="102"/>
      <c r="BI431" s="104"/>
      <c r="BJ431" s="103"/>
      <c r="BK431" s="105"/>
      <c r="BL431" s="151"/>
      <c r="BM431" s="103"/>
      <c r="BN431" s="103"/>
      <c r="BO431" s="103"/>
      <c r="BP431" s="103"/>
      <c r="BQ431" s="103"/>
      <c r="BR431" s="103"/>
      <c r="BS431" s="103"/>
      <c r="BT431" s="103"/>
      <c r="BU431" s="103"/>
      <c r="BV431" s="103"/>
      <c r="BW431" s="103"/>
      <c r="BX431" s="103"/>
      <c r="BY431" s="103"/>
      <c r="BZ431" s="104"/>
      <c r="CA431" s="104"/>
      <c r="CB431" s="104"/>
      <c r="CC431" s="104"/>
      <c r="CD431" s="104"/>
      <c r="CE431" s="104"/>
      <c r="CF431" s="103"/>
      <c r="CG431" s="103"/>
      <c r="CH431" s="103"/>
      <c r="CI431" s="103"/>
      <c r="CJ431" s="103"/>
      <c r="CK431" s="103"/>
      <c r="CL431" s="103"/>
      <c r="CM431" s="103"/>
      <c r="CN431" s="103"/>
      <c r="CO431" s="103"/>
      <c r="CP431" s="103"/>
      <c r="CQ431" s="103"/>
      <c r="CR431" s="103"/>
      <c r="CS431" s="103"/>
      <c r="CT431" s="103"/>
      <c r="CU431" s="103"/>
      <c r="CV431" s="103"/>
      <c r="CW431" s="103"/>
      <c r="CX431" s="103"/>
      <c r="CY431" s="103"/>
      <c r="CZ431" s="103"/>
      <c r="DA431" s="103"/>
      <c r="DB431" s="103"/>
      <c r="DC431" s="103"/>
      <c r="DD431" s="103"/>
      <c r="DE431" s="107"/>
      <c r="DF431" s="465"/>
      <c r="DG431" s="1"/>
      <c r="DH431" s="51"/>
      <c r="DI431" s="465"/>
      <c r="DJ431" s="52"/>
      <c r="DK431" s="52"/>
      <c r="DL431" s="52"/>
      <c r="DM431" s="52"/>
      <c r="DN431" s="52"/>
      <c r="DO431" s="52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P431" s="53"/>
      <c r="EQ431" s="1"/>
      <c r="ER431" s="103"/>
      <c r="ES431" s="103"/>
      <c r="ET431" s="1"/>
      <c r="EU431" s="103"/>
      <c r="EV431" s="1"/>
      <c r="EW431" s="1"/>
      <c r="EX431" s="1"/>
      <c r="EY431" s="104"/>
    </row>
    <row r="432" spans="9:155">
      <c r="I432" s="132"/>
      <c r="J432" s="365"/>
      <c r="K432" s="1"/>
      <c r="L432" s="1"/>
      <c r="M432" s="366"/>
      <c r="P432" s="365"/>
      <c r="S432" s="53"/>
      <c r="T432" s="365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364"/>
      <c r="AO432" s="364"/>
      <c r="AP432" s="103"/>
      <c r="AQ432" s="364"/>
      <c r="AR432" s="103"/>
      <c r="AS432" s="103"/>
      <c r="AT432" s="103"/>
      <c r="AU432" s="31"/>
      <c r="AV432" s="31"/>
      <c r="AW432" s="31"/>
      <c r="AX432" s="31"/>
      <c r="AY432" s="146"/>
      <c r="AZ432" s="146"/>
      <c r="BA432" s="103"/>
      <c r="BB432" s="103"/>
      <c r="BC432" s="103"/>
      <c r="BD432" s="103"/>
      <c r="BE432" s="104"/>
      <c r="BF432" s="104"/>
      <c r="BG432" s="104"/>
      <c r="BH432" s="102"/>
      <c r="BI432" s="104"/>
      <c r="BJ432" s="103"/>
      <c r="BK432" s="105"/>
      <c r="BL432" s="151"/>
      <c r="BM432" s="103"/>
      <c r="BN432" s="103"/>
      <c r="BO432" s="103"/>
      <c r="BP432" s="103"/>
      <c r="BQ432" s="103"/>
      <c r="BR432" s="103"/>
      <c r="BS432" s="103"/>
      <c r="BT432" s="103"/>
      <c r="BU432" s="103"/>
      <c r="BV432" s="103"/>
      <c r="BW432" s="103"/>
      <c r="BX432" s="103"/>
      <c r="BY432" s="103"/>
      <c r="BZ432" s="104"/>
      <c r="CA432" s="104"/>
      <c r="CB432" s="104"/>
      <c r="CC432" s="104"/>
      <c r="CD432" s="104"/>
      <c r="CE432" s="104"/>
      <c r="CF432" s="103"/>
      <c r="CG432" s="103"/>
      <c r="CH432" s="103"/>
      <c r="CI432" s="103"/>
      <c r="CJ432" s="103"/>
      <c r="CK432" s="103"/>
      <c r="CL432" s="103"/>
      <c r="CM432" s="103"/>
      <c r="CN432" s="103"/>
      <c r="CO432" s="103"/>
      <c r="CP432" s="103"/>
      <c r="CQ432" s="103"/>
      <c r="CR432" s="103"/>
      <c r="CS432" s="103"/>
      <c r="CT432" s="103"/>
      <c r="CU432" s="103"/>
      <c r="CV432" s="103"/>
      <c r="CW432" s="103"/>
      <c r="CX432" s="103"/>
      <c r="CY432" s="103"/>
      <c r="CZ432" s="103"/>
      <c r="DA432" s="103"/>
      <c r="DB432" s="103"/>
      <c r="DC432" s="103"/>
      <c r="DD432" s="103"/>
      <c r="DE432" s="107"/>
      <c r="DF432" s="465"/>
      <c r="DG432" s="1"/>
      <c r="DH432" s="51"/>
      <c r="DI432" s="465"/>
      <c r="DJ432" s="52"/>
      <c r="DK432" s="52"/>
      <c r="DL432" s="52"/>
      <c r="DM432" s="52"/>
      <c r="DN432" s="52"/>
      <c r="DO432" s="52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P432" s="53"/>
      <c r="EQ432" s="1"/>
      <c r="ER432" s="103"/>
      <c r="ES432" s="103"/>
      <c r="ET432" s="1"/>
      <c r="EU432" s="103"/>
      <c r="EV432" s="1"/>
      <c r="EW432" s="1"/>
      <c r="EX432" s="1"/>
      <c r="EY432" s="104"/>
    </row>
    <row r="433" spans="9:155">
      <c r="I433" s="132"/>
      <c r="J433" s="365"/>
      <c r="K433" s="1"/>
      <c r="L433" s="1"/>
      <c r="M433" s="366"/>
      <c r="P433" s="365"/>
      <c r="S433" s="53"/>
      <c r="T433" s="365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364"/>
      <c r="AO433" s="364"/>
      <c r="AP433" s="103"/>
      <c r="AQ433" s="364"/>
      <c r="AR433" s="103"/>
      <c r="AS433" s="103"/>
      <c r="AT433" s="103"/>
      <c r="AU433" s="31"/>
      <c r="AV433" s="31"/>
      <c r="AW433" s="31"/>
      <c r="AX433" s="31"/>
      <c r="AY433" s="146"/>
      <c r="AZ433" s="146"/>
      <c r="BA433" s="103"/>
      <c r="BB433" s="103"/>
      <c r="BC433" s="103"/>
      <c r="BD433" s="103"/>
      <c r="BE433" s="104"/>
      <c r="BF433" s="104"/>
      <c r="BG433" s="104"/>
      <c r="BH433" s="102"/>
      <c r="BI433" s="104"/>
      <c r="BJ433" s="103"/>
      <c r="BK433" s="105"/>
      <c r="BL433" s="151"/>
      <c r="BM433" s="103"/>
      <c r="BN433" s="103"/>
      <c r="BO433" s="103"/>
      <c r="BP433" s="103"/>
      <c r="BQ433" s="103"/>
      <c r="BR433" s="103"/>
      <c r="BS433" s="103"/>
      <c r="BT433" s="103"/>
      <c r="BU433" s="103"/>
      <c r="BV433" s="103"/>
      <c r="BW433" s="103"/>
      <c r="BX433" s="103"/>
      <c r="BY433" s="103"/>
      <c r="BZ433" s="104"/>
      <c r="CA433" s="104"/>
      <c r="CB433" s="104"/>
      <c r="CC433" s="104"/>
      <c r="CD433" s="104"/>
      <c r="CE433" s="104"/>
      <c r="CF433" s="103"/>
      <c r="CG433" s="103"/>
      <c r="CH433" s="103"/>
      <c r="CI433" s="103"/>
      <c r="CJ433" s="103"/>
      <c r="CK433" s="103"/>
      <c r="CL433" s="103"/>
      <c r="CM433" s="103"/>
      <c r="CN433" s="103"/>
      <c r="CO433" s="103"/>
      <c r="CP433" s="103"/>
      <c r="CQ433" s="103"/>
      <c r="CR433" s="103"/>
      <c r="CS433" s="103"/>
      <c r="CT433" s="103"/>
      <c r="CU433" s="103"/>
      <c r="CV433" s="103"/>
      <c r="CW433" s="103"/>
      <c r="CX433" s="103"/>
      <c r="CY433" s="103"/>
      <c r="CZ433" s="103"/>
      <c r="DA433" s="103"/>
      <c r="DB433" s="103"/>
      <c r="DC433" s="103"/>
      <c r="DD433" s="103"/>
      <c r="DE433" s="107"/>
      <c r="DF433" s="465"/>
      <c r="DG433" s="1"/>
      <c r="DH433" s="51"/>
      <c r="DI433" s="465"/>
      <c r="DJ433" s="52"/>
      <c r="DK433" s="52"/>
      <c r="DL433" s="52"/>
      <c r="DM433" s="52"/>
      <c r="DN433" s="52"/>
      <c r="DO433" s="52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P433" s="53"/>
      <c r="EQ433" s="1"/>
      <c r="ER433" s="103"/>
      <c r="ES433" s="103"/>
      <c r="ET433" s="1"/>
      <c r="EU433" s="103"/>
      <c r="EV433" s="1"/>
      <c r="EW433" s="1"/>
      <c r="EX433" s="1"/>
      <c r="EY433" s="104"/>
    </row>
    <row r="434" spans="9:155">
      <c r="I434" s="132"/>
      <c r="J434" s="365"/>
      <c r="K434" s="1"/>
      <c r="L434" s="1"/>
      <c r="M434" s="366"/>
      <c r="P434" s="365"/>
      <c r="S434" s="53"/>
      <c r="T434" s="365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364"/>
      <c r="AO434" s="364"/>
      <c r="AP434" s="103"/>
      <c r="AQ434" s="364"/>
      <c r="AR434" s="103"/>
      <c r="AS434" s="103"/>
      <c r="AT434" s="103"/>
      <c r="AU434" s="31"/>
      <c r="AV434" s="31"/>
      <c r="AW434" s="31"/>
      <c r="AX434" s="31"/>
      <c r="AY434" s="146"/>
      <c r="AZ434" s="146"/>
      <c r="BA434" s="103"/>
      <c r="BB434" s="103"/>
      <c r="BC434" s="103"/>
      <c r="BD434" s="103"/>
      <c r="BE434" s="104"/>
      <c r="BF434" s="104"/>
      <c r="BG434" s="104"/>
      <c r="BH434" s="102"/>
      <c r="BI434" s="104"/>
      <c r="BJ434" s="103"/>
      <c r="BK434" s="105"/>
      <c r="BL434" s="151"/>
      <c r="BM434" s="103"/>
      <c r="BN434" s="103"/>
      <c r="BO434" s="103"/>
      <c r="BP434" s="103"/>
      <c r="BQ434" s="103"/>
      <c r="BR434" s="103"/>
      <c r="BS434" s="103"/>
      <c r="BT434" s="103"/>
      <c r="BU434" s="103"/>
      <c r="BV434" s="103"/>
      <c r="BW434" s="103"/>
      <c r="BX434" s="103"/>
      <c r="BY434" s="103"/>
      <c r="BZ434" s="104"/>
      <c r="CA434" s="104"/>
      <c r="CB434" s="104"/>
      <c r="CC434" s="104"/>
      <c r="CD434" s="104"/>
      <c r="CE434" s="104"/>
      <c r="CF434" s="103"/>
      <c r="CG434" s="103"/>
      <c r="CH434" s="103"/>
      <c r="CI434" s="103"/>
      <c r="CJ434" s="103"/>
      <c r="CK434" s="103"/>
      <c r="CL434" s="103"/>
      <c r="CM434" s="103"/>
      <c r="CN434" s="103"/>
      <c r="CO434" s="103"/>
      <c r="CP434" s="103"/>
      <c r="CQ434" s="103"/>
      <c r="CR434" s="103"/>
      <c r="CS434" s="103"/>
      <c r="CT434" s="103"/>
      <c r="CU434" s="103"/>
      <c r="CV434" s="103"/>
      <c r="CW434" s="103"/>
      <c r="CX434" s="103"/>
      <c r="CY434" s="103"/>
      <c r="CZ434" s="103"/>
      <c r="DA434" s="103"/>
      <c r="DB434" s="103"/>
      <c r="DC434" s="103"/>
      <c r="DD434" s="103"/>
      <c r="DE434" s="107"/>
      <c r="DF434" s="465"/>
      <c r="DG434" s="1"/>
      <c r="DH434" s="51"/>
      <c r="DI434" s="465"/>
      <c r="DJ434" s="52"/>
      <c r="DK434" s="52"/>
      <c r="DL434" s="52"/>
      <c r="DM434" s="52"/>
      <c r="DN434" s="52"/>
      <c r="DO434" s="52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P434" s="53"/>
      <c r="EQ434" s="1"/>
      <c r="ER434" s="103"/>
      <c r="ES434" s="103"/>
      <c r="ET434" s="1"/>
      <c r="EU434" s="103"/>
      <c r="EV434" s="1"/>
      <c r="EW434" s="1"/>
      <c r="EX434" s="1"/>
      <c r="EY434" s="104"/>
    </row>
    <row r="435" spans="9:155">
      <c r="I435" s="132"/>
      <c r="J435" s="365"/>
      <c r="K435" s="1"/>
      <c r="L435" s="1"/>
      <c r="M435" s="366"/>
      <c r="P435" s="365"/>
      <c r="S435" s="53"/>
      <c r="T435" s="365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364"/>
      <c r="AO435" s="364"/>
      <c r="AP435" s="103"/>
      <c r="AQ435" s="364"/>
      <c r="AR435" s="103"/>
      <c r="AS435" s="103"/>
      <c r="AT435" s="103"/>
      <c r="AU435" s="31"/>
      <c r="AV435" s="31"/>
      <c r="AW435" s="31"/>
      <c r="AX435" s="31"/>
      <c r="AY435" s="146"/>
      <c r="AZ435" s="146"/>
      <c r="BA435" s="103"/>
      <c r="BB435" s="103"/>
      <c r="BC435" s="103"/>
      <c r="BD435" s="103"/>
      <c r="BE435" s="104"/>
      <c r="BF435" s="104"/>
      <c r="BG435" s="104"/>
      <c r="BH435" s="102"/>
      <c r="BI435" s="104"/>
      <c r="BJ435" s="103"/>
      <c r="BK435" s="105"/>
      <c r="BL435" s="151"/>
      <c r="BM435" s="103"/>
      <c r="BN435" s="103"/>
      <c r="BO435" s="103"/>
      <c r="BP435" s="103"/>
      <c r="BQ435" s="103"/>
      <c r="BR435" s="103"/>
      <c r="BS435" s="103"/>
      <c r="BT435" s="103"/>
      <c r="BU435" s="103"/>
      <c r="BV435" s="103"/>
      <c r="BW435" s="103"/>
      <c r="BX435" s="103"/>
      <c r="BY435" s="103"/>
      <c r="BZ435" s="104"/>
      <c r="CA435" s="104"/>
      <c r="CB435" s="104"/>
      <c r="CC435" s="104"/>
      <c r="CD435" s="104"/>
      <c r="CE435" s="104"/>
      <c r="CF435" s="103"/>
      <c r="CG435" s="103"/>
      <c r="CH435" s="103"/>
      <c r="CI435" s="103"/>
      <c r="CJ435" s="103"/>
      <c r="CK435" s="103"/>
      <c r="CL435" s="103"/>
      <c r="CM435" s="103"/>
      <c r="CN435" s="103"/>
      <c r="CO435" s="103"/>
      <c r="CP435" s="103"/>
      <c r="CQ435" s="103"/>
      <c r="CR435" s="103"/>
      <c r="CS435" s="103"/>
      <c r="CT435" s="103"/>
      <c r="CU435" s="103"/>
      <c r="CV435" s="103"/>
      <c r="CW435" s="103"/>
      <c r="CX435" s="103"/>
      <c r="CY435" s="103"/>
      <c r="CZ435" s="103"/>
      <c r="DA435" s="103"/>
      <c r="DB435" s="103"/>
      <c r="DC435" s="103"/>
      <c r="DD435" s="103"/>
      <c r="DE435" s="107"/>
      <c r="DF435" s="465"/>
      <c r="DG435" s="1"/>
      <c r="DH435" s="51"/>
      <c r="DI435" s="465"/>
      <c r="DJ435" s="52"/>
      <c r="DK435" s="52"/>
      <c r="DL435" s="52"/>
      <c r="DM435" s="52"/>
      <c r="DN435" s="52"/>
      <c r="DO435" s="52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P435" s="53"/>
      <c r="EQ435" s="1"/>
      <c r="ER435" s="103"/>
      <c r="ES435" s="103"/>
      <c r="ET435" s="1"/>
      <c r="EU435" s="103"/>
      <c r="EV435" s="1"/>
      <c r="EW435" s="1"/>
      <c r="EX435" s="1"/>
      <c r="EY435" s="104"/>
    </row>
    <row r="436" spans="9:155">
      <c r="I436" s="132"/>
      <c r="J436" s="365"/>
      <c r="K436" s="1"/>
      <c r="L436" s="1"/>
      <c r="M436" s="366"/>
      <c r="P436" s="365"/>
      <c r="S436" s="53"/>
      <c r="T436" s="365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364"/>
      <c r="AO436" s="364"/>
      <c r="AP436" s="103"/>
      <c r="AQ436" s="364"/>
      <c r="AR436" s="103"/>
      <c r="AS436" s="103"/>
      <c r="AT436" s="103"/>
      <c r="AU436" s="31"/>
      <c r="AV436" s="31"/>
      <c r="AW436" s="31"/>
      <c r="AX436" s="31"/>
      <c r="AY436" s="146"/>
      <c r="AZ436" s="146"/>
      <c r="BA436" s="103"/>
      <c r="BB436" s="103"/>
      <c r="BC436" s="103"/>
      <c r="BD436" s="103"/>
      <c r="BE436" s="104"/>
      <c r="BF436" s="104"/>
      <c r="BG436" s="104"/>
      <c r="BH436" s="102"/>
      <c r="BI436" s="104"/>
      <c r="BJ436" s="103"/>
      <c r="BK436" s="105"/>
      <c r="BL436" s="151"/>
      <c r="BM436" s="103"/>
      <c r="BN436" s="103"/>
      <c r="BO436" s="103"/>
      <c r="BP436" s="103"/>
      <c r="BQ436" s="103"/>
      <c r="BR436" s="103"/>
      <c r="BS436" s="103"/>
      <c r="BT436" s="103"/>
      <c r="BU436" s="103"/>
      <c r="BV436" s="103"/>
      <c r="BW436" s="103"/>
      <c r="BX436" s="103"/>
      <c r="BY436" s="103"/>
      <c r="BZ436" s="104"/>
      <c r="CA436" s="104"/>
      <c r="CB436" s="104"/>
      <c r="CC436" s="104"/>
      <c r="CD436" s="104"/>
      <c r="CE436" s="104"/>
      <c r="CF436" s="103"/>
      <c r="CG436" s="103"/>
      <c r="CH436" s="103"/>
      <c r="CI436" s="103"/>
      <c r="CJ436" s="103"/>
      <c r="CK436" s="103"/>
      <c r="CL436" s="103"/>
      <c r="CM436" s="103"/>
      <c r="CN436" s="103"/>
      <c r="CO436" s="103"/>
      <c r="CP436" s="103"/>
      <c r="CQ436" s="103"/>
      <c r="CR436" s="103"/>
      <c r="CS436" s="103"/>
      <c r="CT436" s="103"/>
      <c r="CU436" s="103"/>
      <c r="CV436" s="103"/>
      <c r="CW436" s="103"/>
      <c r="CX436" s="103"/>
      <c r="CY436" s="103"/>
      <c r="CZ436" s="103"/>
      <c r="DA436" s="103"/>
      <c r="DB436" s="103"/>
      <c r="DC436" s="103"/>
      <c r="DD436" s="103"/>
      <c r="DE436" s="107"/>
      <c r="DF436" s="465"/>
      <c r="DG436" s="1"/>
      <c r="DH436" s="51"/>
      <c r="DI436" s="465"/>
      <c r="DJ436" s="52"/>
      <c r="DK436" s="52"/>
      <c r="DL436" s="52"/>
      <c r="DM436" s="52"/>
      <c r="DN436" s="52"/>
      <c r="DO436" s="52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P436" s="53"/>
      <c r="EQ436" s="1"/>
      <c r="ER436" s="103"/>
      <c r="ES436" s="103"/>
      <c r="ET436" s="1"/>
      <c r="EU436" s="103"/>
      <c r="EV436" s="1"/>
      <c r="EW436" s="1"/>
      <c r="EX436" s="1"/>
      <c r="EY436" s="104"/>
    </row>
    <row r="437" spans="9:155">
      <c r="I437" s="132"/>
      <c r="J437" s="365"/>
      <c r="K437" s="1"/>
      <c r="L437" s="1"/>
      <c r="M437" s="366"/>
      <c r="P437" s="365"/>
      <c r="S437" s="53"/>
      <c r="T437" s="365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364"/>
      <c r="AO437" s="364"/>
      <c r="AP437" s="103"/>
      <c r="AQ437" s="364"/>
      <c r="AR437" s="103"/>
      <c r="AS437" s="103"/>
      <c r="AT437" s="103"/>
      <c r="AU437" s="31"/>
      <c r="AV437" s="31"/>
      <c r="AW437" s="31"/>
      <c r="AX437" s="31"/>
      <c r="AY437" s="146"/>
      <c r="AZ437" s="146"/>
      <c r="BA437" s="103"/>
      <c r="BB437" s="103"/>
      <c r="BC437" s="103"/>
      <c r="BD437" s="103"/>
      <c r="BE437" s="104"/>
      <c r="BF437" s="104"/>
      <c r="BG437" s="104"/>
      <c r="BH437" s="102"/>
      <c r="BI437" s="104"/>
      <c r="BJ437" s="103"/>
      <c r="BK437" s="105"/>
      <c r="BL437" s="151"/>
      <c r="BM437" s="103"/>
      <c r="BN437" s="103"/>
      <c r="BO437" s="103"/>
      <c r="BP437" s="103"/>
      <c r="BQ437" s="103"/>
      <c r="BR437" s="103"/>
      <c r="BS437" s="103"/>
      <c r="BT437" s="103"/>
      <c r="BU437" s="103"/>
      <c r="BV437" s="103"/>
      <c r="BW437" s="103"/>
      <c r="BX437" s="103"/>
      <c r="BY437" s="103"/>
      <c r="BZ437" s="104"/>
      <c r="CA437" s="104"/>
      <c r="CB437" s="104"/>
      <c r="CC437" s="104"/>
      <c r="CD437" s="104"/>
      <c r="CE437" s="104"/>
      <c r="CF437" s="103"/>
      <c r="CG437" s="103"/>
      <c r="CH437" s="103"/>
      <c r="CI437" s="103"/>
      <c r="CJ437" s="103"/>
      <c r="CK437" s="103"/>
      <c r="CL437" s="103"/>
      <c r="CM437" s="103"/>
      <c r="CN437" s="103"/>
      <c r="CO437" s="103"/>
      <c r="CP437" s="103"/>
      <c r="CQ437" s="103"/>
      <c r="CR437" s="103"/>
      <c r="CS437" s="103"/>
      <c r="CT437" s="103"/>
      <c r="CU437" s="103"/>
      <c r="CV437" s="103"/>
      <c r="CW437" s="103"/>
      <c r="CX437" s="103"/>
      <c r="CY437" s="103"/>
      <c r="CZ437" s="103"/>
      <c r="DA437" s="103"/>
      <c r="DB437" s="103"/>
      <c r="DC437" s="103"/>
      <c r="DD437" s="103"/>
      <c r="DE437" s="107"/>
      <c r="DF437" s="465"/>
      <c r="DG437" s="1"/>
      <c r="DH437" s="51"/>
      <c r="DI437" s="465"/>
      <c r="DJ437" s="52"/>
      <c r="DK437" s="52"/>
      <c r="DL437" s="52"/>
      <c r="DM437" s="52"/>
      <c r="DN437" s="52"/>
      <c r="DO437" s="52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P437" s="53"/>
      <c r="EQ437" s="1"/>
      <c r="ER437" s="103"/>
      <c r="ES437" s="103"/>
      <c r="ET437" s="1"/>
      <c r="EU437" s="103"/>
      <c r="EV437" s="1"/>
      <c r="EW437" s="1"/>
      <c r="EX437" s="1"/>
      <c r="EY437" s="104"/>
    </row>
    <row r="438" spans="9:155">
      <c r="I438" s="132"/>
      <c r="J438" s="365"/>
      <c r="K438" s="1"/>
      <c r="L438" s="1"/>
      <c r="M438" s="366"/>
      <c r="P438" s="365"/>
      <c r="S438" s="53"/>
      <c r="T438" s="365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364"/>
      <c r="AO438" s="364"/>
      <c r="AP438" s="103"/>
      <c r="AQ438" s="364"/>
      <c r="AR438" s="103"/>
      <c r="AS438" s="103"/>
      <c r="AT438" s="103"/>
      <c r="AU438" s="31"/>
      <c r="AV438" s="31"/>
      <c r="AW438" s="31"/>
      <c r="AX438" s="31"/>
      <c r="AY438" s="146"/>
      <c r="AZ438" s="146"/>
      <c r="BA438" s="103"/>
      <c r="BB438" s="103"/>
      <c r="BC438" s="103"/>
      <c r="BD438" s="103"/>
      <c r="BE438" s="104"/>
      <c r="BF438" s="104"/>
      <c r="BG438" s="104"/>
      <c r="BH438" s="102"/>
      <c r="BI438" s="104"/>
      <c r="BJ438" s="103"/>
      <c r="BK438" s="105"/>
      <c r="BL438" s="151"/>
      <c r="BM438" s="103"/>
      <c r="BN438" s="103"/>
      <c r="BO438" s="103"/>
      <c r="BP438" s="103"/>
      <c r="BQ438" s="103"/>
      <c r="BR438" s="103"/>
      <c r="BS438" s="103"/>
      <c r="BT438" s="103"/>
      <c r="BU438" s="103"/>
      <c r="BV438" s="103"/>
      <c r="BW438" s="103"/>
      <c r="BX438" s="103"/>
      <c r="BY438" s="103"/>
      <c r="BZ438" s="104"/>
      <c r="CA438" s="104"/>
      <c r="CB438" s="104"/>
      <c r="CC438" s="104"/>
      <c r="CD438" s="104"/>
      <c r="CE438" s="104"/>
      <c r="CF438" s="103"/>
      <c r="CG438" s="103"/>
      <c r="CH438" s="103"/>
      <c r="CI438" s="103"/>
      <c r="CJ438" s="103"/>
      <c r="CK438" s="103"/>
      <c r="CL438" s="103"/>
      <c r="CM438" s="103"/>
      <c r="CN438" s="103"/>
      <c r="CO438" s="103"/>
      <c r="CP438" s="103"/>
      <c r="CQ438" s="103"/>
      <c r="CR438" s="103"/>
      <c r="CS438" s="103"/>
      <c r="CT438" s="103"/>
      <c r="CU438" s="103"/>
      <c r="CV438" s="103"/>
      <c r="CW438" s="103"/>
      <c r="CX438" s="103"/>
      <c r="CY438" s="103"/>
      <c r="CZ438" s="103"/>
      <c r="DA438" s="103"/>
      <c r="DB438" s="103"/>
      <c r="DC438" s="103"/>
      <c r="DD438" s="103"/>
      <c r="DE438" s="107"/>
      <c r="DF438" s="465"/>
      <c r="DG438" s="1"/>
      <c r="DH438" s="51"/>
      <c r="DI438" s="465"/>
      <c r="DJ438" s="52"/>
      <c r="DK438" s="52"/>
      <c r="DL438" s="52"/>
      <c r="DM438" s="52"/>
      <c r="DN438" s="52"/>
      <c r="DO438" s="52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P438" s="53"/>
      <c r="EQ438" s="1"/>
      <c r="ER438" s="103"/>
      <c r="ES438" s="103"/>
      <c r="ET438" s="1"/>
      <c r="EU438" s="103"/>
      <c r="EV438" s="1"/>
      <c r="EW438" s="1"/>
      <c r="EX438" s="1"/>
      <c r="EY438" s="104"/>
    </row>
    <row r="439" spans="9:155">
      <c r="I439" s="132"/>
      <c r="J439" s="365"/>
      <c r="K439" s="1"/>
      <c r="L439" s="1"/>
      <c r="M439" s="366"/>
      <c r="P439" s="365"/>
      <c r="S439" s="53"/>
      <c r="T439" s="365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364"/>
      <c r="AO439" s="364"/>
      <c r="AP439" s="103"/>
      <c r="AQ439" s="364"/>
      <c r="AR439" s="103"/>
      <c r="AS439" s="103"/>
      <c r="AT439" s="103"/>
      <c r="AU439" s="31"/>
      <c r="AV439" s="31"/>
      <c r="AW439" s="31"/>
      <c r="AX439" s="31"/>
      <c r="AY439" s="146"/>
      <c r="AZ439" s="146"/>
      <c r="BA439" s="103"/>
      <c r="BB439" s="103"/>
      <c r="BC439" s="103"/>
      <c r="BD439" s="103"/>
      <c r="BE439" s="104"/>
      <c r="BF439" s="104"/>
      <c r="BG439" s="104"/>
      <c r="BH439" s="102"/>
      <c r="BI439" s="104"/>
      <c r="BJ439" s="103"/>
      <c r="BK439" s="105"/>
      <c r="BL439" s="151"/>
      <c r="BM439" s="103"/>
      <c r="BN439" s="103"/>
      <c r="BO439" s="103"/>
      <c r="BP439" s="103"/>
      <c r="BQ439" s="103"/>
      <c r="BR439" s="103"/>
      <c r="BS439" s="103"/>
      <c r="BT439" s="103"/>
      <c r="BU439" s="103"/>
      <c r="BV439" s="103"/>
      <c r="BW439" s="103"/>
      <c r="BX439" s="103"/>
      <c r="BY439" s="103"/>
      <c r="BZ439" s="104"/>
      <c r="CA439" s="104"/>
      <c r="CB439" s="104"/>
      <c r="CC439" s="104"/>
      <c r="CD439" s="104"/>
      <c r="CE439" s="104"/>
      <c r="CF439" s="103"/>
      <c r="CG439" s="103"/>
      <c r="CH439" s="103"/>
      <c r="CI439" s="103"/>
      <c r="CJ439" s="103"/>
      <c r="CK439" s="103"/>
      <c r="CL439" s="103"/>
      <c r="CM439" s="103"/>
      <c r="CN439" s="103"/>
      <c r="CO439" s="103"/>
      <c r="CP439" s="103"/>
      <c r="CQ439" s="103"/>
      <c r="CR439" s="103"/>
      <c r="CS439" s="103"/>
      <c r="CT439" s="103"/>
      <c r="CU439" s="103"/>
      <c r="CV439" s="103"/>
      <c r="CW439" s="103"/>
      <c r="CX439" s="103"/>
      <c r="CY439" s="103"/>
      <c r="CZ439" s="103"/>
      <c r="DA439" s="103"/>
      <c r="DB439" s="103"/>
      <c r="DC439" s="103"/>
      <c r="DD439" s="103"/>
      <c r="DE439" s="107"/>
      <c r="DF439" s="465"/>
      <c r="DG439" s="1"/>
      <c r="DH439" s="51"/>
      <c r="DI439" s="465"/>
      <c r="DJ439" s="52"/>
      <c r="DK439" s="52"/>
      <c r="DL439" s="52"/>
      <c r="DM439" s="52"/>
      <c r="DN439" s="52"/>
      <c r="DO439" s="52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P439" s="53"/>
      <c r="EQ439" s="1"/>
      <c r="ER439" s="103"/>
      <c r="ES439" s="103"/>
      <c r="ET439" s="1"/>
      <c r="EU439" s="103"/>
      <c r="EV439" s="1"/>
      <c r="EW439" s="1"/>
      <c r="EX439" s="1"/>
      <c r="EY439" s="104"/>
    </row>
    <row r="440" spans="9:155">
      <c r="I440" s="132"/>
      <c r="J440" s="365"/>
      <c r="K440" s="1"/>
      <c r="L440" s="1"/>
      <c r="M440" s="366"/>
      <c r="P440" s="365"/>
      <c r="S440" s="53"/>
      <c r="T440" s="365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364"/>
      <c r="AO440" s="364"/>
      <c r="AP440" s="103"/>
      <c r="AQ440" s="364"/>
      <c r="AR440" s="103"/>
      <c r="AS440" s="103"/>
      <c r="AT440" s="103"/>
      <c r="AU440" s="31"/>
      <c r="AV440" s="31"/>
      <c r="AW440" s="31"/>
      <c r="AX440" s="31"/>
      <c r="AY440" s="146"/>
      <c r="AZ440" s="146"/>
      <c r="BA440" s="103"/>
      <c r="BB440" s="103"/>
      <c r="BC440" s="103"/>
      <c r="BD440" s="103"/>
      <c r="BE440" s="104"/>
      <c r="BF440" s="104"/>
      <c r="BG440" s="104"/>
      <c r="BH440" s="102"/>
      <c r="BI440" s="104"/>
      <c r="BJ440" s="103"/>
      <c r="BK440" s="105"/>
      <c r="BL440" s="151"/>
      <c r="BM440" s="103"/>
      <c r="BN440" s="103"/>
      <c r="BO440" s="103"/>
      <c r="BP440" s="103"/>
      <c r="BQ440" s="103"/>
      <c r="BR440" s="103"/>
      <c r="BS440" s="103"/>
      <c r="BT440" s="103"/>
      <c r="BU440" s="103"/>
      <c r="BV440" s="103"/>
      <c r="BW440" s="103"/>
      <c r="BX440" s="103"/>
      <c r="BY440" s="103"/>
      <c r="BZ440" s="104"/>
      <c r="CA440" s="104"/>
      <c r="CB440" s="104"/>
      <c r="CC440" s="104"/>
      <c r="CD440" s="104"/>
      <c r="CE440" s="104"/>
      <c r="CF440" s="103"/>
      <c r="CG440" s="103"/>
      <c r="CH440" s="103"/>
      <c r="CI440" s="103"/>
      <c r="CJ440" s="103"/>
      <c r="CK440" s="103"/>
      <c r="CL440" s="103"/>
      <c r="CM440" s="103"/>
      <c r="CN440" s="103"/>
      <c r="CO440" s="103"/>
      <c r="CP440" s="103"/>
      <c r="CQ440" s="103"/>
      <c r="CR440" s="103"/>
      <c r="CS440" s="103"/>
      <c r="CT440" s="103"/>
      <c r="CU440" s="103"/>
      <c r="CV440" s="103"/>
      <c r="CW440" s="103"/>
      <c r="CX440" s="103"/>
      <c r="CY440" s="103"/>
      <c r="CZ440" s="103"/>
      <c r="DA440" s="103"/>
      <c r="DB440" s="103"/>
      <c r="DC440" s="103"/>
      <c r="DD440" s="103"/>
      <c r="DE440" s="107"/>
      <c r="DF440" s="465"/>
      <c r="DG440" s="1"/>
      <c r="DH440" s="51"/>
      <c r="DI440" s="465"/>
      <c r="DJ440" s="52"/>
      <c r="DK440" s="52"/>
      <c r="DL440" s="52"/>
      <c r="DM440" s="52"/>
      <c r="DN440" s="52"/>
      <c r="DO440" s="52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P440" s="53"/>
      <c r="EQ440" s="1"/>
      <c r="ER440" s="103"/>
      <c r="ES440" s="103"/>
      <c r="ET440" s="1"/>
      <c r="EU440" s="103"/>
      <c r="EV440" s="1"/>
      <c r="EW440" s="1"/>
      <c r="EX440" s="1"/>
      <c r="EY440" s="104"/>
    </row>
    <row r="441" spans="9:155">
      <c r="I441" s="132"/>
      <c r="J441" s="365"/>
      <c r="K441" s="1"/>
      <c r="L441" s="1"/>
      <c r="M441" s="366"/>
      <c r="P441" s="365"/>
      <c r="S441" s="53"/>
      <c r="T441" s="365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364"/>
      <c r="AO441" s="364"/>
      <c r="AP441" s="364"/>
      <c r="AQ441" s="364"/>
      <c r="AR441" s="364"/>
      <c r="AS441" s="1"/>
      <c r="AT441" s="103"/>
      <c r="AU441" s="103"/>
      <c r="AV441" s="103"/>
      <c r="AW441" s="31"/>
      <c r="AX441" s="31"/>
      <c r="AY441" s="31"/>
      <c r="AZ441" s="31"/>
      <c r="BA441" s="146"/>
      <c r="BB441" s="146"/>
      <c r="BC441" s="103"/>
      <c r="BD441" s="103"/>
      <c r="BE441" s="103"/>
      <c r="BF441" s="103"/>
      <c r="BG441" s="104"/>
      <c r="BH441" s="104"/>
      <c r="BI441" s="102"/>
      <c r="BJ441" s="104"/>
      <c r="BK441" s="104"/>
      <c r="BL441" s="103"/>
      <c r="BM441" s="103"/>
      <c r="BN441" s="103"/>
      <c r="BO441" s="103"/>
      <c r="BP441" s="103"/>
      <c r="BQ441" s="103"/>
      <c r="BR441" s="103"/>
      <c r="BS441" s="103"/>
      <c r="BT441" s="103"/>
      <c r="BU441" s="103"/>
      <c r="BV441" s="103"/>
      <c r="BW441" s="103"/>
      <c r="BX441" s="103"/>
      <c r="BY441" s="103"/>
      <c r="BZ441" s="103"/>
      <c r="CA441" s="103"/>
      <c r="CB441" s="104"/>
      <c r="CC441" s="104"/>
      <c r="CD441" s="104"/>
      <c r="CE441" s="104"/>
      <c r="CF441" s="104"/>
      <c r="CG441" s="104"/>
      <c r="CH441" s="103"/>
      <c r="CI441" s="103"/>
      <c r="CJ441" s="103"/>
      <c r="CK441" s="103"/>
      <c r="CL441" s="103"/>
      <c r="CM441" s="103"/>
      <c r="CN441" s="103"/>
      <c r="CO441" s="103"/>
      <c r="CP441" s="103"/>
      <c r="CQ441" s="103"/>
      <c r="CR441" s="103"/>
      <c r="CS441" s="103"/>
      <c r="CT441" s="103"/>
      <c r="CU441" s="103"/>
      <c r="CV441" s="103"/>
      <c r="CW441" s="103"/>
      <c r="CX441" s="103"/>
      <c r="CY441" s="103"/>
      <c r="CZ441" s="103"/>
      <c r="DA441" s="103"/>
      <c r="DB441" s="103"/>
      <c r="DC441" s="103"/>
      <c r="DD441" s="103"/>
      <c r="DE441" s="103"/>
      <c r="DF441" s="465"/>
      <c r="DG441" s="107"/>
      <c r="DH441" s="107"/>
      <c r="DI441" s="465"/>
      <c r="DJ441" s="51"/>
      <c r="DK441" s="52"/>
      <c r="DL441" s="52"/>
      <c r="DM441" s="52"/>
      <c r="DN441" s="52"/>
      <c r="DO441" s="52"/>
      <c r="DP441" s="52"/>
      <c r="DQ441" s="52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P441" s="53"/>
      <c r="EQ441" s="1"/>
      <c r="ER441" s="103"/>
      <c r="ES441" s="102"/>
      <c r="ET441" s="1"/>
      <c r="EU441" s="103"/>
      <c r="EV441" s="1"/>
      <c r="EW441" s="1"/>
      <c r="EX441" s="1"/>
      <c r="EY441" s="104"/>
    </row>
    <row r="442" spans="9:155">
      <c r="I442" s="132"/>
      <c r="J442" s="365"/>
      <c r="K442" s="1"/>
      <c r="L442" s="1"/>
      <c r="M442" s="366"/>
      <c r="P442" s="365"/>
      <c r="S442" s="53"/>
      <c r="T442" s="365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364"/>
      <c r="AO442" s="364"/>
      <c r="AP442" s="364"/>
      <c r="AQ442" s="364"/>
      <c r="AR442" s="364"/>
      <c r="AS442" s="1"/>
      <c r="AT442" s="103"/>
      <c r="AU442" s="103"/>
      <c r="AV442" s="103"/>
      <c r="AW442" s="31"/>
      <c r="AX442" s="31"/>
      <c r="AY442" s="31"/>
      <c r="AZ442" s="31"/>
      <c r="BA442" s="146"/>
      <c r="BB442" s="146"/>
      <c r="BC442" s="103"/>
      <c r="BD442" s="103"/>
      <c r="BE442" s="103"/>
      <c r="BF442" s="103"/>
      <c r="BG442" s="104"/>
      <c r="BH442" s="104"/>
      <c r="BI442" s="102"/>
      <c r="BJ442" s="104"/>
      <c r="BK442" s="104"/>
      <c r="BL442" s="103"/>
      <c r="BM442" s="103"/>
      <c r="BN442" s="103"/>
      <c r="BO442" s="103"/>
      <c r="BP442" s="103"/>
      <c r="BQ442" s="103"/>
      <c r="BR442" s="103"/>
      <c r="BS442" s="103"/>
      <c r="BT442" s="103"/>
      <c r="BU442" s="103"/>
      <c r="BV442" s="103"/>
      <c r="BW442" s="103"/>
      <c r="BX442" s="103"/>
      <c r="BY442" s="103"/>
      <c r="BZ442" s="103"/>
      <c r="CA442" s="103"/>
      <c r="CB442" s="104"/>
      <c r="CC442" s="104"/>
      <c r="CD442" s="104"/>
      <c r="CE442" s="104"/>
      <c r="CF442" s="104"/>
      <c r="CG442" s="104"/>
      <c r="CH442" s="103"/>
      <c r="CI442" s="103"/>
      <c r="CJ442" s="103"/>
      <c r="CK442" s="103"/>
      <c r="CL442" s="103"/>
      <c r="CM442" s="103"/>
      <c r="CN442" s="103"/>
      <c r="CO442" s="103"/>
      <c r="CP442" s="103"/>
      <c r="CQ442" s="103"/>
      <c r="CR442" s="103"/>
      <c r="CS442" s="103"/>
      <c r="CT442" s="103"/>
      <c r="CU442" s="103"/>
      <c r="CV442" s="103"/>
      <c r="CW442" s="103"/>
      <c r="CX442" s="103"/>
      <c r="CY442" s="103"/>
      <c r="CZ442" s="103"/>
      <c r="DA442" s="103"/>
      <c r="DB442" s="103"/>
      <c r="DC442" s="103"/>
      <c r="DD442" s="103"/>
      <c r="DE442" s="103"/>
      <c r="DF442" s="465"/>
      <c r="DG442" s="107"/>
      <c r="DH442" s="107"/>
      <c r="DI442" s="465"/>
      <c r="DJ442" s="51"/>
      <c r="DK442" s="52"/>
      <c r="DL442" s="52"/>
      <c r="DM442" s="52"/>
      <c r="DN442" s="52"/>
      <c r="DO442" s="52"/>
      <c r="DP442" s="52"/>
      <c r="DQ442" s="52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P442" s="53"/>
      <c r="EQ442" s="1"/>
      <c r="ER442" s="103"/>
      <c r="ES442" s="102"/>
      <c r="ET442" s="1"/>
      <c r="EU442" s="103"/>
      <c r="EV442" s="1"/>
      <c r="EW442" s="1"/>
      <c r="EX442" s="1"/>
      <c r="EY442" s="104"/>
    </row>
    <row r="443" spans="9:155">
      <c r="I443" s="132"/>
      <c r="J443" s="365"/>
      <c r="K443" s="1"/>
      <c r="L443" s="1"/>
      <c r="M443" s="366"/>
      <c r="P443" s="365"/>
      <c r="S443" s="53"/>
      <c r="T443" s="365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364"/>
      <c r="AO443" s="364"/>
      <c r="AP443" s="364"/>
      <c r="AQ443" s="364"/>
      <c r="AR443" s="364"/>
      <c r="AS443" s="1"/>
      <c r="AT443" s="103"/>
      <c r="AU443" s="103"/>
      <c r="AV443" s="103"/>
      <c r="AW443" s="31"/>
      <c r="AX443" s="31"/>
      <c r="AY443" s="31"/>
      <c r="AZ443" s="31"/>
      <c r="BA443" s="146"/>
      <c r="BB443" s="146"/>
      <c r="BC443" s="103"/>
      <c r="BD443" s="103"/>
      <c r="BE443" s="103"/>
      <c r="BF443" s="103"/>
      <c r="BG443" s="104"/>
      <c r="BH443" s="104"/>
      <c r="BI443" s="102"/>
      <c r="BJ443" s="104"/>
      <c r="BK443" s="104"/>
      <c r="BL443" s="103"/>
      <c r="BM443" s="103"/>
      <c r="BN443" s="103"/>
      <c r="BO443" s="103"/>
      <c r="BP443" s="103"/>
      <c r="BQ443" s="103"/>
      <c r="BR443" s="103"/>
      <c r="BS443" s="103"/>
      <c r="BT443" s="103"/>
      <c r="BU443" s="103"/>
      <c r="BV443" s="103"/>
      <c r="BW443" s="103"/>
      <c r="BX443" s="103"/>
      <c r="BY443" s="103"/>
      <c r="BZ443" s="103"/>
      <c r="CA443" s="103"/>
      <c r="CB443" s="104"/>
      <c r="CC443" s="104"/>
      <c r="CD443" s="104"/>
      <c r="CE443" s="104"/>
      <c r="CF443" s="104"/>
      <c r="CG443" s="104"/>
      <c r="CH443" s="103"/>
      <c r="CI443" s="103"/>
      <c r="CJ443" s="103"/>
      <c r="CK443" s="103"/>
      <c r="CL443" s="103"/>
      <c r="CM443" s="103"/>
      <c r="CN443" s="103"/>
      <c r="CO443" s="103"/>
      <c r="CP443" s="103"/>
      <c r="CQ443" s="103"/>
      <c r="CR443" s="103"/>
      <c r="CS443" s="103"/>
      <c r="CT443" s="103"/>
      <c r="CU443" s="103"/>
      <c r="CV443" s="103"/>
      <c r="CW443" s="103"/>
      <c r="CX443" s="103"/>
      <c r="CY443" s="103"/>
      <c r="CZ443" s="103"/>
      <c r="DA443" s="103"/>
      <c r="DB443" s="103"/>
      <c r="DC443" s="103"/>
      <c r="DD443" s="103"/>
      <c r="DE443" s="103"/>
      <c r="DF443" s="465"/>
      <c r="DG443" s="107"/>
      <c r="DH443" s="107"/>
      <c r="DI443" s="465"/>
      <c r="DJ443" s="51"/>
      <c r="DK443" s="52"/>
      <c r="DL443" s="52"/>
      <c r="DM443" s="52"/>
      <c r="DN443" s="52"/>
      <c r="DO443" s="52"/>
      <c r="DP443" s="52"/>
      <c r="DQ443" s="52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P443" s="53"/>
      <c r="EQ443" s="1"/>
      <c r="ER443" s="103"/>
      <c r="ES443" s="102"/>
      <c r="ET443" s="1"/>
      <c r="EU443" s="103"/>
      <c r="EV443" s="1"/>
      <c r="EW443" s="1"/>
      <c r="EX443" s="1"/>
      <c r="EY443" s="104"/>
    </row>
    <row r="444" spans="9:155">
      <c r="I444" s="132"/>
      <c r="J444" s="365"/>
      <c r="K444" s="1"/>
      <c r="L444" s="1"/>
      <c r="M444" s="366"/>
      <c r="P444" s="365"/>
      <c r="S444" s="53"/>
      <c r="T444" s="365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364"/>
      <c r="AO444" s="364"/>
      <c r="AP444" s="364"/>
      <c r="AQ444" s="364"/>
      <c r="AR444" s="364"/>
      <c r="AS444" s="1"/>
      <c r="AT444" s="103"/>
      <c r="AU444" s="103"/>
      <c r="AV444" s="103"/>
      <c r="AW444" s="31"/>
      <c r="AX444" s="31"/>
      <c r="AY444" s="31"/>
      <c r="AZ444" s="31"/>
      <c r="BA444" s="146"/>
      <c r="BB444" s="146"/>
      <c r="BC444" s="103"/>
      <c r="BD444" s="103"/>
      <c r="BE444" s="103"/>
      <c r="BF444" s="103"/>
      <c r="BG444" s="104"/>
      <c r="BH444" s="104"/>
      <c r="BI444" s="102"/>
      <c r="BJ444" s="104"/>
      <c r="BK444" s="104"/>
      <c r="BL444" s="103"/>
      <c r="BM444" s="103"/>
      <c r="BN444" s="103"/>
      <c r="BO444" s="103"/>
      <c r="BP444" s="103"/>
      <c r="BQ444" s="103"/>
      <c r="BR444" s="103"/>
      <c r="BS444" s="103"/>
      <c r="BT444" s="103"/>
      <c r="BU444" s="103"/>
      <c r="BV444" s="103"/>
      <c r="BW444" s="103"/>
      <c r="BX444" s="103"/>
      <c r="BY444" s="103"/>
      <c r="BZ444" s="103"/>
      <c r="CA444" s="103"/>
      <c r="CB444" s="104"/>
      <c r="CC444" s="104"/>
      <c r="CD444" s="104"/>
      <c r="CE444" s="104"/>
      <c r="CF444" s="104"/>
      <c r="CG444" s="104"/>
      <c r="CH444" s="103"/>
      <c r="CI444" s="103"/>
      <c r="CJ444" s="103"/>
      <c r="CK444" s="103"/>
      <c r="CL444" s="103"/>
      <c r="CM444" s="103"/>
      <c r="CN444" s="103"/>
      <c r="CO444" s="103"/>
      <c r="CP444" s="103"/>
      <c r="CQ444" s="103"/>
      <c r="CR444" s="103"/>
      <c r="CS444" s="103"/>
      <c r="CT444" s="103"/>
      <c r="CU444" s="103"/>
      <c r="CV444" s="103"/>
      <c r="CW444" s="103"/>
      <c r="CX444" s="103"/>
      <c r="CY444" s="103"/>
      <c r="CZ444" s="103"/>
      <c r="DA444" s="103"/>
      <c r="DB444" s="103"/>
      <c r="DC444" s="103"/>
      <c r="DD444" s="103"/>
      <c r="DE444" s="103"/>
      <c r="DF444" s="465"/>
      <c r="DG444" s="107"/>
      <c r="DH444" s="107"/>
      <c r="DI444" s="465"/>
      <c r="DJ444" s="51"/>
      <c r="DK444" s="52"/>
      <c r="DL444" s="52"/>
      <c r="DM444" s="52"/>
      <c r="DN444" s="52"/>
      <c r="DO444" s="52"/>
      <c r="DP444" s="52"/>
      <c r="DQ444" s="52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P444" s="53"/>
      <c r="EQ444" s="1"/>
      <c r="ER444" s="103"/>
      <c r="ES444" s="102"/>
      <c r="ET444" s="1"/>
      <c r="EU444" s="103"/>
      <c r="EV444" s="1"/>
      <c r="EW444" s="1"/>
      <c r="EX444" s="1"/>
      <c r="EY444" s="104"/>
    </row>
    <row r="445" spans="9:155">
      <c r="I445" s="132"/>
      <c r="J445" s="365"/>
      <c r="K445" s="1"/>
      <c r="L445" s="1"/>
      <c r="M445" s="366"/>
      <c r="P445" s="365"/>
      <c r="S445" s="53"/>
      <c r="T445" s="365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364"/>
      <c r="AO445" s="364"/>
      <c r="AP445" s="364"/>
      <c r="AQ445" s="364"/>
      <c r="AR445" s="364"/>
      <c r="AS445" s="1"/>
      <c r="AT445" s="103"/>
      <c r="AU445" s="103"/>
      <c r="AV445" s="103"/>
      <c r="AW445" s="31"/>
      <c r="AX445" s="31"/>
      <c r="AY445" s="31"/>
      <c r="AZ445" s="31"/>
      <c r="BA445" s="146"/>
      <c r="BB445" s="146"/>
      <c r="BC445" s="103"/>
      <c r="BD445" s="103"/>
      <c r="BE445" s="103"/>
      <c r="BF445" s="103"/>
      <c r="BG445" s="104"/>
      <c r="BH445" s="104"/>
      <c r="BI445" s="102"/>
      <c r="BJ445" s="104"/>
      <c r="BK445" s="104"/>
      <c r="BL445" s="103"/>
      <c r="BM445" s="103"/>
      <c r="BN445" s="103"/>
      <c r="BO445" s="103"/>
      <c r="BP445" s="103"/>
      <c r="BQ445" s="103"/>
      <c r="BR445" s="103"/>
      <c r="BS445" s="103"/>
      <c r="BT445" s="103"/>
      <c r="BU445" s="103"/>
      <c r="BV445" s="103"/>
      <c r="BW445" s="103"/>
      <c r="BX445" s="103"/>
      <c r="BY445" s="103"/>
      <c r="BZ445" s="103"/>
      <c r="CA445" s="103"/>
      <c r="CB445" s="104"/>
      <c r="CC445" s="104"/>
      <c r="CD445" s="104"/>
      <c r="CE445" s="104"/>
      <c r="CF445" s="104"/>
      <c r="CG445" s="104"/>
      <c r="CH445" s="103"/>
      <c r="CI445" s="103"/>
      <c r="CJ445" s="103"/>
      <c r="CK445" s="103"/>
      <c r="CL445" s="103"/>
      <c r="CM445" s="103"/>
      <c r="CN445" s="103"/>
      <c r="CO445" s="103"/>
      <c r="CP445" s="103"/>
      <c r="CQ445" s="103"/>
      <c r="CR445" s="103"/>
      <c r="CS445" s="103"/>
      <c r="CT445" s="103"/>
      <c r="CU445" s="103"/>
      <c r="CV445" s="103"/>
      <c r="CW445" s="103"/>
      <c r="CX445" s="103"/>
      <c r="CY445" s="103"/>
      <c r="CZ445" s="103"/>
      <c r="DA445" s="103"/>
      <c r="DB445" s="103"/>
      <c r="DC445" s="103"/>
      <c r="DD445" s="103"/>
      <c r="DE445" s="103"/>
      <c r="DF445" s="465"/>
      <c r="DG445" s="107"/>
      <c r="DH445" s="107"/>
      <c r="DI445" s="465"/>
      <c r="DJ445" s="51"/>
      <c r="DK445" s="52"/>
      <c r="DL445" s="52"/>
      <c r="DM445" s="52"/>
      <c r="DN445" s="52"/>
      <c r="DO445" s="52"/>
      <c r="DP445" s="52"/>
      <c r="DQ445" s="52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P445" s="53"/>
      <c r="EQ445" s="1"/>
      <c r="ER445" s="103"/>
      <c r="ES445" s="102"/>
      <c r="ET445" s="1"/>
      <c r="EU445" s="103"/>
      <c r="EV445" s="1"/>
      <c r="EW445" s="1"/>
      <c r="EX445" s="1"/>
      <c r="EY445" s="104"/>
    </row>
    <row r="446" spans="9:155">
      <c r="I446" s="132"/>
      <c r="J446" s="365"/>
      <c r="K446" s="1"/>
      <c r="L446" s="1"/>
      <c r="M446" s="366"/>
      <c r="P446" s="365"/>
      <c r="S446" s="53"/>
      <c r="T446" s="365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364"/>
      <c r="AO446" s="364"/>
      <c r="AP446" s="364"/>
      <c r="AQ446" s="364"/>
      <c r="AR446" s="364"/>
      <c r="AS446" s="1"/>
      <c r="AT446" s="103"/>
      <c r="AU446" s="103"/>
      <c r="AV446" s="103"/>
      <c r="AW446" s="31"/>
      <c r="AX446" s="31"/>
      <c r="AY446" s="31"/>
      <c r="AZ446" s="31"/>
      <c r="BA446" s="146"/>
      <c r="BB446" s="146"/>
      <c r="BC446" s="103"/>
      <c r="BD446" s="103"/>
      <c r="BE446" s="103"/>
      <c r="BF446" s="103"/>
      <c r="BG446" s="104"/>
      <c r="BH446" s="104"/>
      <c r="BI446" s="102"/>
      <c r="BJ446" s="104"/>
      <c r="BK446" s="104"/>
      <c r="BL446" s="103"/>
      <c r="BM446" s="103"/>
      <c r="BN446" s="103"/>
      <c r="BO446" s="103"/>
      <c r="BP446" s="103"/>
      <c r="BQ446" s="103"/>
      <c r="BR446" s="103"/>
      <c r="BS446" s="103"/>
      <c r="BT446" s="103"/>
      <c r="BU446" s="103"/>
      <c r="BV446" s="103"/>
      <c r="BW446" s="103"/>
      <c r="BX446" s="103"/>
      <c r="BY446" s="103"/>
      <c r="BZ446" s="103"/>
      <c r="CA446" s="103"/>
      <c r="CB446" s="104"/>
      <c r="CC446" s="104"/>
      <c r="CD446" s="104"/>
      <c r="CE446" s="104"/>
      <c r="CF446" s="104"/>
      <c r="CG446" s="104"/>
      <c r="CH446" s="103"/>
      <c r="CI446" s="103"/>
      <c r="CJ446" s="103"/>
      <c r="CK446" s="103"/>
      <c r="CL446" s="103"/>
      <c r="CM446" s="103"/>
      <c r="CN446" s="103"/>
      <c r="CO446" s="103"/>
      <c r="CP446" s="103"/>
      <c r="CQ446" s="103"/>
      <c r="CR446" s="103"/>
      <c r="CS446" s="103"/>
      <c r="CT446" s="103"/>
      <c r="CU446" s="103"/>
      <c r="CV446" s="103"/>
      <c r="CW446" s="103"/>
      <c r="CX446" s="103"/>
      <c r="CY446" s="103"/>
      <c r="CZ446" s="103"/>
      <c r="DA446" s="103"/>
      <c r="DB446" s="103"/>
      <c r="DC446" s="103"/>
      <c r="DD446" s="103"/>
      <c r="DE446" s="103"/>
      <c r="DF446" s="465"/>
      <c r="DG446" s="107"/>
      <c r="DH446" s="107"/>
      <c r="DI446" s="465"/>
      <c r="DJ446" s="51"/>
      <c r="DK446" s="52"/>
      <c r="DL446" s="52"/>
      <c r="DM446" s="52"/>
      <c r="DN446" s="52"/>
      <c r="DO446" s="52"/>
      <c r="DP446" s="52"/>
      <c r="DQ446" s="52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P446" s="53"/>
      <c r="EQ446" s="1"/>
      <c r="ER446" s="103"/>
      <c r="ES446" s="102"/>
      <c r="ET446" s="1"/>
      <c r="EU446" s="103"/>
      <c r="EV446" s="1"/>
      <c r="EW446" s="1"/>
      <c r="EX446" s="1"/>
      <c r="EY446" s="104"/>
    </row>
    <row r="447" spans="9:155">
      <c r="I447" s="132"/>
      <c r="J447" s="365"/>
      <c r="K447" s="1"/>
      <c r="L447" s="1"/>
      <c r="M447" s="366"/>
      <c r="P447" s="365"/>
      <c r="S447" s="53"/>
      <c r="T447" s="365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364"/>
      <c r="AO447" s="364"/>
      <c r="AP447" s="364"/>
      <c r="AQ447" s="364"/>
      <c r="AR447" s="364"/>
      <c r="AS447" s="1"/>
      <c r="AT447" s="103"/>
      <c r="AU447" s="103"/>
      <c r="AV447" s="103"/>
      <c r="AW447" s="31"/>
      <c r="AX447" s="31"/>
      <c r="AY447" s="31"/>
      <c r="AZ447" s="31"/>
      <c r="BA447" s="146"/>
      <c r="BB447" s="146"/>
      <c r="BC447" s="103"/>
      <c r="BD447" s="103"/>
      <c r="BE447" s="103"/>
      <c r="BF447" s="103"/>
      <c r="BG447" s="104"/>
      <c r="BH447" s="104"/>
      <c r="BI447" s="102"/>
      <c r="BJ447" s="104"/>
      <c r="BK447" s="104"/>
      <c r="BL447" s="103"/>
      <c r="BM447" s="103"/>
      <c r="BN447" s="103"/>
      <c r="BO447" s="103"/>
      <c r="BP447" s="103"/>
      <c r="BQ447" s="103"/>
      <c r="BR447" s="103"/>
      <c r="BS447" s="103"/>
      <c r="BT447" s="103"/>
      <c r="BU447" s="103"/>
      <c r="BV447" s="103"/>
      <c r="BW447" s="103"/>
      <c r="BX447" s="103"/>
      <c r="BY447" s="103"/>
      <c r="BZ447" s="103"/>
      <c r="CA447" s="103"/>
      <c r="CB447" s="104"/>
      <c r="CC447" s="104"/>
      <c r="CD447" s="104"/>
      <c r="CE447" s="104"/>
      <c r="CF447" s="104"/>
      <c r="CG447" s="104"/>
      <c r="CH447" s="103"/>
      <c r="CI447" s="103"/>
      <c r="CJ447" s="103"/>
      <c r="CK447" s="103"/>
      <c r="CL447" s="103"/>
      <c r="CM447" s="103"/>
      <c r="CN447" s="103"/>
      <c r="CO447" s="103"/>
      <c r="CP447" s="103"/>
      <c r="CQ447" s="103"/>
      <c r="CR447" s="103"/>
      <c r="CS447" s="103"/>
      <c r="CT447" s="103"/>
      <c r="CU447" s="103"/>
      <c r="CV447" s="103"/>
      <c r="CW447" s="103"/>
      <c r="CX447" s="103"/>
      <c r="CY447" s="103"/>
      <c r="CZ447" s="103"/>
      <c r="DA447" s="103"/>
      <c r="DB447" s="103"/>
      <c r="DC447" s="103"/>
      <c r="DD447" s="103"/>
      <c r="DE447" s="103"/>
      <c r="DF447" s="465"/>
      <c r="DG447" s="107"/>
      <c r="DH447" s="107"/>
      <c r="DI447" s="465"/>
      <c r="DJ447" s="51"/>
      <c r="DK447" s="52"/>
      <c r="DL447" s="52"/>
      <c r="DM447" s="52"/>
      <c r="DN447" s="52"/>
      <c r="DO447" s="52"/>
      <c r="DP447" s="52"/>
      <c r="DQ447" s="52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P447" s="53"/>
      <c r="EQ447" s="1"/>
      <c r="ER447" s="103"/>
      <c r="ES447" s="102"/>
      <c r="ET447" s="1"/>
      <c r="EU447" s="103"/>
      <c r="EV447" s="1"/>
      <c r="EW447" s="1"/>
      <c r="EX447" s="1"/>
      <c r="EY447" s="104"/>
    </row>
    <row r="448" spans="9:155">
      <c r="I448" s="132"/>
      <c r="J448" s="365"/>
      <c r="K448" s="1"/>
      <c r="L448" s="1"/>
      <c r="M448" s="366"/>
      <c r="P448" s="365"/>
      <c r="S448" s="53"/>
      <c r="T448" s="365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364"/>
      <c r="AO448" s="364"/>
      <c r="AP448" s="364"/>
      <c r="AQ448" s="364"/>
      <c r="AR448" s="364"/>
      <c r="AS448" s="1"/>
      <c r="AT448" s="103"/>
      <c r="AU448" s="103"/>
      <c r="AV448" s="103"/>
      <c r="AW448" s="31"/>
      <c r="AX448" s="31"/>
      <c r="AY448" s="31"/>
      <c r="AZ448" s="31"/>
      <c r="BA448" s="146"/>
      <c r="BB448" s="146"/>
      <c r="BC448" s="103"/>
      <c r="BD448" s="103"/>
      <c r="BE448" s="103"/>
      <c r="BF448" s="103"/>
      <c r="BG448" s="104"/>
      <c r="BH448" s="104"/>
      <c r="BI448" s="102"/>
      <c r="BJ448" s="104"/>
      <c r="BK448" s="104"/>
      <c r="BL448" s="103"/>
      <c r="BM448" s="103"/>
      <c r="BN448" s="103"/>
      <c r="BO448" s="103"/>
      <c r="BP448" s="103"/>
      <c r="BQ448" s="103"/>
      <c r="BR448" s="103"/>
      <c r="BS448" s="103"/>
      <c r="BT448" s="103"/>
      <c r="BU448" s="103"/>
      <c r="BV448" s="103"/>
      <c r="BW448" s="103"/>
      <c r="BX448" s="103"/>
      <c r="BY448" s="103"/>
      <c r="BZ448" s="103"/>
      <c r="CA448" s="103"/>
      <c r="CB448" s="104"/>
      <c r="CC448" s="104"/>
      <c r="CD448" s="104"/>
      <c r="CE448" s="104"/>
      <c r="CF448" s="104"/>
      <c r="CG448" s="104"/>
      <c r="CH448" s="103"/>
      <c r="CI448" s="103"/>
      <c r="CJ448" s="103"/>
      <c r="CK448" s="103"/>
      <c r="CL448" s="103"/>
      <c r="CM448" s="103"/>
      <c r="CN448" s="103"/>
      <c r="CO448" s="103"/>
      <c r="CP448" s="103"/>
      <c r="CQ448" s="103"/>
      <c r="CR448" s="103"/>
      <c r="CS448" s="103"/>
      <c r="CT448" s="103"/>
      <c r="CU448" s="103"/>
      <c r="CV448" s="103"/>
      <c r="CW448" s="103"/>
      <c r="CX448" s="103"/>
      <c r="CY448" s="103"/>
      <c r="CZ448" s="103"/>
      <c r="DA448" s="103"/>
      <c r="DB448" s="103"/>
      <c r="DC448" s="103"/>
      <c r="DD448" s="103"/>
      <c r="DE448" s="103"/>
      <c r="DF448" s="465"/>
      <c r="DG448" s="107"/>
      <c r="DH448" s="107"/>
      <c r="DI448" s="465"/>
      <c r="DJ448" s="51"/>
      <c r="DK448" s="52"/>
      <c r="DL448" s="52"/>
      <c r="DM448" s="52"/>
      <c r="DN448" s="52"/>
      <c r="DO448" s="52"/>
      <c r="DP448" s="52"/>
      <c r="DQ448" s="52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P448" s="53"/>
      <c r="EQ448" s="1"/>
      <c r="ER448" s="103"/>
      <c r="ES448" s="102"/>
      <c r="ET448" s="1"/>
      <c r="EU448" s="103"/>
      <c r="EV448" s="1"/>
      <c r="EW448" s="1"/>
      <c r="EX448" s="1"/>
      <c r="EY448" s="104"/>
    </row>
    <row r="449" spans="9:155">
      <c r="I449" s="132"/>
      <c r="J449" s="365"/>
      <c r="K449" s="1"/>
      <c r="L449" s="1"/>
      <c r="M449" s="366"/>
      <c r="P449" s="365"/>
      <c r="S449" s="53"/>
      <c r="T449" s="365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364"/>
      <c r="AO449" s="364"/>
      <c r="AP449" s="364"/>
      <c r="AQ449" s="364"/>
      <c r="AR449" s="364"/>
      <c r="AS449" s="1"/>
      <c r="AT449" s="103"/>
      <c r="AU449" s="103"/>
      <c r="AV449" s="103"/>
      <c r="AW449" s="31"/>
      <c r="AX449" s="31"/>
      <c r="AY449" s="31"/>
      <c r="AZ449" s="31"/>
      <c r="BA449" s="146"/>
      <c r="BB449" s="146"/>
      <c r="BC449" s="103"/>
      <c r="BD449" s="103"/>
      <c r="BE449" s="103"/>
      <c r="BF449" s="103"/>
      <c r="BG449" s="104"/>
      <c r="BH449" s="104"/>
      <c r="BI449" s="102"/>
      <c r="BJ449" s="104"/>
      <c r="BK449" s="104"/>
      <c r="BL449" s="103"/>
      <c r="BM449" s="103"/>
      <c r="BN449" s="103"/>
      <c r="BO449" s="103"/>
      <c r="BP449" s="103"/>
      <c r="BQ449" s="103"/>
      <c r="BR449" s="103"/>
      <c r="BS449" s="103"/>
      <c r="BT449" s="103"/>
      <c r="BU449" s="103"/>
      <c r="BV449" s="103"/>
      <c r="BW449" s="103"/>
      <c r="BX449" s="103"/>
      <c r="BY449" s="103"/>
      <c r="BZ449" s="103"/>
      <c r="CA449" s="103"/>
      <c r="CB449" s="104"/>
      <c r="CC449" s="104"/>
      <c r="CD449" s="104"/>
      <c r="CE449" s="104"/>
      <c r="CF449" s="104"/>
      <c r="CG449" s="104"/>
      <c r="CH449" s="103"/>
      <c r="CI449" s="103"/>
      <c r="CJ449" s="103"/>
      <c r="CK449" s="103"/>
      <c r="CL449" s="103"/>
      <c r="CM449" s="103"/>
      <c r="CN449" s="103"/>
      <c r="CO449" s="103"/>
      <c r="CP449" s="103"/>
      <c r="CQ449" s="103"/>
      <c r="CR449" s="103"/>
      <c r="CS449" s="103"/>
      <c r="CT449" s="103"/>
      <c r="CU449" s="103"/>
      <c r="CV449" s="103"/>
      <c r="CW449" s="103"/>
      <c r="CX449" s="103"/>
      <c r="CY449" s="103"/>
      <c r="CZ449" s="103"/>
      <c r="DA449" s="103"/>
      <c r="DB449" s="103"/>
      <c r="DC449" s="103"/>
      <c r="DD449" s="103"/>
      <c r="DE449" s="103"/>
      <c r="DF449" s="465"/>
      <c r="DG449" s="107"/>
      <c r="DH449" s="107"/>
      <c r="DI449" s="465"/>
      <c r="DJ449" s="51"/>
      <c r="DK449" s="52"/>
      <c r="DL449" s="52"/>
      <c r="DM449" s="52"/>
      <c r="DN449" s="52"/>
      <c r="DO449" s="52"/>
      <c r="DP449" s="52"/>
      <c r="DQ449" s="52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P449" s="53"/>
      <c r="EQ449" s="1"/>
      <c r="ER449" s="103"/>
      <c r="ES449" s="102"/>
      <c r="ET449" s="1"/>
      <c r="EU449" s="103"/>
      <c r="EV449" s="1"/>
      <c r="EW449" s="1"/>
      <c r="EX449" s="1"/>
      <c r="EY449" s="104"/>
    </row>
    <row r="450" spans="9:155">
      <c r="I450" s="132"/>
      <c r="J450" s="365"/>
      <c r="K450" s="1"/>
      <c r="L450" s="1"/>
      <c r="M450" s="366"/>
      <c r="P450" s="365"/>
      <c r="S450" s="53"/>
      <c r="T450" s="365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364"/>
      <c r="AO450" s="364"/>
      <c r="AP450" s="364"/>
      <c r="AQ450" s="364"/>
      <c r="AR450" s="364"/>
      <c r="AS450" s="1"/>
      <c r="AT450" s="103"/>
      <c r="AU450" s="103"/>
      <c r="AV450" s="103"/>
      <c r="AW450" s="31"/>
      <c r="AX450" s="31"/>
      <c r="AY450" s="31"/>
      <c r="AZ450" s="31"/>
      <c r="BA450" s="146"/>
      <c r="BB450" s="146"/>
      <c r="BC450" s="103"/>
      <c r="BD450" s="103"/>
      <c r="BE450" s="103"/>
      <c r="BF450" s="103"/>
      <c r="BG450" s="104"/>
      <c r="BH450" s="104"/>
      <c r="BI450" s="102"/>
      <c r="BJ450" s="104"/>
      <c r="BK450" s="104"/>
      <c r="BL450" s="103"/>
      <c r="BM450" s="103"/>
      <c r="BN450" s="103"/>
      <c r="BO450" s="103"/>
      <c r="BP450" s="103"/>
      <c r="BQ450" s="103"/>
      <c r="BR450" s="103"/>
      <c r="BS450" s="103"/>
      <c r="BT450" s="103"/>
      <c r="BU450" s="103"/>
      <c r="BV450" s="103"/>
      <c r="BW450" s="103"/>
      <c r="BX450" s="103"/>
      <c r="BY450" s="103"/>
      <c r="BZ450" s="103"/>
      <c r="CA450" s="103"/>
      <c r="CB450" s="104"/>
      <c r="CC450" s="104"/>
      <c r="CD450" s="104"/>
      <c r="CE450" s="104"/>
      <c r="CF450" s="104"/>
      <c r="CG450" s="104"/>
      <c r="CH450" s="103"/>
      <c r="CI450" s="103"/>
      <c r="CJ450" s="103"/>
      <c r="CK450" s="103"/>
      <c r="CL450" s="103"/>
      <c r="CM450" s="103"/>
      <c r="CN450" s="103"/>
      <c r="CO450" s="103"/>
      <c r="CP450" s="103"/>
      <c r="CQ450" s="103"/>
      <c r="CR450" s="103"/>
      <c r="CS450" s="103"/>
      <c r="CT450" s="103"/>
      <c r="CU450" s="103"/>
      <c r="CV450" s="103"/>
      <c r="CW450" s="103"/>
      <c r="CX450" s="103"/>
      <c r="CY450" s="103"/>
      <c r="CZ450" s="103"/>
      <c r="DA450" s="103"/>
      <c r="DB450" s="103"/>
      <c r="DC450" s="103"/>
      <c r="DD450" s="103"/>
      <c r="DE450" s="103"/>
      <c r="DF450" s="465"/>
      <c r="DG450" s="107"/>
      <c r="DH450" s="107"/>
      <c r="DI450" s="465"/>
      <c r="DJ450" s="51"/>
      <c r="DK450" s="52"/>
      <c r="DL450" s="52"/>
      <c r="DM450" s="52"/>
      <c r="DN450" s="52"/>
      <c r="DO450" s="52"/>
      <c r="DP450" s="52"/>
      <c r="DQ450" s="52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P450" s="53"/>
      <c r="EQ450" s="1"/>
      <c r="ER450" s="103"/>
      <c r="ES450" s="102"/>
      <c r="ET450" s="1"/>
      <c r="EU450" s="103"/>
      <c r="EV450" s="1"/>
      <c r="EW450" s="1"/>
      <c r="EX450" s="1"/>
      <c r="EY450" s="104"/>
    </row>
    <row r="451" spans="9:155">
      <c r="I451" s="132"/>
      <c r="J451" s="365"/>
      <c r="K451" s="1"/>
      <c r="L451" s="1"/>
      <c r="M451" s="366"/>
      <c r="P451" s="365"/>
      <c r="S451" s="53"/>
      <c r="T451" s="365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364"/>
      <c r="AO451" s="364"/>
      <c r="AP451" s="364"/>
      <c r="AQ451" s="364"/>
      <c r="AR451" s="364"/>
      <c r="AS451" s="1"/>
      <c r="AT451" s="103"/>
      <c r="AU451" s="103"/>
      <c r="AV451" s="103"/>
      <c r="AW451" s="31"/>
      <c r="AX451" s="31"/>
      <c r="AY451" s="31"/>
      <c r="AZ451" s="31"/>
      <c r="BA451" s="146"/>
      <c r="BB451" s="146"/>
      <c r="BC451" s="103"/>
      <c r="BD451" s="103"/>
      <c r="BE451" s="103"/>
      <c r="BF451" s="103"/>
      <c r="BG451" s="104"/>
      <c r="BH451" s="104"/>
      <c r="BI451" s="102"/>
      <c r="BJ451" s="104"/>
      <c r="BK451" s="104"/>
      <c r="BL451" s="103"/>
      <c r="BM451" s="103"/>
      <c r="BN451" s="103"/>
      <c r="BO451" s="103"/>
      <c r="BP451" s="103"/>
      <c r="BQ451" s="103"/>
      <c r="BR451" s="103"/>
      <c r="BS451" s="103"/>
      <c r="BT451" s="103"/>
      <c r="BU451" s="103"/>
      <c r="BV451" s="103"/>
      <c r="BW451" s="103"/>
      <c r="BX451" s="103"/>
      <c r="BY451" s="103"/>
      <c r="BZ451" s="103"/>
      <c r="CA451" s="103"/>
      <c r="CB451" s="104"/>
      <c r="CC451" s="104"/>
      <c r="CD451" s="104"/>
      <c r="CE451" s="104"/>
      <c r="CF451" s="104"/>
      <c r="CG451" s="104"/>
      <c r="CH451" s="103"/>
      <c r="CI451" s="103"/>
      <c r="CJ451" s="103"/>
      <c r="CK451" s="103"/>
      <c r="CL451" s="103"/>
      <c r="CM451" s="103"/>
      <c r="CN451" s="103"/>
      <c r="CO451" s="103"/>
      <c r="CP451" s="103"/>
      <c r="CQ451" s="103"/>
      <c r="CR451" s="103"/>
      <c r="CS451" s="103"/>
      <c r="CT451" s="103"/>
      <c r="CU451" s="103"/>
      <c r="CV451" s="103"/>
      <c r="CW451" s="103"/>
      <c r="CX451" s="103"/>
      <c r="CY451" s="103"/>
      <c r="CZ451" s="103"/>
      <c r="DA451" s="103"/>
      <c r="DB451" s="103"/>
      <c r="DC451" s="103"/>
      <c r="DD451" s="103"/>
      <c r="DE451" s="103"/>
      <c r="DF451" s="465"/>
      <c r="DG451" s="107"/>
      <c r="DH451" s="107"/>
      <c r="DI451" s="465"/>
      <c r="DJ451" s="51"/>
      <c r="DK451" s="52"/>
      <c r="DL451" s="52"/>
      <c r="DM451" s="52"/>
      <c r="DN451" s="52"/>
      <c r="DO451" s="52"/>
      <c r="DP451" s="52"/>
      <c r="DQ451" s="52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P451" s="53"/>
      <c r="EQ451" s="1"/>
      <c r="ER451" s="103"/>
      <c r="ES451" s="102"/>
      <c r="ET451" s="1"/>
      <c r="EU451" s="103"/>
      <c r="EV451" s="1"/>
      <c r="EW451" s="1"/>
      <c r="EX451" s="1"/>
      <c r="EY451" s="104"/>
    </row>
    <row r="452" spans="9:155">
      <c r="I452" s="132"/>
      <c r="J452" s="365"/>
      <c r="K452" s="1"/>
      <c r="L452" s="1"/>
      <c r="M452" s="366"/>
      <c r="P452" s="365"/>
      <c r="S452" s="53"/>
      <c r="T452" s="365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364"/>
      <c r="AO452" s="364"/>
      <c r="AP452" s="364"/>
      <c r="AQ452" s="364"/>
      <c r="AR452" s="364"/>
      <c r="AS452" s="1"/>
      <c r="AT452" s="103"/>
      <c r="AU452" s="103"/>
      <c r="AV452" s="103"/>
      <c r="AW452" s="31"/>
      <c r="AX452" s="31"/>
      <c r="AY452" s="31"/>
      <c r="AZ452" s="31"/>
      <c r="BA452" s="146"/>
      <c r="BB452" s="146"/>
      <c r="BC452" s="103"/>
      <c r="BD452" s="103"/>
      <c r="BE452" s="103"/>
      <c r="BF452" s="103"/>
      <c r="BG452" s="104"/>
      <c r="BH452" s="104"/>
      <c r="BI452" s="102"/>
      <c r="BJ452" s="104"/>
      <c r="BK452" s="104"/>
      <c r="BL452" s="103"/>
      <c r="BM452" s="103"/>
      <c r="BN452" s="103"/>
      <c r="BO452" s="103"/>
      <c r="BP452" s="103"/>
      <c r="BQ452" s="103"/>
      <c r="BR452" s="103"/>
      <c r="BS452" s="103"/>
      <c r="BT452" s="103"/>
      <c r="BU452" s="103"/>
      <c r="BV452" s="103"/>
      <c r="BW452" s="103"/>
      <c r="BX452" s="103"/>
      <c r="BY452" s="103"/>
      <c r="BZ452" s="103"/>
      <c r="CA452" s="103"/>
      <c r="CB452" s="104"/>
      <c r="CC452" s="104"/>
      <c r="CD452" s="104"/>
      <c r="CE452" s="104"/>
      <c r="CF452" s="104"/>
      <c r="CG452" s="104"/>
      <c r="CH452" s="103"/>
      <c r="CI452" s="103"/>
      <c r="CJ452" s="103"/>
      <c r="CK452" s="103"/>
      <c r="CL452" s="103"/>
      <c r="CM452" s="103"/>
      <c r="CN452" s="103"/>
      <c r="CO452" s="103"/>
      <c r="CP452" s="103"/>
      <c r="CQ452" s="103"/>
      <c r="CR452" s="103"/>
      <c r="CS452" s="103"/>
      <c r="CT452" s="103"/>
      <c r="CU452" s="103"/>
      <c r="CV452" s="103"/>
      <c r="CW452" s="103"/>
      <c r="CX452" s="103"/>
      <c r="CY452" s="103"/>
      <c r="CZ452" s="103"/>
      <c r="DA452" s="103"/>
      <c r="DB452" s="103"/>
      <c r="DC452" s="103"/>
      <c r="DD452" s="103"/>
      <c r="DE452" s="103"/>
      <c r="DF452" s="465"/>
      <c r="DG452" s="107"/>
      <c r="DH452" s="107"/>
      <c r="DI452" s="465"/>
      <c r="DJ452" s="51"/>
      <c r="DK452" s="52"/>
      <c r="DL452" s="52"/>
      <c r="DM452" s="52"/>
      <c r="DN452" s="52"/>
      <c r="DO452" s="52"/>
      <c r="DP452" s="52"/>
      <c r="DQ452" s="52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P452" s="53"/>
      <c r="EQ452" s="1"/>
      <c r="ER452" s="103"/>
      <c r="ES452" s="102"/>
      <c r="ET452" s="1"/>
      <c r="EU452" s="103"/>
      <c r="EV452" s="1"/>
      <c r="EW452" s="1"/>
      <c r="EX452" s="1"/>
      <c r="EY452" s="104"/>
    </row>
    <row r="453" spans="9:155">
      <c r="I453" s="132"/>
      <c r="J453" s="365"/>
      <c r="K453" s="1"/>
      <c r="L453" s="1"/>
      <c r="M453" s="366"/>
      <c r="P453" s="365"/>
      <c r="S453" s="53"/>
      <c r="T453" s="365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364"/>
      <c r="AO453" s="364"/>
      <c r="AP453" s="364"/>
      <c r="AQ453" s="364"/>
      <c r="AR453" s="364"/>
      <c r="AS453" s="1"/>
      <c r="AT453" s="103"/>
      <c r="AU453" s="103"/>
      <c r="AV453" s="103"/>
      <c r="AW453" s="31"/>
      <c r="AX453" s="31"/>
      <c r="AY453" s="31"/>
      <c r="AZ453" s="31"/>
      <c r="BA453" s="146"/>
      <c r="BB453" s="146"/>
      <c r="BC453" s="103"/>
      <c r="BD453" s="103"/>
      <c r="BE453" s="103"/>
      <c r="BF453" s="103"/>
      <c r="BG453" s="104"/>
      <c r="BH453" s="104"/>
      <c r="BI453" s="102"/>
      <c r="BJ453" s="104"/>
      <c r="BK453" s="104"/>
      <c r="BL453" s="103"/>
      <c r="BM453" s="103"/>
      <c r="BN453" s="103"/>
      <c r="BO453" s="103"/>
      <c r="BP453" s="103"/>
      <c r="BQ453" s="103"/>
      <c r="BR453" s="103"/>
      <c r="BS453" s="103"/>
      <c r="BT453" s="103"/>
      <c r="BU453" s="103"/>
      <c r="BV453" s="103"/>
      <c r="BW453" s="103"/>
      <c r="BX453" s="103"/>
      <c r="BY453" s="103"/>
      <c r="BZ453" s="103"/>
      <c r="CA453" s="103"/>
      <c r="CB453" s="104"/>
      <c r="CC453" s="104"/>
      <c r="CD453" s="104"/>
      <c r="CE453" s="104"/>
      <c r="CF453" s="104"/>
      <c r="CG453" s="104"/>
      <c r="CH453" s="103"/>
      <c r="CI453" s="103"/>
      <c r="CJ453" s="103"/>
      <c r="CK453" s="103"/>
      <c r="CL453" s="103"/>
      <c r="CM453" s="103"/>
      <c r="CN453" s="103"/>
      <c r="CO453" s="103"/>
      <c r="CP453" s="103"/>
      <c r="CQ453" s="103"/>
      <c r="CR453" s="103"/>
      <c r="CS453" s="103"/>
      <c r="CT453" s="103"/>
      <c r="CU453" s="103"/>
      <c r="CV453" s="103"/>
      <c r="CW453" s="103"/>
      <c r="CX453" s="103"/>
      <c r="CY453" s="103"/>
      <c r="CZ453" s="103"/>
      <c r="DA453" s="103"/>
      <c r="DB453" s="103"/>
      <c r="DC453" s="103"/>
      <c r="DD453" s="103"/>
      <c r="DE453" s="103"/>
      <c r="DF453" s="465"/>
      <c r="DG453" s="107"/>
      <c r="DH453" s="107"/>
      <c r="DI453" s="465"/>
      <c r="DJ453" s="51"/>
      <c r="DK453" s="52"/>
      <c r="DL453" s="52"/>
      <c r="DM453" s="52"/>
      <c r="DN453" s="52"/>
      <c r="DO453" s="52"/>
      <c r="DP453" s="52"/>
      <c r="DQ453" s="52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P453" s="53"/>
      <c r="EQ453" s="1"/>
      <c r="ER453" s="103"/>
      <c r="ES453" s="102"/>
      <c r="ET453" s="1"/>
      <c r="EU453" s="103"/>
      <c r="EV453" s="1"/>
      <c r="EW453" s="1"/>
      <c r="EX453" s="1"/>
      <c r="EY453" s="104"/>
    </row>
    <row r="454" spans="9:155">
      <c r="I454" s="132"/>
      <c r="J454" s="365"/>
      <c r="K454" s="1"/>
      <c r="L454" s="1"/>
      <c r="M454" s="366"/>
      <c r="P454" s="365"/>
      <c r="S454" s="53"/>
      <c r="T454" s="365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364"/>
      <c r="AO454" s="364"/>
      <c r="AP454" s="364"/>
      <c r="AQ454" s="364"/>
      <c r="AR454" s="364"/>
      <c r="AS454" s="1"/>
      <c r="AT454" s="103"/>
      <c r="AU454" s="103"/>
      <c r="AV454" s="103"/>
      <c r="AW454" s="31"/>
      <c r="AX454" s="31"/>
      <c r="AY454" s="31"/>
      <c r="AZ454" s="31"/>
      <c r="BA454" s="146"/>
      <c r="BB454" s="146"/>
      <c r="BC454" s="103"/>
      <c r="BD454" s="103"/>
      <c r="BE454" s="103"/>
      <c r="BF454" s="103"/>
      <c r="BG454" s="104"/>
      <c r="BH454" s="104"/>
      <c r="BI454" s="102"/>
      <c r="BJ454" s="104"/>
      <c r="BK454" s="104"/>
      <c r="BL454" s="103"/>
      <c r="BM454" s="103"/>
      <c r="BN454" s="103"/>
      <c r="BO454" s="103"/>
      <c r="BP454" s="103"/>
      <c r="BQ454" s="103"/>
      <c r="BR454" s="103"/>
      <c r="BS454" s="103"/>
      <c r="BT454" s="103"/>
      <c r="BU454" s="103"/>
      <c r="BV454" s="103"/>
      <c r="BW454" s="103"/>
      <c r="BX454" s="103"/>
      <c r="BY454" s="103"/>
      <c r="BZ454" s="103"/>
      <c r="CA454" s="103"/>
      <c r="CB454" s="104"/>
      <c r="CC454" s="104"/>
      <c r="CD454" s="104"/>
      <c r="CE454" s="104"/>
      <c r="CF454" s="104"/>
      <c r="CG454" s="104"/>
      <c r="CH454" s="103"/>
      <c r="CI454" s="103"/>
      <c r="CJ454" s="103"/>
      <c r="CK454" s="103"/>
      <c r="CL454" s="103"/>
      <c r="CM454" s="103"/>
      <c r="CN454" s="103"/>
      <c r="CO454" s="103"/>
      <c r="CP454" s="103"/>
      <c r="CQ454" s="103"/>
      <c r="CR454" s="103"/>
      <c r="CS454" s="103"/>
      <c r="CT454" s="103"/>
      <c r="CU454" s="103"/>
      <c r="CV454" s="103"/>
      <c r="CW454" s="103"/>
      <c r="CX454" s="103"/>
      <c r="CY454" s="103"/>
      <c r="CZ454" s="103"/>
      <c r="DA454" s="103"/>
      <c r="DB454" s="103"/>
      <c r="DC454" s="103"/>
      <c r="DD454" s="103"/>
      <c r="DE454" s="103"/>
      <c r="DF454" s="465"/>
      <c r="DG454" s="107"/>
      <c r="DH454" s="107"/>
      <c r="DI454" s="465"/>
      <c r="DJ454" s="51"/>
      <c r="DK454" s="52"/>
      <c r="DL454" s="52"/>
      <c r="DM454" s="52"/>
      <c r="DN454" s="52"/>
      <c r="DO454" s="52"/>
      <c r="DP454" s="52"/>
      <c r="DQ454" s="52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P454" s="53"/>
      <c r="EQ454" s="1"/>
      <c r="ER454" s="103"/>
      <c r="ES454" s="102"/>
      <c r="ET454" s="1"/>
      <c r="EU454" s="103"/>
      <c r="EV454" s="1"/>
      <c r="EW454" s="1"/>
      <c r="EX454" s="1"/>
      <c r="EY454" s="104"/>
    </row>
    <row r="455" spans="9:155">
      <c r="I455" s="132"/>
      <c r="J455" s="365"/>
      <c r="K455" s="1"/>
      <c r="L455" s="1"/>
      <c r="M455" s="366"/>
      <c r="P455" s="365"/>
      <c r="S455" s="53"/>
      <c r="T455" s="365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364"/>
      <c r="AO455" s="364"/>
      <c r="AP455" s="364"/>
      <c r="AQ455" s="364"/>
      <c r="AR455" s="364"/>
      <c r="AS455" s="1"/>
      <c r="AT455" s="103"/>
      <c r="AU455" s="103"/>
      <c r="AV455" s="103"/>
      <c r="AW455" s="31"/>
      <c r="AX455" s="31"/>
      <c r="AY455" s="31"/>
      <c r="AZ455" s="31"/>
      <c r="BA455" s="146"/>
      <c r="BB455" s="146"/>
      <c r="BC455" s="103"/>
      <c r="BD455" s="103"/>
      <c r="BE455" s="103"/>
      <c r="BF455" s="103"/>
      <c r="BG455" s="104"/>
      <c r="BH455" s="104"/>
      <c r="BI455" s="102"/>
      <c r="BJ455" s="104"/>
      <c r="BK455" s="104"/>
      <c r="BL455" s="103"/>
      <c r="BM455" s="103"/>
      <c r="BN455" s="103"/>
      <c r="BO455" s="103"/>
      <c r="BP455" s="103"/>
      <c r="BQ455" s="103"/>
      <c r="BR455" s="103"/>
      <c r="BS455" s="103"/>
      <c r="BT455" s="103"/>
      <c r="BU455" s="103"/>
      <c r="BV455" s="103"/>
      <c r="BW455" s="103"/>
      <c r="BX455" s="103"/>
      <c r="BY455" s="103"/>
      <c r="BZ455" s="103"/>
      <c r="CA455" s="103"/>
      <c r="CB455" s="104"/>
      <c r="CC455" s="104"/>
      <c r="CD455" s="104"/>
      <c r="CE455" s="104"/>
      <c r="CF455" s="104"/>
      <c r="CG455" s="104"/>
      <c r="CH455" s="103"/>
      <c r="CI455" s="103"/>
      <c r="CJ455" s="103"/>
      <c r="CK455" s="103"/>
      <c r="CL455" s="103"/>
      <c r="CM455" s="103"/>
      <c r="CN455" s="103"/>
      <c r="CO455" s="103"/>
      <c r="CP455" s="103"/>
      <c r="CQ455" s="103"/>
      <c r="CR455" s="103"/>
      <c r="CS455" s="103"/>
      <c r="CT455" s="103"/>
      <c r="CU455" s="103"/>
      <c r="CV455" s="103"/>
      <c r="CW455" s="103"/>
      <c r="CX455" s="103"/>
      <c r="CY455" s="103"/>
      <c r="CZ455" s="103"/>
      <c r="DA455" s="103"/>
      <c r="DB455" s="103"/>
      <c r="DC455" s="103"/>
      <c r="DD455" s="103"/>
      <c r="DE455" s="103"/>
      <c r="DF455" s="465"/>
      <c r="DG455" s="107"/>
      <c r="DH455" s="107"/>
      <c r="DI455" s="465"/>
      <c r="DJ455" s="51"/>
      <c r="DK455" s="52"/>
      <c r="DL455" s="52"/>
      <c r="DM455" s="52"/>
      <c r="DN455" s="52"/>
      <c r="DO455" s="52"/>
      <c r="DP455" s="52"/>
      <c r="DQ455" s="52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P455" s="53"/>
      <c r="EQ455" s="1"/>
      <c r="ER455" s="103"/>
      <c r="ES455" s="102"/>
      <c r="ET455" s="1"/>
      <c r="EU455" s="103"/>
      <c r="EV455" s="1"/>
      <c r="EW455" s="1"/>
      <c r="EX455" s="1"/>
      <c r="EY455" s="104"/>
    </row>
    <row r="456" spans="9:155">
      <c r="I456" s="132"/>
      <c r="J456" s="365"/>
      <c r="K456" s="1"/>
      <c r="L456" s="1"/>
      <c r="M456" s="366"/>
      <c r="P456" s="365"/>
      <c r="S456" s="53"/>
      <c r="T456" s="365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364"/>
      <c r="AO456" s="364"/>
      <c r="AP456" s="364"/>
      <c r="AQ456" s="364"/>
      <c r="AR456" s="364"/>
      <c r="AS456" s="1"/>
      <c r="AT456" s="103"/>
      <c r="AU456" s="103"/>
      <c r="AV456" s="103"/>
      <c r="AW456" s="31"/>
      <c r="AX456" s="31"/>
      <c r="AY456" s="31"/>
      <c r="AZ456" s="31"/>
      <c r="BA456" s="146"/>
      <c r="BB456" s="146"/>
      <c r="BC456" s="103"/>
      <c r="BD456" s="103"/>
      <c r="BE456" s="103"/>
      <c r="BF456" s="103"/>
      <c r="BG456" s="104"/>
      <c r="BH456" s="104"/>
      <c r="BI456" s="102"/>
      <c r="BJ456" s="104"/>
      <c r="BK456" s="104"/>
      <c r="BL456" s="103"/>
      <c r="BM456" s="103"/>
      <c r="BN456" s="103"/>
      <c r="BO456" s="103"/>
      <c r="BP456" s="103"/>
      <c r="BQ456" s="103"/>
      <c r="BR456" s="103"/>
      <c r="BS456" s="103"/>
      <c r="BT456" s="103"/>
      <c r="BU456" s="103"/>
      <c r="BV456" s="103"/>
      <c r="BW456" s="103"/>
      <c r="BX456" s="103"/>
      <c r="BY456" s="103"/>
      <c r="BZ456" s="103"/>
      <c r="CA456" s="103"/>
      <c r="CB456" s="104"/>
      <c r="CC456" s="104"/>
      <c r="CD456" s="104"/>
      <c r="CE456" s="104"/>
      <c r="CF456" s="104"/>
      <c r="CG456" s="104"/>
      <c r="CH456" s="103"/>
      <c r="CI456" s="103"/>
      <c r="CJ456" s="103"/>
      <c r="CK456" s="103"/>
      <c r="CL456" s="103"/>
      <c r="CM456" s="103"/>
      <c r="CN456" s="103"/>
      <c r="CO456" s="103"/>
      <c r="CP456" s="103"/>
      <c r="CQ456" s="103"/>
      <c r="CR456" s="103"/>
      <c r="CS456" s="103"/>
      <c r="CT456" s="103"/>
      <c r="CU456" s="103"/>
      <c r="CV456" s="103"/>
      <c r="CW456" s="103"/>
      <c r="CX456" s="103"/>
      <c r="CY456" s="103"/>
      <c r="CZ456" s="103"/>
      <c r="DA456" s="103"/>
      <c r="DB456" s="103"/>
      <c r="DC456" s="103"/>
      <c r="DD456" s="103"/>
      <c r="DE456" s="103"/>
      <c r="DF456" s="465"/>
      <c r="DG456" s="107"/>
      <c r="DH456" s="107"/>
      <c r="DI456" s="465"/>
      <c r="DJ456" s="51"/>
      <c r="DK456" s="52"/>
      <c r="DL456" s="52"/>
      <c r="DM456" s="52"/>
      <c r="DN456" s="52"/>
      <c r="DO456" s="52"/>
      <c r="DP456" s="52"/>
      <c r="DQ456" s="52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P456" s="53"/>
      <c r="EQ456" s="1"/>
      <c r="ER456" s="103"/>
      <c r="ES456" s="102"/>
      <c r="ET456" s="1"/>
      <c r="EU456" s="103"/>
      <c r="EV456" s="1"/>
      <c r="EW456" s="1"/>
      <c r="EX456" s="1"/>
      <c r="EY456" s="104"/>
    </row>
    <row r="457" spans="9:155">
      <c r="I457" s="132"/>
      <c r="J457" s="365"/>
      <c r="K457" s="1"/>
      <c r="L457" s="1"/>
      <c r="M457" s="366"/>
      <c r="P457" s="365"/>
      <c r="S457" s="53"/>
      <c r="T457" s="365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364"/>
      <c r="AO457" s="364"/>
      <c r="AP457" s="364"/>
      <c r="AQ457" s="364"/>
      <c r="AR457" s="364"/>
      <c r="AS457" s="1"/>
      <c r="AT457" s="103"/>
      <c r="AU457" s="103"/>
      <c r="AV457" s="103"/>
      <c r="AW457" s="31"/>
      <c r="AX457" s="31"/>
      <c r="AY457" s="31"/>
      <c r="AZ457" s="31"/>
      <c r="BA457" s="146"/>
      <c r="BB457" s="146"/>
      <c r="BC457" s="103"/>
      <c r="BD457" s="103"/>
      <c r="BE457" s="103"/>
      <c r="BF457" s="103"/>
      <c r="BG457" s="104"/>
      <c r="BH457" s="104"/>
      <c r="BI457" s="102"/>
      <c r="BJ457" s="104"/>
      <c r="BK457" s="104"/>
      <c r="BL457" s="103"/>
      <c r="BM457" s="103"/>
      <c r="BN457" s="103"/>
      <c r="BO457" s="103"/>
      <c r="BP457" s="103"/>
      <c r="BQ457" s="103"/>
      <c r="BR457" s="103"/>
      <c r="BS457" s="103"/>
      <c r="BT457" s="103"/>
      <c r="BU457" s="103"/>
      <c r="BV457" s="103"/>
      <c r="BW457" s="103"/>
      <c r="BX457" s="103"/>
      <c r="BY457" s="103"/>
      <c r="BZ457" s="103"/>
      <c r="CA457" s="103"/>
      <c r="CB457" s="104"/>
      <c r="CC457" s="104"/>
      <c r="CD457" s="104"/>
      <c r="CE457" s="104"/>
      <c r="CF457" s="104"/>
      <c r="CG457" s="104"/>
      <c r="CH457" s="103"/>
      <c r="CI457" s="103"/>
      <c r="CJ457" s="103"/>
      <c r="CK457" s="103"/>
      <c r="CL457" s="103"/>
      <c r="CM457" s="103"/>
      <c r="CN457" s="103"/>
      <c r="CO457" s="103"/>
      <c r="CP457" s="103"/>
      <c r="CQ457" s="103"/>
      <c r="CR457" s="103"/>
      <c r="CS457" s="103"/>
      <c r="CT457" s="103"/>
      <c r="CU457" s="103"/>
      <c r="CV457" s="103"/>
      <c r="CW457" s="103"/>
      <c r="CX457" s="103"/>
      <c r="CY457" s="103"/>
      <c r="CZ457" s="103"/>
      <c r="DA457" s="103"/>
      <c r="DB457" s="103"/>
      <c r="DC457" s="103"/>
      <c r="DD457" s="103"/>
      <c r="DE457" s="103"/>
      <c r="DF457" s="465"/>
      <c r="DG457" s="107"/>
      <c r="DH457" s="107"/>
      <c r="DI457" s="465"/>
      <c r="DJ457" s="51"/>
      <c r="DK457" s="52"/>
      <c r="DL457" s="52"/>
      <c r="DM457" s="52"/>
      <c r="DN457" s="52"/>
      <c r="DO457" s="52"/>
      <c r="DP457" s="52"/>
      <c r="DQ457" s="52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P457" s="53"/>
      <c r="EQ457" s="1"/>
      <c r="ER457" s="103"/>
      <c r="ES457" s="102"/>
      <c r="ET457" s="1"/>
      <c r="EU457" s="103"/>
      <c r="EV457" s="1"/>
      <c r="EW457" s="1"/>
      <c r="EX457" s="1"/>
      <c r="EY457" s="104"/>
    </row>
    <row r="458" spans="9:155">
      <c r="I458" s="132"/>
      <c r="J458" s="365"/>
      <c r="K458" s="1"/>
      <c r="L458" s="1"/>
      <c r="M458" s="366"/>
      <c r="P458" s="365"/>
      <c r="S458" s="53"/>
      <c r="T458" s="365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364"/>
      <c r="AO458" s="364"/>
      <c r="AP458" s="364"/>
      <c r="AQ458" s="364"/>
      <c r="AR458" s="364"/>
      <c r="AS458" s="1"/>
      <c r="AT458" s="103"/>
      <c r="AU458" s="103"/>
      <c r="AV458" s="103"/>
      <c r="AW458" s="31"/>
      <c r="AX458" s="31"/>
      <c r="AY458" s="31"/>
      <c r="AZ458" s="31"/>
      <c r="BA458" s="146"/>
      <c r="BB458" s="146"/>
      <c r="BC458" s="103"/>
      <c r="BD458" s="103"/>
      <c r="BE458" s="103"/>
      <c r="BF458" s="103"/>
      <c r="BG458" s="104"/>
      <c r="BH458" s="104"/>
      <c r="BI458" s="102"/>
      <c r="BJ458" s="104"/>
      <c r="BK458" s="104"/>
      <c r="BL458" s="103"/>
      <c r="BM458" s="103"/>
      <c r="BN458" s="103"/>
      <c r="BO458" s="103"/>
      <c r="BP458" s="103"/>
      <c r="BQ458" s="103"/>
      <c r="BR458" s="103"/>
      <c r="BS458" s="103"/>
      <c r="BT458" s="103"/>
      <c r="BU458" s="103"/>
      <c r="BV458" s="103"/>
      <c r="BW458" s="103"/>
      <c r="BX458" s="103"/>
      <c r="BY458" s="103"/>
      <c r="BZ458" s="103"/>
      <c r="CA458" s="103"/>
      <c r="CB458" s="104"/>
      <c r="CC458" s="104"/>
      <c r="CD458" s="104"/>
      <c r="CE458" s="104"/>
      <c r="CF458" s="104"/>
      <c r="CG458" s="104"/>
      <c r="CH458" s="103"/>
      <c r="CI458" s="103"/>
      <c r="CJ458" s="103"/>
      <c r="CK458" s="103"/>
      <c r="CL458" s="103"/>
      <c r="CM458" s="103"/>
      <c r="CN458" s="103"/>
      <c r="CO458" s="103"/>
      <c r="CP458" s="103"/>
      <c r="CQ458" s="103"/>
      <c r="CR458" s="103"/>
      <c r="CS458" s="103"/>
      <c r="CT458" s="103"/>
      <c r="CU458" s="103"/>
      <c r="CV458" s="103"/>
      <c r="CW458" s="103"/>
      <c r="CX458" s="103"/>
      <c r="CY458" s="103"/>
      <c r="CZ458" s="103"/>
      <c r="DA458" s="103"/>
      <c r="DB458" s="103"/>
      <c r="DC458" s="103"/>
      <c r="DD458" s="103"/>
      <c r="DE458" s="103"/>
      <c r="DF458" s="465"/>
      <c r="DG458" s="107"/>
      <c r="DH458" s="107"/>
      <c r="DI458" s="465"/>
      <c r="DJ458" s="51"/>
      <c r="DK458" s="52"/>
      <c r="DL458" s="52"/>
      <c r="DM458" s="52"/>
      <c r="DN458" s="52"/>
      <c r="DO458" s="52"/>
      <c r="DP458" s="52"/>
      <c r="DQ458" s="52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P458" s="53"/>
      <c r="EQ458" s="1"/>
      <c r="ER458" s="103"/>
      <c r="ES458" s="102"/>
      <c r="ET458" s="1"/>
      <c r="EU458" s="103"/>
      <c r="EV458" s="1"/>
      <c r="EW458" s="1"/>
      <c r="EX458" s="1"/>
      <c r="EY458" s="104"/>
    </row>
    <row r="459" spans="9:155">
      <c r="I459" s="132"/>
      <c r="J459" s="365"/>
      <c r="K459" s="1"/>
      <c r="L459" s="1"/>
      <c r="M459" s="366"/>
      <c r="P459" s="365"/>
      <c r="S459" s="53"/>
      <c r="T459" s="365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364"/>
      <c r="AO459" s="364"/>
      <c r="AP459" s="364"/>
      <c r="AQ459" s="364"/>
      <c r="AR459" s="364"/>
      <c r="AS459" s="1"/>
      <c r="AT459" s="103"/>
      <c r="AU459" s="103"/>
      <c r="AV459" s="103"/>
      <c r="AW459" s="31"/>
      <c r="AX459" s="31"/>
      <c r="AY459" s="31"/>
      <c r="AZ459" s="31"/>
      <c r="BA459" s="146"/>
      <c r="BB459" s="146"/>
      <c r="BC459" s="103"/>
      <c r="BD459" s="103"/>
      <c r="BE459" s="103"/>
      <c r="BF459" s="103"/>
      <c r="BG459" s="104"/>
      <c r="BH459" s="104"/>
      <c r="BI459" s="102"/>
      <c r="BJ459" s="104"/>
      <c r="BK459" s="104"/>
      <c r="BL459" s="103"/>
      <c r="BM459" s="103"/>
      <c r="BN459" s="103"/>
      <c r="BO459" s="103"/>
      <c r="BP459" s="103"/>
      <c r="BQ459" s="103"/>
      <c r="BR459" s="103"/>
      <c r="BS459" s="103"/>
      <c r="BT459" s="103"/>
      <c r="BU459" s="103"/>
      <c r="BV459" s="103"/>
      <c r="BW459" s="103"/>
      <c r="BX459" s="103"/>
      <c r="BY459" s="103"/>
      <c r="BZ459" s="103"/>
      <c r="CA459" s="103"/>
      <c r="CB459" s="104"/>
      <c r="CC459" s="104"/>
      <c r="CD459" s="104"/>
      <c r="CE459" s="104"/>
      <c r="CF459" s="104"/>
      <c r="CG459" s="104"/>
      <c r="CH459" s="103"/>
      <c r="CI459" s="103"/>
      <c r="CJ459" s="103"/>
      <c r="CK459" s="103"/>
      <c r="CL459" s="103"/>
      <c r="CM459" s="103"/>
      <c r="CN459" s="103"/>
      <c r="CO459" s="103"/>
      <c r="CP459" s="103"/>
      <c r="CQ459" s="103"/>
      <c r="CR459" s="103"/>
      <c r="CS459" s="103"/>
      <c r="CT459" s="103"/>
      <c r="CU459" s="103"/>
      <c r="CV459" s="103"/>
      <c r="CW459" s="103"/>
      <c r="CX459" s="103"/>
      <c r="CY459" s="103"/>
      <c r="CZ459" s="103"/>
      <c r="DA459" s="103"/>
      <c r="DB459" s="103"/>
      <c r="DC459" s="103"/>
      <c r="DD459" s="103"/>
      <c r="DE459" s="103"/>
      <c r="DF459" s="465"/>
      <c r="DG459" s="107"/>
      <c r="DH459" s="107"/>
      <c r="DI459" s="465"/>
      <c r="DJ459" s="51"/>
      <c r="DK459" s="52"/>
      <c r="DL459" s="52"/>
      <c r="DM459" s="52"/>
      <c r="DN459" s="52"/>
      <c r="DO459" s="52"/>
      <c r="DP459" s="52"/>
      <c r="DQ459" s="52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P459" s="53"/>
      <c r="EQ459" s="1"/>
      <c r="ER459" s="103"/>
      <c r="ES459" s="102"/>
      <c r="ET459" s="1"/>
      <c r="EU459" s="103"/>
      <c r="EV459" s="1"/>
      <c r="EW459" s="1"/>
      <c r="EX459" s="1"/>
      <c r="EY459" s="104"/>
    </row>
    <row r="460" spans="9:155">
      <c r="I460" s="132"/>
      <c r="J460" s="365"/>
      <c r="K460" s="1"/>
      <c r="L460" s="1"/>
      <c r="M460" s="366"/>
      <c r="P460" s="365"/>
      <c r="S460" s="53"/>
      <c r="T460" s="365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364"/>
      <c r="AO460" s="364"/>
      <c r="AP460" s="364"/>
      <c r="AQ460" s="364"/>
      <c r="AR460" s="364"/>
      <c r="AS460" s="1"/>
      <c r="AT460" s="103"/>
      <c r="AU460" s="103"/>
      <c r="AV460" s="103"/>
      <c r="AW460" s="31"/>
      <c r="AX460" s="31"/>
      <c r="AY460" s="31"/>
      <c r="AZ460" s="31"/>
      <c r="BA460" s="146"/>
      <c r="BB460" s="146"/>
      <c r="BC460" s="103"/>
      <c r="BD460" s="103"/>
      <c r="BE460" s="103"/>
      <c r="BF460" s="103"/>
      <c r="BG460" s="104"/>
      <c r="BH460" s="104"/>
      <c r="BI460" s="102"/>
      <c r="BJ460" s="104"/>
      <c r="BK460" s="104"/>
      <c r="BL460" s="103"/>
      <c r="BM460" s="103"/>
      <c r="BN460" s="103"/>
      <c r="BO460" s="103"/>
      <c r="BP460" s="103"/>
      <c r="BQ460" s="103"/>
      <c r="BR460" s="103"/>
      <c r="BS460" s="103"/>
      <c r="BT460" s="103"/>
      <c r="BU460" s="103"/>
      <c r="BV460" s="103"/>
      <c r="BW460" s="103"/>
      <c r="BX460" s="103"/>
      <c r="BY460" s="103"/>
      <c r="BZ460" s="103"/>
      <c r="CA460" s="103"/>
      <c r="CB460" s="104"/>
      <c r="CC460" s="104"/>
      <c r="CD460" s="104"/>
      <c r="CE460" s="104"/>
      <c r="CF460" s="104"/>
      <c r="CG460" s="104"/>
      <c r="CH460" s="103"/>
      <c r="CI460" s="103"/>
      <c r="CJ460" s="103"/>
      <c r="CK460" s="103"/>
      <c r="CL460" s="103"/>
      <c r="CM460" s="103"/>
      <c r="CN460" s="103"/>
      <c r="CO460" s="103"/>
      <c r="CP460" s="103"/>
      <c r="CQ460" s="103"/>
      <c r="CR460" s="103"/>
      <c r="CS460" s="103"/>
      <c r="CT460" s="103"/>
      <c r="CU460" s="103"/>
      <c r="CV460" s="103"/>
      <c r="CW460" s="103"/>
      <c r="CX460" s="103"/>
      <c r="CY460" s="103"/>
      <c r="CZ460" s="103"/>
      <c r="DA460" s="103"/>
      <c r="DB460" s="103"/>
      <c r="DC460" s="103"/>
      <c r="DD460" s="103"/>
      <c r="DE460" s="103"/>
      <c r="DF460" s="465"/>
      <c r="DG460" s="107"/>
      <c r="DH460" s="107"/>
      <c r="DI460" s="465"/>
      <c r="DJ460" s="51"/>
      <c r="DK460" s="52"/>
      <c r="DL460" s="52"/>
      <c r="DM460" s="52"/>
      <c r="DN460" s="52"/>
      <c r="DO460" s="52"/>
      <c r="DP460" s="52"/>
      <c r="DQ460" s="52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P460" s="53"/>
      <c r="EQ460" s="1"/>
      <c r="ER460" s="103"/>
      <c r="ES460" s="102"/>
      <c r="ET460" s="1"/>
      <c r="EU460" s="103"/>
      <c r="EV460" s="1"/>
      <c r="EW460" s="1"/>
      <c r="EX460" s="1"/>
      <c r="EY460" s="104"/>
    </row>
    <row r="461" spans="9:155">
      <c r="I461" s="132"/>
      <c r="J461" s="365"/>
      <c r="K461" s="1"/>
      <c r="L461" s="1"/>
      <c r="M461" s="366"/>
      <c r="P461" s="365"/>
      <c r="S461" s="53"/>
      <c r="T461" s="365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364"/>
      <c r="AO461" s="364"/>
      <c r="AP461" s="364"/>
      <c r="AQ461" s="364"/>
      <c r="AR461" s="364"/>
      <c r="AS461" s="1"/>
      <c r="AT461" s="103"/>
      <c r="AU461" s="103"/>
      <c r="AV461" s="103"/>
      <c r="AW461" s="31"/>
      <c r="AX461" s="31"/>
      <c r="AY461" s="31"/>
      <c r="AZ461" s="31"/>
      <c r="BA461" s="146"/>
      <c r="BB461" s="146"/>
      <c r="BC461" s="103"/>
      <c r="BD461" s="103"/>
      <c r="BE461" s="103"/>
      <c r="BF461" s="103"/>
      <c r="BG461" s="104"/>
      <c r="BH461" s="104"/>
      <c r="BI461" s="102"/>
      <c r="BJ461" s="104"/>
      <c r="BK461" s="104"/>
      <c r="BL461" s="103"/>
      <c r="BM461" s="103"/>
      <c r="BN461" s="103"/>
      <c r="BO461" s="103"/>
      <c r="BP461" s="103"/>
      <c r="BQ461" s="103"/>
      <c r="BR461" s="103"/>
      <c r="BS461" s="103"/>
      <c r="BT461" s="103"/>
      <c r="BU461" s="103"/>
      <c r="BV461" s="103"/>
      <c r="BW461" s="103"/>
      <c r="BX461" s="103"/>
      <c r="BY461" s="103"/>
      <c r="BZ461" s="103"/>
      <c r="CA461" s="103"/>
      <c r="CB461" s="104"/>
      <c r="CC461" s="104"/>
      <c r="CD461" s="104"/>
      <c r="CE461" s="104"/>
      <c r="CF461" s="104"/>
      <c r="CG461" s="104"/>
      <c r="CH461" s="103"/>
      <c r="CI461" s="103"/>
      <c r="CJ461" s="103"/>
      <c r="CK461" s="103"/>
      <c r="CL461" s="103"/>
      <c r="CM461" s="103"/>
      <c r="CN461" s="103"/>
      <c r="CO461" s="103"/>
      <c r="CP461" s="103"/>
      <c r="CQ461" s="103"/>
      <c r="CR461" s="103"/>
      <c r="CS461" s="103"/>
      <c r="CT461" s="103"/>
      <c r="CU461" s="103"/>
      <c r="CV461" s="103"/>
      <c r="CW461" s="103"/>
      <c r="CX461" s="103"/>
      <c r="CY461" s="103"/>
      <c r="CZ461" s="103"/>
      <c r="DA461" s="103"/>
      <c r="DB461" s="103"/>
      <c r="DC461" s="103"/>
      <c r="DD461" s="103"/>
      <c r="DE461" s="103"/>
      <c r="DF461" s="465"/>
      <c r="DG461" s="107"/>
      <c r="DH461" s="107"/>
      <c r="DI461" s="465"/>
      <c r="DJ461" s="51"/>
      <c r="DK461" s="52"/>
      <c r="DL461" s="52"/>
      <c r="DM461" s="52"/>
      <c r="DN461" s="52"/>
      <c r="DO461" s="52"/>
      <c r="DP461" s="52"/>
      <c r="DQ461" s="52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P461" s="53"/>
      <c r="EQ461" s="1"/>
      <c r="ER461" s="103"/>
      <c r="ES461" s="102"/>
      <c r="ET461" s="1"/>
      <c r="EU461" s="103"/>
      <c r="EV461" s="1"/>
      <c r="EW461" s="1"/>
      <c r="EX461" s="1"/>
      <c r="EY461" s="104"/>
    </row>
    <row r="462" spans="9:155">
      <c r="I462" s="132"/>
      <c r="J462" s="365"/>
      <c r="K462" s="1"/>
      <c r="L462" s="1"/>
      <c r="M462" s="366"/>
      <c r="P462" s="365"/>
      <c r="S462" s="53"/>
      <c r="T462" s="365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364"/>
      <c r="AO462" s="364"/>
      <c r="AP462" s="364"/>
      <c r="AQ462" s="364"/>
      <c r="AR462" s="364"/>
      <c r="AS462" s="1"/>
      <c r="AT462" s="103"/>
      <c r="AU462" s="103"/>
      <c r="AV462" s="103"/>
      <c r="AW462" s="31"/>
      <c r="AX462" s="31"/>
      <c r="AY462" s="31"/>
      <c r="AZ462" s="31"/>
      <c r="BA462" s="146"/>
      <c r="BB462" s="146"/>
      <c r="BC462" s="103"/>
      <c r="BD462" s="103"/>
      <c r="BE462" s="103"/>
      <c r="BF462" s="103"/>
      <c r="BG462" s="104"/>
      <c r="BH462" s="104"/>
      <c r="BI462" s="102"/>
      <c r="BJ462" s="104"/>
      <c r="BK462" s="104"/>
      <c r="BL462" s="103"/>
      <c r="BM462" s="103"/>
      <c r="BN462" s="103"/>
      <c r="BO462" s="103"/>
      <c r="BP462" s="103"/>
      <c r="BQ462" s="103"/>
      <c r="BR462" s="103"/>
      <c r="BS462" s="103"/>
      <c r="BT462" s="103"/>
      <c r="BU462" s="103"/>
      <c r="BV462" s="103"/>
      <c r="BW462" s="103"/>
      <c r="BX462" s="103"/>
      <c r="BY462" s="103"/>
      <c r="BZ462" s="103"/>
      <c r="CA462" s="103"/>
      <c r="CB462" s="104"/>
      <c r="CC462" s="104"/>
      <c r="CD462" s="104"/>
      <c r="CE462" s="104"/>
      <c r="CF462" s="104"/>
      <c r="CG462" s="104"/>
      <c r="CH462" s="103"/>
      <c r="CI462" s="103"/>
      <c r="CJ462" s="103"/>
      <c r="CK462" s="103"/>
      <c r="CL462" s="103"/>
      <c r="CM462" s="103"/>
      <c r="CN462" s="103"/>
      <c r="CO462" s="103"/>
      <c r="CP462" s="103"/>
      <c r="CQ462" s="103"/>
      <c r="CR462" s="103"/>
      <c r="CS462" s="103"/>
      <c r="CT462" s="103"/>
      <c r="CU462" s="103"/>
      <c r="CV462" s="103"/>
      <c r="CW462" s="103"/>
      <c r="CX462" s="103"/>
      <c r="CY462" s="103"/>
      <c r="CZ462" s="103"/>
      <c r="DA462" s="103"/>
      <c r="DB462" s="103"/>
      <c r="DC462" s="103"/>
      <c r="DD462" s="103"/>
      <c r="DE462" s="103"/>
      <c r="DF462" s="465"/>
      <c r="DG462" s="107"/>
      <c r="DH462" s="107"/>
      <c r="DI462" s="465"/>
      <c r="DJ462" s="51"/>
      <c r="DK462" s="52"/>
      <c r="DL462" s="52"/>
      <c r="DM462" s="52"/>
      <c r="DN462" s="52"/>
      <c r="DO462" s="52"/>
      <c r="DP462" s="52"/>
      <c r="DQ462" s="52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P462" s="53"/>
      <c r="EQ462" s="1"/>
      <c r="ER462" s="103"/>
      <c r="ES462" s="102"/>
      <c r="ET462" s="1"/>
      <c r="EU462" s="103"/>
      <c r="EV462" s="1"/>
      <c r="EW462" s="1"/>
      <c r="EX462" s="1"/>
      <c r="EY462" s="104"/>
    </row>
    <row r="463" spans="9:155">
      <c r="I463" s="132"/>
      <c r="J463" s="365"/>
      <c r="K463" s="1"/>
      <c r="L463" s="1"/>
      <c r="M463" s="366"/>
      <c r="P463" s="365"/>
      <c r="S463" s="53"/>
      <c r="T463" s="365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364"/>
      <c r="AO463" s="364"/>
      <c r="AP463" s="364"/>
      <c r="AQ463" s="364"/>
      <c r="AR463" s="364"/>
      <c r="AS463" s="1"/>
      <c r="AT463" s="103"/>
      <c r="AU463" s="103"/>
      <c r="AV463" s="103"/>
      <c r="AW463" s="31"/>
      <c r="AX463" s="31"/>
      <c r="AY463" s="31"/>
      <c r="AZ463" s="31"/>
      <c r="BA463" s="146"/>
      <c r="BB463" s="146"/>
      <c r="BC463" s="103"/>
      <c r="BD463" s="103"/>
      <c r="BE463" s="103"/>
      <c r="BF463" s="103"/>
      <c r="BG463" s="104"/>
      <c r="BH463" s="104"/>
      <c r="BI463" s="102"/>
      <c r="BJ463" s="104"/>
      <c r="BK463" s="104"/>
      <c r="BL463" s="103"/>
      <c r="BM463" s="103"/>
      <c r="BN463" s="103"/>
      <c r="BO463" s="103"/>
      <c r="BP463" s="103"/>
      <c r="BQ463" s="103"/>
      <c r="BR463" s="103"/>
      <c r="BS463" s="103"/>
      <c r="BT463" s="103"/>
      <c r="BU463" s="103"/>
      <c r="BV463" s="103"/>
      <c r="BW463" s="103"/>
      <c r="BX463" s="103"/>
      <c r="BY463" s="103"/>
      <c r="BZ463" s="103"/>
      <c r="CA463" s="103"/>
      <c r="CB463" s="104"/>
      <c r="CC463" s="104"/>
      <c r="CD463" s="104"/>
      <c r="CE463" s="104"/>
      <c r="CF463" s="104"/>
      <c r="CG463" s="104"/>
      <c r="CH463" s="103"/>
      <c r="CI463" s="103"/>
      <c r="CJ463" s="103"/>
      <c r="CK463" s="103"/>
      <c r="CL463" s="103"/>
      <c r="CM463" s="103"/>
      <c r="CN463" s="103"/>
      <c r="CO463" s="103"/>
      <c r="CP463" s="103"/>
      <c r="CQ463" s="103"/>
      <c r="CR463" s="103"/>
      <c r="CS463" s="103"/>
      <c r="CT463" s="103"/>
      <c r="CU463" s="103"/>
      <c r="CV463" s="103"/>
      <c r="CW463" s="103"/>
      <c r="CX463" s="103"/>
      <c r="CY463" s="103"/>
      <c r="CZ463" s="103"/>
      <c r="DA463" s="103"/>
      <c r="DB463" s="103"/>
      <c r="DC463" s="103"/>
      <c r="DD463" s="103"/>
      <c r="DE463" s="103"/>
      <c r="DF463" s="465"/>
      <c r="DG463" s="107"/>
      <c r="DH463" s="107"/>
      <c r="DI463" s="465"/>
      <c r="DJ463" s="51"/>
      <c r="DK463" s="52"/>
      <c r="DL463" s="52"/>
      <c r="DM463" s="52"/>
      <c r="DN463" s="52"/>
      <c r="DO463" s="52"/>
      <c r="DP463" s="52"/>
      <c r="DQ463" s="52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P463" s="53"/>
      <c r="EQ463" s="1"/>
      <c r="ER463" s="103"/>
      <c r="ES463" s="102"/>
      <c r="ET463" s="1"/>
      <c r="EU463" s="103"/>
      <c r="EV463" s="1"/>
      <c r="EW463" s="1"/>
      <c r="EX463" s="1"/>
      <c r="EY463" s="104"/>
    </row>
    <row r="464" spans="9:155">
      <c r="I464" s="132"/>
      <c r="J464" s="365"/>
      <c r="K464" s="1"/>
      <c r="L464" s="1"/>
      <c r="M464" s="366"/>
      <c r="P464" s="365"/>
      <c r="S464" s="53"/>
      <c r="T464" s="365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364"/>
      <c r="AO464" s="364"/>
      <c r="AP464" s="364"/>
      <c r="AQ464" s="364"/>
      <c r="AR464" s="364"/>
      <c r="AS464" s="1"/>
      <c r="AT464" s="103"/>
      <c r="AU464" s="103"/>
      <c r="AV464" s="103"/>
      <c r="AW464" s="31"/>
      <c r="AX464" s="31"/>
      <c r="AY464" s="31"/>
      <c r="AZ464" s="31"/>
      <c r="BA464" s="146"/>
      <c r="BB464" s="146"/>
      <c r="BC464" s="103"/>
      <c r="BD464" s="103"/>
      <c r="BE464" s="103"/>
      <c r="BF464" s="103"/>
      <c r="BG464" s="104"/>
      <c r="BH464" s="104"/>
      <c r="BI464" s="102"/>
      <c r="BJ464" s="104"/>
      <c r="BK464" s="104"/>
      <c r="BL464" s="103"/>
      <c r="BM464" s="103"/>
      <c r="BN464" s="103"/>
      <c r="BO464" s="103"/>
      <c r="BP464" s="103"/>
      <c r="BQ464" s="103"/>
      <c r="BR464" s="103"/>
      <c r="BS464" s="103"/>
      <c r="BT464" s="103"/>
      <c r="BU464" s="103"/>
      <c r="BV464" s="103"/>
      <c r="BW464" s="103"/>
      <c r="BX464" s="103"/>
      <c r="BY464" s="103"/>
      <c r="BZ464" s="103"/>
      <c r="CA464" s="103"/>
      <c r="CB464" s="104"/>
      <c r="CC464" s="104"/>
      <c r="CD464" s="104"/>
      <c r="CE464" s="104"/>
      <c r="CF464" s="104"/>
      <c r="CG464" s="104"/>
      <c r="CH464" s="103"/>
      <c r="CI464" s="103"/>
      <c r="CJ464" s="103"/>
      <c r="CK464" s="103"/>
      <c r="CL464" s="103"/>
      <c r="CM464" s="103"/>
      <c r="CN464" s="103"/>
      <c r="CO464" s="103"/>
      <c r="CP464" s="103"/>
      <c r="CQ464" s="103"/>
      <c r="CR464" s="103"/>
      <c r="CS464" s="103"/>
      <c r="CT464" s="103"/>
      <c r="CU464" s="103"/>
      <c r="CV464" s="103"/>
      <c r="CW464" s="103"/>
      <c r="CX464" s="103"/>
      <c r="CY464" s="103"/>
      <c r="CZ464" s="103"/>
      <c r="DA464" s="103"/>
      <c r="DB464" s="103"/>
      <c r="DC464" s="103"/>
      <c r="DD464" s="103"/>
      <c r="DE464" s="103"/>
      <c r="DF464" s="465"/>
      <c r="DG464" s="107"/>
      <c r="DH464" s="107"/>
      <c r="DI464" s="465"/>
      <c r="DJ464" s="51"/>
      <c r="DK464" s="52"/>
      <c r="DL464" s="52"/>
      <c r="DM464" s="52"/>
      <c r="DN464" s="52"/>
      <c r="DO464" s="52"/>
      <c r="DP464" s="52"/>
      <c r="DQ464" s="52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P464" s="53"/>
      <c r="EQ464" s="1"/>
      <c r="ER464" s="103"/>
      <c r="ES464" s="102"/>
      <c r="ET464" s="1"/>
      <c r="EU464" s="103"/>
      <c r="EV464" s="1"/>
      <c r="EW464" s="1"/>
      <c r="EX464" s="1"/>
      <c r="EY464" s="104"/>
    </row>
    <row r="465" spans="9:155">
      <c r="I465" s="132"/>
      <c r="J465" s="365"/>
      <c r="K465" s="1"/>
      <c r="L465" s="1"/>
      <c r="M465" s="366"/>
      <c r="P465" s="365"/>
      <c r="S465" s="53"/>
      <c r="T465" s="365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364"/>
      <c r="AO465" s="364"/>
      <c r="AP465" s="364"/>
      <c r="AQ465" s="364"/>
      <c r="AR465" s="364"/>
      <c r="AS465" s="1"/>
      <c r="AT465" s="103"/>
      <c r="AU465" s="103"/>
      <c r="AV465" s="103"/>
      <c r="AW465" s="31"/>
      <c r="AX465" s="31"/>
      <c r="AY465" s="31"/>
      <c r="AZ465" s="31"/>
      <c r="BA465" s="146"/>
      <c r="BB465" s="146"/>
      <c r="BC465" s="103"/>
      <c r="BD465" s="103"/>
      <c r="BE465" s="103"/>
      <c r="BF465" s="103"/>
      <c r="BG465" s="104"/>
      <c r="BH465" s="104"/>
      <c r="BI465" s="102"/>
      <c r="BJ465" s="104"/>
      <c r="BK465" s="104"/>
      <c r="BL465" s="103"/>
      <c r="BM465" s="103"/>
      <c r="BN465" s="103"/>
      <c r="BO465" s="103"/>
      <c r="BP465" s="103"/>
      <c r="BQ465" s="103"/>
      <c r="BR465" s="103"/>
      <c r="BS465" s="103"/>
      <c r="BT465" s="103"/>
      <c r="BU465" s="103"/>
      <c r="BV465" s="103"/>
      <c r="BW465" s="103"/>
      <c r="BX465" s="103"/>
      <c r="BY465" s="103"/>
      <c r="BZ465" s="103"/>
      <c r="CA465" s="103"/>
      <c r="CB465" s="104"/>
      <c r="CC465" s="104"/>
      <c r="CD465" s="104"/>
      <c r="CE465" s="104"/>
      <c r="CF465" s="104"/>
      <c r="CG465" s="104"/>
      <c r="CH465" s="103"/>
      <c r="CI465" s="103"/>
      <c r="CJ465" s="103"/>
      <c r="CK465" s="103"/>
      <c r="CL465" s="103"/>
      <c r="CM465" s="103"/>
      <c r="CN465" s="103"/>
      <c r="CO465" s="103"/>
      <c r="CP465" s="103"/>
      <c r="CQ465" s="103"/>
      <c r="CR465" s="103"/>
      <c r="CS465" s="103"/>
      <c r="CT465" s="103"/>
      <c r="CU465" s="103"/>
      <c r="CV465" s="103"/>
      <c r="CW465" s="103"/>
      <c r="CX465" s="103"/>
      <c r="CY465" s="103"/>
      <c r="CZ465" s="103"/>
      <c r="DA465" s="103"/>
      <c r="DB465" s="103"/>
      <c r="DC465" s="103"/>
      <c r="DD465" s="103"/>
      <c r="DE465" s="103"/>
      <c r="DF465" s="465"/>
      <c r="DG465" s="107"/>
      <c r="DH465" s="107"/>
      <c r="DI465" s="465"/>
      <c r="DJ465" s="51"/>
      <c r="DK465" s="52"/>
      <c r="DL465" s="52"/>
      <c r="DM465" s="52"/>
      <c r="DN465" s="52"/>
      <c r="DO465" s="52"/>
      <c r="DP465" s="52"/>
      <c r="DQ465" s="52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P465" s="53"/>
      <c r="EQ465" s="1"/>
      <c r="ER465" s="103"/>
      <c r="ES465" s="102"/>
      <c r="ET465" s="1"/>
      <c r="EU465" s="103"/>
      <c r="EV465" s="1"/>
      <c r="EW465" s="1"/>
      <c r="EX465" s="1"/>
      <c r="EY465" s="104"/>
    </row>
    <row r="466" spans="9:155">
      <c r="I466" s="132"/>
      <c r="J466" s="365"/>
      <c r="K466" s="1"/>
      <c r="L466" s="1"/>
      <c r="M466" s="366"/>
      <c r="P466" s="365"/>
      <c r="S466" s="53"/>
      <c r="T466" s="365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364"/>
      <c r="AO466" s="364"/>
      <c r="AP466" s="364"/>
      <c r="AQ466" s="364"/>
      <c r="AR466" s="364"/>
      <c r="AS466" s="1"/>
      <c r="AT466" s="103"/>
      <c r="AU466" s="103"/>
      <c r="AV466" s="103"/>
      <c r="AW466" s="31"/>
      <c r="AX466" s="31"/>
      <c r="AY466" s="31"/>
      <c r="AZ466" s="31"/>
      <c r="BA466" s="146"/>
      <c r="BB466" s="146"/>
      <c r="BC466" s="103"/>
      <c r="BD466" s="103"/>
      <c r="BE466" s="103"/>
      <c r="BF466" s="103"/>
      <c r="BG466" s="104"/>
      <c r="BH466" s="104"/>
      <c r="BI466" s="102"/>
      <c r="BJ466" s="104"/>
      <c r="BK466" s="104"/>
      <c r="BL466" s="103"/>
      <c r="BM466" s="103"/>
      <c r="BN466" s="103"/>
      <c r="BO466" s="103"/>
      <c r="BP466" s="103"/>
      <c r="BQ466" s="103"/>
      <c r="BR466" s="103"/>
      <c r="BS466" s="103"/>
      <c r="BT466" s="103"/>
      <c r="BU466" s="103"/>
      <c r="BV466" s="103"/>
      <c r="BW466" s="103"/>
      <c r="BX466" s="103"/>
      <c r="BY466" s="103"/>
      <c r="BZ466" s="103"/>
      <c r="CA466" s="103"/>
      <c r="CB466" s="104"/>
      <c r="CC466" s="104"/>
      <c r="CD466" s="104"/>
      <c r="CE466" s="104"/>
      <c r="CF466" s="104"/>
      <c r="CG466" s="104"/>
      <c r="CH466" s="103"/>
      <c r="CI466" s="103"/>
      <c r="CJ466" s="103"/>
      <c r="CK466" s="103"/>
      <c r="CL466" s="103"/>
      <c r="CM466" s="103"/>
      <c r="CN466" s="103"/>
      <c r="CO466" s="103"/>
      <c r="CP466" s="103"/>
      <c r="CQ466" s="103"/>
      <c r="CR466" s="103"/>
      <c r="CS466" s="103"/>
      <c r="CT466" s="103"/>
      <c r="CU466" s="103"/>
      <c r="CV466" s="103"/>
      <c r="CW466" s="103"/>
      <c r="CX466" s="103"/>
      <c r="CY466" s="103"/>
      <c r="CZ466" s="103"/>
      <c r="DA466" s="103"/>
      <c r="DB466" s="103"/>
      <c r="DC466" s="103"/>
      <c r="DD466" s="103"/>
      <c r="DE466" s="103"/>
      <c r="DF466" s="465"/>
      <c r="DG466" s="107"/>
      <c r="DH466" s="107"/>
      <c r="DI466" s="465"/>
      <c r="DJ466" s="51"/>
      <c r="DK466" s="52"/>
      <c r="DL466" s="52"/>
      <c r="DM466" s="52"/>
      <c r="DN466" s="52"/>
      <c r="DO466" s="52"/>
      <c r="DP466" s="52"/>
      <c r="DQ466" s="52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P466" s="53"/>
      <c r="EQ466" s="1"/>
      <c r="ER466" s="103"/>
      <c r="ES466" s="102"/>
      <c r="ET466" s="1"/>
      <c r="EU466" s="103"/>
      <c r="EV466" s="1"/>
      <c r="EW466" s="1"/>
      <c r="EX466" s="1"/>
      <c r="EY466" s="104"/>
    </row>
    <row r="467" spans="9:155">
      <c r="I467" s="132"/>
      <c r="J467" s="365"/>
      <c r="K467" s="1"/>
      <c r="L467" s="1"/>
      <c r="M467" s="366"/>
      <c r="P467" s="365"/>
      <c r="S467" s="53"/>
      <c r="T467" s="365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364"/>
      <c r="AO467" s="364"/>
      <c r="AP467" s="364"/>
      <c r="AQ467" s="364"/>
      <c r="AR467" s="364"/>
      <c r="AS467" s="1"/>
      <c r="AT467" s="103"/>
      <c r="AU467" s="103"/>
      <c r="AV467" s="103"/>
      <c r="AW467" s="31"/>
      <c r="AX467" s="31"/>
      <c r="AY467" s="31"/>
      <c r="AZ467" s="31"/>
      <c r="BA467" s="146"/>
      <c r="BB467" s="146"/>
      <c r="BC467" s="103"/>
      <c r="BD467" s="103"/>
      <c r="BE467" s="103"/>
      <c r="BF467" s="103"/>
      <c r="BG467" s="104"/>
      <c r="BH467" s="104"/>
      <c r="BI467" s="102"/>
      <c r="BJ467" s="104"/>
      <c r="BK467" s="104"/>
      <c r="BL467" s="103"/>
      <c r="BM467" s="103"/>
      <c r="BN467" s="103"/>
      <c r="BO467" s="103"/>
      <c r="BP467" s="103"/>
      <c r="BQ467" s="103"/>
      <c r="BR467" s="103"/>
      <c r="BS467" s="103"/>
      <c r="BT467" s="103"/>
      <c r="BU467" s="103"/>
      <c r="BV467" s="103"/>
      <c r="BW467" s="103"/>
      <c r="BX467" s="103"/>
      <c r="BY467" s="103"/>
      <c r="BZ467" s="103"/>
      <c r="CA467" s="103"/>
      <c r="CB467" s="104"/>
      <c r="CC467" s="104"/>
      <c r="CD467" s="104"/>
      <c r="CE467" s="104"/>
      <c r="CF467" s="104"/>
      <c r="CG467" s="104"/>
      <c r="CH467" s="103"/>
      <c r="CI467" s="103"/>
      <c r="CJ467" s="103"/>
      <c r="CK467" s="103"/>
      <c r="CL467" s="103"/>
      <c r="CM467" s="103"/>
      <c r="CN467" s="103"/>
      <c r="CO467" s="103"/>
      <c r="CP467" s="103"/>
      <c r="CQ467" s="103"/>
      <c r="CR467" s="103"/>
      <c r="CS467" s="103"/>
      <c r="CT467" s="103"/>
      <c r="CU467" s="103"/>
      <c r="CV467" s="103"/>
      <c r="CW467" s="103"/>
      <c r="CX467" s="103"/>
      <c r="CY467" s="103"/>
      <c r="CZ467" s="103"/>
      <c r="DA467" s="103"/>
      <c r="DB467" s="103"/>
      <c r="DC467" s="103"/>
      <c r="DD467" s="103"/>
      <c r="DE467" s="103"/>
      <c r="DF467" s="465"/>
      <c r="DG467" s="107"/>
      <c r="DH467" s="107"/>
      <c r="DI467" s="465"/>
      <c r="DJ467" s="51"/>
      <c r="DK467" s="52"/>
      <c r="DL467" s="52"/>
      <c r="DM467" s="52"/>
      <c r="DN467" s="52"/>
      <c r="DO467" s="52"/>
      <c r="DP467" s="52"/>
      <c r="DQ467" s="52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P467" s="53"/>
      <c r="EQ467" s="1"/>
      <c r="ER467" s="103"/>
      <c r="ES467" s="102"/>
      <c r="ET467" s="1"/>
      <c r="EU467" s="103"/>
      <c r="EV467" s="1"/>
      <c r="EW467" s="1"/>
      <c r="EX467" s="1"/>
      <c r="EY467" s="104"/>
    </row>
    <row r="468" spans="9:155">
      <c r="I468" s="132"/>
      <c r="J468" s="365"/>
      <c r="K468" s="1"/>
      <c r="L468" s="1"/>
      <c r="M468" s="366"/>
      <c r="P468" s="365"/>
      <c r="S468" s="53"/>
      <c r="T468" s="365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364"/>
      <c r="AO468" s="364"/>
      <c r="AP468" s="364"/>
      <c r="AQ468" s="364"/>
      <c r="AR468" s="364"/>
      <c r="AS468" s="1"/>
      <c r="AT468" s="103"/>
      <c r="AU468" s="103"/>
      <c r="AV468" s="103"/>
      <c r="AW468" s="31"/>
      <c r="AX468" s="31"/>
      <c r="AY468" s="31"/>
      <c r="AZ468" s="31"/>
      <c r="BA468" s="146"/>
      <c r="BB468" s="146"/>
      <c r="BC468" s="103"/>
      <c r="BD468" s="103"/>
      <c r="BE468" s="103"/>
      <c r="BF468" s="103"/>
      <c r="BG468" s="104"/>
      <c r="BH468" s="104"/>
      <c r="BI468" s="102"/>
      <c r="BJ468" s="104"/>
      <c r="BK468" s="104"/>
      <c r="BL468" s="103"/>
      <c r="BM468" s="103"/>
      <c r="BN468" s="103"/>
      <c r="BO468" s="103"/>
      <c r="BP468" s="103"/>
      <c r="BQ468" s="103"/>
      <c r="BR468" s="103"/>
      <c r="BS468" s="103"/>
      <c r="BT468" s="103"/>
      <c r="BU468" s="103"/>
      <c r="BV468" s="103"/>
      <c r="BW468" s="103"/>
      <c r="BX468" s="103"/>
      <c r="BY468" s="103"/>
      <c r="BZ468" s="103"/>
      <c r="CA468" s="103"/>
      <c r="CB468" s="104"/>
      <c r="CC468" s="104"/>
      <c r="CD468" s="104"/>
      <c r="CE468" s="104"/>
      <c r="CF468" s="104"/>
      <c r="CG468" s="104"/>
      <c r="CH468" s="103"/>
      <c r="CI468" s="103"/>
      <c r="CJ468" s="103"/>
      <c r="CK468" s="103"/>
      <c r="CL468" s="103"/>
      <c r="CM468" s="103"/>
      <c r="CN468" s="103"/>
      <c r="CO468" s="103"/>
      <c r="CP468" s="103"/>
      <c r="CQ468" s="103"/>
      <c r="CR468" s="103"/>
      <c r="CS468" s="103"/>
      <c r="CT468" s="103"/>
      <c r="CU468" s="103"/>
      <c r="CV468" s="103"/>
      <c r="CW468" s="103"/>
      <c r="CX468" s="103"/>
      <c r="CY468" s="103"/>
      <c r="CZ468" s="103"/>
      <c r="DA468" s="103"/>
      <c r="DB468" s="103"/>
      <c r="DC468" s="103"/>
      <c r="DD468" s="103"/>
      <c r="DE468" s="103"/>
      <c r="DF468" s="465"/>
      <c r="DG468" s="107"/>
      <c r="DH468" s="107"/>
      <c r="DI468" s="465"/>
      <c r="DJ468" s="51"/>
      <c r="DK468" s="52"/>
      <c r="DL468" s="52"/>
      <c r="DM468" s="52"/>
      <c r="DN468" s="52"/>
      <c r="DO468" s="52"/>
      <c r="DP468" s="52"/>
      <c r="DQ468" s="52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P468" s="53"/>
      <c r="EQ468" s="1"/>
      <c r="ER468" s="103"/>
      <c r="ES468" s="102"/>
      <c r="ET468" s="1"/>
      <c r="EU468" s="103"/>
      <c r="EV468" s="1"/>
      <c r="EW468" s="1"/>
      <c r="EX468" s="1"/>
      <c r="EY468" s="104"/>
    </row>
    <row r="469" spans="9:155">
      <c r="I469" s="132"/>
      <c r="J469" s="365"/>
      <c r="K469" s="1"/>
      <c r="L469" s="1"/>
      <c r="M469" s="366"/>
      <c r="P469" s="365"/>
      <c r="S469" s="53"/>
      <c r="T469" s="365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364"/>
      <c r="AO469" s="364"/>
      <c r="AP469" s="364"/>
      <c r="AQ469" s="364"/>
      <c r="AR469" s="364"/>
      <c r="AS469" s="1"/>
      <c r="AT469" s="103"/>
      <c r="AU469" s="103"/>
      <c r="AV469" s="103"/>
      <c r="AW469" s="31"/>
      <c r="AX469" s="31"/>
      <c r="AY469" s="31"/>
      <c r="AZ469" s="31"/>
      <c r="BA469" s="146"/>
      <c r="BB469" s="146"/>
      <c r="BC469" s="103"/>
      <c r="BD469" s="103"/>
      <c r="BE469" s="103"/>
      <c r="BF469" s="103"/>
      <c r="BG469" s="104"/>
      <c r="BH469" s="104"/>
      <c r="BI469" s="102"/>
      <c r="BJ469" s="104"/>
      <c r="BK469" s="104"/>
      <c r="BL469" s="103"/>
      <c r="BM469" s="103"/>
      <c r="BN469" s="103"/>
      <c r="BO469" s="103"/>
      <c r="BP469" s="103"/>
      <c r="BQ469" s="103"/>
      <c r="BR469" s="103"/>
      <c r="BS469" s="103"/>
      <c r="BT469" s="103"/>
      <c r="BU469" s="103"/>
      <c r="BV469" s="103"/>
      <c r="BW469" s="103"/>
      <c r="BX469" s="103"/>
      <c r="BY469" s="103"/>
      <c r="BZ469" s="103"/>
      <c r="CA469" s="103"/>
      <c r="CB469" s="104"/>
      <c r="CC469" s="104"/>
      <c r="CD469" s="104"/>
      <c r="CE469" s="104"/>
      <c r="CF469" s="104"/>
      <c r="CG469" s="104"/>
      <c r="CH469" s="103"/>
      <c r="CI469" s="103"/>
      <c r="CJ469" s="103"/>
      <c r="CK469" s="103"/>
      <c r="CL469" s="103"/>
      <c r="CM469" s="103"/>
      <c r="CN469" s="103"/>
      <c r="CO469" s="103"/>
      <c r="CP469" s="103"/>
      <c r="CQ469" s="103"/>
      <c r="CR469" s="103"/>
      <c r="CS469" s="103"/>
      <c r="CT469" s="103"/>
      <c r="CU469" s="103"/>
      <c r="CV469" s="103"/>
      <c r="CW469" s="103"/>
      <c r="CX469" s="103"/>
      <c r="CY469" s="103"/>
      <c r="CZ469" s="103"/>
      <c r="DA469" s="103"/>
      <c r="DB469" s="103"/>
      <c r="DC469" s="103"/>
      <c r="DD469" s="103"/>
      <c r="DE469" s="103"/>
      <c r="DF469" s="465"/>
      <c r="DG469" s="107"/>
      <c r="DH469" s="107"/>
      <c r="DI469" s="465"/>
      <c r="DJ469" s="51"/>
      <c r="DK469" s="52"/>
      <c r="DL469" s="52"/>
      <c r="DM469" s="52"/>
      <c r="DN469" s="52"/>
      <c r="DO469" s="52"/>
      <c r="DP469" s="52"/>
      <c r="DQ469" s="52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P469" s="53"/>
      <c r="EQ469" s="1"/>
      <c r="ER469" s="103"/>
      <c r="ES469" s="102"/>
      <c r="ET469" s="1"/>
      <c r="EU469" s="103"/>
      <c r="EV469" s="1"/>
      <c r="EW469" s="1"/>
      <c r="EX469" s="1"/>
      <c r="EY469" s="104"/>
    </row>
    <row r="470" spans="9:155">
      <c r="I470" s="132"/>
      <c r="J470" s="365"/>
      <c r="K470" s="1"/>
      <c r="L470" s="1"/>
      <c r="M470" s="366"/>
      <c r="P470" s="365"/>
      <c r="S470" s="53"/>
      <c r="T470" s="365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364"/>
      <c r="AO470" s="364"/>
      <c r="AP470" s="364"/>
      <c r="AQ470" s="364"/>
      <c r="AR470" s="364"/>
      <c r="AS470" s="1"/>
      <c r="AT470" s="103"/>
      <c r="AU470" s="103"/>
      <c r="AV470" s="103"/>
      <c r="AW470" s="31"/>
      <c r="AX470" s="31"/>
      <c r="AY470" s="31"/>
      <c r="AZ470" s="31"/>
      <c r="BA470" s="146"/>
      <c r="BB470" s="146"/>
      <c r="BC470" s="103"/>
      <c r="BD470" s="103"/>
      <c r="BE470" s="103"/>
      <c r="BF470" s="103"/>
      <c r="BG470" s="104"/>
      <c r="BH470" s="104"/>
      <c r="BI470" s="102"/>
      <c r="BJ470" s="104"/>
      <c r="BK470" s="104"/>
      <c r="BL470" s="103"/>
      <c r="BM470" s="103"/>
      <c r="BN470" s="103"/>
      <c r="BO470" s="103"/>
      <c r="BP470" s="103"/>
      <c r="BQ470" s="103"/>
      <c r="BR470" s="103"/>
      <c r="BS470" s="103"/>
      <c r="BT470" s="103"/>
      <c r="BU470" s="103"/>
      <c r="BV470" s="103"/>
      <c r="BW470" s="103"/>
      <c r="BX470" s="103"/>
      <c r="BY470" s="103"/>
      <c r="BZ470" s="103"/>
      <c r="CA470" s="103"/>
      <c r="CB470" s="104"/>
      <c r="CC470" s="104"/>
      <c r="CD470" s="104"/>
      <c r="CE470" s="104"/>
      <c r="CF470" s="104"/>
      <c r="CG470" s="104"/>
      <c r="CH470" s="103"/>
      <c r="CI470" s="103"/>
      <c r="CJ470" s="103"/>
      <c r="CK470" s="103"/>
      <c r="CL470" s="103"/>
      <c r="CM470" s="103"/>
      <c r="CN470" s="103"/>
      <c r="CO470" s="103"/>
      <c r="CP470" s="103"/>
      <c r="CQ470" s="103"/>
      <c r="CR470" s="103"/>
      <c r="CS470" s="103"/>
      <c r="CT470" s="103"/>
      <c r="CU470" s="103"/>
      <c r="CV470" s="103"/>
      <c r="CW470" s="103"/>
      <c r="CX470" s="103"/>
      <c r="CY470" s="103"/>
      <c r="CZ470" s="103"/>
      <c r="DA470" s="103"/>
      <c r="DB470" s="103"/>
      <c r="DC470" s="103"/>
      <c r="DD470" s="103"/>
      <c r="DE470" s="103"/>
      <c r="DF470" s="465"/>
      <c r="DG470" s="107"/>
      <c r="DH470" s="107"/>
      <c r="DI470" s="465"/>
      <c r="DJ470" s="51"/>
      <c r="DK470" s="52"/>
      <c r="DL470" s="52"/>
      <c r="DM470" s="52"/>
      <c r="DN470" s="52"/>
      <c r="DO470" s="52"/>
      <c r="DP470" s="52"/>
      <c r="DQ470" s="52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P470" s="53"/>
      <c r="EQ470" s="1"/>
      <c r="ER470" s="103"/>
      <c r="ES470" s="102"/>
      <c r="ET470" s="1"/>
      <c r="EU470" s="103"/>
      <c r="EV470" s="1"/>
      <c r="EW470" s="1"/>
      <c r="EX470" s="1"/>
      <c r="EY470" s="104"/>
    </row>
    <row r="471" spans="9:155">
      <c r="I471" s="132"/>
      <c r="J471" s="365"/>
      <c r="K471" s="1"/>
      <c r="L471" s="1"/>
      <c r="M471" s="366"/>
      <c r="P471" s="365"/>
      <c r="S471" s="53"/>
      <c r="T471" s="365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364"/>
      <c r="AO471" s="364"/>
      <c r="AP471" s="364"/>
      <c r="AQ471" s="364"/>
      <c r="AR471" s="364"/>
      <c r="AS471" s="1"/>
      <c r="AT471" s="103"/>
      <c r="AU471" s="103"/>
      <c r="AV471" s="103"/>
      <c r="AW471" s="31"/>
      <c r="AX471" s="31"/>
      <c r="AY471" s="31"/>
      <c r="AZ471" s="31"/>
      <c r="BA471" s="146"/>
      <c r="BB471" s="146"/>
      <c r="BC471" s="103"/>
      <c r="BD471" s="103"/>
      <c r="BE471" s="103"/>
      <c r="BF471" s="103"/>
      <c r="BG471" s="104"/>
      <c r="BH471" s="104"/>
      <c r="BI471" s="102"/>
      <c r="BJ471" s="104"/>
      <c r="BK471" s="104"/>
      <c r="BL471" s="103"/>
      <c r="BM471" s="103"/>
      <c r="BN471" s="103"/>
      <c r="BO471" s="103"/>
      <c r="BP471" s="103"/>
      <c r="BQ471" s="103"/>
      <c r="BR471" s="103"/>
      <c r="BS471" s="103"/>
      <c r="BT471" s="103"/>
      <c r="BU471" s="103"/>
      <c r="BV471" s="103"/>
      <c r="BW471" s="103"/>
      <c r="BX471" s="103"/>
      <c r="BY471" s="103"/>
      <c r="BZ471" s="103"/>
      <c r="CA471" s="103"/>
      <c r="CB471" s="104"/>
      <c r="CC471" s="104"/>
      <c r="CD471" s="104"/>
      <c r="CE471" s="104"/>
      <c r="CF471" s="104"/>
      <c r="CG471" s="104"/>
      <c r="CH471" s="103"/>
      <c r="CI471" s="103"/>
      <c r="CJ471" s="103"/>
      <c r="CK471" s="103"/>
      <c r="CL471" s="103"/>
      <c r="CM471" s="103"/>
      <c r="CN471" s="103"/>
      <c r="CO471" s="103"/>
      <c r="CP471" s="103"/>
      <c r="CQ471" s="103"/>
      <c r="CR471" s="103"/>
      <c r="CS471" s="103"/>
      <c r="CT471" s="103"/>
      <c r="CU471" s="103"/>
      <c r="CV471" s="103"/>
      <c r="CW471" s="103"/>
      <c r="CX471" s="103"/>
      <c r="CY471" s="103"/>
      <c r="CZ471" s="103"/>
      <c r="DA471" s="103"/>
      <c r="DB471" s="103"/>
      <c r="DC471" s="103"/>
      <c r="DD471" s="103"/>
      <c r="DE471" s="103"/>
      <c r="DF471" s="465"/>
      <c r="DG471" s="107"/>
      <c r="DH471" s="107"/>
      <c r="DI471" s="465"/>
      <c r="DJ471" s="51"/>
      <c r="DK471" s="52"/>
      <c r="DL471" s="52"/>
      <c r="DM471" s="52"/>
      <c r="DN471" s="52"/>
      <c r="DO471" s="52"/>
      <c r="DP471" s="52"/>
      <c r="DQ471" s="52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P471" s="53"/>
      <c r="EQ471" s="1"/>
      <c r="ER471" s="103"/>
      <c r="ES471" s="102"/>
      <c r="ET471" s="1"/>
      <c r="EU471" s="103"/>
      <c r="EV471" s="1"/>
      <c r="EW471" s="1"/>
      <c r="EX471" s="1"/>
      <c r="EY471" s="104"/>
    </row>
    <row r="472" spans="9:155">
      <c r="I472" s="132"/>
      <c r="J472" s="365"/>
      <c r="K472" s="1"/>
      <c r="L472" s="1"/>
      <c r="M472" s="366"/>
      <c r="P472" s="365"/>
      <c r="S472" s="53"/>
      <c r="T472" s="365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364"/>
      <c r="AO472" s="364"/>
      <c r="AP472" s="364"/>
      <c r="AQ472" s="364"/>
      <c r="AR472" s="364"/>
      <c r="AS472" s="1"/>
      <c r="AT472" s="103"/>
      <c r="AU472" s="103"/>
      <c r="AV472" s="103"/>
      <c r="AW472" s="31"/>
      <c r="AX472" s="31"/>
      <c r="AY472" s="31"/>
      <c r="AZ472" s="31"/>
      <c r="BA472" s="146"/>
      <c r="BB472" s="146"/>
      <c r="BC472" s="103"/>
      <c r="BD472" s="103"/>
      <c r="BE472" s="103"/>
      <c r="BF472" s="103"/>
      <c r="BG472" s="104"/>
      <c r="BH472" s="104"/>
      <c r="BI472" s="102"/>
      <c r="BJ472" s="104"/>
      <c r="BK472" s="104"/>
      <c r="BL472" s="103"/>
      <c r="BM472" s="103"/>
      <c r="BN472" s="103"/>
      <c r="BO472" s="103"/>
      <c r="BP472" s="103"/>
      <c r="BQ472" s="103"/>
      <c r="BR472" s="103"/>
      <c r="BS472" s="103"/>
      <c r="BT472" s="103"/>
      <c r="BU472" s="103"/>
      <c r="BV472" s="103"/>
      <c r="BW472" s="103"/>
      <c r="BX472" s="103"/>
      <c r="BY472" s="103"/>
      <c r="BZ472" s="103"/>
      <c r="CA472" s="103"/>
      <c r="CB472" s="104"/>
      <c r="CC472" s="104"/>
      <c r="CD472" s="104"/>
      <c r="CE472" s="104"/>
      <c r="CF472" s="104"/>
      <c r="CG472" s="104"/>
      <c r="CH472" s="103"/>
      <c r="CI472" s="103"/>
      <c r="CJ472" s="103"/>
      <c r="CK472" s="103"/>
      <c r="CL472" s="103"/>
      <c r="CM472" s="103"/>
      <c r="CN472" s="103"/>
      <c r="CO472" s="103"/>
      <c r="CP472" s="103"/>
      <c r="CQ472" s="103"/>
      <c r="CR472" s="103"/>
      <c r="CS472" s="103"/>
      <c r="CT472" s="103"/>
      <c r="CU472" s="103"/>
      <c r="CV472" s="103"/>
      <c r="CW472" s="103"/>
      <c r="CX472" s="103"/>
      <c r="CY472" s="103"/>
      <c r="CZ472" s="103"/>
      <c r="DA472" s="103"/>
      <c r="DB472" s="103"/>
      <c r="DC472" s="103"/>
      <c r="DD472" s="103"/>
      <c r="DE472" s="103"/>
      <c r="DF472" s="465"/>
      <c r="DG472" s="107"/>
      <c r="DH472" s="107"/>
      <c r="DI472" s="465"/>
      <c r="DJ472" s="51"/>
      <c r="DK472" s="52"/>
      <c r="DL472" s="52"/>
      <c r="DM472" s="52"/>
      <c r="DN472" s="52"/>
      <c r="DO472" s="52"/>
      <c r="DP472" s="52"/>
      <c r="DQ472" s="52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P472" s="53"/>
      <c r="EQ472" s="1"/>
      <c r="ER472" s="103"/>
      <c r="ES472" s="102"/>
      <c r="ET472" s="1"/>
      <c r="EU472" s="103"/>
      <c r="EV472" s="1"/>
      <c r="EW472" s="1"/>
      <c r="EX472" s="1"/>
      <c r="EY472" s="104"/>
    </row>
    <row r="473" spans="9:155">
      <c r="I473" s="132"/>
      <c r="J473" s="365"/>
      <c r="K473" s="1"/>
      <c r="L473" s="1"/>
      <c r="M473" s="366"/>
      <c r="P473" s="365"/>
      <c r="S473" s="53"/>
      <c r="T473" s="365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364"/>
      <c r="AO473" s="364"/>
      <c r="AP473" s="364"/>
      <c r="AQ473" s="364"/>
      <c r="AR473" s="364"/>
      <c r="AS473" s="1"/>
      <c r="AT473" s="103"/>
      <c r="AU473" s="103"/>
      <c r="AV473" s="103"/>
      <c r="AW473" s="31"/>
      <c r="AX473" s="31"/>
      <c r="AY473" s="31"/>
      <c r="AZ473" s="31"/>
      <c r="BA473" s="146"/>
      <c r="BB473" s="146"/>
      <c r="BC473" s="103"/>
      <c r="BD473" s="103"/>
      <c r="BE473" s="103"/>
      <c r="BF473" s="103"/>
      <c r="BG473" s="104"/>
      <c r="BH473" s="104"/>
      <c r="BI473" s="102"/>
      <c r="BJ473" s="104"/>
      <c r="BK473" s="104"/>
      <c r="BL473" s="103"/>
      <c r="BM473" s="103"/>
      <c r="BN473" s="103"/>
      <c r="BO473" s="103"/>
      <c r="BP473" s="103"/>
      <c r="BQ473" s="103"/>
      <c r="BR473" s="103"/>
      <c r="BS473" s="103"/>
      <c r="BT473" s="103"/>
      <c r="BU473" s="103"/>
      <c r="BV473" s="103"/>
      <c r="BW473" s="103"/>
      <c r="BX473" s="103"/>
      <c r="BY473" s="103"/>
      <c r="BZ473" s="103"/>
      <c r="CA473" s="103"/>
      <c r="CB473" s="104"/>
      <c r="CC473" s="104"/>
      <c r="CD473" s="104"/>
      <c r="CE473" s="104"/>
      <c r="CF473" s="104"/>
      <c r="CG473" s="104"/>
      <c r="CH473" s="103"/>
      <c r="CI473" s="103"/>
      <c r="CJ473" s="103"/>
      <c r="CK473" s="103"/>
      <c r="CL473" s="103"/>
      <c r="CM473" s="103"/>
      <c r="CN473" s="103"/>
      <c r="CO473" s="103"/>
      <c r="CP473" s="103"/>
      <c r="CQ473" s="103"/>
      <c r="CR473" s="103"/>
      <c r="CS473" s="103"/>
      <c r="CT473" s="103"/>
      <c r="CU473" s="103"/>
      <c r="CV473" s="103"/>
      <c r="CW473" s="103"/>
      <c r="CX473" s="103"/>
      <c r="CY473" s="103"/>
      <c r="CZ473" s="103"/>
      <c r="DA473" s="103"/>
      <c r="DB473" s="103"/>
      <c r="DC473" s="103"/>
      <c r="DD473" s="103"/>
      <c r="DE473" s="103"/>
      <c r="DF473" s="465"/>
      <c r="DG473" s="107"/>
      <c r="DH473" s="107"/>
      <c r="DI473" s="465"/>
      <c r="DJ473" s="51"/>
      <c r="DK473" s="52"/>
      <c r="DL473" s="52"/>
      <c r="DM473" s="52"/>
      <c r="DN473" s="52"/>
      <c r="DO473" s="52"/>
      <c r="DP473" s="52"/>
      <c r="DQ473" s="52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P473" s="53"/>
      <c r="EQ473" s="1"/>
      <c r="ER473" s="103"/>
      <c r="ES473" s="102"/>
      <c r="ET473" s="1"/>
      <c r="EU473" s="103"/>
      <c r="EV473" s="1"/>
      <c r="EW473" s="1"/>
      <c r="EX473" s="1"/>
      <c r="EY473" s="104"/>
    </row>
    <row r="474" spans="9:155">
      <c r="I474" s="132"/>
      <c r="J474" s="365"/>
      <c r="K474" s="1"/>
      <c r="L474" s="1"/>
      <c r="M474" s="366"/>
      <c r="P474" s="365"/>
      <c r="S474" s="53"/>
      <c r="T474" s="365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364"/>
      <c r="AO474" s="364"/>
      <c r="AP474" s="364"/>
      <c r="AQ474" s="364"/>
      <c r="AR474" s="364"/>
      <c r="AS474" s="1"/>
      <c r="AT474" s="103"/>
      <c r="AU474" s="103"/>
      <c r="AV474" s="103"/>
      <c r="AW474" s="31"/>
      <c r="AX474" s="31"/>
      <c r="AY474" s="31"/>
      <c r="AZ474" s="31"/>
      <c r="BA474" s="146"/>
      <c r="BB474" s="146"/>
      <c r="BC474" s="103"/>
      <c r="BD474" s="103"/>
      <c r="BE474" s="103"/>
      <c r="BF474" s="103"/>
      <c r="BG474" s="104"/>
      <c r="BH474" s="104"/>
      <c r="BI474" s="102"/>
      <c r="BJ474" s="104"/>
      <c r="BK474" s="104"/>
      <c r="BL474" s="103"/>
      <c r="BM474" s="103"/>
      <c r="BN474" s="103"/>
      <c r="BO474" s="103"/>
      <c r="BP474" s="103"/>
      <c r="BQ474" s="103"/>
      <c r="BR474" s="103"/>
      <c r="BS474" s="103"/>
      <c r="BT474" s="103"/>
      <c r="BU474" s="103"/>
      <c r="BV474" s="103"/>
      <c r="BW474" s="103"/>
      <c r="BX474" s="103"/>
      <c r="BY474" s="103"/>
      <c r="BZ474" s="103"/>
      <c r="CA474" s="103"/>
      <c r="CB474" s="104"/>
      <c r="CC474" s="104"/>
      <c r="CD474" s="104"/>
      <c r="CE474" s="104"/>
      <c r="CF474" s="104"/>
      <c r="CG474" s="104"/>
      <c r="CH474" s="103"/>
      <c r="CI474" s="103"/>
      <c r="CJ474" s="103"/>
      <c r="CK474" s="103"/>
      <c r="CL474" s="103"/>
      <c r="CM474" s="103"/>
      <c r="CN474" s="103"/>
      <c r="CO474" s="103"/>
      <c r="CP474" s="103"/>
      <c r="CQ474" s="103"/>
      <c r="CR474" s="103"/>
      <c r="CS474" s="103"/>
      <c r="CT474" s="103"/>
      <c r="CU474" s="103"/>
      <c r="CV474" s="103"/>
      <c r="CW474" s="103"/>
      <c r="CX474" s="103"/>
      <c r="CY474" s="103"/>
      <c r="CZ474" s="103"/>
      <c r="DA474" s="103"/>
      <c r="DB474" s="103"/>
      <c r="DC474" s="103"/>
      <c r="DD474" s="103"/>
      <c r="DE474" s="103"/>
      <c r="DF474" s="465"/>
      <c r="DG474" s="107"/>
      <c r="DH474" s="107"/>
      <c r="DI474" s="465"/>
      <c r="DJ474" s="51"/>
      <c r="DK474" s="52"/>
      <c r="DL474" s="52"/>
      <c r="DM474" s="52"/>
      <c r="DN474" s="52"/>
      <c r="DO474" s="52"/>
      <c r="DP474" s="52"/>
      <c r="DQ474" s="52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P474" s="53"/>
      <c r="EQ474" s="1"/>
      <c r="ER474" s="103"/>
      <c r="ES474" s="102"/>
      <c r="ET474" s="1"/>
      <c r="EU474" s="103"/>
      <c r="EV474" s="1"/>
      <c r="EW474" s="1"/>
      <c r="EX474" s="1"/>
      <c r="EY474" s="104"/>
    </row>
    <row r="475" spans="9:155">
      <c r="I475" s="132"/>
      <c r="J475" s="365"/>
      <c r="K475" s="1"/>
      <c r="L475" s="1"/>
      <c r="M475" s="366"/>
      <c r="P475" s="365"/>
      <c r="S475" s="53"/>
      <c r="T475" s="365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364"/>
      <c r="AO475" s="364"/>
      <c r="AP475" s="364"/>
      <c r="AQ475" s="364"/>
      <c r="AR475" s="364"/>
      <c r="AS475" s="1"/>
      <c r="AT475" s="103"/>
      <c r="AU475" s="103"/>
      <c r="AV475" s="103"/>
      <c r="AW475" s="31"/>
      <c r="AX475" s="31"/>
      <c r="AY475" s="31"/>
      <c r="AZ475" s="31"/>
      <c r="BA475" s="146"/>
      <c r="BB475" s="146"/>
      <c r="BC475" s="103"/>
      <c r="BD475" s="103"/>
      <c r="BE475" s="103"/>
      <c r="BF475" s="103"/>
      <c r="BG475" s="104"/>
      <c r="BH475" s="104"/>
      <c r="BI475" s="102"/>
      <c r="BJ475" s="104"/>
      <c r="BK475" s="104"/>
      <c r="BL475" s="103"/>
      <c r="BM475" s="103"/>
      <c r="BN475" s="103"/>
      <c r="BO475" s="103"/>
      <c r="BP475" s="103"/>
      <c r="BQ475" s="103"/>
      <c r="BR475" s="103"/>
      <c r="BS475" s="103"/>
      <c r="BT475" s="103"/>
      <c r="BU475" s="103"/>
      <c r="BV475" s="103"/>
      <c r="BW475" s="103"/>
      <c r="BX475" s="103"/>
      <c r="BY475" s="103"/>
      <c r="BZ475" s="103"/>
      <c r="CA475" s="103"/>
      <c r="CB475" s="104"/>
      <c r="CC475" s="104"/>
      <c r="CD475" s="104"/>
      <c r="CE475" s="104"/>
      <c r="CF475" s="104"/>
      <c r="CG475" s="104"/>
      <c r="CH475" s="103"/>
      <c r="CI475" s="103"/>
      <c r="CJ475" s="103"/>
      <c r="CK475" s="103"/>
      <c r="CL475" s="103"/>
      <c r="CM475" s="103"/>
      <c r="CN475" s="103"/>
      <c r="CO475" s="103"/>
      <c r="CP475" s="103"/>
      <c r="CQ475" s="103"/>
      <c r="CR475" s="103"/>
      <c r="CS475" s="103"/>
      <c r="CT475" s="103"/>
      <c r="CU475" s="103"/>
      <c r="CV475" s="103"/>
      <c r="CW475" s="103"/>
      <c r="CX475" s="103"/>
      <c r="CY475" s="103"/>
      <c r="CZ475" s="103"/>
      <c r="DA475" s="103"/>
      <c r="DB475" s="103"/>
      <c r="DC475" s="103"/>
      <c r="DD475" s="103"/>
      <c r="DE475" s="103"/>
      <c r="DF475" s="465"/>
      <c r="DG475" s="107"/>
      <c r="DH475" s="107"/>
      <c r="DI475" s="465"/>
      <c r="DJ475" s="51"/>
      <c r="DK475" s="52"/>
      <c r="DL475" s="52"/>
      <c r="DM475" s="52"/>
      <c r="DN475" s="52"/>
      <c r="DO475" s="52"/>
      <c r="DP475" s="52"/>
      <c r="DQ475" s="52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P475" s="53"/>
      <c r="EQ475" s="1"/>
      <c r="ER475" s="103"/>
      <c r="ES475" s="102"/>
      <c r="ET475" s="1"/>
      <c r="EU475" s="103"/>
      <c r="EV475" s="1"/>
      <c r="EW475" s="1"/>
      <c r="EX475" s="1"/>
      <c r="EY475" s="104"/>
    </row>
    <row r="476" spans="9:155">
      <c r="I476" s="132"/>
      <c r="J476" s="365"/>
      <c r="K476" s="1"/>
      <c r="L476" s="1"/>
      <c r="M476" s="366"/>
      <c r="P476" s="365"/>
      <c r="S476" s="53"/>
      <c r="T476" s="365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364"/>
      <c r="AO476" s="364"/>
      <c r="AP476" s="364"/>
      <c r="AQ476" s="364"/>
      <c r="AR476" s="364"/>
      <c r="AS476" s="1"/>
      <c r="AT476" s="103"/>
      <c r="AU476" s="103"/>
      <c r="AV476" s="103"/>
      <c r="AW476" s="31"/>
      <c r="AX476" s="31"/>
      <c r="AY476" s="31"/>
      <c r="AZ476" s="31"/>
      <c r="BA476" s="146"/>
      <c r="BB476" s="146"/>
      <c r="BC476" s="103"/>
      <c r="BD476" s="103"/>
      <c r="BE476" s="103"/>
      <c r="BF476" s="103"/>
      <c r="BG476" s="104"/>
      <c r="BH476" s="104"/>
      <c r="BI476" s="102"/>
      <c r="BJ476" s="104"/>
      <c r="BK476" s="104"/>
      <c r="BL476" s="103"/>
      <c r="BM476" s="103"/>
      <c r="BN476" s="103"/>
      <c r="BO476" s="103"/>
      <c r="BP476" s="103"/>
      <c r="BQ476" s="103"/>
      <c r="BR476" s="103"/>
      <c r="BS476" s="103"/>
      <c r="BT476" s="103"/>
      <c r="BU476" s="103"/>
      <c r="BV476" s="103"/>
      <c r="BW476" s="103"/>
      <c r="BX476" s="103"/>
      <c r="BY476" s="103"/>
      <c r="BZ476" s="103"/>
      <c r="CA476" s="103"/>
      <c r="CB476" s="104"/>
      <c r="CC476" s="104"/>
      <c r="CD476" s="104"/>
      <c r="CE476" s="104"/>
      <c r="CF476" s="104"/>
      <c r="CG476" s="104"/>
      <c r="CH476" s="103"/>
      <c r="CI476" s="103"/>
      <c r="CJ476" s="103"/>
      <c r="CK476" s="103"/>
      <c r="CL476" s="103"/>
      <c r="CM476" s="103"/>
      <c r="CN476" s="103"/>
      <c r="CO476" s="103"/>
      <c r="CP476" s="103"/>
      <c r="CQ476" s="103"/>
      <c r="CR476" s="103"/>
      <c r="CS476" s="103"/>
      <c r="CT476" s="103"/>
      <c r="CU476" s="103"/>
      <c r="CV476" s="103"/>
      <c r="CW476" s="103"/>
      <c r="CX476" s="103"/>
      <c r="CY476" s="103"/>
      <c r="CZ476" s="103"/>
      <c r="DA476" s="103"/>
      <c r="DB476" s="103"/>
      <c r="DC476" s="103"/>
      <c r="DD476" s="103"/>
      <c r="DE476" s="103"/>
      <c r="DF476" s="465"/>
      <c r="DG476" s="107"/>
      <c r="DH476" s="107"/>
      <c r="DI476" s="465"/>
      <c r="DJ476" s="51"/>
      <c r="DK476" s="52"/>
      <c r="DL476" s="52"/>
      <c r="DM476" s="52"/>
      <c r="DN476" s="52"/>
      <c r="DO476" s="52"/>
      <c r="DP476" s="52"/>
      <c r="DQ476" s="52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P476" s="53"/>
      <c r="EQ476" s="1"/>
      <c r="ER476" s="103"/>
      <c r="ES476" s="102"/>
      <c r="ET476" s="1"/>
      <c r="EU476" s="103"/>
      <c r="EV476" s="1"/>
      <c r="EW476" s="1"/>
      <c r="EX476" s="1"/>
      <c r="EY476" s="104"/>
    </row>
    <row r="477" spans="9:155">
      <c r="I477" s="132"/>
      <c r="J477" s="365"/>
      <c r="K477" s="1"/>
      <c r="L477" s="1"/>
      <c r="M477" s="366"/>
      <c r="P477" s="365"/>
      <c r="S477" s="53"/>
      <c r="T477" s="365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364"/>
      <c r="AO477" s="364"/>
      <c r="AP477" s="364"/>
      <c r="AQ477" s="364"/>
      <c r="AR477" s="364"/>
      <c r="AS477" s="1"/>
      <c r="AT477" s="103"/>
      <c r="AU477" s="103"/>
      <c r="AV477" s="103"/>
      <c r="AW477" s="31"/>
      <c r="AX477" s="31"/>
      <c r="AY477" s="31"/>
      <c r="AZ477" s="31"/>
      <c r="BA477" s="146"/>
      <c r="BB477" s="146"/>
      <c r="BC477" s="103"/>
      <c r="BD477" s="103"/>
      <c r="BE477" s="103"/>
      <c r="BF477" s="103"/>
      <c r="BG477" s="104"/>
      <c r="BH477" s="104"/>
      <c r="BI477" s="102"/>
      <c r="BJ477" s="104"/>
      <c r="BK477" s="104"/>
      <c r="BL477" s="103"/>
      <c r="BM477" s="103"/>
      <c r="BN477" s="103"/>
      <c r="BO477" s="103"/>
      <c r="BP477" s="103"/>
      <c r="BQ477" s="103"/>
      <c r="BR477" s="103"/>
      <c r="BS477" s="103"/>
      <c r="BT477" s="103"/>
      <c r="BU477" s="103"/>
      <c r="BV477" s="103"/>
      <c r="BW477" s="103"/>
      <c r="BX477" s="103"/>
      <c r="BY477" s="103"/>
      <c r="BZ477" s="103"/>
      <c r="CA477" s="103"/>
      <c r="CB477" s="104"/>
      <c r="CC477" s="104"/>
      <c r="CD477" s="104"/>
      <c r="CE477" s="104"/>
      <c r="CF477" s="104"/>
      <c r="CG477" s="104"/>
      <c r="CH477" s="103"/>
      <c r="CI477" s="103"/>
      <c r="CJ477" s="103"/>
      <c r="CK477" s="103"/>
      <c r="CL477" s="103"/>
      <c r="CM477" s="103"/>
      <c r="CN477" s="103"/>
      <c r="CO477" s="103"/>
      <c r="CP477" s="103"/>
      <c r="CQ477" s="103"/>
      <c r="CR477" s="103"/>
      <c r="CS477" s="103"/>
      <c r="CT477" s="103"/>
      <c r="CU477" s="103"/>
      <c r="CV477" s="103"/>
      <c r="CW477" s="103"/>
      <c r="CX477" s="103"/>
      <c r="CY477" s="103"/>
      <c r="CZ477" s="103"/>
      <c r="DA477" s="103"/>
      <c r="DB477" s="103"/>
      <c r="DC477" s="103"/>
      <c r="DD477" s="103"/>
      <c r="DE477" s="103"/>
      <c r="DF477" s="465"/>
      <c r="DG477" s="107"/>
      <c r="DH477" s="107"/>
      <c r="DI477" s="465"/>
      <c r="DJ477" s="51"/>
      <c r="DK477" s="52"/>
      <c r="DL477" s="52"/>
      <c r="DM477" s="52"/>
      <c r="DN477" s="52"/>
      <c r="DO477" s="52"/>
      <c r="DP477" s="52"/>
      <c r="DQ477" s="52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P477" s="53"/>
      <c r="EQ477" s="1"/>
      <c r="ER477" s="103"/>
      <c r="ES477" s="102"/>
      <c r="ET477" s="1"/>
      <c r="EU477" s="103"/>
      <c r="EV477" s="1"/>
      <c r="EW477" s="1"/>
      <c r="EX477" s="1"/>
      <c r="EY477" s="104"/>
    </row>
    <row r="478" spans="9:155">
      <c r="I478" s="132"/>
      <c r="J478" s="365"/>
      <c r="K478" s="1"/>
      <c r="L478" s="1"/>
      <c r="M478" s="366"/>
      <c r="P478" s="365"/>
      <c r="S478" s="53"/>
      <c r="T478" s="365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364"/>
      <c r="AO478" s="364"/>
      <c r="AP478" s="364"/>
      <c r="AQ478" s="364"/>
      <c r="AR478" s="364"/>
      <c r="AS478" s="1"/>
      <c r="AT478" s="103"/>
      <c r="AU478" s="103"/>
      <c r="AV478" s="103"/>
      <c r="AW478" s="31"/>
      <c r="AX478" s="31"/>
      <c r="AY478" s="31"/>
      <c r="AZ478" s="31"/>
      <c r="BA478" s="146"/>
      <c r="BB478" s="146"/>
      <c r="BC478" s="103"/>
      <c r="BD478" s="103"/>
      <c r="BE478" s="103"/>
      <c r="BF478" s="103"/>
      <c r="BG478" s="104"/>
      <c r="BH478" s="104"/>
      <c r="BI478" s="102"/>
      <c r="BJ478" s="104"/>
      <c r="BK478" s="104"/>
      <c r="BL478" s="103"/>
      <c r="BM478" s="103"/>
      <c r="BN478" s="103"/>
      <c r="BO478" s="103"/>
      <c r="BP478" s="103"/>
      <c r="BQ478" s="103"/>
      <c r="BR478" s="103"/>
      <c r="BS478" s="103"/>
      <c r="BT478" s="103"/>
      <c r="BU478" s="103"/>
      <c r="BV478" s="103"/>
      <c r="BW478" s="103"/>
      <c r="BX478" s="103"/>
      <c r="BY478" s="103"/>
      <c r="BZ478" s="103"/>
      <c r="CA478" s="103"/>
      <c r="CB478" s="104"/>
      <c r="CC478" s="104"/>
      <c r="CD478" s="104"/>
      <c r="CE478" s="104"/>
      <c r="CF478" s="104"/>
      <c r="CG478" s="104"/>
      <c r="CH478" s="103"/>
      <c r="CI478" s="103"/>
      <c r="CJ478" s="103"/>
      <c r="CK478" s="103"/>
      <c r="CL478" s="103"/>
      <c r="CM478" s="103"/>
      <c r="CN478" s="103"/>
      <c r="CO478" s="103"/>
      <c r="CP478" s="103"/>
      <c r="CQ478" s="103"/>
      <c r="CR478" s="103"/>
      <c r="CS478" s="103"/>
      <c r="CT478" s="103"/>
      <c r="CU478" s="103"/>
      <c r="CV478" s="103"/>
      <c r="CW478" s="103"/>
      <c r="CX478" s="103"/>
      <c r="CY478" s="103"/>
      <c r="CZ478" s="103"/>
      <c r="DA478" s="103"/>
      <c r="DB478" s="103"/>
      <c r="DC478" s="103"/>
      <c r="DD478" s="103"/>
      <c r="DE478" s="103"/>
      <c r="DF478" s="465"/>
      <c r="DG478" s="107"/>
      <c r="DH478" s="107"/>
      <c r="DI478" s="465"/>
      <c r="DJ478" s="51"/>
      <c r="DK478" s="52"/>
      <c r="DL478" s="52"/>
      <c r="DM478" s="52"/>
      <c r="DN478" s="52"/>
      <c r="DO478" s="52"/>
      <c r="DP478" s="52"/>
      <c r="DQ478" s="52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P478" s="53"/>
      <c r="EQ478" s="1"/>
      <c r="ER478" s="103"/>
      <c r="ES478" s="102"/>
      <c r="ET478" s="1"/>
      <c r="EU478" s="103"/>
      <c r="EV478" s="1"/>
      <c r="EW478" s="1"/>
      <c r="EX478" s="1"/>
      <c r="EY478" s="104"/>
    </row>
    <row r="479" spans="9:155">
      <c r="I479" s="132"/>
      <c r="J479" s="365"/>
      <c r="K479" s="1"/>
      <c r="L479" s="1"/>
      <c r="M479" s="366"/>
      <c r="P479" s="365"/>
      <c r="S479" s="53"/>
      <c r="T479" s="365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364"/>
      <c r="AO479" s="364"/>
      <c r="AP479" s="364"/>
      <c r="AQ479" s="364"/>
      <c r="AR479" s="364"/>
      <c r="AS479" s="1"/>
      <c r="AT479" s="103"/>
      <c r="AU479" s="103"/>
      <c r="AV479" s="103"/>
      <c r="AW479" s="31"/>
      <c r="AX479" s="31"/>
      <c r="AY479" s="31"/>
      <c r="AZ479" s="31"/>
      <c r="BA479" s="146"/>
      <c r="BB479" s="146"/>
      <c r="BC479" s="103"/>
      <c r="BD479" s="103"/>
      <c r="BE479" s="103"/>
      <c r="BF479" s="103"/>
      <c r="BG479" s="104"/>
      <c r="BH479" s="104"/>
      <c r="BI479" s="102"/>
      <c r="BJ479" s="104"/>
      <c r="BK479" s="104"/>
      <c r="BL479" s="103"/>
      <c r="BM479" s="103"/>
      <c r="BN479" s="103"/>
      <c r="BO479" s="103"/>
      <c r="BP479" s="103"/>
      <c r="BQ479" s="103"/>
      <c r="BR479" s="103"/>
      <c r="BS479" s="103"/>
      <c r="BT479" s="103"/>
      <c r="BU479" s="103"/>
      <c r="BV479" s="103"/>
      <c r="BW479" s="103"/>
      <c r="BX479" s="103"/>
      <c r="BY479" s="103"/>
      <c r="BZ479" s="103"/>
      <c r="CA479" s="103"/>
      <c r="CB479" s="104"/>
      <c r="CC479" s="104"/>
      <c r="CD479" s="104"/>
      <c r="CE479" s="104"/>
      <c r="CF479" s="104"/>
      <c r="CG479" s="104"/>
      <c r="CH479" s="103"/>
      <c r="CI479" s="103"/>
      <c r="CJ479" s="103"/>
      <c r="CK479" s="103"/>
      <c r="CL479" s="103"/>
      <c r="CM479" s="103"/>
      <c r="CN479" s="103"/>
      <c r="CO479" s="103"/>
      <c r="CP479" s="103"/>
      <c r="CQ479" s="103"/>
      <c r="CR479" s="103"/>
      <c r="CS479" s="103"/>
      <c r="CT479" s="103"/>
      <c r="CU479" s="103"/>
      <c r="CV479" s="103"/>
      <c r="CW479" s="103"/>
      <c r="CX479" s="103"/>
      <c r="CY479" s="103"/>
      <c r="CZ479" s="103"/>
      <c r="DA479" s="103"/>
      <c r="DB479" s="103"/>
      <c r="DC479" s="103"/>
      <c r="DD479" s="103"/>
      <c r="DE479" s="103"/>
      <c r="DF479" s="465"/>
      <c r="DG479" s="107"/>
      <c r="DH479" s="107"/>
      <c r="DI479" s="465"/>
      <c r="DJ479" s="51"/>
      <c r="DK479" s="52"/>
      <c r="DL479" s="52"/>
      <c r="DM479" s="52"/>
      <c r="DN479" s="52"/>
      <c r="DO479" s="52"/>
      <c r="DP479" s="52"/>
      <c r="DQ479" s="52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P479" s="53"/>
      <c r="EQ479" s="1"/>
      <c r="ER479" s="103"/>
      <c r="ES479" s="102"/>
      <c r="ET479" s="1"/>
      <c r="EU479" s="103"/>
      <c r="EV479" s="1"/>
      <c r="EW479" s="1"/>
      <c r="EX479" s="1"/>
      <c r="EY479" s="104"/>
    </row>
    <row r="480" spans="9:155">
      <c r="I480" s="132"/>
      <c r="J480" s="365"/>
      <c r="K480" s="1"/>
      <c r="L480" s="1"/>
      <c r="M480" s="366"/>
      <c r="P480" s="365"/>
      <c r="S480" s="53"/>
      <c r="T480" s="365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364"/>
      <c r="AO480" s="364"/>
      <c r="AP480" s="364"/>
      <c r="AQ480" s="364"/>
      <c r="AR480" s="364"/>
      <c r="AS480" s="1"/>
      <c r="AT480" s="103"/>
      <c r="AU480" s="103"/>
      <c r="AV480" s="103"/>
      <c r="AW480" s="31"/>
      <c r="AX480" s="31"/>
      <c r="AY480" s="31"/>
      <c r="AZ480" s="31"/>
      <c r="BA480" s="146"/>
      <c r="BB480" s="146"/>
      <c r="BC480" s="103"/>
      <c r="BD480" s="103"/>
      <c r="BE480" s="103"/>
      <c r="BF480" s="103"/>
      <c r="BG480" s="104"/>
      <c r="BH480" s="104"/>
      <c r="BI480" s="102"/>
      <c r="BJ480" s="104"/>
      <c r="BK480" s="104"/>
      <c r="BL480" s="103"/>
      <c r="BM480" s="103"/>
      <c r="BN480" s="103"/>
      <c r="BO480" s="103"/>
      <c r="BP480" s="103"/>
      <c r="BQ480" s="103"/>
      <c r="BR480" s="103"/>
      <c r="BS480" s="103"/>
      <c r="BT480" s="103"/>
      <c r="BU480" s="103"/>
      <c r="BV480" s="103"/>
      <c r="BW480" s="103"/>
      <c r="BX480" s="103"/>
      <c r="BY480" s="103"/>
      <c r="BZ480" s="103"/>
      <c r="CA480" s="103"/>
      <c r="CB480" s="104"/>
      <c r="CC480" s="104"/>
      <c r="CD480" s="104"/>
      <c r="CE480" s="104"/>
      <c r="CF480" s="104"/>
      <c r="CG480" s="104"/>
      <c r="CH480" s="103"/>
      <c r="CI480" s="103"/>
      <c r="CJ480" s="103"/>
      <c r="CK480" s="103"/>
      <c r="CL480" s="103"/>
      <c r="CM480" s="103"/>
      <c r="CN480" s="103"/>
      <c r="CO480" s="103"/>
      <c r="CP480" s="103"/>
      <c r="CQ480" s="103"/>
      <c r="CR480" s="103"/>
      <c r="CS480" s="103"/>
      <c r="CT480" s="103"/>
      <c r="CU480" s="103"/>
      <c r="CV480" s="103"/>
      <c r="CW480" s="103"/>
      <c r="CX480" s="103"/>
      <c r="CY480" s="103"/>
      <c r="CZ480" s="103"/>
      <c r="DA480" s="103"/>
      <c r="DB480" s="103"/>
      <c r="DC480" s="103"/>
      <c r="DD480" s="103"/>
      <c r="DE480" s="103"/>
      <c r="DF480" s="465"/>
      <c r="DG480" s="107"/>
      <c r="DH480" s="107"/>
      <c r="DI480" s="465"/>
      <c r="DJ480" s="51"/>
      <c r="DK480" s="52"/>
      <c r="DL480" s="52"/>
      <c r="DM480" s="52"/>
      <c r="DN480" s="52"/>
      <c r="DO480" s="52"/>
      <c r="DP480" s="52"/>
      <c r="DQ480" s="52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P480" s="53"/>
      <c r="EQ480" s="1"/>
      <c r="ER480" s="103"/>
      <c r="ES480" s="102"/>
      <c r="ET480" s="1"/>
      <c r="EU480" s="103"/>
      <c r="EV480" s="1"/>
      <c r="EW480" s="1"/>
      <c r="EX480" s="1"/>
      <c r="EY480" s="104"/>
    </row>
    <row r="481" spans="9:155">
      <c r="I481" s="132"/>
      <c r="J481" s="365"/>
      <c r="K481" s="1"/>
      <c r="L481" s="1"/>
      <c r="M481" s="366"/>
      <c r="P481" s="365"/>
      <c r="S481" s="53"/>
      <c r="T481" s="365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364"/>
      <c r="AO481" s="364"/>
      <c r="AP481" s="364"/>
      <c r="AQ481" s="364"/>
      <c r="AR481" s="364"/>
      <c r="AS481" s="1"/>
      <c r="AT481" s="103"/>
      <c r="AU481" s="103"/>
      <c r="AV481" s="103"/>
      <c r="AW481" s="31"/>
      <c r="AX481" s="31"/>
      <c r="AY481" s="31"/>
      <c r="AZ481" s="31"/>
      <c r="BA481" s="146"/>
      <c r="BB481" s="146"/>
      <c r="BC481" s="103"/>
      <c r="BD481" s="103"/>
      <c r="BE481" s="103"/>
      <c r="BF481" s="103"/>
      <c r="BG481" s="104"/>
      <c r="BH481" s="104"/>
      <c r="BI481" s="102"/>
      <c r="BJ481" s="104"/>
      <c r="BK481" s="104"/>
      <c r="BL481" s="103"/>
      <c r="BM481" s="103"/>
      <c r="BN481" s="103"/>
      <c r="BO481" s="103"/>
      <c r="BP481" s="103"/>
      <c r="BQ481" s="103"/>
      <c r="BR481" s="103"/>
      <c r="BS481" s="103"/>
      <c r="BT481" s="103"/>
      <c r="BU481" s="103"/>
      <c r="BV481" s="103"/>
      <c r="BW481" s="103"/>
      <c r="BX481" s="103"/>
      <c r="BY481" s="103"/>
      <c r="BZ481" s="103"/>
      <c r="CA481" s="103"/>
      <c r="CB481" s="104"/>
      <c r="CC481" s="104"/>
      <c r="CD481" s="104"/>
      <c r="CE481" s="104"/>
      <c r="CF481" s="104"/>
      <c r="CG481" s="104"/>
      <c r="CH481" s="103"/>
      <c r="CI481" s="103"/>
      <c r="CJ481" s="103"/>
      <c r="CK481" s="103"/>
      <c r="CL481" s="103"/>
      <c r="CM481" s="103"/>
      <c r="CN481" s="103"/>
      <c r="CO481" s="103"/>
      <c r="CP481" s="103"/>
      <c r="CQ481" s="103"/>
      <c r="CR481" s="103"/>
      <c r="CS481" s="103"/>
      <c r="CT481" s="103"/>
      <c r="CU481" s="103"/>
      <c r="CV481" s="103"/>
      <c r="CW481" s="103"/>
      <c r="CX481" s="103"/>
      <c r="CY481" s="103"/>
      <c r="CZ481" s="103"/>
      <c r="DA481" s="103"/>
      <c r="DB481" s="103"/>
      <c r="DC481" s="103"/>
      <c r="DD481" s="103"/>
      <c r="DE481" s="103"/>
      <c r="DF481" s="465"/>
      <c r="DG481" s="107"/>
      <c r="DH481" s="107"/>
      <c r="DI481" s="465"/>
      <c r="DJ481" s="51"/>
      <c r="DK481" s="52"/>
      <c r="DL481" s="52"/>
      <c r="DM481" s="52"/>
      <c r="DN481" s="52"/>
      <c r="DO481" s="52"/>
      <c r="DP481" s="52"/>
      <c r="DQ481" s="52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P481" s="53"/>
      <c r="EQ481" s="1"/>
      <c r="ER481" s="103"/>
      <c r="ES481" s="102"/>
      <c r="ET481" s="1"/>
      <c r="EU481" s="103"/>
      <c r="EV481" s="1"/>
      <c r="EW481" s="1"/>
      <c r="EX481" s="1"/>
      <c r="EY481" s="104"/>
    </row>
    <row r="482" spans="9:155">
      <c r="I482" s="132"/>
      <c r="J482" s="365"/>
      <c r="K482" s="1"/>
      <c r="L482" s="1"/>
      <c r="M482" s="366"/>
      <c r="P482" s="365"/>
      <c r="S482" s="53"/>
      <c r="T482" s="365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364"/>
      <c r="AO482" s="364"/>
      <c r="AP482" s="364"/>
      <c r="AQ482" s="364"/>
      <c r="AR482" s="364"/>
      <c r="AS482" s="1"/>
      <c r="AT482" s="103"/>
      <c r="AU482" s="103"/>
      <c r="AV482" s="103"/>
      <c r="AW482" s="31"/>
      <c r="AX482" s="31"/>
      <c r="AY482" s="31"/>
      <c r="AZ482" s="31"/>
      <c r="BA482" s="146"/>
      <c r="BB482" s="146"/>
      <c r="BC482" s="103"/>
      <c r="BD482" s="103"/>
      <c r="BE482" s="103"/>
      <c r="BF482" s="103"/>
      <c r="BG482" s="104"/>
      <c r="BH482" s="104"/>
      <c r="BI482" s="102"/>
      <c r="BJ482" s="104"/>
      <c r="BK482" s="104"/>
      <c r="BL482" s="103"/>
      <c r="BM482" s="103"/>
      <c r="BN482" s="103"/>
      <c r="BO482" s="103"/>
      <c r="BP482" s="103"/>
      <c r="BQ482" s="103"/>
      <c r="BR482" s="103"/>
      <c r="BS482" s="103"/>
      <c r="BT482" s="103"/>
      <c r="BU482" s="103"/>
      <c r="BV482" s="103"/>
      <c r="BW482" s="103"/>
      <c r="BX482" s="103"/>
      <c r="BY482" s="103"/>
      <c r="BZ482" s="103"/>
      <c r="CA482" s="103"/>
      <c r="CB482" s="104"/>
      <c r="CC482" s="104"/>
      <c r="CD482" s="104"/>
      <c r="CE482" s="104"/>
      <c r="CF482" s="104"/>
      <c r="CG482" s="104"/>
      <c r="CH482" s="103"/>
      <c r="CI482" s="103"/>
      <c r="CJ482" s="103"/>
      <c r="CK482" s="103"/>
      <c r="CL482" s="103"/>
      <c r="CM482" s="103"/>
      <c r="CN482" s="103"/>
      <c r="CO482" s="103"/>
      <c r="CP482" s="103"/>
      <c r="CQ482" s="103"/>
      <c r="CR482" s="103"/>
      <c r="CS482" s="103"/>
      <c r="CT482" s="103"/>
      <c r="CU482" s="103"/>
      <c r="CV482" s="103"/>
      <c r="CW482" s="103"/>
      <c r="CX482" s="103"/>
      <c r="CY482" s="103"/>
      <c r="CZ482" s="103"/>
      <c r="DA482" s="103"/>
      <c r="DB482" s="103"/>
      <c r="DC482" s="103"/>
      <c r="DD482" s="103"/>
      <c r="DE482" s="103"/>
      <c r="DF482" s="465"/>
      <c r="DG482" s="107"/>
      <c r="DH482" s="107"/>
      <c r="DI482" s="465"/>
      <c r="DJ482" s="51"/>
      <c r="DK482" s="52"/>
      <c r="DL482" s="52"/>
      <c r="DM482" s="52"/>
      <c r="DN482" s="52"/>
      <c r="DO482" s="52"/>
      <c r="DP482" s="52"/>
      <c r="DQ482" s="52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P482" s="53"/>
      <c r="EQ482" s="1"/>
      <c r="ER482" s="103"/>
      <c r="ES482" s="102"/>
      <c r="ET482" s="1"/>
      <c r="EU482" s="103"/>
      <c r="EV482" s="1"/>
      <c r="EW482" s="1"/>
      <c r="EX482" s="1"/>
      <c r="EY482" s="104"/>
    </row>
    <row r="483" spans="9:155">
      <c r="I483" s="132"/>
      <c r="J483" s="365"/>
      <c r="K483" s="1"/>
      <c r="L483" s="1"/>
      <c r="M483" s="366"/>
      <c r="P483" s="365"/>
      <c r="S483" s="53"/>
      <c r="T483" s="365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364"/>
      <c r="AO483" s="364"/>
      <c r="AP483" s="364"/>
      <c r="AQ483" s="364"/>
      <c r="AR483" s="364"/>
      <c r="AS483" s="1"/>
      <c r="AT483" s="103"/>
      <c r="AU483" s="103"/>
      <c r="AV483" s="103"/>
      <c r="AW483" s="31"/>
      <c r="AX483" s="31"/>
      <c r="AY483" s="31"/>
      <c r="AZ483" s="31"/>
      <c r="BA483" s="146"/>
      <c r="BB483" s="146"/>
      <c r="BC483" s="103"/>
      <c r="BD483" s="103"/>
      <c r="BE483" s="103"/>
      <c r="BF483" s="103"/>
      <c r="BG483" s="104"/>
      <c r="BH483" s="104"/>
      <c r="BI483" s="102"/>
      <c r="BJ483" s="104"/>
      <c r="BK483" s="104"/>
      <c r="BL483" s="103"/>
      <c r="BM483" s="103"/>
      <c r="BN483" s="103"/>
      <c r="BO483" s="103"/>
      <c r="BP483" s="103"/>
      <c r="BQ483" s="103"/>
      <c r="BR483" s="103"/>
      <c r="BS483" s="103"/>
      <c r="BT483" s="103"/>
      <c r="BU483" s="103"/>
      <c r="BV483" s="103"/>
      <c r="BW483" s="103"/>
      <c r="BX483" s="103"/>
      <c r="BY483" s="103"/>
      <c r="BZ483" s="103"/>
      <c r="CA483" s="103"/>
      <c r="CB483" s="104"/>
      <c r="CC483" s="104"/>
      <c r="CD483" s="104"/>
      <c r="CE483" s="104"/>
      <c r="CF483" s="104"/>
      <c r="CG483" s="104"/>
      <c r="CH483" s="103"/>
      <c r="CI483" s="103"/>
      <c r="CJ483" s="103"/>
      <c r="CK483" s="103"/>
      <c r="CL483" s="103"/>
      <c r="CM483" s="103"/>
      <c r="CN483" s="103"/>
      <c r="CO483" s="103"/>
      <c r="CP483" s="103"/>
      <c r="CQ483" s="103"/>
      <c r="CR483" s="103"/>
      <c r="CS483" s="103"/>
      <c r="CT483" s="103"/>
      <c r="CU483" s="103"/>
      <c r="CV483" s="103"/>
      <c r="CW483" s="103"/>
      <c r="CX483" s="103"/>
      <c r="CY483" s="103"/>
      <c r="CZ483" s="103"/>
      <c r="DA483" s="103"/>
      <c r="DB483" s="103"/>
      <c r="DC483" s="103"/>
      <c r="DD483" s="103"/>
      <c r="DE483" s="103"/>
      <c r="DF483" s="465"/>
      <c r="DG483" s="107"/>
      <c r="DH483" s="107"/>
      <c r="DI483" s="465"/>
      <c r="DJ483" s="51"/>
      <c r="DK483" s="52"/>
      <c r="DL483" s="52"/>
      <c r="DM483" s="52"/>
      <c r="DN483" s="52"/>
      <c r="DO483" s="52"/>
      <c r="DP483" s="52"/>
      <c r="DQ483" s="52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P483" s="53"/>
      <c r="EQ483" s="1"/>
      <c r="ER483" s="103"/>
      <c r="ES483" s="102"/>
      <c r="ET483" s="1"/>
      <c r="EU483" s="103"/>
      <c r="EV483" s="1"/>
      <c r="EW483" s="1"/>
      <c r="EX483" s="1"/>
      <c r="EY483" s="104"/>
    </row>
    <row r="484" spans="9:155">
      <c r="I484" s="132"/>
      <c r="J484" s="365"/>
      <c r="K484" s="1"/>
      <c r="L484" s="1"/>
      <c r="M484" s="366"/>
      <c r="P484" s="365"/>
      <c r="S484" s="53"/>
      <c r="T484" s="365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364"/>
      <c r="AO484" s="364"/>
      <c r="AP484" s="1"/>
      <c r="AQ484" s="364"/>
      <c r="AR484" s="1"/>
      <c r="AS484" s="103"/>
      <c r="AT484" s="103"/>
      <c r="AU484" s="103"/>
      <c r="AV484" s="31"/>
      <c r="AW484" s="31"/>
      <c r="AX484" s="31"/>
      <c r="AY484" s="31"/>
      <c r="AZ484" s="146"/>
      <c r="BA484" s="146"/>
      <c r="BB484" s="103"/>
      <c r="BC484" s="103"/>
      <c r="BD484" s="103"/>
      <c r="BE484" s="103"/>
      <c r="BF484" s="104"/>
      <c r="BG484" s="104"/>
      <c r="BH484" s="104"/>
      <c r="BI484" s="104"/>
      <c r="BJ484" s="104"/>
      <c r="BK484" s="103"/>
      <c r="BL484" s="105"/>
      <c r="BM484" s="103"/>
      <c r="BN484" s="103"/>
      <c r="BO484" s="103"/>
      <c r="BP484" s="103"/>
      <c r="BQ484" s="103"/>
      <c r="BR484" s="103"/>
      <c r="BS484" s="103"/>
      <c r="BT484" s="103"/>
      <c r="BU484" s="103"/>
      <c r="BV484" s="103"/>
      <c r="BW484" s="103"/>
      <c r="BX484" s="103"/>
      <c r="BY484" s="103"/>
      <c r="BZ484" s="103"/>
      <c r="CA484" s="104"/>
      <c r="CB484" s="104"/>
      <c r="CC484" s="104"/>
      <c r="CD484" s="104"/>
      <c r="CE484" s="104"/>
      <c r="CF484" s="104"/>
      <c r="CG484" s="103"/>
      <c r="CH484" s="103"/>
      <c r="CI484" s="103"/>
      <c r="CJ484" s="103"/>
      <c r="CK484" s="103"/>
      <c r="CL484" s="103"/>
      <c r="CM484" s="103"/>
      <c r="CN484" s="103"/>
      <c r="CO484" s="103"/>
      <c r="CP484" s="103"/>
      <c r="CQ484" s="103"/>
      <c r="CR484" s="103"/>
      <c r="CS484" s="103"/>
      <c r="CT484" s="103"/>
      <c r="CU484" s="103"/>
      <c r="CV484" s="103"/>
      <c r="CW484" s="103"/>
      <c r="CX484" s="103"/>
      <c r="CY484" s="103"/>
      <c r="CZ484" s="103"/>
      <c r="DA484" s="103"/>
      <c r="DB484" s="103"/>
      <c r="DC484" s="103"/>
      <c r="DD484" s="103"/>
      <c r="DE484" s="103"/>
      <c r="DF484" s="465"/>
      <c r="DG484" s="107"/>
      <c r="DH484" s="1"/>
      <c r="DI484" s="465"/>
      <c r="DJ484" s="52"/>
      <c r="DK484" s="52"/>
      <c r="DL484" s="52"/>
      <c r="DM484" s="52"/>
      <c r="DN484" s="52"/>
      <c r="DO484" s="52"/>
      <c r="DP484" s="52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P484" s="53"/>
      <c r="EQ484" s="1"/>
      <c r="ER484" s="102"/>
      <c r="ES484" s="103"/>
      <c r="ET484" s="1"/>
      <c r="EU484" s="103"/>
      <c r="EV484" s="1"/>
      <c r="EW484" s="1"/>
      <c r="EX484" s="1"/>
      <c r="EY484" s="102"/>
    </row>
    <row r="485" spans="9:155">
      <c r="I485" s="132"/>
      <c r="J485" s="365"/>
      <c r="K485" s="1"/>
      <c r="L485" s="1"/>
      <c r="M485" s="366"/>
      <c r="P485" s="365"/>
      <c r="S485" s="53"/>
      <c r="T485" s="365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364"/>
      <c r="AO485" s="364"/>
      <c r="AP485" s="1"/>
      <c r="AQ485" s="364"/>
      <c r="AR485" s="1"/>
      <c r="AS485" s="103"/>
      <c r="AT485" s="103"/>
      <c r="AU485" s="103"/>
      <c r="AV485" s="31"/>
      <c r="AW485" s="31"/>
      <c r="AX485" s="31"/>
      <c r="AY485" s="31"/>
      <c r="AZ485" s="146"/>
      <c r="BA485" s="146"/>
      <c r="BB485" s="103"/>
      <c r="BC485" s="103"/>
      <c r="BD485" s="103"/>
      <c r="BE485" s="103"/>
      <c r="BF485" s="104"/>
      <c r="BG485" s="104"/>
      <c r="BH485" s="104"/>
      <c r="BI485" s="104"/>
      <c r="BJ485" s="104"/>
      <c r="BK485" s="103"/>
      <c r="BL485" s="105"/>
      <c r="BM485" s="103"/>
      <c r="BN485" s="103"/>
      <c r="BO485" s="103"/>
      <c r="BP485" s="103"/>
      <c r="BQ485" s="103"/>
      <c r="BR485" s="103"/>
      <c r="BS485" s="103"/>
      <c r="BT485" s="103"/>
      <c r="BU485" s="103"/>
      <c r="BV485" s="103"/>
      <c r="BW485" s="103"/>
      <c r="BX485" s="103"/>
      <c r="BY485" s="103"/>
      <c r="BZ485" s="103"/>
      <c r="CA485" s="104"/>
      <c r="CB485" s="104"/>
      <c r="CC485" s="104"/>
      <c r="CD485" s="104"/>
      <c r="CE485" s="104"/>
      <c r="CF485" s="104"/>
      <c r="CG485" s="103"/>
      <c r="CH485" s="103"/>
      <c r="CI485" s="103"/>
      <c r="CJ485" s="103"/>
      <c r="CK485" s="103"/>
      <c r="CL485" s="103"/>
      <c r="CM485" s="103"/>
      <c r="CN485" s="103"/>
      <c r="CO485" s="103"/>
      <c r="CP485" s="103"/>
      <c r="CQ485" s="103"/>
      <c r="CR485" s="103"/>
      <c r="CS485" s="103"/>
      <c r="CT485" s="103"/>
      <c r="CU485" s="103"/>
      <c r="CV485" s="103"/>
      <c r="CW485" s="103"/>
      <c r="CX485" s="103"/>
      <c r="CY485" s="103"/>
      <c r="CZ485" s="103"/>
      <c r="DA485" s="103"/>
      <c r="DB485" s="103"/>
      <c r="DC485" s="103"/>
      <c r="DD485" s="103"/>
      <c r="DE485" s="103"/>
      <c r="DF485" s="465"/>
      <c r="DG485" s="107"/>
      <c r="DH485" s="1"/>
      <c r="DI485" s="465"/>
      <c r="DJ485" s="52"/>
      <c r="DK485" s="52"/>
      <c r="DL485" s="52"/>
      <c r="DM485" s="52"/>
      <c r="DN485" s="52"/>
      <c r="DO485" s="52"/>
      <c r="DP485" s="52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P485" s="53"/>
      <c r="EQ485" s="1"/>
      <c r="ER485" s="102"/>
      <c r="ES485" s="103"/>
      <c r="ET485" s="1"/>
      <c r="EU485" s="103"/>
      <c r="EV485" s="1"/>
      <c r="EW485" s="1"/>
      <c r="EX485" s="1"/>
      <c r="EY485" s="102"/>
    </row>
    <row r="486" spans="9:155">
      <c r="I486" s="132"/>
      <c r="J486" s="365"/>
      <c r="K486" s="1"/>
      <c r="L486" s="1"/>
      <c r="M486" s="366"/>
      <c r="P486" s="365"/>
      <c r="S486" s="53"/>
      <c r="T486" s="365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364"/>
      <c r="AO486" s="364"/>
      <c r="AP486" s="1"/>
      <c r="AQ486" s="364"/>
      <c r="AR486" s="1"/>
      <c r="AS486" s="103"/>
      <c r="AT486" s="103"/>
      <c r="AU486" s="103"/>
      <c r="AV486" s="31"/>
      <c r="AW486" s="31"/>
      <c r="AX486" s="31"/>
      <c r="AY486" s="31"/>
      <c r="AZ486" s="146"/>
      <c r="BA486" s="146"/>
      <c r="BB486" s="103"/>
      <c r="BC486" s="103"/>
      <c r="BD486" s="103"/>
      <c r="BE486" s="103"/>
      <c r="BF486" s="104"/>
      <c r="BG486" s="104"/>
      <c r="BH486" s="104"/>
      <c r="BI486" s="104"/>
      <c r="BJ486" s="104"/>
      <c r="BK486" s="103"/>
      <c r="BL486" s="105"/>
      <c r="BM486" s="103"/>
      <c r="BN486" s="103"/>
      <c r="BO486" s="103"/>
      <c r="BP486" s="103"/>
      <c r="BQ486" s="103"/>
      <c r="BR486" s="103"/>
      <c r="BS486" s="103"/>
      <c r="BT486" s="103"/>
      <c r="BU486" s="103"/>
      <c r="BV486" s="103"/>
      <c r="BW486" s="103"/>
      <c r="BX486" s="103"/>
      <c r="BY486" s="103"/>
      <c r="BZ486" s="103"/>
      <c r="CA486" s="104"/>
      <c r="CB486" s="104"/>
      <c r="CC486" s="104"/>
      <c r="CD486" s="104"/>
      <c r="CE486" s="104"/>
      <c r="CF486" s="104"/>
      <c r="CG486" s="103"/>
      <c r="CH486" s="103"/>
      <c r="CI486" s="103"/>
      <c r="CJ486" s="103"/>
      <c r="CK486" s="103"/>
      <c r="CL486" s="103"/>
      <c r="CM486" s="103"/>
      <c r="CN486" s="103"/>
      <c r="CO486" s="103"/>
      <c r="CP486" s="103"/>
      <c r="CQ486" s="103"/>
      <c r="CR486" s="103"/>
      <c r="CS486" s="103"/>
      <c r="CT486" s="103"/>
      <c r="CU486" s="103"/>
      <c r="CV486" s="103"/>
      <c r="CW486" s="103"/>
      <c r="CX486" s="103"/>
      <c r="CY486" s="103"/>
      <c r="CZ486" s="103"/>
      <c r="DA486" s="103"/>
      <c r="DB486" s="103"/>
      <c r="DC486" s="103"/>
      <c r="DD486" s="103"/>
      <c r="DE486" s="103"/>
      <c r="DF486" s="465"/>
      <c r="DG486" s="107"/>
      <c r="DH486" s="1"/>
      <c r="DI486" s="465"/>
      <c r="DJ486" s="52"/>
      <c r="DK486" s="52"/>
      <c r="DL486" s="52"/>
      <c r="DM486" s="52"/>
      <c r="DN486" s="52"/>
      <c r="DO486" s="52"/>
      <c r="DP486" s="52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P486" s="53"/>
      <c r="EQ486" s="1"/>
      <c r="ER486" s="102"/>
      <c r="ES486" s="103"/>
      <c r="ET486" s="1"/>
      <c r="EU486" s="103"/>
      <c r="EV486" s="1"/>
      <c r="EW486" s="1"/>
      <c r="EX486" s="1"/>
      <c r="EY486" s="102"/>
    </row>
    <row r="487" spans="9:155">
      <c r="I487" s="132"/>
      <c r="J487" s="365"/>
      <c r="K487" s="1"/>
      <c r="L487" s="1"/>
      <c r="M487" s="366"/>
      <c r="P487" s="365"/>
      <c r="S487" s="53"/>
      <c r="T487" s="365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364"/>
      <c r="AO487" s="364"/>
      <c r="AP487" s="1"/>
      <c r="AQ487" s="364"/>
      <c r="AR487" s="1"/>
      <c r="AS487" s="103"/>
      <c r="AT487" s="103"/>
      <c r="AU487" s="103"/>
      <c r="AV487" s="31"/>
      <c r="AW487" s="31"/>
      <c r="AX487" s="31"/>
      <c r="AY487" s="31"/>
      <c r="AZ487" s="146"/>
      <c r="BA487" s="146"/>
      <c r="BB487" s="103"/>
      <c r="BC487" s="103"/>
      <c r="BD487" s="103"/>
      <c r="BE487" s="103"/>
      <c r="BF487" s="104"/>
      <c r="BG487" s="104"/>
      <c r="BH487" s="104"/>
      <c r="BI487" s="104"/>
      <c r="BJ487" s="104"/>
      <c r="BK487" s="103"/>
      <c r="BL487" s="105"/>
      <c r="BM487" s="103"/>
      <c r="BN487" s="103"/>
      <c r="BO487" s="103"/>
      <c r="BP487" s="103"/>
      <c r="BQ487" s="103"/>
      <c r="BR487" s="103"/>
      <c r="BS487" s="103"/>
      <c r="BT487" s="103"/>
      <c r="BU487" s="103"/>
      <c r="BV487" s="103"/>
      <c r="BW487" s="103"/>
      <c r="BX487" s="103"/>
      <c r="BY487" s="103"/>
      <c r="BZ487" s="103"/>
      <c r="CA487" s="104"/>
      <c r="CB487" s="104"/>
      <c r="CC487" s="104"/>
      <c r="CD487" s="104"/>
      <c r="CE487" s="104"/>
      <c r="CF487" s="104"/>
      <c r="CG487" s="103"/>
      <c r="CH487" s="103"/>
      <c r="CI487" s="103"/>
      <c r="CJ487" s="103"/>
      <c r="CK487" s="103"/>
      <c r="CL487" s="103"/>
      <c r="CM487" s="103"/>
      <c r="CN487" s="103"/>
      <c r="CO487" s="103"/>
      <c r="CP487" s="103"/>
      <c r="CQ487" s="103"/>
      <c r="CR487" s="103"/>
      <c r="CS487" s="103"/>
      <c r="CT487" s="103"/>
      <c r="CU487" s="103"/>
      <c r="CV487" s="103"/>
      <c r="CW487" s="103"/>
      <c r="CX487" s="103"/>
      <c r="CY487" s="103"/>
      <c r="CZ487" s="103"/>
      <c r="DA487" s="103"/>
      <c r="DB487" s="103"/>
      <c r="DC487" s="103"/>
      <c r="DD487" s="103"/>
      <c r="DE487" s="103"/>
      <c r="DF487" s="465"/>
      <c r="DG487" s="107"/>
      <c r="DH487" s="1"/>
      <c r="DI487" s="465"/>
      <c r="DJ487" s="52"/>
      <c r="DK487" s="52"/>
      <c r="DL487" s="52"/>
      <c r="DM487" s="52"/>
      <c r="DN487" s="52"/>
      <c r="DO487" s="52"/>
      <c r="DP487" s="52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P487" s="53"/>
      <c r="EQ487" s="1"/>
      <c r="ER487" s="102"/>
      <c r="ES487" s="103"/>
      <c r="ET487" s="1"/>
      <c r="EU487" s="103"/>
      <c r="EV487" s="1"/>
      <c r="EW487" s="1"/>
      <c r="EX487" s="1"/>
      <c r="EY487" s="102"/>
    </row>
    <row r="488" spans="9:155">
      <c r="I488" s="132"/>
      <c r="J488" s="365"/>
      <c r="K488" s="1"/>
      <c r="L488" s="1"/>
      <c r="M488" s="366"/>
      <c r="P488" s="365"/>
      <c r="S488" s="53"/>
      <c r="T488" s="365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364"/>
      <c r="AO488" s="364"/>
      <c r="AP488" s="1"/>
      <c r="AQ488" s="364"/>
      <c r="AR488" s="1"/>
      <c r="AS488" s="103"/>
      <c r="AT488" s="103"/>
      <c r="AU488" s="103"/>
      <c r="AV488" s="31"/>
      <c r="AW488" s="31"/>
      <c r="AX488" s="31"/>
      <c r="AY488" s="31"/>
      <c r="AZ488" s="146"/>
      <c r="BA488" s="146"/>
      <c r="BB488" s="103"/>
      <c r="BC488" s="103"/>
      <c r="BD488" s="103"/>
      <c r="BE488" s="103"/>
      <c r="BF488" s="104"/>
      <c r="BG488" s="104"/>
      <c r="BH488" s="104"/>
      <c r="BI488" s="104"/>
      <c r="BJ488" s="104"/>
      <c r="BK488" s="103"/>
      <c r="BL488" s="105"/>
      <c r="BM488" s="103"/>
      <c r="BN488" s="103"/>
      <c r="BO488" s="103"/>
      <c r="BP488" s="103"/>
      <c r="BQ488" s="103"/>
      <c r="BR488" s="103"/>
      <c r="BS488" s="103"/>
      <c r="BT488" s="103"/>
      <c r="BU488" s="103"/>
      <c r="BV488" s="103"/>
      <c r="BW488" s="103"/>
      <c r="BX488" s="103"/>
      <c r="BY488" s="103"/>
      <c r="BZ488" s="103"/>
      <c r="CA488" s="104"/>
      <c r="CB488" s="104"/>
      <c r="CC488" s="104"/>
      <c r="CD488" s="104"/>
      <c r="CE488" s="104"/>
      <c r="CF488" s="104"/>
      <c r="CG488" s="103"/>
      <c r="CH488" s="103"/>
      <c r="CI488" s="103"/>
      <c r="CJ488" s="103"/>
      <c r="CK488" s="103"/>
      <c r="CL488" s="103"/>
      <c r="CM488" s="103"/>
      <c r="CN488" s="103"/>
      <c r="CO488" s="103"/>
      <c r="CP488" s="103"/>
      <c r="CQ488" s="103"/>
      <c r="CR488" s="103"/>
      <c r="CS488" s="103"/>
      <c r="CT488" s="103"/>
      <c r="CU488" s="103"/>
      <c r="CV488" s="103"/>
      <c r="CW488" s="103"/>
      <c r="CX488" s="103"/>
      <c r="CY488" s="103"/>
      <c r="CZ488" s="103"/>
      <c r="DA488" s="103"/>
      <c r="DB488" s="103"/>
      <c r="DC488" s="103"/>
      <c r="DD488" s="103"/>
      <c r="DE488" s="103"/>
      <c r="DF488" s="465"/>
      <c r="DG488" s="107"/>
      <c r="DH488" s="1"/>
      <c r="DI488" s="465"/>
      <c r="DJ488" s="52"/>
      <c r="DK488" s="52"/>
      <c r="DL488" s="52"/>
      <c r="DM488" s="52"/>
      <c r="DN488" s="52"/>
      <c r="DO488" s="52"/>
      <c r="DP488" s="52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P488" s="53"/>
      <c r="EQ488" s="1"/>
      <c r="ER488" s="102"/>
      <c r="ES488" s="103"/>
      <c r="ET488" s="1"/>
      <c r="EU488" s="103"/>
      <c r="EV488" s="1"/>
      <c r="EW488" s="1"/>
      <c r="EX488" s="1"/>
      <c r="EY488" s="102"/>
    </row>
    <row r="489" spans="9:155">
      <c r="I489" s="132"/>
      <c r="J489" s="365"/>
      <c r="K489" s="1"/>
      <c r="L489" s="1"/>
      <c r="M489" s="366"/>
      <c r="P489" s="365"/>
      <c r="S489" s="53"/>
      <c r="T489" s="365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364"/>
      <c r="AO489" s="364"/>
      <c r="AP489" s="1"/>
      <c r="AQ489" s="364"/>
      <c r="AR489" s="1"/>
      <c r="AS489" s="103"/>
      <c r="AT489" s="103"/>
      <c r="AU489" s="103"/>
      <c r="AV489" s="31"/>
      <c r="AW489" s="31"/>
      <c r="AX489" s="31"/>
      <c r="AY489" s="31"/>
      <c r="AZ489" s="146"/>
      <c r="BA489" s="146"/>
      <c r="BB489" s="103"/>
      <c r="BC489" s="103"/>
      <c r="BD489" s="103"/>
      <c r="BE489" s="103"/>
      <c r="BF489" s="104"/>
      <c r="BG489" s="104"/>
      <c r="BH489" s="104"/>
      <c r="BI489" s="104"/>
      <c r="BJ489" s="104"/>
      <c r="BK489" s="103"/>
      <c r="BL489" s="105"/>
      <c r="BM489" s="103"/>
      <c r="BN489" s="103"/>
      <c r="BO489" s="103"/>
      <c r="BP489" s="103"/>
      <c r="BQ489" s="103"/>
      <c r="BR489" s="103"/>
      <c r="BS489" s="103"/>
      <c r="BT489" s="103"/>
      <c r="BU489" s="103"/>
      <c r="BV489" s="103"/>
      <c r="BW489" s="103"/>
      <c r="BX489" s="103"/>
      <c r="BY489" s="103"/>
      <c r="BZ489" s="103"/>
      <c r="CA489" s="104"/>
      <c r="CB489" s="104"/>
      <c r="CC489" s="104"/>
      <c r="CD489" s="104"/>
      <c r="CE489" s="104"/>
      <c r="CF489" s="104"/>
      <c r="CG489" s="103"/>
      <c r="CH489" s="103"/>
      <c r="CI489" s="103"/>
      <c r="CJ489" s="103"/>
      <c r="CK489" s="103"/>
      <c r="CL489" s="103"/>
      <c r="CM489" s="103"/>
      <c r="CN489" s="103"/>
      <c r="CO489" s="103"/>
      <c r="CP489" s="103"/>
      <c r="CQ489" s="103"/>
      <c r="CR489" s="103"/>
      <c r="CS489" s="103"/>
      <c r="CT489" s="103"/>
      <c r="CU489" s="103"/>
      <c r="CV489" s="103"/>
      <c r="CW489" s="103"/>
      <c r="CX489" s="103"/>
      <c r="CY489" s="103"/>
      <c r="CZ489" s="103"/>
      <c r="DA489" s="103"/>
      <c r="DB489" s="103"/>
      <c r="DC489" s="103"/>
      <c r="DD489" s="103"/>
      <c r="DE489" s="103"/>
      <c r="DF489" s="465"/>
      <c r="DG489" s="107"/>
      <c r="DH489" s="1"/>
      <c r="DI489" s="465"/>
      <c r="DJ489" s="52"/>
      <c r="DK489" s="52"/>
      <c r="DL489" s="52"/>
      <c r="DM489" s="52"/>
      <c r="DN489" s="52"/>
      <c r="DO489" s="52"/>
      <c r="DP489" s="52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P489" s="53"/>
      <c r="EQ489" s="1"/>
      <c r="ER489" s="102"/>
      <c r="ES489" s="103"/>
      <c r="ET489" s="1"/>
      <c r="EU489" s="103"/>
      <c r="EV489" s="1"/>
      <c r="EW489" s="1"/>
      <c r="EX489" s="1"/>
      <c r="EY489" s="102"/>
    </row>
    <row r="490" spans="9:155">
      <c r="I490" s="132"/>
      <c r="J490" s="365"/>
      <c r="K490" s="1"/>
      <c r="L490" s="1"/>
      <c r="M490" s="366"/>
      <c r="P490" s="365"/>
      <c r="S490" s="53"/>
      <c r="T490" s="365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364"/>
      <c r="AO490" s="364"/>
      <c r="AP490" s="1"/>
      <c r="AQ490" s="364"/>
      <c r="AR490" s="1"/>
      <c r="AS490" s="103"/>
      <c r="AT490" s="103"/>
      <c r="AU490" s="103"/>
      <c r="AV490" s="31"/>
      <c r="AW490" s="31"/>
      <c r="AX490" s="31"/>
      <c r="AY490" s="31"/>
      <c r="AZ490" s="146"/>
      <c r="BA490" s="146"/>
      <c r="BB490" s="103"/>
      <c r="BC490" s="103"/>
      <c r="BD490" s="103"/>
      <c r="BE490" s="103"/>
      <c r="BF490" s="104"/>
      <c r="BG490" s="104"/>
      <c r="BH490" s="104"/>
      <c r="BI490" s="104"/>
      <c r="BJ490" s="104"/>
      <c r="BK490" s="103"/>
      <c r="BL490" s="105"/>
      <c r="BM490" s="103"/>
      <c r="BN490" s="103"/>
      <c r="BO490" s="103"/>
      <c r="BP490" s="103"/>
      <c r="BQ490" s="103"/>
      <c r="BR490" s="103"/>
      <c r="BS490" s="103"/>
      <c r="BT490" s="103"/>
      <c r="BU490" s="103"/>
      <c r="BV490" s="103"/>
      <c r="BW490" s="103"/>
      <c r="BX490" s="103"/>
      <c r="BY490" s="103"/>
      <c r="BZ490" s="103"/>
      <c r="CA490" s="104"/>
      <c r="CB490" s="104"/>
      <c r="CC490" s="104"/>
      <c r="CD490" s="104"/>
      <c r="CE490" s="104"/>
      <c r="CF490" s="104"/>
      <c r="CG490" s="103"/>
      <c r="CH490" s="103"/>
      <c r="CI490" s="103"/>
      <c r="CJ490" s="103"/>
      <c r="CK490" s="103"/>
      <c r="CL490" s="103"/>
      <c r="CM490" s="103"/>
      <c r="CN490" s="103"/>
      <c r="CO490" s="103"/>
      <c r="CP490" s="103"/>
      <c r="CQ490" s="103"/>
      <c r="CR490" s="103"/>
      <c r="CS490" s="103"/>
      <c r="CT490" s="103"/>
      <c r="CU490" s="103"/>
      <c r="CV490" s="103"/>
      <c r="CW490" s="103"/>
      <c r="CX490" s="103"/>
      <c r="CY490" s="103"/>
      <c r="CZ490" s="103"/>
      <c r="DA490" s="103"/>
      <c r="DB490" s="103"/>
      <c r="DC490" s="103"/>
      <c r="DD490" s="103"/>
      <c r="DE490" s="103"/>
      <c r="DF490" s="465"/>
      <c r="DG490" s="107"/>
      <c r="DH490" s="1"/>
      <c r="DI490" s="465"/>
      <c r="DJ490" s="52"/>
      <c r="DK490" s="52"/>
      <c r="DL490" s="52"/>
      <c r="DM490" s="52"/>
      <c r="DN490" s="52"/>
      <c r="DO490" s="52"/>
      <c r="DP490" s="52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P490" s="53"/>
      <c r="EQ490" s="1"/>
      <c r="ER490" s="102"/>
      <c r="ES490" s="103"/>
      <c r="ET490" s="1"/>
      <c r="EU490" s="103"/>
      <c r="EV490" s="1"/>
      <c r="EW490" s="1"/>
      <c r="EX490" s="1"/>
      <c r="EY490" s="102"/>
    </row>
    <row r="491" spans="9:155">
      <c r="I491" s="132"/>
      <c r="J491" s="365"/>
      <c r="K491" s="1"/>
      <c r="L491" s="1"/>
      <c r="M491" s="366"/>
      <c r="P491" s="365"/>
      <c r="S491" s="53"/>
      <c r="T491" s="365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364"/>
      <c r="AO491" s="364"/>
      <c r="AP491" s="1"/>
      <c r="AQ491" s="364"/>
      <c r="AR491" s="1"/>
      <c r="AS491" s="103"/>
      <c r="AT491" s="103"/>
      <c r="AU491" s="103"/>
      <c r="AV491" s="31"/>
      <c r="AW491" s="31"/>
      <c r="AX491" s="31"/>
      <c r="AY491" s="31"/>
      <c r="AZ491" s="146"/>
      <c r="BA491" s="146"/>
      <c r="BB491" s="103"/>
      <c r="BC491" s="103"/>
      <c r="BD491" s="103"/>
      <c r="BE491" s="103"/>
      <c r="BF491" s="104"/>
      <c r="BG491" s="104"/>
      <c r="BH491" s="104"/>
      <c r="BI491" s="104"/>
      <c r="BJ491" s="104"/>
      <c r="BK491" s="103"/>
      <c r="BL491" s="105"/>
      <c r="BM491" s="103"/>
      <c r="BN491" s="103"/>
      <c r="BO491" s="103"/>
      <c r="BP491" s="103"/>
      <c r="BQ491" s="103"/>
      <c r="BR491" s="103"/>
      <c r="BS491" s="103"/>
      <c r="BT491" s="103"/>
      <c r="BU491" s="103"/>
      <c r="BV491" s="103"/>
      <c r="BW491" s="103"/>
      <c r="BX491" s="103"/>
      <c r="BY491" s="103"/>
      <c r="BZ491" s="103"/>
      <c r="CA491" s="104"/>
      <c r="CB491" s="104"/>
      <c r="CC491" s="104"/>
      <c r="CD491" s="104"/>
      <c r="CE491" s="104"/>
      <c r="CF491" s="104"/>
      <c r="CG491" s="103"/>
      <c r="CH491" s="103"/>
      <c r="CI491" s="103"/>
      <c r="CJ491" s="103"/>
      <c r="CK491" s="103"/>
      <c r="CL491" s="103"/>
      <c r="CM491" s="103"/>
      <c r="CN491" s="103"/>
      <c r="CO491" s="103"/>
      <c r="CP491" s="103"/>
      <c r="CQ491" s="103"/>
      <c r="CR491" s="103"/>
      <c r="CS491" s="103"/>
      <c r="CT491" s="103"/>
      <c r="CU491" s="103"/>
      <c r="CV491" s="103"/>
      <c r="CW491" s="103"/>
      <c r="CX491" s="103"/>
      <c r="CY491" s="103"/>
      <c r="CZ491" s="103"/>
      <c r="DA491" s="103"/>
      <c r="DB491" s="103"/>
      <c r="DC491" s="103"/>
      <c r="DD491" s="103"/>
      <c r="DE491" s="103"/>
      <c r="DF491" s="465"/>
      <c r="DG491" s="107"/>
      <c r="DH491" s="1"/>
      <c r="DI491" s="465"/>
      <c r="DJ491" s="52"/>
      <c r="DK491" s="52"/>
      <c r="DL491" s="52"/>
      <c r="DM491" s="52"/>
      <c r="DN491" s="52"/>
      <c r="DO491" s="52"/>
      <c r="DP491" s="52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P491" s="53"/>
      <c r="EQ491" s="1"/>
      <c r="ER491" s="102"/>
      <c r="ES491" s="103"/>
      <c r="ET491" s="1"/>
      <c r="EU491" s="103"/>
      <c r="EV491" s="1"/>
      <c r="EW491" s="1"/>
      <c r="EX491" s="1"/>
      <c r="EY491" s="102"/>
    </row>
    <row r="492" spans="9:155">
      <c r="I492" s="132"/>
      <c r="J492" s="365"/>
      <c r="K492" s="1"/>
      <c r="L492" s="1"/>
      <c r="M492" s="366"/>
      <c r="P492" s="365"/>
      <c r="S492" s="53"/>
      <c r="T492" s="365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364"/>
      <c r="AO492" s="364"/>
      <c r="AP492" s="1"/>
      <c r="AQ492" s="364"/>
      <c r="AR492" s="1"/>
      <c r="AS492" s="103"/>
      <c r="AT492" s="103"/>
      <c r="AU492" s="103"/>
      <c r="AV492" s="31"/>
      <c r="AW492" s="31"/>
      <c r="AX492" s="31"/>
      <c r="AY492" s="31"/>
      <c r="AZ492" s="146"/>
      <c r="BA492" s="146"/>
      <c r="BB492" s="103"/>
      <c r="BC492" s="103"/>
      <c r="BD492" s="103"/>
      <c r="BE492" s="103"/>
      <c r="BF492" s="104"/>
      <c r="BG492" s="104"/>
      <c r="BH492" s="104"/>
      <c r="BI492" s="104"/>
      <c r="BJ492" s="104"/>
      <c r="BK492" s="103"/>
      <c r="BL492" s="105"/>
      <c r="BM492" s="103"/>
      <c r="BN492" s="103"/>
      <c r="BO492" s="103"/>
      <c r="BP492" s="103"/>
      <c r="BQ492" s="103"/>
      <c r="BR492" s="103"/>
      <c r="BS492" s="103"/>
      <c r="BT492" s="103"/>
      <c r="BU492" s="103"/>
      <c r="BV492" s="103"/>
      <c r="BW492" s="103"/>
      <c r="BX492" s="103"/>
      <c r="BY492" s="103"/>
      <c r="BZ492" s="103"/>
      <c r="CA492" s="104"/>
      <c r="CB492" s="104"/>
      <c r="CC492" s="104"/>
      <c r="CD492" s="104"/>
      <c r="CE492" s="104"/>
      <c r="CF492" s="104"/>
      <c r="CG492" s="103"/>
      <c r="CH492" s="103"/>
      <c r="CI492" s="103"/>
      <c r="CJ492" s="103"/>
      <c r="CK492" s="103"/>
      <c r="CL492" s="103"/>
      <c r="CM492" s="103"/>
      <c r="CN492" s="103"/>
      <c r="CO492" s="103"/>
      <c r="CP492" s="103"/>
      <c r="CQ492" s="103"/>
      <c r="CR492" s="103"/>
      <c r="CS492" s="103"/>
      <c r="CT492" s="103"/>
      <c r="CU492" s="103"/>
      <c r="CV492" s="103"/>
      <c r="CW492" s="103"/>
      <c r="CX492" s="103"/>
      <c r="CY492" s="103"/>
      <c r="CZ492" s="103"/>
      <c r="DA492" s="103"/>
      <c r="DB492" s="103"/>
      <c r="DC492" s="103"/>
      <c r="DD492" s="103"/>
      <c r="DE492" s="103"/>
      <c r="DF492" s="465"/>
      <c r="DG492" s="107"/>
      <c r="DH492" s="1"/>
      <c r="DI492" s="465"/>
      <c r="DJ492" s="52"/>
      <c r="DK492" s="52"/>
      <c r="DL492" s="52"/>
      <c r="DM492" s="52"/>
      <c r="DN492" s="52"/>
      <c r="DO492" s="52"/>
      <c r="DP492" s="52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P492" s="53"/>
      <c r="EQ492" s="1"/>
      <c r="ER492" s="102"/>
      <c r="ES492" s="103"/>
      <c r="ET492" s="1"/>
      <c r="EU492" s="103"/>
      <c r="EV492" s="1"/>
      <c r="EW492" s="1"/>
      <c r="EX492" s="1"/>
      <c r="EY492" s="102"/>
    </row>
    <row r="493" spans="9:155">
      <c r="I493" s="132"/>
      <c r="J493" s="365"/>
      <c r="K493" s="1"/>
      <c r="L493" s="1"/>
      <c r="M493" s="366"/>
      <c r="P493" s="365"/>
      <c r="S493" s="53"/>
      <c r="T493" s="365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364"/>
      <c r="AO493" s="364"/>
      <c r="AP493" s="1"/>
      <c r="AQ493" s="364"/>
      <c r="AR493" s="1"/>
      <c r="AS493" s="103"/>
      <c r="AT493" s="103"/>
      <c r="AU493" s="103"/>
      <c r="AV493" s="31"/>
      <c r="AW493" s="31"/>
      <c r="AX493" s="31"/>
      <c r="AY493" s="31"/>
      <c r="AZ493" s="146"/>
      <c r="BA493" s="146"/>
      <c r="BB493" s="103"/>
      <c r="BC493" s="103"/>
      <c r="BD493" s="103"/>
      <c r="BE493" s="103"/>
      <c r="BF493" s="104"/>
      <c r="BG493" s="104"/>
      <c r="BH493" s="104"/>
      <c r="BI493" s="104"/>
      <c r="BJ493" s="104"/>
      <c r="BK493" s="103"/>
      <c r="BL493" s="105"/>
      <c r="BM493" s="103"/>
      <c r="BN493" s="103"/>
      <c r="BO493" s="103"/>
      <c r="BP493" s="103"/>
      <c r="BQ493" s="103"/>
      <c r="BR493" s="103"/>
      <c r="BS493" s="103"/>
      <c r="BT493" s="103"/>
      <c r="BU493" s="103"/>
      <c r="BV493" s="103"/>
      <c r="BW493" s="103"/>
      <c r="BX493" s="103"/>
      <c r="BY493" s="103"/>
      <c r="BZ493" s="103"/>
      <c r="CA493" s="104"/>
      <c r="CB493" s="104"/>
      <c r="CC493" s="104"/>
      <c r="CD493" s="104"/>
      <c r="CE493" s="104"/>
      <c r="CF493" s="104"/>
      <c r="CG493" s="103"/>
      <c r="CH493" s="103"/>
      <c r="CI493" s="103"/>
      <c r="CJ493" s="103"/>
      <c r="CK493" s="103"/>
      <c r="CL493" s="103"/>
      <c r="CM493" s="103"/>
      <c r="CN493" s="103"/>
      <c r="CO493" s="103"/>
      <c r="CP493" s="103"/>
      <c r="CQ493" s="103"/>
      <c r="CR493" s="103"/>
      <c r="CS493" s="103"/>
      <c r="CT493" s="103"/>
      <c r="CU493" s="103"/>
      <c r="CV493" s="103"/>
      <c r="CW493" s="103"/>
      <c r="CX493" s="103"/>
      <c r="CY493" s="103"/>
      <c r="CZ493" s="103"/>
      <c r="DA493" s="103"/>
      <c r="DB493" s="103"/>
      <c r="DC493" s="103"/>
      <c r="DD493" s="103"/>
      <c r="DE493" s="103"/>
      <c r="DF493" s="465"/>
      <c r="DG493" s="107"/>
      <c r="DH493" s="1"/>
      <c r="DI493" s="465"/>
      <c r="DJ493" s="52"/>
      <c r="DK493" s="52"/>
      <c r="DL493" s="52"/>
      <c r="DM493" s="52"/>
      <c r="DN493" s="52"/>
      <c r="DO493" s="52"/>
      <c r="DP493" s="52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P493" s="53"/>
      <c r="EQ493" s="1"/>
      <c r="ER493" s="102"/>
      <c r="ES493" s="103"/>
      <c r="ET493" s="1"/>
      <c r="EU493" s="103"/>
      <c r="EV493" s="1"/>
      <c r="EW493" s="1"/>
      <c r="EX493" s="1"/>
      <c r="EY493" s="102"/>
    </row>
    <row r="494" spans="9:155">
      <c r="I494" s="132"/>
      <c r="J494" s="365"/>
      <c r="K494" s="1"/>
      <c r="L494" s="1"/>
      <c r="M494" s="366"/>
      <c r="P494" s="365"/>
      <c r="S494" s="53"/>
      <c r="T494" s="365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364"/>
      <c r="AO494" s="364"/>
      <c r="AP494" s="1"/>
      <c r="AQ494" s="364"/>
      <c r="AR494" s="1"/>
      <c r="AS494" s="103"/>
      <c r="AT494" s="103"/>
      <c r="AU494" s="103"/>
      <c r="AV494" s="31"/>
      <c r="AW494" s="31"/>
      <c r="AX494" s="31"/>
      <c r="AY494" s="31"/>
      <c r="AZ494" s="146"/>
      <c r="BA494" s="146"/>
      <c r="BB494" s="103"/>
      <c r="BC494" s="103"/>
      <c r="BD494" s="103"/>
      <c r="BE494" s="103"/>
      <c r="BF494" s="104"/>
      <c r="BG494" s="104"/>
      <c r="BH494" s="104"/>
      <c r="BI494" s="104"/>
      <c r="BJ494" s="104"/>
      <c r="BK494" s="103"/>
      <c r="BL494" s="105"/>
      <c r="BM494" s="103"/>
      <c r="BN494" s="103"/>
      <c r="BO494" s="103"/>
      <c r="BP494" s="103"/>
      <c r="BQ494" s="103"/>
      <c r="BR494" s="103"/>
      <c r="BS494" s="103"/>
      <c r="BT494" s="103"/>
      <c r="BU494" s="103"/>
      <c r="BV494" s="103"/>
      <c r="BW494" s="103"/>
      <c r="BX494" s="103"/>
      <c r="BY494" s="103"/>
      <c r="BZ494" s="103"/>
      <c r="CA494" s="104"/>
      <c r="CB494" s="104"/>
      <c r="CC494" s="104"/>
      <c r="CD494" s="104"/>
      <c r="CE494" s="104"/>
      <c r="CF494" s="104"/>
      <c r="CG494" s="103"/>
      <c r="CH494" s="103"/>
      <c r="CI494" s="103"/>
      <c r="CJ494" s="103"/>
      <c r="CK494" s="103"/>
      <c r="CL494" s="103"/>
      <c r="CM494" s="103"/>
      <c r="CN494" s="103"/>
      <c r="CO494" s="103"/>
      <c r="CP494" s="103"/>
      <c r="CQ494" s="103"/>
      <c r="CR494" s="103"/>
      <c r="CS494" s="103"/>
      <c r="CT494" s="103"/>
      <c r="CU494" s="103"/>
      <c r="CV494" s="103"/>
      <c r="CW494" s="103"/>
      <c r="CX494" s="103"/>
      <c r="CY494" s="103"/>
      <c r="CZ494" s="103"/>
      <c r="DA494" s="103"/>
      <c r="DB494" s="103"/>
      <c r="DC494" s="103"/>
      <c r="DD494" s="103"/>
      <c r="DE494" s="103"/>
      <c r="DF494" s="465"/>
      <c r="DG494" s="107"/>
      <c r="DH494" s="1"/>
      <c r="DI494" s="465"/>
      <c r="DJ494" s="52"/>
      <c r="DK494" s="52"/>
      <c r="DL494" s="52"/>
      <c r="DM494" s="52"/>
      <c r="DN494" s="52"/>
      <c r="DO494" s="52"/>
      <c r="DP494" s="52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P494" s="53"/>
      <c r="EQ494" s="1"/>
      <c r="ER494" s="102"/>
      <c r="ES494" s="103"/>
      <c r="ET494" s="1"/>
      <c r="EU494" s="103"/>
      <c r="EV494" s="1"/>
      <c r="EW494" s="1"/>
      <c r="EX494" s="1"/>
      <c r="EY494" s="102"/>
    </row>
    <row r="495" spans="9:155">
      <c r="I495" s="132"/>
      <c r="J495" s="365"/>
      <c r="K495" s="1"/>
      <c r="L495" s="1"/>
      <c r="M495" s="366"/>
      <c r="P495" s="365"/>
      <c r="S495" s="53"/>
      <c r="T495" s="365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364"/>
      <c r="AO495" s="364"/>
      <c r="AP495" s="1"/>
      <c r="AQ495" s="364"/>
      <c r="AR495" s="1"/>
      <c r="AS495" s="103"/>
      <c r="AT495" s="103"/>
      <c r="AU495" s="103"/>
      <c r="AV495" s="31"/>
      <c r="AW495" s="31"/>
      <c r="AX495" s="31"/>
      <c r="AY495" s="31"/>
      <c r="AZ495" s="146"/>
      <c r="BA495" s="146"/>
      <c r="BB495" s="103"/>
      <c r="BC495" s="103"/>
      <c r="BD495" s="103"/>
      <c r="BE495" s="103"/>
      <c r="BF495" s="104"/>
      <c r="BG495" s="104"/>
      <c r="BH495" s="104"/>
      <c r="BI495" s="104"/>
      <c r="BJ495" s="104"/>
      <c r="BK495" s="103"/>
      <c r="BL495" s="105"/>
      <c r="BM495" s="103"/>
      <c r="BN495" s="103"/>
      <c r="BO495" s="103"/>
      <c r="BP495" s="103"/>
      <c r="BQ495" s="103"/>
      <c r="BR495" s="103"/>
      <c r="BS495" s="103"/>
      <c r="BT495" s="103"/>
      <c r="BU495" s="103"/>
      <c r="BV495" s="103"/>
      <c r="BW495" s="103"/>
      <c r="BX495" s="103"/>
      <c r="BY495" s="103"/>
      <c r="BZ495" s="103"/>
      <c r="CA495" s="104"/>
      <c r="CB495" s="104"/>
      <c r="CC495" s="104"/>
      <c r="CD495" s="104"/>
      <c r="CE495" s="104"/>
      <c r="CF495" s="104"/>
      <c r="CG495" s="103"/>
      <c r="CH495" s="103"/>
      <c r="CI495" s="103"/>
      <c r="CJ495" s="103"/>
      <c r="CK495" s="103"/>
      <c r="CL495" s="103"/>
      <c r="CM495" s="103"/>
      <c r="CN495" s="103"/>
      <c r="CO495" s="103"/>
      <c r="CP495" s="103"/>
      <c r="CQ495" s="103"/>
      <c r="CR495" s="103"/>
      <c r="CS495" s="103"/>
      <c r="CT495" s="103"/>
      <c r="CU495" s="103"/>
      <c r="CV495" s="103"/>
      <c r="CW495" s="103"/>
      <c r="CX495" s="103"/>
      <c r="CY495" s="103"/>
      <c r="CZ495" s="103"/>
      <c r="DA495" s="103"/>
      <c r="DB495" s="103"/>
      <c r="DC495" s="103"/>
      <c r="DD495" s="103"/>
      <c r="DE495" s="103"/>
      <c r="DF495" s="465"/>
      <c r="DG495" s="107"/>
      <c r="DH495" s="1"/>
      <c r="DI495" s="465"/>
      <c r="DJ495" s="52"/>
      <c r="DK495" s="52"/>
      <c r="DL495" s="52"/>
      <c r="DM495" s="52"/>
      <c r="DN495" s="52"/>
      <c r="DO495" s="52"/>
      <c r="DP495" s="52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P495" s="53"/>
      <c r="EQ495" s="1"/>
      <c r="ER495" s="102"/>
      <c r="ES495" s="103"/>
      <c r="ET495" s="1"/>
      <c r="EU495" s="103"/>
      <c r="EV495" s="1"/>
      <c r="EW495" s="1"/>
      <c r="EX495" s="1"/>
      <c r="EY495" s="102"/>
    </row>
    <row r="496" spans="9:155">
      <c r="I496" s="132"/>
      <c r="J496" s="365"/>
      <c r="K496" s="1"/>
      <c r="L496" s="1"/>
      <c r="M496" s="366"/>
      <c r="P496" s="365"/>
      <c r="S496" s="53"/>
      <c r="T496" s="365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364"/>
      <c r="AO496" s="364"/>
      <c r="AP496" s="1"/>
      <c r="AQ496" s="364"/>
      <c r="AR496" s="1"/>
      <c r="AS496" s="103"/>
      <c r="AT496" s="103"/>
      <c r="AU496" s="103"/>
      <c r="AV496" s="31"/>
      <c r="AW496" s="31"/>
      <c r="AX496" s="31"/>
      <c r="AY496" s="31"/>
      <c r="AZ496" s="146"/>
      <c r="BA496" s="146"/>
      <c r="BB496" s="103"/>
      <c r="BC496" s="103"/>
      <c r="BD496" s="103"/>
      <c r="BE496" s="103"/>
      <c r="BF496" s="104"/>
      <c r="BG496" s="104"/>
      <c r="BH496" s="104"/>
      <c r="BI496" s="104"/>
      <c r="BJ496" s="104"/>
      <c r="BK496" s="103"/>
      <c r="BL496" s="105"/>
      <c r="BM496" s="103"/>
      <c r="BN496" s="103"/>
      <c r="BO496" s="103"/>
      <c r="BP496" s="103"/>
      <c r="BQ496" s="103"/>
      <c r="BR496" s="103"/>
      <c r="BS496" s="103"/>
      <c r="BT496" s="103"/>
      <c r="BU496" s="103"/>
      <c r="BV496" s="103"/>
      <c r="BW496" s="103"/>
      <c r="BX496" s="103"/>
      <c r="BY496" s="103"/>
      <c r="BZ496" s="103"/>
      <c r="CA496" s="104"/>
      <c r="CB496" s="104"/>
      <c r="CC496" s="104"/>
      <c r="CD496" s="104"/>
      <c r="CE496" s="104"/>
      <c r="CF496" s="104"/>
      <c r="CG496" s="103"/>
      <c r="CH496" s="103"/>
      <c r="CI496" s="103"/>
      <c r="CJ496" s="103"/>
      <c r="CK496" s="103"/>
      <c r="CL496" s="103"/>
      <c r="CM496" s="103"/>
      <c r="CN496" s="103"/>
      <c r="CO496" s="103"/>
      <c r="CP496" s="103"/>
      <c r="CQ496" s="103"/>
      <c r="CR496" s="103"/>
      <c r="CS496" s="103"/>
      <c r="CT496" s="103"/>
      <c r="CU496" s="103"/>
      <c r="CV496" s="103"/>
      <c r="CW496" s="103"/>
      <c r="CX496" s="103"/>
      <c r="CY496" s="103"/>
      <c r="CZ496" s="103"/>
      <c r="DA496" s="103"/>
      <c r="DB496" s="103"/>
      <c r="DC496" s="103"/>
      <c r="DD496" s="103"/>
      <c r="DE496" s="103"/>
      <c r="DF496" s="465"/>
      <c r="DG496" s="107"/>
      <c r="DH496" s="1"/>
      <c r="DI496" s="465"/>
      <c r="DJ496" s="52"/>
      <c r="DK496" s="52"/>
      <c r="DL496" s="52"/>
      <c r="DM496" s="52"/>
      <c r="DN496" s="52"/>
      <c r="DO496" s="52"/>
      <c r="DP496" s="52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P496" s="53"/>
      <c r="EQ496" s="1"/>
      <c r="ER496" s="102"/>
      <c r="ES496" s="103"/>
      <c r="ET496" s="1"/>
      <c r="EU496" s="103"/>
      <c r="EV496" s="1"/>
      <c r="EW496" s="1"/>
      <c r="EX496" s="1"/>
      <c r="EY496" s="102"/>
    </row>
    <row r="497" spans="9:155">
      <c r="I497" s="132"/>
      <c r="J497" s="365"/>
      <c r="K497" s="1"/>
      <c r="L497" s="1"/>
      <c r="M497" s="366"/>
      <c r="P497" s="365"/>
      <c r="S497" s="53"/>
      <c r="T497" s="365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364"/>
      <c r="AO497" s="364"/>
      <c r="AP497" s="1"/>
      <c r="AQ497" s="364"/>
      <c r="AR497" s="1"/>
      <c r="AS497" s="103"/>
      <c r="AT497" s="103"/>
      <c r="AU497" s="103"/>
      <c r="AV497" s="31"/>
      <c r="AW497" s="31"/>
      <c r="AX497" s="31"/>
      <c r="AY497" s="31"/>
      <c r="AZ497" s="146"/>
      <c r="BA497" s="146"/>
      <c r="BB497" s="103"/>
      <c r="BC497" s="103"/>
      <c r="BD497" s="103"/>
      <c r="BE497" s="103"/>
      <c r="BF497" s="104"/>
      <c r="BG497" s="104"/>
      <c r="BH497" s="104"/>
      <c r="BI497" s="104"/>
      <c r="BJ497" s="104"/>
      <c r="BK497" s="103"/>
      <c r="BL497" s="105"/>
      <c r="BM497" s="103"/>
      <c r="BN497" s="103"/>
      <c r="BO497" s="103"/>
      <c r="BP497" s="103"/>
      <c r="BQ497" s="103"/>
      <c r="BR497" s="103"/>
      <c r="BS497" s="103"/>
      <c r="BT497" s="103"/>
      <c r="BU497" s="103"/>
      <c r="BV497" s="103"/>
      <c r="BW497" s="103"/>
      <c r="BX497" s="103"/>
      <c r="BY497" s="103"/>
      <c r="BZ497" s="103"/>
      <c r="CA497" s="104"/>
      <c r="CB497" s="104"/>
      <c r="CC497" s="104"/>
      <c r="CD497" s="104"/>
      <c r="CE497" s="104"/>
      <c r="CF497" s="104"/>
      <c r="CG497" s="103"/>
      <c r="CH497" s="103"/>
      <c r="CI497" s="103"/>
      <c r="CJ497" s="103"/>
      <c r="CK497" s="103"/>
      <c r="CL497" s="103"/>
      <c r="CM497" s="103"/>
      <c r="CN497" s="103"/>
      <c r="CO497" s="103"/>
      <c r="CP497" s="103"/>
      <c r="CQ497" s="103"/>
      <c r="CR497" s="103"/>
      <c r="CS497" s="103"/>
      <c r="CT497" s="103"/>
      <c r="CU497" s="103"/>
      <c r="CV497" s="103"/>
      <c r="CW497" s="103"/>
      <c r="CX497" s="103"/>
      <c r="CY497" s="103"/>
      <c r="CZ497" s="103"/>
      <c r="DA497" s="103"/>
      <c r="DB497" s="103"/>
      <c r="DC497" s="103"/>
      <c r="DD497" s="103"/>
      <c r="DE497" s="103"/>
      <c r="DF497" s="465"/>
      <c r="DG497" s="107"/>
      <c r="DH497" s="1"/>
      <c r="DI497" s="465"/>
      <c r="DJ497" s="52"/>
      <c r="DK497" s="52"/>
      <c r="DL497" s="52"/>
      <c r="DM497" s="52"/>
      <c r="DN497" s="52"/>
      <c r="DO497" s="52"/>
      <c r="DP497" s="52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P497" s="53"/>
      <c r="EQ497" s="1"/>
      <c r="ER497" s="102"/>
      <c r="ES497" s="103"/>
      <c r="ET497" s="1"/>
      <c r="EU497" s="103"/>
      <c r="EV497" s="1"/>
      <c r="EW497" s="1"/>
      <c r="EX497" s="1"/>
      <c r="EY497" s="102"/>
    </row>
    <row r="498" spans="9:155">
      <c r="I498" s="132"/>
      <c r="J498" s="365"/>
      <c r="K498" s="1"/>
      <c r="L498" s="1"/>
      <c r="M498" s="366"/>
      <c r="P498" s="365"/>
      <c r="S498" s="53"/>
      <c r="T498" s="365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364"/>
      <c r="AO498" s="364"/>
      <c r="AP498" s="103"/>
      <c r="AQ498" s="364"/>
      <c r="AR498" s="103"/>
      <c r="AS498" s="103"/>
      <c r="AT498" s="103"/>
      <c r="AU498" s="103"/>
      <c r="AV498" s="31"/>
      <c r="AW498" s="31"/>
      <c r="AX498" s="31"/>
      <c r="AY498" s="146"/>
      <c r="AZ498" s="146"/>
      <c r="BA498" s="103"/>
      <c r="BB498" s="103"/>
      <c r="BC498" s="103"/>
      <c r="BD498" s="103"/>
      <c r="BE498" s="103"/>
      <c r="BF498" s="104"/>
      <c r="BG498" s="104"/>
      <c r="BH498" s="102"/>
      <c r="BI498" s="104"/>
      <c r="BJ498" s="103"/>
      <c r="BK498" s="105"/>
      <c r="BL498" s="151"/>
      <c r="BM498" s="103"/>
      <c r="BN498" s="103"/>
      <c r="BO498" s="103"/>
      <c r="BP498" s="103"/>
      <c r="BQ498" s="103"/>
      <c r="BR498" s="103"/>
      <c r="BS498" s="103"/>
      <c r="BT498" s="103"/>
      <c r="BU498" s="103"/>
      <c r="BV498" s="103"/>
      <c r="BW498" s="103"/>
      <c r="BX498" s="103"/>
      <c r="BY498" s="103"/>
      <c r="BZ498" s="104"/>
      <c r="CA498" s="104"/>
      <c r="CB498" s="104"/>
      <c r="CC498" s="104"/>
      <c r="CD498" s="104"/>
      <c r="CE498" s="104"/>
      <c r="CF498" s="103"/>
      <c r="CG498" s="103"/>
      <c r="CH498" s="103"/>
      <c r="CI498" s="103"/>
      <c r="CJ498" s="103"/>
      <c r="CK498" s="103"/>
      <c r="CL498" s="103"/>
      <c r="CM498" s="103"/>
      <c r="CN498" s="103"/>
      <c r="CO498" s="103"/>
      <c r="CP498" s="103"/>
      <c r="CQ498" s="103"/>
      <c r="CR498" s="103"/>
      <c r="CS498" s="103"/>
      <c r="CT498" s="103"/>
      <c r="CU498" s="103"/>
      <c r="CV498" s="103"/>
      <c r="CW498" s="103"/>
      <c r="CX498" s="103"/>
      <c r="CY498" s="103"/>
      <c r="CZ498" s="103"/>
      <c r="DA498" s="103"/>
      <c r="DB498" s="103"/>
      <c r="DC498" s="103"/>
      <c r="DD498" s="103"/>
      <c r="DE498" s="107"/>
      <c r="DF498" s="465"/>
      <c r="DG498" s="1"/>
      <c r="DH498" s="53"/>
      <c r="DI498" s="465"/>
      <c r="DJ498" s="52"/>
      <c r="DK498" s="52"/>
      <c r="DL498" s="52"/>
      <c r="DM498" s="52"/>
      <c r="DN498" s="52"/>
      <c r="DO498" s="52"/>
      <c r="DP498" s="52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P498" s="53"/>
      <c r="EQ498" s="1"/>
      <c r="ER498" s="102"/>
      <c r="ES498" s="103"/>
      <c r="ET498" s="1"/>
      <c r="EU498" s="103"/>
      <c r="EV498" s="1"/>
      <c r="EW498" s="1"/>
      <c r="EX498" s="1"/>
      <c r="EY498" s="102"/>
    </row>
    <row r="499" spans="9:155">
      <c r="I499" s="132"/>
      <c r="J499" s="365"/>
      <c r="K499" s="1"/>
      <c r="L499" s="1"/>
      <c r="M499" s="366"/>
      <c r="P499" s="365"/>
      <c r="S499" s="53"/>
      <c r="T499" s="365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364"/>
      <c r="AO499" s="364"/>
      <c r="AP499" s="103"/>
      <c r="AQ499" s="364"/>
      <c r="AR499" s="103"/>
      <c r="AS499" s="103"/>
      <c r="AT499" s="103"/>
      <c r="AU499" s="103"/>
      <c r="AV499" s="31"/>
      <c r="AW499" s="31"/>
      <c r="AX499" s="31"/>
      <c r="AY499" s="146"/>
      <c r="AZ499" s="146"/>
      <c r="BA499" s="103"/>
      <c r="BB499" s="103"/>
      <c r="BC499" s="103"/>
      <c r="BD499" s="103"/>
      <c r="BE499" s="103"/>
      <c r="BF499" s="104"/>
      <c r="BG499" s="104"/>
      <c r="BH499" s="102"/>
      <c r="BI499" s="104"/>
      <c r="BJ499" s="103"/>
      <c r="BK499" s="105"/>
      <c r="BL499" s="151"/>
      <c r="BM499" s="103"/>
      <c r="BN499" s="103"/>
      <c r="BO499" s="103"/>
      <c r="BP499" s="103"/>
      <c r="BQ499" s="103"/>
      <c r="BR499" s="103"/>
      <c r="BS499" s="103"/>
      <c r="BT499" s="103"/>
      <c r="BU499" s="103"/>
      <c r="BV499" s="103"/>
      <c r="BW499" s="103"/>
      <c r="BX499" s="103"/>
      <c r="BY499" s="103"/>
      <c r="BZ499" s="104"/>
      <c r="CA499" s="104"/>
      <c r="CB499" s="104"/>
      <c r="CC499" s="104"/>
      <c r="CD499" s="104"/>
      <c r="CE499" s="104"/>
      <c r="CF499" s="103"/>
      <c r="CG499" s="103"/>
      <c r="CH499" s="103"/>
      <c r="CI499" s="103"/>
      <c r="CJ499" s="103"/>
      <c r="CK499" s="103"/>
      <c r="CL499" s="103"/>
      <c r="CM499" s="103"/>
      <c r="CN499" s="103"/>
      <c r="CO499" s="103"/>
      <c r="CP499" s="103"/>
      <c r="CQ499" s="103"/>
      <c r="CR499" s="103"/>
      <c r="CS499" s="103"/>
      <c r="CT499" s="103"/>
      <c r="CU499" s="103"/>
      <c r="CV499" s="103"/>
      <c r="CW499" s="103"/>
      <c r="CX499" s="103"/>
      <c r="CY499" s="103"/>
      <c r="CZ499" s="103"/>
      <c r="DA499" s="103"/>
      <c r="DB499" s="103"/>
      <c r="DC499" s="103"/>
      <c r="DD499" s="103"/>
      <c r="DE499" s="107"/>
      <c r="DF499" s="465"/>
      <c r="DG499" s="1"/>
      <c r="DH499" s="53"/>
      <c r="DI499" s="465"/>
      <c r="DJ499" s="52"/>
      <c r="DK499" s="52"/>
      <c r="DL499" s="52"/>
      <c r="DM499" s="52"/>
      <c r="DN499" s="52"/>
      <c r="DO499" s="52"/>
      <c r="DP499" s="52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P499" s="53"/>
      <c r="EQ499" s="1"/>
      <c r="ER499" s="102"/>
      <c r="ES499" s="103"/>
      <c r="ET499" s="1"/>
      <c r="EU499" s="103"/>
      <c r="EV499" s="1"/>
      <c r="EW499" s="1"/>
      <c r="EX499" s="1"/>
      <c r="EY499" s="102"/>
    </row>
    <row r="500" spans="9:155">
      <c r="I500" s="132"/>
      <c r="J500" s="365"/>
      <c r="K500" s="1"/>
      <c r="L500" s="1"/>
      <c r="M500" s="366"/>
      <c r="P500" s="365"/>
      <c r="S500" s="53"/>
      <c r="T500" s="365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364"/>
      <c r="AO500" s="364"/>
      <c r="AP500" s="103"/>
      <c r="AQ500" s="364"/>
      <c r="AR500" s="103"/>
      <c r="AS500" s="103"/>
      <c r="AT500" s="103"/>
      <c r="AU500" s="103"/>
      <c r="AV500" s="31"/>
      <c r="AW500" s="31"/>
      <c r="AX500" s="31"/>
      <c r="AY500" s="146"/>
      <c r="AZ500" s="146"/>
      <c r="BA500" s="103"/>
      <c r="BB500" s="103"/>
      <c r="BC500" s="103"/>
      <c r="BD500" s="103"/>
      <c r="BE500" s="103"/>
      <c r="BF500" s="104"/>
      <c r="BG500" s="104"/>
      <c r="BH500" s="102"/>
      <c r="BI500" s="104"/>
      <c r="BJ500" s="103"/>
      <c r="BK500" s="105"/>
      <c r="BL500" s="151"/>
      <c r="BM500" s="103"/>
      <c r="BN500" s="103"/>
      <c r="BO500" s="103"/>
      <c r="BP500" s="103"/>
      <c r="BQ500" s="103"/>
      <c r="BR500" s="103"/>
      <c r="BS500" s="103"/>
      <c r="BT500" s="103"/>
      <c r="BU500" s="103"/>
      <c r="BV500" s="103"/>
      <c r="BW500" s="103"/>
      <c r="BX500" s="103"/>
      <c r="BY500" s="103"/>
      <c r="BZ500" s="104"/>
      <c r="CA500" s="104"/>
      <c r="CB500" s="104"/>
      <c r="CC500" s="104"/>
      <c r="CD500" s="104"/>
      <c r="CE500" s="104"/>
      <c r="CF500" s="103"/>
      <c r="CG500" s="103"/>
      <c r="CH500" s="103"/>
      <c r="CI500" s="103"/>
      <c r="CJ500" s="103"/>
      <c r="CK500" s="103"/>
      <c r="CL500" s="103"/>
      <c r="CM500" s="103"/>
      <c r="CN500" s="103"/>
      <c r="CO500" s="103"/>
      <c r="CP500" s="103"/>
      <c r="CQ500" s="103"/>
      <c r="CR500" s="103"/>
      <c r="CS500" s="103"/>
      <c r="CT500" s="103"/>
      <c r="CU500" s="103"/>
      <c r="CV500" s="103"/>
      <c r="CW500" s="103"/>
      <c r="CX500" s="103"/>
      <c r="CY500" s="103"/>
      <c r="CZ500" s="103"/>
      <c r="DA500" s="103"/>
      <c r="DB500" s="103"/>
      <c r="DC500" s="103"/>
      <c r="DD500" s="103"/>
      <c r="DE500" s="107"/>
      <c r="DF500" s="465"/>
      <c r="DG500" s="1"/>
      <c r="DH500" s="53"/>
      <c r="DI500" s="465"/>
      <c r="DJ500" s="52"/>
      <c r="DK500" s="52"/>
      <c r="DL500" s="52"/>
      <c r="DM500" s="52"/>
      <c r="DN500" s="52"/>
      <c r="DO500" s="52"/>
      <c r="DP500" s="52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P500" s="53"/>
      <c r="EQ500" s="1"/>
      <c r="ER500" s="102"/>
      <c r="ES500" s="103"/>
      <c r="ET500" s="1"/>
      <c r="EU500" s="103"/>
      <c r="EV500" s="1"/>
      <c r="EW500" s="1"/>
      <c r="EX500" s="1"/>
      <c r="EY500" s="102"/>
    </row>
    <row r="501" spans="9:155">
      <c r="I501" s="132"/>
      <c r="J501" s="365"/>
      <c r="K501" s="1"/>
      <c r="L501" s="1"/>
      <c r="M501" s="366"/>
      <c r="P501" s="365"/>
      <c r="S501" s="53"/>
      <c r="T501" s="365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364"/>
      <c r="AO501" s="364"/>
      <c r="AP501" s="103"/>
      <c r="AQ501" s="364"/>
      <c r="AR501" s="103"/>
      <c r="AS501" s="103"/>
      <c r="AT501" s="103"/>
      <c r="AU501" s="103"/>
      <c r="AV501" s="31"/>
      <c r="AW501" s="31"/>
      <c r="AX501" s="31"/>
      <c r="AY501" s="146"/>
      <c r="AZ501" s="146"/>
      <c r="BA501" s="103"/>
      <c r="BB501" s="103"/>
      <c r="BC501" s="103"/>
      <c r="BD501" s="103"/>
      <c r="BE501" s="103"/>
      <c r="BF501" s="104"/>
      <c r="BG501" s="104"/>
      <c r="BH501" s="102"/>
      <c r="BI501" s="104"/>
      <c r="BJ501" s="103"/>
      <c r="BK501" s="105"/>
      <c r="BL501" s="151"/>
      <c r="BM501" s="103"/>
      <c r="BN501" s="103"/>
      <c r="BO501" s="103"/>
      <c r="BP501" s="103"/>
      <c r="BQ501" s="103"/>
      <c r="BR501" s="103"/>
      <c r="BS501" s="103"/>
      <c r="BT501" s="103"/>
      <c r="BU501" s="103"/>
      <c r="BV501" s="103"/>
      <c r="BW501" s="103"/>
      <c r="BX501" s="103"/>
      <c r="BY501" s="103"/>
      <c r="BZ501" s="104"/>
      <c r="CA501" s="104"/>
      <c r="CB501" s="104"/>
      <c r="CC501" s="104"/>
      <c r="CD501" s="104"/>
      <c r="CE501" s="104"/>
      <c r="CF501" s="103"/>
      <c r="CG501" s="103"/>
      <c r="CH501" s="103"/>
      <c r="CI501" s="103"/>
      <c r="CJ501" s="103"/>
      <c r="CK501" s="103"/>
      <c r="CL501" s="103"/>
      <c r="CM501" s="103"/>
      <c r="CN501" s="103"/>
      <c r="CO501" s="103"/>
      <c r="CP501" s="103"/>
      <c r="CQ501" s="103"/>
      <c r="CR501" s="103"/>
      <c r="CS501" s="103"/>
      <c r="CT501" s="103"/>
      <c r="CU501" s="103"/>
      <c r="CV501" s="103"/>
      <c r="CW501" s="103"/>
      <c r="CX501" s="103"/>
      <c r="CY501" s="103"/>
      <c r="CZ501" s="103"/>
      <c r="DA501" s="103"/>
      <c r="DB501" s="103"/>
      <c r="DC501" s="103"/>
      <c r="DD501" s="103"/>
      <c r="DE501" s="107"/>
      <c r="DF501" s="465"/>
      <c r="DG501" s="1"/>
      <c r="DH501" s="53"/>
      <c r="DI501" s="465"/>
      <c r="DJ501" s="52"/>
      <c r="DK501" s="52"/>
      <c r="DL501" s="52"/>
      <c r="DM501" s="52"/>
      <c r="DN501" s="52"/>
      <c r="DO501" s="52"/>
      <c r="DP501" s="52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P501" s="53"/>
      <c r="EQ501" s="1"/>
      <c r="ER501" s="102"/>
      <c r="ES501" s="103"/>
      <c r="ET501" s="1"/>
      <c r="EU501" s="103"/>
      <c r="EV501" s="1"/>
      <c r="EW501" s="1"/>
      <c r="EX501" s="1"/>
      <c r="EY501" s="102"/>
    </row>
    <row r="502" spans="9:155">
      <c r="I502" s="132"/>
      <c r="J502" s="365"/>
      <c r="K502" s="1"/>
      <c r="L502" s="1"/>
      <c r="M502" s="366"/>
      <c r="P502" s="365"/>
      <c r="S502" s="53"/>
      <c r="T502" s="365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364"/>
      <c r="AO502" s="364"/>
      <c r="AP502" s="103"/>
      <c r="AQ502" s="364"/>
      <c r="AR502" s="103"/>
      <c r="AS502" s="103"/>
      <c r="AT502" s="103"/>
      <c r="AU502" s="103"/>
      <c r="AV502" s="31"/>
      <c r="AW502" s="31"/>
      <c r="AX502" s="31"/>
      <c r="AY502" s="146"/>
      <c r="AZ502" s="146"/>
      <c r="BA502" s="103"/>
      <c r="BB502" s="103"/>
      <c r="BC502" s="103"/>
      <c r="BD502" s="103"/>
      <c r="BE502" s="103"/>
      <c r="BF502" s="104"/>
      <c r="BG502" s="104"/>
      <c r="BH502" s="102"/>
      <c r="BI502" s="104"/>
      <c r="BJ502" s="103"/>
      <c r="BK502" s="105"/>
      <c r="BL502" s="151"/>
      <c r="BM502" s="103"/>
      <c r="BN502" s="103"/>
      <c r="BO502" s="103"/>
      <c r="BP502" s="103"/>
      <c r="BQ502" s="103"/>
      <c r="BR502" s="103"/>
      <c r="BS502" s="103"/>
      <c r="BT502" s="103"/>
      <c r="BU502" s="103"/>
      <c r="BV502" s="103"/>
      <c r="BW502" s="103"/>
      <c r="BX502" s="103"/>
      <c r="BY502" s="103"/>
      <c r="BZ502" s="104"/>
      <c r="CA502" s="104"/>
      <c r="CB502" s="104"/>
      <c r="CC502" s="104"/>
      <c r="CD502" s="104"/>
      <c r="CE502" s="104"/>
      <c r="CF502" s="103"/>
      <c r="CG502" s="103"/>
      <c r="CH502" s="103"/>
      <c r="CI502" s="103"/>
      <c r="CJ502" s="103"/>
      <c r="CK502" s="103"/>
      <c r="CL502" s="103"/>
      <c r="CM502" s="103"/>
      <c r="CN502" s="103"/>
      <c r="CO502" s="103"/>
      <c r="CP502" s="103"/>
      <c r="CQ502" s="103"/>
      <c r="CR502" s="103"/>
      <c r="CS502" s="103"/>
      <c r="CT502" s="103"/>
      <c r="CU502" s="103"/>
      <c r="CV502" s="103"/>
      <c r="CW502" s="103"/>
      <c r="CX502" s="103"/>
      <c r="CY502" s="103"/>
      <c r="CZ502" s="103"/>
      <c r="DA502" s="103"/>
      <c r="DB502" s="103"/>
      <c r="DC502" s="103"/>
      <c r="DD502" s="103"/>
      <c r="DE502" s="107"/>
      <c r="DF502" s="465"/>
      <c r="DG502" s="1"/>
      <c r="DH502" s="53"/>
      <c r="DI502" s="465"/>
      <c r="DJ502" s="52"/>
      <c r="DK502" s="52"/>
      <c r="DL502" s="52"/>
      <c r="DM502" s="52"/>
      <c r="DN502" s="52"/>
      <c r="DO502" s="52"/>
      <c r="DP502" s="52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P502" s="53"/>
      <c r="EQ502" s="1"/>
      <c r="ER502" s="102"/>
      <c r="ES502" s="103"/>
      <c r="ET502" s="1"/>
      <c r="EU502" s="103"/>
      <c r="EV502" s="1"/>
      <c r="EW502" s="1"/>
      <c r="EX502" s="1"/>
      <c r="EY502" s="102"/>
    </row>
    <row r="503" spans="9:155">
      <c r="I503" s="132"/>
      <c r="J503" s="365"/>
      <c r="K503" s="1"/>
      <c r="L503" s="1"/>
      <c r="M503" s="366"/>
      <c r="P503" s="365"/>
      <c r="S503" s="53"/>
      <c r="T503" s="365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364"/>
      <c r="AO503" s="364"/>
      <c r="AP503" s="103"/>
      <c r="AQ503" s="364"/>
      <c r="AR503" s="103"/>
      <c r="AS503" s="103"/>
      <c r="AT503" s="103"/>
      <c r="AU503" s="103"/>
      <c r="AV503" s="31"/>
      <c r="AW503" s="31"/>
      <c r="AX503" s="31"/>
      <c r="AY503" s="146"/>
      <c r="AZ503" s="146"/>
      <c r="BA503" s="103"/>
      <c r="BB503" s="103"/>
      <c r="BC503" s="103"/>
      <c r="BD503" s="103"/>
      <c r="BE503" s="103"/>
      <c r="BF503" s="104"/>
      <c r="BG503" s="104"/>
      <c r="BH503" s="102"/>
      <c r="BI503" s="104"/>
      <c r="BJ503" s="103"/>
      <c r="BK503" s="105"/>
      <c r="BL503" s="151"/>
      <c r="BM503" s="103"/>
      <c r="BN503" s="103"/>
      <c r="BO503" s="103"/>
      <c r="BP503" s="103"/>
      <c r="BQ503" s="103"/>
      <c r="BR503" s="103"/>
      <c r="BS503" s="103"/>
      <c r="BT503" s="103"/>
      <c r="BU503" s="103"/>
      <c r="BV503" s="103"/>
      <c r="BW503" s="103"/>
      <c r="BX503" s="103"/>
      <c r="BY503" s="103"/>
      <c r="BZ503" s="104"/>
      <c r="CA503" s="104"/>
      <c r="CB503" s="104"/>
      <c r="CC503" s="104"/>
      <c r="CD503" s="104"/>
      <c r="CE503" s="104"/>
      <c r="CF503" s="103"/>
      <c r="CG503" s="103"/>
      <c r="CH503" s="103"/>
      <c r="CI503" s="103"/>
      <c r="CJ503" s="103"/>
      <c r="CK503" s="103"/>
      <c r="CL503" s="103"/>
      <c r="CM503" s="103"/>
      <c r="CN503" s="103"/>
      <c r="CO503" s="103"/>
      <c r="CP503" s="103"/>
      <c r="CQ503" s="103"/>
      <c r="CR503" s="103"/>
      <c r="CS503" s="103"/>
      <c r="CT503" s="103"/>
      <c r="CU503" s="103"/>
      <c r="CV503" s="103"/>
      <c r="CW503" s="103"/>
      <c r="CX503" s="103"/>
      <c r="CY503" s="103"/>
      <c r="CZ503" s="103"/>
      <c r="DA503" s="103"/>
      <c r="DB503" s="103"/>
      <c r="DC503" s="103"/>
      <c r="DD503" s="103"/>
      <c r="DE503" s="107"/>
      <c r="DF503" s="465"/>
      <c r="DG503" s="1"/>
      <c r="DH503" s="53"/>
      <c r="DI503" s="465"/>
      <c r="DJ503" s="52"/>
      <c r="DK503" s="52"/>
      <c r="DL503" s="52"/>
      <c r="DM503" s="52"/>
      <c r="DN503" s="52"/>
      <c r="DO503" s="52"/>
      <c r="DP503" s="52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P503" s="53"/>
      <c r="EQ503" s="1"/>
      <c r="ER503" s="102"/>
      <c r="ES503" s="103"/>
      <c r="ET503" s="1"/>
      <c r="EU503" s="103"/>
      <c r="EV503" s="1"/>
      <c r="EW503" s="1"/>
      <c r="EX503" s="1"/>
      <c r="EY503" s="102"/>
    </row>
    <row r="504" spans="9:155">
      <c r="I504" s="132"/>
      <c r="J504" s="365"/>
      <c r="K504" s="1"/>
      <c r="L504" s="1"/>
      <c r="M504" s="366"/>
      <c r="P504" s="365"/>
      <c r="S504" s="53"/>
      <c r="T504" s="365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364"/>
      <c r="AO504" s="364"/>
      <c r="AP504" s="103"/>
      <c r="AQ504" s="364"/>
      <c r="AR504" s="103"/>
      <c r="AS504" s="103"/>
      <c r="AT504" s="103"/>
      <c r="AU504" s="103"/>
      <c r="AV504" s="31"/>
      <c r="AW504" s="31"/>
      <c r="AX504" s="31"/>
      <c r="AY504" s="146"/>
      <c r="AZ504" s="146"/>
      <c r="BA504" s="103"/>
      <c r="BB504" s="103"/>
      <c r="BC504" s="103"/>
      <c r="BD504" s="103"/>
      <c r="BE504" s="103"/>
      <c r="BF504" s="104"/>
      <c r="BG504" s="104"/>
      <c r="BH504" s="102"/>
      <c r="BI504" s="104"/>
      <c r="BJ504" s="103"/>
      <c r="BK504" s="105"/>
      <c r="BL504" s="151"/>
      <c r="BM504" s="103"/>
      <c r="BN504" s="103"/>
      <c r="BO504" s="103"/>
      <c r="BP504" s="103"/>
      <c r="BQ504" s="103"/>
      <c r="BR504" s="103"/>
      <c r="BS504" s="103"/>
      <c r="BT504" s="103"/>
      <c r="BU504" s="103"/>
      <c r="BV504" s="103"/>
      <c r="BW504" s="103"/>
      <c r="BX504" s="103"/>
      <c r="BY504" s="103"/>
      <c r="BZ504" s="104"/>
      <c r="CA504" s="104"/>
      <c r="CB504" s="104"/>
      <c r="CC504" s="104"/>
      <c r="CD504" s="104"/>
      <c r="CE504" s="104"/>
      <c r="CF504" s="103"/>
      <c r="CG504" s="103"/>
      <c r="CH504" s="103"/>
      <c r="CI504" s="103"/>
      <c r="CJ504" s="103"/>
      <c r="CK504" s="103"/>
      <c r="CL504" s="103"/>
      <c r="CM504" s="103"/>
      <c r="CN504" s="103"/>
      <c r="CO504" s="103"/>
      <c r="CP504" s="103"/>
      <c r="CQ504" s="103"/>
      <c r="CR504" s="103"/>
      <c r="CS504" s="103"/>
      <c r="CT504" s="103"/>
      <c r="CU504" s="103"/>
      <c r="CV504" s="103"/>
      <c r="CW504" s="103"/>
      <c r="CX504" s="103"/>
      <c r="CY504" s="103"/>
      <c r="CZ504" s="103"/>
      <c r="DA504" s="103"/>
      <c r="DB504" s="103"/>
      <c r="DC504" s="103"/>
      <c r="DD504" s="103"/>
      <c r="DE504" s="107"/>
      <c r="DF504" s="465"/>
      <c r="DG504" s="1"/>
      <c r="DH504" s="53"/>
      <c r="DI504" s="465"/>
      <c r="DJ504" s="52"/>
      <c r="DK504" s="52"/>
      <c r="DL504" s="52"/>
      <c r="DM504" s="52"/>
      <c r="DN504" s="52"/>
      <c r="DO504" s="52"/>
      <c r="DP504" s="52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P504" s="53"/>
      <c r="EQ504" s="1"/>
      <c r="ER504" s="102"/>
      <c r="ES504" s="103"/>
      <c r="ET504" s="1"/>
      <c r="EU504" s="103"/>
      <c r="EV504" s="1"/>
      <c r="EW504" s="1"/>
      <c r="EX504" s="1"/>
      <c r="EY504" s="102"/>
    </row>
    <row r="505" spans="9:155">
      <c r="I505" s="132"/>
      <c r="J505" s="365"/>
      <c r="K505" s="1"/>
      <c r="L505" s="1"/>
      <c r="M505" s="366"/>
      <c r="P505" s="365"/>
      <c r="S505" s="53"/>
      <c r="T505" s="365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364"/>
      <c r="AO505" s="364"/>
      <c r="AP505" s="103"/>
      <c r="AQ505" s="364"/>
      <c r="AR505" s="103"/>
      <c r="AS505" s="103"/>
      <c r="AT505" s="103"/>
      <c r="AU505" s="103"/>
      <c r="AV505" s="31"/>
      <c r="AW505" s="31"/>
      <c r="AX505" s="31"/>
      <c r="AY505" s="146"/>
      <c r="AZ505" s="146"/>
      <c r="BA505" s="103"/>
      <c r="BB505" s="103"/>
      <c r="BC505" s="103"/>
      <c r="BD505" s="103"/>
      <c r="BE505" s="103"/>
      <c r="BF505" s="104"/>
      <c r="BG505" s="104"/>
      <c r="BH505" s="102"/>
      <c r="BI505" s="104"/>
      <c r="BJ505" s="103"/>
      <c r="BK505" s="105"/>
      <c r="BL505" s="151"/>
      <c r="BM505" s="103"/>
      <c r="BN505" s="103"/>
      <c r="BO505" s="103"/>
      <c r="BP505" s="103"/>
      <c r="BQ505" s="103"/>
      <c r="BR505" s="103"/>
      <c r="BS505" s="103"/>
      <c r="BT505" s="103"/>
      <c r="BU505" s="103"/>
      <c r="BV505" s="103"/>
      <c r="BW505" s="103"/>
      <c r="BX505" s="103"/>
      <c r="BY505" s="103"/>
      <c r="BZ505" s="104"/>
      <c r="CA505" s="104"/>
      <c r="CB505" s="104"/>
      <c r="CC505" s="104"/>
      <c r="CD505" s="104"/>
      <c r="CE505" s="104"/>
      <c r="CF505" s="103"/>
      <c r="CG505" s="103"/>
      <c r="CH505" s="103"/>
      <c r="CI505" s="103"/>
      <c r="CJ505" s="103"/>
      <c r="CK505" s="103"/>
      <c r="CL505" s="103"/>
      <c r="CM505" s="103"/>
      <c r="CN505" s="103"/>
      <c r="CO505" s="103"/>
      <c r="CP505" s="103"/>
      <c r="CQ505" s="103"/>
      <c r="CR505" s="103"/>
      <c r="CS505" s="103"/>
      <c r="CT505" s="103"/>
      <c r="CU505" s="103"/>
      <c r="CV505" s="103"/>
      <c r="CW505" s="103"/>
      <c r="CX505" s="103"/>
      <c r="CY505" s="103"/>
      <c r="CZ505" s="103"/>
      <c r="DA505" s="103"/>
      <c r="DB505" s="103"/>
      <c r="DC505" s="103"/>
      <c r="DD505" s="103"/>
      <c r="DE505" s="107"/>
      <c r="DF505" s="465"/>
      <c r="DG505" s="1"/>
      <c r="DH505" s="53"/>
      <c r="DI505" s="465"/>
      <c r="DJ505" s="52"/>
      <c r="DK505" s="52"/>
      <c r="DL505" s="52"/>
      <c r="DM505" s="52"/>
      <c r="DN505" s="52"/>
      <c r="DO505" s="52"/>
      <c r="DP505" s="52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P505" s="53"/>
      <c r="EQ505" s="1"/>
      <c r="ER505" s="102"/>
      <c r="ES505" s="103"/>
      <c r="ET505" s="1"/>
      <c r="EU505" s="103"/>
      <c r="EV505" s="1"/>
      <c r="EW505" s="1"/>
      <c r="EX505" s="1"/>
      <c r="EY505" s="102"/>
    </row>
    <row r="506" spans="9:155">
      <c r="I506" s="132"/>
      <c r="J506" s="365"/>
      <c r="K506" s="1"/>
      <c r="L506" s="1"/>
      <c r="M506" s="366"/>
      <c r="P506" s="365"/>
      <c r="S506" s="53"/>
      <c r="T506" s="365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364"/>
      <c r="AO506" s="364"/>
      <c r="AP506" s="103"/>
      <c r="AQ506" s="364"/>
      <c r="AR506" s="103"/>
      <c r="AS506" s="103"/>
      <c r="AT506" s="103"/>
      <c r="AU506" s="103"/>
      <c r="AV506" s="31"/>
      <c r="AW506" s="31"/>
      <c r="AX506" s="31"/>
      <c r="AY506" s="146"/>
      <c r="AZ506" s="146"/>
      <c r="BA506" s="103"/>
      <c r="BB506" s="103"/>
      <c r="BC506" s="103"/>
      <c r="BD506" s="103"/>
      <c r="BE506" s="103"/>
      <c r="BF506" s="104"/>
      <c r="BG506" s="104"/>
      <c r="BH506" s="102"/>
      <c r="BI506" s="104"/>
      <c r="BJ506" s="103"/>
      <c r="BK506" s="105"/>
      <c r="BL506" s="151"/>
      <c r="BM506" s="103"/>
      <c r="BN506" s="103"/>
      <c r="BO506" s="103"/>
      <c r="BP506" s="103"/>
      <c r="BQ506" s="103"/>
      <c r="BR506" s="103"/>
      <c r="BS506" s="103"/>
      <c r="BT506" s="103"/>
      <c r="BU506" s="103"/>
      <c r="BV506" s="103"/>
      <c r="BW506" s="103"/>
      <c r="BX506" s="103"/>
      <c r="BY506" s="103"/>
      <c r="BZ506" s="104"/>
      <c r="CA506" s="104"/>
      <c r="CB506" s="104"/>
      <c r="CC506" s="104"/>
      <c r="CD506" s="104"/>
      <c r="CE506" s="104"/>
      <c r="CF506" s="103"/>
      <c r="CG506" s="103"/>
      <c r="CH506" s="103"/>
      <c r="CI506" s="103"/>
      <c r="CJ506" s="103"/>
      <c r="CK506" s="103"/>
      <c r="CL506" s="103"/>
      <c r="CM506" s="103"/>
      <c r="CN506" s="103"/>
      <c r="CO506" s="103"/>
      <c r="CP506" s="103"/>
      <c r="CQ506" s="103"/>
      <c r="CR506" s="103"/>
      <c r="CS506" s="103"/>
      <c r="CT506" s="103"/>
      <c r="CU506" s="103"/>
      <c r="CV506" s="103"/>
      <c r="CW506" s="103"/>
      <c r="CX506" s="103"/>
      <c r="CY506" s="103"/>
      <c r="CZ506" s="103"/>
      <c r="DA506" s="103"/>
      <c r="DB506" s="103"/>
      <c r="DC506" s="103"/>
      <c r="DD506" s="103"/>
      <c r="DE506" s="107"/>
      <c r="DF506" s="465"/>
      <c r="DG506" s="1"/>
      <c r="DH506" s="53"/>
      <c r="DI506" s="465"/>
      <c r="DJ506" s="52"/>
      <c r="DK506" s="52"/>
      <c r="DL506" s="52"/>
      <c r="DM506" s="52"/>
      <c r="DN506" s="52"/>
      <c r="DO506" s="52"/>
      <c r="DP506" s="52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P506" s="53"/>
      <c r="EQ506" s="1"/>
      <c r="ER506" s="102"/>
      <c r="ES506" s="103"/>
      <c r="ET506" s="1"/>
      <c r="EU506" s="103"/>
      <c r="EV506" s="1"/>
      <c r="EW506" s="1"/>
      <c r="EX506" s="1"/>
      <c r="EY506" s="102"/>
    </row>
    <row r="507" spans="9:155">
      <c r="I507" s="132"/>
      <c r="J507" s="365"/>
      <c r="K507" s="1"/>
      <c r="L507" s="1"/>
      <c r="M507" s="366"/>
      <c r="P507" s="365"/>
      <c r="S507" s="53"/>
      <c r="T507" s="365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364"/>
      <c r="AO507" s="364"/>
      <c r="AP507" s="103"/>
      <c r="AQ507" s="364"/>
      <c r="AR507" s="103"/>
      <c r="AS507" s="103"/>
      <c r="AT507" s="103"/>
      <c r="AU507" s="103"/>
      <c r="AV507" s="31"/>
      <c r="AW507" s="31"/>
      <c r="AX507" s="31"/>
      <c r="AY507" s="146"/>
      <c r="AZ507" s="146"/>
      <c r="BA507" s="103"/>
      <c r="BB507" s="103"/>
      <c r="BC507" s="103"/>
      <c r="BD507" s="103"/>
      <c r="BE507" s="103"/>
      <c r="BF507" s="104"/>
      <c r="BG507" s="104"/>
      <c r="BH507" s="102"/>
      <c r="BI507" s="104"/>
      <c r="BJ507" s="103"/>
      <c r="BK507" s="105"/>
      <c r="BL507" s="151"/>
      <c r="BM507" s="103"/>
      <c r="BN507" s="103"/>
      <c r="BO507" s="103"/>
      <c r="BP507" s="103"/>
      <c r="BQ507" s="103"/>
      <c r="BR507" s="103"/>
      <c r="BS507" s="103"/>
      <c r="BT507" s="103"/>
      <c r="BU507" s="103"/>
      <c r="BV507" s="103"/>
      <c r="BW507" s="103"/>
      <c r="BX507" s="103"/>
      <c r="BY507" s="103"/>
      <c r="BZ507" s="104"/>
      <c r="CA507" s="104"/>
      <c r="CB507" s="104"/>
      <c r="CC507" s="104"/>
      <c r="CD507" s="104"/>
      <c r="CE507" s="104"/>
      <c r="CF507" s="103"/>
      <c r="CG507" s="103"/>
      <c r="CH507" s="103"/>
      <c r="CI507" s="103"/>
      <c r="CJ507" s="103"/>
      <c r="CK507" s="103"/>
      <c r="CL507" s="103"/>
      <c r="CM507" s="103"/>
      <c r="CN507" s="103"/>
      <c r="CO507" s="103"/>
      <c r="CP507" s="103"/>
      <c r="CQ507" s="103"/>
      <c r="CR507" s="103"/>
      <c r="CS507" s="103"/>
      <c r="CT507" s="103"/>
      <c r="CU507" s="103"/>
      <c r="CV507" s="103"/>
      <c r="CW507" s="103"/>
      <c r="CX507" s="103"/>
      <c r="CY507" s="103"/>
      <c r="CZ507" s="103"/>
      <c r="DA507" s="103"/>
      <c r="DB507" s="103"/>
      <c r="DC507" s="103"/>
      <c r="DD507" s="103"/>
      <c r="DE507" s="107"/>
      <c r="DF507" s="465"/>
      <c r="DG507" s="1"/>
      <c r="DH507" s="53"/>
      <c r="DI507" s="465"/>
      <c r="DJ507" s="52"/>
      <c r="DK507" s="52"/>
      <c r="DL507" s="52"/>
      <c r="DM507" s="52"/>
      <c r="DN507" s="52"/>
      <c r="DO507" s="52"/>
      <c r="DP507" s="52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P507" s="53"/>
      <c r="EQ507" s="1"/>
      <c r="ER507" s="102"/>
      <c r="ES507" s="103"/>
      <c r="ET507" s="1"/>
      <c r="EU507" s="103"/>
      <c r="EV507" s="1"/>
      <c r="EW507" s="1"/>
      <c r="EX507" s="1"/>
      <c r="EY507" s="102"/>
    </row>
    <row r="508" spans="9:155">
      <c r="I508" s="132"/>
      <c r="J508" s="365"/>
      <c r="K508" s="1"/>
      <c r="L508" s="1"/>
      <c r="M508" s="366"/>
      <c r="P508" s="365"/>
      <c r="S508" s="53"/>
      <c r="T508" s="365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364"/>
      <c r="AO508" s="364"/>
      <c r="AP508" s="103"/>
      <c r="AQ508" s="364"/>
      <c r="AR508" s="103"/>
      <c r="AS508" s="103"/>
      <c r="AT508" s="103"/>
      <c r="AU508" s="103"/>
      <c r="AV508" s="31"/>
      <c r="AW508" s="31"/>
      <c r="AX508" s="31"/>
      <c r="AY508" s="146"/>
      <c r="AZ508" s="146"/>
      <c r="BA508" s="103"/>
      <c r="BB508" s="103"/>
      <c r="BC508" s="103"/>
      <c r="BD508" s="103"/>
      <c r="BE508" s="103"/>
      <c r="BF508" s="104"/>
      <c r="BG508" s="104"/>
      <c r="BH508" s="102"/>
      <c r="BI508" s="104"/>
      <c r="BJ508" s="103"/>
      <c r="BK508" s="105"/>
      <c r="BL508" s="151"/>
      <c r="BM508" s="103"/>
      <c r="BN508" s="103"/>
      <c r="BO508" s="103"/>
      <c r="BP508" s="103"/>
      <c r="BQ508" s="103"/>
      <c r="BR508" s="103"/>
      <c r="BS508" s="103"/>
      <c r="BT508" s="103"/>
      <c r="BU508" s="103"/>
      <c r="BV508" s="103"/>
      <c r="BW508" s="103"/>
      <c r="BX508" s="103"/>
      <c r="BY508" s="103"/>
      <c r="BZ508" s="104"/>
      <c r="CA508" s="104"/>
      <c r="CB508" s="104"/>
      <c r="CC508" s="104"/>
      <c r="CD508" s="104"/>
      <c r="CE508" s="104"/>
      <c r="CF508" s="103"/>
      <c r="CG508" s="103"/>
      <c r="CH508" s="103"/>
      <c r="CI508" s="103"/>
      <c r="CJ508" s="103"/>
      <c r="CK508" s="103"/>
      <c r="CL508" s="103"/>
      <c r="CM508" s="103"/>
      <c r="CN508" s="103"/>
      <c r="CO508" s="103"/>
      <c r="CP508" s="103"/>
      <c r="CQ508" s="103"/>
      <c r="CR508" s="103"/>
      <c r="CS508" s="103"/>
      <c r="CT508" s="103"/>
      <c r="CU508" s="103"/>
      <c r="CV508" s="103"/>
      <c r="CW508" s="103"/>
      <c r="CX508" s="103"/>
      <c r="CY508" s="103"/>
      <c r="CZ508" s="103"/>
      <c r="DA508" s="103"/>
      <c r="DB508" s="103"/>
      <c r="DC508" s="103"/>
      <c r="DD508" s="103"/>
      <c r="DE508" s="107"/>
      <c r="DF508" s="465"/>
      <c r="DG508" s="1"/>
      <c r="DH508" s="53"/>
      <c r="DI508" s="465"/>
      <c r="DJ508" s="52"/>
      <c r="DK508" s="52"/>
      <c r="DL508" s="52"/>
      <c r="DM508" s="52"/>
      <c r="DN508" s="52"/>
      <c r="DO508" s="52"/>
      <c r="DP508" s="52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P508" s="53"/>
      <c r="EQ508" s="1"/>
      <c r="ER508" s="102"/>
      <c r="ES508" s="103"/>
      <c r="ET508" s="1"/>
      <c r="EU508" s="103"/>
      <c r="EV508" s="1"/>
      <c r="EW508" s="1"/>
      <c r="EX508" s="1"/>
      <c r="EY508" s="102"/>
    </row>
    <row r="509" spans="9:155">
      <c r="I509" s="132"/>
      <c r="J509" s="365"/>
      <c r="K509" s="1"/>
      <c r="L509" s="1"/>
      <c r="M509" s="366"/>
      <c r="P509" s="365"/>
      <c r="S509" s="53"/>
      <c r="T509" s="365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364"/>
      <c r="AO509" s="364"/>
      <c r="AP509" s="103"/>
      <c r="AQ509" s="364"/>
      <c r="AR509" s="103"/>
      <c r="AS509" s="103"/>
      <c r="AT509" s="103"/>
      <c r="AU509" s="103"/>
      <c r="AV509" s="31"/>
      <c r="AW509" s="31"/>
      <c r="AX509" s="31"/>
      <c r="AY509" s="146"/>
      <c r="AZ509" s="146"/>
      <c r="BA509" s="103"/>
      <c r="BB509" s="103"/>
      <c r="BC509" s="103"/>
      <c r="BD509" s="103"/>
      <c r="BE509" s="103"/>
      <c r="BF509" s="104"/>
      <c r="BG509" s="104"/>
      <c r="BH509" s="102"/>
      <c r="BI509" s="104"/>
      <c r="BJ509" s="103"/>
      <c r="BK509" s="105"/>
      <c r="BL509" s="151"/>
      <c r="BM509" s="103"/>
      <c r="BN509" s="103"/>
      <c r="BO509" s="103"/>
      <c r="BP509" s="103"/>
      <c r="BQ509" s="103"/>
      <c r="BR509" s="103"/>
      <c r="BS509" s="103"/>
      <c r="BT509" s="103"/>
      <c r="BU509" s="103"/>
      <c r="BV509" s="103"/>
      <c r="BW509" s="103"/>
      <c r="BX509" s="103"/>
      <c r="BY509" s="103"/>
      <c r="BZ509" s="104"/>
      <c r="CA509" s="104"/>
      <c r="CB509" s="104"/>
      <c r="CC509" s="104"/>
      <c r="CD509" s="104"/>
      <c r="CE509" s="104"/>
      <c r="CF509" s="103"/>
      <c r="CG509" s="103"/>
      <c r="CH509" s="103"/>
      <c r="CI509" s="103"/>
      <c r="CJ509" s="103"/>
      <c r="CK509" s="103"/>
      <c r="CL509" s="103"/>
      <c r="CM509" s="103"/>
      <c r="CN509" s="103"/>
      <c r="CO509" s="103"/>
      <c r="CP509" s="103"/>
      <c r="CQ509" s="103"/>
      <c r="CR509" s="103"/>
      <c r="CS509" s="103"/>
      <c r="CT509" s="103"/>
      <c r="CU509" s="103"/>
      <c r="CV509" s="103"/>
      <c r="CW509" s="103"/>
      <c r="CX509" s="103"/>
      <c r="CY509" s="103"/>
      <c r="CZ509" s="103"/>
      <c r="DA509" s="103"/>
      <c r="DB509" s="103"/>
      <c r="DC509" s="103"/>
      <c r="DD509" s="103"/>
      <c r="DE509" s="107"/>
      <c r="DF509" s="465"/>
      <c r="DG509" s="1"/>
      <c r="DH509" s="53"/>
      <c r="DI509" s="465"/>
      <c r="DJ509" s="52"/>
      <c r="DK509" s="52"/>
      <c r="DL509" s="52"/>
      <c r="DM509" s="52"/>
      <c r="DN509" s="52"/>
      <c r="DO509" s="52"/>
      <c r="DP509" s="52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P509" s="53"/>
      <c r="EQ509" s="1"/>
      <c r="ER509" s="102"/>
      <c r="ES509" s="103"/>
      <c r="ET509" s="1"/>
      <c r="EU509" s="103"/>
      <c r="EV509" s="1"/>
      <c r="EW509" s="1"/>
      <c r="EX509" s="1"/>
      <c r="EY509" s="102"/>
    </row>
    <row r="510" spans="9:155">
      <c r="I510" s="132"/>
      <c r="J510" s="365"/>
      <c r="K510" s="1"/>
      <c r="L510" s="1"/>
      <c r="M510" s="366"/>
      <c r="P510" s="365"/>
      <c r="S510" s="53"/>
      <c r="T510" s="365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364"/>
      <c r="AO510" s="364"/>
      <c r="AP510" s="103"/>
      <c r="AQ510" s="364"/>
      <c r="AR510" s="103"/>
      <c r="AS510" s="103"/>
      <c r="AT510" s="103"/>
      <c r="AU510" s="103"/>
      <c r="AV510" s="31"/>
      <c r="AW510" s="31"/>
      <c r="AX510" s="31"/>
      <c r="AY510" s="146"/>
      <c r="AZ510" s="146"/>
      <c r="BA510" s="103"/>
      <c r="BB510" s="103"/>
      <c r="BC510" s="103"/>
      <c r="BD510" s="103"/>
      <c r="BE510" s="103"/>
      <c r="BF510" s="104"/>
      <c r="BG510" s="104"/>
      <c r="BH510" s="102"/>
      <c r="BI510" s="104"/>
      <c r="BJ510" s="103"/>
      <c r="BK510" s="105"/>
      <c r="BL510" s="151"/>
      <c r="BM510" s="103"/>
      <c r="BN510" s="103"/>
      <c r="BO510" s="103"/>
      <c r="BP510" s="103"/>
      <c r="BQ510" s="103"/>
      <c r="BR510" s="103"/>
      <c r="BS510" s="103"/>
      <c r="BT510" s="103"/>
      <c r="BU510" s="103"/>
      <c r="BV510" s="103"/>
      <c r="BW510" s="103"/>
      <c r="BX510" s="103"/>
      <c r="BY510" s="103"/>
      <c r="BZ510" s="104"/>
      <c r="CA510" s="104"/>
      <c r="CB510" s="104"/>
      <c r="CC510" s="104"/>
      <c r="CD510" s="104"/>
      <c r="CE510" s="104"/>
      <c r="CF510" s="103"/>
      <c r="CG510" s="103"/>
      <c r="CH510" s="103"/>
      <c r="CI510" s="103"/>
      <c r="CJ510" s="103"/>
      <c r="CK510" s="103"/>
      <c r="CL510" s="103"/>
      <c r="CM510" s="103"/>
      <c r="CN510" s="103"/>
      <c r="CO510" s="103"/>
      <c r="CP510" s="103"/>
      <c r="CQ510" s="103"/>
      <c r="CR510" s="103"/>
      <c r="CS510" s="103"/>
      <c r="CT510" s="103"/>
      <c r="CU510" s="103"/>
      <c r="CV510" s="103"/>
      <c r="CW510" s="103"/>
      <c r="CX510" s="103"/>
      <c r="CY510" s="103"/>
      <c r="CZ510" s="103"/>
      <c r="DA510" s="103"/>
      <c r="DB510" s="103"/>
      <c r="DC510" s="103"/>
      <c r="DD510" s="103"/>
      <c r="DE510" s="107"/>
      <c r="DF510" s="465"/>
      <c r="DG510" s="1"/>
      <c r="DH510" s="53"/>
      <c r="DI510" s="465"/>
      <c r="DJ510" s="52"/>
      <c r="DK510" s="52"/>
      <c r="DL510" s="52"/>
      <c r="DM510" s="52"/>
      <c r="DN510" s="52"/>
      <c r="DO510" s="52"/>
      <c r="DP510" s="52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P510" s="53"/>
      <c r="EQ510" s="1"/>
      <c r="ER510" s="102"/>
      <c r="ES510" s="103"/>
      <c r="ET510" s="1"/>
      <c r="EU510" s="103"/>
      <c r="EV510" s="1"/>
      <c r="EW510" s="1"/>
      <c r="EX510" s="1"/>
      <c r="EY510" s="102"/>
    </row>
    <row r="511" spans="9:155">
      <c r="I511" s="132"/>
      <c r="J511" s="365"/>
      <c r="K511" s="1"/>
      <c r="L511" s="1"/>
      <c r="M511" s="366"/>
      <c r="P511" s="365"/>
      <c r="S511" s="53"/>
      <c r="T511" s="365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364"/>
      <c r="AO511" s="364"/>
      <c r="AP511" s="103"/>
      <c r="AQ511" s="364"/>
      <c r="AR511" s="103"/>
      <c r="AS511" s="103"/>
      <c r="AT511" s="103"/>
      <c r="AU511" s="103"/>
      <c r="AV511" s="31"/>
      <c r="AW511" s="31"/>
      <c r="AX511" s="31"/>
      <c r="AY511" s="146"/>
      <c r="AZ511" s="146"/>
      <c r="BA511" s="103"/>
      <c r="BB511" s="103"/>
      <c r="BC511" s="103"/>
      <c r="BD511" s="103"/>
      <c r="BE511" s="103"/>
      <c r="BF511" s="104"/>
      <c r="BG511" s="104"/>
      <c r="BH511" s="102"/>
      <c r="BI511" s="104"/>
      <c r="BJ511" s="103"/>
      <c r="BK511" s="105"/>
      <c r="BL511" s="151"/>
      <c r="BM511" s="103"/>
      <c r="BN511" s="103"/>
      <c r="BO511" s="103"/>
      <c r="BP511" s="103"/>
      <c r="BQ511" s="103"/>
      <c r="BR511" s="103"/>
      <c r="BS511" s="103"/>
      <c r="BT511" s="103"/>
      <c r="BU511" s="103"/>
      <c r="BV511" s="103"/>
      <c r="BW511" s="103"/>
      <c r="BX511" s="103"/>
      <c r="BY511" s="103"/>
      <c r="BZ511" s="104"/>
      <c r="CA511" s="104"/>
      <c r="CB511" s="104"/>
      <c r="CC511" s="104"/>
      <c r="CD511" s="104"/>
      <c r="CE511" s="104"/>
      <c r="CF511" s="103"/>
      <c r="CG511" s="103"/>
      <c r="CH511" s="103"/>
      <c r="CI511" s="103"/>
      <c r="CJ511" s="103"/>
      <c r="CK511" s="103"/>
      <c r="CL511" s="103"/>
      <c r="CM511" s="103"/>
      <c r="CN511" s="103"/>
      <c r="CO511" s="103"/>
      <c r="CP511" s="103"/>
      <c r="CQ511" s="103"/>
      <c r="CR511" s="103"/>
      <c r="CS511" s="103"/>
      <c r="CT511" s="103"/>
      <c r="CU511" s="103"/>
      <c r="CV511" s="103"/>
      <c r="CW511" s="103"/>
      <c r="CX511" s="103"/>
      <c r="CY511" s="103"/>
      <c r="CZ511" s="103"/>
      <c r="DA511" s="103"/>
      <c r="DB511" s="103"/>
      <c r="DC511" s="103"/>
      <c r="DD511" s="103"/>
      <c r="DE511" s="107"/>
      <c r="DF511" s="465"/>
      <c r="DG511" s="1"/>
      <c r="DH511" s="53"/>
      <c r="DI511" s="465"/>
      <c r="DJ511" s="52"/>
      <c r="DK511" s="52"/>
      <c r="DL511" s="52"/>
      <c r="DM511" s="52"/>
      <c r="DN511" s="52"/>
      <c r="DO511" s="52"/>
      <c r="DP511" s="52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P511" s="53"/>
      <c r="EQ511" s="1"/>
      <c r="ER511" s="102"/>
      <c r="ES511" s="103"/>
      <c r="ET511" s="1"/>
      <c r="EU511" s="103"/>
      <c r="EV511" s="1"/>
      <c r="EW511" s="1"/>
      <c r="EX511" s="1"/>
      <c r="EY511" s="102"/>
    </row>
    <row r="512" spans="9:155">
      <c r="I512" s="132"/>
      <c r="J512" s="365"/>
      <c r="K512" s="1"/>
      <c r="L512" s="1"/>
      <c r="M512" s="366"/>
      <c r="P512" s="365"/>
      <c r="S512" s="53"/>
      <c r="T512" s="365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364"/>
      <c r="AO512" s="364"/>
      <c r="AP512" s="103"/>
      <c r="AQ512" s="364"/>
      <c r="AR512" s="103"/>
      <c r="AS512" s="103"/>
      <c r="AT512" s="103"/>
      <c r="AU512" s="103"/>
      <c r="AV512" s="31"/>
      <c r="AW512" s="31"/>
      <c r="AX512" s="31"/>
      <c r="AY512" s="146"/>
      <c r="AZ512" s="146"/>
      <c r="BA512" s="103"/>
      <c r="BB512" s="103"/>
      <c r="BC512" s="103"/>
      <c r="BD512" s="103"/>
      <c r="BE512" s="103"/>
      <c r="BF512" s="104"/>
      <c r="BG512" s="104"/>
      <c r="BH512" s="102"/>
      <c r="BI512" s="104"/>
      <c r="BJ512" s="103"/>
      <c r="BK512" s="105"/>
      <c r="BL512" s="151"/>
      <c r="BM512" s="103"/>
      <c r="BN512" s="103"/>
      <c r="BO512" s="103"/>
      <c r="BP512" s="103"/>
      <c r="BQ512" s="103"/>
      <c r="BR512" s="103"/>
      <c r="BS512" s="103"/>
      <c r="BT512" s="103"/>
      <c r="BU512" s="103"/>
      <c r="BV512" s="103"/>
      <c r="BW512" s="103"/>
      <c r="BX512" s="103"/>
      <c r="BY512" s="103"/>
      <c r="BZ512" s="104"/>
      <c r="CA512" s="104"/>
      <c r="CB512" s="104"/>
      <c r="CC512" s="104"/>
      <c r="CD512" s="104"/>
      <c r="CE512" s="104"/>
      <c r="CF512" s="103"/>
      <c r="CG512" s="103"/>
      <c r="CH512" s="103"/>
      <c r="CI512" s="103"/>
      <c r="CJ512" s="103"/>
      <c r="CK512" s="103"/>
      <c r="CL512" s="103"/>
      <c r="CM512" s="103"/>
      <c r="CN512" s="103"/>
      <c r="CO512" s="103"/>
      <c r="CP512" s="103"/>
      <c r="CQ512" s="103"/>
      <c r="CR512" s="103"/>
      <c r="CS512" s="103"/>
      <c r="CT512" s="103"/>
      <c r="CU512" s="103"/>
      <c r="CV512" s="103"/>
      <c r="CW512" s="103"/>
      <c r="CX512" s="103"/>
      <c r="CY512" s="103"/>
      <c r="CZ512" s="103"/>
      <c r="DA512" s="103"/>
      <c r="DB512" s="103"/>
      <c r="DC512" s="103"/>
      <c r="DD512" s="103"/>
      <c r="DE512" s="107"/>
      <c r="DF512" s="465"/>
      <c r="DG512" s="1"/>
      <c r="DH512" s="53"/>
      <c r="DI512" s="465"/>
      <c r="DJ512" s="52"/>
      <c r="DK512" s="52"/>
      <c r="DL512" s="52"/>
      <c r="DM512" s="52"/>
      <c r="DN512" s="52"/>
      <c r="DO512" s="52"/>
      <c r="DP512" s="52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P512" s="53"/>
      <c r="EQ512" s="1"/>
      <c r="ER512" s="102"/>
      <c r="ES512" s="103"/>
      <c r="ET512" s="1"/>
      <c r="EU512" s="103"/>
      <c r="EV512" s="1"/>
      <c r="EW512" s="1"/>
      <c r="EX512" s="1"/>
      <c r="EY512" s="102"/>
    </row>
    <row r="513" spans="9:155">
      <c r="I513" s="132"/>
      <c r="J513" s="365"/>
      <c r="K513" s="1"/>
      <c r="L513" s="1"/>
      <c r="M513" s="366"/>
      <c r="P513" s="365"/>
      <c r="S513" s="53"/>
      <c r="T513" s="365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364"/>
      <c r="AO513" s="364"/>
      <c r="AP513" s="103"/>
      <c r="AQ513" s="364"/>
      <c r="AR513" s="103"/>
      <c r="AS513" s="103"/>
      <c r="AT513" s="103"/>
      <c r="AU513" s="103"/>
      <c r="AV513" s="31"/>
      <c r="AW513" s="31"/>
      <c r="AX513" s="31"/>
      <c r="AY513" s="146"/>
      <c r="AZ513" s="146"/>
      <c r="BA513" s="103"/>
      <c r="BB513" s="103"/>
      <c r="BC513" s="103"/>
      <c r="BD513" s="103"/>
      <c r="BE513" s="103"/>
      <c r="BF513" s="104"/>
      <c r="BG513" s="104"/>
      <c r="BH513" s="102"/>
      <c r="BI513" s="104"/>
      <c r="BJ513" s="103"/>
      <c r="BK513" s="105"/>
      <c r="BL513" s="151"/>
      <c r="BM513" s="103"/>
      <c r="BN513" s="103"/>
      <c r="BO513" s="103"/>
      <c r="BP513" s="103"/>
      <c r="BQ513" s="103"/>
      <c r="BR513" s="103"/>
      <c r="BS513" s="103"/>
      <c r="BT513" s="103"/>
      <c r="BU513" s="103"/>
      <c r="BV513" s="103"/>
      <c r="BW513" s="103"/>
      <c r="BX513" s="103"/>
      <c r="BY513" s="103"/>
      <c r="BZ513" s="104"/>
      <c r="CA513" s="104"/>
      <c r="CB513" s="104"/>
      <c r="CC513" s="104"/>
      <c r="CD513" s="104"/>
      <c r="CE513" s="104"/>
      <c r="CF513" s="103"/>
      <c r="CG513" s="103"/>
      <c r="CH513" s="103"/>
      <c r="CI513" s="103"/>
      <c r="CJ513" s="103"/>
      <c r="CK513" s="103"/>
      <c r="CL513" s="103"/>
      <c r="CM513" s="103"/>
      <c r="CN513" s="103"/>
      <c r="CO513" s="103"/>
      <c r="CP513" s="103"/>
      <c r="CQ513" s="103"/>
      <c r="CR513" s="103"/>
      <c r="CS513" s="103"/>
      <c r="CT513" s="103"/>
      <c r="CU513" s="103"/>
      <c r="CV513" s="103"/>
      <c r="CW513" s="103"/>
      <c r="CX513" s="103"/>
      <c r="CY513" s="103"/>
      <c r="CZ513" s="103"/>
      <c r="DA513" s="103"/>
      <c r="DB513" s="103"/>
      <c r="DC513" s="103"/>
      <c r="DD513" s="103"/>
      <c r="DE513" s="107"/>
      <c r="DF513" s="465"/>
      <c r="DG513" s="1"/>
      <c r="DH513" s="53"/>
      <c r="DI513" s="465"/>
      <c r="DJ513" s="52"/>
      <c r="DK513" s="52"/>
      <c r="DL513" s="52"/>
      <c r="DM513" s="52"/>
      <c r="DN513" s="52"/>
      <c r="DO513" s="52"/>
      <c r="DP513" s="52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P513" s="53"/>
      <c r="EQ513" s="1"/>
      <c r="ER513" s="102"/>
      <c r="ES513" s="103"/>
      <c r="ET513" s="1"/>
      <c r="EU513" s="103"/>
      <c r="EV513" s="1"/>
      <c r="EW513" s="1"/>
      <c r="EX513" s="1"/>
      <c r="EY513" s="102"/>
    </row>
    <row r="514" spans="9:155">
      <c r="I514" s="132"/>
      <c r="J514" s="365"/>
      <c r="K514" s="1"/>
      <c r="L514" s="1"/>
      <c r="M514" s="366"/>
      <c r="P514" s="365"/>
      <c r="S514" s="53"/>
      <c r="T514" s="365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364"/>
      <c r="AO514" s="364"/>
      <c r="AP514" s="103"/>
      <c r="AQ514" s="364"/>
      <c r="AR514" s="103"/>
      <c r="AS514" s="103"/>
      <c r="AT514" s="103"/>
      <c r="AU514" s="103"/>
      <c r="AV514" s="31"/>
      <c r="AW514" s="31"/>
      <c r="AX514" s="31"/>
      <c r="AY514" s="146"/>
      <c r="AZ514" s="146"/>
      <c r="BA514" s="103"/>
      <c r="BB514" s="103"/>
      <c r="BC514" s="103"/>
      <c r="BD514" s="103"/>
      <c r="BE514" s="103"/>
      <c r="BF514" s="104"/>
      <c r="BG514" s="104"/>
      <c r="BH514" s="102"/>
      <c r="BI514" s="104"/>
      <c r="BJ514" s="103"/>
      <c r="BK514" s="105"/>
      <c r="BL514" s="151"/>
      <c r="BM514" s="103"/>
      <c r="BN514" s="103"/>
      <c r="BO514" s="103"/>
      <c r="BP514" s="103"/>
      <c r="BQ514" s="103"/>
      <c r="BR514" s="103"/>
      <c r="BS514" s="103"/>
      <c r="BT514" s="103"/>
      <c r="BU514" s="103"/>
      <c r="BV514" s="103"/>
      <c r="BW514" s="103"/>
      <c r="BX514" s="103"/>
      <c r="BY514" s="103"/>
      <c r="BZ514" s="104"/>
      <c r="CA514" s="104"/>
      <c r="CB514" s="104"/>
      <c r="CC514" s="104"/>
      <c r="CD514" s="104"/>
      <c r="CE514" s="104"/>
      <c r="CF514" s="103"/>
      <c r="CG514" s="103"/>
      <c r="CH514" s="103"/>
      <c r="CI514" s="103"/>
      <c r="CJ514" s="103"/>
      <c r="CK514" s="103"/>
      <c r="CL514" s="103"/>
      <c r="CM514" s="103"/>
      <c r="CN514" s="103"/>
      <c r="CO514" s="103"/>
      <c r="CP514" s="103"/>
      <c r="CQ514" s="103"/>
      <c r="CR514" s="103"/>
      <c r="CS514" s="103"/>
      <c r="CT514" s="103"/>
      <c r="CU514" s="103"/>
      <c r="CV514" s="103"/>
      <c r="CW514" s="103"/>
      <c r="CX514" s="103"/>
      <c r="CY514" s="103"/>
      <c r="CZ514" s="103"/>
      <c r="DA514" s="103"/>
      <c r="DB514" s="103"/>
      <c r="DC514" s="103"/>
      <c r="DD514" s="103"/>
      <c r="DE514" s="107"/>
      <c r="DF514" s="465"/>
      <c r="DG514" s="1"/>
      <c r="DH514" s="53"/>
      <c r="DI514" s="465"/>
      <c r="DJ514" s="52"/>
      <c r="DK514" s="52"/>
      <c r="DL514" s="52"/>
      <c r="DM514" s="52"/>
      <c r="DN514" s="52"/>
      <c r="DO514" s="52"/>
      <c r="DP514" s="52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P514" s="53"/>
      <c r="EQ514" s="1"/>
      <c r="ER514" s="102"/>
      <c r="ES514" s="103"/>
      <c r="ET514" s="1"/>
      <c r="EU514" s="103"/>
      <c r="EV514" s="1"/>
      <c r="EW514" s="1"/>
      <c r="EX514" s="1"/>
      <c r="EY514" s="102"/>
    </row>
    <row r="515" spans="9:155">
      <c r="I515" s="132"/>
      <c r="J515" s="365"/>
      <c r="K515" s="1"/>
      <c r="L515" s="1"/>
      <c r="M515" s="366"/>
      <c r="P515" s="365"/>
      <c r="S515" s="53"/>
      <c r="T515" s="365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364"/>
      <c r="AO515" s="364"/>
      <c r="AP515" s="103"/>
      <c r="AQ515" s="364"/>
      <c r="AR515" s="103"/>
      <c r="AS515" s="103"/>
      <c r="AT515" s="103"/>
      <c r="AU515" s="103"/>
      <c r="AV515" s="31"/>
      <c r="AW515" s="31"/>
      <c r="AX515" s="31"/>
      <c r="AY515" s="146"/>
      <c r="AZ515" s="146"/>
      <c r="BA515" s="103"/>
      <c r="BB515" s="103"/>
      <c r="BC515" s="103"/>
      <c r="BD515" s="103"/>
      <c r="BE515" s="103"/>
      <c r="BF515" s="104"/>
      <c r="BG515" s="104"/>
      <c r="BH515" s="102"/>
      <c r="BI515" s="104"/>
      <c r="BJ515" s="103"/>
      <c r="BK515" s="105"/>
      <c r="BL515" s="151"/>
      <c r="BM515" s="103"/>
      <c r="BN515" s="103"/>
      <c r="BO515" s="103"/>
      <c r="BP515" s="103"/>
      <c r="BQ515" s="103"/>
      <c r="BR515" s="103"/>
      <c r="BS515" s="103"/>
      <c r="BT515" s="103"/>
      <c r="BU515" s="103"/>
      <c r="BV515" s="103"/>
      <c r="BW515" s="103"/>
      <c r="BX515" s="103"/>
      <c r="BY515" s="103"/>
      <c r="BZ515" s="104"/>
      <c r="CA515" s="104"/>
      <c r="CB515" s="104"/>
      <c r="CC515" s="104"/>
      <c r="CD515" s="104"/>
      <c r="CE515" s="104"/>
      <c r="CF515" s="103"/>
      <c r="CG515" s="103"/>
      <c r="CH515" s="103"/>
      <c r="CI515" s="103"/>
      <c r="CJ515" s="103"/>
      <c r="CK515" s="103"/>
      <c r="CL515" s="103"/>
      <c r="CM515" s="103"/>
      <c r="CN515" s="103"/>
      <c r="CO515" s="103"/>
      <c r="CP515" s="103"/>
      <c r="CQ515" s="103"/>
      <c r="CR515" s="103"/>
      <c r="CS515" s="103"/>
      <c r="CT515" s="103"/>
      <c r="CU515" s="103"/>
      <c r="CV515" s="103"/>
      <c r="CW515" s="103"/>
      <c r="CX515" s="103"/>
      <c r="CY515" s="103"/>
      <c r="CZ515" s="103"/>
      <c r="DA515" s="103"/>
      <c r="DB515" s="103"/>
      <c r="DC515" s="103"/>
      <c r="DD515" s="103"/>
      <c r="DE515" s="107"/>
      <c r="DF515" s="465"/>
      <c r="DG515" s="1"/>
      <c r="DH515" s="53"/>
      <c r="DI515" s="465"/>
      <c r="DJ515" s="52"/>
      <c r="DK515" s="52"/>
      <c r="DL515" s="52"/>
      <c r="DM515" s="52"/>
      <c r="DN515" s="52"/>
      <c r="DO515" s="52"/>
      <c r="DP515" s="52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P515" s="53"/>
      <c r="EQ515" s="1"/>
      <c r="ER515" s="102"/>
      <c r="ES515" s="103"/>
      <c r="ET515" s="1"/>
      <c r="EU515" s="103"/>
      <c r="EV515" s="1"/>
      <c r="EW515" s="1"/>
      <c r="EX515" s="1"/>
      <c r="EY515" s="102"/>
    </row>
    <row r="516" spans="9:155">
      <c r="I516" s="132"/>
      <c r="J516" s="365"/>
      <c r="K516" s="1"/>
      <c r="L516" s="1"/>
      <c r="M516" s="366"/>
      <c r="P516" s="365"/>
      <c r="S516" s="53"/>
      <c r="T516" s="365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364"/>
      <c r="AO516" s="364"/>
      <c r="AP516" s="103"/>
      <c r="AQ516" s="364"/>
      <c r="AR516" s="103"/>
      <c r="AS516" s="103"/>
      <c r="AT516" s="103"/>
      <c r="AU516" s="103"/>
      <c r="AV516" s="31"/>
      <c r="AW516" s="31"/>
      <c r="AX516" s="31"/>
      <c r="AY516" s="146"/>
      <c r="AZ516" s="146"/>
      <c r="BA516" s="103"/>
      <c r="BB516" s="103"/>
      <c r="BC516" s="103"/>
      <c r="BD516" s="103"/>
      <c r="BE516" s="103"/>
      <c r="BF516" s="104"/>
      <c r="BG516" s="104"/>
      <c r="BH516" s="102"/>
      <c r="BI516" s="104"/>
      <c r="BJ516" s="103"/>
      <c r="BK516" s="105"/>
      <c r="BL516" s="151"/>
      <c r="BM516" s="103"/>
      <c r="BN516" s="103"/>
      <c r="BO516" s="103"/>
      <c r="BP516" s="103"/>
      <c r="BQ516" s="103"/>
      <c r="BR516" s="103"/>
      <c r="BS516" s="103"/>
      <c r="BT516" s="103"/>
      <c r="BU516" s="103"/>
      <c r="BV516" s="103"/>
      <c r="BW516" s="103"/>
      <c r="BX516" s="103"/>
      <c r="BY516" s="103"/>
      <c r="BZ516" s="104"/>
      <c r="CA516" s="104"/>
      <c r="CB516" s="104"/>
      <c r="CC516" s="104"/>
      <c r="CD516" s="104"/>
      <c r="CE516" s="104"/>
      <c r="CF516" s="103"/>
      <c r="CG516" s="103"/>
      <c r="CH516" s="103"/>
      <c r="CI516" s="103"/>
      <c r="CJ516" s="103"/>
      <c r="CK516" s="103"/>
      <c r="CL516" s="103"/>
      <c r="CM516" s="103"/>
      <c r="CN516" s="103"/>
      <c r="CO516" s="103"/>
      <c r="CP516" s="103"/>
      <c r="CQ516" s="103"/>
      <c r="CR516" s="103"/>
      <c r="CS516" s="103"/>
      <c r="CT516" s="103"/>
      <c r="CU516" s="103"/>
      <c r="CV516" s="103"/>
      <c r="CW516" s="103"/>
      <c r="CX516" s="103"/>
      <c r="CY516" s="103"/>
      <c r="CZ516" s="103"/>
      <c r="DA516" s="103"/>
      <c r="DB516" s="103"/>
      <c r="DC516" s="103"/>
      <c r="DD516" s="103"/>
      <c r="DE516" s="107"/>
      <c r="DF516" s="465"/>
      <c r="DG516" s="1"/>
      <c r="DH516" s="53"/>
      <c r="DI516" s="465"/>
      <c r="DJ516" s="52"/>
      <c r="DK516" s="52"/>
      <c r="DL516" s="52"/>
      <c r="DM516" s="52"/>
      <c r="DN516" s="52"/>
      <c r="DO516" s="52"/>
      <c r="DP516" s="52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P516" s="53"/>
      <c r="EQ516" s="1"/>
      <c r="ER516" s="102"/>
      <c r="ES516" s="103"/>
      <c r="ET516" s="1"/>
      <c r="EU516" s="103"/>
      <c r="EV516" s="1"/>
      <c r="EW516" s="1"/>
      <c r="EX516" s="1"/>
      <c r="EY516" s="102"/>
    </row>
    <row r="517" spans="9:155">
      <c r="I517" s="132"/>
      <c r="J517" s="365"/>
      <c r="K517" s="1"/>
      <c r="L517" s="1"/>
      <c r="M517" s="366"/>
      <c r="P517" s="365"/>
      <c r="S517" s="53"/>
      <c r="T517" s="365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364"/>
      <c r="AO517" s="364"/>
      <c r="AP517" s="103"/>
      <c r="AQ517" s="364"/>
      <c r="AR517" s="103"/>
      <c r="AS517" s="103"/>
      <c r="AT517" s="103"/>
      <c r="AU517" s="103"/>
      <c r="AV517" s="31"/>
      <c r="AW517" s="31"/>
      <c r="AX517" s="31"/>
      <c r="AY517" s="146"/>
      <c r="AZ517" s="146"/>
      <c r="BA517" s="103"/>
      <c r="BB517" s="103"/>
      <c r="BC517" s="103"/>
      <c r="BD517" s="103"/>
      <c r="BE517" s="103"/>
      <c r="BF517" s="104"/>
      <c r="BG517" s="104"/>
      <c r="BH517" s="102"/>
      <c r="BI517" s="104"/>
      <c r="BJ517" s="103"/>
      <c r="BK517" s="105"/>
      <c r="BL517" s="151"/>
      <c r="BM517" s="103"/>
      <c r="BN517" s="103"/>
      <c r="BO517" s="103"/>
      <c r="BP517" s="103"/>
      <c r="BQ517" s="103"/>
      <c r="BR517" s="103"/>
      <c r="BS517" s="103"/>
      <c r="BT517" s="103"/>
      <c r="BU517" s="103"/>
      <c r="BV517" s="103"/>
      <c r="BW517" s="103"/>
      <c r="BX517" s="103"/>
      <c r="BY517" s="103"/>
      <c r="BZ517" s="104"/>
      <c r="CA517" s="104"/>
      <c r="CB517" s="104"/>
      <c r="CC517" s="104"/>
      <c r="CD517" s="104"/>
      <c r="CE517" s="104"/>
      <c r="CF517" s="103"/>
      <c r="CG517" s="103"/>
      <c r="CH517" s="103"/>
      <c r="CI517" s="103"/>
      <c r="CJ517" s="103"/>
      <c r="CK517" s="103"/>
      <c r="CL517" s="103"/>
      <c r="CM517" s="103"/>
      <c r="CN517" s="103"/>
      <c r="CO517" s="103"/>
      <c r="CP517" s="103"/>
      <c r="CQ517" s="103"/>
      <c r="CR517" s="103"/>
      <c r="CS517" s="103"/>
      <c r="CT517" s="103"/>
      <c r="CU517" s="103"/>
      <c r="CV517" s="103"/>
      <c r="CW517" s="103"/>
      <c r="CX517" s="103"/>
      <c r="CY517" s="103"/>
      <c r="CZ517" s="103"/>
      <c r="DA517" s="103"/>
      <c r="DB517" s="103"/>
      <c r="DC517" s="103"/>
      <c r="DD517" s="103"/>
      <c r="DE517" s="107"/>
      <c r="DF517" s="465"/>
      <c r="DG517" s="1"/>
      <c r="DH517" s="53"/>
      <c r="DI517" s="465"/>
      <c r="DJ517" s="52"/>
      <c r="DK517" s="52"/>
      <c r="DL517" s="52"/>
      <c r="DM517" s="52"/>
      <c r="DN517" s="52"/>
      <c r="DO517" s="52"/>
      <c r="DP517" s="52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P517" s="53"/>
      <c r="EQ517" s="1"/>
      <c r="ER517" s="102"/>
      <c r="ES517" s="103"/>
      <c r="ET517" s="1"/>
      <c r="EU517" s="103"/>
      <c r="EV517" s="1"/>
      <c r="EW517" s="1"/>
      <c r="EX517" s="1"/>
      <c r="EY517" s="102"/>
    </row>
    <row r="518" spans="9:155">
      <c r="I518" s="132"/>
      <c r="J518" s="365"/>
      <c r="K518" s="1"/>
      <c r="L518" s="1"/>
      <c r="M518" s="366"/>
      <c r="P518" s="365"/>
      <c r="S518" s="53"/>
      <c r="T518" s="365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364"/>
      <c r="AO518" s="364"/>
      <c r="AP518" s="103"/>
      <c r="AQ518" s="364"/>
      <c r="AR518" s="103"/>
      <c r="AS518" s="103"/>
      <c r="AT518" s="103"/>
      <c r="AU518" s="103"/>
      <c r="AV518" s="31"/>
      <c r="AW518" s="31"/>
      <c r="AX518" s="31"/>
      <c r="AY518" s="146"/>
      <c r="AZ518" s="146"/>
      <c r="BA518" s="103"/>
      <c r="BB518" s="103"/>
      <c r="BC518" s="103"/>
      <c r="BD518" s="103"/>
      <c r="BE518" s="103"/>
      <c r="BF518" s="104"/>
      <c r="BG518" s="104"/>
      <c r="BH518" s="102"/>
      <c r="BI518" s="104"/>
      <c r="BJ518" s="103"/>
      <c r="BK518" s="105"/>
      <c r="BL518" s="151"/>
      <c r="BM518" s="103"/>
      <c r="BN518" s="103"/>
      <c r="BO518" s="103"/>
      <c r="BP518" s="103"/>
      <c r="BQ518" s="103"/>
      <c r="BR518" s="103"/>
      <c r="BS518" s="103"/>
      <c r="BT518" s="103"/>
      <c r="BU518" s="103"/>
      <c r="BV518" s="103"/>
      <c r="BW518" s="103"/>
      <c r="BX518" s="103"/>
      <c r="BY518" s="103"/>
      <c r="BZ518" s="104"/>
      <c r="CA518" s="104"/>
      <c r="CB518" s="104"/>
      <c r="CC518" s="104"/>
      <c r="CD518" s="104"/>
      <c r="CE518" s="104"/>
      <c r="CF518" s="103"/>
      <c r="CG518" s="103"/>
      <c r="CH518" s="103"/>
      <c r="CI518" s="103"/>
      <c r="CJ518" s="103"/>
      <c r="CK518" s="103"/>
      <c r="CL518" s="103"/>
      <c r="CM518" s="103"/>
      <c r="CN518" s="103"/>
      <c r="CO518" s="103"/>
      <c r="CP518" s="103"/>
      <c r="CQ518" s="103"/>
      <c r="CR518" s="103"/>
      <c r="CS518" s="103"/>
      <c r="CT518" s="103"/>
      <c r="CU518" s="103"/>
      <c r="CV518" s="103"/>
      <c r="CW518" s="103"/>
      <c r="CX518" s="103"/>
      <c r="CY518" s="103"/>
      <c r="CZ518" s="103"/>
      <c r="DA518" s="103"/>
      <c r="DB518" s="103"/>
      <c r="DC518" s="103"/>
      <c r="DD518" s="103"/>
      <c r="DE518" s="107"/>
      <c r="DF518" s="465"/>
      <c r="DG518" s="1"/>
      <c r="DH518" s="53"/>
      <c r="DI518" s="465"/>
      <c r="DJ518" s="52"/>
      <c r="DK518" s="52"/>
      <c r="DL518" s="52"/>
      <c r="DM518" s="52"/>
      <c r="DN518" s="52"/>
      <c r="DO518" s="52"/>
      <c r="DP518" s="52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P518" s="53"/>
      <c r="EQ518" s="1"/>
      <c r="ER518" s="102"/>
      <c r="ES518" s="103"/>
      <c r="ET518" s="1"/>
      <c r="EU518" s="103"/>
      <c r="EV518" s="1"/>
      <c r="EW518" s="1"/>
      <c r="EX518" s="1"/>
      <c r="EY518" s="102"/>
    </row>
    <row r="519" spans="9:155">
      <c r="I519" s="132"/>
      <c r="J519" s="365"/>
      <c r="K519" s="1"/>
      <c r="L519" s="1"/>
      <c r="M519" s="366"/>
      <c r="P519" s="365"/>
      <c r="S519" s="53"/>
      <c r="T519" s="365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364"/>
      <c r="AO519" s="364"/>
      <c r="AP519" s="103"/>
      <c r="AQ519" s="364"/>
      <c r="AR519" s="103"/>
      <c r="AS519" s="103"/>
      <c r="AT519" s="103"/>
      <c r="AU519" s="103"/>
      <c r="AV519" s="31"/>
      <c r="AW519" s="31"/>
      <c r="AX519" s="31"/>
      <c r="AY519" s="146"/>
      <c r="AZ519" s="146"/>
      <c r="BA519" s="103"/>
      <c r="BB519" s="103"/>
      <c r="BC519" s="103"/>
      <c r="BD519" s="103"/>
      <c r="BE519" s="103"/>
      <c r="BF519" s="104"/>
      <c r="BG519" s="104"/>
      <c r="BH519" s="102"/>
      <c r="BI519" s="104"/>
      <c r="BJ519" s="103"/>
      <c r="BK519" s="105"/>
      <c r="BL519" s="152"/>
      <c r="BM519" s="103"/>
      <c r="BN519" s="103"/>
      <c r="BO519" s="103"/>
      <c r="BP519" s="103"/>
      <c r="BQ519" s="103"/>
      <c r="BR519" s="103"/>
      <c r="BS519" s="103"/>
      <c r="BT519" s="103"/>
      <c r="BU519" s="103"/>
      <c r="BV519" s="103"/>
      <c r="BW519" s="103"/>
      <c r="BX519" s="103"/>
      <c r="BY519" s="103"/>
      <c r="BZ519" s="104"/>
      <c r="CA519" s="104"/>
      <c r="CB519" s="104"/>
      <c r="CC519" s="104"/>
      <c r="CD519" s="104"/>
      <c r="CE519" s="104"/>
      <c r="CF519" s="103"/>
      <c r="CG519" s="103"/>
      <c r="CH519" s="103"/>
      <c r="CI519" s="103"/>
      <c r="CJ519" s="103"/>
      <c r="CK519" s="103"/>
      <c r="CL519" s="103"/>
      <c r="CM519" s="103"/>
      <c r="CN519" s="103"/>
      <c r="CO519" s="103"/>
      <c r="CP519" s="103"/>
      <c r="CQ519" s="103"/>
      <c r="CR519" s="103"/>
      <c r="CS519" s="103"/>
      <c r="CT519" s="103"/>
      <c r="CU519" s="103"/>
      <c r="CV519" s="103"/>
      <c r="CW519" s="103"/>
      <c r="CX519" s="103"/>
      <c r="CY519" s="103"/>
      <c r="CZ519" s="103"/>
      <c r="DA519" s="103"/>
      <c r="DB519" s="103"/>
      <c r="DC519" s="103"/>
      <c r="DD519" s="103"/>
      <c r="DE519" s="133"/>
      <c r="DF519" s="133"/>
      <c r="DG519" s="1"/>
      <c r="DH519" s="53"/>
      <c r="DI519" s="51"/>
      <c r="DJ519" s="52"/>
      <c r="DK519" s="52"/>
      <c r="DL519" s="52"/>
      <c r="DM519" s="52"/>
      <c r="DN519" s="52"/>
      <c r="DO519" s="52"/>
      <c r="DP519" s="52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P519" s="53"/>
      <c r="EQ519" s="1"/>
      <c r="ER519" s="102"/>
      <c r="ES519" s="103"/>
      <c r="ET519" s="1"/>
      <c r="EU519" s="103"/>
      <c r="EV519" s="1"/>
      <c r="EW519" s="1"/>
      <c r="EX519" s="1"/>
      <c r="EY519" s="102"/>
    </row>
    <row r="520" spans="9:155">
      <c r="I520" s="132"/>
      <c r="J520" s="133"/>
      <c r="K520" s="1"/>
      <c r="L520" s="1"/>
      <c r="S520" s="53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03"/>
      <c r="AQ520" s="1"/>
      <c r="AR520" s="103"/>
      <c r="AS520" s="103"/>
      <c r="AT520" s="103"/>
      <c r="AU520" s="103"/>
      <c r="AV520" s="31"/>
      <c r="AW520" s="31"/>
      <c r="AX520" s="31"/>
      <c r="AY520" s="146"/>
      <c r="AZ520" s="146"/>
      <c r="BA520" s="103"/>
      <c r="BB520" s="103"/>
      <c r="BC520" s="103"/>
      <c r="BD520" s="103"/>
      <c r="BE520" s="103"/>
      <c r="BF520" s="104"/>
      <c r="BG520" s="104"/>
      <c r="BH520" s="102"/>
      <c r="BI520" s="104"/>
      <c r="BJ520" s="103"/>
      <c r="BK520" s="105"/>
      <c r="BL520" s="152"/>
      <c r="BM520" s="103"/>
      <c r="BN520" s="103"/>
      <c r="BO520" s="103"/>
      <c r="BP520" s="103"/>
      <c r="BQ520" s="103"/>
      <c r="BR520" s="103"/>
      <c r="BS520" s="103"/>
      <c r="BT520" s="103"/>
      <c r="BU520" s="103"/>
      <c r="BV520" s="103"/>
      <c r="BW520" s="103"/>
      <c r="BX520" s="103"/>
      <c r="BY520" s="103"/>
      <c r="BZ520" s="104"/>
      <c r="CA520" s="104"/>
      <c r="CB520" s="104"/>
      <c r="CC520" s="104"/>
      <c r="CD520" s="104"/>
      <c r="CE520" s="104"/>
      <c r="CF520" s="103"/>
      <c r="CG520" s="103"/>
      <c r="CH520" s="103"/>
      <c r="CI520" s="103"/>
      <c r="CJ520" s="103"/>
      <c r="CK520" s="103"/>
      <c r="CL520" s="103"/>
      <c r="CM520" s="103"/>
      <c r="CN520" s="103"/>
      <c r="CO520" s="103"/>
      <c r="CP520" s="103"/>
      <c r="CQ520" s="103"/>
      <c r="CR520" s="103"/>
      <c r="CS520" s="103"/>
      <c r="CT520" s="103"/>
      <c r="CU520" s="103"/>
      <c r="CV520" s="103"/>
      <c r="CW520" s="103"/>
      <c r="CX520" s="103"/>
      <c r="CY520" s="103"/>
      <c r="CZ520" s="103"/>
      <c r="DA520" s="103"/>
      <c r="DB520" s="103"/>
      <c r="DC520" s="103"/>
      <c r="DD520" s="103"/>
      <c r="DE520" s="133"/>
      <c r="DF520" s="133"/>
      <c r="DG520" s="1"/>
      <c r="DH520" s="53"/>
      <c r="DI520" s="51"/>
      <c r="DJ520" s="52"/>
      <c r="DK520" s="52"/>
      <c r="DL520" s="52"/>
      <c r="DM520" s="52"/>
      <c r="DN520" s="52"/>
      <c r="DO520" s="52"/>
      <c r="DP520" s="52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P520" s="53"/>
      <c r="EQ520" s="1"/>
      <c r="ER520" s="102"/>
      <c r="ES520" s="103"/>
      <c r="ET520" s="1"/>
      <c r="EU520" s="103"/>
      <c r="EV520" s="1"/>
      <c r="EW520" s="1"/>
      <c r="EX520" s="1"/>
      <c r="EY520" s="102"/>
    </row>
    <row r="521" spans="9:155">
      <c r="I521" s="132"/>
      <c r="J521" s="133"/>
      <c r="K521" s="1"/>
      <c r="L521" s="1"/>
      <c r="S521" s="53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03"/>
      <c r="AQ521" s="1"/>
      <c r="AR521" s="103"/>
      <c r="AS521" s="103"/>
      <c r="AT521" s="103"/>
      <c r="AU521" s="103"/>
      <c r="AV521" s="31"/>
      <c r="AW521" s="31"/>
      <c r="AX521" s="31"/>
      <c r="AY521" s="146"/>
      <c r="AZ521" s="146"/>
      <c r="BA521" s="103"/>
      <c r="BB521" s="103"/>
      <c r="BC521" s="103"/>
      <c r="BD521" s="103"/>
      <c r="BE521" s="103"/>
      <c r="BF521" s="104"/>
      <c r="BG521" s="104"/>
      <c r="BH521" s="102"/>
      <c r="BI521" s="104"/>
      <c r="BJ521" s="103"/>
      <c r="BK521" s="105"/>
      <c r="BL521" s="152"/>
      <c r="BM521" s="103"/>
      <c r="BN521" s="103"/>
      <c r="BO521" s="103"/>
      <c r="BP521" s="103"/>
      <c r="BQ521" s="103"/>
      <c r="BR521" s="103"/>
      <c r="BS521" s="103"/>
      <c r="BT521" s="103"/>
      <c r="BU521" s="103"/>
      <c r="BV521" s="103"/>
      <c r="BW521" s="103"/>
      <c r="BX521" s="103"/>
      <c r="BY521" s="103"/>
      <c r="BZ521" s="104"/>
      <c r="CA521" s="104"/>
      <c r="CB521" s="104"/>
      <c r="CC521" s="104"/>
      <c r="CD521" s="104"/>
      <c r="CE521" s="104"/>
      <c r="CF521" s="103"/>
      <c r="CG521" s="103"/>
      <c r="CH521" s="103"/>
      <c r="CI521" s="103"/>
      <c r="CJ521" s="103"/>
      <c r="CK521" s="103"/>
      <c r="CL521" s="103"/>
      <c r="CM521" s="103"/>
      <c r="CN521" s="103"/>
      <c r="CO521" s="103"/>
      <c r="CP521" s="103"/>
      <c r="CQ521" s="103"/>
      <c r="CR521" s="103"/>
      <c r="CS521" s="103"/>
      <c r="CT521" s="103"/>
      <c r="CU521" s="103"/>
      <c r="CV521" s="103"/>
      <c r="CW521" s="103"/>
      <c r="CX521" s="103"/>
      <c r="CY521" s="103"/>
      <c r="CZ521" s="103"/>
      <c r="DA521" s="103"/>
      <c r="DB521" s="103"/>
      <c r="DC521" s="103"/>
      <c r="DD521" s="103"/>
      <c r="DE521" s="133"/>
      <c r="DF521" s="133"/>
      <c r="DG521" s="1"/>
      <c r="DH521" s="53"/>
      <c r="DI521" s="51"/>
      <c r="DJ521" s="52"/>
      <c r="DK521" s="52"/>
      <c r="DL521" s="52"/>
      <c r="DM521" s="52"/>
      <c r="DN521" s="52"/>
      <c r="DO521" s="52"/>
      <c r="DP521" s="52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P521" s="53"/>
      <c r="EQ521" s="1"/>
      <c r="ER521" s="102"/>
      <c r="ES521" s="103"/>
      <c r="ET521" s="1"/>
      <c r="EU521" s="103"/>
      <c r="EV521" s="1"/>
      <c r="EW521" s="1"/>
      <c r="EX521" s="1"/>
      <c r="EY521" s="102"/>
    </row>
    <row r="522" spans="9:155">
      <c r="I522" s="132"/>
      <c r="J522" s="133"/>
      <c r="K522" s="1"/>
      <c r="L522" s="1"/>
      <c r="S522" s="53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03"/>
      <c r="AQ522" s="1"/>
      <c r="AR522" s="103"/>
      <c r="AS522" s="103"/>
      <c r="AT522" s="103"/>
      <c r="AU522" s="103"/>
      <c r="AV522" s="31"/>
      <c r="AW522" s="31"/>
      <c r="AX522" s="31"/>
      <c r="AY522" s="146"/>
      <c r="AZ522" s="146"/>
      <c r="BA522" s="103"/>
      <c r="BB522" s="103"/>
      <c r="BC522" s="103"/>
      <c r="BD522" s="103"/>
      <c r="BE522" s="103"/>
      <c r="BF522" s="104"/>
      <c r="BG522" s="104"/>
      <c r="BH522" s="102"/>
      <c r="BI522" s="104"/>
      <c r="BJ522" s="103"/>
      <c r="BK522" s="105"/>
      <c r="BL522" s="152"/>
      <c r="BM522" s="103"/>
      <c r="BN522" s="103"/>
      <c r="BO522" s="103"/>
      <c r="BP522" s="103"/>
      <c r="BQ522" s="103"/>
      <c r="BR522" s="103"/>
      <c r="BS522" s="103"/>
      <c r="BT522" s="103"/>
      <c r="BU522" s="103"/>
      <c r="BV522" s="103"/>
      <c r="BW522" s="103"/>
      <c r="BX522" s="103"/>
      <c r="BY522" s="103"/>
      <c r="BZ522" s="104"/>
      <c r="CA522" s="104"/>
      <c r="CB522" s="104"/>
      <c r="CC522" s="104"/>
      <c r="CD522" s="104"/>
      <c r="CE522" s="104"/>
      <c r="CF522" s="103"/>
      <c r="CG522" s="103"/>
      <c r="CH522" s="103"/>
      <c r="CI522" s="103"/>
      <c r="CJ522" s="103"/>
      <c r="CK522" s="103"/>
      <c r="CL522" s="103"/>
      <c r="CM522" s="103"/>
      <c r="CN522" s="103"/>
      <c r="CO522" s="103"/>
      <c r="CP522" s="103"/>
      <c r="CQ522" s="103"/>
      <c r="CR522" s="103"/>
      <c r="CS522" s="103"/>
      <c r="CT522" s="103"/>
      <c r="CU522" s="103"/>
      <c r="CV522" s="103"/>
      <c r="CW522" s="103"/>
      <c r="CX522" s="103"/>
      <c r="CY522" s="103"/>
      <c r="CZ522" s="103"/>
      <c r="DA522" s="103"/>
      <c r="DB522" s="103"/>
      <c r="DC522" s="103"/>
      <c r="DD522" s="103"/>
      <c r="DE522" s="133"/>
      <c r="DF522" s="133"/>
      <c r="DG522" s="1"/>
      <c r="DH522" s="53"/>
      <c r="DI522" s="51"/>
      <c r="DJ522" s="52"/>
      <c r="DK522" s="52"/>
      <c r="DL522" s="52"/>
      <c r="DM522" s="52"/>
      <c r="DN522" s="52"/>
      <c r="DO522" s="52"/>
      <c r="DP522" s="52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P522" s="53"/>
      <c r="EQ522" s="1"/>
      <c r="ER522" s="102"/>
      <c r="ES522" s="103"/>
      <c r="ET522" s="1"/>
      <c r="EU522" s="103"/>
      <c r="EV522" s="1"/>
      <c r="EW522" s="1"/>
      <c r="EX522" s="1"/>
      <c r="EY522" s="102"/>
    </row>
    <row r="523" spans="9:155">
      <c r="I523" s="132"/>
      <c r="J523" s="133"/>
      <c r="K523" s="1"/>
      <c r="L523" s="1"/>
      <c r="S523" s="53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03"/>
      <c r="AQ523" s="1"/>
      <c r="AR523" s="103"/>
      <c r="AS523" s="103"/>
      <c r="AT523" s="103"/>
      <c r="AU523" s="103"/>
      <c r="AV523" s="31"/>
      <c r="AW523" s="31"/>
      <c r="AX523" s="31"/>
      <c r="AY523" s="146"/>
      <c r="AZ523" s="146"/>
      <c r="BA523" s="103"/>
      <c r="BB523" s="103"/>
      <c r="BC523" s="103"/>
      <c r="BD523" s="103"/>
      <c r="BE523" s="103"/>
      <c r="BF523" s="104"/>
      <c r="BG523" s="104"/>
      <c r="BH523" s="102"/>
      <c r="BI523" s="104"/>
      <c r="BJ523" s="103"/>
      <c r="BK523" s="105"/>
      <c r="BL523" s="152"/>
      <c r="BM523" s="103"/>
      <c r="BN523" s="103"/>
      <c r="BO523" s="103"/>
      <c r="BP523" s="103"/>
      <c r="BQ523" s="103"/>
      <c r="BR523" s="103"/>
      <c r="BS523" s="103"/>
      <c r="BT523" s="103"/>
      <c r="BU523" s="103"/>
      <c r="BV523" s="103"/>
      <c r="BW523" s="103"/>
      <c r="BX523" s="103"/>
      <c r="BY523" s="103"/>
      <c r="BZ523" s="104"/>
      <c r="CA523" s="104"/>
      <c r="CB523" s="104"/>
      <c r="CC523" s="104"/>
      <c r="CD523" s="104"/>
      <c r="CE523" s="104"/>
      <c r="CF523" s="103"/>
      <c r="CG523" s="103"/>
      <c r="CH523" s="103"/>
      <c r="CI523" s="103"/>
      <c r="CJ523" s="103"/>
      <c r="CK523" s="103"/>
      <c r="CL523" s="103"/>
      <c r="CM523" s="103"/>
      <c r="CN523" s="103"/>
      <c r="CO523" s="103"/>
      <c r="CP523" s="103"/>
      <c r="CQ523" s="103"/>
      <c r="CR523" s="103"/>
      <c r="CS523" s="103"/>
      <c r="CT523" s="103"/>
      <c r="CU523" s="103"/>
      <c r="CV523" s="103"/>
      <c r="CW523" s="103"/>
      <c r="CX523" s="103"/>
      <c r="CY523" s="103"/>
      <c r="CZ523" s="103"/>
      <c r="DA523" s="103"/>
      <c r="DB523" s="103"/>
      <c r="DC523" s="103"/>
      <c r="DD523" s="103"/>
      <c r="DE523" s="133"/>
      <c r="DF523" s="133"/>
      <c r="DG523" s="1"/>
      <c r="DH523" s="53"/>
      <c r="DI523" s="51"/>
      <c r="DJ523" s="52"/>
      <c r="DK523" s="52"/>
      <c r="DL523" s="52"/>
      <c r="DM523" s="52"/>
      <c r="DN523" s="52"/>
      <c r="DO523" s="52"/>
      <c r="DP523" s="52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P523" s="53"/>
      <c r="EQ523" s="1"/>
      <c r="ER523" s="102"/>
      <c r="ES523" s="103"/>
      <c r="ET523" s="1"/>
      <c r="EU523" s="103"/>
      <c r="EV523" s="1"/>
      <c r="EW523" s="1"/>
      <c r="EX523" s="1"/>
      <c r="EY523" s="102"/>
    </row>
    <row r="524" spans="9:155">
      <c r="I524" s="132"/>
      <c r="J524" s="133"/>
      <c r="K524" s="1"/>
      <c r="L524" s="1"/>
      <c r="S524" s="53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03"/>
      <c r="AQ524" s="1"/>
      <c r="AR524" s="103"/>
      <c r="AS524" s="103"/>
      <c r="AT524" s="103"/>
      <c r="AU524" s="103"/>
      <c r="AV524" s="31"/>
      <c r="AW524" s="31"/>
      <c r="AX524" s="31"/>
      <c r="AY524" s="146"/>
      <c r="AZ524" s="146"/>
      <c r="BA524" s="103"/>
      <c r="BB524" s="103"/>
      <c r="BC524" s="103"/>
      <c r="BD524" s="103"/>
      <c r="BE524" s="103"/>
      <c r="BF524" s="104"/>
      <c r="BG524" s="104"/>
      <c r="BH524" s="102"/>
      <c r="BI524" s="104"/>
      <c r="BJ524" s="103"/>
      <c r="BK524" s="105"/>
      <c r="BL524" s="152"/>
      <c r="BM524" s="103"/>
      <c r="BN524" s="103"/>
      <c r="BO524" s="103"/>
      <c r="BP524" s="103"/>
      <c r="BQ524" s="103"/>
      <c r="BR524" s="103"/>
      <c r="BS524" s="103"/>
      <c r="BT524" s="103"/>
      <c r="BU524" s="103"/>
      <c r="BV524" s="103"/>
      <c r="BW524" s="103"/>
      <c r="BX524" s="103"/>
      <c r="BY524" s="103"/>
      <c r="BZ524" s="104"/>
      <c r="CA524" s="104"/>
      <c r="CB524" s="104"/>
      <c r="CC524" s="104"/>
      <c r="CD524" s="104"/>
      <c r="CE524" s="104"/>
      <c r="CF524" s="103"/>
      <c r="CG524" s="103"/>
      <c r="CH524" s="103"/>
      <c r="CI524" s="103"/>
      <c r="CJ524" s="103"/>
      <c r="CK524" s="103"/>
      <c r="CL524" s="103"/>
      <c r="CM524" s="103"/>
      <c r="CN524" s="103"/>
      <c r="CO524" s="103"/>
      <c r="CP524" s="103"/>
      <c r="CQ524" s="103"/>
      <c r="CR524" s="103"/>
      <c r="CS524" s="103"/>
      <c r="CT524" s="103"/>
      <c r="CU524" s="103"/>
      <c r="CV524" s="103"/>
      <c r="CW524" s="103"/>
      <c r="CX524" s="103"/>
      <c r="CY524" s="103"/>
      <c r="CZ524" s="103"/>
      <c r="DA524" s="103"/>
      <c r="DB524" s="103"/>
      <c r="DC524" s="103"/>
      <c r="DD524" s="103"/>
      <c r="DE524" s="133"/>
      <c r="DF524" s="133"/>
      <c r="DG524" s="1"/>
      <c r="DH524" s="53"/>
      <c r="DI524" s="51"/>
      <c r="DJ524" s="52"/>
      <c r="DK524" s="52"/>
      <c r="DL524" s="52"/>
      <c r="DM524" s="52"/>
      <c r="DN524" s="52"/>
      <c r="DO524" s="52"/>
      <c r="DP524" s="52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P524" s="53"/>
      <c r="EQ524" s="1"/>
      <c r="ER524" s="102"/>
      <c r="ES524" s="103"/>
      <c r="ET524" s="1"/>
      <c r="EU524" s="103"/>
      <c r="EV524" s="1"/>
      <c r="EW524" s="1"/>
      <c r="EX524" s="1"/>
      <c r="EY524" s="102"/>
    </row>
    <row r="525" spans="9:155">
      <c r="I525" s="132"/>
      <c r="J525" s="133"/>
      <c r="K525" s="1"/>
      <c r="L525" s="1"/>
      <c r="S525" s="53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03"/>
      <c r="AQ525" s="1"/>
      <c r="AR525" s="103"/>
      <c r="AS525" s="103"/>
      <c r="AT525" s="103"/>
      <c r="AU525" s="103"/>
      <c r="AV525" s="31"/>
      <c r="AW525" s="31"/>
      <c r="AX525" s="31"/>
      <c r="AY525" s="146"/>
      <c r="AZ525" s="146"/>
      <c r="BA525" s="103"/>
      <c r="BB525" s="103"/>
      <c r="BC525" s="103"/>
      <c r="BD525" s="103"/>
      <c r="BE525" s="103"/>
      <c r="BF525" s="104"/>
      <c r="BG525" s="104"/>
      <c r="BH525" s="102"/>
      <c r="BI525" s="104"/>
      <c r="BJ525" s="103"/>
      <c r="BK525" s="105"/>
      <c r="BL525" s="152"/>
      <c r="BM525" s="103"/>
      <c r="BN525" s="103"/>
      <c r="BO525" s="103"/>
      <c r="BP525" s="103"/>
      <c r="BQ525" s="103"/>
      <c r="BR525" s="103"/>
      <c r="BS525" s="103"/>
      <c r="BT525" s="103"/>
      <c r="BU525" s="103"/>
      <c r="BV525" s="103"/>
      <c r="BW525" s="103"/>
      <c r="BX525" s="103"/>
      <c r="BY525" s="103"/>
      <c r="BZ525" s="104"/>
      <c r="CA525" s="104"/>
      <c r="CB525" s="104"/>
      <c r="CC525" s="104"/>
      <c r="CD525" s="104"/>
      <c r="CE525" s="104"/>
      <c r="CF525" s="103"/>
      <c r="CG525" s="103"/>
      <c r="CH525" s="103"/>
      <c r="CI525" s="103"/>
      <c r="CJ525" s="103"/>
      <c r="CK525" s="103"/>
      <c r="CL525" s="103"/>
      <c r="CM525" s="103"/>
      <c r="CN525" s="103"/>
      <c r="CO525" s="103"/>
      <c r="CP525" s="103"/>
      <c r="CQ525" s="103"/>
      <c r="CR525" s="103"/>
      <c r="CS525" s="103"/>
      <c r="CT525" s="103"/>
      <c r="CU525" s="103"/>
      <c r="CV525" s="103"/>
      <c r="CW525" s="103"/>
      <c r="CX525" s="103"/>
      <c r="CY525" s="103"/>
      <c r="CZ525" s="103"/>
      <c r="DA525" s="103"/>
      <c r="DB525" s="103"/>
      <c r="DC525" s="103"/>
      <c r="DD525" s="103"/>
      <c r="DE525" s="133"/>
      <c r="DF525" s="133"/>
      <c r="DG525" s="1"/>
      <c r="DH525" s="53"/>
      <c r="DI525" s="51"/>
      <c r="DJ525" s="52"/>
      <c r="DK525" s="52"/>
      <c r="DL525" s="52"/>
      <c r="DM525" s="52"/>
      <c r="DN525" s="52"/>
      <c r="DO525" s="52"/>
      <c r="DP525" s="52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P525" s="53"/>
      <c r="EQ525" s="1"/>
      <c r="ER525" s="102"/>
      <c r="ES525" s="103"/>
      <c r="ET525" s="1"/>
      <c r="EU525" s="103"/>
      <c r="EV525" s="1"/>
      <c r="EW525" s="1"/>
      <c r="EX525" s="1"/>
      <c r="EY525" s="102"/>
    </row>
    <row r="526" spans="9:155">
      <c r="I526" s="132"/>
      <c r="J526" s="133"/>
      <c r="K526" s="1"/>
      <c r="L526" s="1"/>
      <c r="S526" s="53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03"/>
      <c r="AQ526" s="1"/>
      <c r="AR526" s="103"/>
      <c r="AS526" s="103"/>
      <c r="AT526" s="103"/>
      <c r="AU526" s="103"/>
      <c r="AV526" s="31"/>
      <c r="AW526" s="31"/>
      <c r="AX526" s="31"/>
      <c r="AY526" s="146"/>
      <c r="AZ526" s="146"/>
      <c r="BA526" s="103"/>
      <c r="BB526" s="103"/>
      <c r="BC526" s="103"/>
      <c r="BD526" s="103"/>
      <c r="BE526" s="103"/>
      <c r="BF526" s="104"/>
      <c r="BG526" s="104"/>
      <c r="BH526" s="102"/>
      <c r="BI526" s="104"/>
      <c r="BJ526" s="103"/>
      <c r="BK526" s="105"/>
      <c r="BL526" s="152"/>
      <c r="BM526" s="103"/>
      <c r="BN526" s="103"/>
      <c r="BO526" s="103"/>
      <c r="BP526" s="103"/>
      <c r="BQ526" s="103"/>
      <c r="BR526" s="103"/>
      <c r="BS526" s="103"/>
      <c r="BT526" s="103"/>
      <c r="BU526" s="103"/>
      <c r="BV526" s="103"/>
      <c r="BW526" s="103"/>
      <c r="BX526" s="103"/>
      <c r="BY526" s="103"/>
      <c r="BZ526" s="104"/>
      <c r="CA526" s="104"/>
      <c r="CB526" s="104"/>
      <c r="CC526" s="104"/>
      <c r="CD526" s="104"/>
      <c r="CE526" s="104"/>
      <c r="CF526" s="103"/>
      <c r="CG526" s="103"/>
      <c r="CH526" s="103"/>
      <c r="CI526" s="103"/>
      <c r="CJ526" s="103"/>
      <c r="CK526" s="103"/>
      <c r="CL526" s="103"/>
      <c r="CM526" s="103"/>
      <c r="CN526" s="103"/>
      <c r="CO526" s="103"/>
      <c r="CP526" s="103"/>
      <c r="CQ526" s="103"/>
      <c r="CR526" s="103"/>
      <c r="CS526" s="103"/>
      <c r="CT526" s="103"/>
      <c r="CU526" s="103"/>
      <c r="CV526" s="103"/>
      <c r="CW526" s="103"/>
      <c r="CX526" s="103"/>
      <c r="CY526" s="103"/>
      <c r="CZ526" s="103"/>
      <c r="DA526" s="103"/>
      <c r="DB526" s="103"/>
      <c r="DC526" s="103"/>
      <c r="DD526" s="103"/>
      <c r="DE526" s="133"/>
      <c r="DF526" s="133"/>
      <c r="DG526" s="1"/>
      <c r="DH526" s="53"/>
      <c r="DI526" s="51"/>
      <c r="DJ526" s="52"/>
      <c r="DK526" s="52"/>
      <c r="DL526" s="52"/>
      <c r="DM526" s="52"/>
      <c r="DN526" s="52"/>
      <c r="DO526" s="52"/>
      <c r="DP526" s="52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P526" s="53"/>
      <c r="EQ526" s="1"/>
      <c r="ER526" s="102"/>
      <c r="ES526" s="103"/>
      <c r="ET526" s="1"/>
      <c r="EU526" s="103"/>
      <c r="EV526" s="1"/>
      <c r="EW526" s="1"/>
      <c r="EX526" s="1"/>
      <c r="EY526" s="102"/>
    </row>
    <row r="527" spans="9:155">
      <c r="I527" s="132"/>
      <c r="J527" s="133"/>
      <c r="K527" s="1"/>
      <c r="L527" s="1"/>
      <c r="S527" s="53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03"/>
      <c r="AQ527" s="1"/>
      <c r="AR527" s="103"/>
      <c r="AS527" s="103"/>
      <c r="AT527" s="103"/>
      <c r="AU527" s="103"/>
      <c r="AV527" s="31"/>
      <c r="AW527" s="31"/>
      <c r="AX527" s="31"/>
      <c r="AY527" s="146"/>
      <c r="AZ527" s="146"/>
      <c r="BA527" s="103"/>
      <c r="BB527" s="103"/>
      <c r="BC527" s="103"/>
      <c r="BD527" s="103"/>
      <c r="BE527" s="103"/>
      <c r="BF527" s="104"/>
      <c r="BG527" s="104"/>
      <c r="BH527" s="102"/>
      <c r="BI527" s="104"/>
      <c r="BJ527" s="103"/>
      <c r="BK527" s="105"/>
      <c r="BL527" s="152"/>
      <c r="BM527" s="103"/>
      <c r="BN527" s="103"/>
      <c r="BO527" s="103"/>
      <c r="BP527" s="103"/>
      <c r="BQ527" s="103"/>
      <c r="BR527" s="103"/>
      <c r="BS527" s="103"/>
      <c r="BT527" s="103"/>
      <c r="BU527" s="103"/>
      <c r="BV527" s="103"/>
      <c r="BW527" s="103"/>
      <c r="BX527" s="103"/>
      <c r="BY527" s="103"/>
      <c r="BZ527" s="104"/>
      <c r="CA527" s="104"/>
      <c r="CB527" s="104"/>
      <c r="CC527" s="104"/>
      <c r="CD527" s="104"/>
      <c r="CE527" s="104"/>
      <c r="CF527" s="103"/>
      <c r="CG527" s="103"/>
      <c r="CH527" s="103"/>
      <c r="CI527" s="103"/>
      <c r="CJ527" s="103"/>
      <c r="CK527" s="103"/>
      <c r="CL527" s="103"/>
      <c r="CM527" s="103"/>
      <c r="CN527" s="103"/>
      <c r="CO527" s="103"/>
      <c r="CP527" s="103"/>
      <c r="CQ527" s="103"/>
      <c r="CR527" s="103"/>
      <c r="CS527" s="103"/>
      <c r="CT527" s="103"/>
      <c r="CU527" s="103"/>
      <c r="CV527" s="103"/>
      <c r="CW527" s="103"/>
      <c r="CX527" s="103"/>
      <c r="CY527" s="103"/>
      <c r="CZ527" s="103"/>
      <c r="DA527" s="103"/>
      <c r="DB527" s="103"/>
      <c r="DC527" s="103"/>
      <c r="DD527" s="103"/>
      <c r="DE527" s="133"/>
      <c r="DF527" s="133"/>
      <c r="DG527" s="1"/>
      <c r="DH527" s="53"/>
      <c r="DI527" s="51"/>
      <c r="DJ527" s="52"/>
      <c r="DK527" s="52"/>
      <c r="DL527" s="52"/>
      <c r="DM527" s="52"/>
      <c r="DN527" s="52"/>
      <c r="DO527" s="52"/>
      <c r="DP527" s="52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P527" s="53"/>
      <c r="EQ527" s="1"/>
      <c r="ER527" s="102"/>
      <c r="ES527" s="103"/>
      <c r="ET527" s="1"/>
      <c r="EU527" s="103"/>
      <c r="EV527" s="1"/>
      <c r="EW527" s="1"/>
      <c r="EX527" s="1"/>
      <c r="EY527" s="102"/>
    </row>
    <row r="528" spans="9:155">
      <c r="I528" s="132"/>
      <c r="J528" s="133"/>
      <c r="K528" s="1"/>
      <c r="L528" s="1"/>
      <c r="S528" s="53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03"/>
      <c r="AQ528" s="1"/>
      <c r="AR528" s="103"/>
      <c r="AS528" s="103"/>
      <c r="AT528" s="103"/>
      <c r="AU528" s="103"/>
      <c r="AV528" s="31"/>
      <c r="AW528" s="31"/>
      <c r="AX528" s="31"/>
      <c r="AY528" s="146"/>
      <c r="AZ528" s="146"/>
      <c r="BA528" s="103"/>
      <c r="BB528" s="103"/>
      <c r="BC528" s="103"/>
      <c r="BD528" s="103"/>
      <c r="BE528" s="103"/>
      <c r="BF528" s="104"/>
      <c r="BG528" s="104"/>
      <c r="BH528" s="102"/>
      <c r="BI528" s="104"/>
      <c r="BJ528" s="103"/>
      <c r="BK528" s="105"/>
      <c r="BL528" s="152"/>
      <c r="BM528" s="103"/>
      <c r="BN528" s="103"/>
      <c r="BO528" s="103"/>
      <c r="BP528" s="103"/>
      <c r="BQ528" s="103"/>
      <c r="BR528" s="103"/>
      <c r="BS528" s="103"/>
      <c r="BT528" s="103"/>
      <c r="BU528" s="103"/>
      <c r="BV528" s="103"/>
      <c r="BW528" s="103"/>
      <c r="BX528" s="103"/>
      <c r="BY528" s="103"/>
      <c r="BZ528" s="104"/>
      <c r="CA528" s="104"/>
      <c r="CB528" s="104"/>
      <c r="CC528" s="104"/>
      <c r="CD528" s="104"/>
      <c r="CE528" s="104"/>
      <c r="CF528" s="103"/>
      <c r="CG528" s="103"/>
      <c r="CH528" s="103"/>
      <c r="CI528" s="103"/>
      <c r="CJ528" s="103"/>
      <c r="CK528" s="103"/>
      <c r="CL528" s="103"/>
      <c r="CM528" s="103"/>
      <c r="CN528" s="103"/>
      <c r="CO528" s="103"/>
      <c r="CP528" s="103"/>
      <c r="CQ528" s="103"/>
      <c r="CR528" s="103"/>
      <c r="CS528" s="103"/>
      <c r="CT528" s="103"/>
      <c r="CU528" s="103"/>
      <c r="CV528" s="103"/>
      <c r="CW528" s="103"/>
      <c r="CX528" s="103"/>
      <c r="CY528" s="103"/>
      <c r="CZ528" s="103"/>
      <c r="DA528" s="103"/>
      <c r="DB528" s="103"/>
      <c r="DC528" s="103"/>
      <c r="DD528" s="103"/>
      <c r="DE528" s="133"/>
      <c r="DF528" s="133"/>
      <c r="DG528" s="1"/>
      <c r="DH528" s="53"/>
      <c r="DI528" s="51"/>
      <c r="DJ528" s="52"/>
      <c r="DK528" s="52"/>
      <c r="DL528" s="52"/>
      <c r="DM528" s="52"/>
      <c r="DN528" s="52"/>
      <c r="DO528" s="52"/>
      <c r="DP528" s="52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P528" s="53"/>
      <c r="EQ528" s="1"/>
      <c r="ER528" s="102"/>
      <c r="ES528" s="103"/>
      <c r="ET528" s="1"/>
      <c r="EU528" s="103"/>
      <c r="EV528" s="1"/>
      <c r="EW528" s="1"/>
      <c r="EX528" s="1"/>
      <c r="EY528" s="102"/>
    </row>
    <row r="529" spans="9:155">
      <c r="I529" s="132"/>
      <c r="J529" s="133"/>
      <c r="K529" s="1"/>
      <c r="L529" s="1"/>
      <c r="S529" s="53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03"/>
      <c r="AQ529" s="1"/>
      <c r="AR529" s="103"/>
      <c r="AS529" s="103"/>
      <c r="AT529" s="103"/>
      <c r="AU529" s="103"/>
      <c r="AV529" s="31"/>
      <c r="AW529" s="31"/>
      <c r="AX529" s="31"/>
      <c r="AY529" s="146"/>
      <c r="AZ529" s="146"/>
      <c r="BA529" s="103"/>
      <c r="BB529" s="103"/>
      <c r="BC529" s="103"/>
      <c r="BD529" s="103"/>
      <c r="BE529" s="103"/>
      <c r="BF529" s="104"/>
      <c r="BG529" s="104"/>
      <c r="BH529" s="102"/>
      <c r="BI529" s="104"/>
      <c r="BJ529" s="103"/>
      <c r="BK529" s="105"/>
      <c r="BL529" s="152"/>
      <c r="BM529" s="103"/>
      <c r="BN529" s="103"/>
      <c r="BO529" s="103"/>
      <c r="BP529" s="103"/>
      <c r="BQ529" s="103"/>
      <c r="BR529" s="103"/>
      <c r="BS529" s="103"/>
      <c r="BT529" s="103"/>
      <c r="BU529" s="103"/>
      <c r="BV529" s="103"/>
      <c r="BW529" s="103"/>
      <c r="BX529" s="103"/>
      <c r="BY529" s="103"/>
      <c r="BZ529" s="104"/>
      <c r="CA529" s="104"/>
      <c r="CB529" s="104"/>
      <c r="CC529" s="104"/>
      <c r="CD529" s="104"/>
      <c r="CE529" s="104"/>
      <c r="CF529" s="103"/>
      <c r="CG529" s="103"/>
      <c r="CH529" s="103"/>
      <c r="CI529" s="103"/>
      <c r="CJ529" s="103"/>
      <c r="CK529" s="103"/>
      <c r="CL529" s="103"/>
      <c r="CM529" s="103"/>
      <c r="CN529" s="103"/>
      <c r="CO529" s="103"/>
      <c r="CP529" s="103"/>
      <c r="CQ529" s="103"/>
      <c r="CR529" s="103"/>
      <c r="CS529" s="103"/>
      <c r="CT529" s="103"/>
      <c r="CU529" s="103"/>
      <c r="CV529" s="103"/>
      <c r="CW529" s="103"/>
      <c r="CX529" s="103"/>
      <c r="CY529" s="103"/>
      <c r="CZ529" s="103"/>
      <c r="DA529" s="103"/>
      <c r="DB529" s="103"/>
      <c r="DC529" s="103"/>
      <c r="DD529" s="103"/>
      <c r="DE529" s="133"/>
      <c r="DF529" s="133"/>
      <c r="DG529" s="1"/>
      <c r="DH529" s="53"/>
      <c r="DI529" s="51"/>
      <c r="DJ529" s="52"/>
      <c r="DK529" s="52"/>
      <c r="DL529" s="52"/>
      <c r="DM529" s="52"/>
      <c r="DN529" s="52"/>
      <c r="DO529" s="52"/>
      <c r="DP529" s="52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P529" s="53"/>
      <c r="EQ529" s="1"/>
      <c r="ER529" s="102"/>
      <c r="ES529" s="103"/>
      <c r="ET529" s="1"/>
      <c r="EU529" s="103"/>
      <c r="EV529" s="1"/>
      <c r="EW529" s="1"/>
      <c r="EX529" s="1"/>
      <c r="EY529" s="102"/>
    </row>
    <row r="530" spans="9:155">
      <c r="I530" s="132"/>
      <c r="J530" s="133"/>
      <c r="K530" s="1"/>
      <c r="L530" s="1"/>
      <c r="S530" s="53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03"/>
      <c r="AQ530" s="1"/>
      <c r="AR530" s="103"/>
      <c r="AS530" s="103"/>
      <c r="AT530" s="103"/>
      <c r="AU530" s="103"/>
      <c r="AV530" s="31"/>
      <c r="AW530" s="31"/>
      <c r="AX530" s="31"/>
      <c r="AY530" s="146"/>
      <c r="AZ530" s="146"/>
      <c r="BA530" s="103"/>
      <c r="BB530" s="103"/>
      <c r="BC530" s="103"/>
      <c r="BD530" s="103"/>
      <c r="BE530" s="103"/>
      <c r="BF530" s="104"/>
      <c r="BG530" s="104"/>
      <c r="BH530" s="102"/>
      <c r="BI530" s="104"/>
      <c r="BJ530" s="103"/>
      <c r="BK530" s="105"/>
      <c r="BL530" s="152"/>
      <c r="BM530" s="103"/>
      <c r="BN530" s="103"/>
      <c r="BO530" s="103"/>
      <c r="BP530" s="103"/>
      <c r="BQ530" s="103"/>
      <c r="BR530" s="103"/>
      <c r="BS530" s="103"/>
      <c r="BT530" s="103"/>
      <c r="BU530" s="103"/>
      <c r="BV530" s="103"/>
      <c r="BW530" s="103"/>
      <c r="BX530" s="103"/>
      <c r="BY530" s="103"/>
      <c r="BZ530" s="104"/>
      <c r="CA530" s="104"/>
      <c r="CB530" s="104"/>
      <c r="CC530" s="104"/>
      <c r="CD530" s="104"/>
      <c r="CE530" s="104"/>
      <c r="CF530" s="103"/>
      <c r="CG530" s="103"/>
      <c r="CH530" s="103"/>
      <c r="CI530" s="103"/>
      <c r="CJ530" s="103"/>
      <c r="CK530" s="103"/>
      <c r="CL530" s="103"/>
      <c r="CM530" s="103"/>
      <c r="CN530" s="103"/>
      <c r="CO530" s="103"/>
      <c r="CP530" s="103"/>
      <c r="CQ530" s="103"/>
      <c r="CR530" s="103"/>
      <c r="CS530" s="103"/>
      <c r="CT530" s="103"/>
      <c r="CU530" s="103"/>
      <c r="CV530" s="103"/>
      <c r="CW530" s="103"/>
      <c r="CX530" s="103"/>
      <c r="CY530" s="103"/>
      <c r="CZ530" s="103"/>
      <c r="DA530" s="103"/>
      <c r="DB530" s="103"/>
      <c r="DC530" s="103"/>
      <c r="DD530" s="103"/>
      <c r="DE530" s="133"/>
      <c r="DF530" s="133"/>
      <c r="DG530" s="1"/>
      <c r="DH530" s="53"/>
      <c r="DI530" s="51"/>
      <c r="DJ530" s="52"/>
      <c r="DK530" s="52"/>
      <c r="DL530" s="52"/>
      <c r="DM530" s="52"/>
      <c r="DN530" s="52"/>
      <c r="DO530" s="52"/>
      <c r="DP530" s="52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P530" s="53"/>
      <c r="EQ530" s="1"/>
      <c r="ER530" s="102"/>
      <c r="ES530" s="103"/>
      <c r="ET530" s="1"/>
      <c r="EU530" s="103"/>
      <c r="EV530" s="1"/>
      <c r="EW530" s="1"/>
      <c r="EX530" s="1"/>
      <c r="EY530" s="102"/>
    </row>
    <row r="531" spans="9:155">
      <c r="I531" s="132"/>
      <c r="J531" s="133"/>
      <c r="K531" s="1"/>
      <c r="L531" s="1"/>
      <c r="S531" s="53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03"/>
      <c r="AQ531" s="1"/>
      <c r="AR531" s="103"/>
      <c r="AS531" s="103"/>
      <c r="AT531" s="103"/>
      <c r="AU531" s="103"/>
      <c r="AV531" s="31"/>
      <c r="AW531" s="31"/>
      <c r="AX531" s="31"/>
      <c r="AY531" s="146"/>
      <c r="AZ531" s="146"/>
      <c r="BA531" s="103"/>
      <c r="BB531" s="103"/>
      <c r="BC531" s="103"/>
      <c r="BD531" s="103"/>
      <c r="BE531" s="103"/>
      <c r="BF531" s="104"/>
      <c r="BG531" s="104"/>
      <c r="BH531" s="102"/>
      <c r="BI531" s="104"/>
      <c r="BJ531" s="103"/>
      <c r="BK531" s="105"/>
      <c r="BL531" s="152"/>
      <c r="BM531" s="103"/>
      <c r="BN531" s="103"/>
      <c r="BO531" s="103"/>
      <c r="BP531" s="103"/>
      <c r="BQ531" s="103"/>
      <c r="BR531" s="103"/>
      <c r="BS531" s="103"/>
      <c r="BT531" s="103"/>
      <c r="BU531" s="103"/>
      <c r="BV531" s="103"/>
      <c r="BW531" s="103"/>
      <c r="BX531" s="103"/>
      <c r="BY531" s="103"/>
      <c r="BZ531" s="104"/>
      <c r="CA531" s="104"/>
      <c r="CB531" s="104"/>
      <c r="CC531" s="104"/>
      <c r="CD531" s="104"/>
      <c r="CE531" s="104"/>
      <c r="CF531" s="103"/>
      <c r="CG531" s="103"/>
      <c r="CH531" s="103"/>
      <c r="CI531" s="103"/>
      <c r="CJ531" s="103"/>
      <c r="CK531" s="103"/>
      <c r="CL531" s="103"/>
      <c r="CM531" s="103"/>
      <c r="CN531" s="103"/>
      <c r="CO531" s="103"/>
      <c r="CP531" s="103"/>
      <c r="CQ531" s="103"/>
      <c r="CR531" s="103"/>
      <c r="CS531" s="103"/>
      <c r="CT531" s="103"/>
      <c r="CU531" s="103"/>
      <c r="CV531" s="103"/>
      <c r="CW531" s="103"/>
      <c r="CX531" s="103"/>
      <c r="CY531" s="103"/>
      <c r="CZ531" s="103"/>
      <c r="DA531" s="103"/>
      <c r="DB531" s="103"/>
      <c r="DC531" s="103"/>
      <c r="DD531" s="103"/>
      <c r="DE531" s="133"/>
      <c r="DF531" s="133"/>
      <c r="DG531" s="1"/>
      <c r="DH531" s="53"/>
      <c r="DI531" s="51"/>
      <c r="DJ531" s="52"/>
      <c r="DK531" s="52"/>
      <c r="DL531" s="52"/>
      <c r="DM531" s="52"/>
      <c r="DN531" s="52"/>
      <c r="DO531" s="52"/>
      <c r="DP531" s="52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P531" s="53"/>
      <c r="EQ531" s="1"/>
      <c r="ER531" s="102"/>
      <c r="ES531" s="103"/>
      <c r="ET531" s="1"/>
      <c r="EU531" s="103"/>
      <c r="EV531" s="1"/>
      <c r="EW531" s="1"/>
      <c r="EX531" s="1"/>
      <c r="EY531" s="102"/>
    </row>
    <row r="532" spans="9:155">
      <c r="I532" s="132"/>
      <c r="J532" s="133"/>
      <c r="K532" s="1"/>
      <c r="L532" s="1"/>
      <c r="S532" s="53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03"/>
      <c r="AQ532" s="1"/>
      <c r="AR532" s="103"/>
      <c r="AS532" s="103"/>
      <c r="AT532" s="103"/>
      <c r="AU532" s="103"/>
      <c r="AV532" s="31"/>
      <c r="AW532" s="31"/>
      <c r="AX532" s="31"/>
      <c r="AY532" s="146"/>
      <c r="AZ532" s="146"/>
      <c r="BA532" s="103"/>
      <c r="BB532" s="103"/>
      <c r="BC532" s="103"/>
      <c r="BD532" s="103"/>
      <c r="BE532" s="103"/>
      <c r="BF532" s="104"/>
      <c r="BG532" s="104"/>
      <c r="BH532" s="102"/>
      <c r="BI532" s="104"/>
      <c r="BJ532" s="103"/>
      <c r="BK532" s="105"/>
      <c r="BL532" s="152"/>
      <c r="BM532" s="103"/>
      <c r="BN532" s="103"/>
      <c r="BO532" s="103"/>
      <c r="BP532" s="103"/>
      <c r="BQ532" s="103"/>
      <c r="BR532" s="103"/>
      <c r="BS532" s="103"/>
      <c r="BT532" s="103"/>
      <c r="BU532" s="103"/>
      <c r="BV532" s="103"/>
      <c r="BW532" s="103"/>
      <c r="BX532" s="103"/>
      <c r="BY532" s="103"/>
      <c r="BZ532" s="104"/>
      <c r="CA532" s="104"/>
      <c r="CB532" s="104"/>
      <c r="CC532" s="104"/>
      <c r="CD532" s="104"/>
      <c r="CE532" s="104"/>
      <c r="CF532" s="103"/>
      <c r="CG532" s="103"/>
      <c r="CH532" s="103"/>
      <c r="CI532" s="103"/>
      <c r="CJ532" s="103"/>
      <c r="CK532" s="103"/>
      <c r="CL532" s="103"/>
      <c r="CM532" s="103"/>
      <c r="CN532" s="103"/>
      <c r="CO532" s="103"/>
      <c r="CP532" s="103"/>
      <c r="CQ532" s="103"/>
      <c r="CR532" s="103"/>
      <c r="CS532" s="103"/>
      <c r="CT532" s="103"/>
      <c r="CU532" s="103"/>
      <c r="CV532" s="103"/>
      <c r="CW532" s="103"/>
      <c r="CX532" s="103"/>
      <c r="CY532" s="103"/>
      <c r="CZ532" s="103"/>
      <c r="DA532" s="103"/>
      <c r="DB532" s="103"/>
      <c r="DC532" s="103"/>
      <c r="DD532" s="103"/>
      <c r="DE532" s="133"/>
      <c r="DF532" s="133"/>
      <c r="DG532" s="1"/>
      <c r="DH532" s="53"/>
      <c r="DI532" s="51"/>
      <c r="DJ532" s="52"/>
      <c r="DK532" s="52"/>
      <c r="DL532" s="52"/>
      <c r="DM532" s="52"/>
      <c r="DN532" s="52"/>
      <c r="DO532" s="52"/>
      <c r="DP532" s="52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P532" s="53"/>
      <c r="EQ532" s="1"/>
      <c r="ER532" s="102"/>
      <c r="ES532" s="103"/>
      <c r="ET532" s="1"/>
      <c r="EU532" s="103"/>
      <c r="EV532" s="1"/>
      <c r="EW532" s="1"/>
      <c r="EX532" s="1"/>
      <c r="EY532" s="102"/>
    </row>
    <row r="533" spans="9:155">
      <c r="I533" s="132"/>
      <c r="J533" s="133"/>
      <c r="K533" s="1"/>
      <c r="L533" s="1"/>
      <c r="S533" s="53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03"/>
      <c r="AQ533" s="1"/>
      <c r="AR533" s="103"/>
      <c r="AS533" s="103"/>
      <c r="AT533" s="103"/>
      <c r="AU533" s="103"/>
      <c r="AV533" s="31"/>
      <c r="AW533" s="31"/>
      <c r="AX533" s="31"/>
      <c r="AY533" s="146"/>
      <c r="AZ533" s="146"/>
      <c r="BA533" s="103"/>
      <c r="BB533" s="103"/>
      <c r="BC533" s="103"/>
      <c r="BD533" s="103"/>
      <c r="BE533" s="103"/>
      <c r="BF533" s="104"/>
      <c r="BG533" s="104"/>
      <c r="BH533" s="102"/>
      <c r="BI533" s="104"/>
      <c r="BJ533" s="103"/>
      <c r="BK533" s="105"/>
      <c r="BL533" s="152"/>
      <c r="BM533" s="103"/>
      <c r="BN533" s="103"/>
      <c r="BO533" s="103"/>
      <c r="BP533" s="103"/>
      <c r="BQ533" s="103"/>
      <c r="BR533" s="103"/>
      <c r="BS533" s="103"/>
      <c r="BT533" s="103"/>
      <c r="BU533" s="103"/>
      <c r="BV533" s="103"/>
      <c r="BW533" s="103"/>
      <c r="BX533" s="103"/>
      <c r="BY533" s="103"/>
      <c r="BZ533" s="104"/>
      <c r="CA533" s="104"/>
      <c r="CB533" s="104"/>
      <c r="CC533" s="104"/>
      <c r="CD533" s="104"/>
      <c r="CE533" s="104"/>
      <c r="CF533" s="103"/>
      <c r="CG533" s="103"/>
      <c r="CH533" s="103"/>
      <c r="CI533" s="103"/>
      <c r="CJ533" s="103"/>
      <c r="CK533" s="103"/>
      <c r="CL533" s="103"/>
      <c r="CM533" s="103"/>
      <c r="CN533" s="103"/>
      <c r="CO533" s="103"/>
      <c r="CP533" s="103"/>
      <c r="CQ533" s="103"/>
      <c r="CR533" s="103"/>
      <c r="CS533" s="103"/>
      <c r="CT533" s="103"/>
      <c r="CU533" s="103"/>
      <c r="CV533" s="103"/>
      <c r="CW533" s="103"/>
      <c r="CX533" s="103"/>
      <c r="CY533" s="103"/>
      <c r="CZ533" s="103"/>
      <c r="DA533" s="103"/>
      <c r="DB533" s="103"/>
      <c r="DC533" s="103"/>
      <c r="DD533" s="103"/>
      <c r="DE533" s="133"/>
      <c r="DF533" s="133"/>
      <c r="DG533" s="1"/>
      <c r="DH533" s="53"/>
      <c r="DI533" s="51"/>
      <c r="DJ533" s="52"/>
      <c r="DK533" s="52"/>
      <c r="DL533" s="52"/>
      <c r="DM533" s="52"/>
      <c r="DN533" s="52"/>
      <c r="DO533" s="52"/>
      <c r="DP533" s="52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P533" s="53"/>
      <c r="EQ533" s="1"/>
      <c r="ER533" s="102"/>
      <c r="ES533" s="103"/>
      <c r="ET533" s="1"/>
      <c r="EU533" s="103"/>
      <c r="EV533" s="1"/>
      <c r="EW533" s="1"/>
      <c r="EX533" s="1"/>
      <c r="EY533" s="102"/>
    </row>
    <row r="534" spans="9:155">
      <c r="I534" s="132"/>
      <c r="J534" s="133"/>
      <c r="K534" s="1"/>
      <c r="L534" s="1"/>
      <c r="S534" s="53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03"/>
      <c r="AQ534" s="1"/>
      <c r="AR534" s="103"/>
      <c r="AS534" s="103"/>
      <c r="AT534" s="103"/>
      <c r="AU534" s="103"/>
      <c r="AV534" s="31"/>
      <c r="AW534" s="31"/>
      <c r="AX534" s="31"/>
      <c r="AY534" s="146"/>
      <c r="AZ534" s="146"/>
      <c r="BA534" s="103"/>
      <c r="BB534" s="103"/>
      <c r="BC534" s="103"/>
      <c r="BD534" s="103"/>
      <c r="BE534" s="103"/>
      <c r="BF534" s="104"/>
      <c r="BG534" s="104"/>
      <c r="BH534" s="102"/>
      <c r="BI534" s="104"/>
      <c r="BJ534" s="103"/>
      <c r="BK534" s="105"/>
      <c r="BL534" s="152"/>
      <c r="BM534" s="103"/>
      <c r="BN534" s="103"/>
      <c r="BO534" s="103"/>
      <c r="BP534" s="103"/>
      <c r="BQ534" s="103"/>
      <c r="BR534" s="103"/>
      <c r="BS534" s="103"/>
      <c r="BT534" s="103"/>
      <c r="BU534" s="103"/>
      <c r="BV534" s="103"/>
      <c r="BW534" s="103"/>
      <c r="BX534" s="103"/>
      <c r="BY534" s="103"/>
      <c r="BZ534" s="104"/>
      <c r="CA534" s="104"/>
      <c r="CB534" s="104"/>
      <c r="CC534" s="104"/>
      <c r="CD534" s="104"/>
      <c r="CE534" s="104"/>
      <c r="CF534" s="103"/>
      <c r="CG534" s="103"/>
      <c r="CH534" s="103"/>
      <c r="CI534" s="103"/>
      <c r="CJ534" s="103"/>
      <c r="CK534" s="103"/>
      <c r="CL534" s="103"/>
      <c r="CM534" s="103"/>
      <c r="CN534" s="103"/>
      <c r="CO534" s="103"/>
      <c r="CP534" s="103"/>
      <c r="CQ534" s="103"/>
      <c r="CR534" s="103"/>
      <c r="CS534" s="103"/>
      <c r="CT534" s="103"/>
      <c r="CU534" s="103"/>
      <c r="CV534" s="103"/>
      <c r="CW534" s="103"/>
      <c r="CX534" s="103"/>
      <c r="CY534" s="103"/>
      <c r="CZ534" s="103"/>
      <c r="DA534" s="103"/>
      <c r="DB534" s="103"/>
      <c r="DC534" s="103"/>
      <c r="DD534" s="103"/>
      <c r="DE534" s="133"/>
      <c r="DF534" s="133"/>
      <c r="DG534" s="1"/>
      <c r="DH534" s="53"/>
      <c r="DI534" s="51"/>
      <c r="DJ534" s="52"/>
      <c r="DK534" s="52"/>
      <c r="DL534" s="52"/>
      <c r="DM534" s="52"/>
      <c r="DN534" s="52"/>
      <c r="DO534" s="52"/>
      <c r="DP534" s="52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P534" s="53"/>
      <c r="EQ534" s="1"/>
      <c r="ER534" s="102"/>
      <c r="ES534" s="103"/>
      <c r="ET534" s="1"/>
      <c r="EU534" s="103"/>
      <c r="EV534" s="1"/>
      <c r="EW534" s="1"/>
      <c r="EX534" s="1"/>
      <c r="EY534" s="102"/>
    </row>
    <row r="535" spans="9:155">
      <c r="I535" s="132"/>
      <c r="J535" s="133"/>
      <c r="K535" s="1"/>
      <c r="L535" s="1"/>
      <c r="S535" s="53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03"/>
      <c r="AQ535" s="1"/>
      <c r="AR535" s="103"/>
      <c r="AS535" s="103"/>
      <c r="AT535" s="103"/>
      <c r="AU535" s="103"/>
      <c r="AV535" s="31"/>
      <c r="AW535" s="31"/>
      <c r="AX535" s="31"/>
      <c r="AY535" s="146"/>
      <c r="AZ535" s="146"/>
      <c r="BA535" s="103"/>
      <c r="BB535" s="103"/>
      <c r="BC535" s="103"/>
      <c r="BD535" s="103"/>
      <c r="BE535" s="103"/>
      <c r="BF535" s="104"/>
      <c r="BG535" s="104"/>
      <c r="BH535" s="102"/>
      <c r="BI535" s="104"/>
      <c r="BJ535" s="103"/>
      <c r="BK535" s="105"/>
      <c r="BL535" s="152"/>
      <c r="BM535" s="103"/>
      <c r="BN535" s="103"/>
      <c r="BO535" s="103"/>
      <c r="BP535" s="103"/>
      <c r="BQ535" s="103"/>
      <c r="BR535" s="103"/>
      <c r="BS535" s="103"/>
      <c r="BT535" s="103"/>
      <c r="BU535" s="103"/>
      <c r="BV535" s="103"/>
      <c r="BW535" s="103"/>
      <c r="BX535" s="103"/>
      <c r="BY535" s="103"/>
      <c r="BZ535" s="104"/>
      <c r="CA535" s="104"/>
      <c r="CB535" s="104"/>
      <c r="CC535" s="104"/>
      <c r="CD535" s="104"/>
      <c r="CE535" s="104"/>
      <c r="CF535" s="103"/>
      <c r="CG535" s="103"/>
      <c r="CH535" s="103"/>
      <c r="CI535" s="103"/>
      <c r="CJ535" s="103"/>
      <c r="CK535" s="103"/>
      <c r="CL535" s="103"/>
      <c r="CM535" s="103"/>
      <c r="CN535" s="103"/>
      <c r="CO535" s="103"/>
      <c r="CP535" s="103"/>
      <c r="CQ535" s="103"/>
      <c r="CR535" s="103"/>
      <c r="CS535" s="103"/>
      <c r="CT535" s="103"/>
      <c r="CU535" s="103"/>
      <c r="CV535" s="103"/>
      <c r="CW535" s="103"/>
      <c r="CX535" s="103"/>
      <c r="CY535" s="103"/>
      <c r="CZ535" s="103"/>
      <c r="DA535" s="103"/>
      <c r="DB535" s="103"/>
      <c r="DC535" s="103"/>
      <c r="DD535" s="103"/>
      <c r="DE535" s="133"/>
      <c r="DF535" s="133"/>
      <c r="DG535" s="1"/>
      <c r="DH535" s="53"/>
      <c r="DI535" s="51"/>
      <c r="DJ535" s="52"/>
      <c r="DK535" s="52"/>
      <c r="DL535" s="52"/>
      <c r="DM535" s="52"/>
      <c r="DN535" s="52"/>
      <c r="DO535" s="52"/>
      <c r="DP535" s="52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P535" s="53"/>
      <c r="EQ535" s="1"/>
      <c r="ER535" s="102"/>
      <c r="ES535" s="103"/>
      <c r="ET535" s="1"/>
      <c r="EU535" s="103"/>
      <c r="EV535" s="1"/>
      <c r="EW535" s="1"/>
      <c r="EX535" s="1"/>
      <c r="EY535" s="102"/>
    </row>
    <row r="536" spans="9:155">
      <c r="I536" s="132"/>
      <c r="J536" s="133"/>
      <c r="K536" s="1"/>
      <c r="L536" s="1"/>
      <c r="S536" s="53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03"/>
      <c r="AQ536" s="1"/>
      <c r="AR536" s="103"/>
      <c r="AS536" s="103"/>
      <c r="AT536" s="103"/>
      <c r="AU536" s="103"/>
      <c r="AV536" s="31"/>
      <c r="AW536" s="31"/>
      <c r="AX536" s="31"/>
      <c r="AY536" s="146"/>
      <c r="AZ536" s="146"/>
      <c r="BA536" s="103"/>
      <c r="BB536" s="103"/>
      <c r="BC536" s="103"/>
      <c r="BD536" s="103"/>
      <c r="BE536" s="103"/>
      <c r="BF536" s="104"/>
      <c r="BG536" s="104"/>
      <c r="BH536" s="102"/>
      <c r="BI536" s="104"/>
      <c r="BJ536" s="103"/>
      <c r="BK536" s="105"/>
      <c r="BL536" s="152"/>
      <c r="BM536" s="103"/>
      <c r="BN536" s="103"/>
      <c r="BO536" s="103"/>
      <c r="BP536" s="103"/>
      <c r="BQ536" s="103"/>
      <c r="BR536" s="103"/>
      <c r="BS536" s="103"/>
      <c r="BT536" s="103"/>
      <c r="BU536" s="103"/>
      <c r="BV536" s="103"/>
      <c r="BW536" s="103"/>
      <c r="BX536" s="103"/>
      <c r="BY536" s="103"/>
      <c r="BZ536" s="104"/>
      <c r="CA536" s="104"/>
      <c r="CB536" s="104"/>
      <c r="CC536" s="104"/>
      <c r="CD536" s="104"/>
      <c r="CE536" s="104"/>
      <c r="CF536" s="103"/>
      <c r="CG536" s="103"/>
      <c r="CH536" s="103"/>
      <c r="CI536" s="103"/>
      <c r="CJ536" s="103"/>
      <c r="CK536" s="103"/>
      <c r="CL536" s="103"/>
      <c r="CM536" s="103"/>
      <c r="CN536" s="103"/>
      <c r="CO536" s="103"/>
      <c r="CP536" s="103"/>
      <c r="CQ536" s="103"/>
      <c r="CR536" s="103"/>
      <c r="CS536" s="103"/>
      <c r="CT536" s="103"/>
      <c r="CU536" s="103"/>
      <c r="CV536" s="103"/>
      <c r="CW536" s="103"/>
      <c r="CX536" s="103"/>
      <c r="CY536" s="103"/>
      <c r="CZ536" s="103"/>
      <c r="DA536" s="103"/>
      <c r="DB536" s="103"/>
      <c r="DC536" s="103"/>
      <c r="DD536" s="103"/>
      <c r="DE536" s="133"/>
      <c r="DF536" s="133"/>
      <c r="DG536" s="1"/>
      <c r="DH536" s="53"/>
      <c r="DI536" s="51"/>
      <c r="DJ536" s="52"/>
      <c r="DK536" s="52"/>
      <c r="DL536" s="52"/>
      <c r="DM536" s="52"/>
      <c r="DN536" s="52"/>
      <c r="DO536" s="52"/>
      <c r="DP536" s="52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P536" s="53"/>
      <c r="EQ536" s="1"/>
      <c r="ER536" s="102"/>
      <c r="ES536" s="103"/>
      <c r="ET536" s="1"/>
      <c r="EU536" s="103"/>
      <c r="EV536" s="1"/>
      <c r="EW536" s="1"/>
      <c r="EX536" s="1"/>
      <c r="EY536" s="102"/>
    </row>
    <row r="537" spans="9:155">
      <c r="I537" s="132"/>
      <c r="J537" s="133"/>
      <c r="K537" s="1"/>
      <c r="L537" s="1"/>
      <c r="S537" s="53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03"/>
      <c r="AQ537" s="1"/>
      <c r="AR537" s="103"/>
      <c r="AS537" s="103"/>
      <c r="AT537" s="103"/>
      <c r="AU537" s="103"/>
      <c r="AV537" s="31"/>
      <c r="AW537" s="31"/>
      <c r="AX537" s="31"/>
      <c r="AY537" s="146"/>
      <c r="AZ537" s="146"/>
      <c r="BA537" s="103"/>
      <c r="BB537" s="103"/>
      <c r="BC537" s="103"/>
      <c r="BD537" s="103"/>
      <c r="BE537" s="103"/>
      <c r="BF537" s="104"/>
      <c r="BG537" s="104"/>
      <c r="BH537" s="102"/>
      <c r="BI537" s="104"/>
      <c r="BJ537" s="103"/>
      <c r="BK537" s="105"/>
      <c r="BL537" s="152"/>
      <c r="BM537" s="103"/>
      <c r="BN537" s="103"/>
      <c r="BO537" s="103"/>
      <c r="BP537" s="103"/>
      <c r="BQ537" s="103"/>
      <c r="BR537" s="103"/>
      <c r="BS537" s="103"/>
      <c r="BT537" s="103"/>
      <c r="BU537" s="103"/>
      <c r="BV537" s="103"/>
      <c r="BW537" s="103"/>
      <c r="BX537" s="103"/>
      <c r="BY537" s="103"/>
      <c r="BZ537" s="104"/>
      <c r="CA537" s="104"/>
      <c r="CB537" s="104"/>
      <c r="CC537" s="104"/>
      <c r="CD537" s="104"/>
      <c r="CE537" s="104"/>
      <c r="CF537" s="103"/>
      <c r="CG537" s="103"/>
      <c r="CH537" s="103"/>
      <c r="CI537" s="103"/>
      <c r="CJ537" s="103"/>
      <c r="CK537" s="103"/>
      <c r="CL537" s="103"/>
      <c r="CM537" s="103"/>
      <c r="CN537" s="103"/>
      <c r="CO537" s="103"/>
      <c r="CP537" s="103"/>
      <c r="CQ537" s="103"/>
      <c r="CR537" s="103"/>
      <c r="CS537" s="103"/>
      <c r="CT537" s="103"/>
      <c r="CU537" s="103"/>
      <c r="CV537" s="103"/>
      <c r="CW537" s="103"/>
      <c r="CX537" s="103"/>
      <c r="CY537" s="103"/>
      <c r="CZ537" s="103"/>
      <c r="DA537" s="103"/>
      <c r="DB537" s="103"/>
      <c r="DC537" s="103"/>
      <c r="DD537" s="103"/>
      <c r="DE537" s="133"/>
      <c r="DF537" s="133"/>
      <c r="DG537" s="1"/>
      <c r="DH537" s="53"/>
      <c r="DI537" s="51"/>
      <c r="DJ537" s="52"/>
      <c r="DK537" s="52"/>
      <c r="DL537" s="52"/>
      <c r="DM537" s="52"/>
      <c r="DN537" s="52"/>
      <c r="DO537" s="52"/>
      <c r="DP537" s="52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P537" s="53"/>
      <c r="EQ537" s="1"/>
      <c r="ER537" s="102"/>
      <c r="ES537" s="103"/>
      <c r="ET537" s="1"/>
      <c r="EU537" s="103"/>
      <c r="EV537" s="1"/>
      <c r="EW537" s="1"/>
      <c r="EX537" s="1"/>
      <c r="EY537" s="102"/>
    </row>
    <row r="538" spans="9:155">
      <c r="I538" s="132"/>
      <c r="J538" s="133"/>
      <c r="K538" s="1"/>
      <c r="L538" s="1"/>
      <c r="S538" s="53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03"/>
      <c r="AQ538" s="1"/>
      <c r="AR538" s="103"/>
      <c r="AS538" s="103"/>
      <c r="AT538" s="103"/>
      <c r="AU538" s="103"/>
      <c r="AV538" s="31"/>
      <c r="AW538" s="31"/>
      <c r="AX538" s="31"/>
      <c r="AY538" s="146"/>
      <c r="AZ538" s="146"/>
      <c r="BA538" s="103"/>
      <c r="BB538" s="103"/>
      <c r="BC538" s="103"/>
      <c r="BD538" s="103"/>
      <c r="BE538" s="103"/>
      <c r="BF538" s="104"/>
      <c r="BG538" s="104"/>
      <c r="BH538" s="102"/>
      <c r="BI538" s="104"/>
      <c r="BJ538" s="103"/>
      <c r="BK538" s="105"/>
      <c r="BL538" s="152"/>
      <c r="BM538" s="103"/>
      <c r="BN538" s="103"/>
      <c r="BO538" s="103"/>
      <c r="BP538" s="103"/>
      <c r="BQ538" s="103"/>
      <c r="BR538" s="103"/>
      <c r="BS538" s="103"/>
      <c r="BT538" s="103"/>
      <c r="BU538" s="103"/>
      <c r="BV538" s="103"/>
      <c r="BW538" s="103"/>
      <c r="BX538" s="103"/>
      <c r="BY538" s="103"/>
      <c r="BZ538" s="104"/>
      <c r="CA538" s="104"/>
      <c r="CB538" s="104"/>
      <c r="CC538" s="104"/>
      <c r="CD538" s="104"/>
      <c r="CE538" s="104"/>
      <c r="CF538" s="103"/>
      <c r="CG538" s="103"/>
      <c r="CH538" s="103"/>
      <c r="CI538" s="103"/>
      <c r="CJ538" s="103"/>
      <c r="CK538" s="103"/>
      <c r="CL538" s="103"/>
      <c r="CM538" s="103"/>
      <c r="CN538" s="103"/>
      <c r="CO538" s="103"/>
      <c r="CP538" s="103"/>
      <c r="CQ538" s="103"/>
      <c r="CR538" s="103"/>
      <c r="CS538" s="103"/>
      <c r="CT538" s="103"/>
      <c r="CU538" s="103"/>
      <c r="CV538" s="103"/>
      <c r="CW538" s="103"/>
      <c r="CX538" s="103"/>
      <c r="CY538" s="103"/>
      <c r="CZ538" s="103"/>
      <c r="DA538" s="103"/>
      <c r="DB538" s="103"/>
      <c r="DC538" s="103"/>
      <c r="DD538" s="103"/>
      <c r="DE538" s="133"/>
      <c r="DF538" s="133"/>
      <c r="DG538" s="1"/>
      <c r="DH538" s="53"/>
      <c r="DI538" s="51"/>
      <c r="DJ538" s="52"/>
      <c r="DK538" s="52"/>
      <c r="DL538" s="52"/>
      <c r="DM538" s="52"/>
      <c r="DN538" s="52"/>
      <c r="DO538" s="52"/>
      <c r="DP538" s="52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P538" s="53"/>
      <c r="EQ538" s="1"/>
      <c r="ER538" s="102"/>
      <c r="ES538" s="103"/>
      <c r="ET538" s="1"/>
      <c r="EU538" s="103"/>
      <c r="EV538" s="1"/>
      <c r="EW538" s="1"/>
      <c r="EX538" s="1"/>
      <c r="EY538" s="102"/>
    </row>
    <row r="539" spans="9:155">
      <c r="I539" s="132"/>
      <c r="J539" s="133"/>
      <c r="K539" s="1"/>
      <c r="L539" s="1"/>
      <c r="S539" s="53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03"/>
      <c r="AQ539" s="1"/>
      <c r="AR539" s="103"/>
      <c r="AS539" s="103"/>
      <c r="AT539" s="103"/>
      <c r="AU539" s="103"/>
      <c r="AV539" s="31"/>
      <c r="AW539" s="31"/>
      <c r="AX539" s="31"/>
      <c r="AY539" s="146"/>
      <c r="AZ539" s="146"/>
      <c r="BA539" s="103"/>
      <c r="BB539" s="103"/>
      <c r="BC539" s="103"/>
      <c r="BD539" s="103"/>
      <c r="BE539" s="103"/>
      <c r="BF539" s="104"/>
      <c r="BG539" s="104"/>
      <c r="BH539" s="102"/>
      <c r="BI539" s="104"/>
      <c r="BJ539" s="103"/>
      <c r="BK539" s="105"/>
      <c r="BL539" s="152"/>
      <c r="BM539" s="103"/>
      <c r="BN539" s="103"/>
      <c r="BO539" s="103"/>
      <c r="BP539" s="103"/>
      <c r="BQ539" s="103"/>
      <c r="BR539" s="103"/>
      <c r="BS539" s="103"/>
      <c r="BT539" s="103"/>
      <c r="BU539" s="103"/>
      <c r="BV539" s="103"/>
      <c r="BW539" s="103"/>
      <c r="BX539" s="103"/>
      <c r="BY539" s="103"/>
      <c r="BZ539" s="104"/>
      <c r="CA539" s="104"/>
      <c r="CB539" s="104"/>
      <c r="CC539" s="104"/>
      <c r="CD539" s="104"/>
      <c r="CE539" s="104"/>
      <c r="CF539" s="103"/>
      <c r="CG539" s="103"/>
      <c r="CH539" s="103"/>
      <c r="CI539" s="103"/>
      <c r="CJ539" s="103"/>
      <c r="CK539" s="103"/>
      <c r="CL539" s="103"/>
      <c r="CM539" s="103"/>
      <c r="CN539" s="103"/>
      <c r="CO539" s="103"/>
      <c r="CP539" s="103"/>
      <c r="CQ539" s="103"/>
      <c r="CR539" s="103"/>
      <c r="CS539" s="103"/>
      <c r="CT539" s="103"/>
      <c r="CU539" s="103"/>
      <c r="CV539" s="103"/>
      <c r="CW539" s="103"/>
      <c r="CX539" s="103"/>
      <c r="CY539" s="103"/>
      <c r="CZ539" s="103"/>
      <c r="DA539" s="103"/>
      <c r="DB539" s="103"/>
      <c r="DC539" s="103"/>
      <c r="DD539" s="103"/>
      <c r="DE539" s="133"/>
      <c r="DF539" s="133"/>
      <c r="DG539" s="1"/>
      <c r="DH539" s="53"/>
      <c r="DI539" s="51"/>
      <c r="DJ539" s="52"/>
      <c r="DK539" s="52"/>
      <c r="DL539" s="52"/>
      <c r="DM539" s="52"/>
      <c r="DN539" s="52"/>
      <c r="DO539" s="52"/>
      <c r="DP539" s="52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P539" s="53"/>
      <c r="EQ539" s="1"/>
      <c r="ER539" s="102"/>
      <c r="ES539" s="103"/>
      <c r="ET539" s="1"/>
      <c r="EU539" s="103"/>
      <c r="EV539" s="1"/>
      <c r="EW539" s="1"/>
      <c r="EX539" s="1"/>
      <c r="EY539" s="102"/>
    </row>
    <row r="540" spans="9:155">
      <c r="I540" s="132"/>
      <c r="J540" s="133"/>
      <c r="K540" s="1"/>
      <c r="L540" s="1"/>
      <c r="S540" s="53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03"/>
      <c r="AQ540" s="1"/>
      <c r="AR540" s="103"/>
      <c r="AS540" s="103"/>
      <c r="AT540" s="103"/>
      <c r="AU540" s="103"/>
      <c r="AV540" s="31"/>
      <c r="AW540" s="31"/>
      <c r="AX540" s="31"/>
      <c r="AY540" s="146"/>
      <c r="AZ540" s="146"/>
      <c r="BA540" s="103"/>
      <c r="BB540" s="103"/>
      <c r="BC540" s="103"/>
      <c r="BD540" s="103"/>
      <c r="BE540" s="103"/>
      <c r="BF540" s="104"/>
      <c r="BG540" s="104"/>
      <c r="BH540" s="102"/>
      <c r="BI540" s="104"/>
      <c r="BJ540" s="103"/>
      <c r="BK540" s="105"/>
      <c r="BL540" s="152"/>
      <c r="BM540" s="103"/>
      <c r="BN540" s="103"/>
      <c r="BO540" s="103"/>
      <c r="BP540" s="103"/>
      <c r="BQ540" s="103"/>
      <c r="BR540" s="103"/>
      <c r="BS540" s="103"/>
      <c r="BT540" s="103"/>
      <c r="BU540" s="103"/>
      <c r="BV540" s="103"/>
      <c r="BW540" s="103"/>
      <c r="BX540" s="103"/>
      <c r="BY540" s="103"/>
      <c r="BZ540" s="104"/>
      <c r="CA540" s="104"/>
      <c r="CB540" s="104"/>
      <c r="CC540" s="104"/>
      <c r="CD540" s="104"/>
      <c r="CE540" s="104"/>
      <c r="CF540" s="103"/>
      <c r="CG540" s="103"/>
      <c r="CH540" s="103"/>
      <c r="CI540" s="103"/>
      <c r="CJ540" s="103"/>
      <c r="CK540" s="103"/>
      <c r="CL540" s="103"/>
      <c r="CM540" s="103"/>
      <c r="CN540" s="103"/>
      <c r="CO540" s="103"/>
      <c r="CP540" s="103"/>
      <c r="CQ540" s="103"/>
      <c r="CR540" s="103"/>
      <c r="CS540" s="103"/>
      <c r="CT540" s="103"/>
      <c r="CU540" s="103"/>
      <c r="CV540" s="103"/>
      <c r="CW540" s="103"/>
      <c r="CX540" s="103"/>
      <c r="CY540" s="103"/>
      <c r="CZ540" s="103"/>
      <c r="DA540" s="103"/>
      <c r="DB540" s="103"/>
      <c r="DC540" s="103"/>
      <c r="DD540" s="103"/>
      <c r="DE540" s="133"/>
      <c r="DF540" s="133"/>
      <c r="DG540" s="1"/>
      <c r="DH540" s="53"/>
      <c r="DI540" s="51"/>
      <c r="DJ540" s="52"/>
      <c r="DK540" s="52"/>
      <c r="DL540" s="52"/>
      <c r="DM540" s="52"/>
      <c r="DN540" s="52"/>
      <c r="DO540" s="52"/>
      <c r="DP540" s="52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P540" s="53"/>
      <c r="EQ540" s="1"/>
      <c r="ER540" s="102"/>
      <c r="ES540" s="103"/>
      <c r="ET540" s="1"/>
      <c r="EU540" s="103"/>
      <c r="EV540" s="1"/>
      <c r="EW540" s="1"/>
      <c r="EX540" s="1"/>
      <c r="EY540" s="102"/>
    </row>
    <row r="541" spans="9:155">
      <c r="I541" s="132"/>
      <c r="J541" s="133"/>
      <c r="K541" s="1"/>
      <c r="L541" s="1"/>
      <c r="S541" s="53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03"/>
      <c r="AQ541" s="1"/>
      <c r="AR541" s="103"/>
      <c r="AS541" s="103"/>
      <c r="AT541" s="103"/>
      <c r="AU541" s="103"/>
      <c r="AV541" s="31"/>
      <c r="AW541" s="31"/>
      <c r="AX541" s="31"/>
      <c r="AY541" s="146"/>
      <c r="AZ541" s="146"/>
      <c r="BA541" s="103"/>
      <c r="BB541" s="103"/>
      <c r="BC541" s="103"/>
      <c r="BD541" s="103"/>
      <c r="BE541" s="103"/>
      <c r="BF541" s="104"/>
      <c r="BG541" s="104"/>
      <c r="BH541" s="102"/>
      <c r="BI541" s="104"/>
      <c r="BJ541" s="103"/>
      <c r="BK541" s="105"/>
      <c r="BL541" s="152"/>
      <c r="BM541" s="103"/>
      <c r="BN541" s="103"/>
      <c r="BO541" s="103"/>
      <c r="BP541" s="103"/>
      <c r="BQ541" s="103"/>
      <c r="BR541" s="103"/>
      <c r="BS541" s="103"/>
      <c r="BT541" s="103"/>
      <c r="BU541" s="103"/>
      <c r="BV541" s="103"/>
      <c r="BW541" s="103"/>
      <c r="BX541" s="103"/>
      <c r="BY541" s="103"/>
      <c r="BZ541" s="104"/>
      <c r="CA541" s="104"/>
      <c r="CB541" s="104"/>
      <c r="CC541" s="104"/>
      <c r="CD541" s="104"/>
      <c r="CE541" s="104"/>
      <c r="CF541" s="103"/>
      <c r="CG541" s="103"/>
      <c r="CH541" s="103"/>
      <c r="CI541" s="103"/>
      <c r="CJ541" s="103"/>
      <c r="CK541" s="103"/>
      <c r="CL541" s="103"/>
      <c r="CM541" s="103"/>
      <c r="CN541" s="103"/>
      <c r="CO541" s="103"/>
      <c r="CP541" s="103"/>
      <c r="CQ541" s="103"/>
      <c r="CR541" s="103"/>
      <c r="CS541" s="103"/>
      <c r="CT541" s="103"/>
      <c r="CU541" s="103"/>
      <c r="CV541" s="103"/>
      <c r="CW541" s="103"/>
      <c r="CX541" s="103"/>
      <c r="CY541" s="103"/>
      <c r="CZ541" s="103"/>
      <c r="DA541" s="103"/>
      <c r="DB541" s="103"/>
      <c r="DC541" s="103"/>
      <c r="DD541" s="103"/>
      <c r="DE541" s="133"/>
      <c r="DF541" s="133"/>
      <c r="DG541" s="1"/>
      <c r="DH541" s="53"/>
      <c r="DI541" s="51"/>
      <c r="DJ541" s="52"/>
      <c r="DK541" s="52"/>
      <c r="DL541" s="52"/>
      <c r="DM541" s="52"/>
      <c r="DN541" s="52"/>
      <c r="DO541" s="52"/>
      <c r="DP541" s="52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P541" s="53"/>
      <c r="EQ541" s="1"/>
      <c r="ER541" s="102"/>
      <c r="ES541" s="103"/>
      <c r="ET541" s="1"/>
      <c r="EU541" s="103"/>
      <c r="EV541" s="1"/>
      <c r="EW541" s="1"/>
      <c r="EX541" s="1"/>
      <c r="EY541" s="102"/>
    </row>
    <row r="542" spans="9:155">
      <c r="I542" s="132"/>
      <c r="J542" s="133"/>
      <c r="K542" s="1"/>
      <c r="L542" s="1"/>
      <c r="S542" s="53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03"/>
      <c r="AQ542" s="1"/>
      <c r="AR542" s="103"/>
      <c r="AS542" s="103"/>
      <c r="AT542" s="103"/>
      <c r="AU542" s="103"/>
      <c r="AV542" s="31"/>
      <c r="AW542" s="31"/>
      <c r="AX542" s="31"/>
      <c r="AY542" s="146"/>
      <c r="AZ542" s="146"/>
      <c r="BA542" s="103"/>
      <c r="BB542" s="103"/>
      <c r="BC542" s="103"/>
      <c r="BD542" s="103"/>
      <c r="BE542" s="103"/>
      <c r="BF542" s="104"/>
      <c r="BG542" s="104"/>
      <c r="BH542" s="102"/>
      <c r="BI542" s="104"/>
      <c r="BJ542" s="103"/>
      <c r="BK542" s="105"/>
      <c r="BL542" s="152"/>
      <c r="BM542" s="103"/>
      <c r="BN542" s="103"/>
      <c r="BO542" s="103"/>
      <c r="BP542" s="103"/>
      <c r="BQ542" s="103"/>
      <c r="BR542" s="103"/>
      <c r="BS542" s="103"/>
      <c r="BT542" s="103"/>
      <c r="BU542" s="103"/>
      <c r="BV542" s="103"/>
      <c r="BW542" s="103"/>
      <c r="BX542" s="103"/>
      <c r="BY542" s="103"/>
      <c r="BZ542" s="104"/>
      <c r="CA542" s="104"/>
      <c r="CB542" s="104"/>
      <c r="CC542" s="104"/>
      <c r="CD542" s="104"/>
      <c r="CE542" s="104"/>
      <c r="CF542" s="103"/>
      <c r="CG542" s="103"/>
      <c r="CH542" s="103"/>
      <c r="CI542" s="103"/>
      <c r="CJ542" s="103"/>
      <c r="CK542" s="103"/>
      <c r="CL542" s="103"/>
      <c r="CM542" s="103"/>
      <c r="CN542" s="103"/>
      <c r="CO542" s="103"/>
      <c r="CP542" s="103"/>
      <c r="CQ542" s="103"/>
      <c r="CR542" s="103"/>
      <c r="CS542" s="103"/>
      <c r="CT542" s="103"/>
      <c r="CU542" s="103"/>
      <c r="CV542" s="103"/>
      <c r="CW542" s="103"/>
      <c r="CX542" s="103"/>
      <c r="CY542" s="103"/>
      <c r="CZ542" s="103"/>
      <c r="DA542" s="103"/>
      <c r="DB542" s="103"/>
      <c r="DC542" s="103"/>
      <c r="DD542" s="103"/>
      <c r="DE542" s="133"/>
      <c r="DF542" s="133"/>
      <c r="DG542" s="1"/>
      <c r="DH542" s="53"/>
      <c r="DI542" s="51"/>
      <c r="DJ542" s="52"/>
      <c r="DK542" s="52"/>
      <c r="DL542" s="52"/>
      <c r="DM542" s="52"/>
      <c r="DN542" s="52"/>
      <c r="DO542" s="52"/>
      <c r="DP542" s="52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P542" s="53"/>
      <c r="EQ542" s="1"/>
      <c r="ER542" s="102"/>
      <c r="ES542" s="103"/>
      <c r="ET542" s="1"/>
      <c r="EU542" s="103"/>
      <c r="EV542" s="1"/>
      <c r="EW542" s="1"/>
      <c r="EX542" s="1"/>
      <c r="EY542" s="102"/>
    </row>
    <row r="543" spans="9:155">
      <c r="I543" s="132"/>
      <c r="J543" s="133"/>
      <c r="K543" s="1"/>
      <c r="L543" s="1"/>
      <c r="S543" s="53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03"/>
      <c r="AQ543" s="1"/>
      <c r="AR543" s="103"/>
      <c r="AS543" s="103"/>
      <c r="AT543" s="103"/>
      <c r="AU543" s="103"/>
      <c r="AV543" s="31"/>
      <c r="AW543" s="31"/>
      <c r="AX543" s="31"/>
      <c r="AY543" s="146"/>
      <c r="AZ543" s="146"/>
      <c r="BA543" s="103"/>
      <c r="BB543" s="103"/>
      <c r="BC543" s="103"/>
      <c r="BD543" s="103"/>
      <c r="BE543" s="103"/>
      <c r="BF543" s="104"/>
      <c r="BG543" s="104"/>
      <c r="BH543" s="102"/>
      <c r="BI543" s="104"/>
      <c r="BJ543" s="103"/>
      <c r="BK543" s="105"/>
      <c r="BL543" s="152"/>
      <c r="BM543" s="103"/>
      <c r="BN543" s="103"/>
      <c r="BO543" s="103"/>
      <c r="BP543" s="103"/>
      <c r="BQ543" s="103"/>
      <c r="BR543" s="103"/>
      <c r="BS543" s="103"/>
      <c r="BT543" s="103"/>
      <c r="BU543" s="103"/>
      <c r="BV543" s="103"/>
      <c r="BW543" s="103"/>
      <c r="BX543" s="103"/>
      <c r="BY543" s="103"/>
      <c r="BZ543" s="104"/>
      <c r="CA543" s="104"/>
      <c r="CB543" s="104"/>
      <c r="CC543" s="104"/>
      <c r="CD543" s="104"/>
      <c r="CE543" s="104"/>
      <c r="CF543" s="103"/>
      <c r="CG543" s="103"/>
      <c r="CH543" s="103"/>
      <c r="CI543" s="103"/>
      <c r="CJ543" s="103"/>
      <c r="CK543" s="103"/>
      <c r="CL543" s="103"/>
      <c r="CM543" s="103"/>
      <c r="CN543" s="103"/>
      <c r="CO543" s="103"/>
      <c r="CP543" s="103"/>
      <c r="CQ543" s="103"/>
      <c r="CR543" s="103"/>
      <c r="CS543" s="103"/>
      <c r="CT543" s="103"/>
      <c r="CU543" s="103"/>
      <c r="CV543" s="103"/>
      <c r="CW543" s="103"/>
      <c r="CX543" s="103"/>
      <c r="CY543" s="103"/>
      <c r="CZ543" s="103"/>
      <c r="DA543" s="103"/>
      <c r="DB543" s="103"/>
      <c r="DC543" s="103"/>
      <c r="DD543" s="103"/>
      <c r="DE543" s="133"/>
      <c r="DF543" s="133"/>
      <c r="DG543" s="1"/>
      <c r="DH543" s="53"/>
      <c r="DI543" s="51"/>
      <c r="DJ543" s="52"/>
      <c r="DK543" s="52"/>
      <c r="DL543" s="52"/>
      <c r="DM543" s="52"/>
      <c r="DN543" s="52"/>
      <c r="DO543" s="52"/>
      <c r="DP543" s="52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P543" s="53"/>
      <c r="EQ543" s="1"/>
      <c r="ER543" s="102"/>
      <c r="ES543" s="103"/>
      <c r="ET543" s="1"/>
      <c r="EU543" s="103"/>
      <c r="EV543" s="1"/>
      <c r="EW543" s="1"/>
      <c r="EX543" s="1"/>
      <c r="EY543" s="102"/>
    </row>
    <row r="544" spans="9:155">
      <c r="I544" s="132"/>
      <c r="J544" s="133"/>
      <c r="K544" s="1"/>
      <c r="L544" s="1"/>
      <c r="S544" s="53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03"/>
      <c r="AQ544" s="1"/>
      <c r="AR544" s="103"/>
      <c r="AS544" s="103"/>
      <c r="AT544" s="103"/>
      <c r="AU544" s="103"/>
      <c r="AV544" s="31"/>
      <c r="AW544" s="31"/>
      <c r="AX544" s="31"/>
      <c r="AY544" s="146"/>
      <c r="AZ544" s="146"/>
      <c r="BA544" s="103"/>
      <c r="BB544" s="103"/>
      <c r="BC544" s="103"/>
      <c r="BD544" s="103"/>
      <c r="BE544" s="103"/>
      <c r="BF544" s="104"/>
      <c r="BG544" s="104"/>
      <c r="BH544" s="102"/>
      <c r="BI544" s="104"/>
      <c r="BJ544" s="103"/>
      <c r="BK544" s="105"/>
      <c r="BL544" s="152"/>
      <c r="BM544" s="103"/>
      <c r="BN544" s="103"/>
      <c r="BO544" s="103"/>
      <c r="BP544" s="103"/>
      <c r="BQ544" s="103"/>
      <c r="BR544" s="103"/>
      <c r="BS544" s="103"/>
      <c r="BT544" s="103"/>
      <c r="BU544" s="103"/>
      <c r="BV544" s="103"/>
      <c r="BW544" s="103"/>
      <c r="BX544" s="103"/>
      <c r="BY544" s="103"/>
      <c r="BZ544" s="104"/>
      <c r="CA544" s="104"/>
      <c r="CB544" s="104"/>
      <c r="CC544" s="104"/>
      <c r="CD544" s="104"/>
      <c r="CE544" s="104"/>
      <c r="CF544" s="103"/>
      <c r="CG544" s="103"/>
      <c r="CH544" s="103"/>
      <c r="CI544" s="103"/>
      <c r="CJ544" s="103"/>
      <c r="CK544" s="103"/>
      <c r="CL544" s="103"/>
      <c r="CM544" s="103"/>
      <c r="CN544" s="103"/>
      <c r="CO544" s="103"/>
      <c r="CP544" s="103"/>
      <c r="CQ544" s="103"/>
      <c r="CR544" s="103"/>
      <c r="CS544" s="103"/>
      <c r="CT544" s="103"/>
      <c r="CU544" s="103"/>
      <c r="CV544" s="103"/>
      <c r="CW544" s="103"/>
      <c r="CX544" s="103"/>
      <c r="CY544" s="103"/>
      <c r="CZ544" s="103"/>
      <c r="DA544" s="103"/>
      <c r="DB544" s="103"/>
      <c r="DC544" s="103"/>
      <c r="DD544" s="103"/>
      <c r="DE544" s="133"/>
      <c r="DF544" s="133"/>
      <c r="DG544" s="1"/>
      <c r="DH544" s="53"/>
      <c r="DI544" s="51"/>
      <c r="DJ544" s="52"/>
      <c r="DK544" s="52"/>
      <c r="DL544" s="52"/>
      <c r="DM544" s="52"/>
      <c r="DN544" s="52"/>
      <c r="DO544" s="52"/>
      <c r="DP544" s="52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P544" s="53"/>
      <c r="EQ544" s="1"/>
      <c r="ER544" s="102"/>
      <c r="ES544" s="103"/>
      <c r="ET544" s="1"/>
      <c r="EU544" s="103"/>
      <c r="EV544" s="1"/>
      <c r="EW544" s="1"/>
      <c r="EX544" s="1"/>
      <c r="EY544" s="102"/>
    </row>
    <row r="545" spans="9:155">
      <c r="I545" s="132"/>
      <c r="J545" s="133"/>
      <c r="K545" s="1"/>
      <c r="L545" s="1"/>
      <c r="S545" s="53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03"/>
      <c r="AQ545" s="1"/>
      <c r="AR545" s="103"/>
      <c r="AS545" s="103"/>
      <c r="AT545" s="103"/>
      <c r="AU545" s="103"/>
      <c r="AV545" s="31"/>
      <c r="AW545" s="31"/>
      <c r="AX545" s="31"/>
      <c r="AY545" s="146"/>
      <c r="AZ545" s="146"/>
      <c r="BA545" s="103"/>
      <c r="BB545" s="103"/>
      <c r="BC545" s="103"/>
      <c r="BD545" s="103"/>
      <c r="BE545" s="103"/>
      <c r="BF545" s="104"/>
      <c r="BG545" s="104"/>
      <c r="BH545" s="102"/>
      <c r="BI545" s="104"/>
      <c r="BJ545" s="103"/>
      <c r="BK545" s="105"/>
      <c r="BL545" s="152"/>
      <c r="BM545" s="103"/>
      <c r="BN545" s="103"/>
      <c r="BO545" s="103"/>
      <c r="BP545" s="103"/>
      <c r="BQ545" s="103"/>
      <c r="BR545" s="103"/>
      <c r="BS545" s="103"/>
      <c r="BT545" s="103"/>
      <c r="BU545" s="103"/>
      <c r="BV545" s="103"/>
      <c r="BW545" s="103"/>
      <c r="BX545" s="103"/>
      <c r="BY545" s="103"/>
      <c r="BZ545" s="104"/>
      <c r="CA545" s="104"/>
      <c r="CB545" s="104"/>
      <c r="CC545" s="104"/>
      <c r="CD545" s="104"/>
      <c r="CE545" s="104"/>
      <c r="CF545" s="103"/>
      <c r="CG545" s="103"/>
      <c r="CH545" s="103"/>
      <c r="CI545" s="103"/>
      <c r="CJ545" s="103"/>
      <c r="CK545" s="103"/>
      <c r="CL545" s="103"/>
      <c r="CM545" s="103"/>
      <c r="CN545" s="103"/>
      <c r="CO545" s="103"/>
      <c r="CP545" s="103"/>
      <c r="CQ545" s="103"/>
      <c r="CR545" s="103"/>
      <c r="CS545" s="103"/>
      <c r="CT545" s="103"/>
      <c r="CU545" s="103"/>
      <c r="CV545" s="103"/>
      <c r="CW545" s="103"/>
      <c r="CX545" s="103"/>
      <c r="CY545" s="103"/>
      <c r="CZ545" s="103"/>
      <c r="DA545" s="103"/>
      <c r="DB545" s="103"/>
      <c r="DC545" s="103"/>
      <c r="DD545" s="103"/>
      <c r="DE545" s="133"/>
      <c r="DF545" s="133"/>
      <c r="DG545" s="1"/>
      <c r="DH545" s="53"/>
      <c r="DI545" s="51"/>
      <c r="DJ545" s="52"/>
      <c r="DK545" s="52"/>
      <c r="DL545" s="52"/>
      <c r="DM545" s="52"/>
      <c r="DN545" s="52"/>
      <c r="DO545" s="52"/>
      <c r="DP545" s="52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P545" s="53"/>
      <c r="EQ545" s="1"/>
      <c r="ER545" s="102"/>
      <c r="ES545" s="103"/>
      <c r="ET545" s="1"/>
      <c r="EU545" s="103"/>
      <c r="EV545" s="1"/>
      <c r="EW545" s="1"/>
      <c r="EX545" s="1"/>
      <c r="EY545" s="102"/>
    </row>
    <row r="546" spans="9:155">
      <c r="I546" s="132"/>
      <c r="J546" s="133"/>
      <c r="K546" s="1"/>
      <c r="L546" s="1"/>
      <c r="S546" s="53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03"/>
      <c r="AQ546" s="1"/>
      <c r="AR546" s="103"/>
      <c r="AS546" s="103"/>
      <c r="AT546" s="103"/>
      <c r="AU546" s="103"/>
      <c r="AV546" s="31"/>
      <c r="AW546" s="31"/>
      <c r="AX546" s="31"/>
      <c r="AY546" s="146"/>
      <c r="AZ546" s="146"/>
      <c r="BA546" s="103"/>
      <c r="BB546" s="103"/>
      <c r="BC546" s="103"/>
      <c r="BD546" s="103"/>
      <c r="BE546" s="103"/>
      <c r="BF546" s="104"/>
      <c r="BG546" s="104"/>
      <c r="BH546" s="102"/>
      <c r="BI546" s="104"/>
      <c r="BJ546" s="103"/>
      <c r="BK546" s="105"/>
      <c r="BL546" s="152"/>
      <c r="BM546" s="103"/>
      <c r="BN546" s="103"/>
      <c r="BO546" s="103"/>
      <c r="BP546" s="103"/>
      <c r="BQ546" s="103"/>
      <c r="BR546" s="103"/>
      <c r="BS546" s="103"/>
      <c r="BT546" s="103"/>
      <c r="BU546" s="103"/>
      <c r="BV546" s="103"/>
      <c r="BW546" s="103"/>
      <c r="BX546" s="103"/>
      <c r="BY546" s="103"/>
      <c r="BZ546" s="104"/>
      <c r="CA546" s="104"/>
      <c r="CB546" s="104"/>
      <c r="CC546" s="104"/>
      <c r="CD546" s="104"/>
      <c r="CE546" s="104"/>
      <c r="CF546" s="103"/>
      <c r="CG546" s="103"/>
      <c r="CH546" s="103"/>
      <c r="CI546" s="103"/>
      <c r="CJ546" s="103"/>
      <c r="CK546" s="103"/>
      <c r="CL546" s="103"/>
      <c r="CM546" s="103"/>
      <c r="CN546" s="103"/>
      <c r="CO546" s="103"/>
      <c r="CP546" s="103"/>
      <c r="CQ546" s="103"/>
      <c r="CR546" s="103"/>
      <c r="CS546" s="103"/>
      <c r="CT546" s="103"/>
      <c r="CU546" s="103"/>
      <c r="CV546" s="103"/>
      <c r="CW546" s="103"/>
      <c r="CX546" s="103"/>
      <c r="CY546" s="103"/>
      <c r="CZ546" s="103"/>
      <c r="DA546" s="103"/>
      <c r="DB546" s="103"/>
      <c r="DC546" s="103"/>
      <c r="DD546" s="103"/>
      <c r="DE546" s="133"/>
      <c r="DF546" s="133"/>
      <c r="DG546" s="1"/>
      <c r="DH546" s="53"/>
      <c r="DI546" s="51"/>
      <c r="DJ546" s="52"/>
      <c r="DK546" s="52"/>
      <c r="DL546" s="52"/>
      <c r="DM546" s="52"/>
      <c r="DN546" s="52"/>
      <c r="DO546" s="52"/>
      <c r="DP546" s="52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P546" s="53"/>
      <c r="EQ546" s="1"/>
      <c r="ER546" s="102"/>
      <c r="ES546" s="103"/>
      <c r="ET546" s="1"/>
      <c r="EU546" s="103"/>
      <c r="EV546" s="1"/>
      <c r="EW546" s="1"/>
      <c r="EX546" s="1"/>
      <c r="EY546" s="102"/>
    </row>
    <row r="547" spans="9:155">
      <c r="I547" s="132"/>
      <c r="J547" s="133"/>
      <c r="K547" s="1"/>
      <c r="L547" s="1"/>
      <c r="S547" s="53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03"/>
      <c r="AQ547" s="1"/>
      <c r="AR547" s="103"/>
      <c r="AS547" s="103"/>
      <c r="AT547" s="103"/>
      <c r="AU547" s="103"/>
      <c r="AV547" s="31"/>
      <c r="AW547" s="31"/>
      <c r="AX547" s="31"/>
      <c r="AY547" s="146"/>
      <c r="AZ547" s="146"/>
      <c r="BA547" s="103"/>
      <c r="BB547" s="103"/>
      <c r="BC547" s="103"/>
      <c r="BD547" s="103"/>
      <c r="BE547" s="103"/>
      <c r="BF547" s="104"/>
      <c r="BG547" s="104"/>
      <c r="BH547" s="102"/>
      <c r="BI547" s="104"/>
      <c r="BJ547" s="103"/>
      <c r="BK547" s="105"/>
      <c r="BL547" s="152"/>
      <c r="BM547" s="103"/>
      <c r="BN547" s="103"/>
      <c r="BO547" s="103"/>
      <c r="BP547" s="103"/>
      <c r="BQ547" s="103"/>
      <c r="BR547" s="103"/>
      <c r="BS547" s="103"/>
      <c r="BT547" s="103"/>
      <c r="BU547" s="103"/>
      <c r="BV547" s="103"/>
      <c r="BW547" s="103"/>
      <c r="BX547" s="103"/>
      <c r="BY547" s="103"/>
      <c r="BZ547" s="104"/>
      <c r="CA547" s="104"/>
      <c r="CB547" s="104"/>
      <c r="CC547" s="104"/>
      <c r="CD547" s="104"/>
      <c r="CE547" s="104"/>
      <c r="CF547" s="103"/>
      <c r="CG547" s="103"/>
      <c r="CH547" s="103"/>
      <c r="CI547" s="103"/>
      <c r="CJ547" s="103"/>
      <c r="CK547" s="103"/>
      <c r="CL547" s="103"/>
      <c r="CM547" s="103"/>
      <c r="CN547" s="103"/>
      <c r="CO547" s="103"/>
      <c r="CP547" s="103"/>
      <c r="CQ547" s="103"/>
      <c r="CR547" s="103"/>
      <c r="CS547" s="103"/>
      <c r="CT547" s="103"/>
      <c r="CU547" s="103"/>
      <c r="CV547" s="103"/>
      <c r="CW547" s="103"/>
      <c r="CX547" s="103"/>
      <c r="CY547" s="103"/>
      <c r="CZ547" s="103"/>
      <c r="DA547" s="103"/>
      <c r="DB547" s="103"/>
      <c r="DC547" s="103"/>
      <c r="DD547" s="103"/>
      <c r="DE547" s="133"/>
      <c r="DF547" s="133"/>
      <c r="DG547" s="1"/>
      <c r="DH547" s="53"/>
      <c r="DI547" s="51"/>
      <c r="DJ547" s="52"/>
      <c r="DK547" s="52"/>
      <c r="DL547" s="52"/>
      <c r="DM547" s="52"/>
      <c r="DN547" s="52"/>
      <c r="DO547" s="52"/>
      <c r="DP547" s="52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P547" s="53"/>
      <c r="EQ547" s="1"/>
      <c r="ER547" s="102"/>
      <c r="ES547" s="103"/>
      <c r="ET547" s="1"/>
      <c r="EU547" s="103"/>
      <c r="EV547" s="1"/>
      <c r="EW547" s="1"/>
      <c r="EX547" s="1"/>
      <c r="EY547" s="102"/>
    </row>
    <row r="548" spans="9:155">
      <c r="I548" s="132"/>
      <c r="J548" s="133"/>
      <c r="K548" s="1"/>
      <c r="L548" s="1"/>
      <c r="S548" s="53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03"/>
      <c r="AQ548" s="1"/>
      <c r="AR548" s="103"/>
      <c r="AS548" s="103"/>
      <c r="AT548" s="103"/>
      <c r="AU548" s="103"/>
      <c r="AV548" s="31"/>
      <c r="AW548" s="31"/>
      <c r="AX548" s="31"/>
      <c r="AY548" s="146"/>
      <c r="AZ548" s="146"/>
      <c r="BA548" s="103"/>
      <c r="BB548" s="103"/>
      <c r="BC548" s="103"/>
      <c r="BD548" s="103"/>
      <c r="BE548" s="103"/>
      <c r="BF548" s="104"/>
      <c r="BG548" s="104"/>
      <c r="BH548" s="102"/>
      <c r="BI548" s="104"/>
      <c r="BJ548" s="103"/>
      <c r="BK548" s="105"/>
      <c r="BL548" s="152"/>
      <c r="BM548" s="103"/>
      <c r="BN548" s="103"/>
      <c r="BO548" s="103"/>
      <c r="BP548" s="103"/>
      <c r="BQ548" s="103"/>
      <c r="BR548" s="103"/>
      <c r="BS548" s="103"/>
      <c r="BT548" s="103"/>
      <c r="BU548" s="103"/>
      <c r="BV548" s="103"/>
      <c r="BW548" s="103"/>
      <c r="BX548" s="103"/>
      <c r="BY548" s="103"/>
      <c r="BZ548" s="104"/>
      <c r="CA548" s="104"/>
      <c r="CB548" s="104"/>
      <c r="CC548" s="104"/>
      <c r="CD548" s="104"/>
      <c r="CE548" s="104"/>
      <c r="CF548" s="103"/>
      <c r="CG548" s="103"/>
      <c r="CH548" s="103"/>
      <c r="CI548" s="103"/>
      <c r="CJ548" s="103"/>
      <c r="CK548" s="103"/>
      <c r="CL548" s="103"/>
      <c r="CM548" s="103"/>
      <c r="CN548" s="103"/>
      <c r="CO548" s="103"/>
      <c r="CP548" s="103"/>
      <c r="CQ548" s="103"/>
      <c r="CR548" s="103"/>
      <c r="CS548" s="103"/>
      <c r="CT548" s="103"/>
      <c r="CU548" s="103"/>
      <c r="CV548" s="103"/>
      <c r="CW548" s="103"/>
      <c r="CX548" s="103"/>
      <c r="CY548" s="103"/>
      <c r="CZ548" s="103"/>
      <c r="DA548" s="103"/>
      <c r="DB548" s="103"/>
      <c r="DC548" s="103"/>
      <c r="DD548" s="103"/>
      <c r="DE548" s="133"/>
      <c r="DF548" s="133"/>
      <c r="DG548" s="1"/>
      <c r="DH548" s="53"/>
      <c r="DI548" s="51"/>
      <c r="DJ548" s="52"/>
      <c r="DK548" s="52"/>
      <c r="DL548" s="52"/>
      <c r="DM548" s="52"/>
      <c r="DN548" s="52"/>
      <c r="DO548" s="52"/>
      <c r="DP548" s="52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P548" s="53"/>
      <c r="EQ548" s="1"/>
      <c r="ER548" s="102"/>
      <c r="ES548" s="103"/>
      <c r="ET548" s="1"/>
      <c r="EU548" s="103"/>
      <c r="EV548" s="1"/>
      <c r="EW548" s="1"/>
      <c r="EX548" s="1"/>
      <c r="EY548" s="102"/>
    </row>
    <row r="549" spans="9:155">
      <c r="I549" s="132"/>
      <c r="J549" s="133"/>
      <c r="K549" s="1"/>
      <c r="L549" s="1"/>
      <c r="S549" s="53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03"/>
      <c r="AQ549" s="1"/>
      <c r="AR549" s="103"/>
      <c r="AS549" s="103"/>
      <c r="AT549" s="103"/>
      <c r="AU549" s="103"/>
      <c r="AV549" s="31"/>
      <c r="AW549" s="31"/>
      <c r="AX549" s="31"/>
      <c r="AY549" s="146"/>
      <c r="AZ549" s="146"/>
      <c r="BA549" s="103"/>
      <c r="BB549" s="103"/>
      <c r="BC549" s="103"/>
      <c r="BD549" s="103"/>
      <c r="BE549" s="103"/>
      <c r="BF549" s="104"/>
      <c r="BG549" s="104"/>
      <c r="BH549" s="102"/>
      <c r="BI549" s="104"/>
      <c r="BJ549" s="103"/>
      <c r="BK549" s="105"/>
      <c r="BL549" s="152"/>
      <c r="BM549" s="103"/>
      <c r="BN549" s="103"/>
      <c r="BO549" s="103"/>
      <c r="BP549" s="103"/>
      <c r="BQ549" s="103"/>
      <c r="BR549" s="103"/>
      <c r="BS549" s="103"/>
      <c r="BT549" s="103"/>
      <c r="BU549" s="103"/>
      <c r="BV549" s="103"/>
      <c r="BW549" s="103"/>
      <c r="BX549" s="103"/>
      <c r="BY549" s="103"/>
      <c r="BZ549" s="104"/>
      <c r="CA549" s="104"/>
      <c r="CB549" s="104"/>
      <c r="CC549" s="104"/>
      <c r="CD549" s="104"/>
      <c r="CE549" s="104"/>
      <c r="CF549" s="103"/>
      <c r="CG549" s="103"/>
      <c r="CH549" s="103"/>
      <c r="CI549" s="103"/>
      <c r="CJ549" s="103"/>
      <c r="CK549" s="103"/>
      <c r="CL549" s="103"/>
      <c r="CM549" s="103"/>
      <c r="CN549" s="103"/>
      <c r="CO549" s="103"/>
      <c r="CP549" s="103"/>
      <c r="CQ549" s="103"/>
      <c r="CR549" s="103"/>
      <c r="CS549" s="103"/>
      <c r="CT549" s="103"/>
      <c r="CU549" s="103"/>
      <c r="CV549" s="103"/>
      <c r="CW549" s="103"/>
      <c r="CX549" s="103"/>
      <c r="CY549" s="103"/>
      <c r="CZ549" s="103"/>
      <c r="DA549" s="103"/>
      <c r="DB549" s="103"/>
      <c r="DC549" s="103"/>
      <c r="DD549" s="103"/>
      <c r="DE549" s="133"/>
      <c r="DF549" s="133"/>
      <c r="DG549" s="1"/>
      <c r="DH549" s="53"/>
      <c r="DI549" s="51"/>
      <c r="DJ549" s="52"/>
      <c r="DK549" s="52"/>
      <c r="DL549" s="52"/>
      <c r="DM549" s="52"/>
      <c r="DN549" s="52"/>
      <c r="DO549" s="52"/>
      <c r="DP549" s="52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P549" s="53"/>
      <c r="EQ549" s="1"/>
      <c r="ER549" s="102"/>
      <c r="ES549" s="103"/>
      <c r="ET549" s="1"/>
      <c r="EU549" s="103"/>
      <c r="EV549" s="1"/>
      <c r="EW549" s="1"/>
      <c r="EX549" s="1"/>
      <c r="EY549" s="102"/>
    </row>
    <row r="550" spans="9:155">
      <c r="I550" s="132"/>
      <c r="J550" s="133"/>
      <c r="K550" s="1"/>
      <c r="L550" s="1"/>
      <c r="S550" s="53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03"/>
      <c r="AQ550" s="1"/>
      <c r="AR550" s="103"/>
      <c r="AS550" s="103"/>
      <c r="AT550" s="103"/>
      <c r="AU550" s="103"/>
      <c r="AV550" s="31"/>
      <c r="AW550" s="31"/>
      <c r="AX550" s="31"/>
      <c r="AY550" s="146"/>
      <c r="AZ550" s="146"/>
      <c r="BA550" s="103"/>
      <c r="BB550" s="103"/>
      <c r="BC550" s="103"/>
      <c r="BD550" s="103"/>
      <c r="BE550" s="103"/>
      <c r="BF550" s="104"/>
      <c r="BG550" s="104"/>
      <c r="BH550" s="102"/>
      <c r="BI550" s="104"/>
      <c r="BJ550" s="103"/>
      <c r="BK550" s="105"/>
      <c r="BL550" s="152"/>
      <c r="BM550" s="103"/>
      <c r="BN550" s="103"/>
      <c r="BO550" s="103"/>
      <c r="BP550" s="103"/>
      <c r="BQ550" s="103"/>
      <c r="BR550" s="103"/>
      <c r="BS550" s="103"/>
      <c r="BT550" s="103"/>
      <c r="BU550" s="103"/>
      <c r="BV550" s="103"/>
      <c r="BW550" s="103"/>
      <c r="BX550" s="103"/>
      <c r="BY550" s="103"/>
      <c r="BZ550" s="104"/>
      <c r="CA550" s="104"/>
      <c r="CB550" s="104"/>
      <c r="CC550" s="104"/>
      <c r="CD550" s="104"/>
      <c r="CE550" s="104"/>
      <c r="CF550" s="103"/>
      <c r="CG550" s="103"/>
      <c r="CH550" s="103"/>
      <c r="CI550" s="103"/>
      <c r="CJ550" s="103"/>
      <c r="CK550" s="103"/>
      <c r="CL550" s="103"/>
      <c r="CM550" s="103"/>
      <c r="CN550" s="103"/>
      <c r="CO550" s="103"/>
      <c r="CP550" s="103"/>
      <c r="CQ550" s="103"/>
      <c r="CR550" s="103"/>
      <c r="CS550" s="103"/>
      <c r="CT550" s="103"/>
      <c r="CU550" s="103"/>
      <c r="CV550" s="103"/>
      <c r="CW550" s="103"/>
      <c r="CX550" s="103"/>
      <c r="CY550" s="103"/>
      <c r="CZ550" s="103"/>
      <c r="DA550" s="103"/>
      <c r="DB550" s="103"/>
      <c r="DC550" s="103"/>
      <c r="DD550" s="103"/>
      <c r="DE550" s="133"/>
      <c r="DF550" s="133"/>
      <c r="DG550" s="1"/>
      <c r="DH550" s="53"/>
      <c r="DI550" s="51"/>
      <c r="DJ550" s="52"/>
      <c r="DK550" s="52"/>
      <c r="DL550" s="52"/>
      <c r="DM550" s="52"/>
      <c r="DN550" s="52"/>
      <c r="DO550" s="52"/>
      <c r="DP550" s="52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P550" s="53"/>
      <c r="EQ550" s="1"/>
      <c r="ER550" s="102"/>
      <c r="ES550" s="103"/>
      <c r="ET550" s="1"/>
      <c r="EU550" s="103"/>
      <c r="EV550" s="1"/>
      <c r="EW550" s="1"/>
      <c r="EX550" s="1"/>
      <c r="EY550" s="102"/>
    </row>
    <row r="551" spans="9:155">
      <c r="I551" s="132"/>
      <c r="J551" s="133"/>
      <c r="K551" s="1"/>
      <c r="L551" s="1"/>
      <c r="S551" s="53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03"/>
      <c r="AQ551" s="1"/>
      <c r="AR551" s="103"/>
      <c r="AS551" s="103"/>
      <c r="AT551" s="103"/>
      <c r="AU551" s="103"/>
      <c r="AV551" s="31"/>
      <c r="AW551" s="31"/>
      <c r="AX551" s="31"/>
      <c r="AY551" s="146"/>
      <c r="AZ551" s="146"/>
      <c r="BA551" s="103"/>
      <c r="BB551" s="103"/>
      <c r="BC551" s="103"/>
      <c r="BD551" s="103"/>
      <c r="BE551" s="103"/>
      <c r="BF551" s="104"/>
      <c r="BG551" s="104"/>
      <c r="BH551" s="102"/>
      <c r="BI551" s="104"/>
      <c r="BJ551" s="103"/>
      <c r="BK551" s="105"/>
      <c r="BL551" s="152"/>
      <c r="BM551" s="103"/>
      <c r="BN551" s="103"/>
      <c r="BO551" s="103"/>
      <c r="BP551" s="103"/>
      <c r="BQ551" s="103"/>
      <c r="BR551" s="103"/>
      <c r="BS551" s="103"/>
      <c r="BT551" s="103"/>
      <c r="BU551" s="103"/>
      <c r="BV551" s="103"/>
      <c r="BW551" s="103"/>
      <c r="BX551" s="103"/>
      <c r="BY551" s="103"/>
      <c r="BZ551" s="104"/>
      <c r="CA551" s="104"/>
      <c r="CB551" s="104"/>
      <c r="CC551" s="104"/>
      <c r="CD551" s="104"/>
      <c r="CE551" s="104"/>
      <c r="CF551" s="103"/>
      <c r="CG551" s="103"/>
      <c r="CH551" s="103"/>
      <c r="CI551" s="103"/>
      <c r="CJ551" s="103"/>
      <c r="CK551" s="103"/>
      <c r="CL551" s="103"/>
      <c r="CM551" s="103"/>
      <c r="CN551" s="103"/>
      <c r="CO551" s="103"/>
      <c r="CP551" s="103"/>
      <c r="CQ551" s="103"/>
      <c r="CR551" s="103"/>
      <c r="CS551" s="103"/>
      <c r="CT551" s="103"/>
      <c r="CU551" s="103"/>
      <c r="CV551" s="103"/>
      <c r="CW551" s="103"/>
      <c r="CX551" s="103"/>
      <c r="CY551" s="103"/>
      <c r="CZ551" s="103"/>
      <c r="DA551" s="103"/>
      <c r="DB551" s="103"/>
      <c r="DC551" s="103"/>
      <c r="DD551" s="103"/>
      <c r="DE551" s="133"/>
      <c r="DF551" s="133"/>
      <c r="DG551" s="1"/>
      <c r="DH551" s="53"/>
      <c r="DI551" s="51"/>
      <c r="DJ551" s="52"/>
      <c r="DK551" s="52"/>
      <c r="DL551" s="52"/>
      <c r="DM551" s="52"/>
      <c r="DN551" s="52"/>
      <c r="DO551" s="52"/>
      <c r="DP551" s="52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P551" s="53"/>
      <c r="EQ551" s="1"/>
      <c r="ER551" s="102"/>
      <c r="ES551" s="103"/>
      <c r="ET551" s="1"/>
      <c r="EU551" s="103"/>
      <c r="EV551" s="1"/>
      <c r="EW551" s="1"/>
      <c r="EX551" s="1"/>
      <c r="EY551" s="102"/>
    </row>
    <row r="552" spans="9:155">
      <c r="I552" s="132"/>
      <c r="J552" s="133"/>
      <c r="K552" s="1"/>
      <c r="L552" s="1"/>
      <c r="S552" s="53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03"/>
      <c r="AQ552" s="1"/>
      <c r="AR552" s="103"/>
      <c r="AS552" s="103"/>
      <c r="AT552" s="103"/>
      <c r="AU552" s="103"/>
      <c r="AV552" s="31"/>
      <c r="AW552" s="31"/>
      <c r="AX552" s="31"/>
      <c r="AY552" s="146"/>
      <c r="AZ552" s="146"/>
      <c r="BA552" s="103"/>
      <c r="BB552" s="103"/>
      <c r="BC552" s="103"/>
      <c r="BD552" s="103"/>
      <c r="BE552" s="103"/>
      <c r="BF552" s="104"/>
      <c r="BG552" s="104"/>
      <c r="BH552" s="102"/>
      <c r="BI552" s="104"/>
      <c r="BJ552" s="103"/>
      <c r="BK552" s="105"/>
      <c r="BL552" s="152"/>
      <c r="BM552" s="103"/>
      <c r="BN552" s="103"/>
      <c r="BO552" s="103"/>
      <c r="BP552" s="103"/>
      <c r="BQ552" s="103"/>
      <c r="BR552" s="103"/>
      <c r="BS552" s="103"/>
      <c r="BT552" s="103"/>
      <c r="BU552" s="103"/>
      <c r="BV552" s="103"/>
      <c r="BW552" s="103"/>
      <c r="BX552" s="103"/>
      <c r="BY552" s="103"/>
      <c r="BZ552" s="104"/>
      <c r="CA552" s="104"/>
      <c r="CB552" s="104"/>
      <c r="CC552" s="104"/>
      <c r="CD552" s="104"/>
      <c r="CE552" s="104"/>
      <c r="CF552" s="103"/>
      <c r="CG552" s="103"/>
      <c r="CH552" s="103"/>
      <c r="CI552" s="103"/>
      <c r="CJ552" s="103"/>
      <c r="CK552" s="103"/>
      <c r="CL552" s="103"/>
      <c r="CM552" s="103"/>
      <c r="CN552" s="103"/>
      <c r="CO552" s="103"/>
      <c r="CP552" s="103"/>
      <c r="CQ552" s="103"/>
      <c r="CR552" s="103"/>
      <c r="CS552" s="103"/>
      <c r="CT552" s="103"/>
      <c r="CU552" s="103"/>
      <c r="CV552" s="103"/>
      <c r="CW552" s="103"/>
      <c r="CX552" s="103"/>
      <c r="CY552" s="103"/>
      <c r="CZ552" s="103"/>
      <c r="DA552" s="103"/>
      <c r="DB552" s="103"/>
      <c r="DC552" s="103"/>
      <c r="DD552" s="103"/>
      <c r="DE552" s="133"/>
      <c r="DF552" s="133"/>
      <c r="DG552" s="1"/>
      <c r="DH552" s="53"/>
      <c r="DI552" s="51"/>
      <c r="DJ552" s="52"/>
      <c r="DK552" s="52"/>
      <c r="DL552" s="52"/>
      <c r="DM552" s="52"/>
      <c r="DN552" s="52"/>
      <c r="DO552" s="52"/>
      <c r="DP552" s="52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P552" s="53"/>
      <c r="EQ552" s="1"/>
      <c r="ER552" s="102"/>
      <c r="ES552" s="103"/>
      <c r="ET552" s="1"/>
      <c r="EU552" s="103"/>
      <c r="EV552" s="1"/>
      <c r="EW552" s="1"/>
      <c r="EX552" s="1"/>
      <c r="EY552" s="102"/>
    </row>
    <row r="553" spans="9:155">
      <c r="I553" s="132"/>
      <c r="J553" s="133"/>
      <c r="K553" s="1"/>
      <c r="L553" s="1"/>
      <c r="S553" s="53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03"/>
      <c r="AQ553" s="1"/>
      <c r="AR553" s="103"/>
      <c r="AS553" s="103"/>
      <c r="AT553" s="103"/>
      <c r="AU553" s="103"/>
      <c r="AV553" s="31"/>
      <c r="AW553" s="31"/>
      <c r="AX553" s="31"/>
      <c r="AY553" s="146"/>
      <c r="AZ553" s="146"/>
      <c r="BA553" s="103"/>
      <c r="BB553" s="103"/>
      <c r="BC553" s="103"/>
      <c r="BD553" s="103"/>
      <c r="BE553" s="103"/>
      <c r="BF553" s="104"/>
      <c r="BG553" s="104"/>
      <c r="BH553" s="102"/>
      <c r="BI553" s="104"/>
      <c r="BJ553" s="103"/>
      <c r="BK553" s="105"/>
      <c r="BL553" s="152"/>
      <c r="BM553" s="103"/>
      <c r="BN553" s="103"/>
      <c r="BO553" s="103"/>
      <c r="BP553" s="103"/>
      <c r="BQ553" s="103"/>
      <c r="BR553" s="103"/>
      <c r="BS553" s="103"/>
      <c r="BT553" s="103"/>
      <c r="BU553" s="103"/>
      <c r="BV553" s="103"/>
      <c r="BW553" s="103"/>
      <c r="BX553" s="103"/>
      <c r="BY553" s="103"/>
      <c r="BZ553" s="104"/>
      <c r="CA553" s="104"/>
      <c r="CB553" s="104"/>
      <c r="CC553" s="104"/>
      <c r="CD553" s="104"/>
      <c r="CE553" s="104"/>
      <c r="CF553" s="103"/>
      <c r="CG553" s="103"/>
      <c r="CH553" s="103"/>
      <c r="CI553" s="103"/>
      <c r="CJ553" s="103"/>
      <c r="CK553" s="103"/>
      <c r="CL553" s="103"/>
      <c r="CM553" s="103"/>
      <c r="CN553" s="103"/>
      <c r="CO553" s="103"/>
      <c r="CP553" s="103"/>
      <c r="CQ553" s="103"/>
      <c r="CR553" s="103"/>
      <c r="CS553" s="103"/>
      <c r="CT553" s="103"/>
      <c r="CU553" s="103"/>
      <c r="CV553" s="103"/>
      <c r="CW553" s="103"/>
      <c r="CX553" s="103"/>
      <c r="CY553" s="103"/>
      <c r="CZ553" s="103"/>
      <c r="DA553" s="103"/>
      <c r="DB553" s="103"/>
      <c r="DC553" s="103"/>
      <c r="DD553" s="103"/>
      <c r="DE553" s="133"/>
      <c r="DF553" s="133"/>
      <c r="DG553" s="1"/>
      <c r="DH553" s="53"/>
      <c r="DI553" s="51"/>
      <c r="DJ553" s="52"/>
      <c r="DK553" s="52"/>
      <c r="DL553" s="52"/>
      <c r="DM553" s="52"/>
      <c r="DN553" s="52"/>
      <c r="DO553" s="52"/>
      <c r="DP553" s="52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P553" s="53"/>
      <c r="EQ553" s="1"/>
      <c r="ER553" s="102"/>
      <c r="ES553" s="103"/>
      <c r="ET553" s="1"/>
      <c r="EU553" s="103"/>
      <c r="EV553" s="1"/>
      <c r="EW553" s="1"/>
      <c r="EX553" s="1"/>
      <c r="EY553" s="102"/>
    </row>
    <row r="554" spans="9:155">
      <c r="I554" s="132"/>
      <c r="J554" s="133"/>
      <c r="K554" s="1"/>
      <c r="L554" s="1"/>
      <c r="S554" s="53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03"/>
      <c r="AQ554" s="1"/>
      <c r="AR554" s="103"/>
      <c r="AS554" s="103"/>
      <c r="AT554" s="103"/>
      <c r="AU554" s="103"/>
      <c r="AV554" s="31"/>
      <c r="AW554" s="31"/>
      <c r="AX554" s="31"/>
      <c r="AY554" s="146"/>
      <c r="AZ554" s="146"/>
      <c r="BA554" s="103"/>
      <c r="BB554" s="103"/>
      <c r="BC554" s="103"/>
      <c r="BD554" s="103"/>
      <c r="BE554" s="103"/>
      <c r="BF554" s="104"/>
      <c r="BG554" s="104"/>
      <c r="BH554" s="102"/>
      <c r="BI554" s="104"/>
      <c r="BJ554" s="103"/>
      <c r="BK554" s="105"/>
      <c r="BL554" s="152"/>
      <c r="BM554" s="103"/>
      <c r="BN554" s="103"/>
      <c r="BO554" s="103"/>
      <c r="BP554" s="103"/>
      <c r="BQ554" s="103"/>
      <c r="BR554" s="103"/>
      <c r="BS554" s="103"/>
      <c r="BT554" s="103"/>
      <c r="BU554" s="103"/>
      <c r="BV554" s="103"/>
      <c r="BW554" s="103"/>
      <c r="BX554" s="103"/>
      <c r="BY554" s="103"/>
      <c r="BZ554" s="104"/>
      <c r="CA554" s="104"/>
      <c r="CB554" s="104"/>
      <c r="CC554" s="104"/>
      <c r="CD554" s="104"/>
      <c r="CE554" s="104"/>
      <c r="CF554" s="103"/>
      <c r="CG554" s="103"/>
      <c r="CH554" s="103"/>
      <c r="CI554" s="103"/>
      <c r="CJ554" s="103"/>
      <c r="CK554" s="103"/>
      <c r="CL554" s="103"/>
      <c r="CM554" s="103"/>
      <c r="CN554" s="103"/>
      <c r="CO554" s="103"/>
      <c r="CP554" s="103"/>
      <c r="CQ554" s="103"/>
      <c r="CR554" s="103"/>
      <c r="CS554" s="103"/>
      <c r="CT554" s="103"/>
      <c r="CU554" s="103"/>
      <c r="CV554" s="103"/>
      <c r="CW554" s="103"/>
      <c r="CX554" s="103"/>
      <c r="CY554" s="103"/>
      <c r="CZ554" s="103"/>
      <c r="DA554" s="103"/>
      <c r="DB554" s="103"/>
      <c r="DC554" s="103"/>
      <c r="DD554" s="103"/>
      <c r="DE554" s="133"/>
      <c r="DF554" s="133"/>
      <c r="DG554" s="1"/>
      <c r="DH554" s="53"/>
      <c r="DI554" s="51"/>
      <c r="DJ554" s="52"/>
      <c r="DK554" s="52"/>
      <c r="DL554" s="52"/>
      <c r="DM554" s="52"/>
      <c r="DN554" s="52"/>
      <c r="DO554" s="52"/>
      <c r="DP554" s="52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P554" s="53"/>
      <c r="EQ554" s="1"/>
      <c r="ER554" s="102"/>
      <c r="ES554" s="103"/>
      <c r="ET554" s="1"/>
      <c r="EU554" s="103"/>
      <c r="EV554" s="1"/>
      <c r="EW554" s="1"/>
      <c r="EX554" s="1"/>
      <c r="EY554" s="102"/>
    </row>
    <row r="555" spans="9:155">
      <c r="I555" s="132"/>
      <c r="J555" s="133"/>
      <c r="K555" s="1"/>
      <c r="L555" s="1"/>
      <c r="S555" s="53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03"/>
      <c r="AQ555" s="1"/>
      <c r="AR555" s="103"/>
      <c r="AS555" s="103"/>
      <c r="AT555" s="103"/>
      <c r="AU555" s="103"/>
      <c r="AV555" s="31"/>
      <c r="AW555" s="31"/>
      <c r="AX555" s="31"/>
      <c r="AY555" s="146"/>
      <c r="AZ555" s="146"/>
      <c r="BA555" s="103"/>
      <c r="BB555" s="103"/>
      <c r="BC555" s="103"/>
      <c r="BD555" s="103"/>
      <c r="BE555" s="103"/>
      <c r="BF555" s="104"/>
      <c r="BG555" s="104"/>
      <c r="BH555" s="102"/>
      <c r="BI555" s="104"/>
      <c r="BJ555" s="103"/>
      <c r="BK555" s="105"/>
      <c r="BL555" s="152"/>
      <c r="BM555" s="103"/>
      <c r="BN555" s="103"/>
      <c r="BO555" s="103"/>
      <c r="BP555" s="103"/>
      <c r="BQ555" s="103"/>
      <c r="BR555" s="103"/>
      <c r="BS555" s="103"/>
      <c r="BT555" s="103"/>
      <c r="BU555" s="103"/>
      <c r="BV555" s="103"/>
      <c r="BW555" s="103"/>
      <c r="BX555" s="103"/>
      <c r="BY555" s="103"/>
      <c r="BZ555" s="104"/>
      <c r="CA555" s="104"/>
      <c r="CB555" s="104"/>
      <c r="CC555" s="104"/>
      <c r="CD555" s="104"/>
      <c r="CE555" s="104"/>
      <c r="CF555" s="103"/>
      <c r="CG555" s="103"/>
      <c r="CH555" s="103"/>
      <c r="CI555" s="103"/>
      <c r="CJ555" s="103"/>
      <c r="CK555" s="103"/>
      <c r="CL555" s="103"/>
      <c r="CM555" s="103"/>
      <c r="CN555" s="103"/>
      <c r="CO555" s="103"/>
      <c r="CP555" s="103"/>
      <c r="CQ555" s="103"/>
      <c r="CR555" s="103"/>
      <c r="CS555" s="103"/>
      <c r="CT555" s="103"/>
      <c r="CU555" s="103"/>
      <c r="CV555" s="103"/>
      <c r="CW555" s="103"/>
      <c r="CX555" s="103"/>
      <c r="CY555" s="103"/>
      <c r="CZ555" s="103"/>
      <c r="DA555" s="103"/>
      <c r="DB555" s="103"/>
      <c r="DC555" s="103"/>
      <c r="DD555" s="103"/>
      <c r="DE555" s="133"/>
      <c r="DF555" s="133"/>
      <c r="DG555" s="1"/>
      <c r="DH555" s="53"/>
      <c r="DI555" s="51"/>
      <c r="DJ555" s="52"/>
      <c r="DK555" s="52"/>
      <c r="DL555" s="52"/>
      <c r="DM555" s="52"/>
      <c r="DN555" s="52"/>
      <c r="DO555" s="52"/>
      <c r="DP555" s="52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P555" s="53"/>
      <c r="EQ555" s="1"/>
      <c r="ER555" s="102"/>
      <c r="ES555" s="103"/>
      <c r="ET555" s="1"/>
      <c r="EU555" s="103"/>
      <c r="EV555" s="1"/>
      <c r="EW555" s="1"/>
      <c r="EX555" s="1"/>
      <c r="EY555" s="102"/>
    </row>
    <row r="556" spans="9:155">
      <c r="I556" s="132"/>
      <c r="J556" s="133"/>
      <c r="K556" s="1"/>
      <c r="L556" s="1"/>
      <c r="S556" s="53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03"/>
      <c r="AQ556" s="1"/>
      <c r="AR556" s="103"/>
      <c r="AS556" s="103"/>
      <c r="AT556" s="103"/>
      <c r="AU556" s="103"/>
      <c r="AV556" s="31"/>
      <c r="AW556" s="31"/>
      <c r="AX556" s="31"/>
      <c r="AY556" s="146"/>
      <c r="AZ556" s="146"/>
      <c r="BA556" s="103"/>
      <c r="BB556" s="103"/>
      <c r="BC556" s="103"/>
      <c r="BD556" s="103"/>
      <c r="BE556" s="103"/>
      <c r="BF556" s="104"/>
      <c r="BG556" s="104"/>
      <c r="BH556" s="102"/>
      <c r="BI556" s="104"/>
      <c r="BJ556" s="103"/>
      <c r="BK556" s="105"/>
      <c r="BL556" s="152"/>
      <c r="BM556" s="103"/>
      <c r="BN556" s="103"/>
      <c r="BO556" s="103"/>
      <c r="BP556" s="103"/>
      <c r="BQ556" s="103"/>
      <c r="BR556" s="103"/>
      <c r="BS556" s="103"/>
      <c r="BT556" s="103"/>
      <c r="BU556" s="103"/>
      <c r="BV556" s="103"/>
      <c r="BW556" s="103"/>
      <c r="BX556" s="103"/>
      <c r="BY556" s="103"/>
      <c r="BZ556" s="104"/>
      <c r="CA556" s="104"/>
      <c r="CB556" s="104"/>
      <c r="CC556" s="104"/>
      <c r="CD556" s="104"/>
      <c r="CE556" s="104"/>
      <c r="CF556" s="103"/>
      <c r="CG556" s="103"/>
      <c r="CH556" s="103"/>
      <c r="CI556" s="103"/>
      <c r="CJ556" s="103"/>
      <c r="CK556" s="103"/>
      <c r="CL556" s="103"/>
      <c r="CM556" s="103"/>
      <c r="CN556" s="103"/>
      <c r="CO556" s="103"/>
      <c r="CP556" s="103"/>
      <c r="CQ556" s="103"/>
      <c r="CR556" s="103"/>
      <c r="CS556" s="103"/>
      <c r="CT556" s="103"/>
      <c r="CU556" s="103"/>
      <c r="CV556" s="103"/>
      <c r="CW556" s="103"/>
      <c r="CX556" s="103"/>
      <c r="CY556" s="103"/>
      <c r="CZ556" s="103"/>
      <c r="DA556" s="103"/>
      <c r="DB556" s="103"/>
      <c r="DC556" s="103"/>
      <c r="DD556" s="103"/>
      <c r="DE556" s="133"/>
      <c r="DF556" s="133"/>
      <c r="DG556" s="1"/>
      <c r="DH556" s="53"/>
      <c r="DI556" s="51"/>
      <c r="DJ556" s="52"/>
      <c r="DK556" s="52"/>
      <c r="DL556" s="52"/>
      <c r="DM556" s="52"/>
      <c r="DN556" s="52"/>
      <c r="DO556" s="52"/>
      <c r="DP556" s="52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P556" s="53"/>
      <c r="EQ556" s="1"/>
      <c r="ER556" s="102"/>
      <c r="ES556" s="103"/>
      <c r="ET556" s="1"/>
      <c r="EU556" s="103"/>
      <c r="EV556" s="1"/>
      <c r="EW556" s="1"/>
      <c r="EX556" s="1"/>
      <c r="EY556" s="102"/>
    </row>
    <row r="557" spans="9:155">
      <c r="I557" s="132"/>
      <c r="J557" s="133"/>
      <c r="K557" s="1"/>
      <c r="L557" s="1"/>
      <c r="S557" s="53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03"/>
      <c r="AQ557" s="1"/>
      <c r="AR557" s="103"/>
      <c r="AS557" s="103"/>
      <c r="AT557" s="103"/>
      <c r="AU557" s="103"/>
      <c r="AV557" s="31"/>
      <c r="AW557" s="31"/>
      <c r="AX557" s="31"/>
      <c r="AY557" s="146"/>
      <c r="AZ557" s="146"/>
      <c r="BA557" s="103"/>
      <c r="BB557" s="103"/>
      <c r="BC557" s="103"/>
      <c r="BD557" s="103"/>
      <c r="BE557" s="103"/>
      <c r="BF557" s="104"/>
      <c r="BG557" s="104"/>
      <c r="BH557" s="102"/>
      <c r="BI557" s="104"/>
      <c r="BJ557" s="103"/>
      <c r="BK557" s="105"/>
      <c r="BL557" s="152"/>
      <c r="BM557" s="103"/>
      <c r="BN557" s="103"/>
      <c r="BO557" s="103"/>
      <c r="BP557" s="103"/>
      <c r="BQ557" s="103"/>
      <c r="BR557" s="103"/>
      <c r="BS557" s="103"/>
      <c r="BT557" s="103"/>
      <c r="BU557" s="103"/>
      <c r="BV557" s="103"/>
      <c r="BW557" s="103"/>
      <c r="BX557" s="103"/>
      <c r="BY557" s="103"/>
      <c r="BZ557" s="104"/>
      <c r="CA557" s="104"/>
      <c r="CB557" s="104"/>
      <c r="CC557" s="104"/>
      <c r="CD557" s="104"/>
      <c r="CE557" s="104"/>
      <c r="CF557" s="103"/>
      <c r="CG557" s="103"/>
      <c r="CH557" s="103"/>
      <c r="CI557" s="103"/>
      <c r="CJ557" s="103"/>
      <c r="CK557" s="103"/>
      <c r="CL557" s="103"/>
      <c r="CM557" s="103"/>
      <c r="CN557" s="103"/>
      <c r="CO557" s="103"/>
      <c r="CP557" s="103"/>
      <c r="CQ557" s="103"/>
      <c r="CR557" s="103"/>
      <c r="CS557" s="103"/>
      <c r="CT557" s="103"/>
      <c r="CU557" s="103"/>
      <c r="CV557" s="103"/>
      <c r="CW557" s="103"/>
      <c r="CX557" s="103"/>
      <c r="CY557" s="103"/>
      <c r="CZ557" s="103"/>
      <c r="DA557" s="103"/>
      <c r="DB557" s="103"/>
      <c r="DC557" s="103"/>
      <c r="DD557" s="103"/>
      <c r="DE557" s="133"/>
      <c r="DF557" s="133"/>
      <c r="DG557" s="1"/>
      <c r="DH557" s="53"/>
      <c r="DI557" s="51"/>
      <c r="DJ557" s="52"/>
      <c r="DK557" s="52"/>
      <c r="DL557" s="52"/>
      <c r="DM557" s="52"/>
      <c r="DN557" s="52"/>
      <c r="DO557" s="52"/>
      <c r="DP557" s="52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P557" s="53"/>
      <c r="EQ557" s="1"/>
      <c r="ER557" s="102"/>
      <c r="ES557" s="103"/>
      <c r="ET557" s="1"/>
      <c r="EU557" s="103"/>
      <c r="EV557" s="1"/>
      <c r="EW557" s="1"/>
      <c r="EX557" s="1"/>
      <c r="EY557" s="102"/>
    </row>
    <row r="558" spans="9:155">
      <c r="I558" s="132"/>
      <c r="J558" s="133"/>
      <c r="K558" s="1"/>
      <c r="L558" s="1"/>
      <c r="S558" s="53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03"/>
      <c r="AQ558" s="1"/>
      <c r="AR558" s="103"/>
      <c r="AS558" s="103"/>
      <c r="AT558" s="103"/>
      <c r="AU558" s="103"/>
      <c r="AV558" s="31"/>
      <c r="AW558" s="31"/>
      <c r="AX558" s="31"/>
      <c r="AY558" s="146"/>
      <c r="AZ558" s="146"/>
      <c r="BA558" s="103"/>
      <c r="BB558" s="103"/>
      <c r="BC558" s="103"/>
      <c r="BD558" s="103"/>
      <c r="BE558" s="103"/>
      <c r="BF558" s="104"/>
      <c r="BG558" s="104"/>
      <c r="BH558" s="102"/>
      <c r="BI558" s="104"/>
      <c r="BJ558" s="103"/>
      <c r="BK558" s="105"/>
      <c r="BL558" s="152"/>
      <c r="BM558" s="103"/>
      <c r="BN558" s="103"/>
      <c r="BO558" s="103"/>
      <c r="BP558" s="103"/>
      <c r="BQ558" s="103"/>
      <c r="BR558" s="103"/>
      <c r="BS558" s="103"/>
      <c r="BT558" s="103"/>
      <c r="BU558" s="103"/>
      <c r="BV558" s="103"/>
      <c r="BW558" s="103"/>
      <c r="BX558" s="103"/>
      <c r="BY558" s="103"/>
      <c r="BZ558" s="104"/>
      <c r="CA558" s="104"/>
      <c r="CB558" s="104"/>
      <c r="CC558" s="104"/>
      <c r="CD558" s="104"/>
      <c r="CE558" s="104"/>
      <c r="CF558" s="103"/>
      <c r="CG558" s="103"/>
      <c r="CH558" s="103"/>
      <c r="CI558" s="103"/>
      <c r="CJ558" s="103"/>
      <c r="CK558" s="103"/>
      <c r="CL558" s="103"/>
      <c r="CM558" s="103"/>
      <c r="CN558" s="103"/>
      <c r="CO558" s="103"/>
      <c r="CP558" s="103"/>
      <c r="CQ558" s="103"/>
      <c r="CR558" s="103"/>
      <c r="CS558" s="103"/>
      <c r="CT558" s="103"/>
      <c r="CU558" s="103"/>
      <c r="CV558" s="103"/>
      <c r="CW558" s="103"/>
      <c r="CX558" s="103"/>
      <c r="CY558" s="103"/>
      <c r="CZ558" s="103"/>
      <c r="DA558" s="103"/>
      <c r="DB558" s="103"/>
      <c r="DC558" s="103"/>
      <c r="DD558" s="103"/>
      <c r="DE558" s="133"/>
      <c r="DF558" s="133"/>
      <c r="DG558" s="1"/>
      <c r="DH558" s="53"/>
      <c r="DI558" s="51"/>
      <c r="DJ558" s="52"/>
      <c r="DK558" s="52"/>
      <c r="DL558" s="52"/>
      <c r="DM558" s="52"/>
      <c r="DN558" s="52"/>
      <c r="DO558" s="52"/>
      <c r="DP558" s="52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P558" s="53"/>
      <c r="EQ558" s="1"/>
      <c r="ER558" s="102"/>
      <c r="ES558" s="103"/>
      <c r="ET558" s="1"/>
      <c r="EU558" s="103"/>
      <c r="EV558" s="1"/>
      <c r="EW558" s="1"/>
      <c r="EX558" s="1"/>
      <c r="EY558" s="102"/>
    </row>
    <row r="559" spans="9:155">
      <c r="I559" s="132"/>
      <c r="J559" s="133"/>
      <c r="K559" s="1"/>
      <c r="L559" s="1"/>
      <c r="S559" s="53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03"/>
      <c r="AQ559" s="1"/>
      <c r="AR559" s="103"/>
      <c r="AS559" s="103"/>
      <c r="AT559" s="103"/>
      <c r="AU559" s="103"/>
      <c r="AV559" s="31"/>
      <c r="AW559" s="31"/>
      <c r="AX559" s="31"/>
      <c r="AY559" s="146"/>
      <c r="AZ559" s="146"/>
      <c r="BA559" s="103"/>
      <c r="BB559" s="103"/>
      <c r="BC559" s="103"/>
      <c r="BD559" s="103"/>
      <c r="BE559" s="103"/>
      <c r="BF559" s="104"/>
      <c r="BG559" s="104"/>
      <c r="BH559" s="102"/>
      <c r="BI559" s="104"/>
      <c r="BJ559" s="103"/>
      <c r="BK559" s="105"/>
      <c r="BL559" s="152"/>
      <c r="BM559" s="103"/>
      <c r="BN559" s="103"/>
      <c r="BO559" s="103"/>
      <c r="BP559" s="103"/>
      <c r="BQ559" s="103"/>
      <c r="BR559" s="103"/>
      <c r="BS559" s="103"/>
      <c r="BT559" s="103"/>
      <c r="BU559" s="103"/>
      <c r="BV559" s="103"/>
      <c r="BW559" s="103"/>
      <c r="BX559" s="103"/>
      <c r="BY559" s="103"/>
      <c r="BZ559" s="104"/>
      <c r="CA559" s="104"/>
      <c r="CB559" s="104"/>
      <c r="CC559" s="104"/>
      <c r="CD559" s="104"/>
      <c r="CE559" s="104"/>
      <c r="CF559" s="103"/>
      <c r="CG559" s="103"/>
      <c r="CH559" s="103"/>
      <c r="CI559" s="103"/>
      <c r="CJ559" s="103"/>
      <c r="CK559" s="103"/>
      <c r="CL559" s="103"/>
      <c r="CM559" s="103"/>
      <c r="CN559" s="103"/>
      <c r="CO559" s="103"/>
      <c r="CP559" s="103"/>
      <c r="CQ559" s="103"/>
      <c r="CR559" s="103"/>
      <c r="CS559" s="103"/>
      <c r="CT559" s="103"/>
      <c r="CU559" s="103"/>
      <c r="CV559" s="103"/>
      <c r="CW559" s="103"/>
      <c r="CX559" s="103"/>
      <c r="CY559" s="103"/>
      <c r="CZ559" s="103"/>
      <c r="DA559" s="103"/>
      <c r="DB559" s="103"/>
      <c r="DC559" s="103"/>
      <c r="DD559" s="103"/>
      <c r="DE559" s="133"/>
      <c r="DF559" s="133"/>
      <c r="DG559" s="1"/>
      <c r="DH559" s="53"/>
      <c r="DI559" s="51"/>
      <c r="DJ559" s="52"/>
      <c r="DK559" s="52"/>
      <c r="DL559" s="52"/>
      <c r="DM559" s="52"/>
      <c r="DN559" s="52"/>
      <c r="DO559" s="52"/>
      <c r="DP559" s="52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P559" s="53"/>
      <c r="EQ559" s="1"/>
      <c r="ER559" s="102"/>
      <c r="ES559" s="103"/>
      <c r="ET559" s="1"/>
      <c r="EU559" s="103"/>
      <c r="EV559" s="1"/>
      <c r="EW559" s="1"/>
      <c r="EX559" s="1"/>
      <c r="EY559" s="102"/>
    </row>
    <row r="560" spans="9:155">
      <c r="I560" s="132"/>
      <c r="J560" s="133"/>
      <c r="K560" s="1"/>
      <c r="L560" s="1"/>
      <c r="S560" s="53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03"/>
      <c r="AQ560" s="1"/>
      <c r="AR560" s="103"/>
      <c r="AS560" s="103"/>
      <c r="AT560" s="103"/>
      <c r="AU560" s="103"/>
      <c r="AV560" s="31"/>
      <c r="AW560" s="31"/>
      <c r="AX560" s="31"/>
      <c r="AY560" s="146"/>
      <c r="AZ560" s="146"/>
      <c r="BA560" s="103"/>
      <c r="BB560" s="103"/>
      <c r="BC560" s="103"/>
      <c r="BD560" s="103"/>
      <c r="BE560" s="103"/>
      <c r="BF560" s="104"/>
      <c r="BG560" s="104"/>
      <c r="BH560" s="102"/>
      <c r="BI560" s="104"/>
      <c r="BJ560" s="103"/>
      <c r="BK560" s="105"/>
      <c r="BL560" s="152"/>
      <c r="BM560" s="103"/>
      <c r="BN560" s="103"/>
      <c r="BO560" s="103"/>
      <c r="BP560" s="103"/>
      <c r="BQ560" s="103"/>
      <c r="BR560" s="103"/>
      <c r="BS560" s="103"/>
      <c r="BT560" s="103"/>
      <c r="BU560" s="103"/>
      <c r="BV560" s="103"/>
      <c r="BW560" s="103"/>
      <c r="BX560" s="103"/>
      <c r="BY560" s="103"/>
      <c r="BZ560" s="104"/>
      <c r="CA560" s="104"/>
      <c r="CB560" s="104"/>
      <c r="CC560" s="104"/>
      <c r="CD560" s="104"/>
      <c r="CE560" s="104"/>
      <c r="CF560" s="103"/>
      <c r="CG560" s="103"/>
      <c r="CH560" s="103"/>
      <c r="CI560" s="103"/>
      <c r="CJ560" s="103"/>
      <c r="CK560" s="103"/>
      <c r="CL560" s="103"/>
      <c r="CM560" s="103"/>
      <c r="CN560" s="103"/>
      <c r="CO560" s="103"/>
      <c r="CP560" s="103"/>
      <c r="CQ560" s="103"/>
      <c r="CR560" s="103"/>
      <c r="CS560" s="103"/>
      <c r="CT560" s="103"/>
      <c r="CU560" s="103"/>
      <c r="CV560" s="103"/>
      <c r="CW560" s="103"/>
      <c r="CX560" s="103"/>
      <c r="CY560" s="103"/>
      <c r="CZ560" s="103"/>
      <c r="DA560" s="103"/>
      <c r="DB560" s="103"/>
      <c r="DC560" s="103"/>
      <c r="DD560" s="103"/>
      <c r="DE560" s="133"/>
      <c r="DF560" s="133"/>
      <c r="DG560" s="1"/>
      <c r="DH560" s="53"/>
      <c r="DI560" s="51"/>
      <c r="DJ560" s="52"/>
      <c r="DK560" s="52"/>
      <c r="DL560" s="52"/>
      <c r="DM560" s="52"/>
      <c r="DN560" s="52"/>
      <c r="DO560" s="52"/>
      <c r="DP560" s="52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P560" s="53"/>
      <c r="EQ560" s="1"/>
      <c r="ER560" s="102"/>
      <c r="ES560" s="103"/>
      <c r="ET560" s="1"/>
      <c r="EU560" s="103"/>
      <c r="EV560" s="1"/>
      <c r="EW560" s="1"/>
      <c r="EX560" s="1"/>
      <c r="EY560" s="102"/>
    </row>
    <row r="561" spans="9:155">
      <c r="I561" s="132"/>
      <c r="J561" s="133"/>
      <c r="K561" s="1"/>
      <c r="L561" s="1"/>
      <c r="S561" s="53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03"/>
      <c r="AQ561" s="1"/>
      <c r="AR561" s="103"/>
      <c r="AS561" s="103"/>
      <c r="AT561" s="103"/>
      <c r="AU561" s="103"/>
      <c r="AV561" s="31"/>
      <c r="AW561" s="31"/>
      <c r="AX561" s="31"/>
      <c r="AY561" s="146"/>
      <c r="AZ561" s="146"/>
      <c r="BA561" s="103"/>
      <c r="BB561" s="103"/>
      <c r="BC561" s="103"/>
      <c r="BD561" s="103"/>
      <c r="BE561" s="103"/>
      <c r="BF561" s="104"/>
      <c r="BG561" s="104"/>
      <c r="BH561" s="102"/>
      <c r="BI561" s="104"/>
      <c r="BJ561" s="103"/>
      <c r="BK561" s="105"/>
      <c r="BL561" s="152"/>
      <c r="BM561" s="103"/>
      <c r="BN561" s="103"/>
      <c r="BO561" s="103"/>
      <c r="BP561" s="103"/>
      <c r="BQ561" s="103"/>
      <c r="BR561" s="103"/>
      <c r="BS561" s="103"/>
      <c r="BT561" s="103"/>
      <c r="BU561" s="103"/>
      <c r="BV561" s="103"/>
      <c r="BW561" s="103"/>
      <c r="BX561" s="103"/>
      <c r="BY561" s="103"/>
      <c r="BZ561" s="104"/>
      <c r="CA561" s="104"/>
      <c r="CB561" s="104"/>
      <c r="CC561" s="104"/>
      <c r="CD561" s="104"/>
      <c r="CE561" s="104"/>
      <c r="CF561" s="103"/>
      <c r="CG561" s="103"/>
      <c r="CH561" s="103"/>
      <c r="CI561" s="103"/>
      <c r="CJ561" s="103"/>
      <c r="CK561" s="103"/>
      <c r="CL561" s="103"/>
      <c r="CM561" s="103"/>
      <c r="CN561" s="103"/>
      <c r="CO561" s="103"/>
      <c r="CP561" s="103"/>
      <c r="CQ561" s="103"/>
      <c r="CR561" s="103"/>
      <c r="CS561" s="103"/>
      <c r="CT561" s="103"/>
      <c r="CU561" s="103"/>
      <c r="CV561" s="103"/>
      <c r="CW561" s="103"/>
      <c r="CX561" s="103"/>
      <c r="CY561" s="103"/>
      <c r="CZ561" s="103"/>
      <c r="DA561" s="103"/>
      <c r="DB561" s="103"/>
      <c r="DC561" s="103"/>
      <c r="DD561" s="103"/>
      <c r="DE561" s="133"/>
      <c r="DF561" s="133"/>
      <c r="DG561" s="1"/>
      <c r="DH561" s="53"/>
      <c r="DI561" s="51"/>
      <c r="DJ561" s="52"/>
      <c r="DK561" s="52"/>
      <c r="DL561" s="52"/>
      <c r="DM561" s="52"/>
      <c r="DN561" s="52"/>
      <c r="DO561" s="52"/>
      <c r="DP561" s="52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P561" s="53"/>
      <c r="EQ561" s="1"/>
      <c r="ER561" s="102"/>
      <c r="ES561" s="103"/>
      <c r="ET561" s="1"/>
      <c r="EU561" s="103"/>
      <c r="EV561" s="1"/>
      <c r="EW561" s="1"/>
      <c r="EX561" s="1"/>
      <c r="EY561" s="102"/>
    </row>
    <row r="562" spans="9:155">
      <c r="I562" s="132"/>
      <c r="J562" s="133"/>
      <c r="K562" s="1"/>
      <c r="L562" s="1"/>
      <c r="S562" s="53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03"/>
      <c r="AQ562" s="1"/>
      <c r="AR562" s="103"/>
      <c r="AS562" s="103"/>
      <c r="AT562" s="103"/>
      <c r="AU562" s="103"/>
      <c r="AV562" s="31"/>
      <c r="AW562" s="31"/>
      <c r="AX562" s="31"/>
      <c r="AY562" s="146"/>
      <c r="AZ562" s="146"/>
      <c r="BA562" s="103"/>
      <c r="BB562" s="103"/>
      <c r="BC562" s="103"/>
      <c r="BD562" s="103"/>
      <c r="BE562" s="103"/>
      <c r="BF562" s="104"/>
      <c r="BG562" s="104"/>
      <c r="BH562" s="102"/>
      <c r="BI562" s="104"/>
      <c r="BJ562" s="103"/>
      <c r="BK562" s="105"/>
      <c r="BL562" s="152"/>
      <c r="BM562" s="103"/>
      <c r="BN562" s="103"/>
      <c r="BO562" s="103"/>
      <c r="BP562" s="103"/>
      <c r="BQ562" s="103"/>
      <c r="BR562" s="103"/>
      <c r="BS562" s="103"/>
      <c r="BT562" s="103"/>
      <c r="BU562" s="103"/>
      <c r="BV562" s="103"/>
      <c r="BW562" s="103"/>
      <c r="BX562" s="103"/>
      <c r="BY562" s="103"/>
      <c r="BZ562" s="104"/>
      <c r="CA562" s="104"/>
      <c r="CB562" s="104"/>
      <c r="CC562" s="104"/>
      <c r="CD562" s="104"/>
      <c r="CE562" s="104"/>
      <c r="CF562" s="103"/>
      <c r="CG562" s="103"/>
      <c r="CH562" s="103"/>
      <c r="CI562" s="103"/>
      <c r="CJ562" s="103"/>
      <c r="CK562" s="103"/>
      <c r="CL562" s="103"/>
      <c r="CM562" s="103"/>
      <c r="CN562" s="103"/>
      <c r="CO562" s="103"/>
      <c r="CP562" s="103"/>
      <c r="CQ562" s="103"/>
      <c r="CR562" s="103"/>
      <c r="CS562" s="103"/>
      <c r="CT562" s="103"/>
      <c r="CU562" s="103"/>
      <c r="CV562" s="103"/>
      <c r="CW562" s="103"/>
      <c r="CX562" s="103"/>
      <c r="CY562" s="103"/>
      <c r="CZ562" s="103"/>
      <c r="DA562" s="103"/>
      <c r="DB562" s="103"/>
      <c r="DC562" s="103"/>
      <c r="DD562" s="103"/>
      <c r="DE562" s="133"/>
      <c r="DF562" s="133"/>
      <c r="DG562" s="1"/>
      <c r="DH562" s="53"/>
      <c r="DI562" s="51"/>
      <c r="DJ562" s="52"/>
      <c r="DK562" s="52"/>
      <c r="DL562" s="52"/>
      <c r="DM562" s="52"/>
      <c r="DN562" s="52"/>
      <c r="DO562" s="52"/>
      <c r="DP562" s="52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P562" s="53"/>
      <c r="EQ562" s="1"/>
      <c r="ER562" s="102"/>
      <c r="ES562" s="103"/>
      <c r="ET562" s="1"/>
      <c r="EU562" s="103"/>
      <c r="EV562" s="1"/>
      <c r="EW562" s="1"/>
      <c r="EX562" s="1"/>
      <c r="EY562" s="102"/>
    </row>
    <row r="563" spans="9:155">
      <c r="I563" s="132"/>
      <c r="J563" s="133"/>
      <c r="K563" s="1"/>
      <c r="L563" s="1"/>
      <c r="S563" s="53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03"/>
      <c r="AQ563" s="1"/>
      <c r="AR563" s="103"/>
      <c r="AS563" s="103"/>
      <c r="AT563" s="103"/>
      <c r="AU563" s="103"/>
      <c r="AV563" s="31"/>
      <c r="AW563" s="31"/>
      <c r="AX563" s="31"/>
      <c r="AY563" s="146"/>
      <c r="AZ563" s="146"/>
      <c r="BA563" s="103"/>
      <c r="BB563" s="103"/>
      <c r="BC563" s="103"/>
      <c r="BD563" s="103"/>
      <c r="BE563" s="103"/>
      <c r="BF563" s="104"/>
      <c r="BG563" s="104"/>
      <c r="BH563" s="102"/>
      <c r="BI563" s="104"/>
      <c r="BJ563" s="103"/>
      <c r="BK563" s="105"/>
      <c r="BL563" s="152"/>
      <c r="BM563" s="103"/>
      <c r="BN563" s="103"/>
      <c r="BO563" s="103"/>
      <c r="BP563" s="103"/>
      <c r="BQ563" s="103"/>
      <c r="BR563" s="103"/>
      <c r="BS563" s="103"/>
      <c r="BT563" s="103"/>
      <c r="BU563" s="103"/>
      <c r="BV563" s="103"/>
      <c r="BW563" s="103"/>
      <c r="BX563" s="103"/>
      <c r="BY563" s="103"/>
      <c r="BZ563" s="104"/>
      <c r="CA563" s="104"/>
      <c r="CB563" s="104"/>
      <c r="CC563" s="104"/>
      <c r="CD563" s="104"/>
      <c r="CE563" s="104"/>
      <c r="CF563" s="103"/>
      <c r="CG563" s="103"/>
      <c r="CH563" s="103"/>
      <c r="CI563" s="103"/>
      <c r="CJ563" s="103"/>
      <c r="CK563" s="103"/>
      <c r="CL563" s="103"/>
      <c r="CM563" s="103"/>
      <c r="CN563" s="103"/>
      <c r="CO563" s="103"/>
      <c r="CP563" s="103"/>
      <c r="CQ563" s="103"/>
      <c r="CR563" s="103"/>
      <c r="CS563" s="103"/>
      <c r="CT563" s="103"/>
      <c r="CU563" s="103"/>
      <c r="CV563" s="103"/>
      <c r="CW563" s="103"/>
      <c r="CX563" s="103"/>
      <c r="CY563" s="103"/>
      <c r="CZ563" s="103"/>
      <c r="DA563" s="103"/>
      <c r="DB563" s="103"/>
      <c r="DC563" s="103"/>
      <c r="DD563" s="103"/>
      <c r="DE563" s="133"/>
      <c r="DF563" s="133"/>
      <c r="DG563" s="1"/>
      <c r="DH563" s="53"/>
      <c r="DI563" s="51"/>
      <c r="DJ563" s="52"/>
      <c r="DK563" s="52"/>
      <c r="DL563" s="52"/>
      <c r="DM563" s="52"/>
      <c r="DN563" s="52"/>
      <c r="DO563" s="52"/>
      <c r="DP563" s="52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P563" s="53"/>
      <c r="EQ563" s="1"/>
      <c r="ER563" s="102"/>
      <c r="ES563" s="103"/>
      <c r="ET563" s="1"/>
      <c r="EU563" s="103"/>
      <c r="EV563" s="1"/>
      <c r="EW563" s="1"/>
      <c r="EX563" s="1"/>
      <c r="EY563" s="102"/>
    </row>
    <row r="564" spans="9:155">
      <c r="I564" s="132"/>
      <c r="J564" s="133"/>
      <c r="K564" s="1"/>
      <c r="L564" s="1"/>
      <c r="S564" s="53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03"/>
      <c r="AQ564" s="1"/>
      <c r="AR564" s="103"/>
      <c r="AS564" s="103"/>
      <c r="AT564" s="103"/>
      <c r="AU564" s="103"/>
      <c r="AV564" s="31"/>
      <c r="AW564" s="31"/>
      <c r="AX564" s="31"/>
      <c r="AY564" s="146"/>
      <c r="AZ564" s="146"/>
      <c r="BA564" s="103"/>
      <c r="BB564" s="103"/>
      <c r="BC564" s="103"/>
      <c r="BD564" s="103"/>
      <c r="BE564" s="103"/>
      <c r="BF564" s="104"/>
      <c r="BG564" s="104"/>
      <c r="BH564" s="102"/>
      <c r="BI564" s="104"/>
      <c r="BJ564" s="103"/>
      <c r="BK564" s="105"/>
      <c r="BL564" s="152"/>
      <c r="BM564" s="103"/>
      <c r="BN564" s="103"/>
      <c r="BO564" s="103"/>
      <c r="BP564" s="103"/>
      <c r="BQ564" s="103"/>
      <c r="BR564" s="103"/>
      <c r="BS564" s="103"/>
      <c r="BT564" s="103"/>
      <c r="BU564" s="103"/>
      <c r="BV564" s="103"/>
      <c r="BW564" s="103"/>
      <c r="BX564" s="103"/>
      <c r="BY564" s="103"/>
      <c r="BZ564" s="104"/>
      <c r="CA564" s="104"/>
      <c r="CB564" s="104"/>
      <c r="CC564" s="104"/>
      <c r="CD564" s="104"/>
      <c r="CE564" s="104"/>
      <c r="CF564" s="103"/>
      <c r="CG564" s="103"/>
      <c r="CH564" s="103"/>
      <c r="CI564" s="103"/>
      <c r="CJ564" s="103"/>
      <c r="CK564" s="103"/>
      <c r="CL564" s="103"/>
      <c r="CM564" s="103"/>
      <c r="CN564" s="103"/>
      <c r="CO564" s="103"/>
      <c r="CP564" s="103"/>
      <c r="CQ564" s="103"/>
      <c r="CR564" s="103"/>
      <c r="CS564" s="103"/>
      <c r="CT564" s="103"/>
      <c r="CU564" s="103"/>
      <c r="CV564" s="103"/>
      <c r="CW564" s="103"/>
      <c r="CX564" s="103"/>
      <c r="CY564" s="103"/>
      <c r="CZ564" s="103"/>
      <c r="DA564" s="103"/>
      <c r="DB564" s="103"/>
      <c r="DC564" s="103"/>
      <c r="DD564" s="103"/>
      <c r="DE564" s="133"/>
      <c r="DF564" s="133"/>
      <c r="DG564" s="1"/>
      <c r="DH564" s="53"/>
      <c r="DI564" s="51"/>
      <c r="DJ564" s="52"/>
      <c r="DK564" s="52"/>
      <c r="DL564" s="52"/>
      <c r="DM564" s="52"/>
      <c r="DN564" s="52"/>
      <c r="DO564" s="52"/>
      <c r="DP564" s="52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P564" s="53"/>
      <c r="EQ564" s="1"/>
      <c r="ER564" s="102"/>
      <c r="ES564" s="103"/>
      <c r="ET564" s="1"/>
      <c r="EU564" s="103"/>
      <c r="EV564" s="1"/>
      <c r="EW564" s="1"/>
      <c r="EX564" s="1"/>
      <c r="EY564" s="102"/>
    </row>
    <row r="565" spans="9:155">
      <c r="I565" s="132"/>
      <c r="J565" s="133"/>
      <c r="K565" s="1"/>
      <c r="L565" s="1"/>
      <c r="S565" s="53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03"/>
      <c r="AQ565" s="1"/>
      <c r="AR565" s="103"/>
      <c r="AS565" s="103"/>
      <c r="AT565" s="103"/>
      <c r="AU565" s="103"/>
      <c r="AV565" s="31"/>
      <c r="AW565" s="31"/>
      <c r="AX565" s="31"/>
      <c r="AY565" s="146"/>
      <c r="AZ565" s="146"/>
      <c r="BA565" s="103"/>
      <c r="BB565" s="103"/>
      <c r="BC565" s="103"/>
      <c r="BD565" s="103"/>
      <c r="BE565" s="103"/>
      <c r="BF565" s="104"/>
      <c r="BG565" s="104"/>
      <c r="BH565" s="102"/>
      <c r="BI565" s="104"/>
      <c r="BJ565" s="103"/>
      <c r="BK565" s="105"/>
      <c r="BL565" s="152"/>
      <c r="BM565" s="103"/>
      <c r="BN565" s="103"/>
      <c r="BO565" s="103"/>
      <c r="BP565" s="103"/>
      <c r="BQ565" s="103"/>
      <c r="BR565" s="103"/>
      <c r="BS565" s="103"/>
      <c r="BT565" s="103"/>
      <c r="BU565" s="103"/>
      <c r="BV565" s="103"/>
      <c r="BW565" s="103"/>
      <c r="BX565" s="103"/>
      <c r="BY565" s="103"/>
      <c r="BZ565" s="104"/>
      <c r="CA565" s="104"/>
      <c r="CB565" s="104"/>
      <c r="CC565" s="104"/>
      <c r="CD565" s="104"/>
      <c r="CE565" s="104"/>
      <c r="CF565" s="103"/>
      <c r="CG565" s="103"/>
      <c r="CH565" s="103"/>
      <c r="CI565" s="103"/>
      <c r="CJ565" s="103"/>
      <c r="CK565" s="103"/>
      <c r="CL565" s="103"/>
      <c r="CM565" s="103"/>
      <c r="CN565" s="103"/>
      <c r="CO565" s="103"/>
      <c r="CP565" s="103"/>
      <c r="CQ565" s="103"/>
      <c r="CR565" s="103"/>
      <c r="CS565" s="103"/>
      <c r="CT565" s="103"/>
      <c r="CU565" s="103"/>
      <c r="CV565" s="103"/>
      <c r="CW565" s="103"/>
      <c r="CX565" s="103"/>
      <c r="CY565" s="103"/>
      <c r="CZ565" s="103"/>
      <c r="DA565" s="103"/>
      <c r="DB565" s="103"/>
      <c r="DC565" s="103"/>
      <c r="DD565" s="103"/>
      <c r="DE565" s="133"/>
      <c r="DF565" s="133"/>
      <c r="DG565" s="1"/>
      <c r="DH565" s="53"/>
      <c r="DI565" s="51"/>
      <c r="DJ565" s="52"/>
      <c r="DK565" s="52"/>
      <c r="DL565" s="52"/>
      <c r="DM565" s="52"/>
      <c r="DN565" s="52"/>
      <c r="DO565" s="52"/>
      <c r="DP565" s="52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P565" s="53"/>
      <c r="EQ565" s="1"/>
      <c r="ER565" s="102"/>
      <c r="ES565" s="103"/>
      <c r="ET565" s="1"/>
      <c r="EU565" s="103"/>
      <c r="EV565" s="1"/>
      <c r="EW565" s="1"/>
      <c r="EX565" s="1"/>
      <c r="EY565" s="102"/>
    </row>
    <row r="566" spans="9:155">
      <c r="I566" s="132"/>
      <c r="J566" s="133"/>
      <c r="K566" s="1"/>
      <c r="L566" s="1"/>
      <c r="S566" s="53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03"/>
      <c r="AQ566" s="1"/>
      <c r="AR566" s="103"/>
      <c r="AS566" s="103"/>
      <c r="AT566" s="103"/>
      <c r="AU566" s="103"/>
      <c r="AV566" s="31"/>
      <c r="AW566" s="31"/>
      <c r="AX566" s="31"/>
      <c r="AY566" s="146"/>
      <c r="AZ566" s="146"/>
      <c r="BA566" s="103"/>
      <c r="BB566" s="103"/>
      <c r="BC566" s="103"/>
      <c r="BD566" s="103"/>
      <c r="BE566" s="103"/>
      <c r="BF566" s="104"/>
      <c r="BG566" s="104"/>
      <c r="BH566" s="102"/>
      <c r="BI566" s="104"/>
      <c r="BJ566" s="103"/>
      <c r="BK566" s="105"/>
      <c r="BL566" s="152"/>
      <c r="BM566" s="103"/>
      <c r="BN566" s="103"/>
      <c r="BO566" s="103"/>
      <c r="BP566" s="103"/>
      <c r="BQ566" s="103"/>
      <c r="BR566" s="103"/>
      <c r="BS566" s="103"/>
      <c r="BT566" s="103"/>
      <c r="BU566" s="103"/>
      <c r="BV566" s="103"/>
      <c r="BW566" s="103"/>
      <c r="BX566" s="103"/>
      <c r="BY566" s="103"/>
      <c r="BZ566" s="104"/>
      <c r="CA566" s="104"/>
      <c r="CB566" s="104"/>
      <c r="CC566" s="104"/>
      <c r="CD566" s="104"/>
      <c r="CE566" s="104"/>
      <c r="CF566" s="103"/>
      <c r="CG566" s="103"/>
      <c r="CH566" s="103"/>
      <c r="CI566" s="103"/>
      <c r="CJ566" s="103"/>
      <c r="CK566" s="103"/>
      <c r="CL566" s="103"/>
      <c r="CM566" s="103"/>
      <c r="CN566" s="103"/>
      <c r="CO566" s="103"/>
      <c r="CP566" s="103"/>
      <c r="CQ566" s="103"/>
      <c r="CR566" s="103"/>
      <c r="CS566" s="103"/>
      <c r="CT566" s="103"/>
      <c r="CU566" s="103"/>
      <c r="CV566" s="103"/>
      <c r="CW566" s="103"/>
      <c r="CX566" s="103"/>
      <c r="CY566" s="103"/>
      <c r="CZ566" s="103"/>
      <c r="DA566" s="103"/>
      <c r="DB566" s="103"/>
      <c r="DC566" s="103"/>
      <c r="DD566" s="103"/>
      <c r="DE566" s="133"/>
      <c r="DF566" s="133"/>
      <c r="DG566" s="1"/>
      <c r="DH566" s="53"/>
      <c r="DI566" s="51"/>
      <c r="DJ566" s="52"/>
      <c r="DK566" s="52"/>
      <c r="DL566" s="52"/>
      <c r="DM566" s="52"/>
      <c r="DN566" s="52"/>
      <c r="DO566" s="52"/>
      <c r="DP566" s="52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P566" s="53"/>
      <c r="EQ566" s="1"/>
      <c r="ER566" s="102"/>
      <c r="ES566" s="103"/>
      <c r="ET566" s="1"/>
      <c r="EU566" s="103"/>
      <c r="EV566" s="1"/>
      <c r="EW566" s="1"/>
      <c r="EX566" s="1"/>
      <c r="EY566" s="102"/>
    </row>
    <row r="567" spans="9:155">
      <c r="I567" s="132"/>
      <c r="J567" s="133"/>
      <c r="K567" s="1"/>
      <c r="L567" s="1"/>
      <c r="S567" s="53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03"/>
      <c r="AQ567" s="1"/>
      <c r="AR567" s="103"/>
      <c r="AS567" s="103"/>
      <c r="AT567" s="103"/>
      <c r="AU567" s="103"/>
      <c r="AV567" s="31"/>
      <c r="AW567" s="31"/>
      <c r="AX567" s="31"/>
      <c r="AY567" s="146"/>
      <c r="AZ567" s="146"/>
      <c r="BA567" s="103"/>
      <c r="BB567" s="103"/>
      <c r="BC567" s="103"/>
      <c r="BD567" s="103"/>
      <c r="BE567" s="103"/>
      <c r="BF567" s="104"/>
      <c r="BG567" s="104"/>
      <c r="BH567" s="102"/>
      <c r="BI567" s="104"/>
      <c r="BJ567" s="103"/>
      <c r="BK567" s="105"/>
      <c r="BL567" s="152"/>
      <c r="BM567" s="103"/>
      <c r="BN567" s="103"/>
      <c r="BO567" s="103"/>
      <c r="BP567" s="103"/>
      <c r="BQ567" s="103"/>
      <c r="BR567" s="103"/>
      <c r="BS567" s="103"/>
      <c r="BT567" s="103"/>
      <c r="BU567" s="103"/>
      <c r="BV567" s="103"/>
      <c r="BW567" s="103"/>
      <c r="BX567" s="103"/>
      <c r="BY567" s="103"/>
      <c r="BZ567" s="104"/>
      <c r="CA567" s="104"/>
      <c r="CB567" s="104"/>
      <c r="CC567" s="104"/>
      <c r="CD567" s="104"/>
      <c r="CE567" s="104"/>
      <c r="CF567" s="103"/>
      <c r="CG567" s="103"/>
      <c r="CH567" s="103"/>
      <c r="CI567" s="103"/>
      <c r="CJ567" s="103"/>
      <c r="CK567" s="103"/>
      <c r="CL567" s="103"/>
      <c r="CM567" s="103"/>
      <c r="CN567" s="103"/>
      <c r="CO567" s="103"/>
      <c r="CP567" s="103"/>
      <c r="CQ567" s="103"/>
      <c r="CR567" s="103"/>
      <c r="CS567" s="103"/>
      <c r="CT567" s="103"/>
      <c r="CU567" s="103"/>
      <c r="CV567" s="103"/>
      <c r="CW567" s="103"/>
      <c r="CX567" s="103"/>
      <c r="CY567" s="103"/>
      <c r="CZ567" s="103"/>
      <c r="DA567" s="103"/>
      <c r="DB567" s="103"/>
      <c r="DC567" s="103"/>
      <c r="DD567" s="103"/>
      <c r="DE567" s="133"/>
      <c r="DF567" s="133"/>
      <c r="DG567" s="1"/>
      <c r="DH567" s="53"/>
      <c r="DI567" s="51"/>
      <c r="DJ567" s="52"/>
      <c r="DK567" s="52"/>
      <c r="DL567" s="52"/>
      <c r="DM567" s="52"/>
      <c r="DN567" s="52"/>
      <c r="DO567" s="52"/>
      <c r="DP567" s="52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P567" s="53"/>
      <c r="EQ567" s="1"/>
      <c r="ER567" s="102"/>
      <c r="ES567" s="103"/>
      <c r="ET567" s="1"/>
      <c r="EU567" s="103"/>
      <c r="EV567" s="1"/>
      <c r="EW567" s="1"/>
      <c r="EX567" s="1"/>
      <c r="EY567" s="102"/>
    </row>
    <row r="568" spans="9:155">
      <c r="I568" s="132"/>
      <c r="J568" s="133"/>
      <c r="K568" s="1"/>
      <c r="L568" s="1"/>
      <c r="S568" s="53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03"/>
      <c r="AQ568" s="1"/>
      <c r="AR568" s="103"/>
      <c r="AS568" s="103"/>
      <c r="AT568" s="103"/>
      <c r="AU568" s="103"/>
      <c r="AV568" s="31"/>
      <c r="AW568" s="31"/>
      <c r="AX568" s="31"/>
      <c r="AY568" s="146"/>
      <c r="AZ568" s="146"/>
      <c r="BA568" s="103"/>
      <c r="BB568" s="103"/>
      <c r="BC568" s="103"/>
      <c r="BD568" s="103"/>
      <c r="BE568" s="103"/>
      <c r="BF568" s="104"/>
      <c r="BG568" s="104"/>
      <c r="BH568" s="102"/>
      <c r="BI568" s="104"/>
      <c r="BJ568" s="103"/>
      <c r="BK568" s="105"/>
      <c r="BL568" s="152"/>
      <c r="BM568" s="103"/>
      <c r="BN568" s="103"/>
      <c r="BO568" s="103"/>
      <c r="BP568" s="103"/>
      <c r="BQ568" s="103"/>
      <c r="BR568" s="103"/>
      <c r="BS568" s="103"/>
      <c r="BT568" s="103"/>
      <c r="BU568" s="103"/>
      <c r="BV568" s="103"/>
      <c r="BW568" s="103"/>
      <c r="BX568" s="103"/>
      <c r="BY568" s="103"/>
      <c r="BZ568" s="104"/>
      <c r="CA568" s="104"/>
      <c r="CB568" s="104"/>
      <c r="CC568" s="104"/>
      <c r="CD568" s="104"/>
      <c r="CE568" s="104"/>
      <c r="CF568" s="103"/>
      <c r="CG568" s="103"/>
      <c r="CH568" s="103"/>
      <c r="CI568" s="103"/>
      <c r="CJ568" s="103"/>
      <c r="CK568" s="103"/>
      <c r="CL568" s="103"/>
      <c r="CM568" s="103"/>
      <c r="CN568" s="103"/>
      <c r="CO568" s="103"/>
      <c r="CP568" s="103"/>
      <c r="CQ568" s="103"/>
      <c r="CR568" s="103"/>
      <c r="CS568" s="103"/>
      <c r="CT568" s="103"/>
      <c r="CU568" s="103"/>
      <c r="CV568" s="103"/>
      <c r="CW568" s="103"/>
      <c r="CX568" s="103"/>
      <c r="CY568" s="103"/>
      <c r="CZ568" s="103"/>
      <c r="DA568" s="103"/>
      <c r="DB568" s="103"/>
      <c r="DC568" s="103"/>
      <c r="DD568" s="103"/>
      <c r="DE568" s="133"/>
      <c r="DF568" s="133"/>
      <c r="DG568" s="1"/>
      <c r="DH568" s="53"/>
      <c r="DI568" s="51"/>
      <c r="DJ568" s="52"/>
      <c r="DK568" s="52"/>
      <c r="DL568" s="52"/>
      <c r="DM568" s="52"/>
      <c r="DN568" s="52"/>
      <c r="DO568" s="52"/>
      <c r="DP568" s="52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P568" s="53"/>
      <c r="EQ568" s="1"/>
      <c r="ER568" s="102"/>
      <c r="ES568" s="103"/>
      <c r="ET568" s="1"/>
      <c r="EU568" s="103"/>
      <c r="EV568" s="1"/>
      <c r="EW568" s="1"/>
      <c r="EX568" s="1"/>
      <c r="EY568" s="102"/>
    </row>
    <row r="569" spans="9:155">
      <c r="I569" s="132"/>
      <c r="J569" s="133"/>
      <c r="K569" s="1"/>
      <c r="L569" s="1"/>
      <c r="S569" s="53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03"/>
      <c r="AQ569" s="1"/>
      <c r="AR569" s="103"/>
      <c r="AS569" s="103"/>
      <c r="AT569" s="103"/>
      <c r="AU569" s="103"/>
      <c r="AV569" s="31"/>
      <c r="AW569" s="31"/>
      <c r="AX569" s="31"/>
      <c r="AY569" s="146"/>
      <c r="AZ569" s="146"/>
      <c r="BA569" s="103"/>
      <c r="BB569" s="103"/>
      <c r="BC569" s="103"/>
      <c r="BD569" s="103"/>
      <c r="BE569" s="103"/>
      <c r="BF569" s="104"/>
      <c r="BG569" s="104"/>
      <c r="BH569" s="102"/>
      <c r="BI569" s="104"/>
      <c r="BJ569" s="103"/>
      <c r="BK569" s="105"/>
      <c r="BL569" s="152"/>
      <c r="BM569" s="103"/>
      <c r="BN569" s="103"/>
      <c r="BO569" s="103"/>
      <c r="BP569" s="103"/>
      <c r="BQ569" s="103"/>
      <c r="BR569" s="103"/>
      <c r="BS569" s="103"/>
      <c r="BT569" s="103"/>
      <c r="BU569" s="103"/>
      <c r="BV569" s="103"/>
      <c r="BW569" s="103"/>
      <c r="BX569" s="103"/>
      <c r="BY569" s="103"/>
      <c r="BZ569" s="104"/>
      <c r="CA569" s="104"/>
      <c r="CB569" s="104"/>
      <c r="CC569" s="104"/>
      <c r="CD569" s="104"/>
      <c r="CE569" s="104"/>
      <c r="CF569" s="103"/>
      <c r="CG569" s="103"/>
      <c r="CH569" s="103"/>
      <c r="CI569" s="103"/>
      <c r="CJ569" s="103"/>
      <c r="CK569" s="103"/>
      <c r="CL569" s="103"/>
      <c r="CM569" s="103"/>
      <c r="CN569" s="103"/>
      <c r="CO569" s="103"/>
      <c r="CP569" s="103"/>
      <c r="CQ569" s="103"/>
      <c r="CR569" s="103"/>
      <c r="CS569" s="103"/>
      <c r="CT569" s="103"/>
      <c r="CU569" s="103"/>
      <c r="CV569" s="103"/>
      <c r="CW569" s="103"/>
      <c r="CX569" s="103"/>
      <c r="CY569" s="103"/>
      <c r="CZ569" s="103"/>
      <c r="DA569" s="103"/>
      <c r="DB569" s="103"/>
      <c r="DC569" s="103"/>
      <c r="DD569" s="103"/>
      <c r="DE569" s="133"/>
      <c r="DF569" s="133"/>
      <c r="DG569" s="1"/>
      <c r="DH569" s="53"/>
      <c r="DI569" s="51"/>
      <c r="DJ569" s="52"/>
      <c r="DK569" s="52"/>
      <c r="DL569" s="52"/>
      <c r="DM569" s="52"/>
      <c r="DN569" s="52"/>
      <c r="DO569" s="52"/>
      <c r="DP569" s="52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P569" s="53"/>
      <c r="EQ569" s="1"/>
      <c r="ER569" s="102"/>
      <c r="ES569" s="103"/>
      <c r="ET569" s="1"/>
      <c r="EU569" s="103"/>
      <c r="EV569" s="1"/>
      <c r="EW569" s="1"/>
      <c r="EX569" s="1"/>
      <c r="EY569" s="102"/>
    </row>
    <row r="570" spans="9:155">
      <c r="I570" s="132"/>
      <c r="J570" s="133"/>
      <c r="K570" s="1"/>
      <c r="L570" s="1"/>
      <c r="S570" s="53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03"/>
      <c r="AQ570" s="1"/>
      <c r="AR570" s="103"/>
      <c r="AS570" s="103"/>
      <c r="AT570" s="103"/>
      <c r="AU570" s="103"/>
      <c r="AV570" s="31"/>
      <c r="AW570" s="31"/>
      <c r="AX570" s="31"/>
      <c r="AY570" s="146"/>
      <c r="AZ570" s="146"/>
      <c r="BA570" s="103"/>
      <c r="BB570" s="103"/>
      <c r="BC570" s="103"/>
      <c r="BD570" s="103"/>
      <c r="BE570" s="103"/>
      <c r="BF570" s="104"/>
      <c r="BG570" s="104"/>
      <c r="BH570" s="102"/>
      <c r="BI570" s="104"/>
      <c r="BJ570" s="103"/>
      <c r="BK570" s="105"/>
      <c r="BL570" s="152"/>
      <c r="BM570" s="103"/>
      <c r="BN570" s="103"/>
      <c r="BO570" s="103"/>
      <c r="BP570" s="103"/>
      <c r="BQ570" s="103"/>
      <c r="BR570" s="103"/>
      <c r="BS570" s="103"/>
      <c r="BT570" s="103"/>
      <c r="BU570" s="103"/>
      <c r="BV570" s="103"/>
      <c r="BW570" s="103"/>
      <c r="BX570" s="103"/>
      <c r="BY570" s="103"/>
      <c r="BZ570" s="104"/>
      <c r="CA570" s="104"/>
      <c r="CB570" s="104"/>
      <c r="CC570" s="104"/>
      <c r="CD570" s="104"/>
      <c r="CE570" s="104"/>
      <c r="CF570" s="103"/>
      <c r="CG570" s="103"/>
      <c r="CH570" s="103"/>
      <c r="CI570" s="103"/>
      <c r="CJ570" s="103"/>
      <c r="CK570" s="103"/>
      <c r="CL570" s="103"/>
      <c r="CM570" s="103"/>
      <c r="CN570" s="103"/>
      <c r="CO570" s="103"/>
      <c r="CP570" s="103"/>
      <c r="CQ570" s="103"/>
      <c r="CR570" s="103"/>
      <c r="CS570" s="103"/>
      <c r="CT570" s="103"/>
      <c r="CU570" s="103"/>
      <c r="CV570" s="103"/>
      <c r="CW570" s="103"/>
      <c r="CX570" s="103"/>
      <c r="CY570" s="103"/>
      <c r="CZ570" s="103"/>
      <c r="DA570" s="103"/>
      <c r="DB570" s="103"/>
      <c r="DC570" s="103"/>
      <c r="DD570" s="103"/>
      <c r="DE570" s="133"/>
      <c r="DF570" s="133"/>
      <c r="DG570" s="1"/>
      <c r="DH570" s="53"/>
      <c r="DI570" s="51"/>
      <c r="DJ570" s="52"/>
      <c r="DK570" s="52"/>
      <c r="DL570" s="52"/>
      <c r="DM570" s="52"/>
      <c r="DN570" s="52"/>
      <c r="DO570" s="52"/>
      <c r="DP570" s="52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P570" s="53"/>
      <c r="EQ570" s="1"/>
      <c r="ER570" s="102"/>
      <c r="ES570" s="103"/>
      <c r="ET570" s="1"/>
      <c r="EU570" s="103"/>
      <c r="EV570" s="1"/>
      <c r="EW570" s="1"/>
      <c r="EX570" s="1"/>
      <c r="EY570" s="102"/>
    </row>
    <row r="571" spans="9:155">
      <c r="I571" s="132"/>
      <c r="J571" s="133"/>
      <c r="K571" s="1"/>
      <c r="L571" s="1"/>
      <c r="S571" s="53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03"/>
      <c r="AQ571" s="1"/>
      <c r="AR571" s="103"/>
      <c r="AS571" s="103"/>
      <c r="AT571" s="103"/>
      <c r="AU571" s="103"/>
      <c r="AV571" s="31"/>
      <c r="AW571" s="31"/>
      <c r="AX571" s="31"/>
      <c r="AY571" s="146"/>
      <c r="AZ571" s="146"/>
      <c r="BA571" s="103"/>
      <c r="BB571" s="103"/>
      <c r="BC571" s="103"/>
      <c r="BD571" s="103"/>
      <c r="BE571" s="103"/>
      <c r="BF571" s="104"/>
      <c r="BG571" s="104"/>
      <c r="BH571" s="102"/>
      <c r="BI571" s="104"/>
      <c r="BJ571" s="103"/>
      <c r="BK571" s="105"/>
      <c r="BL571" s="152"/>
      <c r="BM571" s="103"/>
      <c r="BN571" s="103"/>
      <c r="BO571" s="103"/>
      <c r="BP571" s="103"/>
      <c r="BQ571" s="103"/>
      <c r="BR571" s="103"/>
      <c r="BS571" s="103"/>
      <c r="BT571" s="103"/>
      <c r="BU571" s="103"/>
      <c r="BV571" s="103"/>
      <c r="BW571" s="103"/>
      <c r="BX571" s="103"/>
      <c r="BY571" s="103"/>
      <c r="BZ571" s="104"/>
      <c r="CA571" s="104"/>
      <c r="CB571" s="104"/>
      <c r="CC571" s="104"/>
      <c r="CD571" s="104"/>
      <c r="CE571" s="104"/>
      <c r="CF571" s="103"/>
      <c r="CG571" s="103"/>
      <c r="CH571" s="103"/>
      <c r="CI571" s="103"/>
      <c r="CJ571" s="103"/>
      <c r="CK571" s="103"/>
      <c r="CL571" s="103"/>
      <c r="CM571" s="103"/>
      <c r="CN571" s="103"/>
      <c r="CO571" s="103"/>
      <c r="CP571" s="103"/>
      <c r="CQ571" s="103"/>
      <c r="CR571" s="103"/>
      <c r="CS571" s="103"/>
      <c r="CT571" s="103"/>
      <c r="CU571" s="103"/>
      <c r="CV571" s="103"/>
      <c r="CW571" s="103"/>
      <c r="CX571" s="103"/>
      <c r="CY571" s="103"/>
      <c r="CZ571" s="103"/>
      <c r="DA571" s="103"/>
      <c r="DB571" s="103"/>
      <c r="DC571" s="103"/>
      <c r="DD571" s="103"/>
      <c r="DE571" s="133"/>
      <c r="DF571" s="133"/>
      <c r="DG571" s="1"/>
      <c r="DH571" s="53"/>
      <c r="DI571" s="51"/>
      <c r="DJ571" s="52"/>
      <c r="DK571" s="52"/>
      <c r="DL571" s="52"/>
      <c r="DM571" s="52"/>
      <c r="DN571" s="52"/>
      <c r="DO571" s="52"/>
      <c r="DP571" s="52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P571" s="53"/>
      <c r="EQ571" s="1"/>
      <c r="ER571" s="102"/>
      <c r="ES571" s="103"/>
      <c r="ET571" s="1"/>
      <c r="EU571" s="103"/>
      <c r="EV571" s="1"/>
      <c r="EW571" s="1"/>
      <c r="EX571" s="1"/>
      <c r="EY571" s="102"/>
    </row>
    <row r="572" spans="9:155">
      <c r="I572" s="132"/>
      <c r="J572" s="133"/>
      <c r="K572" s="1"/>
      <c r="L572" s="1"/>
      <c r="S572" s="53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03"/>
      <c r="AQ572" s="1"/>
      <c r="AR572" s="103"/>
      <c r="AS572" s="103"/>
      <c r="AT572" s="103"/>
      <c r="AU572" s="103"/>
      <c r="AV572" s="31"/>
      <c r="AW572" s="31"/>
      <c r="AX572" s="31"/>
      <c r="AY572" s="146"/>
      <c r="AZ572" s="146"/>
      <c r="BA572" s="103"/>
      <c r="BB572" s="103"/>
      <c r="BC572" s="103"/>
      <c r="BD572" s="103"/>
      <c r="BE572" s="103"/>
      <c r="BF572" s="104"/>
      <c r="BG572" s="104"/>
      <c r="BH572" s="102"/>
      <c r="BI572" s="104"/>
      <c r="BJ572" s="103"/>
      <c r="BK572" s="105"/>
      <c r="BL572" s="152"/>
      <c r="BM572" s="103"/>
      <c r="BN572" s="103"/>
      <c r="BO572" s="103"/>
      <c r="BP572" s="103"/>
      <c r="BQ572" s="103"/>
      <c r="BR572" s="103"/>
      <c r="BS572" s="103"/>
      <c r="BT572" s="103"/>
      <c r="BU572" s="103"/>
      <c r="BV572" s="103"/>
      <c r="BW572" s="103"/>
      <c r="BX572" s="103"/>
      <c r="BY572" s="103"/>
      <c r="BZ572" s="104"/>
      <c r="CA572" s="104"/>
      <c r="CB572" s="104"/>
      <c r="CC572" s="104"/>
      <c r="CD572" s="104"/>
      <c r="CE572" s="104"/>
      <c r="CF572" s="103"/>
      <c r="CG572" s="103"/>
      <c r="CH572" s="103"/>
      <c r="CI572" s="103"/>
      <c r="CJ572" s="103"/>
      <c r="CK572" s="103"/>
      <c r="CL572" s="103"/>
      <c r="CM572" s="103"/>
      <c r="CN572" s="103"/>
      <c r="CO572" s="103"/>
      <c r="CP572" s="103"/>
      <c r="CQ572" s="103"/>
      <c r="CR572" s="103"/>
      <c r="CS572" s="103"/>
      <c r="CT572" s="103"/>
      <c r="CU572" s="103"/>
      <c r="CV572" s="103"/>
      <c r="CW572" s="103"/>
      <c r="CX572" s="103"/>
      <c r="CY572" s="103"/>
      <c r="CZ572" s="103"/>
      <c r="DA572" s="103"/>
      <c r="DB572" s="103"/>
      <c r="DC572" s="103"/>
      <c r="DD572" s="103"/>
      <c r="DE572" s="133"/>
      <c r="DF572" s="133"/>
      <c r="DG572" s="1"/>
      <c r="DH572" s="53"/>
      <c r="DI572" s="51"/>
      <c r="DJ572" s="52"/>
      <c r="DK572" s="52"/>
      <c r="DL572" s="52"/>
      <c r="DM572" s="52"/>
      <c r="DN572" s="52"/>
      <c r="DO572" s="52"/>
      <c r="DP572" s="52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P572" s="53"/>
      <c r="EQ572" s="1"/>
      <c r="ER572" s="102"/>
      <c r="ES572" s="103"/>
      <c r="ET572" s="1"/>
      <c r="EU572" s="103"/>
      <c r="EV572" s="1"/>
      <c r="EW572" s="1"/>
      <c r="EX572" s="1"/>
      <c r="EY572" s="102"/>
    </row>
    <row r="573" spans="9:155">
      <c r="I573" s="132"/>
      <c r="J573" s="133"/>
      <c r="K573" s="1"/>
      <c r="L573" s="1"/>
      <c r="S573" s="53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03"/>
      <c r="AQ573" s="1"/>
      <c r="AR573" s="103"/>
      <c r="AS573" s="103"/>
      <c r="AT573" s="103"/>
      <c r="AU573" s="103"/>
      <c r="AV573" s="31"/>
      <c r="AW573" s="31"/>
      <c r="AX573" s="31"/>
      <c r="AY573" s="146"/>
      <c r="AZ573" s="146"/>
      <c r="BA573" s="103"/>
      <c r="BB573" s="103"/>
      <c r="BC573" s="103"/>
      <c r="BD573" s="103"/>
      <c r="BE573" s="103"/>
      <c r="BF573" s="104"/>
      <c r="BG573" s="104"/>
      <c r="BH573" s="102"/>
      <c r="BI573" s="104"/>
      <c r="BJ573" s="103"/>
      <c r="BK573" s="105"/>
      <c r="BL573" s="152"/>
      <c r="BM573" s="103"/>
      <c r="BN573" s="103"/>
      <c r="BO573" s="103"/>
      <c r="BP573" s="103"/>
      <c r="BQ573" s="103"/>
      <c r="BR573" s="103"/>
      <c r="BS573" s="103"/>
      <c r="BT573" s="103"/>
      <c r="BU573" s="103"/>
      <c r="BV573" s="103"/>
      <c r="BW573" s="103"/>
      <c r="BX573" s="103"/>
      <c r="BY573" s="103"/>
      <c r="BZ573" s="104"/>
      <c r="CA573" s="104"/>
      <c r="CB573" s="104"/>
      <c r="CC573" s="104"/>
      <c r="CD573" s="104"/>
      <c r="CE573" s="104"/>
      <c r="CF573" s="103"/>
      <c r="CG573" s="103"/>
      <c r="CH573" s="103"/>
      <c r="CI573" s="103"/>
      <c r="CJ573" s="103"/>
      <c r="CK573" s="103"/>
      <c r="CL573" s="103"/>
      <c r="CM573" s="103"/>
      <c r="CN573" s="103"/>
      <c r="CO573" s="103"/>
      <c r="CP573" s="103"/>
      <c r="CQ573" s="103"/>
      <c r="CR573" s="103"/>
      <c r="CS573" s="103"/>
      <c r="CT573" s="103"/>
      <c r="CU573" s="103"/>
      <c r="CV573" s="103"/>
      <c r="CW573" s="103"/>
      <c r="CX573" s="103"/>
      <c r="CY573" s="103"/>
      <c r="CZ573" s="103"/>
      <c r="DA573" s="103"/>
      <c r="DB573" s="103"/>
      <c r="DC573" s="103"/>
      <c r="DD573" s="103"/>
      <c r="DE573" s="133"/>
      <c r="DF573" s="133"/>
      <c r="DG573" s="1"/>
      <c r="DH573" s="53"/>
      <c r="DI573" s="51"/>
      <c r="DJ573" s="52"/>
      <c r="DK573" s="52"/>
      <c r="DL573" s="52"/>
      <c r="DM573" s="52"/>
      <c r="DN573" s="52"/>
      <c r="DO573" s="52"/>
      <c r="DP573" s="52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P573" s="53"/>
      <c r="EQ573" s="1"/>
      <c r="ER573" s="102"/>
      <c r="ES573" s="103"/>
      <c r="ET573" s="1"/>
      <c r="EU573" s="103"/>
      <c r="EV573" s="1"/>
      <c r="EW573" s="1"/>
      <c r="EX573" s="1"/>
      <c r="EY573" s="102"/>
    </row>
    <row r="574" spans="9:155">
      <c r="I574" s="132"/>
      <c r="J574" s="133"/>
      <c r="K574" s="1"/>
      <c r="L574" s="1"/>
      <c r="S574" s="53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03"/>
      <c r="AQ574" s="1"/>
      <c r="AR574" s="103"/>
      <c r="AS574" s="103"/>
      <c r="AT574" s="103"/>
      <c r="AU574" s="103"/>
      <c r="AV574" s="31"/>
      <c r="AW574" s="31"/>
      <c r="AX574" s="31"/>
      <c r="AY574" s="146"/>
      <c r="AZ574" s="146"/>
      <c r="BA574" s="103"/>
      <c r="BB574" s="103"/>
      <c r="BC574" s="103"/>
      <c r="BD574" s="103"/>
      <c r="BE574" s="103"/>
      <c r="BF574" s="104"/>
      <c r="BG574" s="104"/>
      <c r="BH574" s="102"/>
      <c r="BI574" s="104"/>
      <c r="BJ574" s="103"/>
      <c r="BK574" s="105"/>
      <c r="BL574" s="152"/>
      <c r="BM574" s="103"/>
      <c r="BN574" s="103"/>
      <c r="BO574" s="103"/>
      <c r="BP574" s="103"/>
      <c r="BQ574" s="103"/>
      <c r="BR574" s="103"/>
      <c r="BS574" s="103"/>
      <c r="BT574" s="103"/>
      <c r="BU574" s="103"/>
      <c r="BV574" s="103"/>
      <c r="BW574" s="103"/>
      <c r="BX574" s="103"/>
      <c r="BY574" s="103"/>
      <c r="BZ574" s="104"/>
      <c r="CA574" s="104"/>
      <c r="CB574" s="104"/>
      <c r="CC574" s="104"/>
      <c r="CD574" s="104"/>
      <c r="CE574" s="104"/>
      <c r="CF574" s="103"/>
      <c r="CG574" s="103"/>
      <c r="CH574" s="103"/>
      <c r="CI574" s="103"/>
      <c r="CJ574" s="103"/>
      <c r="CK574" s="103"/>
      <c r="CL574" s="103"/>
      <c r="CM574" s="103"/>
      <c r="CN574" s="103"/>
      <c r="CO574" s="103"/>
      <c r="CP574" s="103"/>
      <c r="CQ574" s="103"/>
      <c r="CR574" s="103"/>
      <c r="CS574" s="103"/>
      <c r="CT574" s="103"/>
      <c r="CU574" s="103"/>
      <c r="CV574" s="103"/>
      <c r="CW574" s="103"/>
      <c r="CX574" s="103"/>
      <c r="CY574" s="103"/>
      <c r="CZ574" s="103"/>
      <c r="DA574" s="103"/>
      <c r="DB574" s="103"/>
      <c r="DC574" s="103"/>
      <c r="DD574" s="103"/>
      <c r="DE574" s="133"/>
      <c r="DF574" s="133"/>
      <c r="DG574" s="1"/>
      <c r="DH574" s="53"/>
      <c r="DI574" s="51"/>
      <c r="DJ574" s="52"/>
      <c r="DK574" s="52"/>
      <c r="DL574" s="52"/>
      <c r="DM574" s="52"/>
      <c r="DN574" s="52"/>
      <c r="DO574" s="52"/>
      <c r="DP574" s="52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P574" s="53"/>
      <c r="EQ574" s="1"/>
      <c r="ER574" s="102"/>
      <c r="ES574" s="103"/>
      <c r="ET574" s="1"/>
      <c r="EU574" s="103"/>
      <c r="EV574" s="1"/>
      <c r="EW574" s="1"/>
      <c r="EX574" s="1"/>
      <c r="EY574" s="102"/>
    </row>
    <row r="575" spans="9:155">
      <c r="I575" s="132"/>
      <c r="J575" s="133"/>
      <c r="K575" s="1"/>
      <c r="L575" s="1"/>
      <c r="S575" s="53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03"/>
      <c r="AQ575" s="1"/>
      <c r="AR575" s="103"/>
      <c r="AS575" s="103"/>
      <c r="AT575" s="103"/>
      <c r="AU575" s="103"/>
      <c r="AV575" s="31"/>
      <c r="AW575" s="31"/>
      <c r="AX575" s="31"/>
      <c r="AY575" s="146"/>
      <c r="AZ575" s="146"/>
      <c r="BA575" s="103"/>
      <c r="BB575" s="103"/>
      <c r="BC575" s="103"/>
      <c r="BD575" s="103"/>
      <c r="BE575" s="103"/>
      <c r="BF575" s="104"/>
      <c r="BG575" s="104"/>
      <c r="BH575" s="102"/>
      <c r="BI575" s="104"/>
      <c r="BJ575" s="103"/>
      <c r="BK575" s="105"/>
      <c r="BL575" s="152"/>
      <c r="BM575" s="103"/>
      <c r="BN575" s="103"/>
      <c r="BO575" s="103"/>
      <c r="BP575" s="103"/>
      <c r="BQ575" s="103"/>
      <c r="BR575" s="103"/>
      <c r="BS575" s="103"/>
      <c r="BT575" s="103"/>
      <c r="BU575" s="103"/>
      <c r="BV575" s="103"/>
      <c r="BW575" s="103"/>
      <c r="BX575" s="103"/>
      <c r="BY575" s="103"/>
      <c r="BZ575" s="104"/>
      <c r="CA575" s="104"/>
      <c r="CB575" s="104"/>
      <c r="CC575" s="104"/>
      <c r="CD575" s="104"/>
      <c r="CE575" s="104"/>
      <c r="CF575" s="103"/>
      <c r="CG575" s="103"/>
      <c r="CH575" s="103"/>
      <c r="CI575" s="103"/>
      <c r="CJ575" s="103"/>
      <c r="CK575" s="103"/>
      <c r="CL575" s="103"/>
      <c r="CM575" s="103"/>
      <c r="CN575" s="103"/>
      <c r="CO575" s="103"/>
      <c r="CP575" s="103"/>
      <c r="CQ575" s="103"/>
      <c r="CR575" s="103"/>
      <c r="CS575" s="103"/>
      <c r="CT575" s="103"/>
      <c r="CU575" s="103"/>
      <c r="CV575" s="103"/>
      <c r="CW575" s="103"/>
      <c r="CX575" s="103"/>
      <c r="CY575" s="103"/>
      <c r="CZ575" s="103"/>
      <c r="DA575" s="103"/>
      <c r="DB575" s="103"/>
      <c r="DC575" s="103"/>
      <c r="DD575" s="103"/>
      <c r="DE575" s="133"/>
      <c r="DF575" s="133"/>
      <c r="DG575" s="1"/>
      <c r="DH575" s="53"/>
      <c r="DI575" s="51"/>
      <c r="DJ575" s="52"/>
      <c r="DK575" s="52"/>
      <c r="DL575" s="52"/>
      <c r="DM575" s="52"/>
      <c r="DN575" s="52"/>
      <c r="DO575" s="52"/>
      <c r="DP575" s="52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P575" s="53"/>
      <c r="EQ575" s="1"/>
      <c r="ER575" s="102"/>
      <c r="ES575" s="103"/>
      <c r="ET575" s="1"/>
      <c r="EU575" s="103"/>
      <c r="EV575" s="1"/>
      <c r="EW575" s="1"/>
      <c r="EX575" s="1"/>
      <c r="EY575" s="102"/>
    </row>
    <row r="576" spans="9:155">
      <c r="I576" s="132"/>
      <c r="J576" s="133"/>
      <c r="K576" s="1"/>
      <c r="L576" s="1"/>
      <c r="S576" s="53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03"/>
      <c r="AQ576" s="1"/>
      <c r="AR576" s="103"/>
      <c r="AS576" s="103"/>
      <c r="AT576" s="103"/>
      <c r="AU576" s="103"/>
      <c r="AV576" s="31"/>
      <c r="AW576" s="31"/>
      <c r="AX576" s="31"/>
      <c r="AY576" s="146"/>
      <c r="AZ576" s="146"/>
      <c r="BA576" s="103"/>
      <c r="BB576" s="103"/>
      <c r="BC576" s="103"/>
      <c r="BD576" s="103"/>
      <c r="BE576" s="103"/>
      <c r="BF576" s="104"/>
      <c r="BG576" s="104"/>
      <c r="BH576" s="102"/>
      <c r="BI576" s="104"/>
      <c r="BJ576" s="103"/>
      <c r="BK576" s="105"/>
      <c r="BL576" s="152"/>
      <c r="BM576" s="103"/>
      <c r="BN576" s="103"/>
      <c r="BO576" s="103"/>
      <c r="BP576" s="103"/>
      <c r="BQ576" s="103"/>
      <c r="BR576" s="103"/>
      <c r="BS576" s="103"/>
      <c r="BT576" s="103"/>
      <c r="BU576" s="103"/>
      <c r="BV576" s="103"/>
      <c r="BW576" s="103"/>
      <c r="BX576" s="103"/>
      <c r="BY576" s="103"/>
      <c r="BZ576" s="104"/>
      <c r="CA576" s="104"/>
      <c r="CB576" s="104"/>
      <c r="CC576" s="104"/>
      <c r="CD576" s="104"/>
      <c r="CE576" s="104"/>
      <c r="CF576" s="103"/>
      <c r="CG576" s="103"/>
      <c r="CH576" s="103"/>
      <c r="CI576" s="103"/>
      <c r="CJ576" s="103"/>
      <c r="CK576" s="103"/>
      <c r="CL576" s="103"/>
      <c r="CM576" s="103"/>
      <c r="CN576" s="103"/>
      <c r="CO576" s="103"/>
      <c r="CP576" s="103"/>
      <c r="CQ576" s="103"/>
      <c r="CR576" s="103"/>
      <c r="CS576" s="103"/>
      <c r="CT576" s="103"/>
      <c r="CU576" s="103"/>
      <c r="CV576" s="103"/>
      <c r="CW576" s="103"/>
      <c r="CX576" s="103"/>
      <c r="CY576" s="103"/>
      <c r="CZ576" s="103"/>
      <c r="DA576" s="103"/>
      <c r="DB576" s="103"/>
      <c r="DC576" s="103"/>
      <c r="DD576" s="103"/>
      <c r="DE576" s="133"/>
      <c r="DF576" s="133"/>
      <c r="DG576" s="1"/>
      <c r="DH576" s="53"/>
      <c r="DI576" s="51"/>
      <c r="DJ576" s="52"/>
      <c r="DK576" s="52"/>
      <c r="DL576" s="52"/>
      <c r="DM576" s="52"/>
      <c r="DN576" s="52"/>
      <c r="DO576" s="52"/>
      <c r="DP576" s="52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P576" s="53"/>
      <c r="EQ576" s="1"/>
      <c r="ER576" s="102"/>
      <c r="ES576" s="103"/>
      <c r="ET576" s="1"/>
      <c r="EU576" s="103"/>
      <c r="EV576" s="1"/>
      <c r="EW576" s="1"/>
      <c r="EX576" s="1"/>
      <c r="EY576" s="102"/>
    </row>
    <row r="577" spans="9:155">
      <c r="I577" s="132"/>
      <c r="J577" s="133"/>
      <c r="K577" s="1"/>
      <c r="L577" s="1"/>
      <c r="S577" s="53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03"/>
      <c r="AQ577" s="1"/>
      <c r="AR577" s="103"/>
      <c r="AS577" s="103"/>
      <c r="AT577" s="103"/>
      <c r="AU577" s="103"/>
      <c r="AV577" s="31"/>
      <c r="AW577" s="31"/>
      <c r="AX577" s="31"/>
      <c r="AY577" s="146"/>
      <c r="AZ577" s="146"/>
      <c r="BA577" s="103"/>
      <c r="BB577" s="103"/>
      <c r="BC577" s="103"/>
      <c r="BD577" s="103"/>
      <c r="BE577" s="103"/>
      <c r="BF577" s="104"/>
      <c r="BG577" s="104"/>
      <c r="BH577" s="102"/>
      <c r="BI577" s="104"/>
      <c r="BJ577" s="103"/>
      <c r="BK577" s="105"/>
      <c r="BL577" s="152"/>
      <c r="BM577" s="103"/>
      <c r="BN577" s="103"/>
      <c r="BO577" s="103"/>
      <c r="BP577" s="103"/>
      <c r="BQ577" s="103"/>
      <c r="BR577" s="103"/>
      <c r="BS577" s="103"/>
      <c r="BT577" s="103"/>
      <c r="BU577" s="103"/>
      <c r="BV577" s="103"/>
      <c r="BW577" s="103"/>
      <c r="BX577" s="103"/>
      <c r="BY577" s="103"/>
      <c r="BZ577" s="104"/>
      <c r="CA577" s="104"/>
      <c r="CB577" s="104"/>
      <c r="CC577" s="104"/>
      <c r="CD577" s="104"/>
      <c r="CE577" s="104"/>
      <c r="CF577" s="103"/>
      <c r="CG577" s="103"/>
      <c r="CH577" s="103"/>
      <c r="CI577" s="103"/>
      <c r="CJ577" s="103"/>
      <c r="CK577" s="103"/>
      <c r="CL577" s="103"/>
      <c r="CM577" s="103"/>
      <c r="CN577" s="103"/>
      <c r="CO577" s="103"/>
      <c r="CP577" s="103"/>
      <c r="CQ577" s="103"/>
      <c r="CR577" s="103"/>
      <c r="CS577" s="103"/>
      <c r="CT577" s="103"/>
      <c r="CU577" s="103"/>
      <c r="CV577" s="103"/>
      <c r="CW577" s="103"/>
      <c r="CX577" s="103"/>
      <c r="CY577" s="103"/>
      <c r="CZ577" s="103"/>
      <c r="DA577" s="103"/>
      <c r="DB577" s="103"/>
      <c r="DC577" s="103"/>
      <c r="DD577" s="103"/>
      <c r="DE577" s="133"/>
      <c r="DF577" s="133"/>
      <c r="DG577" s="1"/>
      <c r="DH577" s="53"/>
      <c r="DI577" s="51"/>
      <c r="DJ577" s="52"/>
      <c r="DK577" s="52"/>
      <c r="DL577" s="52"/>
      <c r="DM577" s="52"/>
      <c r="DN577" s="52"/>
      <c r="DO577" s="52"/>
      <c r="DP577" s="52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P577" s="53"/>
      <c r="EQ577" s="1"/>
      <c r="ER577" s="102"/>
      <c r="ES577" s="103"/>
      <c r="ET577" s="1"/>
      <c r="EU577" s="103"/>
      <c r="EV577" s="1"/>
      <c r="EW577" s="1"/>
      <c r="EX577" s="1"/>
      <c r="EY577" s="102"/>
    </row>
    <row r="578" spans="9:155">
      <c r="I578" s="132"/>
      <c r="J578" s="133"/>
      <c r="K578" s="1"/>
      <c r="L578" s="1"/>
      <c r="S578" s="53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03"/>
      <c r="AQ578" s="1"/>
      <c r="AR578" s="103"/>
      <c r="AS578" s="103"/>
      <c r="AT578" s="103"/>
      <c r="AU578" s="103"/>
      <c r="AV578" s="31"/>
      <c r="AW578" s="31"/>
      <c r="AX578" s="31"/>
      <c r="AY578" s="146"/>
      <c r="AZ578" s="146"/>
      <c r="BA578" s="103"/>
      <c r="BB578" s="103"/>
      <c r="BC578" s="103"/>
      <c r="BD578" s="103"/>
      <c r="BE578" s="103"/>
      <c r="BF578" s="104"/>
      <c r="BG578" s="104"/>
      <c r="BH578" s="102"/>
      <c r="BI578" s="104"/>
      <c r="BJ578" s="103"/>
      <c r="BK578" s="105"/>
      <c r="BL578" s="152"/>
      <c r="BM578" s="103"/>
      <c r="BN578" s="103"/>
      <c r="BO578" s="103"/>
      <c r="BP578" s="103"/>
      <c r="BQ578" s="103"/>
      <c r="BR578" s="103"/>
      <c r="BS578" s="103"/>
      <c r="BT578" s="103"/>
      <c r="BU578" s="103"/>
      <c r="BV578" s="103"/>
      <c r="BW578" s="103"/>
      <c r="BX578" s="103"/>
      <c r="BY578" s="103"/>
      <c r="BZ578" s="104"/>
      <c r="CA578" s="104"/>
      <c r="CB578" s="104"/>
      <c r="CC578" s="104"/>
      <c r="CD578" s="104"/>
      <c r="CE578" s="104"/>
      <c r="CF578" s="103"/>
      <c r="CG578" s="103"/>
      <c r="CH578" s="103"/>
      <c r="CI578" s="103"/>
      <c r="CJ578" s="103"/>
      <c r="CK578" s="103"/>
      <c r="CL578" s="103"/>
      <c r="CM578" s="103"/>
      <c r="CN578" s="103"/>
      <c r="CO578" s="103"/>
      <c r="CP578" s="103"/>
      <c r="CQ578" s="103"/>
      <c r="CR578" s="103"/>
      <c r="CS578" s="103"/>
      <c r="CT578" s="103"/>
      <c r="CU578" s="103"/>
      <c r="CV578" s="103"/>
      <c r="CW578" s="103"/>
      <c r="CX578" s="103"/>
      <c r="CY578" s="103"/>
      <c r="CZ578" s="103"/>
      <c r="DA578" s="103"/>
      <c r="DB578" s="103"/>
      <c r="DC578" s="103"/>
      <c r="DD578" s="103"/>
      <c r="DE578" s="133"/>
      <c r="DF578" s="133"/>
      <c r="DG578" s="1"/>
      <c r="DH578" s="53"/>
      <c r="DI578" s="51"/>
      <c r="DJ578" s="52"/>
      <c r="DK578" s="52"/>
      <c r="DL578" s="52"/>
      <c r="DM578" s="52"/>
      <c r="DN578" s="52"/>
      <c r="DO578" s="52"/>
      <c r="DP578" s="52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P578" s="53"/>
      <c r="EQ578" s="1"/>
      <c r="ER578" s="102"/>
      <c r="ES578" s="103"/>
      <c r="ET578" s="1"/>
      <c r="EU578" s="103"/>
      <c r="EV578" s="1"/>
      <c r="EW578" s="1"/>
      <c r="EX578" s="1"/>
      <c r="EY578" s="102"/>
    </row>
    <row r="579" spans="9:155">
      <c r="I579" s="132"/>
      <c r="J579" s="133"/>
      <c r="K579" s="1"/>
      <c r="L579" s="1"/>
      <c r="S579" s="53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03"/>
      <c r="AQ579" s="1"/>
      <c r="AR579" s="103"/>
      <c r="AS579" s="103"/>
      <c r="AT579" s="103"/>
      <c r="AU579" s="103"/>
      <c r="AV579" s="31"/>
      <c r="AW579" s="31"/>
      <c r="AX579" s="31"/>
      <c r="AY579" s="146"/>
      <c r="AZ579" s="146"/>
      <c r="BA579" s="103"/>
      <c r="BB579" s="103"/>
      <c r="BC579" s="103"/>
      <c r="BD579" s="103"/>
      <c r="BE579" s="103"/>
      <c r="BF579" s="104"/>
      <c r="BG579" s="104"/>
      <c r="BH579" s="102"/>
      <c r="BI579" s="104"/>
      <c r="BJ579" s="103"/>
      <c r="BK579" s="105"/>
      <c r="BL579" s="152"/>
      <c r="BM579" s="103"/>
      <c r="BN579" s="103"/>
      <c r="BO579" s="103"/>
      <c r="BP579" s="103"/>
      <c r="BQ579" s="103"/>
      <c r="BR579" s="103"/>
      <c r="BS579" s="103"/>
      <c r="BT579" s="103"/>
      <c r="BU579" s="103"/>
      <c r="BV579" s="103"/>
      <c r="BW579" s="103"/>
      <c r="BX579" s="103"/>
      <c r="BY579" s="103"/>
      <c r="BZ579" s="104"/>
      <c r="CA579" s="104"/>
      <c r="CB579" s="104"/>
      <c r="CC579" s="104"/>
      <c r="CD579" s="104"/>
      <c r="CE579" s="104"/>
      <c r="CF579" s="103"/>
      <c r="CG579" s="103"/>
      <c r="CH579" s="103"/>
      <c r="CI579" s="103"/>
      <c r="CJ579" s="103"/>
      <c r="CK579" s="103"/>
      <c r="CL579" s="103"/>
      <c r="CM579" s="103"/>
      <c r="CN579" s="103"/>
      <c r="CO579" s="103"/>
      <c r="CP579" s="103"/>
      <c r="CQ579" s="103"/>
      <c r="CR579" s="103"/>
      <c r="CS579" s="103"/>
      <c r="CT579" s="103"/>
      <c r="CU579" s="103"/>
      <c r="CV579" s="103"/>
      <c r="CW579" s="103"/>
      <c r="CX579" s="103"/>
      <c r="CY579" s="103"/>
      <c r="CZ579" s="103"/>
      <c r="DA579" s="103"/>
      <c r="DB579" s="103"/>
      <c r="DC579" s="103"/>
      <c r="DD579" s="103"/>
      <c r="DE579" s="133"/>
      <c r="DF579" s="133"/>
      <c r="DG579" s="1"/>
      <c r="DH579" s="53"/>
      <c r="DI579" s="51"/>
      <c r="DJ579" s="52"/>
      <c r="DK579" s="52"/>
      <c r="DL579" s="52"/>
      <c r="DM579" s="52"/>
      <c r="DN579" s="52"/>
      <c r="DO579" s="52"/>
      <c r="DP579" s="52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P579" s="53"/>
      <c r="EQ579" s="1"/>
      <c r="ER579" s="102"/>
      <c r="ES579" s="103"/>
      <c r="ET579" s="1"/>
      <c r="EU579" s="103"/>
      <c r="EV579" s="1"/>
      <c r="EW579" s="1"/>
      <c r="EX579" s="1"/>
      <c r="EY579" s="102"/>
    </row>
    <row r="580" spans="9:155">
      <c r="I580" s="132"/>
      <c r="J580" s="133"/>
      <c r="K580" s="1"/>
      <c r="L580" s="1"/>
      <c r="S580" s="53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03"/>
      <c r="AQ580" s="1"/>
      <c r="AR580" s="103"/>
      <c r="AS580" s="103"/>
      <c r="AT580" s="103"/>
      <c r="AU580" s="103"/>
      <c r="AV580" s="31"/>
      <c r="AW580" s="31"/>
      <c r="AX580" s="31"/>
      <c r="AY580" s="146"/>
      <c r="AZ580" s="146"/>
      <c r="BA580" s="103"/>
      <c r="BB580" s="103"/>
      <c r="BC580" s="103"/>
      <c r="BD580" s="103"/>
      <c r="BE580" s="103"/>
      <c r="BF580" s="104"/>
      <c r="BG580" s="104"/>
      <c r="BH580" s="102"/>
      <c r="BI580" s="104"/>
      <c r="BJ580" s="103"/>
      <c r="BK580" s="105"/>
      <c r="BL580" s="152"/>
      <c r="BM580" s="103"/>
      <c r="BN580" s="103"/>
      <c r="BO580" s="103"/>
      <c r="BP580" s="103"/>
      <c r="BQ580" s="103"/>
      <c r="BR580" s="103"/>
      <c r="BS580" s="103"/>
      <c r="BT580" s="103"/>
      <c r="BU580" s="103"/>
      <c r="BV580" s="103"/>
      <c r="BW580" s="103"/>
      <c r="BX580" s="103"/>
      <c r="BY580" s="103"/>
      <c r="BZ580" s="104"/>
      <c r="CA580" s="104"/>
      <c r="CB580" s="104"/>
      <c r="CC580" s="104"/>
      <c r="CD580" s="104"/>
      <c r="CE580" s="104"/>
      <c r="CF580" s="103"/>
      <c r="CG580" s="103"/>
      <c r="CH580" s="103"/>
      <c r="CI580" s="103"/>
      <c r="CJ580" s="103"/>
      <c r="CK580" s="103"/>
      <c r="CL580" s="103"/>
      <c r="CM580" s="103"/>
      <c r="CN580" s="103"/>
      <c r="CO580" s="103"/>
      <c r="CP580" s="103"/>
      <c r="CQ580" s="103"/>
      <c r="CR580" s="103"/>
      <c r="CS580" s="103"/>
      <c r="CT580" s="103"/>
      <c r="CU580" s="103"/>
      <c r="CV580" s="103"/>
      <c r="CW580" s="103"/>
      <c r="CX580" s="103"/>
      <c r="CY580" s="103"/>
      <c r="CZ580" s="103"/>
      <c r="DA580" s="103"/>
      <c r="DB580" s="103"/>
      <c r="DC580" s="103"/>
      <c r="DD580" s="103"/>
      <c r="DE580" s="133"/>
      <c r="DF580" s="133"/>
      <c r="DG580" s="1"/>
      <c r="DH580" s="53"/>
      <c r="DI580" s="51"/>
      <c r="DJ580" s="52"/>
      <c r="DK580" s="52"/>
      <c r="DL580" s="52"/>
      <c r="DM580" s="52"/>
      <c r="DN580" s="52"/>
      <c r="DO580" s="52"/>
      <c r="DP580" s="52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P580" s="53"/>
      <c r="EQ580" s="1"/>
      <c r="ER580" s="102"/>
      <c r="ES580" s="103"/>
      <c r="ET580" s="1"/>
      <c r="EU580" s="103"/>
      <c r="EV580" s="1"/>
      <c r="EW580" s="1"/>
      <c r="EX580" s="1"/>
      <c r="EY580" s="102"/>
    </row>
    <row r="581" spans="9:155">
      <c r="I581" s="132"/>
      <c r="J581" s="133"/>
      <c r="K581" s="1"/>
      <c r="L581" s="1"/>
      <c r="S581" s="53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03"/>
      <c r="AQ581" s="1"/>
      <c r="AR581" s="103"/>
      <c r="AS581" s="103"/>
      <c r="AT581" s="103"/>
      <c r="AU581" s="103"/>
      <c r="AV581" s="31"/>
      <c r="AW581" s="31"/>
      <c r="AX581" s="31"/>
      <c r="AY581" s="146"/>
      <c r="AZ581" s="146"/>
      <c r="BA581" s="103"/>
      <c r="BB581" s="103"/>
      <c r="BC581" s="103"/>
      <c r="BD581" s="103"/>
      <c r="BE581" s="103"/>
      <c r="BF581" s="104"/>
      <c r="BG581" s="104"/>
      <c r="BH581" s="102"/>
      <c r="BI581" s="104"/>
      <c r="BJ581" s="103"/>
      <c r="BK581" s="105"/>
      <c r="BL581" s="152"/>
      <c r="BM581" s="103"/>
      <c r="BN581" s="103"/>
      <c r="BO581" s="103"/>
      <c r="BP581" s="103"/>
      <c r="BQ581" s="103"/>
      <c r="BR581" s="103"/>
      <c r="BS581" s="103"/>
      <c r="BT581" s="103"/>
      <c r="BU581" s="103"/>
      <c r="BV581" s="103"/>
      <c r="BW581" s="103"/>
      <c r="BX581" s="103"/>
      <c r="BY581" s="103"/>
      <c r="BZ581" s="104"/>
      <c r="CA581" s="104"/>
      <c r="CB581" s="104"/>
      <c r="CC581" s="104"/>
      <c r="CD581" s="104"/>
      <c r="CE581" s="104"/>
      <c r="CF581" s="103"/>
      <c r="CG581" s="103"/>
      <c r="CH581" s="103"/>
      <c r="CI581" s="103"/>
      <c r="CJ581" s="103"/>
      <c r="CK581" s="103"/>
      <c r="CL581" s="103"/>
      <c r="CM581" s="103"/>
      <c r="CN581" s="103"/>
      <c r="CO581" s="103"/>
      <c r="CP581" s="103"/>
      <c r="CQ581" s="103"/>
      <c r="CR581" s="103"/>
      <c r="CS581" s="103"/>
      <c r="CT581" s="103"/>
      <c r="CU581" s="103"/>
      <c r="CV581" s="103"/>
      <c r="CW581" s="103"/>
      <c r="CX581" s="103"/>
      <c r="CY581" s="103"/>
      <c r="CZ581" s="103"/>
      <c r="DA581" s="103"/>
      <c r="DB581" s="103"/>
      <c r="DC581" s="103"/>
      <c r="DD581" s="103"/>
      <c r="DE581" s="133"/>
      <c r="DF581" s="133"/>
      <c r="DG581" s="1"/>
      <c r="DH581" s="53"/>
      <c r="DI581" s="51"/>
      <c r="DJ581" s="52"/>
      <c r="DK581" s="52"/>
      <c r="DL581" s="52"/>
      <c r="DM581" s="52"/>
      <c r="DN581" s="52"/>
      <c r="DO581" s="52"/>
      <c r="DP581" s="52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P581" s="53"/>
      <c r="EQ581" s="1"/>
      <c r="ER581" s="102"/>
      <c r="ES581" s="103"/>
      <c r="ET581" s="1"/>
      <c r="EU581" s="103"/>
      <c r="EV581" s="1"/>
      <c r="EW581" s="1"/>
      <c r="EX581" s="1"/>
      <c r="EY581" s="102"/>
    </row>
    <row r="582" spans="9:155">
      <c r="I582" s="132"/>
      <c r="J582" s="133"/>
      <c r="K582" s="1"/>
      <c r="L582" s="1"/>
      <c r="S582" s="53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03"/>
      <c r="AQ582" s="1"/>
      <c r="AR582" s="103"/>
      <c r="AS582" s="103"/>
      <c r="AT582" s="103"/>
      <c r="AU582" s="103"/>
      <c r="AV582" s="31"/>
      <c r="AW582" s="31"/>
      <c r="AX582" s="31"/>
      <c r="AY582" s="146"/>
      <c r="AZ582" s="146"/>
      <c r="BA582" s="103"/>
      <c r="BB582" s="103"/>
      <c r="BC582" s="103"/>
      <c r="BD582" s="103"/>
      <c r="BE582" s="103"/>
      <c r="BF582" s="104"/>
      <c r="BG582" s="104"/>
      <c r="BH582" s="102"/>
      <c r="BI582" s="104"/>
      <c r="BJ582" s="103"/>
      <c r="BK582" s="105"/>
      <c r="BL582" s="152"/>
      <c r="BM582" s="103"/>
      <c r="BN582" s="103"/>
      <c r="BO582" s="103"/>
      <c r="BP582" s="103"/>
      <c r="BQ582" s="103"/>
      <c r="BR582" s="103"/>
      <c r="BS582" s="103"/>
      <c r="BT582" s="103"/>
      <c r="BU582" s="103"/>
      <c r="BV582" s="103"/>
      <c r="BW582" s="103"/>
      <c r="BX582" s="103"/>
      <c r="BY582" s="103"/>
      <c r="BZ582" s="104"/>
      <c r="CA582" s="104"/>
      <c r="CB582" s="104"/>
      <c r="CC582" s="104"/>
      <c r="CD582" s="104"/>
      <c r="CE582" s="104"/>
      <c r="CF582" s="103"/>
      <c r="CG582" s="103"/>
      <c r="CH582" s="103"/>
      <c r="CI582" s="103"/>
      <c r="CJ582" s="103"/>
      <c r="CK582" s="103"/>
      <c r="CL582" s="103"/>
      <c r="CM582" s="103"/>
      <c r="CN582" s="103"/>
      <c r="CO582" s="103"/>
      <c r="CP582" s="103"/>
      <c r="CQ582" s="103"/>
      <c r="CR582" s="103"/>
      <c r="CS582" s="103"/>
      <c r="CT582" s="103"/>
      <c r="CU582" s="103"/>
      <c r="CV582" s="103"/>
      <c r="CW582" s="103"/>
      <c r="CX582" s="103"/>
      <c r="CY582" s="103"/>
      <c r="CZ582" s="103"/>
      <c r="DA582" s="103"/>
      <c r="DB582" s="103"/>
      <c r="DC582" s="103"/>
      <c r="DD582" s="103"/>
      <c r="DE582" s="133"/>
      <c r="DF582" s="133"/>
      <c r="DG582" s="1"/>
      <c r="DH582" s="53"/>
      <c r="DI582" s="51"/>
      <c r="DJ582" s="52"/>
      <c r="DK582" s="52"/>
      <c r="DL582" s="52"/>
      <c r="DM582" s="52"/>
      <c r="DN582" s="52"/>
      <c r="DO582" s="52"/>
      <c r="DP582" s="52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P582" s="53"/>
      <c r="EQ582" s="1"/>
      <c r="ER582" s="102"/>
      <c r="ES582" s="103"/>
      <c r="ET582" s="1"/>
      <c r="EU582" s="103"/>
      <c r="EV582" s="1"/>
      <c r="EW582" s="1"/>
      <c r="EX582" s="1"/>
      <c r="EY582" s="102"/>
    </row>
    <row r="583" spans="9:155">
      <c r="I583" s="132"/>
      <c r="J583" s="133"/>
      <c r="K583" s="1"/>
      <c r="L583" s="1"/>
      <c r="S583" s="53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03"/>
      <c r="AQ583" s="1"/>
      <c r="AR583" s="103"/>
      <c r="AS583" s="103"/>
      <c r="AT583" s="103"/>
      <c r="AU583" s="103"/>
      <c r="AV583" s="31"/>
      <c r="AW583" s="31"/>
      <c r="AX583" s="31"/>
      <c r="AY583" s="146"/>
      <c r="AZ583" s="146"/>
      <c r="BA583" s="103"/>
      <c r="BB583" s="103"/>
      <c r="BC583" s="103"/>
      <c r="BD583" s="103"/>
      <c r="BE583" s="103"/>
      <c r="BF583" s="104"/>
      <c r="BG583" s="104"/>
      <c r="BH583" s="102"/>
      <c r="BI583" s="104"/>
      <c r="BJ583" s="103"/>
      <c r="BK583" s="105"/>
      <c r="BL583" s="152"/>
      <c r="BM583" s="103"/>
      <c r="BN583" s="103"/>
      <c r="BO583" s="103"/>
      <c r="BP583" s="103"/>
      <c r="BQ583" s="103"/>
      <c r="BR583" s="103"/>
      <c r="BS583" s="103"/>
      <c r="BT583" s="103"/>
      <c r="BU583" s="103"/>
      <c r="BV583" s="103"/>
      <c r="BW583" s="103"/>
      <c r="BX583" s="103"/>
      <c r="BY583" s="103"/>
      <c r="BZ583" s="104"/>
      <c r="CA583" s="104"/>
      <c r="CB583" s="104"/>
      <c r="CC583" s="104"/>
      <c r="CD583" s="104"/>
      <c r="CE583" s="104"/>
      <c r="CF583" s="103"/>
      <c r="CG583" s="103"/>
      <c r="CH583" s="103"/>
      <c r="CI583" s="103"/>
      <c r="CJ583" s="103"/>
      <c r="CK583" s="103"/>
      <c r="CL583" s="103"/>
      <c r="CM583" s="103"/>
      <c r="CN583" s="103"/>
      <c r="CO583" s="103"/>
      <c r="CP583" s="103"/>
      <c r="CQ583" s="103"/>
      <c r="CR583" s="103"/>
      <c r="CS583" s="103"/>
      <c r="CT583" s="103"/>
      <c r="CU583" s="103"/>
      <c r="CV583" s="103"/>
      <c r="CW583" s="103"/>
      <c r="CX583" s="103"/>
      <c r="CY583" s="103"/>
      <c r="CZ583" s="103"/>
      <c r="DA583" s="103"/>
      <c r="DB583" s="103"/>
      <c r="DC583" s="103"/>
      <c r="DD583" s="103"/>
      <c r="DE583" s="133"/>
      <c r="DF583" s="133"/>
      <c r="DG583" s="1"/>
      <c r="DH583" s="53"/>
      <c r="DI583" s="51"/>
      <c r="DJ583" s="52"/>
      <c r="DK583" s="52"/>
      <c r="DL583" s="52"/>
      <c r="DM583" s="52"/>
      <c r="DN583" s="52"/>
      <c r="DO583" s="52"/>
      <c r="DP583" s="52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P583" s="53"/>
      <c r="EQ583" s="1"/>
      <c r="ER583" s="102"/>
      <c r="ES583" s="103"/>
      <c r="ET583" s="1"/>
      <c r="EU583" s="103"/>
      <c r="EV583" s="1"/>
      <c r="EW583" s="1"/>
      <c r="EX583" s="1"/>
      <c r="EY583" s="102"/>
    </row>
    <row r="584" spans="9:155">
      <c r="I584" s="132"/>
      <c r="J584" s="133"/>
      <c r="K584" s="1"/>
      <c r="L584" s="1"/>
      <c r="S584" s="53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03"/>
      <c r="AQ584" s="1"/>
      <c r="AR584" s="103"/>
      <c r="AS584" s="103"/>
      <c r="AT584" s="103"/>
      <c r="AU584" s="103"/>
      <c r="AV584" s="31"/>
      <c r="AW584" s="31"/>
      <c r="AX584" s="31"/>
      <c r="AY584" s="146"/>
      <c r="AZ584" s="146"/>
      <c r="BA584" s="103"/>
      <c r="BB584" s="103"/>
      <c r="BC584" s="103"/>
      <c r="BD584" s="103"/>
      <c r="BE584" s="103"/>
      <c r="BF584" s="104"/>
      <c r="BG584" s="104"/>
      <c r="BH584" s="102"/>
      <c r="BI584" s="104"/>
      <c r="BJ584" s="103"/>
      <c r="BK584" s="105"/>
      <c r="BL584" s="152"/>
      <c r="BM584" s="103"/>
      <c r="BN584" s="103"/>
      <c r="BO584" s="103"/>
      <c r="BP584" s="103"/>
      <c r="BQ584" s="103"/>
      <c r="BR584" s="103"/>
      <c r="BS584" s="103"/>
      <c r="BT584" s="103"/>
      <c r="BU584" s="103"/>
      <c r="BV584" s="103"/>
      <c r="BW584" s="103"/>
      <c r="BX584" s="103"/>
      <c r="BY584" s="103"/>
      <c r="BZ584" s="104"/>
      <c r="CA584" s="104"/>
      <c r="CB584" s="104"/>
      <c r="CC584" s="104"/>
      <c r="CD584" s="104"/>
      <c r="CE584" s="104"/>
      <c r="CF584" s="103"/>
      <c r="CG584" s="103"/>
      <c r="CH584" s="103"/>
      <c r="CI584" s="103"/>
      <c r="CJ584" s="103"/>
      <c r="CK584" s="103"/>
      <c r="CL584" s="103"/>
      <c r="CM584" s="103"/>
      <c r="CN584" s="103"/>
      <c r="CO584" s="103"/>
      <c r="CP584" s="103"/>
      <c r="CQ584" s="103"/>
      <c r="CR584" s="103"/>
      <c r="CS584" s="103"/>
      <c r="CT584" s="103"/>
      <c r="CU584" s="103"/>
      <c r="CV584" s="103"/>
      <c r="CW584" s="103"/>
      <c r="CX584" s="103"/>
      <c r="CY584" s="103"/>
      <c r="CZ584" s="103"/>
      <c r="DA584" s="103"/>
      <c r="DB584" s="103"/>
      <c r="DC584" s="103"/>
      <c r="DD584" s="103"/>
      <c r="DE584" s="133"/>
      <c r="DF584" s="133"/>
      <c r="DG584" s="1"/>
      <c r="DH584" s="53"/>
      <c r="DI584" s="51"/>
      <c r="DJ584" s="52"/>
      <c r="DK584" s="52"/>
      <c r="DL584" s="52"/>
      <c r="DM584" s="52"/>
      <c r="DN584" s="52"/>
      <c r="DO584" s="52"/>
      <c r="DP584" s="52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P584" s="53"/>
      <c r="EQ584" s="1"/>
      <c r="ER584" s="102"/>
      <c r="ES584" s="103"/>
      <c r="ET584" s="1"/>
      <c r="EU584" s="103"/>
      <c r="EV584" s="1"/>
      <c r="EW584" s="1"/>
      <c r="EX584" s="1"/>
      <c r="EY584" s="102"/>
    </row>
    <row r="585" spans="9:155">
      <c r="I585" s="132"/>
      <c r="J585" s="133"/>
      <c r="K585" s="1"/>
      <c r="L585" s="1"/>
      <c r="S585" s="53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03"/>
      <c r="AQ585" s="1"/>
      <c r="AR585" s="103"/>
      <c r="AS585" s="103"/>
      <c r="AT585" s="103"/>
      <c r="AU585" s="103"/>
      <c r="AV585" s="31"/>
      <c r="AW585" s="31"/>
      <c r="AX585" s="31"/>
      <c r="AY585" s="146"/>
      <c r="AZ585" s="146"/>
      <c r="BA585" s="103"/>
      <c r="BB585" s="103"/>
      <c r="BC585" s="103"/>
      <c r="BD585" s="103"/>
      <c r="BE585" s="103"/>
      <c r="BF585" s="104"/>
      <c r="BG585" s="104"/>
      <c r="BH585" s="102"/>
      <c r="BI585" s="104"/>
      <c r="BJ585" s="103"/>
      <c r="BK585" s="105"/>
      <c r="BL585" s="152"/>
      <c r="BM585" s="103"/>
      <c r="BN585" s="103"/>
      <c r="BO585" s="103"/>
      <c r="BP585" s="103"/>
      <c r="BQ585" s="103"/>
      <c r="BR585" s="103"/>
      <c r="BS585" s="103"/>
      <c r="BT585" s="103"/>
      <c r="BU585" s="103"/>
      <c r="BV585" s="103"/>
      <c r="BW585" s="103"/>
      <c r="BX585" s="103"/>
      <c r="BY585" s="103"/>
      <c r="BZ585" s="104"/>
      <c r="CA585" s="104"/>
      <c r="CB585" s="104"/>
      <c r="CC585" s="104"/>
      <c r="CD585" s="104"/>
      <c r="CE585" s="104"/>
      <c r="CF585" s="103"/>
      <c r="CG585" s="103"/>
      <c r="CH585" s="103"/>
      <c r="CI585" s="103"/>
      <c r="CJ585" s="103"/>
      <c r="CK585" s="103"/>
      <c r="CL585" s="103"/>
      <c r="CM585" s="103"/>
      <c r="CN585" s="103"/>
      <c r="CO585" s="103"/>
      <c r="CP585" s="103"/>
      <c r="CQ585" s="103"/>
      <c r="CR585" s="103"/>
      <c r="CS585" s="103"/>
      <c r="CT585" s="103"/>
      <c r="CU585" s="103"/>
      <c r="CV585" s="103"/>
      <c r="CW585" s="103"/>
      <c r="CX585" s="103"/>
      <c r="CY585" s="103"/>
      <c r="CZ585" s="103"/>
      <c r="DA585" s="103"/>
      <c r="DB585" s="103"/>
      <c r="DC585" s="103"/>
      <c r="DD585" s="103"/>
      <c r="DE585" s="133"/>
      <c r="DF585" s="133"/>
      <c r="DG585" s="1"/>
      <c r="DH585" s="53"/>
      <c r="DI585" s="51"/>
      <c r="DJ585" s="52"/>
      <c r="DK585" s="52"/>
      <c r="DL585" s="52"/>
      <c r="DM585" s="52"/>
      <c r="DN585" s="52"/>
      <c r="DO585" s="52"/>
      <c r="DP585" s="52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P585" s="53"/>
      <c r="EQ585" s="1"/>
      <c r="ER585" s="102"/>
      <c r="ES585" s="103"/>
      <c r="ET585" s="1"/>
      <c r="EU585" s="103"/>
      <c r="EV585" s="1"/>
      <c r="EW585" s="1"/>
      <c r="EX585" s="1"/>
      <c r="EY585" s="102"/>
    </row>
    <row r="586" spans="9:155">
      <c r="I586" s="132"/>
      <c r="J586" s="133"/>
      <c r="K586" s="1"/>
      <c r="L586" s="1"/>
      <c r="S586" s="53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03"/>
      <c r="AQ586" s="1"/>
      <c r="AR586" s="103"/>
      <c r="AS586" s="103"/>
      <c r="AT586" s="103"/>
      <c r="AU586" s="103"/>
      <c r="AV586" s="31"/>
      <c r="AW586" s="31"/>
      <c r="AX586" s="31"/>
      <c r="AY586" s="146"/>
      <c r="AZ586" s="146"/>
      <c r="BA586" s="103"/>
      <c r="BB586" s="103"/>
      <c r="BC586" s="103"/>
      <c r="BD586" s="103"/>
      <c r="BE586" s="103"/>
      <c r="BF586" s="104"/>
      <c r="BG586" s="104"/>
      <c r="BH586" s="102"/>
      <c r="BI586" s="104"/>
      <c r="BJ586" s="103"/>
      <c r="BK586" s="105"/>
      <c r="BL586" s="152"/>
      <c r="BM586" s="103"/>
      <c r="BN586" s="103"/>
      <c r="BO586" s="103"/>
      <c r="BP586" s="103"/>
      <c r="BQ586" s="103"/>
      <c r="BR586" s="103"/>
      <c r="BS586" s="103"/>
      <c r="BT586" s="103"/>
      <c r="BU586" s="103"/>
      <c r="BV586" s="103"/>
      <c r="BW586" s="103"/>
      <c r="BX586" s="103"/>
      <c r="BY586" s="103"/>
      <c r="BZ586" s="104"/>
      <c r="CA586" s="104"/>
      <c r="CB586" s="104"/>
      <c r="CC586" s="104"/>
      <c r="CD586" s="104"/>
      <c r="CE586" s="104"/>
      <c r="CF586" s="103"/>
      <c r="CG586" s="103"/>
      <c r="CH586" s="103"/>
      <c r="CI586" s="103"/>
      <c r="CJ586" s="103"/>
      <c r="CK586" s="103"/>
      <c r="CL586" s="103"/>
      <c r="CM586" s="103"/>
      <c r="CN586" s="103"/>
      <c r="CO586" s="103"/>
      <c r="CP586" s="103"/>
      <c r="CQ586" s="103"/>
      <c r="CR586" s="103"/>
      <c r="CS586" s="103"/>
      <c r="CT586" s="103"/>
      <c r="CU586" s="103"/>
      <c r="CV586" s="103"/>
      <c r="CW586" s="103"/>
      <c r="CX586" s="103"/>
      <c r="CY586" s="103"/>
      <c r="CZ586" s="103"/>
      <c r="DA586" s="103"/>
      <c r="DB586" s="103"/>
      <c r="DC586" s="103"/>
      <c r="DD586" s="103"/>
      <c r="DE586" s="133"/>
      <c r="DF586" s="133"/>
      <c r="DG586" s="1"/>
      <c r="DH586" s="53"/>
      <c r="DI586" s="51"/>
      <c r="DJ586" s="52"/>
      <c r="DK586" s="52"/>
      <c r="DL586" s="52"/>
      <c r="DM586" s="52"/>
      <c r="DN586" s="52"/>
      <c r="DO586" s="52"/>
      <c r="DP586" s="52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P586" s="53"/>
      <c r="EQ586" s="1"/>
      <c r="ER586" s="102"/>
      <c r="ES586" s="103"/>
      <c r="ET586" s="1"/>
      <c r="EU586" s="103"/>
      <c r="EV586" s="1"/>
      <c r="EW586" s="1"/>
      <c r="EX586" s="1"/>
      <c r="EY586" s="102"/>
    </row>
    <row r="587" spans="9:155">
      <c r="I587" s="132"/>
      <c r="J587" s="133"/>
      <c r="K587" s="1"/>
      <c r="L587" s="1"/>
      <c r="S587" s="53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03"/>
      <c r="AQ587" s="1"/>
      <c r="AR587" s="103"/>
      <c r="AS587" s="103"/>
      <c r="AT587" s="103"/>
      <c r="AU587" s="103"/>
      <c r="AV587" s="31"/>
      <c r="AW587" s="31"/>
      <c r="AX587" s="31"/>
      <c r="AY587" s="146"/>
      <c r="AZ587" s="146"/>
      <c r="BA587" s="103"/>
      <c r="BB587" s="103"/>
      <c r="BC587" s="103"/>
      <c r="BD587" s="103"/>
      <c r="BE587" s="103"/>
      <c r="BF587" s="104"/>
      <c r="BG587" s="104"/>
      <c r="BH587" s="102"/>
      <c r="BI587" s="104"/>
      <c r="BJ587" s="103"/>
      <c r="BK587" s="105"/>
      <c r="BL587" s="152"/>
      <c r="BM587" s="103"/>
      <c r="BN587" s="103"/>
      <c r="BO587" s="103"/>
      <c r="BP587" s="103"/>
      <c r="BQ587" s="103"/>
      <c r="BR587" s="103"/>
      <c r="BS587" s="103"/>
      <c r="BT587" s="103"/>
      <c r="BU587" s="103"/>
      <c r="BV587" s="103"/>
      <c r="BW587" s="103"/>
      <c r="BX587" s="103"/>
      <c r="BY587" s="103"/>
      <c r="BZ587" s="104"/>
      <c r="CA587" s="104"/>
      <c r="CB587" s="104"/>
      <c r="CC587" s="104"/>
      <c r="CD587" s="104"/>
      <c r="CE587" s="104"/>
      <c r="CF587" s="103"/>
      <c r="CG587" s="103"/>
      <c r="CH587" s="103"/>
      <c r="CI587" s="103"/>
      <c r="CJ587" s="103"/>
      <c r="CK587" s="103"/>
      <c r="CL587" s="103"/>
      <c r="CM587" s="103"/>
      <c r="CN587" s="103"/>
      <c r="CO587" s="103"/>
      <c r="CP587" s="103"/>
      <c r="CQ587" s="103"/>
      <c r="CR587" s="103"/>
      <c r="CS587" s="103"/>
      <c r="CT587" s="103"/>
      <c r="CU587" s="103"/>
      <c r="CV587" s="103"/>
      <c r="CW587" s="103"/>
      <c r="CX587" s="103"/>
      <c r="CY587" s="103"/>
      <c r="CZ587" s="103"/>
      <c r="DA587" s="103"/>
      <c r="DB587" s="103"/>
      <c r="DC587" s="103"/>
      <c r="DD587" s="103"/>
      <c r="DE587" s="133"/>
      <c r="DF587" s="133"/>
      <c r="DG587" s="1"/>
      <c r="DH587" s="53"/>
      <c r="DI587" s="51"/>
      <c r="DJ587" s="52"/>
      <c r="DK587" s="52"/>
      <c r="DL587" s="52"/>
      <c r="DM587" s="52"/>
      <c r="DN587" s="52"/>
      <c r="DO587" s="52"/>
      <c r="DP587" s="52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P587" s="53"/>
      <c r="EQ587" s="1"/>
      <c r="ER587" s="102"/>
      <c r="ES587" s="103"/>
      <c r="ET587" s="1"/>
      <c r="EU587" s="103"/>
      <c r="EV587" s="1"/>
      <c r="EW587" s="1"/>
      <c r="EX587" s="1"/>
      <c r="EY587" s="102"/>
    </row>
    <row r="588" spans="9:155">
      <c r="I588" s="132"/>
      <c r="J588" s="133"/>
      <c r="K588" s="1"/>
      <c r="L588" s="1"/>
      <c r="S588" s="53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03"/>
      <c r="AQ588" s="1"/>
      <c r="AR588" s="103"/>
      <c r="AS588" s="103"/>
      <c r="AT588" s="103"/>
      <c r="AU588" s="103"/>
      <c r="AV588" s="31"/>
      <c r="AW588" s="31"/>
      <c r="AX588" s="31"/>
      <c r="AY588" s="146"/>
      <c r="AZ588" s="146"/>
      <c r="BA588" s="103"/>
      <c r="BB588" s="103"/>
      <c r="BC588" s="103"/>
      <c r="BD588" s="103"/>
      <c r="BE588" s="103"/>
      <c r="BF588" s="104"/>
      <c r="BG588" s="104"/>
      <c r="BH588" s="102"/>
      <c r="BI588" s="104"/>
      <c r="BJ588" s="103"/>
      <c r="BK588" s="105"/>
      <c r="BL588" s="152"/>
      <c r="BM588" s="103"/>
      <c r="BN588" s="103"/>
      <c r="BO588" s="103"/>
      <c r="BP588" s="103"/>
      <c r="BQ588" s="103"/>
      <c r="BR588" s="103"/>
      <c r="BS588" s="103"/>
      <c r="BT588" s="103"/>
      <c r="BU588" s="103"/>
      <c r="BV588" s="103"/>
      <c r="BW588" s="103"/>
      <c r="BX588" s="103"/>
      <c r="BY588" s="103"/>
      <c r="BZ588" s="104"/>
      <c r="CA588" s="104"/>
      <c r="CB588" s="104"/>
      <c r="CC588" s="104"/>
      <c r="CD588" s="104"/>
      <c r="CE588" s="104"/>
      <c r="CF588" s="103"/>
      <c r="CG588" s="103"/>
      <c r="CH588" s="103"/>
      <c r="CI588" s="103"/>
      <c r="CJ588" s="103"/>
      <c r="CK588" s="103"/>
      <c r="CL588" s="103"/>
      <c r="CM588" s="103"/>
      <c r="CN588" s="103"/>
      <c r="CO588" s="103"/>
      <c r="CP588" s="103"/>
      <c r="CQ588" s="103"/>
      <c r="CR588" s="103"/>
      <c r="CS588" s="103"/>
      <c r="CT588" s="103"/>
      <c r="CU588" s="103"/>
      <c r="CV588" s="103"/>
      <c r="CW588" s="103"/>
      <c r="CX588" s="103"/>
      <c r="CY588" s="103"/>
      <c r="CZ588" s="103"/>
      <c r="DA588" s="103"/>
      <c r="DB588" s="103"/>
      <c r="DC588" s="103"/>
      <c r="DD588" s="103"/>
      <c r="DE588" s="133"/>
      <c r="DF588" s="133"/>
      <c r="DG588" s="1"/>
      <c r="DH588" s="53"/>
      <c r="DI588" s="51"/>
      <c r="DJ588" s="52"/>
      <c r="DK588" s="52"/>
      <c r="DL588" s="52"/>
      <c r="DM588" s="52"/>
      <c r="DN588" s="52"/>
      <c r="DO588" s="52"/>
      <c r="DP588" s="52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P588" s="53"/>
      <c r="EQ588" s="1"/>
      <c r="ER588" s="102"/>
      <c r="ES588" s="103"/>
      <c r="ET588" s="1"/>
      <c r="EU588" s="103"/>
      <c r="EV588" s="1"/>
      <c r="EW588" s="1"/>
      <c r="EX588" s="1"/>
      <c r="EY588" s="102"/>
    </row>
    <row r="589" spans="9:155">
      <c r="I589" s="132"/>
      <c r="J589" s="133"/>
      <c r="K589" s="1"/>
      <c r="L589" s="1"/>
      <c r="S589" s="53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03"/>
      <c r="AQ589" s="1"/>
      <c r="AR589" s="103"/>
      <c r="AS589" s="103"/>
      <c r="AT589" s="103"/>
      <c r="AU589" s="103"/>
      <c r="AV589" s="31"/>
      <c r="AW589" s="31"/>
      <c r="AX589" s="31"/>
      <c r="AY589" s="146"/>
      <c r="AZ589" s="146"/>
      <c r="BA589" s="103"/>
      <c r="BB589" s="103"/>
      <c r="BC589" s="103"/>
      <c r="BD589" s="103"/>
      <c r="BE589" s="103"/>
      <c r="BF589" s="104"/>
      <c r="BG589" s="104"/>
      <c r="BH589" s="102"/>
      <c r="BI589" s="104"/>
      <c r="BJ589" s="103"/>
      <c r="BK589" s="105"/>
      <c r="BL589" s="152"/>
      <c r="BM589" s="103"/>
      <c r="BN589" s="103"/>
      <c r="BO589" s="103"/>
      <c r="BP589" s="103"/>
      <c r="BQ589" s="103"/>
      <c r="BR589" s="103"/>
      <c r="BS589" s="103"/>
      <c r="BT589" s="103"/>
      <c r="BU589" s="103"/>
      <c r="BV589" s="103"/>
      <c r="BW589" s="103"/>
      <c r="BX589" s="103"/>
      <c r="BY589" s="103"/>
      <c r="BZ589" s="104"/>
      <c r="CA589" s="104"/>
      <c r="CB589" s="104"/>
      <c r="CC589" s="104"/>
      <c r="CD589" s="104"/>
      <c r="CE589" s="104"/>
      <c r="CF589" s="103"/>
      <c r="CG589" s="103"/>
      <c r="CH589" s="103"/>
      <c r="CI589" s="103"/>
      <c r="CJ589" s="103"/>
      <c r="CK589" s="103"/>
      <c r="CL589" s="103"/>
      <c r="CM589" s="103"/>
      <c r="CN589" s="103"/>
      <c r="CO589" s="103"/>
      <c r="CP589" s="103"/>
      <c r="CQ589" s="103"/>
      <c r="CR589" s="103"/>
      <c r="CS589" s="103"/>
      <c r="CT589" s="103"/>
      <c r="CU589" s="103"/>
      <c r="CV589" s="103"/>
      <c r="CW589" s="103"/>
      <c r="CX589" s="103"/>
      <c r="CY589" s="103"/>
      <c r="CZ589" s="103"/>
      <c r="DA589" s="103"/>
      <c r="DB589" s="103"/>
      <c r="DC589" s="103"/>
      <c r="DD589" s="103"/>
      <c r="DE589" s="133"/>
      <c r="DF589" s="133"/>
      <c r="DG589" s="1"/>
      <c r="DH589" s="53"/>
      <c r="DI589" s="51"/>
      <c r="DJ589" s="52"/>
      <c r="DK589" s="52"/>
      <c r="DL589" s="52"/>
      <c r="DM589" s="52"/>
      <c r="DN589" s="52"/>
      <c r="DO589" s="52"/>
      <c r="DP589" s="52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P589" s="53"/>
      <c r="EQ589" s="1"/>
      <c r="ER589" s="102"/>
      <c r="ES589" s="103"/>
      <c r="ET589" s="1"/>
      <c r="EU589" s="103"/>
      <c r="EV589" s="1"/>
      <c r="EW589" s="1"/>
      <c r="EX589" s="1"/>
      <c r="EY589" s="102"/>
    </row>
    <row r="590" spans="9:155">
      <c r="I590" s="132"/>
      <c r="J590" s="133"/>
      <c r="K590" s="1"/>
      <c r="L590" s="1"/>
      <c r="S590" s="53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03"/>
      <c r="AQ590" s="1"/>
      <c r="AR590" s="103"/>
      <c r="AS590" s="103"/>
      <c r="AT590" s="103"/>
      <c r="AU590" s="103"/>
      <c r="AV590" s="31"/>
      <c r="AW590" s="31"/>
      <c r="AX590" s="31"/>
      <c r="AY590" s="146"/>
      <c r="AZ590" s="146"/>
      <c r="BA590" s="103"/>
      <c r="BB590" s="103"/>
      <c r="BC590" s="103"/>
      <c r="BD590" s="103"/>
      <c r="BE590" s="103"/>
      <c r="BF590" s="104"/>
      <c r="BG590" s="104"/>
      <c r="BH590" s="102"/>
      <c r="BI590" s="104"/>
      <c r="BJ590" s="103"/>
      <c r="BK590" s="105"/>
      <c r="BL590" s="152"/>
      <c r="BM590" s="103"/>
      <c r="BN590" s="103"/>
      <c r="BO590" s="103"/>
      <c r="BP590" s="103"/>
      <c r="BQ590" s="103"/>
      <c r="BR590" s="103"/>
      <c r="BS590" s="103"/>
      <c r="BT590" s="103"/>
      <c r="BU590" s="103"/>
      <c r="BV590" s="103"/>
      <c r="BW590" s="103"/>
      <c r="BX590" s="103"/>
      <c r="BY590" s="103"/>
      <c r="BZ590" s="104"/>
      <c r="CA590" s="104"/>
      <c r="CB590" s="104"/>
      <c r="CC590" s="104"/>
      <c r="CD590" s="104"/>
      <c r="CE590" s="104"/>
      <c r="CF590" s="103"/>
      <c r="CG590" s="103"/>
      <c r="CH590" s="103"/>
      <c r="CI590" s="103"/>
      <c r="CJ590" s="103"/>
      <c r="CK590" s="103"/>
      <c r="CL590" s="103"/>
      <c r="CM590" s="103"/>
      <c r="CN590" s="103"/>
      <c r="CO590" s="103"/>
      <c r="CP590" s="103"/>
      <c r="CQ590" s="103"/>
      <c r="CR590" s="103"/>
      <c r="CS590" s="103"/>
      <c r="CT590" s="103"/>
      <c r="CU590" s="103"/>
      <c r="CV590" s="103"/>
      <c r="CW590" s="103"/>
      <c r="CX590" s="103"/>
      <c r="CY590" s="103"/>
      <c r="CZ590" s="103"/>
      <c r="DA590" s="103"/>
      <c r="DB590" s="103"/>
      <c r="DC590" s="103"/>
      <c r="DD590" s="103"/>
      <c r="DE590" s="133"/>
      <c r="DF590" s="133"/>
      <c r="DG590" s="1"/>
      <c r="DH590" s="53"/>
      <c r="DI590" s="51"/>
      <c r="DJ590" s="52"/>
      <c r="DK590" s="52"/>
      <c r="DL590" s="52"/>
      <c r="DM590" s="52"/>
      <c r="DN590" s="52"/>
      <c r="DO590" s="52"/>
      <c r="DP590" s="52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P590" s="53"/>
      <c r="EQ590" s="1"/>
      <c r="ER590" s="102"/>
      <c r="ES590" s="103"/>
      <c r="ET590" s="1"/>
      <c r="EU590" s="103"/>
      <c r="EV590" s="1"/>
      <c r="EW590" s="1"/>
      <c r="EX590" s="1"/>
      <c r="EY590" s="102"/>
    </row>
    <row r="591" spans="9:155">
      <c r="I591" s="132"/>
      <c r="J591" s="133"/>
      <c r="K591" s="1"/>
      <c r="L591" s="1"/>
      <c r="S591" s="53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03"/>
      <c r="AQ591" s="1"/>
      <c r="AR591" s="103"/>
      <c r="AS591" s="103"/>
      <c r="AT591" s="103"/>
      <c r="AU591" s="103"/>
      <c r="AV591" s="31"/>
      <c r="AW591" s="31"/>
      <c r="AX591" s="31"/>
      <c r="AY591" s="146"/>
      <c r="AZ591" s="146"/>
      <c r="BA591" s="103"/>
      <c r="BB591" s="103"/>
      <c r="BC591" s="103"/>
      <c r="BD591" s="103"/>
      <c r="BE591" s="103"/>
      <c r="BF591" s="104"/>
      <c r="BG591" s="104"/>
      <c r="BH591" s="102"/>
      <c r="BI591" s="104"/>
      <c r="BJ591" s="103"/>
      <c r="BK591" s="105"/>
      <c r="BL591" s="152"/>
      <c r="BM591" s="103"/>
      <c r="BN591" s="103"/>
      <c r="BO591" s="103"/>
      <c r="BP591" s="103"/>
      <c r="BQ591" s="103"/>
      <c r="BR591" s="103"/>
      <c r="BS591" s="103"/>
      <c r="BT591" s="103"/>
      <c r="BU591" s="103"/>
      <c r="BV591" s="103"/>
      <c r="BW591" s="103"/>
      <c r="BX591" s="103"/>
      <c r="BY591" s="103"/>
      <c r="BZ591" s="104"/>
      <c r="CA591" s="104"/>
      <c r="CB591" s="104"/>
      <c r="CC591" s="104"/>
      <c r="CD591" s="104"/>
      <c r="CE591" s="104"/>
      <c r="CF591" s="103"/>
      <c r="CG591" s="103"/>
      <c r="CH591" s="103"/>
      <c r="CI591" s="103"/>
      <c r="CJ591" s="103"/>
      <c r="CK591" s="103"/>
      <c r="CL591" s="103"/>
      <c r="CM591" s="103"/>
      <c r="CN591" s="103"/>
      <c r="CO591" s="103"/>
      <c r="CP591" s="103"/>
      <c r="CQ591" s="103"/>
      <c r="CR591" s="103"/>
      <c r="CS591" s="103"/>
      <c r="CT591" s="103"/>
      <c r="CU591" s="103"/>
      <c r="CV591" s="103"/>
      <c r="CW591" s="103"/>
      <c r="CX591" s="103"/>
      <c r="CY591" s="103"/>
      <c r="CZ591" s="103"/>
      <c r="DA591" s="103"/>
      <c r="DB591" s="103"/>
      <c r="DC591" s="103"/>
      <c r="DD591" s="103"/>
      <c r="DE591" s="133"/>
      <c r="DF591" s="133"/>
      <c r="DG591" s="1"/>
      <c r="DH591" s="53"/>
      <c r="DI591" s="51"/>
      <c r="DJ591" s="52"/>
      <c r="DK591" s="52"/>
      <c r="DL591" s="52"/>
      <c r="DM591" s="52"/>
      <c r="DN591" s="52"/>
      <c r="DO591" s="52"/>
      <c r="DP591" s="52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P591" s="53"/>
      <c r="EQ591" s="1"/>
      <c r="ER591" s="102"/>
      <c r="ES591" s="103"/>
      <c r="ET591" s="1"/>
      <c r="EU591" s="103"/>
      <c r="EV591" s="1"/>
      <c r="EW591" s="1"/>
      <c r="EX591" s="1"/>
      <c r="EY591" s="102"/>
    </row>
    <row r="592" spans="9:155">
      <c r="I592" s="132"/>
      <c r="J592" s="133"/>
      <c r="K592" s="1"/>
      <c r="L592" s="1"/>
      <c r="S592" s="53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03"/>
      <c r="AQ592" s="1"/>
      <c r="AR592" s="103"/>
      <c r="AS592" s="103"/>
      <c r="AT592" s="103"/>
      <c r="AU592" s="103"/>
      <c r="AV592" s="31"/>
      <c r="AW592" s="31"/>
      <c r="AX592" s="31"/>
      <c r="AY592" s="146"/>
      <c r="AZ592" s="146"/>
      <c r="BA592" s="103"/>
      <c r="BB592" s="103"/>
      <c r="BC592" s="103"/>
      <c r="BD592" s="103"/>
      <c r="BE592" s="103"/>
      <c r="BF592" s="104"/>
      <c r="BG592" s="104"/>
      <c r="BH592" s="102"/>
      <c r="BI592" s="104"/>
      <c r="BJ592" s="103"/>
      <c r="BK592" s="105"/>
      <c r="BL592" s="152"/>
      <c r="BM592" s="103"/>
      <c r="BN592" s="103"/>
      <c r="BO592" s="103"/>
      <c r="BP592" s="103"/>
      <c r="BQ592" s="103"/>
      <c r="BR592" s="103"/>
      <c r="BS592" s="103"/>
      <c r="BT592" s="103"/>
      <c r="BU592" s="103"/>
      <c r="BV592" s="103"/>
      <c r="BW592" s="103"/>
      <c r="BX592" s="103"/>
      <c r="BY592" s="103"/>
      <c r="BZ592" s="104"/>
      <c r="CA592" s="104"/>
      <c r="CB592" s="104"/>
      <c r="CC592" s="104"/>
      <c r="CD592" s="104"/>
      <c r="CE592" s="104"/>
      <c r="CF592" s="103"/>
      <c r="CG592" s="103"/>
      <c r="CH592" s="103"/>
      <c r="CI592" s="103"/>
      <c r="CJ592" s="103"/>
      <c r="CK592" s="103"/>
      <c r="CL592" s="103"/>
      <c r="CM592" s="103"/>
      <c r="CN592" s="103"/>
      <c r="CO592" s="103"/>
      <c r="CP592" s="103"/>
      <c r="CQ592" s="103"/>
      <c r="CR592" s="103"/>
      <c r="CS592" s="103"/>
      <c r="CT592" s="103"/>
      <c r="CU592" s="103"/>
      <c r="CV592" s="103"/>
      <c r="CW592" s="103"/>
      <c r="CX592" s="103"/>
      <c r="CY592" s="103"/>
      <c r="CZ592" s="103"/>
      <c r="DA592" s="103"/>
      <c r="DB592" s="103"/>
      <c r="DC592" s="103"/>
      <c r="DD592" s="103"/>
      <c r="DE592" s="133"/>
      <c r="DF592" s="133"/>
      <c r="DG592" s="1"/>
      <c r="DH592" s="53"/>
      <c r="DI592" s="51"/>
      <c r="DJ592" s="52"/>
      <c r="DK592" s="52"/>
      <c r="DL592" s="52"/>
      <c r="DM592" s="52"/>
      <c r="DN592" s="52"/>
      <c r="DO592" s="52"/>
      <c r="DP592" s="52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P592" s="53"/>
      <c r="EQ592" s="1"/>
      <c r="ER592" s="102"/>
      <c r="ES592" s="103"/>
      <c r="ET592" s="1"/>
      <c r="EU592" s="103"/>
      <c r="EV592" s="1"/>
      <c r="EW592" s="1"/>
      <c r="EX592" s="1"/>
      <c r="EY592" s="102"/>
    </row>
    <row r="593" spans="9:155">
      <c r="I593" s="132"/>
      <c r="J593" s="133"/>
      <c r="K593" s="1"/>
      <c r="L593" s="1"/>
      <c r="S593" s="53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03"/>
      <c r="AQ593" s="1"/>
      <c r="AR593" s="103"/>
      <c r="AS593" s="103"/>
      <c r="AT593" s="103"/>
      <c r="AU593" s="103"/>
      <c r="AV593" s="31"/>
      <c r="AW593" s="31"/>
      <c r="AX593" s="31"/>
      <c r="AY593" s="146"/>
      <c r="AZ593" s="146"/>
      <c r="BA593" s="103"/>
      <c r="BB593" s="103"/>
      <c r="BC593" s="103"/>
      <c r="BD593" s="103"/>
      <c r="BE593" s="103"/>
      <c r="BF593" s="104"/>
      <c r="BG593" s="104"/>
      <c r="BH593" s="102"/>
      <c r="BI593" s="104"/>
      <c r="BJ593" s="103"/>
      <c r="BK593" s="105"/>
      <c r="BL593" s="152"/>
      <c r="BM593" s="103"/>
      <c r="BN593" s="103"/>
      <c r="BO593" s="103"/>
      <c r="BP593" s="103"/>
      <c r="BQ593" s="103"/>
      <c r="BR593" s="103"/>
      <c r="BS593" s="103"/>
      <c r="BT593" s="103"/>
      <c r="BU593" s="103"/>
      <c r="BV593" s="103"/>
      <c r="BW593" s="103"/>
      <c r="BX593" s="103"/>
      <c r="BY593" s="103"/>
      <c r="BZ593" s="104"/>
      <c r="CA593" s="104"/>
      <c r="CB593" s="104"/>
      <c r="CC593" s="104"/>
      <c r="CD593" s="104"/>
      <c r="CE593" s="104"/>
      <c r="CF593" s="103"/>
      <c r="CG593" s="103"/>
      <c r="CH593" s="103"/>
      <c r="CI593" s="103"/>
      <c r="CJ593" s="103"/>
      <c r="CK593" s="103"/>
      <c r="CL593" s="103"/>
      <c r="CM593" s="103"/>
      <c r="CN593" s="103"/>
      <c r="CO593" s="103"/>
      <c r="CP593" s="103"/>
      <c r="CQ593" s="103"/>
      <c r="CR593" s="103"/>
      <c r="CS593" s="103"/>
      <c r="CT593" s="103"/>
      <c r="CU593" s="103"/>
      <c r="CV593" s="103"/>
      <c r="CW593" s="103"/>
      <c r="CX593" s="103"/>
      <c r="CY593" s="103"/>
      <c r="CZ593" s="103"/>
      <c r="DA593" s="103"/>
      <c r="DB593" s="103"/>
      <c r="DC593" s="103"/>
      <c r="DD593" s="103"/>
      <c r="DE593" s="133"/>
      <c r="DF593" s="133"/>
      <c r="DG593" s="1"/>
      <c r="DH593" s="53"/>
      <c r="DI593" s="51"/>
      <c r="DJ593" s="52"/>
      <c r="DK593" s="52"/>
      <c r="DL593" s="52"/>
      <c r="DM593" s="52"/>
      <c r="DN593" s="52"/>
      <c r="DO593" s="52"/>
      <c r="DP593" s="52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P593" s="53"/>
      <c r="EQ593" s="1"/>
      <c r="ER593" s="102"/>
      <c r="ES593" s="103"/>
      <c r="ET593" s="1"/>
      <c r="EU593" s="103"/>
      <c r="EV593" s="1"/>
      <c r="EW593" s="1"/>
      <c r="EX593" s="1"/>
      <c r="EY593" s="102"/>
    </row>
    <row r="594" spans="9:155">
      <c r="I594" s="132"/>
      <c r="J594" s="133"/>
      <c r="K594" s="1"/>
      <c r="L594" s="1"/>
      <c r="Q594" s="1"/>
      <c r="R594" s="1"/>
      <c r="S594" s="103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53"/>
      <c r="AO594" s="103"/>
      <c r="AP594" s="103"/>
      <c r="AQ594" s="103"/>
      <c r="AR594" s="103"/>
      <c r="AS594" s="103"/>
      <c r="AT594" s="31"/>
      <c r="AU594" s="31"/>
      <c r="AV594" s="31"/>
      <c r="AW594" s="146"/>
      <c r="AX594" s="146"/>
      <c r="AY594" s="103"/>
      <c r="AZ594" s="103"/>
      <c r="BA594" s="103"/>
      <c r="BB594" s="103"/>
      <c r="BC594" s="103"/>
      <c r="BD594" s="103"/>
      <c r="BE594" s="104"/>
      <c r="BF594" s="102"/>
      <c r="BG594" s="102"/>
      <c r="BH594" s="102"/>
      <c r="BI594" s="105"/>
      <c r="BJ594" s="152"/>
      <c r="BK594" s="103"/>
      <c r="BL594" s="103"/>
      <c r="BM594" s="103"/>
      <c r="BN594" s="103"/>
      <c r="BO594" s="103"/>
      <c r="BP594" s="103"/>
      <c r="BQ594" s="103"/>
      <c r="BR594" s="103"/>
      <c r="BS594" s="103"/>
      <c r="BT594" s="103"/>
      <c r="BU594" s="103"/>
      <c r="BV594" s="104"/>
      <c r="BW594" s="103"/>
      <c r="BX594" s="104"/>
      <c r="BY594" s="104"/>
      <c r="BZ594" s="104"/>
      <c r="CA594" s="104"/>
      <c r="CB594" s="104"/>
      <c r="CC594" s="104"/>
      <c r="CD594" s="104"/>
      <c r="CE594" s="104"/>
      <c r="CF594" s="103"/>
      <c r="CG594" s="103"/>
      <c r="CH594" s="103"/>
      <c r="CI594" s="103"/>
      <c r="CJ594" s="103"/>
      <c r="CK594" s="133"/>
      <c r="CL594" s="133"/>
      <c r="CM594" s="133"/>
      <c r="CN594" s="133"/>
      <c r="CO594" s="133"/>
      <c r="CP594" s="133"/>
      <c r="CQ594" s="133"/>
      <c r="CR594" s="133"/>
      <c r="CS594" s="133"/>
      <c r="CT594" s="133"/>
      <c r="CU594" s="133"/>
      <c r="CV594" s="133"/>
      <c r="CW594" s="133"/>
      <c r="CX594" s="133"/>
      <c r="CY594" s="133"/>
      <c r="CZ594" s="133"/>
      <c r="DA594" s="133"/>
      <c r="DB594" s="133"/>
      <c r="DC594" s="133"/>
      <c r="DD594" s="133"/>
      <c r="DE594" s="1"/>
      <c r="DF594" s="53"/>
      <c r="DG594" s="51"/>
      <c r="DJ594" s="52"/>
      <c r="DK594" s="52"/>
      <c r="DL594" s="52"/>
      <c r="DM594" s="52"/>
      <c r="DN594" s="52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P594" s="53"/>
      <c r="EQ594" s="1"/>
      <c r="ER594" s="103"/>
      <c r="ES594" s="103"/>
      <c r="ET594" s="1"/>
      <c r="EU594" s="103"/>
      <c r="EV594" s="1"/>
      <c r="EW594" s="1"/>
      <c r="EX594" s="1"/>
      <c r="EY594" s="104"/>
    </row>
    <row r="595" spans="9:155">
      <c r="I595" s="132"/>
      <c r="J595" s="133"/>
      <c r="K595" s="1"/>
      <c r="L595" s="1"/>
      <c r="Q595" s="1"/>
      <c r="R595" s="1"/>
      <c r="S595" s="103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53"/>
      <c r="AO595" s="103"/>
      <c r="AP595" s="103"/>
      <c r="AQ595" s="103"/>
      <c r="AR595" s="103"/>
      <c r="AS595" s="103"/>
      <c r="AT595" s="31"/>
      <c r="AU595" s="31"/>
      <c r="AV595" s="31"/>
      <c r="AW595" s="146"/>
      <c r="AX595" s="146"/>
      <c r="AY595" s="103"/>
      <c r="AZ595" s="103"/>
      <c r="BA595" s="103"/>
      <c r="BB595" s="103"/>
      <c r="BC595" s="103"/>
      <c r="BD595" s="103"/>
      <c r="BE595" s="104"/>
      <c r="BF595" s="102"/>
      <c r="BG595" s="102"/>
      <c r="BH595" s="102"/>
      <c r="BI595" s="105"/>
      <c r="BJ595" s="152"/>
      <c r="BK595" s="103"/>
      <c r="BL595" s="103"/>
      <c r="BM595" s="103"/>
      <c r="BN595" s="103"/>
      <c r="BO595" s="103"/>
      <c r="BP595" s="103"/>
      <c r="BQ595" s="103"/>
      <c r="BR595" s="103"/>
      <c r="BS595" s="103"/>
      <c r="BT595" s="103"/>
      <c r="BU595" s="103"/>
      <c r="BV595" s="104"/>
      <c r="BW595" s="103"/>
      <c r="BX595" s="104"/>
      <c r="BY595" s="104"/>
      <c r="BZ595" s="104"/>
      <c r="CA595" s="104"/>
      <c r="CB595" s="104"/>
      <c r="CC595" s="104"/>
      <c r="CD595" s="104"/>
      <c r="CE595" s="104"/>
      <c r="CF595" s="103"/>
      <c r="CG595" s="103"/>
      <c r="CH595" s="103"/>
      <c r="CI595" s="103"/>
      <c r="CJ595" s="103"/>
      <c r="CK595" s="133"/>
      <c r="CL595" s="133"/>
      <c r="CM595" s="133"/>
      <c r="CN595" s="133"/>
      <c r="CO595" s="133"/>
      <c r="CP595" s="133"/>
      <c r="CQ595" s="133"/>
      <c r="CR595" s="133"/>
      <c r="CS595" s="133"/>
      <c r="CT595" s="133"/>
      <c r="CU595" s="133"/>
      <c r="CV595" s="133"/>
      <c r="CW595" s="133"/>
      <c r="CX595" s="133"/>
      <c r="CY595" s="133"/>
      <c r="CZ595" s="133"/>
      <c r="DA595" s="133"/>
      <c r="DB595" s="133"/>
      <c r="DC595" s="133"/>
      <c r="DD595" s="133"/>
      <c r="DE595" s="1"/>
      <c r="DF595" s="53"/>
      <c r="DG595" s="51"/>
      <c r="DJ595" s="52"/>
      <c r="DK595" s="52"/>
      <c r="DL595" s="52"/>
      <c r="DM595" s="52"/>
      <c r="DN595" s="52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P595" s="53"/>
      <c r="EQ595" s="1"/>
      <c r="ER595" s="103"/>
      <c r="ES595" s="103"/>
      <c r="ET595" s="1"/>
      <c r="EU595" s="103"/>
      <c r="EV595" s="1"/>
      <c r="EW595" s="1"/>
      <c r="EX595" s="1"/>
      <c r="EY595" s="104"/>
    </row>
    <row r="596" spans="9:155">
      <c r="I596" s="132"/>
      <c r="J596" s="133"/>
      <c r="K596" s="1"/>
      <c r="L596" s="1"/>
      <c r="Q596" s="1"/>
      <c r="R596" s="1"/>
      <c r="S596" s="103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53"/>
      <c r="AO596" s="103"/>
      <c r="AP596" s="103"/>
      <c r="AQ596" s="103"/>
      <c r="AR596" s="103"/>
      <c r="AS596" s="103"/>
      <c r="AT596" s="31"/>
      <c r="AU596" s="31"/>
      <c r="AV596" s="31"/>
      <c r="AW596" s="146"/>
      <c r="AX596" s="146"/>
      <c r="AY596" s="103"/>
      <c r="AZ596" s="103"/>
      <c r="BA596" s="103"/>
      <c r="BB596" s="103"/>
      <c r="BC596" s="103"/>
      <c r="BD596" s="103"/>
      <c r="BE596" s="104"/>
      <c r="BF596" s="102"/>
      <c r="BG596" s="102"/>
      <c r="BH596" s="102"/>
      <c r="BI596" s="105"/>
      <c r="BJ596" s="152"/>
      <c r="BK596" s="103"/>
      <c r="BL596" s="103"/>
      <c r="BM596" s="103"/>
      <c r="BN596" s="103"/>
      <c r="BO596" s="103"/>
      <c r="BP596" s="103"/>
      <c r="BQ596" s="103"/>
      <c r="BR596" s="103"/>
      <c r="BS596" s="103"/>
      <c r="BT596" s="103"/>
      <c r="BU596" s="103"/>
      <c r="BV596" s="104"/>
      <c r="BW596" s="103"/>
      <c r="BX596" s="104"/>
      <c r="BY596" s="104"/>
      <c r="BZ596" s="104"/>
      <c r="CA596" s="104"/>
      <c r="CB596" s="104"/>
      <c r="CC596" s="104"/>
      <c r="CD596" s="104"/>
      <c r="CE596" s="104"/>
      <c r="CF596" s="103"/>
      <c r="CG596" s="103"/>
      <c r="CH596" s="103"/>
      <c r="CI596" s="103"/>
      <c r="CJ596" s="103"/>
      <c r="CK596" s="133"/>
      <c r="CL596" s="133"/>
      <c r="CM596" s="133"/>
      <c r="CN596" s="133"/>
      <c r="CO596" s="133"/>
      <c r="CP596" s="133"/>
      <c r="CQ596" s="133"/>
      <c r="CR596" s="133"/>
      <c r="CS596" s="133"/>
      <c r="CT596" s="133"/>
      <c r="CU596" s="133"/>
      <c r="CV596" s="133"/>
      <c r="CW596" s="133"/>
      <c r="CX596" s="133"/>
      <c r="CY596" s="133"/>
      <c r="CZ596" s="133"/>
      <c r="DA596" s="133"/>
      <c r="DB596" s="133"/>
      <c r="DC596" s="133"/>
      <c r="DD596" s="133"/>
      <c r="DE596" s="1"/>
      <c r="DF596" s="53"/>
      <c r="DG596" s="51"/>
      <c r="DJ596" s="52"/>
      <c r="DK596" s="52"/>
      <c r="DL596" s="52"/>
      <c r="DM596" s="52"/>
      <c r="DN596" s="52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P596" s="53"/>
      <c r="EQ596" s="1"/>
      <c r="ER596" s="103"/>
      <c r="ES596" s="103"/>
      <c r="ET596" s="1"/>
      <c r="EU596" s="103"/>
      <c r="EV596" s="1"/>
      <c r="EW596" s="1"/>
      <c r="EX596" s="1"/>
      <c r="EY596" s="104"/>
    </row>
    <row r="597" spans="9:155">
      <c r="I597" s="132"/>
      <c r="J597" s="133"/>
      <c r="K597" s="1"/>
      <c r="L597" s="1"/>
      <c r="Q597" s="1"/>
      <c r="R597" s="1"/>
      <c r="S597" s="103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53"/>
      <c r="AO597" s="103"/>
      <c r="AP597" s="103"/>
      <c r="AQ597" s="103"/>
      <c r="AR597" s="103"/>
      <c r="AS597" s="103"/>
      <c r="AT597" s="31"/>
      <c r="AU597" s="31"/>
      <c r="AV597" s="31"/>
      <c r="AW597" s="146"/>
      <c r="AX597" s="146"/>
      <c r="AY597" s="103"/>
      <c r="AZ597" s="103"/>
      <c r="BA597" s="103"/>
      <c r="BB597" s="103"/>
      <c r="BC597" s="103"/>
      <c r="BD597" s="103"/>
      <c r="BE597" s="104"/>
      <c r="BF597" s="102"/>
      <c r="BG597" s="102"/>
      <c r="BH597" s="102"/>
      <c r="BI597" s="105"/>
      <c r="BJ597" s="152"/>
      <c r="BK597" s="103"/>
      <c r="BL597" s="103"/>
      <c r="BM597" s="103"/>
      <c r="BN597" s="103"/>
      <c r="BO597" s="103"/>
      <c r="BP597" s="103"/>
      <c r="BQ597" s="103"/>
      <c r="BR597" s="103"/>
      <c r="BS597" s="103"/>
      <c r="BT597" s="103"/>
      <c r="BU597" s="103"/>
      <c r="BV597" s="104"/>
      <c r="BW597" s="103"/>
      <c r="BX597" s="104"/>
      <c r="BY597" s="104"/>
      <c r="BZ597" s="104"/>
      <c r="CA597" s="104"/>
      <c r="CB597" s="104"/>
      <c r="CC597" s="104"/>
      <c r="CD597" s="104"/>
      <c r="CE597" s="104"/>
      <c r="CF597" s="103"/>
      <c r="CG597" s="103"/>
      <c r="CH597" s="103"/>
      <c r="CI597" s="103"/>
      <c r="CJ597" s="103"/>
      <c r="CK597" s="133"/>
      <c r="CL597" s="133"/>
      <c r="CM597" s="133"/>
      <c r="CN597" s="133"/>
      <c r="CO597" s="133"/>
      <c r="CP597" s="133"/>
      <c r="CQ597" s="133"/>
      <c r="CR597" s="133"/>
      <c r="CS597" s="133"/>
      <c r="CT597" s="133"/>
      <c r="CU597" s="133"/>
      <c r="CV597" s="133"/>
      <c r="CW597" s="133"/>
      <c r="CX597" s="133"/>
      <c r="CY597" s="133"/>
      <c r="CZ597" s="133"/>
      <c r="DA597" s="133"/>
      <c r="DB597" s="133"/>
      <c r="DC597" s="133"/>
      <c r="DD597" s="133"/>
      <c r="DE597" s="1"/>
      <c r="DF597" s="53"/>
      <c r="DG597" s="51"/>
      <c r="DJ597" s="52"/>
      <c r="DK597" s="52"/>
      <c r="DL597" s="52"/>
      <c r="DM597" s="52"/>
      <c r="DN597" s="52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P597" s="53"/>
      <c r="EQ597" s="1"/>
      <c r="ER597" s="103"/>
      <c r="ES597" s="103"/>
      <c r="ET597" s="1"/>
      <c r="EU597" s="103"/>
      <c r="EV597" s="1"/>
      <c r="EW597" s="1"/>
      <c r="EX597" s="1"/>
      <c r="EY597" s="104"/>
    </row>
    <row r="598" spans="9:155">
      <c r="I598" s="132"/>
      <c r="J598" s="133"/>
      <c r="K598" s="1"/>
      <c r="L598" s="1"/>
      <c r="Q598" s="1"/>
      <c r="R598" s="1"/>
      <c r="S598" s="103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53"/>
      <c r="AO598" s="103"/>
      <c r="AP598" s="103"/>
      <c r="AQ598" s="103"/>
      <c r="AR598" s="103"/>
      <c r="AS598" s="103"/>
      <c r="AT598" s="31"/>
      <c r="AU598" s="31"/>
      <c r="AV598" s="31"/>
      <c r="AW598" s="146"/>
      <c r="AX598" s="146"/>
      <c r="AY598" s="103"/>
      <c r="AZ598" s="103"/>
      <c r="BA598" s="103"/>
      <c r="BB598" s="103"/>
      <c r="BC598" s="103"/>
      <c r="BD598" s="103"/>
      <c r="BE598" s="104"/>
      <c r="BF598" s="102"/>
      <c r="BG598" s="102"/>
      <c r="BH598" s="102"/>
      <c r="BI598" s="105"/>
      <c r="BJ598" s="152"/>
      <c r="BK598" s="103"/>
      <c r="BL598" s="103"/>
      <c r="BM598" s="103"/>
      <c r="BN598" s="103"/>
      <c r="BO598" s="103"/>
      <c r="BP598" s="103"/>
      <c r="BQ598" s="103"/>
      <c r="BR598" s="103"/>
      <c r="BS598" s="103"/>
      <c r="BT598" s="103"/>
      <c r="BU598" s="103"/>
      <c r="BV598" s="104"/>
      <c r="BW598" s="103"/>
      <c r="BX598" s="104"/>
      <c r="BY598" s="104"/>
      <c r="BZ598" s="104"/>
      <c r="CA598" s="104"/>
      <c r="CB598" s="104"/>
      <c r="CC598" s="104"/>
      <c r="CD598" s="104"/>
      <c r="CE598" s="104"/>
      <c r="CF598" s="103"/>
      <c r="CG598" s="103"/>
      <c r="CH598" s="103"/>
      <c r="CI598" s="103"/>
      <c r="CJ598" s="103"/>
      <c r="CK598" s="133"/>
      <c r="CL598" s="133"/>
      <c r="CM598" s="133"/>
      <c r="CN598" s="133"/>
      <c r="CO598" s="133"/>
      <c r="CP598" s="133"/>
      <c r="CQ598" s="133"/>
      <c r="CR598" s="133"/>
      <c r="CS598" s="133"/>
      <c r="CT598" s="133"/>
      <c r="CU598" s="133"/>
      <c r="CV598" s="133"/>
      <c r="CW598" s="133"/>
      <c r="CX598" s="133"/>
      <c r="CY598" s="133"/>
      <c r="CZ598" s="133"/>
      <c r="DA598" s="133"/>
      <c r="DB598" s="133"/>
      <c r="DC598" s="133"/>
      <c r="DD598" s="133"/>
      <c r="DE598" s="1"/>
      <c r="DF598" s="53"/>
      <c r="DG598" s="51"/>
      <c r="DJ598" s="52"/>
      <c r="DK598" s="52"/>
      <c r="DL598" s="52"/>
      <c r="DM598" s="52"/>
      <c r="DN598" s="52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P598" s="53"/>
      <c r="EQ598" s="1"/>
      <c r="ER598" s="103"/>
      <c r="ES598" s="103"/>
      <c r="ET598" s="1"/>
      <c r="EU598" s="103"/>
      <c r="EV598" s="1"/>
      <c r="EW598" s="1"/>
      <c r="EX598" s="1"/>
      <c r="EY598" s="104"/>
    </row>
    <row r="599" spans="9:155">
      <c r="I599" s="132"/>
      <c r="J599" s="133"/>
      <c r="K599" s="1"/>
      <c r="L599" s="1"/>
      <c r="Q599" s="1"/>
      <c r="R599" s="1"/>
      <c r="S599" s="103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53"/>
      <c r="AO599" s="103"/>
      <c r="AP599" s="103"/>
      <c r="AQ599" s="103"/>
      <c r="AR599" s="103"/>
      <c r="AS599" s="103"/>
      <c r="AT599" s="31"/>
      <c r="AU599" s="31"/>
      <c r="AV599" s="31"/>
      <c r="AW599" s="146"/>
      <c r="AX599" s="146"/>
      <c r="AY599" s="103"/>
      <c r="AZ599" s="103"/>
      <c r="BA599" s="103"/>
      <c r="BB599" s="103"/>
      <c r="BC599" s="103"/>
      <c r="BD599" s="103"/>
      <c r="BE599" s="104"/>
      <c r="BF599" s="102"/>
      <c r="BG599" s="102"/>
      <c r="BH599" s="102"/>
      <c r="BI599" s="105"/>
      <c r="BJ599" s="152"/>
      <c r="BK599" s="103"/>
      <c r="BL599" s="103"/>
      <c r="BM599" s="103"/>
      <c r="BN599" s="103"/>
      <c r="BO599" s="103"/>
      <c r="BP599" s="103"/>
      <c r="BQ599" s="103"/>
      <c r="BR599" s="103"/>
      <c r="BS599" s="103"/>
      <c r="BT599" s="103"/>
      <c r="BU599" s="103"/>
      <c r="BV599" s="104"/>
      <c r="BW599" s="103"/>
      <c r="BX599" s="104"/>
      <c r="BY599" s="104"/>
      <c r="BZ599" s="104"/>
      <c r="CA599" s="104"/>
      <c r="CB599" s="104"/>
      <c r="CC599" s="104"/>
      <c r="CD599" s="104"/>
      <c r="CE599" s="104"/>
      <c r="CF599" s="103"/>
      <c r="CG599" s="103"/>
      <c r="CH599" s="103"/>
      <c r="CI599" s="103"/>
      <c r="CJ599" s="103"/>
      <c r="CK599" s="133"/>
      <c r="CL599" s="133"/>
      <c r="CM599" s="133"/>
      <c r="CN599" s="133"/>
      <c r="CO599" s="133"/>
      <c r="CP599" s="133"/>
      <c r="CQ599" s="133"/>
      <c r="CR599" s="133"/>
      <c r="CS599" s="133"/>
      <c r="CT599" s="133"/>
      <c r="CU599" s="133"/>
      <c r="CV599" s="133"/>
      <c r="CW599" s="133"/>
      <c r="CX599" s="133"/>
      <c r="CY599" s="133"/>
      <c r="CZ599" s="133"/>
      <c r="DA599" s="133"/>
      <c r="DB599" s="133"/>
      <c r="DC599" s="133"/>
      <c r="DD599" s="133"/>
      <c r="DE599" s="1"/>
      <c r="DF599" s="53"/>
      <c r="DG599" s="51"/>
      <c r="DJ599" s="52"/>
      <c r="DK599" s="52"/>
      <c r="DL599" s="52"/>
      <c r="DM599" s="52"/>
      <c r="DN599" s="52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P599" s="53"/>
      <c r="EQ599" s="1"/>
      <c r="ER599" s="103"/>
      <c r="ES599" s="103"/>
      <c r="ET599" s="1"/>
      <c r="EU599" s="103"/>
      <c r="EV599" s="1"/>
      <c r="EW599" s="1"/>
      <c r="EX599" s="1"/>
      <c r="EY599" s="104"/>
    </row>
    <row r="600" spans="9:155">
      <c r="I600" s="132"/>
      <c r="J600" s="133"/>
      <c r="K600" s="1"/>
      <c r="L600" s="1"/>
      <c r="Q600" s="1"/>
      <c r="R600" s="1"/>
      <c r="S600" s="103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53"/>
      <c r="AO600" s="103"/>
      <c r="AP600" s="103"/>
      <c r="AQ600" s="103"/>
      <c r="AR600" s="103"/>
      <c r="AS600" s="103"/>
      <c r="AT600" s="31"/>
      <c r="AU600" s="31"/>
      <c r="AV600" s="31"/>
      <c r="AW600" s="146"/>
      <c r="AX600" s="146"/>
      <c r="AY600" s="103"/>
      <c r="AZ600" s="103"/>
      <c r="BA600" s="103"/>
      <c r="BB600" s="103"/>
      <c r="BC600" s="103"/>
      <c r="BD600" s="103"/>
      <c r="BE600" s="104"/>
      <c r="BF600" s="102"/>
      <c r="BG600" s="102"/>
      <c r="BH600" s="102"/>
      <c r="BI600" s="105"/>
      <c r="BJ600" s="152"/>
      <c r="BK600" s="103"/>
      <c r="BL600" s="103"/>
      <c r="BM600" s="103"/>
      <c r="BN600" s="103"/>
      <c r="BO600" s="103"/>
      <c r="BP600" s="103"/>
      <c r="BQ600" s="103"/>
      <c r="BR600" s="103"/>
      <c r="BS600" s="103"/>
      <c r="BT600" s="103"/>
      <c r="BU600" s="103"/>
      <c r="BV600" s="104"/>
      <c r="BW600" s="103"/>
      <c r="BX600" s="104"/>
      <c r="BY600" s="104"/>
      <c r="BZ600" s="104"/>
      <c r="CA600" s="104"/>
      <c r="CB600" s="104"/>
      <c r="CC600" s="104"/>
      <c r="CD600" s="104"/>
      <c r="CE600" s="104"/>
      <c r="CF600" s="103"/>
      <c r="CG600" s="103"/>
      <c r="CH600" s="103"/>
      <c r="CI600" s="103"/>
      <c r="CJ600" s="103"/>
      <c r="CK600" s="133"/>
      <c r="CL600" s="133"/>
      <c r="CM600" s="133"/>
      <c r="CN600" s="133"/>
      <c r="CO600" s="133"/>
      <c r="CP600" s="133"/>
      <c r="CQ600" s="133"/>
      <c r="CR600" s="133"/>
      <c r="CS600" s="133"/>
      <c r="CT600" s="133"/>
      <c r="CU600" s="133"/>
      <c r="CV600" s="133"/>
      <c r="CW600" s="133"/>
      <c r="CX600" s="133"/>
      <c r="CY600" s="133"/>
      <c r="CZ600" s="133"/>
      <c r="DA600" s="133"/>
      <c r="DB600" s="133"/>
      <c r="DC600" s="133"/>
      <c r="DD600" s="133"/>
      <c r="DE600" s="1"/>
      <c r="DF600" s="53"/>
      <c r="DG600" s="51"/>
      <c r="DJ600" s="52"/>
      <c r="DK600" s="52"/>
      <c r="DL600" s="52"/>
      <c r="DM600" s="52"/>
      <c r="DN600" s="52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P600" s="53"/>
      <c r="EQ600" s="1"/>
      <c r="ER600" s="103"/>
      <c r="ES600" s="103"/>
      <c r="ET600" s="1"/>
      <c r="EU600" s="103"/>
      <c r="EV600" s="1"/>
      <c r="EW600" s="1"/>
      <c r="EX600" s="1"/>
      <c r="EY600" s="104"/>
    </row>
    <row r="601" spans="9:155">
      <c r="I601" s="132"/>
      <c r="J601" s="133"/>
      <c r="K601" s="1"/>
      <c r="L601" s="1"/>
      <c r="Q601" s="1"/>
      <c r="R601" s="1"/>
      <c r="S601" s="103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53"/>
      <c r="AO601" s="103"/>
      <c r="AP601" s="103"/>
      <c r="AQ601" s="103"/>
      <c r="AR601" s="103"/>
      <c r="AS601" s="103"/>
      <c r="AT601" s="31"/>
      <c r="AU601" s="31"/>
      <c r="AV601" s="31"/>
      <c r="AW601" s="146"/>
      <c r="AX601" s="146"/>
      <c r="AY601" s="103"/>
      <c r="AZ601" s="103"/>
      <c r="BA601" s="103"/>
      <c r="BB601" s="103"/>
      <c r="BC601" s="103"/>
      <c r="BD601" s="103"/>
      <c r="BE601" s="104"/>
      <c r="BF601" s="102"/>
      <c r="BG601" s="102"/>
      <c r="BH601" s="102"/>
      <c r="BI601" s="105"/>
      <c r="BJ601" s="152"/>
      <c r="BK601" s="103"/>
      <c r="BL601" s="103"/>
      <c r="BM601" s="103"/>
      <c r="BN601" s="103"/>
      <c r="BO601" s="103"/>
      <c r="BP601" s="103"/>
      <c r="BQ601" s="103"/>
      <c r="BR601" s="103"/>
      <c r="BS601" s="103"/>
      <c r="BT601" s="103"/>
      <c r="BU601" s="103"/>
      <c r="BV601" s="104"/>
      <c r="BW601" s="103"/>
      <c r="BX601" s="104"/>
      <c r="BY601" s="104"/>
      <c r="BZ601" s="104"/>
      <c r="CA601" s="104"/>
      <c r="CB601" s="104"/>
      <c r="CC601" s="104"/>
      <c r="CD601" s="104"/>
      <c r="CE601" s="104"/>
      <c r="CF601" s="103"/>
      <c r="CG601" s="103"/>
      <c r="CH601" s="103"/>
      <c r="CI601" s="103"/>
      <c r="CJ601" s="103"/>
      <c r="CK601" s="133"/>
      <c r="CL601" s="133"/>
      <c r="CM601" s="133"/>
      <c r="CN601" s="133"/>
      <c r="CO601" s="133"/>
      <c r="CP601" s="133"/>
      <c r="CQ601" s="133"/>
      <c r="CR601" s="133"/>
      <c r="CS601" s="133"/>
      <c r="CT601" s="133"/>
      <c r="CU601" s="133"/>
      <c r="CV601" s="133"/>
      <c r="CW601" s="133"/>
      <c r="CX601" s="133"/>
      <c r="CY601" s="133"/>
      <c r="CZ601" s="133"/>
      <c r="DA601" s="133"/>
      <c r="DB601" s="133"/>
      <c r="DC601" s="133"/>
      <c r="DD601" s="133"/>
      <c r="DE601" s="1"/>
      <c r="DF601" s="53"/>
      <c r="DG601" s="51"/>
      <c r="DJ601" s="52"/>
      <c r="DK601" s="52"/>
      <c r="DL601" s="52"/>
      <c r="DM601" s="52"/>
      <c r="DN601" s="52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P601" s="53"/>
      <c r="EQ601" s="1"/>
      <c r="ER601" s="103"/>
      <c r="ES601" s="103"/>
      <c r="ET601" s="1"/>
      <c r="EU601" s="103"/>
      <c r="EV601" s="1"/>
      <c r="EW601" s="1"/>
      <c r="EX601" s="1"/>
      <c r="EY601" s="104"/>
    </row>
    <row r="602" spans="9:155">
      <c r="I602" s="132"/>
      <c r="J602" s="133"/>
      <c r="K602" s="1"/>
      <c r="L602" s="1"/>
      <c r="Q602" s="1"/>
      <c r="R602" s="1"/>
      <c r="S602" s="103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53"/>
      <c r="AO602" s="103"/>
      <c r="AP602" s="103"/>
      <c r="AQ602" s="103"/>
      <c r="AR602" s="103"/>
      <c r="AS602" s="103"/>
      <c r="AT602" s="31"/>
      <c r="AU602" s="31"/>
      <c r="AV602" s="31"/>
      <c r="AW602" s="146"/>
      <c r="AX602" s="146"/>
      <c r="AY602" s="103"/>
      <c r="AZ602" s="103"/>
      <c r="BA602" s="103"/>
      <c r="BB602" s="103"/>
      <c r="BC602" s="103"/>
      <c r="BD602" s="103"/>
      <c r="BE602" s="104"/>
      <c r="BF602" s="102"/>
      <c r="BG602" s="102"/>
      <c r="BH602" s="102"/>
      <c r="BI602" s="105"/>
      <c r="BJ602" s="152"/>
      <c r="BK602" s="103"/>
      <c r="BL602" s="103"/>
      <c r="BM602" s="103"/>
      <c r="BN602" s="103"/>
      <c r="BO602" s="103"/>
      <c r="BP602" s="103"/>
      <c r="BQ602" s="103"/>
      <c r="BR602" s="103"/>
      <c r="BS602" s="103"/>
      <c r="BT602" s="103"/>
      <c r="BU602" s="103"/>
      <c r="BV602" s="104"/>
      <c r="BW602" s="103"/>
      <c r="BX602" s="104"/>
      <c r="BY602" s="104"/>
      <c r="BZ602" s="104"/>
      <c r="CA602" s="104"/>
      <c r="CB602" s="104"/>
      <c r="CC602" s="104"/>
      <c r="CD602" s="104"/>
      <c r="CE602" s="104"/>
      <c r="CF602" s="103"/>
      <c r="CG602" s="103"/>
      <c r="CH602" s="103"/>
      <c r="CI602" s="103"/>
      <c r="CJ602" s="103"/>
      <c r="CK602" s="133"/>
      <c r="CL602" s="133"/>
      <c r="CM602" s="133"/>
      <c r="CN602" s="133"/>
      <c r="CO602" s="133"/>
      <c r="CP602" s="133"/>
      <c r="CQ602" s="133"/>
      <c r="CR602" s="133"/>
      <c r="CS602" s="133"/>
      <c r="CT602" s="133"/>
      <c r="CU602" s="133"/>
      <c r="CV602" s="133"/>
      <c r="CW602" s="133"/>
      <c r="CX602" s="133"/>
      <c r="CY602" s="133"/>
      <c r="CZ602" s="133"/>
      <c r="DA602" s="133"/>
      <c r="DB602" s="133"/>
      <c r="DC602" s="133"/>
      <c r="DD602" s="133"/>
      <c r="DE602" s="1"/>
      <c r="DF602" s="53"/>
      <c r="DG602" s="51"/>
      <c r="DJ602" s="52"/>
      <c r="DK602" s="52"/>
      <c r="DL602" s="52"/>
      <c r="DM602" s="52"/>
      <c r="DN602" s="52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P602" s="53"/>
      <c r="EQ602" s="1"/>
      <c r="ER602" s="103"/>
      <c r="ES602" s="103"/>
      <c r="ET602" s="1"/>
      <c r="EU602" s="103"/>
      <c r="EV602" s="1"/>
      <c r="EW602" s="1"/>
      <c r="EX602" s="1"/>
      <c r="EY602" s="104"/>
    </row>
    <row r="603" spans="9:155">
      <c r="I603" s="132"/>
      <c r="J603" s="133"/>
      <c r="K603" s="1"/>
      <c r="L603" s="1"/>
      <c r="Q603" s="1"/>
      <c r="R603" s="1"/>
      <c r="S603" s="103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53"/>
      <c r="AO603" s="103"/>
      <c r="AP603" s="103"/>
      <c r="AQ603" s="103"/>
      <c r="AR603" s="103"/>
      <c r="AS603" s="103"/>
      <c r="AT603" s="31"/>
      <c r="AU603" s="31"/>
      <c r="AV603" s="31"/>
      <c r="AW603" s="146"/>
      <c r="AX603" s="146"/>
      <c r="AY603" s="103"/>
      <c r="AZ603" s="103"/>
      <c r="BA603" s="103"/>
      <c r="BB603" s="103"/>
      <c r="BC603" s="103"/>
      <c r="BD603" s="103"/>
      <c r="BE603" s="104"/>
      <c r="BF603" s="102"/>
      <c r="BG603" s="102"/>
      <c r="BH603" s="102"/>
      <c r="BI603" s="105"/>
      <c r="BJ603" s="152"/>
      <c r="BK603" s="103"/>
      <c r="BL603" s="103"/>
      <c r="BM603" s="103"/>
      <c r="BN603" s="103"/>
      <c r="BO603" s="103"/>
      <c r="BP603" s="103"/>
      <c r="BQ603" s="103"/>
      <c r="BR603" s="103"/>
      <c r="BS603" s="103"/>
      <c r="BT603" s="103"/>
      <c r="BU603" s="103"/>
      <c r="BV603" s="104"/>
      <c r="BW603" s="103"/>
      <c r="BX603" s="104"/>
      <c r="BY603" s="104"/>
      <c r="BZ603" s="104"/>
      <c r="CA603" s="104"/>
      <c r="CB603" s="104"/>
      <c r="CC603" s="104"/>
      <c r="CD603" s="104"/>
      <c r="CE603" s="104"/>
      <c r="CF603" s="103"/>
      <c r="CG603" s="103"/>
      <c r="CH603" s="103"/>
      <c r="CI603" s="103"/>
      <c r="CJ603" s="103"/>
      <c r="CK603" s="133"/>
      <c r="CL603" s="133"/>
      <c r="CM603" s="133"/>
      <c r="CN603" s="133"/>
      <c r="CO603" s="133"/>
      <c r="CP603" s="133"/>
      <c r="CQ603" s="133"/>
      <c r="CR603" s="133"/>
      <c r="CS603" s="133"/>
      <c r="CT603" s="133"/>
      <c r="CU603" s="133"/>
      <c r="CV603" s="133"/>
      <c r="CW603" s="133"/>
      <c r="CX603" s="133"/>
      <c r="CY603" s="133"/>
      <c r="CZ603" s="133"/>
      <c r="DA603" s="133"/>
      <c r="DB603" s="133"/>
      <c r="DC603" s="133"/>
      <c r="DD603" s="133"/>
      <c r="DE603" s="1"/>
      <c r="DF603" s="53"/>
      <c r="DG603" s="51"/>
      <c r="DJ603" s="52"/>
      <c r="DK603" s="52"/>
      <c r="DL603" s="52"/>
      <c r="DM603" s="52"/>
      <c r="DN603" s="52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P603" s="53"/>
      <c r="EQ603" s="1"/>
      <c r="ER603" s="103"/>
      <c r="ES603" s="103"/>
      <c r="ET603" s="1"/>
      <c r="EU603" s="103"/>
      <c r="EV603" s="1"/>
      <c r="EW603" s="1"/>
      <c r="EX603" s="1"/>
      <c r="EY603" s="104"/>
    </row>
    <row r="604" spans="9:155">
      <c r="I604" s="132"/>
      <c r="J604" s="133"/>
      <c r="K604" s="1"/>
      <c r="L604" s="1"/>
      <c r="Q604" s="1"/>
      <c r="R604" s="1"/>
      <c r="S604" s="103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53"/>
      <c r="AO604" s="103"/>
      <c r="AP604" s="103"/>
      <c r="AQ604" s="103"/>
      <c r="AR604" s="103"/>
      <c r="AS604" s="103"/>
      <c r="AT604" s="31"/>
      <c r="AU604" s="31"/>
      <c r="AV604" s="31"/>
      <c r="AW604" s="146"/>
      <c r="AX604" s="146"/>
      <c r="AY604" s="103"/>
      <c r="AZ604" s="103"/>
      <c r="BA604" s="103"/>
      <c r="BB604" s="103"/>
      <c r="BC604" s="103"/>
      <c r="BD604" s="103"/>
      <c r="BE604" s="104"/>
      <c r="BF604" s="102"/>
      <c r="BG604" s="102"/>
      <c r="BH604" s="102"/>
      <c r="BI604" s="105"/>
      <c r="BJ604" s="152"/>
      <c r="BK604" s="103"/>
      <c r="BL604" s="103"/>
      <c r="BM604" s="103"/>
      <c r="BN604" s="103"/>
      <c r="BO604" s="103"/>
      <c r="BP604" s="103"/>
      <c r="BQ604" s="103"/>
      <c r="BR604" s="103"/>
      <c r="BS604" s="103"/>
      <c r="BT604" s="103"/>
      <c r="BU604" s="103"/>
      <c r="BV604" s="104"/>
      <c r="BW604" s="103"/>
      <c r="BX604" s="104"/>
      <c r="BY604" s="104"/>
      <c r="BZ604" s="104"/>
      <c r="CA604" s="104"/>
      <c r="CB604" s="104"/>
      <c r="CC604" s="104"/>
      <c r="CD604" s="104"/>
      <c r="CE604" s="104"/>
      <c r="CF604" s="103"/>
      <c r="CG604" s="103"/>
      <c r="CH604" s="103"/>
      <c r="CI604" s="103"/>
      <c r="CJ604" s="103"/>
      <c r="CK604" s="133"/>
      <c r="CL604" s="133"/>
      <c r="CM604" s="133"/>
      <c r="CN604" s="133"/>
      <c r="CO604" s="133"/>
      <c r="CP604" s="133"/>
      <c r="CQ604" s="133"/>
      <c r="CR604" s="133"/>
      <c r="CS604" s="133"/>
      <c r="CT604" s="133"/>
      <c r="CU604" s="133"/>
      <c r="CV604" s="133"/>
      <c r="CW604" s="133"/>
      <c r="CX604" s="133"/>
      <c r="CY604" s="133"/>
      <c r="CZ604" s="133"/>
      <c r="DA604" s="133"/>
      <c r="DB604" s="133"/>
      <c r="DC604" s="133"/>
      <c r="DD604" s="133"/>
      <c r="DE604" s="1"/>
      <c r="DF604" s="53"/>
      <c r="DG604" s="51"/>
      <c r="DJ604" s="52"/>
      <c r="DK604" s="52"/>
      <c r="DL604" s="52"/>
      <c r="DM604" s="52"/>
      <c r="DN604" s="52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P604" s="53"/>
      <c r="EQ604" s="1"/>
      <c r="ER604" s="103"/>
      <c r="ES604" s="103"/>
      <c r="ET604" s="1"/>
      <c r="EU604" s="103"/>
      <c r="EV604" s="1"/>
      <c r="EW604" s="1"/>
      <c r="EX604" s="1"/>
      <c r="EY604" s="104"/>
    </row>
    <row r="605" spans="9:155">
      <c r="I605" s="132"/>
      <c r="J605" s="133"/>
      <c r="K605" s="1"/>
      <c r="L605" s="1"/>
      <c r="Q605" s="1"/>
      <c r="R605" s="1"/>
      <c r="S605" s="103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53"/>
      <c r="AO605" s="103"/>
      <c r="AP605" s="103"/>
      <c r="AQ605" s="103"/>
      <c r="AR605" s="103"/>
      <c r="AS605" s="103"/>
      <c r="AT605" s="31"/>
      <c r="AU605" s="31"/>
      <c r="AV605" s="31"/>
      <c r="AW605" s="146"/>
      <c r="AX605" s="146"/>
      <c r="AY605" s="103"/>
      <c r="AZ605" s="103"/>
      <c r="BA605" s="103"/>
      <c r="BB605" s="103"/>
      <c r="BC605" s="103"/>
      <c r="BD605" s="103"/>
      <c r="BE605" s="104"/>
      <c r="BF605" s="102"/>
      <c r="BG605" s="102"/>
      <c r="BH605" s="102"/>
      <c r="BI605" s="105"/>
      <c r="BJ605" s="152"/>
      <c r="BK605" s="103"/>
      <c r="BL605" s="103"/>
      <c r="BM605" s="103"/>
      <c r="BN605" s="103"/>
      <c r="BO605" s="103"/>
      <c r="BP605" s="103"/>
      <c r="BQ605" s="103"/>
      <c r="BR605" s="103"/>
      <c r="BS605" s="103"/>
      <c r="BT605" s="103"/>
      <c r="BU605" s="103"/>
      <c r="BV605" s="104"/>
      <c r="BW605" s="103"/>
      <c r="BX605" s="104"/>
      <c r="BY605" s="104"/>
      <c r="BZ605" s="104"/>
      <c r="CA605" s="104"/>
      <c r="CB605" s="104"/>
      <c r="CC605" s="104"/>
      <c r="CD605" s="104"/>
      <c r="CE605" s="104"/>
      <c r="CF605" s="103"/>
      <c r="CG605" s="103"/>
      <c r="CH605" s="103"/>
      <c r="CI605" s="103"/>
      <c r="CJ605" s="103"/>
      <c r="CK605" s="133"/>
      <c r="CL605" s="133"/>
      <c r="CM605" s="133"/>
      <c r="CN605" s="133"/>
      <c r="CO605" s="133"/>
      <c r="CP605" s="133"/>
      <c r="CQ605" s="133"/>
      <c r="CR605" s="133"/>
      <c r="CS605" s="133"/>
      <c r="CT605" s="133"/>
      <c r="CU605" s="133"/>
      <c r="CV605" s="133"/>
      <c r="CW605" s="133"/>
      <c r="CX605" s="133"/>
      <c r="CY605" s="133"/>
      <c r="CZ605" s="133"/>
      <c r="DA605" s="133"/>
      <c r="DB605" s="133"/>
      <c r="DC605" s="133"/>
      <c r="DD605" s="133"/>
      <c r="DE605" s="1"/>
      <c r="DF605" s="53"/>
      <c r="DG605" s="51"/>
      <c r="DJ605" s="52"/>
      <c r="DK605" s="52"/>
      <c r="DL605" s="52"/>
      <c r="DM605" s="52"/>
      <c r="DN605" s="52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P605" s="53"/>
      <c r="EQ605" s="1"/>
      <c r="ER605" s="103"/>
      <c r="ES605" s="103"/>
      <c r="ET605" s="1"/>
      <c r="EU605" s="103"/>
      <c r="EV605" s="1"/>
      <c r="EW605" s="1"/>
      <c r="EX605" s="1"/>
      <c r="EY605" s="104"/>
    </row>
    <row r="606" spans="9:155">
      <c r="I606" s="132"/>
      <c r="J606" s="133"/>
      <c r="K606" s="1"/>
      <c r="L606" s="1"/>
      <c r="Q606" s="1"/>
      <c r="R606" s="1"/>
      <c r="S606" s="103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53"/>
      <c r="AO606" s="103"/>
      <c r="AP606" s="103"/>
      <c r="AQ606" s="103"/>
      <c r="AR606" s="103"/>
      <c r="AS606" s="103"/>
      <c r="AT606" s="31"/>
      <c r="AU606" s="31"/>
      <c r="AV606" s="31"/>
      <c r="AW606" s="146"/>
      <c r="AX606" s="146"/>
      <c r="AY606" s="103"/>
      <c r="AZ606" s="103"/>
      <c r="BA606" s="103"/>
      <c r="BB606" s="103"/>
      <c r="BC606" s="103"/>
      <c r="BD606" s="103"/>
      <c r="BE606" s="104"/>
      <c r="BF606" s="102"/>
      <c r="BG606" s="102"/>
      <c r="BH606" s="102"/>
      <c r="BI606" s="105"/>
      <c r="BJ606" s="152"/>
      <c r="BK606" s="103"/>
      <c r="BL606" s="103"/>
      <c r="BM606" s="103"/>
      <c r="BN606" s="103"/>
      <c r="BO606" s="103"/>
      <c r="BP606" s="103"/>
      <c r="BQ606" s="103"/>
      <c r="BR606" s="103"/>
      <c r="BS606" s="103"/>
      <c r="BT606" s="103"/>
      <c r="BU606" s="103"/>
      <c r="BV606" s="104"/>
      <c r="BW606" s="103"/>
      <c r="BX606" s="104"/>
      <c r="BY606" s="104"/>
      <c r="BZ606" s="104"/>
      <c r="CA606" s="104"/>
      <c r="CB606" s="104"/>
      <c r="CC606" s="104"/>
      <c r="CD606" s="104"/>
      <c r="CE606" s="104"/>
      <c r="CF606" s="103"/>
      <c r="CG606" s="103"/>
      <c r="CH606" s="103"/>
      <c r="CI606" s="103"/>
      <c r="CJ606" s="103"/>
      <c r="CK606" s="133"/>
      <c r="CL606" s="133"/>
      <c r="CM606" s="133"/>
      <c r="CN606" s="133"/>
      <c r="CO606" s="133"/>
      <c r="CP606" s="133"/>
      <c r="CQ606" s="133"/>
      <c r="CR606" s="133"/>
      <c r="CS606" s="133"/>
      <c r="CT606" s="133"/>
      <c r="CU606" s="133"/>
      <c r="CV606" s="133"/>
      <c r="CW606" s="133"/>
      <c r="CX606" s="133"/>
      <c r="CY606" s="133"/>
      <c r="CZ606" s="133"/>
      <c r="DA606" s="133"/>
      <c r="DB606" s="133"/>
      <c r="DC606" s="133"/>
      <c r="DD606" s="133"/>
      <c r="DE606" s="1"/>
      <c r="DF606" s="53"/>
      <c r="DG606" s="51"/>
      <c r="DJ606" s="52"/>
      <c r="DK606" s="52"/>
      <c r="DL606" s="52"/>
      <c r="DM606" s="52"/>
      <c r="DN606" s="52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P606" s="53"/>
      <c r="EQ606" s="1"/>
      <c r="ER606" s="103"/>
      <c r="ES606" s="103"/>
      <c r="ET606" s="1"/>
      <c r="EU606" s="103"/>
      <c r="EV606" s="1"/>
      <c r="EW606" s="1"/>
      <c r="EX606" s="1"/>
      <c r="EY606" s="104"/>
    </row>
    <row r="607" spans="9:155">
      <c r="I607" s="132"/>
      <c r="J607" s="133"/>
      <c r="K607" s="1"/>
      <c r="L607" s="1"/>
      <c r="Q607" s="1"/>
      <c r="R607" s="1"/>
      <c r="S607" s="103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53"/>
      <c r="AO607" s="103"/>
      <c r="AP607" s="103"/>
      <c r="AQ607" s="103"/>
      <c r="AR607" s="103"/>
      <c r="AS607" s="103"/>
      <c r="AT607" s="31"/>
      <c r="AU607" s="31"/>
      <c r="AV607" s="31"/>
      <c r="AW607" s="146"/>
      <c r="AX607" s="146"/>
      <c r="AY607" s="103"/>
      <c r="AZ607" s="103"/>
      <c r="BA607" s="103"/>
      <c r="BB607" s="103"/>
      <c r="BC607" s="103"/>
      <c r="BD607" s="103"/>
      <c r="BE607" s="104"/>
      <c r="BF607" s="102"/>
      <c r="BG607" s="102"/>
      <c r="BH607" s="102"/>
      <c r="BI607" s="105"/>
      <c r="BJ607" s="152"/>
      <c r="BK607" s="103"/>
      <c r="BL607" s="103"/>
      <c r="BM607" s="103"/>
      <c r="BN607" s="103"/>
      <c r="BO607" s="103"/>
      <c r="BP607" s="103"/>
      <c r="BQ607" s="103"/>
      <c r="BR607" s="103"/>
      <c r="BS607" s="103"/>
      <c r="BT607" s="103"/>
      <c r="BU607" s="103"/>
      <c r="BV607" s="104"/>
      <c r="BW607" s="103"/>
      <c r="BX607" s="104"/>
      <c r="BY607" s="104"/>
      <c r="BZ607" s="104"/>
      <c r="CA607" s="104"/>
      <c r="CB607" s="104"/>
      <c r="CC607" s="104"/>
      <c r="CD607" s="104"/>
      <c r="CE607" s="104"/>
      <c r="CF607" s="103"/>
      <c r="CG607" s="103"/>
      <c r="CH607" s="103"/>
      <c r="CI607" s="103"/>
      <c r="CJ607" s="103"/>
      <c r="CK607" s="133"/>
      <c r="CL607" s="133"/>
      <c r="CM607" s="133"/>
      <c r="CN607" s="133"/>
      <c r="CO607" s="133"/>
      <c r="CP607" s="133"/>
      <c r="CQ607" s="133"/>
      <c r="CR607" s="133"/>
      <c r="CS607" s="133"/>
      <c r="CT607" s="133"/>
      <c r="CU607" s="133"/>
      <c r="CV607" s="133"/>
      <c r="CW607" s="133"/>
      <c r="CX607" s="133"/>
      <c r="CY607" s="133"/>
      <c r="CZ607" s="133"/>
      <c r="DA607" s="133"/>
      <c r="DB607" s="133"/>
      <c r="DC607" s="133"/>
      <c r="DD607" s="133"/>
      <c r="DE607" s="1"/>
      <c r="DF607" s="53"/>
      <c r="DG607" s="51"/>
      <c r="DJ607" s="52"/>
      <c r="DK607" s="52"/>
      <c r="DL607" s="52"/>
      <c r="DM607" s="52"/>
      <c r="DN607" s="52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P607" s="53"/>
      <c r="EQ607" s="1"/>
      <c r="ER607" s="103"/>
      <c r="ES607" s="103"/>
      <c r="ET607" s="1"/>
      <c r="EU607" s="103"/>
      <c r="EV607" s="1"/>
      <c r="EW607" s="1"/>
      <c r="EX607" s="1"/>
      <c r="EY607" s="104"/>
    </row>
    <row r="608" spans="9:155">
      <c r="I608" s="132"/>
      <c r="J608" s="133"/>
      <c r="K608" s="1"/>
      <c r="L608" s="1"/>
      <c r="Q608" s="1"/>
      <c r="R608" s="1"/>
      <c r="S608" s="103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53"/>
      <c r="AO608" s="103"/>
      <c r="AP608" s="103"/>
      <c r="AQ608" s="103"/>
      <c r="AR608" s="103"/>
      <c r="AS608" s="103"/>
      <c r="AT608" s="31"/>
      <c r="AU608" s="31"/>
      <c r="AV608" s="31"/>
      <c r="AW608" s="146"/>
      <c r="AX608" s="146"/>
      <c r="AY608" s="103"/>
      <c r="AZ608" s="103"/>
      <c r="BA608" s="103"/>
      <c r="BB608" s="103"/>
      <c r="BC608" s="103"/>
      <c r="BD608" s="103"/>
      <c r="BE608" s="104"/>
      <c r="BF608" s="102"/>
      <c r="BG608" s="102"/>
      <c r="BH608" s="102"/>
      <c r="BI608" s="105"/>
      <c r="BJ608" s="152"/>
      <c r="BK608" s="103"/>
      <c r="BL608" s="103"/>
      <c r="BM608" s="103"/>
      <c r="BN608" s="103"/>
      <c r="BO608" s="103"/>
      <c r="BP608" s="103"/>
      <c r="BQ608" s="103"/>
      <c r="BR608" s="103"/>
      <c r="BS608" s="103"/>
      <c r="BT608" s="103"/>
      <c r="BU608" s="103"/>
      <c r="BV608" s="104"/>
      <c r="BW608" s="103"/>
      <c r="BX608" s="104"/>
      <c r="BY608" s="104"/>
      <c r="BZ608" s="104"/>
      <c r="CA608" s="104"/>
      <c r="CB608" s="104"/>
      <c r="CC608" s="104"/>
      <c r="CD608" s="104"/>
      <c r="CE608" s="104"/>
      <c r="CF608" s="103"/>
      <c r="CG608" s="103"/>
      <c r="CH608" s="103"/>
      <c r="CI608" s="103"/>
      <c r="CJ608" s="103"/>
      <c r="CK608" s="133"/>
      <c r="CL608" s="133"/>
      <c r="CM608" s="133"/>
      <c r="CN608" s="133"/>
      <c r="CO608" s="133"/>
      <c r="CP608" s="133"/>
      <c r="CQ608" s="133"/>
      <c r="CR608" s="133"/>
      <c r="CS608" s="133"/>
      <c r="CT608" s="133"/>
      <c r="CU608" s="133"/>
      <c r="CV608" s="133"/>
      <c r="CW608" s="133"/>
      <c r="CX608" s="133"/>
      <c r="CY608" s="133"/>
      <c r="CZ608" s="133"/>
      <c r="DA608" s="133"/>
      <c r="DB608" s="133"/>
      <c r="DC608" s="133"/>
      <c r="DD608" s="133"/>
      <c r="DE608" s="1"/>
      <c r="DF608" s="53"/>
      <c r="DG608" s="51"/>
      <c r="DJ608" s="52"/>
      <c r="DK608" s="52"/>
      <c r="DL608" s="52"/>
      <c r="DM608" s="52"/>
      <c r="DN608" s="52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P608" s="53"/>
      <c r="EQ608" s="1"/>
      <c r="ER608" s="103"/>
      <c r="ES608" s="103"/>
      <c r="ET608" s="1"/>
      <c r="EU608" s="103"/>
      <c r="EV608" s="1"/>
      <c r="EW608" s="1"/>
      <c r="EX608" s="1"/>
      <c r="EY608" s="104"/>
    </row>
    <row r="609" spans="9:155">
      <c r="I609" s="132"/>
      <c r="J609" s="133"/>
      <c r="K609" s="1"/>
      <c r="L609" s="1"/>
      <c r="Q609" s="1"/>
      <c r="R609" s="1"/>
      <c r="S609" s="103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53"/>
      <c r="AO609" s="103"/>
      <c r="AP609" s="103"/>
      <c r="AQ609" s="103"/>
      <c r="AR609" s="103"/>
      <c r="AS609" s="103"/>
      <c r="AT609" s="31"/>
      <c r="AU609" s="31"/>
      <c r="AV609" s="31"/>
      <c r="AW609" s="146"/>
      <c r="AX609" s="146"/>
      <c r="AY609" s="103"/>
      <c r="AZ609" s="103"/>
      <c r="BA609" s="103"/>
      <c r="BB609" s="103"/>
      <c r="BC609" s="103"/>
      <c r="BD609" s="103"/>
      <c r="BE609" s="104"/>
      <c r="BF609" s="102"/>
      <c r="BG609" s="102"/>
      <c r="BH609" s="102"/>
      <c r="BI609" s="105"/>
      <c r="BJ609" s="152"/>
      <c r="BK609" s="103"/>
      <c r="BL609" s="103"/>
      <c r="BM609" s="103"/>
      <c r="BN609" s="103"/>
      <c r="BO609" s="103"/>
      <c r="BP609" s="103"/>
      <c r="BQ609" s="103"/>
      <c r="BR609" s="103"/>
      <c r="BS609" s="103"/>
      <c r="BT609" s="103"/>
      <c r="BU609" s="103"/>
      <c r="BV609" s="104"/>
      <c r="BW609" s="103"/>
      <c r="BX609" s="104"/>
      <c r="BY609" s="104"/>
      <c r="BZ609" s="104"/>
      <c r="CA609" s="104"/>
      <c r="CB609" s="104"/>
      <c r="CC609" s="104"/>
      <c r="CD609" s="104"/>
      <c r="CE609" s="104"/>
      <c r="CF609" s="103"/>
      <c r="CG609" s="103"/>
      <c r="CH609" s="103"/>
      <c r="CI609" s="103"/>
      <c r="CJ609" s="103"/>
      <c r="CK609" s="133"/>
      <c r="CL609" s="133"/>
      <c r="CM609" s="133"/>
      <c r="CN609" s="133"/>
      <c r="CO609" s="133"/>
      <c r="CP609" s="133"/>
      <c r="CQ609" s="133"/>
      <c r="CR609" s="133"/>
      <c r="CS609" s="133"/>
      <c r="CT609" s="133"/>
      <c r="CU609" s="133"/>
      <c r="CV609" s="133"/>
      <c r="CW609" s="133"/>
      <c r="CX609" s="133"/>
      <c r="CY609" s="133"/>
      <c r="CZ609" s="133"/>
      <c r="DA609" s="133"/>
      <c r="DB609" s="133"/>
      <c r="DC609" s="133"/>
      <c r="DD609" s="133"/>
      <c r="DE609" s="1"/>
      <c r="DF609" s="53"/>
      <c r="DG609" s="51"/>
      <c r="DJ609" s="52"/>
      <c r="DK609" s="52"/>
      <c r="DL609" s="52"/>
      <c r="DM609" s="52"/>
      <c r="DN609" s="52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P609" s="53"/>
      <c r="EQ609" s="1"/>
      <c r="ER609" s="103"/>
      <c r="ES609" s="103"/>
      <c r="ET609" s="1"/>
      <c r="EU609" s="103"/>
      <c r="EV609" s="1"/>
      <c r="EW609" s="1"/>
      <c r="EX609" s="1"/>
      <c r="EY609" s="104"/>
    </row>
    <row r="610" spans="9:155">
      <c r="I610" s="132"/>
      <c r="J610" s="133"/>
      <c r="K610" s="1"/>
      <c r="L610" s="1"/>
      <c r="Q610" s="1"/>
      <c r="R610" s="1"/>
      <c r="S610" s="103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53"/>
      <c r="AO610" s="103"/>
      <c r="AP610" s="103"/>
      <c r="AQ610" s="103"/>
      <c r="AR610" s="103"/>
      <c r="AS610" s="103"/>
      <c r="AT610" s="31"/>
      <c r="AU610" s="31"/>
      <c r="AV610" s="31"/>
      <c r="AW610" s="146"/>
      <c r="AX610" s="146"/>
      <c r="AY610" s="103"/>
      <c r="AZ610" s="103"/>
      <c r="BA610" s="103"/>
      <c r="BB610" s="103"/>
      <c r="BC610" s="103"/>
      <c r="BD610" s="103"/>
      <c r="BE610" s="104"/>
      <c r="BF610" s="102"/>
      <c r="BG610" s="102"/>
      <c r="BH610" s="102"/>
      <c r="BI610" s="105"/>
      <c r="BJ610" s="152"/>
      <c r="BK610" s="103"/>
      <c r="BL610" s="103"/>
      <c r="BM610" s="103"/>
      <c r="BN610" s="103"/>
      <c r="BO610" s="103"/>
      <c r="BP610" s="103"/>
      <c r="BQ610" s="103"/>
      <c r="BR610" s="103"/>
      <c r="BS610" s="103"/>
      <c r="BT610" s="103"/>
      <c r="BU610" s="103"/>
      <c r="BV610" s="104"/>
      <c r="BW610" s="103"/>
      <c r="BX610" s="104"/>
      <c r="BY610" s="104"/>
      <c r="BZ610" s="104"/>
      <c r="CA610" s="104"/>
      <c r="CB610" s="104"/>
      <c r="CC610" s="104"/>
      <c r="CD610" s="104"/>
      <c r="CE610" s="104"/>
      <c r="CF610" s="103"/>
      <c r="CG610" s="103"/>
      <c r="CH610" s="103"/>
      <c r="CI610" s="103"/>
      <c r="CJ610" s="103"/>
      <c r="CK610" s="133"/>
      <c r="CL610" s="133"/>
      <c r="CM610" s="133"/>
      <c r="CN610" s="133"/>
      <c r="CO610" s="133"/>
      <c r="CP610" s="133"/>
      <c r="CQ610" s="133"/>
      <c r="CR610" s="133"/>
      <c r="CS610" s="133"/>
      <c r="CT610" s="133"/>
      <c r="CU610" s="133"/>
      <c r="CV610" s="133"/>
      <c r="CW610" s="133"/>
      <c r="CX610" s="133"/>
      <c r="CY610" s="133"/>
      <c r="CZ610" s="133"/>
      <c r="DA610" s="133"/>
      <c r="DB610" s="133"/>
      <c r="DC610" s="133"/>
      <c r="DD610" s="133"/>
      <c r="DE610" s="1"/>
      <c r="DF610" s="53"/>
      <c r="DG610" s="51"/>
      <c r="DJ610" s="52"/>
      <c r="DK610" s="52"/>
      <c r="DL610" s="52"/>
      <c r="DM610" s="52"/>
      <c r="DN610" s="52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P610" s="53"/>
      <c r="EQ610" s="1"/>
      <c r="ER610" s="103"/>
      <c r="ES610" s="103"/>
      <c r="ET610" s="1"/>
      <c r="EU610" s="103"/>
      <c r="EV610" s="1"/>
      <c r="EW610" s="1"/>
      <c r="EX610" s="1"/>
      <c r="EY610" s="104"/>
    </row>
    <row r="611" spans="9:155">
      <c r="I611" s="132"/>
      <c r="J611" s="133"/>
      <c r="K611" s="1"/>
      <c r="L611" s="1"/>
      <c r="Q611" s="1"/>
      <c r="R611" s="1"/>
      <c r="S611" s="103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53"/>
      <c r="AO611" s="103"/>
      <c r="AP611" s="103"/>
      <c r="AQ611" s="103"/>
      <c r="AR611" s="103"/>
      <c r="AS611" s="103"/>
      <c r="AT611" s="31"/>
      <c r="AU611" s="31"/>
      <c r="AV611" s="31"/>
      <c r="AW611" s="146"/>
      <c r="AX611" s="146"/>
      <c r="AY611" s="103"/>
      <c r="AZ611" s="103"/>
      <c r="BA611" s="103"/>
      <c r="BB611" s="103"/>
      <c r="BC611" s="103"/>
      <c r="BD611" s="103"/>
      <c r="BE611" s="104"/>
      <c r="BF611" s="102"/>
      <c r="BG611" s="102"/>
      <c r="BH611" s="102"/>
      <c r="BI611" s="105"/>
      <c r="BJ611" s="152"/>
      <c r="BK611" s="103"/>
      <c r="BL611" s="103"/>
      <c r="BM611" s="103"/>
      <c r="BN611" s="103"/>
      <c r="BO611" s="103"/>
      <c r="BP611" s="103"/>
      <c r="BQ611" s="103"/>
      <c r="BR611" s="103"/>
      <c r="BS611" s="103"/>
      <c r="BT611" s="103"/>
      <c r="BU611" s="103"/>
      <c r="BV611" s="104"/>
      <c r="BW611" s="103"/>
      <c r="BX611" s="104"/>
      <c r="BY611" s="104"/>
      <c r="BZ611" s="104"/>
      <c r="CA611" s="104"/>
      <c r="CB611" s="104"/>
      <c r="CC611" s="104"/>
      <c r="CD611" s="104"/>
      <c r="CE611" s="104"/>
      <c r="CF611" s="103"/>
      <c r="CG611" s="103"/>
      <c r="CH611" s="103"/>
      <c r="CI611" s="103"/>
      <c r="CJ611" s="103"/>
      <c r="CK611" s="133"/>
      <c r="CL611" s="133"/>
      <c r="CM611" s="133"/>
      <c r="CN611" s="133"/>
      <c r="CO611" s="133"/>
      <c r="CP611" s="133"/>
      <c r="CQ611" s="133"/>
      <c r="CR611" s="133"/>
      <c r="CS611" s="133"/>
      <c r="CT611" s="133"/>
      <c r="CU611" s="133"/>
      <c r="CV611" s="133"/>
      <c r="CW611" s="133"/>
      <c r="CX611" s="133"/>
      <c r="CY611" s="133"/>
      <c r="CZ611" s="133"/>
      <c r="DA611" s="133"/>
      <c r="DB611" s="133"/>
      <c r="DC611" s="133"/>
      <c r="DD611" s="133"/>
      <c r="DE611" s="1"/>
      <c r="DF611" s="53"/>
      <c r="DG611" s="51"/>
      <c r="DJ611" s="52"/>
      <c r="DK611" s="52"/>
      <c r="DL611" s="52"/>
      <c r="DM611" s="52"/>
      <c r="DN611" s="52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P611" s="53"/>
      <c r="EQ611" s="1"/>
      <c r="ER611" s="103"/>
      <c r="ES611" s="103"/>
      <c r="ET611" s="1"/>
      <c r="EU611" s="103"/>
      <c r="EV611" s="1"/>
      <c r="EW611" s="1"/>
      <c r="EX611" s="1"/>
      <c r="EY611" s="104"/>
    </row>
    <row r="612" spans="9:155">
      <c r="I612" s="132"/>
      <c r="J612" s="133"/>
      <c r="K612" s="1"/>
      <c r="L612" s="1"/>
      <c r="Q612" s="1"/>
      <c r="R612" s="1"/>
      <c r="S612" s="103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53"/>
      <c r="AO612" s="103"/>
      <c r="AP612" s="103"/>
      <c r="AQ612" s="103"/>
      <c r="AR612" s="103"/>
      <c r="AS612" s="103"/>
      <c r="AT612" s="31"/>
      <c r="AU612" s="31"/>
      <c r="AV612" s="31"/>
      <c r="AW612" s="146"/>
      <c r="AX612" s="146"/>
      <c r="AY612" s="103"/>
      <c r="AZ612" s="103"/>
      <c r="BA612" s="103"/>
      <c r="BB612" s="103"/>
      <c r="BC612" s="103"/>
      <c r="BD612" s="103"/>
      <c r="BE612" s="104"/>
      <c r="BF612" s="102"/>
      <c r="BG612" s="102"/>
      <c r="BH612" s="102"/>
      <c r="BI612" s="105"/>
      <c r="BJ612" s="152"/>
      <c r="BK612" s="103"/>
      <c r="BL612" s="103"/>
      <c r="BM612" s="103"/>
      <c r="BN612" s="103"/>
      <c r="BO612" s="103"/>
      <c r="BP612" s="103"/>
      <c r="BQ612" s="103"/>
      <c r="BR612" s="103"/>
      <c r="BS612" s="103"/>
      <c r="BT612" s="103"/>
      <c r="BU612" s="103"/>
      <c r="BV612" s="104"/>
      <c r="BW612" s="103"/>
      <c r="BX612" s="104"/>
      <c r="BY612" s="104"/>
      <c r="BZ612" s="104"/>
      <c r="CA612" s="104"/>
      <c r="CB612" s="104"/>
      <c r="CC612" s="104"/>
      <c r="CD612" s="104"/>
      <c r="CE612" s="104"/>
      <c r="CF612" s="103"/>
      <c r="CG612" s="103"/>
      <c r="CH612" s="103"/>
      <c r="CI612" s="103"/>
      <c r="CJ612" s="103"/>
      <c r="CK612" s="133"/>
      <c r="CL612" s="133"/>
      <c r="CM612" s="133"/>
      <c r="CN612" s="133"/>
      <c r="CO612" s="133"/>
      <c r="CP612" s="133"/>
      <c r="CQ612" s="133"/>
      <c r="CR612" s="133"/>
      <c r="CS612" s="133"/>
      <c r="CT612" s="133"/>
      <c r="CU612" s="133"/>
      <c r="CV612" s="133"/>
      <c r="CW612" s="133"/>
      <c r="CX612" s="133"/>
      <c r="CY612" s="133"/>
      <c r="CZ612" s="133"/>
      <c r="DA612" s="133"/>
      <c r="DB612" s="133"/>
      <c r="DC612" s="133"/>
      <c r="DD612" s="133"/>
      <c r="DE612" s="1"/>
      <c r="DF612" s="53"/>
      <c r="DG612" s="51"/>
      <c r="DJ612" s="52"/>
      <c r="DK612" s="52"/>
      <c r="DL612" s="52"/>
      <c r="DM612" s="52"/>
      <c r="DN612" s="52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P612" s="53"/>
      <c r="EQ612" s="1"/>
      <c r="ER612" s="103"/>
      <c r="ES612" s="103"/>
      <c r="ET612" s="1"/>
      <c r="EU612" s="103"/>
      <c r="EV612" s="1"/>
      <c r="EW612" s="1"/>
      <c r="EX612" s="1"/>
      <c r="EY612" s="104"/>
    </row>
    <row r="613" spans="9:155">
      <c r="I613" s="132"/>
      <c r="J613" s="133"/>
      <c r="K613" s="1"/>
      <c r="L613" s="1"/>
      <c r="Q613" s="1"/>
      <c r="R613" s="1"/>
      <c r="S613" s="103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53"/>
      <c r="AO613" s="103"/>
      <c r="AP613" s="103"/>
      <c r="AQ613" s="103"/>
      <c r="AR613" s="103"/>
      <c r="AS613" s="103"/>
      <c r="AT613" s="31"/>
      <c r="AU613" s="31"/>
      <c r="AV613" s="31"/>
      <c r="AW613" s="146"/>
      <c r="AX613" s="146"/>
      <c r="AY613" s="103"/>
      <c r="AZ613" s="103"/>
      <c r="BA613" s="103"/>
      <c r="BB613" s="103"/>
      <c r="BC613" s="103"/>
      <c r="BD613" s="103"/>
      <c r="BE613" s="104"/>
      <c r="BF613" s="102"/>
      <c r="BG613" s="102"/>
      <c r="BH613" s="102"/>
      <c r="BI613" s="105"/>
      <c r="BJ613" s="152"/>
      <c r="BK613" s="103"/>
      <c r="BL613" s="103"/>
      <c r="BM613" s="103"/>
      <c r="BN613" s="103"/>
      <c r="BO613" s="103"/>
      <c r="BP613" s="103"/>
      <c r="BQ613" s="103"/>
      <c r="BR613" s="103"/>
      <c r="BS613" s="103"/>
      <c r="BT613" s="103"/>
      <c r="BU613" s="103"/>
      <c r="BV613" s="104"/>
      <c r="BW613" s="103"/>
      <c r="BX613" s="104"/>
      <c r="BY613" s="104"/>
      <c r="BZ613" s="104"/>
      <c r="CA613" s="104"/>
      <c r="CB613" s="104"/>
      <c r="CC613" s="104"/>
      <c r="CD613" s="104"/>
      <c r="CE613" s="104"/>
      <c r="CF613" s="103"/>
      <c r="CG613" s="103"/>
      <c r="CH613" s="103"/>
      <c r="CI613" s="103"/>
      <c r="CJ613" s="103"/>
      <c r="CK613" s="133"/>
      <c r="CL613" s="133"/>
      <c r="CM613" s="133"/>
      <c r="CN613" s="133"/>
      <c r="CO613" s="133"/>
      <c r="CP613" s="133"/>
      <c r="CQ613" s="133"/>
      <c r="CR613" s="133"/>
      <c r="CS613" s="133"/>
      <c r="CT613" s="133"/>
      <c r="CU613" s="133"/>
      <c r="CV613" s="133"/>
      <c r="CW613" s="133"/>
      <c r="CX613" s="133"/>
      <c r="CY613" s="133"/>
      <c r="CZ613" s="133"/>
      <c r="DA613" s="133"/>
      <c r="DB613" s="133"/>
      <c r="DC613" s="133"/>
      <c r="DD613" s="133"/>
      <c r="DE613" s="1"/>
      <c r="DF613" s="53"/>
      <c r="DG613" s="51"/>
      <c r="DJ613" s="52"/>
      <c r="DK613" s="52"/>
      <c r="DL613" s="52"/>
      <c r="DM613" s="52"/>
      <c r="DN613" s="52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P613" s="53"/>
      <c r="EQ613" s="1"/>
      <c r="ER613" s="103"/>
      <c r="ES613" s="103"/>
      <c r="ET613" s="1"/>
      <c r="EU613" s="103"/>
      <c r="EV613" s="1"/>
      <c r="EW613" s="1"/>
      <c r="EX613" s="1"/>
      <c r="EY613" s="104"/>
    </row>
    <row r="614" spans="9:155">
      <c r="I614" s="132"/>
      <c r="J614" s="133"/>
      <c r="K614" s="1"/>
      <c r="L614" s="1"/>
      <c r="Q614" s="1"/>
      <c r="R614" s="1"/>
      <c r="S614" s="103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53"/>
      <c r="AO614" s="103"/>
      <c r="AP614" s="103"/>
      <c r="AQ614" s="103"/>
      <c r="AR614" s="103"/>
      <c r="AS614" s="103"/>
      <c r="AT614" s="31"/>
      <c r="AU614" s="31"/>
      <c r="AV614" s="31"/>
      <c r="AW614" s="146"/>
      <c r="AX614" s="146"/>
      <c r="AY614" s="103"/>
      <c r="AZ614" s="103"/>
      <c r="BA614" s="103"/>
      <c r="BB614" s="103"/>
      <c r="BC614" s="103"/>
      <c r="BD614" s="103"/>
      <c r="BE614" s="104"/>
      <c r="BF614" s="102"/>
      <c r="BG614" s="102"/>
      <c r="BH614" s="102"/>
      <c r="BI614" s="105"/>
      <c r="BJ614" s="152"/>
      <c r="BK614" s="103"/>
      <c r="BL614" s="103"/>
      <c r="BM614" s="103"/>
      <c r="BN614" s="103"/>
      <c r="BO614" s="103"/>
      <c r="BP614" s="103"/>
      <c r="BQ614" s="103"/>
      <c r="BR614" s="103"/>
      <c r="BS614" s="103"/>
      <c r="BT614" s="103"/>
      <c r="BU614" s="103"/>
      <c r="BV614" s="104"/>
      <c r="BW614" s="103"/>
      <c r="BX614" s="104"/>
      <c r="BY614" s="104"/>
      <c r="BZ614" s="104"/>
      <c r="CA614" s="104"/>
      <c r="CB614" s="104"/>
      <c r="CC614" s="104"/>
      <c r="CD614" s="104"/>
      <c r="CE614" s="104"/>
      <c r="CF614" s="103"/>
      <c r="CG614" s="103"/>
      <c r="CH614" s="103"/>
      <c r="CI614" s="103"/>
      <c r="CJ614" s="103"/>
      <c r="CK614" s="133"/>
      <c r="CL614" s="133"/>
      <c r="CM614" s="133"/>
      <c r="CN614" s="133"/>
      <c r="CO614" s="133"/>
      <c r="CP614" s="133"/>
      <c r="CQ614" s="133"/>
      <c r="CR614" s="133"/>
      <c r="CS614" s="133"/>
      <c r="CT614" s="133"/>
      <c r="CU614" s="133"/>
      <c r="CV614" s="133"/>
      <c r="CW614" s="133"/>
      <c r="CX614" s="133"/>
      <c r="CY614" s="133"/>
      <c r="CZ614" s="133"/>
      <c r="DA614" s="133"/>
      <c r="DB614" s="133"/>
      <c r="DC614" s="133"/>
      <c r="DD614" s="133"/>
      <c r="DE614" s="1"/>
      <c r="DF614" s="53"/>
      <c r="DG614" s="51"/>
      <c r="DJ614" s="52"/>
      <c r="DK614" s="52"/>
      <c r="DL614" s="52"/>
      <c r="DM614" s="52"/>
      <c r="DN614" s="52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P614" s="53"/>
      <c r="EQ614" s="1"/>
      <c r="ER614" s="103"/>
      <c r="ES614" s="103"/>
      <c r="ET614" s="1"/>
      <c r="EU614" s="103"/>
      <c r="EV614" s="1"/>
      <c r="EW614" s="1"/>
      <c r="EX614" s="1"/>
      <c r="EY614" s="104"/>
    </row>
    <row r="615" spans="9:155">
      <c r="I615" s="132"/>
      <c r="J615" s="133"/>
      <c r="K615" s="1"/>
      <c r="L615" s="1"/>
      <c r="Q615" s="1"/>
      <c r="R615" s="1"/>
      <c r="S615" s="103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53"/>
      <c r="AO615" s="103"/>
      <c r="AP615" s="103"/>
      <c r="AQ615" s="103"/>
      <c r="AR615" s="103"/>
      <c r="AS615" s="103"/>
      <c r="AT615" s="31"/>
      <c r="AU615" s="31"/>
      <c r="AV615" s="31"/>
      <c r="AW615" s="146"/>
      <c r="AX615" s="146"/>
      <c r="AY615" s="103"/>
      <c r="AZ615" s="103"/>
      <c r="BA615" s="103"/>
      <c r="BB615" s="103"/>
      <c r="BC615" s="103"/>
      <c r="BD615" s="103"/>
      <c r="BE615" s="104"/>
      <c r="BF615" s="102"/>
      <c r="BG615" s="102"/>
      <c r="BH615" s="102"/>
      <c r="BI615" s="105"/>
      <c r="BJ615" s="152"/>
      <c r="BK615" s="103"/>
      <c r="BL615" s="103"/>
      <c r="BM615" s="103"/>
      <c r="BN615" s="103"/>
      <c r="BO615" s="103"/>
      <c r="BP615" s="103"/>
      <c r="BQ615" s="103"/>
      <c r="BR615" s="103"/>
      <c r="BS615" s="103"/>
      <c r="BT615" s="103"/>
      <c r="BU615" s="103"/>
      <c r="BV615" s="104"/>
      <c r="BW615" s="103"/>
      <c r="BX615" s="104"/>
      <c r="BY615" s="104"/>
      <c r="BZ615" s="104"/>
      <c r="CA615" s="104"/>
      <c r="CB615" s="104"/>
      <c r="CC615" s="104"/>
      <c r="CD615" s="104"/>
      <c r="CE615" s="104"/>
      <c r="CF615" s="103"/>
      <c r="CG615" s="103"/>
      <c r="CH615" s="103"/>
      <c r="CI615" s="103"/>
      <c r="CJ615" s="103"/>
      <c r="CK615" s="133"/>
      <c r="CL615" s="133"/>
      <c r="CM615" s="133"/>
      <c r="CN615" s="133"/>
      <c r="CO615" s="133"/>
      <c r="CP615" s="133"/>
      <c r="CQ615" s="133"/>
      <c r="CR615" s="133"/>
      <c r="CS615" s="133"/>
      <c r="CT615" s="133"/>
      <c r="CU615" s="133"/>
      <c r="CV615" s="133"/>
      <c r="CW615" s="133"/>
      <c r="CX615" s="133"/>
      <c r="CY615" s="133"/>
      <c r="CZ615" s="133"/>
      <c r="DA615" s="133"/>
      <c r="DB615" s="133"/>
      <c r="DC615" s="133"/>
      <c r="DD615" s="133"/>
      <c r="DE615" s="1"/>
      <c r="DF615" s="53"/>
      <c r="DG615" s="51"/>
      <c r="DJ615" s="52"/>
      <c r="DK615" s="52"/>
      <c r="DL615" s="52"/>
      <c r="DM615" s="52"/>
      <c r="DN615" s="52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P615" s="53"/>
      <c r="EQ615" s="1"/>
      <c r="ER615" s="103"/>
      <c r="ES615" s="103"/>
      <c r="ET615" s="1"/>
      <c r="EU615" s="103"/>
      <c r="EV615" s="1"/>
      <c r="EW615" s="1"/>
      <c r="EX615" s="1"/>
      <c r="EY615" s="104"/>
    </row>
    <row r="616" spans="9:155">
      <c r="I616" s="132"/>
      <c r="J616" s="133"/>
      <c r="K616" s="1"/>
      <c r="L616" s="1"/>
      <c r="Q616" s="1"/>
      <c r="R616" s="1"/>
      <c r="S616" s="103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53"/>
      <c r="AO616" s="103"/>
      <c r="AP616" s="103"/>
      <c r="AQ616" s="103"/>
      <c r="AR616" s="103"/>
      <c r="AS616" s="103"/>
      <c r="AT616" s="31"/>
      <c r="AU616" s="31"/>
      <c r="AV616" s="31"/>
      <c r="AW616" s="146"/>
      <c r="AX616" s="146"/>
      <c r="AY616" s="103"/>
      <c r="AZ616" s="103"/>
      <c r="BA616" s="103"/>
      <c r="BB616" s="103"/>
      <c r="BC616" s="103"/>
      <c r="BD616" s="103"/>
      <c r="BE616" s="104"/>
      <c r="BF616" s="102"/>
      <c r="BG616" s="102"/>
      <c r="BH616" s="102"/>
      <c r="BI616" s="105"/>
      <c r="BJ616" s="152"/>
      <c r="BK616" s="103"/>
      <c r="BL616" s="103"/>
      <c r="BM616" s="103"/>
      <c r="BN616" s="103"/>
      <c r="BO616" s="103"/>
      <c r="BP616" s="103"/>
      <c r="BQ616" s="103"/>
      <c r="BR616" s="103"/>
      <c r="BS616" s="103"/>
      <c r="BT616" s="103"/>
      <c r="BU616" s="103"/>
      <c r="BV616" s="104"/>
      <c r="BW616" s="103"/>
      <c r="BX616" s="104"/>
      <c r="BY616" s="104"/>
      <c r="BZ616" s="104"/>
      <c r="CA616" s="104"/>
      <c r="CB616" s="104"/>
      <c r="CC616" s="104"/>
      <c r="CD616" s="104"/>
      <c r="CE616" s="104"/>
      <c r="CF616" s="103"/>
      <c r="CG616" s="103"/>
      <c r="CH616" s="103"/>
      <c r="CI616" s="103"/>
      <c r="CJ616" s="103"/>
      <c r="CK616" s="133"/>
      <c r="CL616" s="133"/>
      <c r="CM616" s="133"/>
      <c r="CN616" s="133"/>
      <c r="CO616" s="133"/>
      <c r="CP616" s="133"/>
      <c r="CQ616" s="133"/>
      <c r="CR616" s="133"/>
      <c r="CS616" s="133"/>
      <c r="CT616" s="133"/>
      <c r="CU616" s="133"/>
      <c r="CV616" s="133"/>
      <c r="CW616" s="133"/>
      <c r="CX616" s="133"/>
      <c r="CY616" s="133"/>
      <c r="CZ616" s="133"/>
      <c r="DA616" s="133"/>
      <c r="DB616" s="133"/>
      <c r="DC616" s="133"/>
      <c r="DD616" s="133"/>
      <c r="DE616" s="1"/>
      <c r="DF616" s="53"/>
      <c r="DG616" s="51"/>
      <c r="DJ616" s="52"/>
      <c r="DK616" s="52"/>
      <c r="DL616" s="52"/>
      <c r="DM616" s="52"/>
      <c r="DN616" s="52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P616" s="53"/>
      <c r="EQ616" s="1"/>
      <c r="ER616" s="103"/>
      <c r="ES616" s="103"/>
      <c r="ET616" s="1"/>
      <c r="EU616" s="103"/>
      <c r="EV616" s="1"/>
      <c r="EW616" s="1"/>
      <c r="EX616" s="1"/>
      <c r="EY616" s="104"/>
    </row>
    <row r="617" spans="9:155">
      <c r="I617" s="132"/>
      <c r="J617" s="133"/>
      <c r="K617" s="1"/>
      <c r="L617" s="1"/>
      <c r="Q617" s="1"/>
      <c r="R617" s="1"/>
      <c r="S617" s="103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53"/>
      <c r="AO617" s="103"/>
      <c r="AP617" s="103"/>
      <c r="AQ617" s="103"/>
      <c r="AR617" s="103"/>
      <c r="AS617" s="103"/>
      <c r="AT617" s="31"/>
      <c r="AU617" s="31"/>
      <c r="AV617" s="31"/>
      <c r="AW617" s="146"/>
      <c r="AX617" s="146"/>
      <c r="AY617" s="103"/>
      <c r="AZ617" s="103"/>
      <c r="BA617" s="103"/>
      <c r="BB617" s="103"/>
      <c r="BC617" s="103"/>
      <c r="BD617" s="103"/>
      <c r="BE617" s="104"/>
      <c r="BF617" s="102"/>
      <c r="BG617" s="102"/>
      <c r="BH617" s="102"/>
      <c r="BI617" s="105"/>
      <c r="BJ617" s="152"/>
      <c r="BK617" s="103"/>
      <c r="BL617" s="103"/>
      <c r="BM617" s="103"/>
      <c r="BN617" s="103"/>
      <c r="BO617" s="103"/>
      <c r="BP617" s="103"/>
      <c r="BQ617" s="103"/>
      <c r="BR617" s="103"/>
      <c r="BS617" s="103"/>
      <c r="BT617" s="103"/>
      <c r="BU617" s="103"/>
      <c r="BV617" s="104"/>
      <c r="BW617" s="103"/>
      <c r="BX617" s="104"/>
      <c r="BY617" s="104"/>
      <c r="BZ617" s="104"/>
      <c r="CA617" s="104"/>
      <c r="CB617" s="104"/>
      <c r="CC617" s="104"/>
      <c r="CD617" s="104"/>
      <c r="CE617" s="104"/>
      <c r="CF617" s="103"/>
      <c r="CG617" s="103"/>
      <c r="CH617" s="103"/>
      <c r="CI617" s="103"/>
      <c r="CJ617" s="103"/>
      <c r="CK617" s="133"/>
      <c r="CL617" s="133"/>
      <c r="CM617" s="133"/>
      <c r="CN617" s="133"/>
      <c r="CO617" s="133"/>
      <c r="CP617" s="133"/>
      <c r="CQ617" s="133"/>
      <c r="CR617" s="133"/>
      <c r="CS617" s="133"/>
      <c r="CT617" s="133"/>
      <c r="CU617" s="133"/>
      <c r="CV617" s="133"/>
      <c r="CW617" s="133"/>
      <c r="CX617" s="133"/>
      <c r="CY617" s="133"/>
      <c r="CZ617" s="133"/>
      <c r="DA617" s="133"/>
      <c r="DB617" s="133"/>
      <c r="DC617" s="133"/>
      <c r="DD617" s="133"/>
      <c r="DE617" s="1"/>
      <c r="DF617" s="53"/>
      <c r="DG617" s="51"/>
      <c r="DJ617" s="52"/>
      <c r="DK617" s="52"/>
      <c r="DL617" s="52"/>
      <c r="DM617" s="52"/>
      <c r="DN617" s="52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P617" s="53"/>
      <c r="EQ617" s="1"/>
      <c r="ER617" s="103"/>
      <c r="ES617" s="103"/>
      <c r="ET617" s="1"/>
      <c r="EU617" s="103"/>
      <c r="EV617" s="1"/>
      <c r="EW617" s="1"/>
      <c r="EX617" s="1"/>
      <c r="EY617" s="104"/>
    </row>
    <row r="618" spans="9:155">
      <c r="I618" s="132"/>
      <c r="J618" s="133"/>
      <c r="K618" s="1"/>
      <c r="L618" s="1"/>
      <c r="Q618" s="1"/>
      <c r="R618" s="1"/>
      <c r="S618" s="103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53"/>
      <c r="AO618" s="103"/>
      <c r="AP618" s="103"/>
      <c r="AQ618" s="103"/>
      <c r="AR618" s="103"/>
      <c r="AS618" s="103"/>
      <c r="AT618" s="31"/>
      <c r="AU618" s="31"/>
      <c r="AV618" s="31"/>
      <c r="AW618" s="146"/>
      <c r="AX618" s="146"/>
      <c r="AY618" s="103"/>
      <c r="AZ618" s="103"/>
      <c r="BA618" s="103"/>
      <c r="BB618" s="103"/>
      <c r="BC618" s="103"/>
      <c r="BD618" s="103"/>
      <c r="BE618" s="104"/>
      <c r="BF618" s="102"/>
      <c r="BG618" s="102"/>
      <c r="BH618" s="102"/>
      <c r="BI618" s="105"/>
      <c r="BJ618" s="152"/>
      <c r="BK618" s="103"/>
      <c r="BL618" s="103"/>
      <c r="BM618" s="103"/>
      <c r="BN618" s="103"/>
      <c r="BO618" s="103"/>
      <c r="BP618" s="103"/>
      <c r="BQ618" s="103"/>
      <c r="BR618" s="103"/>
      <c r="BS618" s="103"/>
      <c r="BT618" s="103"/>
      <c r="BU618" s="103"/>
      <c r="BV618" s="104"/>
      <c r="BW618" s="103"/>
      <c r="BX618" s="104"/>
      <c r="BY618" s="104"/>
      <c r="BZ618" s="104"/>
      <c r="CA618" s="104"/>
      <c r="CB618" s="104"/>
      <c r="CC618" s="104"/>
      <c r="CD618" s="104"/>
      <c r="CE618" s="104"/>
      <c r="CF618" s="103"/>
      <c r="CG618" s="103"/>
      <c r="CH618" s="103"/>
      <c r="CI618" s="103"/>
      <c r="CJ618" s="103"/>
      <c r="CK618" s="133"/>
      <c r="CL618" s="133"/>
      <c r="CM618" s="133"/>
      <c r="CN618" s="133"/>
      <c r="CO618" s="133"/>
      <c r="CP618" s="133"/>
      <c r="CQ618" s="133"/>
      <c r="CR618" s="133"/>
      <c r="CS618" s="133"/>
      <c r="CT618" s="133"/>
      <c r="CU618" s="133"/>
      <c r="CV618" s="133"/>
      <c r="CW618" s="133"/>
      <c r="CX618" s="133"/>
      <c r="CY618" s="133"/>
      <c r="CZ618" s="133"/>
      <c r="DA618" s="133"/>
      <c r="DB618" s="133"/>
      <c r="DC618" s="133"/>
      <c r="DD618" s="133"/>
      <c r="DE618" s="1"/>
      <c r="DF618" s="53"/>
      <c r="DG618" s="51"/>
      <c r="DJ618" s="52"/>
      <c r="DK618" s="52"/>
      <c r="DL618" s="52"/>
      <c r="DM618" s="52"/>
      <c r="DN618" s="52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P618" s="53"/>
      <c r="EQ618" s="1"/>
      <c r="ER618" s="103"/>
      <c r="ES618" s="103"/>
      <c r="ET618" s="1"/>
      <c r="EU618" s="103"/>
      <c r="EV618" s="1"/>
      <c r="EW618" s="1"/>
      <c r="EX618" s="1"/>
      <c r="EY618" s="104"/>
    </row>
    <row r="619" spans="9:155">
      <c r="I619" s="132"/>
      <c r="J619" s="133"/>
      <c r="K619" s="1"/>
      <c r="L619" s="1"/>
      <c r="Q619" s="1"/>
      <c r="R619" s="1"/>
      <c r="S619" s="103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53"/>
      <c r="AO619" s="103"/>
      <c r="AP619" s="103"/>
      <c r="AQ619" s="103"/>
      <c r="AR619" s="103"/>
      <c r="AS619" s="103"/>
      <c r="AT619" s="31"/>
      <c r="AU619" s="31"/>
      <c r="AV619" s="31"/>
      <c r="AW619" s="146"/>
      <c r="AX619" s="146"/>
      <c r="AY619" s="103"/>
      <c r="AZ619" s="103"/>
      <c r="BA619" s="103"/>
      <c r="BB619" s="103"/>
      <c r="BC619" s="103"/>
      <c r="BD619" s="103"/>
      <c r="BE619" s="104"/>
      <c r="BF619" s="102"/>
      <c r="BG619" s="102"/>
      <c r="BH619" s="102"/>
      <c r="BI619" s="105"/>
      <c r="BJ619" s="152"/>
      <c r="BK619" s="103"/>
      <c r="BL619" s="103"/>
      <c r="BM619" s="103"/>
      <c r="BN619" s="103"/>
      <c r="BO619" s="103"/>
      <c r="BP619" s="103"/>
      <c r="BQ619" s="103"/>
      <c r="BR619" s="103"/>
      <c r="BS619" s="103"/>
      <c r="BT619" s="103"/>
      <c r="BU619" s="103"/>
      <c r="BV619" s="104"/>
      <c r="BW619" s="103"/>
      <c r="BX619" s="104"/>
      <c r="BY619" s="104"/>
      <c r="BZ619" s="104"/>
      <c r="CA619" s="104"/>
      <c r="CB619" s="104"/>
      <c r="CC619" s="104"/>
      <c r="CD619" s="104"/>
      <c r="CE619" s="104"/>
      <c r="CF619" s="103"/>
      <c r="CG619" s="103"/>
      <c r="CH619" s="103"/>
      <c r="CI619" s="103"/>
      <c r="CJ619" s="103"/>
      <c r="CK619" s="133"/>
      <c r="CL619" s="133"/>
      <c r="CM619" s="133"/>
      <c r="CN619" s="133"/>
      <c r="CO619" s="133"/>
      <c r="CP619" s="133"/>
      <c r="CQ619" s="133"/>
      <c r="CR619" s="133"/>
      <c r="CS619" s="133"/>
      <c r="CT619" s="133"/>
      <c r="CU619" s="133"/>
      <c r="CV619" s="133"/>
      <c r="CW619" s="133"/>
      <c r="CX619" s="133"/>
      <c r="CY619" s="133"/>
      <c r="CZ619" s="133"/>
      <c r="DA619" s="133"/>
      <c r="DB619" s="133"/>
      <c r="DC619" s="133"/>
      <c r="DD619" s="133"/>
      <c r="DE619" s="1"/>
      <c r="DF619" s="53"/>
      <c r="DG619" s="51"/>
      <c r="DJ619" s="52"/>
      <c r="DK619" s="52"/>
      <c r="DL619" s="52"/>
      <c r="DM619" s="52"/>
      <c r="DN619" s="52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P619" s="53"/>
      <c r="EQ619" s="1"/>
      <c r="ER619" s="103"/>
      <c r="ES619" s="103"/>
      <c r="ET619" s="1"/>
      <c r="EU619" s="103"/>
      <c r="EV619" s="1"/>
      <c r="EW619" s="1"/>
      <c r="EX619" s="1"/>
      <c r="EY619" s="104"/>
    </row>
    <row r="620" spans="9:155">
      <c r="I620" s="132"/>
      <c r="J620" s="133"/>
      <c r="K620" s="1"/>
      <c r="L620" s="1"/>
      <c r="Q620" s="1"/>
      <c r="R620" s="1"/>
      <c r="S620" s="103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53"/>
      <c r="AO620" s="103"/>
      <c r="AP620" s="103"/>
      <c r="AQ620" s="103"/>
      <c r="AR620" s="103"/>
      <c r="AS620" s="103"/>
      <c r="AT620" s="31"/>
      <c r="AU620" s="31"/>
      <c r="AV620" s="31"/>
      <c r="AW620" s="146"/>
      <c r="AX620" s="146"/>
      <c r="AY620" s="103"/>
      <c r="AZ620" s="103"/>
      <c r="BA620" s="103"/>
      <c r="BB620" s="103"/>
      <c r="BC620" s="103"/>
      <c r="BD620" s="103"/>
      <c r="BE620" s="104"/>
      <c r="BF620" s="102"/>
      <c r="BG620" s="102"/>
      <c r="BH620" s="102"/>
      <c r="BI620" s="105"/>
      <c r="BJ620" s="152"/>
      <c r="BK620" s="103"/>
      <c r="BL620" s="103"/>
      <c r="BM620" s="103"/>
      <c r="BN620" s="103"/>
      <c r="BO620" s="103"/>
      <c r="BP620" s="103"/>
      <c r="BQ620" s="103"/>
      <c r="BR620" s="103"/>
      <c r="BS620" s="103"/>
      <c r="BT620" s="103"/>
      <c r="BU620" s="103"/>
      <c r="BV620" s="104"/>
      <c r="BW620" s="103"/>
      <c r="BX620" s="104"/>
      <c r="BY620" s="104"/>
      <c r="BZ620" s="104"/>
      <c r="CA620" s="104"/>
      <c r="CB620" s="104"/>
      <c r="CC620" s="104"/>
      <c r="CD620" s="104"/>
      <c r="CE620" s="104"/>
      <c r="CF620" s="103"/>
      <c r="CG620" s="103"/>
      <c r="CH620" s="103"/>
      <c r="CI620" s="103"/>
      <c r="CJ620" s="103"/>
      <c r="CK620" s="133"/>
      <c r="CL620" s="133"/>
      <c r="CM620" s="133"/>
      <c r="CN620" s="133"/>
      <c r="CO620" s="133"/>
      <c r="CP620" s="133"/>
      <c r="CQ620" s="133"/>
      <c r="CR620" s="133"/>
      <c r="CS620" s="133"/>
      <c r="CT620" s="133"/>
      <c r="CU620" s="133"/>
      <c r="CV620" s="133"/>
      <c r="CW620" s="133"/>
      <c r="CX620" s="133"/>
      <c r="CY620" s="133"/>
      <c r="CZ620" s="133"/>
      <c r="DA620" s="133"/>
      <c r="DB620" s="133"/>
      <c r="DC620" s="133"/>
      <c r="DD620" s="133"/>
      <c r="DE620" s="1"/>
      <c r="DF620" s="53"/>
      <c r="DG620" s="51"/>
      <c r="DJ620" s="52"/>
      <c r="DK620" s="52"/>
      <c r="DL620" s="52"/>
      <c r="DM620" s="52"/>
      <c r="DN620" s="52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P620" s="53"/>
      <c r="EQ620" s="1"/>
      <c r="ER620" s="103"/>
      <c r="ES620" s="103"/>
      <c r="ET620" s="1"/>
      <c r="EU620" s="103"/>
      <c r="EV620" s="1"/>
      <c r="EW620" s="1"/>
      <c r="EX620" s="1"/>
      <c r="EY620" s="104"/>
    </row>
    <row r="621" spans="9:155">
      <c r="I621" s="132"/>
      <c r="J621" s="133"/>
      <c r="K621" s="1"/>
      <c r="L621" s="1"/>
      <c r="Q621" s="1"/>
      <c r="R621" s="1"/>
      <c r="S621" s="103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53"/>
      <c r="AO621" s="103"/>
      <c r="AP621" s="103"/>
      <c r="AQ621" s="103"/>
      <c r="AR621" s="103"/>
      <c r="AS621" s="103"/>
      <c r="AT621" s="31"/>
      <c r="AU621" s="31"/>
      <c r="AV621" s="31"/>
      <c r="AW621" s="146"/>
      <c r="AX621" s="146"/>
      <c r="AY621" s="103"/>
      <c r="AZ621" s="103"/>
      <c r="BA621" s="103"/>
      <c r="BB621" s="103"/>
      <c r="BC621" s="103"/>
      <c r="BD621" s="103"/>
      <c r="BE621" s="104"/>
      <c r="BF621" s="102"/>
      <c r="BG621" s="102"/>
      <c r="BH621" s="102"/>
      <c r="BI621" s="105"/>
      <c r="BJ621" s="152"/>
      <c r="BK621" s="103"/>
      <c r="BL621" s="103"/>
      <c r="BM621" s="103"/>
      <c r="BN621" s="103"/>
      <c r="BO621" s="103"/>
      <c r="BP621" s="103"/>
      <c r="BQ621" s="103"/>
      <c r="BR621" s="103"/>
      <c r="BS621" s="103"/>
      <c r="BT621" s="103"/>
      <c r="BU621" s="103"/>
      <c r="BV621" s="104"/>
      <c r="BW621" s="103"/>
      <c r="BX621" s="104"/>
      <c r="BY621" s="104"/>
      <c r="BZ621" s="104"/>
      <c r="CA621" s="104"/>
      <c r="CB621" s="104"/>
      <c r="CC621" s="104"/>
      <c r="CD621" s="104"/>
      <c r="CE621" s="104"/>
      <c r="CF621" s="103"/>
      <c r="CG621" s="103"/>
      <c r="CH621" s="103"/>
      <c r="CI621" s="103"/>
      <c r="CJ621" s="103"/>
      <c r="CK621" s="133"/>
      <c r="CL621" s="133"/>
      <c r="CM621" s="133"/>
      <c r="CN621" s="133"/>
      <c r="CO621" s="133"/>
      <c r="CP621" s="133"/>
      <c r="CQ621" s="133"/>
      <c r="CR621" s="133"/>
      <c r="CS621" s="133"/>
      <c r="CT621" s="133"/>
      <c r="CU621" s="133"/>
      <c r="CV621" s="133"/>
      <c r="CW621" s="133"/>
      <c r="CX621" s="133"/>
      <c r="CY621" s="133"/>
      <c r="CZ621" s="133"/>
      <c r="DA621" s="133"/>
      <c r="DB621" s="133"/>
      <c r="DC621" s="133"/>
      <c r="DD621" s="133"/>
      <c r="DE621" s="1"/>
      <c r="DF621" s="53"/>
      <c r="DG621" s="51"/>
      <c r="DJ621" s="52"/>
      <c r="DK621" s="52"/>
      <c r="DL621" s="52"/>
      <c r="DM621" s="52"/>
      <c r="DN621" s="52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P621" s="53"/>
      <c r="EQ621" s="1"/>
      <c r="ER621" s="103"/>
      <c r="ES621" s="103"/>
      <c r="ET621" s="1"/>
      <c r="EU621" s="103"/>
      <c r="EV621" s="1"/>
      <c r="EW621" s="1"/>
      <c r="EX621" s="1"/>
      <c r="EY621" s="104"/>
    </row>
    <row r="622" spans="9:155">
      <c r="I622" s="132"/>
      <c r="J622" s="133"/>
      <c r="K622" s="1"/>
      <c r="L622" s="1"/>
      <c r="Q622" s="1"/>
      <c r="R622" s="1"/>
      <c r="S622" s="103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53"/>
      <c r="AO622" s="103"/>
      <c r="AP622" s="103"/>
      <c r="AQ622" s="103"/>
      <c r="AR622" s="103"/>
      <c r="AS622" s="103"/>
      <c r="AT622" s="31"/>
      <c r="AU622" s="31"/>
      <c r="AV622" s="31"/>
      <c r="AW622" s="146"/>
      <c r="AX622" s="146"/>
      <c r="AY622" s="103"/>
      <c r="AZ622" s="103"/>
      <c r="BA622" s="103"/>
      <c r="BB622" s="103"/>
      <c r="BC622" s="103"/>
      <c r="BD622" s="103"/>
      <c r="BE622" s="104"/>
      <c r="BF622" s="102"/>
      <c r="BG622" s="102"/>
      <c r="BH622" s="102"/>
      <c r="BI622" s="105"/>
      <c r="BJ622" s="152"/>
      <c r="BK622" s="103"/>
      <c r="BL622" s="103"/>
      <c r="BM622" s="103"/>
      <c r="BN622" s="103"/>
      <c r="BO622" s="103"/>
      <c r="BP622" s="103"/>
      <c r="BQ622" s="103"/>
      <c r="BR622" s="103"/>
      <c r="BS622" s="103"/>
      <c r="BT622" s="103"/>
      <c r="BU622" s="103"/>
      <c r="BV622" s="104"/>
      <c r="BW622" s="103"/>
      <c r="BX622" s="104"/>
      <c r="BY622" s="104"/>
      <c r="BZ622" s="104"/>
      <c r="CA622" s="104"/>
      <c r="CB622" s="104"/>
      <c r="CC622" s="104"/>
      <c r="CD622" s="104"/>
      <c r="CE622" s="104"/>
      <c r="CF622" s="103"/>
      <c r="CG622" s="103"/>
      <c r="CH622" s="103"/>
      <c r="CI622" s="103"/>
      <c r="CJ622" s="103"/>
      <c r="CK622" s="133"/>
      <c r="CL622" s="133"/>
      <c r="CM622" s="133"/>
      <c r="CN622" s="133"/>
      <c r="CO622" s="133"/>
      <c r="CP622" s="133"/>
      <c r="CQ622" s="133"/>
      <c r="CR622" s="133"/>
      <c r="CS622" s="133"/>
      <c r="CT622" s="133"/>
      <c r="CU622" s="133"/>
      <c r="CV622" s="133"/>
      <c r="CW622" s="133"/>
      <c r="CX622" s="133"/>
      <c r="CY622" s="133"/>
      <c r="CZ622" s="133"/>
      <c r="DA622" s="133"/>
      <c r="DB622" s="133"/>
      <c r="DC622" s="133"/>
      <c r="DD622" s="133"/>
      <c r="DE622" s="1"/>
      <c r="DF622" s="53"/>
      <c r="DG622" s="51"/>
      <c r="DJ622" s="52"/>
      <c r="DK622" s="52"/>
      <c r="DL622" s="52"/>
      <c r="DM622" s="52"/>
      <c r="DN622" s="52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P622" s="53"/>
      <c r="EQ622" s="1"/>
      <c r="ER622" s="103"/>
      <c r="ES622" s="103"/>
      <c r="ET622" s="1"/>
      <c r="EU622" s="103"/>
      <c r="EV622" s="1"/>
      <c r="EW622" s="1"/>
      <c r="EX622" s="1"/>
      <c r="EY622" s="104"/>
    </row>
    <row r="623" spans="9:155">
      <c r="I623" s="132"/>
      <c r="J623" s="133"/>
      <c r="K623" s="1"/>
      <c r="L623" s="1"/>
      <c r="Q623" s="1"/>
      <c r="R623" s="1"/>
      <c r="S623" s="103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53"/>
      <c r="AO623" s="103"/>
      <c r="AP623" s="103"/>
      <c r="AQ623" s="103"/>
      <c r="AR623" s="103"/>
      <c r="AS623" s="103"/>
      <c r="AT623" s="31"/>
      <c r="AU623" s="31"/>
      <c r="AV623" s="31"/>
      <c r="AW623" s="146"/>
      <c r="AX623" s="146"/>
      <c r="AY623" s="103"/>
      <c r="AZ623" s="103"/>
      <c r="BA623" s="103"/>
      <c r="BB623" s="103"/>
      <c r="BC623" s="103"/>
      <c r="BD623" s="103"/>
      <c r="BE623" s="104"/>
      <c r="BF623" s="102"/>
      <c r="BG623" s="102"/>
      <c r="BH623" s="102"/>
      <c r="BI623" s="105"/>
      <c r="BJ623" s="152"/>
      <c r="BK623" s="103"/>
      <c r="BL623" s="103"/>
      <c r="BM623" s="103"/>
      <c r="BN623" s="103"/>
      <c r="BO623" s="103"/>
      <c r="BP623" s="103"/>
      <c r="BQ623" s="103"/>
      <c r="BR623" s="103"/>
      <c r="BS623" s="103"/>
      <c r="BT623" s="103"/>
      <c r="BU623" s="103"/>
      <c r="BV623" s="104"/>
      <c r="BW623" s="103"/>
      <c r="BX623" s="104"/>
      <c r="BY623" s="104"/>
      <c r="BZ623" s="104"/>
      <c r="CA623" s="104"/>
      <c r="CB623" s="104"/>
      <c r="CC623" s="104"/>
      <c r="CD623" s="104"/>
      <c r="CE623" s="104"/>
      <c r="CF623" s="103"/>
      <c r="CG623" s="103"/>
      <c r="CH623" s="103"/>
      <c r="CI623" s="103"/>
      <c r="CJ623" s="103"/>
      <c r="CK623" s="133"/>
      <c r="CL623" s="133"/>
      <c r="CM623" s="133"/>
      <c r="CN623" s="133"/>
      <c r="CO623" s="133"/>
      <c r="CP623" s="133"/>
      <c r="CQ623" s="133"/>
      <c r="CR623" s="133"/>
      <c r="CS623" s="133"/>
      <c r="CT623" s="133"/>
      <c r="CU623" s="133"/>
      <c r="CV623" s="133"/>
      <c r="CW623" s="133"/>
      <c r="CX623" s="133"/>
      <c r="CY623" s="133"/>
      <c r="CZ623" s="133"/>
      <c r="DA623" s="133"/>
      <c r="DB623" s="133"/>
      <c r="DC623" s="133"/>
      <c r="DD623" s="133"/>
      <c r="DE623" s="1"/>
      <c r="DF623" s="53"/>
      <c r="DG623" s="51"/>
      <c r="DJ623" s="52"/>
      <c r="DK623" s="52"/>
      <c r="DL623" s="52"/>
      <c r="DM623" s="52"/>
      <c r="DN623" s="52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P623" s="53"/>
      <c r="EQ623" s="1"/>
      <c r="ER623" s="103"/>
      <c r="ES623" s="103"/>
      <c r="ET623" s="1"/>
      <c r="EU623" s="103"/>
      <c r="EV623" s="1"/>
      <c r="EW623" s="1"/>
      <c r="EX623" s="1"/>
      <c r="EY623" s="104"/>
    </row>
    <row r="624" spans="9:155">
      <c r="I624" s="132"/>
      <c r="J624" s="133"/>
      <c r="K624" s="1"/>
      <c r="L624" s="1"/>
      <c r="Q624" s="1"/>
      <c r="R624" s="1"/>
      <c r="S624" s="103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53"/>
      <c r="AO624" s="103"/>
      <c r="AP624" s="103"/>
      <c r="AQ624" s="103"/>
      <c r="AR624" s="103"/>
      <c r="AS624" s="103"/>
      <c r="AT624" s="31"/>
      <c r="AU624" s="31"/>
      <c r="AV624" s="31"/>
      <c r="AW624" s="146"/>
      <c r="AX624" s="146"/>
      <c r="AY624" s="103"/>
      <c r="AZ624" s="103"/>
      <c r="BA624" s="103"/>
      <c r="BB624" s="103"/>
      <c r="BC624" s="103"/>
      <c r="BD624" s="103"/>
      <c r="BE624" s="104"/>
      <c r="BF624" s="102"/>
      <c r="BG624" s="102"/>
      <c r="BH624" s="102"/>
      <c r="BI624" s="105"/>
      <c r="BJ624" s="152"/>
      <c r="BK624" s="103"/>
      <c r="BL624" s="103"/>
      <c r="BM624" s="103"/>
      <c r="BN624" s="103"/>
      <c r="BO624" s="103"/>
      <c r="BP624" s="103"/>
      <c r="BQ624" s="103"/>
      <c r="BR624" s="103"/>
      <c r="BS624" s="103"/>
      <c r="BT624" s="103"/>
      <c r="BU624" s="103"/>
      <c r="BV624" s="104"/>
      <c r="BW624" s="103"/>
      <c r="BX624" s="104"/>
      <c r="BY624" s="104"/>
      <c r="BZ624" s="104"/>
      <c r="CA624" s="104"/>
      <c r="CB624" s="104"/>
      <c r="CC624" s="104"/>
      <c r="CD624" s="104"/>
      <c r="CE624" s="104"/>
      <c r="CF624" s="103"/>
      <c r="CG624" s="103"/>
      <c r="CH624" s="103"/>
      <c r="CI624" s="103"/>
      <c r="CJ624" s="103"/>
      <c r="CK624" s="133"/>
      <c r="CL624" s="133"/>
      <c r="CM624" s="133"/>
      <c r="CN624" s="133"/>
      <c r="CO624" s="133"/>
      <c r="CP624" s="133"/>
      <c r="CQ624" s="133"/>
      <c r="CR624" s="133"/>
      <c r="CS624" s="133"/>
      <c r="CT624" s="133"/>
      <c r="CU624" s="133"/>
      <c r="CV624" s="133"/>
      <c r="CW624" s="133"/>
      <c r="CX624" s="133"/>
      <c r="CY624" s="133"/>
      <c r="CZ624" s="133"/>
      <c r="DA624" s="133"/>
      <c r="DB624" s="133"/>
      <c r="DC624" s="133"/>
      <c r="DD624" s="133"/>
      <c r="DE624" s="1"/>
      <c r="DF624" s="53"/>
      <c r="DG624" s="51"/>
      <c r="DJ624" s="52"/>
      <c r="DK624" s="52"/>
      <c r="DL624" s="52"/>
      <c r="DM624" s="52"/>
      <c r="DN624" s="52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P624" s="53"/>
      <c r="EQ624" s="1"/>
      <c r="ER624" s="103"/>
      <c r="ES624" s="103"/>
      <c r="ET624" s="1"/>
      <c r="EU624" s="103"/>
      <c r="EV624" s="1"/>
      <c r="EW624" s="1"/>
      <c r="EX624" s="1"/>
      <c r="EY624" s="104"/>
    </row>
    <row r="625" spans="9:155">
      <c r="I625" s="132"/>
      <c r="J625" s="133"/>
      <c r="K625" s="1"/>
      <c r="L625" s="1"/>
      <c r="Q625" s="1"/>
      <c r="R625" s="1"/>
      <c r="S625" s="103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53"/>
      <c r="AO625" s="103"/>
      <c r="AP625" s="103"/>
      <c r="AQ625" s="103"/>
      <c r="AR625" s="103"/>
      <c r="AS625" s="103"/>
      <c r="AT625" s="31"/>
      <c r="AU625" s="31"/>
      <c r="AV625" s="31"/>
      <c r="AW625" s="146"/>
      <c r="AX625" s="146"/>
      <c r="AY625" s="103"/>
      <c r="AZ625" s="103"/>
      <c r="BA625" s="103"/>
      <c r="BB625" s="103"/>
      <c r="BC625" s="103"/>
      <c r="BD625" s="103"/>
      <c r="BE625" s="104"/>
      <c r="BF625" s="102"/>
      <c r="BG625" s="102"/>
      <c r="BH625" s="102"/>
      <c r="BI625" s="105"/>
      <c r="BJ625" s="152"/>
      <c r="BK625" s="103"/>
      <c r="BL625" s="103"/>
      <c r="BM625" s="103"/>
      <c r="BN625" s="103"/>
      <c r="BO625" s="103"/>
      <c r="BP625" s="103"/>
      <c r="BQ625" s="103"/>
      <c r="BR625" s="103"/>
      <c r="BS625" s="103"/>
      <c r="BT625" s="103"/>
      <c r="BU625" s="103"/>
      <c r="BV625" s="104"/>
      <c r="BW625" s="103"/>
      <c r="BX625" s="104"/>
      <c r="BY625" s="104"/>
      <c r="BZ625" s="104"/>
      <c r="CA625" s="104"/>
      <c r="CB625" s="104"/>
      <c r="CC625" s="104"/>
      <c r="CD625" s="104"/>
      <c r="CE625" s="104"/>
      <c r="CF625" s="103"/>
      <c r="CG625" s="103"/>
      <c r="CH625" s="103"/>
      <c r="CI625" s="103"/>
      <c r="CJ625" s="103"/>
      <c r="CK625" s="133"/>
      <c r="CL625" s="133"/>
      <c r="CM625" s="133"/>
      <c r="CN625" s="133"/>
      <c r="CO625" s="133"/>
      <c r="CP625" s="133"/>
      <c r="CQ625" s="133"/>
      <c r="CR625" s="133"/>
      <c r="CS625" s="133"/>
      <c r="CT625" s="133"/>
      <c r="CU625" s="133"/>
      <c r="CV625" s="133"/>
      <c r="CW625" s="133"/>
      <c r="CX625" s="133"/>
      <c r="CY625" s="133"/>
      <c r="CZ625" s="133"/>
      <c r="DA625" s="133"/>
      <c r="DB625" s="133"/>
      <c r="DC625" s="133"/>
      <c r="DD625" s="133"/>
      <c r="DE625" s="1"/>
      <c r="DF625" s="53"/>
      <c r="DG625" s="51"/>
      <c r="DJ625" s="52"/>
      <c r="DK625" s="52"/>
      <c r="DL625" s="52"/>
      <c r="DM625" s="52"/>
      <c r="DN625" s="52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P625" s="53"/>
      <c r="EQ625" s="1"/>
      <c r="ER625" s="103"/>
      <c r="ES625" s="103"/>
      <c r="ET625" s="1"/>
      <c r="EU625" s="103"/>
      <c r="EV625" s="1"/>
      <c r="EW625" s="1"/>
      <c r="EX625" s="1"/>
      <c r="EY625" s="104"/>
    </row>
    <row r="626" spans="9:155">
      <c r="I626" s="132"/>
      <c r="J626" s="133"/>
      <c r="K626" s="1"/>
      <c r="L626" s="1"/>
      <c r="Q626" s="1"/>
      <c r="R626" s="1"/>
      <c r="S626" s="103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53"/>
      <c r="AO626" s="103"/>
      <c r="AP626" s="103"/>
      <c r="AQ626" s="103"/>
      <c r="AR626" s="103"/>
      <c r="AS626" s="103"/>
      <c r="AT626" s="31"/>
      <c r="AU626" s="31"/>
      <c r="AV626" s="31"/>
      <c r="AW626" s="146"/>
      <c r="AX626" s="146"/>
      <c r="AY626" s="103"/>
      <c r="AZ626" s="103"/>
      <c r="BA626" s="103"/>
      <c r="BB626" s="103"/>
      <c r="BC626" s="103"/>
      <c r="BD626" s="103"/>
      <c r="BE626" s="104"/>
      <c r="BF626" s="102"/>
      <c r="BG626" s="102"/>
      <c r="BH626" s="102"/>
      <c r="BI626" s="105"/>
      <c r="BJ626" s="152"/>
      <c r="BK626" s="103"/>
      <c r="BL626" s="103"/>
      <c r="BM626" s="103"/>
      <c r="BN626" s="103"/>
      <c r="BO626" s="103"/>
      <c r="BP626" s="103"/>
      <c r="BQ626" s="103"/>
      <c r="BR626" s="103"/>
      <c r="BS626" s="103"/>
      <c r="BT626" s="103"/>
      <c r="BU626" s="103"/>
      <c r="BV626" s="104"/>
      <c r="BW626" s="103"/>
      <c r="BX626" s="104"/>
      <c r="BY626" s="104"/>
      <c r="BZ626" s="104"/>
      <c r="CA626" s="104"/>
      <c r="CB626" s="104"/>
      <c r="CC626" s="104"/>
      <c r="CD626" s="104"/>
      <c r="CE626" s="104"/>
      <c r="CF626" s="103"/>
      <c r="CG626" s="103"/>
      <c r="CH626" s="103"/>
      <c r="CI626" s="103"/>
      <c r="CJ626" s="103"/>
      <c r="CK626" s="133"/>
      <c r="CL626" s="133"/>
      <c r="CM626" s="133"/>
      <c r="CN626" s="133"/>
      <c r="CO626" s="133"/>
      <c r="CP626" s="133"/>
      <c r="CQ626" s="133"/>
      <c r="CR626" s="133"/>
      <c r="CS626" s="133"/>
      <c r="CT626" s="133"/>
      <c r="CU626" s="133"/>
      <c r="CV626" s="133"/>
      <c r="CW626" s="133"/>
      <c r="CX626" s="133"/>
      <c r="CY626" s="133"/>
      <c r="CZ626" s="133"/>
      <c r="DA626" s="133"/>
      <c r="DB626" s="133"/>
      <c r="DC626" s="133"/>
      <c r="DD626" s="133"/>
      <c r="DE626" s="1"/>
      <c r="DF626" s="53"/>
      <c r="DG626" s="51"/>
      <c r="DJ626" s="52"/>
      <c r="DK626" s="52"/>
      <c r="DL626" s="52"/>
      <c r="DM626" s="52"/>
      <c r="DN626" s="52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P626" s="53"/>
      <c r="EQ626" s="1"/>
      <c r="ER626" s="103"/>
      <c r="ES626" s="103"/>
      <c r="ET626" s="1"/>
      <c r="EU626" s="103"/>
      <c r="EV626" s="1"/>
      <c r="EW626" s="1"/>
      <c r="EX626" s="1"/>
      <c r="EY626" s="104"/>
    </row>
    <row r="627" spans="9:155">
      <c r="I627" s="132"/>
      <c r="J627" s="133"/>
      <c r="K627" s="1"/>
      <c r="L627" s="1"/>
      <c r="Q627" s="1"/>
      <c r="R627" s="1"/>
      <c r="S627" s="103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53"/>
      <c r="AO627" s="103"/>
      <c r="AP627" s="103"/>
      <c r="AQ627" s="103"/>
      <c r="AR627" s="103"/>
      <c r="AS627" s="103"/>
      <c r="AT627" s="31"/>
      <c r="AU627" s="31"/>
      <c r="AV627" s="31"/>
      <c r="AW627" s="146"/>
      <c r="AX627" s="146"/>
      <c r="AY627" s="103"/>
      <c r="AZ627" s="103"/>
      <c r="BA627" s="103"/>
      <c r="BB627" s="103"/>
      <c r="BC627" s="103"/>
      <c r="BD627" s="103"/>
      <c r="BE627" s="104"/>
      <c r="BF627" s="102"/>
      <c r="BG627" s="102"/>
      <c r="BH627" s="102"/>
      <c r="BI627" s="105"/>
      <c r="BJ627" s="152"/>
      <c r="BK627" s="103"/>
      <c r="BL627" s="103"/>
      <c r="BM627" s="103"/>
      <c r="BN627" s="103"/>
      <c r="BO627" s="103"/>
      <c r="BP627" s="103"/>
      <c r="BQ627" s="103"/>
      <c r="BR627" s="103"/>
      <c r="BS627" s="103"/>
      <c r="BT627" s="103"/>
      <c r="BU627" s="103"/>
      <c r="BV627" s="104"/>
      <c r="BW627" s="103"/>
      <c r="BX627" s="104"/>
      <c r="BY627" s="104"/>
      <c r="BZ627" s="104"/>
      <c r="CA627" s="104"/>
      <c r="CB627" s="104"/>
      <c r="CC627" s="104"/>
      <c r="CD627" s="104"/>
      <c r="CE627" s="104"/>
      <c r="CF627" s="103"/>
      <c r="CG627" s="103"/>
      <c r="CH627" s="103"/>
      <c r="CI627" s="103"/>
      <c r="CJ627" s="103"/>
      <c r="CK627" s="133"/>
      <c r="CL627" s="133"/>
      <c r="CM627" s="133"/>
      <c r="CN627" s="133"/>
      <c r="CO627" s="133"/>
      <c r="CP627" s="133"/>
      <c r="CQ627" s="133"/>
      <c r="CR627" s="133"/>
      <c r="CS627" s="133"/>
      <c r="CT627" s="133"/>
      <c r="CU627" s="133"/>
      <c r="CV627" s="133"/>
      <c r="CW627" s="133"/>
      <c r="CX627" s="133"/>
      <c r="CY627" s="133"/>
      <c r="CZ627" s="133"/>
      <c r="DA627" s="133"/>
      <c r="DB627" s="133"/>
      <c r="DC627" s="133"/>
      <c r="DD627" s="133"/>
      <c r="DE627" s="1"/>
      <c r="DF627" s="53"/>
      <c r="DG627" s="51"/>
      <c r="DJ627" s="52"/>
      <c r="DK627" s="52"/>
      <c r="DL627" s="52"/>
      <c r="DM627" s="52"/>
      <c r="DN627" s="52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P627" s="53"/>
      <c r="EQ627" s="1"/>
      <c r="ER627" s="103"/>
      <c r="ES627" s="103"/>
      <c r="ET627" s="1"/>
      <c r="EU627" s="103"/>
      <c r="EV627" s="1"/>
      <c r="EW627" s="1"/>
      <c r="EX627" s="1"/>
      <c r="EY627" s="104"/>
    </row>
    <row r="628" spans="9:155">
      <c r="I628" s="132"/>
      <c r="J628" s="133"/>
      <c r="K628" s="1"/>
      <c r="L628" s="1"/>
      <c r="Q628" s="1"/>
      <c r="R628" s="1"/>
      <c r="S628" s="103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53"/>
      <c r="AO628" s="103"/>
      <c r="AP628" s="103"/>
      <c r="AQ628" s="103"/>
      <c r="AR628" s="103"/>
      <c r="AS628" s="103"/>
      <c r="AT628" s="31"/>
      <c r="AU628" s="31"/>
      <c r="AV628" s="31"/>
      <c r="AW628" s="146"/>
      <c r="AX628" s="146"/>
      <c r="AY628" s="103"/>
      <c r="AZ628" s="103"/>
      <c r="BA628" s="103"/>
      <c r="BB628" s="103"/>
      <c r="BC628" s="103"/>
      <c r="BD628" s="103"/>
      <c r="BE628" s="104"/>
      <c r="BF628" s="102"/>
      <c r="BG628" s="102"/>
      <c r="BH628" s="102"/>
      <c r="BI628" s="105"/>
      <c r="BJ628" s="152"/>
      <c r="BK628" s="103"/>
      <c r="BL628" s="103"/>
      <c r="BM628" s="103"/>
      <c r="BN628" s="103"/>
      <c r="BO628" s="103"/>
      <c r="BP628" s="103"/>
      <c r="BQ628" s="103"/>
      <c r="BR628" s="103"/>
      <c r="BS628" s="103"/>
      <c r="BT628" s="103"/>
      <c r="BU628" s="103"/>
      <c r="BV628" s="104"/>
      <c r="BW628" s="103"/>
      <c r="BX628" s="104"/>
      <c r="BY628" s="104"/>
      <c r="BZ628" s="104"/>
      <c r="CA628" s="104"/>
      <c r="CB628" s="104"/>
      <c r="CC628" s="104"/>
      <c r="CD628" s="104"/>
      <c r="CE628" s="104"/>
      <c r="CF628" s="103"/>
      <c r="CG628" s="103"/>
      <c r="CH628" s="103"/>
      <c r="CI628" s="103"/>
      <c r="CJ628" s="103"/>
      <c r="CK628" s="133"/>
      <c r="CL628" s="133"/>
      <c r="CM628" s="133"/>
      <c r="CN628" s="133"/>
      <c r="CO628" s="133"/>
      <c r="CP628" s="133"/>
      <c r="CQ628" s="133"/>
      <c r="CR628" s="133"/>
      <c r="CS628" s="133"/>
      <c r="CT628" s="133"/>
      <c r="CU628" s="133"/>
      <c r="CV628" s="133"/>
      <c r="CW628" s="133"/>
      <c r="CX628" s="133"/>
      <c r="CY628" s="133"/>
      <c r="CZ628" s="133"/>
      <c r="DA628" s="133"/>
      <c r="DB628" s="133"/>
      <c r="DC628" s="133"/>
      <c r="DD628" s="133"/>
      <c r="DE628" s="1"/>
      <c r="DF628" s="53"/>
      <c r="DG628" s="51"/>
      <c r="DJ628" s="52"/>
      <c r="DK628" s="52"/>
      <c r="DL628" s="52"/>
      <c r="DM628" s="52"/>
      <c r="DN628" s="52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P628" s="53"/>
      <c r="EQ628" s="1"/>
      <c r="ER628" s="103"/>
      <c r="ES628" s="103"/>
      <c r="ET628" s="1"/>
      <c r="EU628" s="103"/>
      <c r="EV628" s="1"/>
      <c r="EW628" s="1"/>
      <c r="EX628" s="1"/>
      <c r="EY628" s="104"/>
    </row>
    <row r="629" spans="9:155">
      <c r="I629" s="132"/>
      <c r="J629" s="133"/>
      <c r="K629" s="1"/>
      <c r="L629" s="1"/>
      <c r="Q629" s="1"/>
      <c r="R629" s="1"/>
      <c r="S629" s="103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53"/>
      <c r="AO629" s="103"/>
      <c r="AP629" s="103"/>
      <c r="AQ629" s="103"/>
      <c r="AR629" s="103"/>
      <c r="AS629" s="103"/>
      <c r="AT629" s="31"/>
      <c r="AU629" s="31"/>
      <c r="AV629" s="31"/>
      <c r="AW629" s="146"/>
      <c r="AX629" s="146"/>
      <c r="AY629" s="103"/>
      <c r="AZ629" s="103"/>
      <c r="BA629" s="103"/>
      <c r="BB629" s="103"/>
      <c r="BC629" s="103"/>
      <c r="BD629" s="103"/>
      <c r="BE629" s="104"/>
      <c r="BF629" s="102"/>
      <c r="BG629" s="102"/>
      <c r="BH629" s="102"/>
      <c r="BI629" s="105"/>
      <c r="BJ629" s="152"/>
      <c r="BK629" s="103"/>
      <c r="BL629" s="103"/>
      <c r="BM629" s="103"/>
      <c r="BN629" s="103"/>
      <c r="BO629" s="103"/>
      <c r="BP629" s="103"/>
      <c r="BQ629" s="103"/>
      <c r="BR629" s="103"/>
      <c r="BS629" s="103"/>
      <c r="BT629" s="103"/>
      <c r="BU629" s="103"/>
      <c r="BV629" s="104"/>
      <c r="BW629" s="103"/>
      <c r="BX629" s="104"/>
      <c r="BY629" s="104"/>
      <c r="BZ629" s="104"/>
      <c r="CA629" s="104"/>
      <c r="CB629" s="104"/>
      <c r="CC629" s="104"/>
      <c r="CD629" s="104"/>
      <c r="CE629" s="104"/>
      <c r="CF629" s="103"/>
      <c r="CG629" s="103"/>
      <c r="CH629" s="103"/>
      <c r="CI629" s="103"/>
      <c r="CJ629" s="103"/>
      <c r="CK629" s="133"/>
      <c r="CL629" s="133"/>
      <c r="CM629" s="133"/>
      <c r="CN629" s="133"/>
      <c r="CO629" s="133"/>
      <c r="CP629" s="133"/>
      <c r="CQ629" s="133"/>
      <c r="CR629" s="133"/>
      <c r="CS629" s="133"/>
      <c r="CT629" s="133"/>
      <c r="CU629" s="133"/>
      <c r="CV629" s="133"/>
      <c r="CW629" s="133"/>
      <c r="CX629" s="133"/>
      <c r="CY629" s="133"/>
      <c r="CZ629" s="133"/>
      <c r="DA629" s="133"/>
      <c r="DB629" s="133"/>
      <c r="DC629" s="133"/>
      <c r="DD629" s="133"/>
      <c r="DE629" s="1"/>
      <c r="DF629" s="53"/>
      <c r="DG629" s="51"/>
      <c r="DJ629" s="52"/>
      <c r="DK629" s="52"/>
      <c r="DL629" s="52"/>
      <c r="DM629" s="52"/>
      <c r="DN629" s="52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P629" s="53"/>
      <c r="EQ629" s="1"/>
      <c r="ER629" s="103"/>
      <c r="ES629" s="103"/>
      <c r="ET629" s="1"/>
      <c r="EU629" s="103"/>
      <c r="EV629" s="1"/>
      <c r="EW629" s="1"/>
      <c r="EX629" s="1"/>
      <c r="EY629" s="104"/>
    </row>
    <row r="630" spans="9:155">
      <c r="I630" s="132"/>
      <c r="J630" s="133"/>
      <c r="K630" s="1"/>
      <c r="L630" s="1"/>
      <c r="Q630" s="1"/>
      <c r="R630" s="1"/>
      <c r="S630" s="103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53"/>
      <c r="AO630" s="103"/>
      <c r="AP630" s="103"/>
      <c r="AQ630" s="103"/>
      <c r="AR630" s="103"/>
      <c r="AS630" s="103"/>
      <c r="AT630" s="31"/>
      <c r="AU630" s="31"/>
      <c r="AV630" s="31"/>
      <c r="AW630" s="146"/>
      <c r="AX630" s="146"/>
      <c r="AY630" s="103"/>
      <c r="AZ630" s="103"/>
      <c r="BA630" s="103"/>
      <c r="BB630" s="103"/>
      <c r="BC630" s="103"/>
      <c r="BD630" s="103"/>
      <c r="BE630" s="104"/>
      <c r="BF630" s="102"/>
      <c r="BG630" s="102"/>
      <c r="BH630" s="102"/>
      <c r="BI630" s="105"/>
      <c r="BJ630" s="152"/>
      <c r="BK630" s="103"/>
      <c r="BL630" s="103"/>
      <c r="BM630" s="103"/>
      <c r="BN630" s="103"/>
      <c r="BO630" s="103"/>
      <c r="BP630" s="103"/>
      <c r="BQ630" s="103"/>
      <c r="BR630" s="103"/>
      <c r="BS630" s="103"/>
      <c r="BT630" s="103"/>
      <c r="BU630" s="103"/>
      <c r="BV630" s="104"/>
      <c r="BW630" s="103"/>
      <c r="BX630" s="104"/>
      <c r="BY630" s="104"/>
      <c r="BZ630" s="104"/>
      <c r="CA630" s="104"/>
      <c r="CB630" s="104"/>
      <c r="CC630" s="104"/>
      <c r="CD630" s="104"/>
      <c r="CE630" s="104"/>
      <c r="CF630" s="103"/>
      <c r="CG630" s="103"/>
      <c r="CH630" s="103"/>
      <c r="CI630" s="103"/>
      <c r="CJ630" s="103"/>
      <c r="CK630" s="133"/>
      <c r="CL630" s="133"/>
      <c r="CM630" s="133"/>
      <c r="CN630" s="133"/>
      <c r="CO630" s="133"/>
      <c r="CP630" s="133"/>
      <c r="CQ630" s="133"/>
      <c r="CR630" s="133"/>
      <c r="CS630" s="133"/>
      <c r="CT630" s="133"/>
      <c r="CU630" s="133"/>
      <c r="CV630" s="133"/>
      <c r="CW630" s="133"/>
      <c r="CX630" s="133"/>
      <c r="CY630" s="133"/>
      <c r="CZ630" s="133"/>
      <c r="DA630" s="133"/>
      <c r="DB630" s="133"/>
      <c r="DC630" s="133"/>
      <c r="DD630" s="133"/>
      <c r="DE630" s="1"/>
      <c r="DF630" s="53"/>
      <c r="DG630" s="51"/>
      <c r="DJ630" s="52"/>
      <c r="DK630" s="52"/>
      <c r="DL630" s="52"/>
      <c r="DM630" s="52"/>
      <c r="DN630" s="52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P630" s="53"/>
      <c r="EQ630" s="1"/>
      <c r="ER630" s="103"/>
      <c r="ES630" s="103"/>
      <c r="ET630" s="1"/>
      <c r="EU630" s="103"/>
      <c r="EV630" s="1"/>
      <c r="EW630" s="1"/>
      <c r="EX630" s="1"/>
      <c r="EY630" s="104"/>
    </row>
    <row r="631" spans="9:155">
      <c r="I631" s="132"/>
      <c r="J631" s="133"/>
      <c r="K631" s="1"/>
      <c r="L631" s="1"/>
      <c r="Q631" s="1"/>
      <c r="R631" s="1"/>
      <c r="S631" s="103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53"/>
      <c r="AO631" s="103"/>
      <c r="AP631" s="103"/>
      <c r="AQ631" s="103"/>
      <c r="AR631" s="103"/>
      <c r="AS631" s="103"/>
      <c r="AT631" s="31"/>
      <c r="AU631" s="31"/>
      <c r="AV631" s="31"/>
      <c r="AW631" s="146"/>
      <c r="AX631" s="146"/>
      <c r="AY631" s="103"/>
      <c r="AZ631" s="103"/>
      <c r="BA631" s="103"/>
      <c r="BB631" s="103"/>
      <c r="BC631" s="103"/>
      <c r="BD631" s="103"/>
      <c r="BE631" s="104"/>
      <c r="BF631" s="102"/>
      <c r="BG631" s="102"/>
      <c r="BH631" s="102"/>
      <c r="BI631" s="105"/>
      <c r="BJ631" s="152"/>
      <c r="BK631" s="103"/>
      <c r="BL631" s="103"/>
      <c r="BM631" s="103"/>
      <c r="BN631" s="103"/>
      <c r="BO631" s="103"/>
      <c r="BP631" s="103"/>
      <c r="BQ631" s="103"/>
      <c r="BR631" s="103"/>
      <c r="BS631" s="103"/>
      <c r="BT631" s="103"/>
      <c r="BU631" s="103"/>
      <c r="BV631" s="104"/>
      <c r="BW631" s="103"/>
      <c r="BX631" s="104"/>
      <c r="BY631" s="104"/>
      <c r="BZ631" s="104"/>
      <c r="CA631" s="104"/>
      <c r="CB631" s="104"/>
      <c r="CC631" s="104"/>
      <c r="CD631" s="104"/>
      <c r="CE631" s="104"/>
      <c r="CF631" s="103"/>
      <c r="CG631" s="103"/>
      <c r="CH631" s="103"/>
      <c r="CI631" s="103"/>
      <c r="CJ631" s="103"/>
      <c r="CK631" s="133"/>
      <c r="CL631" s="133"/>
      <c r="CM631" s="133"/>
      <c r="CN631" s="133"/>
      <c r="CO631" s="133"/>
      <c r="CP631" s="133"/>
      <c r="CQ631" s="133"/>
      <c r="CR631" s="133"/>
      <c r="CS631" s="133"/>
      <c r="CT631" s="133"/>
      <c r="CU631" s="133"/>
      <c r="CV631" s="133"/>
      <c r="CW631" s="133"/>
      <c r="CX631" s="133"/>
      <c r="CY631" s="133"/>
      <c r="CZ631" s="133"/>
      <c r="DA631" s="133"/>
      <c r="DB631" s="133"/>
      <c r="DC631" s="133"/>
      <c r="DD631" s="133"/>
      <c r="DE631" s="1"/>
      <c r="DF631" s="53"/>
      <c r="DG631" s="51"/>
      <c r="DJ631" s="52"/>
      <c r="DK631" s="52"/>
      <c r="DL631" s="52"/>
      <c r="DM631" s="52"/>
      <c r="DN631" s="52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P631" s="53"/>
      <c r="EQ631" s="1"/>
      <c r="ER631" s="103"/>
      <c r="ES631" s="103"/>
      <c r="ET631" s="1"/>
      <c r="EU631" s="103"/>
      <c r="EV631" s="1"/>
      <c r="EW631" s="1"/>
      <c r="EX631" s="1"/>
      <c r="EY631" s="104"/>
    </row>
    <row r="632" spans="9:155">
      <c r="I632" s="132"/>
      <c r="J632" s="133"/>
      <c r="K632" s="1"/>
      <c r="L632" s="1"/>
      <c r="Q632" s="1"/>
      <c r="R632" s="1"/>
      <c r="S632" s="103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53"/>
      <c r="AO632" s="103"/>
      <c r="AP632" s="103"/>
      <c r="AQ632" s="103"/>
      <c r="AR632" s="103"/>
      <c r="AS632" s="103"/>
      <c r="AT632" s="31"/>
      <c r="AU632" s="31"/>
      <c r="AV632" s="31"/>
      <c r="AW632" s="146"/>
      <c r="AX632" s="146"/>
      <c r="AY632" s="103"/>
      <c r="AZ632" s="103"/>
      <c r="BA632" s="103"/>
      <c r="BB632" s="103"/>
      <c r="BC632" s="103"/>
      <c r="BD632" s="103"/>
      <c r="BE632" s="104"/>
      <c r="BF632" s="102"/>
      <c r="BG632" s="102"/>
      <c r="BH632" s="102"/>
      <c r="BI632" s="105"/>
      <c r="BJ632" s="152"/>
      <c r="BK632" s="103"/>
      <c r="BL632" s="103"/>
      <c r="BM632" s="103"/>
      <c r="BN632" s="103"/>
      <c r="BO632" s="103"/>
      <c r="BP632" s="103"/>
      <c r="BQ632" s="103"/>
      <c r="BR632" s="103"/>
      <c r="BS632" s="103"/>
      <c r="BT632" s="103"/>
      <c r="BU632" s="103"/>
      <c r="BV632" s="104"/>
      <c r="BW632" s="103"/>
      <c r="BX632" s="104"/>
      <c r="BY632" s="104"/>
      <c r="BZ632" s="104"/>
      <c r="CA632" s="104"/>
      <c r="CB632" s="104"/>
      <c r="CC632" s="104"/>
      <c r="CD632" s="104"/>
      <c r="CE632" s="104"/>
      <c r="CF632" s="103"/>
      <c r="CG632" s="103"/>
      <c r="CH632" s="103"/>
      <c r="CI632" s="103"/>
      <c r="CJ632" s="103"/>
      <c r="CK632" s="133"/>
      <c r="CL632" s="133"/>
      <c r="CM632" s="133"/>
      <c r="CN632" s="133"/>
      <c r="CO632" s="133"/>
      <c r="CP632" s="133"/>
      <c r="CQ632" s="133"/>
      <c r="CR632" s="133"/>
      <c r="CS632" s="133"/>
      <c r="CT632" s="133"/>
      <c r="CU632" s="133"/>
      <c r="CV632" s="133"/>
      <c r="CW632" s="133"/>
      <c r="CX632" s="133"/>
      <c r="CY632" s="133"/>
      <c r="CZ632" s="133"/>
      <c r="DA632" s="133"/>
      <c r="DB632" s="133"/>
      <c r="DC632" s="133"/>
      <c r="DD632" s="133"/>
      <c r="DE632" s="1"/>
      <c r="DF632" s="53"/>
      <c r="DG632" s="51"/>
      <c r="DJ632" s="52"/>
      <c r="DK632" s="52"/>
      <c r="DL632" s="52"/>
      <c r="DM632" s="52"/>
      <c r="DN632" s="52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P632" s="53"/>
      <c r="EQ632" s="1"/>
      <c r="ER632" s="103"/>
      <c r="ES632" s="103"/>
      <c r="ET632" s="1"/>
      <c r="EU632" s="103"/>
      <c r="EV632" s="1"/>
      <c r="EW632" s="1"/>
      <c r="EX632" s="1"/>
      <c r="EY632" s="104"/>
    </row>
    <row r="633" spans="9:155">
      <c r="I633" s="132"/>
      <c r="J633" s="133"/>
      <c r="K633" s="1"/>
      <c r="L633" s="1"/>
      <c r="Q633" s="1"/>
      <c r="R633" s="1"/>
      <c r="S633" s="103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53"/>
      <c r="AO633" s="103"/>
      <c r="AP633" s="103"/>
      <c r="AQ633" s="103"/>
      <c r="AR633" s="103"/>
      <c r="AS633" s="103"/>
      <c r="AT633" s="31"/>
      <c r="AU633" s="31"/>
      <c r="AV633" s="31"/>
      <c r="AW633" s="146"/>
      <c r="AX633" s="146"/>
      <c r="AY633" s="103"/>
      <c r="AZ633" s="103"/>
      <c r="BA633" s="103"/>
      <c r="BB633" s="103"/>
      <c r="BC633" s="103"/>
      <c r="BD633" s="103"/>
      <c r="BE633" s="104"/>
      <c r="BF633" s="102"/>
      <c r="BG633" s="102"/>
      <c r="BH633" s="102"/>
      <c r="BI633" s="105"/>
      <c r="BJ633" s="152"/>
      <c r="BK633" s="103"/>
      <c r="BL633" s="103"/>
      <c r="BM633" s="103"/>
      <c r="BN633" s="103"/>
      <c r="BO633" s="103"/>
      <c r="BP633" s="103"/>
      <c r="BQ633" s="103"/>
      <c r="BR633" s="103"/>
      <c r="BS633" s="103"/>
      <c r="BT633" s="103"/>
      <c r="BU633" s="103"/>
      <c r="BV633" s="104"/>
      <c r="BW633" s="103"/>
      <c r="BX633" s="104"/>
      <c r="BY633" s="104"/>
      <c r="BZ633" s="104"/>
      <c r="CA633" s="104"/>
      <c r="CB633" s="104"/>
      <c r="CC633" s="104"/>
      <c r="CD633" s="104"/>
      <c r="CE633" s="104"/>
      <c r="CF633" s="103"/>
      <c r="CG633" s="103"/>
      <c r="CH633" s="103"/>
      <c r="CI633" s="103"/>
      <c r="CJ633" s="103"/>
      <c r="CK633" s="133"/>
      <c r="CL633" s="133"/>
      <c r="CM633" s="133"/>
      <c r="CN633" s="133"/>
      <c r="CO633" s="133"/>
      <c r="CP633" s="133"/>
      <c r="CQ633" s="133"/>
      <c r="CR633" s="133"/>
      <c r="CS633" s="133"/>
      <c r="CT633" s="133"/>
      <c r="CU633" s="133"/>
      <c r="CV633" s="133"/>
      <c r="CW633" s="133"/>
      <c r="CX633" s="133"/>
      <c r="CY633" s="133"/>
      <c r="CZ633" s="133"/>
      <c r="DA633" s="133"/>
      <c r="DB633" s="133"/>
      <c r="DC633" s="133"/>
      <c r="DD633" s="133"/>
      <c r="DE633" s="1"/>
      <c r="DF633" s="53"/>
      <c r="DG633" s="51"/>
      <c r="DJ633" s="52"/>
      <c r="DK633" s="52"/>
      <c r="DL633" s="52"/>
      <c r="DM633" s="52"/>
      <c r="DN633" s="52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P633" s="53"/>
      <c r="EQ633" s="1"/>
      <c r="ER633" s="103"/>
      <c r="ES633" s="103"/>
      <c r="ET633" s="1"/>
      <c r="EU633" s="103"/>
      <c r="EV633" s="1"/>
      <c r="EW633" s="1"/>
      <c r="EX633" s="1"/>
      <c r="EY633" s="104"/>
    </row>
    <row r="634" spans="9:155">
      <c r="I634" s="132"/>
      <c r="J634" s="133"/>
      <c r="K634" s="1"/>
      <c r="L634" s="1"/>
      <c r="Q634" s="1"/>
      <c r="R634" s="1"/>
      <c r="S634" s="103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53"/>
      <c r="AO634" s="103"/>
      <c r="AP634" s="103"/>
      <c r="AQ634" s="103"/>
      <c r="AR634" s="103"/>
      <c r="AS634" s="103"/>
      <c r="AT634" s="31"/>
      <c r="AU634" s="31"/>
      <c r="AV634" s="31"/>
      <c r="AW634" s="146"/>
      <c r="AX634" s="146"/>
      <c r="AY634" s="103"/>
      <c r="AZ634" s="103"/>
      <c r="BA634" s="103"/>
      <c r="BB634" s="103"/>
      <c r="BC634" s="103"/>
      <c r="BD634" s="103"/>
      <c r="BE634" s="104"/>
      <c r="BF634" s="102"/>
      <c r="BG634" s="102"/>
      <c r="BH634" s="102"/>
      <c r="BI634" s="105"/>
      <c r="BJ634" s="152"/>
      <c r="BK634" s="103"/>
      <c r="BL634" s="103"/>
      <c r="BM634" s="103"/>
      <c r="BN634" s="103"/>
      <c r="BO634" s="103"/>
      <c r="BP634" s="103"/>
      <c r="BQ634" s="103"/>
      <c r="BR634" s="103"/>
      <c r="BS634" s="103"/>
      <c r="BT634" s="103"/>
      <c r="BU634" s="103"/>
      <c r="BV634" s="104"/>
      <c r="BW634" s="103"/>
      <c r="BX634" s="104"/>
      <c r="BY634" s="104"/>
      <c r="BZ634" s="104"/>
      <c r="CA634" s="104"/>
      <c r="CB634" s="104"/>
      <c r="CC634" s="104"/>
      <c r="CD634" s="104"/>
      <c r="CE634" s="104"/>
      <c r="CF634" s="103"/>
      <c r="CG634" s="103"/>
      <c r="CH634" s="103"/>
      <c r="CI634" s="103"/>
      <c r="CJ634" s="103"/>
      <c r="CK634" s="133"/>
      <c r="CL634" s="133"/>
      <c r="CM634" s="133"/>
      <c r="CN634" s="133"/>
      <c r="CO634" s="133"/>
      <c r="CP634" s="133"/>
      <c r="CQ634" s="133"/>
      <c r="CR634" s="133"/>
      <c r="CS634" s="133"/>
      <c r="CT634" s="133"/>
      <c r="CU634" s="133"/>
      <c r="CV634" s="133"/>
      <c r="CW634" s="133"/>
      <c r="CX634" s="133"/>
      <c r="CY634" s="133"/>
      <c r="CZ634" s="133"/>
      <c r="DA634" s="133"/>
      <c r="DB634" s="133"/>
      <c r="DC634" s="133"/>
      <c r="DD634" s="133"/>
      <c r="DE634" s="1"/>
      <c r="DF634" s="53"/>
      <c r="DG634" s="51"/>
      <c r="DJ634" s="52"/>
      <c r="DK634" s="52"/>
      <c r="DL634" s="52"/>
      <c r="DM634" s="52"/>
      <c r="DN634" s="52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P634" s="53"/>
      <c r="EQ634" s="1"/>
      <c r="ER634" s="103"/>
      <c r="ES634" s="103"/>
      <c r="ET634" s="1"/>
      <c r="EU634" s="103"/>
      <c r="EV634" s="1"/>
      <c r="EW634" s="1"/>
      <c r="EX634" s="1"/>
      <c r="EY634" s="104"/>
    </row>
    <row r="635" spans="9:155">
      <c r="I635" s="132"/>
      <c r="J635" s="133"/>
      <c r="K635" s="1"/>
      <c r="L635" s="1"/>
      <c r="Q635" s="1"/>
      <c r="R635" s="1"/>
      <c r="S635" s="103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53"/>
      <c r="AO635" s="103"/>
      <c r="AP635" s="103"/>
      <c r="AQ635" s="103"/>
      <c r="AR635" s="103"/>
      <c r="AS635" s="103"/>
      <c r="AT635" s="31"/>
      <c r="AU635" s="31"/>
      <c r="AV635" s="31"/>
      <c r="AW635" s="146"/>
      <c r="AX635" s="146"/>
      <c r="AY635" s="103"/>
      <c r="AZ635" s="103"/>
      <c r="BA635" s="103"/>
      <c r="BB635" s="103"/>
      <c r="BC635" s="103"/>
      <c r="BD635" s="103"/>
      <c r="BE635" s="104"/>
      <c r="BF635" s="102"/>
      <c r="BG635" s="102"/>
      <c r="BH635" s="102"/>
      <c r="BI635" s="105"/>
      <c r="BJ635" s="152"/>
      <c r="BK635" s="103"/>
      <c r="BL635" s="103"/>
      <c r="BM635" s="103"/>
      <c r="BN635" s="103"/>
      <c r="BO635" s="103"/>
      <c r="BP635" s="103"/>
      <c r="BQ635" s="103"/>
      <c r="BR635" s="103"/>
      <c r="BS635" s="103"/>
      <c r="BT635" s="103"/>
      <c r="BU635" s="103"/>
      <c r="BV635" s="104"/>
      <c r="BW635" s="103"/>
      <c r="BX635" s="104"/>
      <c r="BY635" s="104"/>
      <c r="BZ635" s="104"/>
      <c r="CA635" s="104"/>
      <c r="CB635" s="104"/>
      <c r="CC635" s="104"/>
      <c r="CD635" s="104"/>
      <c r="CE635" s="104"/>
      <c r="CF635" s="103"/>
      <c r="CG635" s="103"/>
      <c r="CH635" s="103"/>
      <c r="CI635" s="103"/>
      <c r="CJ635" s="103"/>
      <c r="CK635" s="133"/>
      <c r="CL635" s="133"/>
      <c r="CM635" s="133"/>
      <c r="CN635" s="133"/>
      <c r="CO635" s="133"/>
      <c r="CP635" s="133"/>
      <c r="CQ635" s="133"/>
      <c r="CR635" s="133"/>
      <c r="CS635" s="133"/>
      <c r="CT635" s="133"/>
      <c r="CU635" s="133"/>
      <c r="CV635" s="133"/>
      <c r="CW635" s="133"/>
      <c r="CX635" s="133"/>
      <c r="CY635" s="133"/>
      <c r="CZ635" s="133"/>
      <c r="DA635" s="133"/>
      <c r="DB635" s="133"/>
      <c r="DC635" s="133"/>
      <c r="DD635" s="133"/>
      <c r="DE635" s="1"/>
      <c r="DF635" s="53"/>
      <c r="DG635" s="51"/>
      <c r="DJ635" s="52"/>
      <c r="DK635" s="52"/>
      <c r="DL635" s="52"/>
      <c r="DM635" s="52"/>
      <c r="DN635" s="52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P635" s="53"/>
      <c r="EQ635" s="1"/>
      <c r="ER635" s="103"/>
      <c r="ES635" s="103"/>
      <c r="ET635" s="1"/>
      <c r="EU635" s="103"/>
      <c r="EV635" s="1"/>
      <c r="EW635" s="1"/>
      <c r="EX635" s="1"/>
      <c r="EY635" s="104"/>
    </row>
    <row r="636" spans="9:155">
      <c r="I636" s="132"/>
      <c r="J636" s="133"/>
      <c r="K636" s="1"/>
      <c r="L636" s="1"/>
      <c r="Q636" s="1"/>
      <c r="R636" s="1"/>
      <c r="S636" s="103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53"/>
      <c r="AO636" s="103"/>
      <c r="AP636" s="103"/>
      <c r="AQ636" s="103"/>
      <c r="AR636" s="103"/>
      <c r="AS636" s="103"/>
      <c r="AT636" s="31"/>
      <c r="AU636" s="31"/>
      <c r="AV636" s="31"/>
      <c r="AW636" s="146"/>
      <c r="AX636" s="146"/>
      <c r="AY636" s="103"/>
      <c r="AZ636" s="103"/>
      <c r="BA636" s="103"/>
      <c r="BB636" s="103"/>
      <c r="BC636" s="103"/>
      <c r="BD636" s="103"/>
      <c r="BE636" s="104"/>
      <c r="BF636" s="102"/>
      <c r="BG636" s="102"/>
      <c r="BH636" s="102"/>
      <c r="BI636" s="105"/>
      <c r="BJ636" s="152"/>
      <c r="BK636" s="103"/>
      <c r="BL636" s="103"/>
      <c r="BM636" s="103"/>
      <c r="BN636" s="103"/>
      <c r="BO636" s="103"/>
      <c r="BP636" s="103"/>
      <c r="BQ636" s="103"/>
      <c r="BR636" s="103"/>
      <c r="BS636" s="103"/>
      <c r="BT636" s="103"/>
      <c r="BU636" s="103"/>
      <c r="BV636" s="104"/>
      <c r="BW636" s="103"/>
      <c r="BX636" s="104"/>
      <c r="BY636" s="104"/>
      <c r="BZ636" s="104"/>
      <c r="CA636" s="104"/>
      <c r="CB636" s="104"/>
      <c r="CC636" s="104"/>
      <c r="CD636" s="104"/>
      <c r="CE636" s="104"/>
      <c r="CF636" s="103"/>
      <c r="CG636" s="103"/>
      <c r="CH636" s="103"/>
      <c r="CI636" s="103"/>
      <c r="CJ636" s="103"/>
      <c r="CK636" s="133"/>
      <c r="CL636" s="133"/>
      <c r="CM636" s="133"/>
      <c r="CN636" s="133"/>
      <c r="CO636" s="133"/>
      <c r="CP636" s="133"/>
      <c r="CQ636" s="133"/>
      <c r="CR636" s="133"/>
      <c r="CS636" s="133"/>
      <c r="CT636" s="133"/>
      <c r="CU636" s="133"/>
      <c r="CV636" s="133"/>
      <c r="CW636" s="133"/>
      <c r="CX636" s="133"/>
      <c r="CY636" s="133"/>
      <c r="CZ636" s="133"/>
      <c r="DA636" s="133"/>
      <c r="DB636" s="133"/>
      <c r="DC636" s="133"/>
      <c r="DD636" s="133"/>
      <c r="DE636" s="1"/>
      <c r="DF636" s="53"/>
      <c r="DG636" s="51"/>
      <c r="DJ636" s="52"/>
      <c r="DK636" s="52"/>
      <c r="DL636" s="52"/>
      <c r="DM636" s="52"/>
      <c r="DN636" s="52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P636" s="53"/>
      <c r="EQ636" s="1"/>
      <c r="ER636" s="103"/>
      <c r="ES636" s="103"/>
      <c r="ET636" s="1"/>
      <c r="EU636" s="103"/>
      <c r="EV636" s="1"/>
      <c r="EW636" s="1"/>
      <c r="EX636" s="1"/>
      <c r="EY636" s="104"/>
    </row>
    <row r="637" spans="9:155">
      <c r="I637" s="132"/>
      <c r="J637" s="133"/>
      <c r="K637" s="1"/>
      <c r="L637" s="1"/>
      <c r="Q637" s="1"/>
      <c r="R637" s="1"/>
      <c r="S637" s="103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53"/>
      <c r="AO637" s="103"/>
      <c r="AP637" s="103"/>
      <c r="AQ637" s="103"/>
      <c r="AR637" s="103"/>
      <c r="AS637" s="103"/>
      <c r="AT637" s="31"/>
      <c r="AU637" s="31"/>
      <c r="AV637" s="31"/>
      <c r="AW637" s="146"/>
      <c r="AX637" s="146"/>
      <c r="AY637" s="103"/>
      <c r="AZ637" s="103"/>
      <c r="BA637" s="103"/>
      <c r="BB637" s="103"/>
      <c r="BC637" s="103"/>
      <c r="BD637" s="103"/>
      <c r="BE637" s="104"/>
      <c r="BF637" s="102"/>
      <c r="BG637" s="102"/>
      <c r="BH637" s="102"/>
      <c r="BI637" s="105"/>
      <c r="BJ637" s="152"/>
      <c r="BK637" s="103"/>
      <c r="BL637" s="103"/>
      <c r="BM637" s="103"/>
      <c r="BN637" s="103"/>
      <c r="BO637" s="103"/>
      <c r="BP637" s="103"/>
      <c r="BQ637" s="103"/>
      <c r="BR637" s="103"/>
      <c r="BS637" s="103"/>
      <c r="BT637" s="103"/>
      <c r="BU637" s="103"/>
      <c r="BV637" s="104"/>
      <c r="BW637" s="103"/>
      <c r="BX637" s="104"/>
      <c r="BY637" s="104"/>
      <c r="BZ637" s="104"/>
      <c r="CA637" s="104"/>
      <c r="CB637" s="104"/>
      <c r="CC637" s="104"/>
      <c r="CD637" s="104"/>
      <c r="CE637" s="104"/>
      <c r="CF637" s="103"/>
      <c r="CG637" s="103"/>
      <c r="CH637" s="103"/>
      <c r="CI637" s="103"/>
      <c r="CJ637" s="103"/>
      <c r="CK637" s="133"/>
      <c r="CL637" s="133"/>
      <c r="CM637" s="133"/>
      <c r="CN637" s="133"/>
      <c r="CO637" s="133"/>
      <c r="CP637" s="133"/>
      <c r="CQ637" s="133"/>
      <c r="CR637" s="133"/>
      <c r="CS637" s="133"/>
      <c r="CT637" s="133"/>
      <c r="CU637" s="133"/>
      <c r="CV637" s="133"/>
      <c r="CW637" s="133"/>
      <c r="CX637" s="133"/>
      <c r="CY637" s="133"/>
      <c r="CZ637" s="133"/>
      <c r="DA637" s="133"/>
      <c r="DB637" s="133"/>
      <c r="DC637" s="133"/>
      <c r="DD637" s="133"/>
      <c r="DE637" s="1"/>
      <c r="DF637" s="53"/>
      <c r="DG637" s="51"/>
      <c r="DJ637" s="52"/>
      <c r="DK637" s="52"/>
      <c r="DL637" s="52"/>
      <c r="DM637" s="52"/>
      <c r="DN637" s="52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P637" s="53"/>
      <c r="EQ637" s="1"/>
      <c r="ER637" s="103"/>
      <c r="ES637" s="103"/>
      <c r="ET637" s="1"/>
      <c r="EU637" s="103"/>
      <c r="EV637" s="1"/>
      <c r="EW637" s="1"/>
      <c r="EX637" s="1"/>
      <c r="EY637" s="104"/>
    </row>
    <row r="638" spans="9:155">
      <c r="I638" s="132"/>
      <c r="J638" s="133"/>
      <c r="K638" s="1"/>
      <c r="L638" s="1"/>
      <c r="Q638" s="1"/>
      <c r="R638" s="1"/>
      <c r="S638" s="103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53"/>
      <c r="AO638" s="103"/>
      <c r="AP638" s="103"/>
      <c r="AQ638" s="103"/>
      <c r="AR638" s="103"/>
      <c r="AS638" s="103"/>
      <c r="AT638" s="31"/>
      <c r="AU638" s="31"/>
      <c r="AV638" s="31"/>
      <c r="AW638" s="146"/>
      <c r="AX638" s="146"/>
      <c r="AY638" s="103"/>
      <c r="AZ638" s="103"/>
      <c r="BA638" s="103"/>
      <c r="BB638" s="103"/>
      <c r="BC638" s="103"/>
      <c r="BD638" s="103"/>
      <c r="BE638" s="104"/>
      <c r="BF638" s="102"/>
      <c r="BG638" s="102"/>
      <c r="BH638" s="102"/>
      <c r="BI638" s="105"/>
      <c r="BJ638" s="152"/>
      <c r="BK638" s="103"/>
      <c r="BL638" s="103"/>
      <c r="BM638" s="103"/>
      <c r="BN638" s="103"/>
      <c r="BO638" s="103"/>
      <c r="BP638" s="103"/>
      <c r="BQ638" s="103"/>
      <c r="BR638" s="103"/>
      <c r="BS638" s="103"/>
      <c r="BT638" s="103"/>
      <c r="BU638" s="103"/>
      <c r="BV638" s="104"/>
      <c r="BW638" s="103"/>
      <c r="BX638" s="104"/>
      <c r="BY638" s="104"/>
      <c r="BZ638" s="104"/>
      <c r="CA638" s="104"/>
      <c r="CB638" s="104"/>
      <c r="CC638" s="104"/>
      <c r="CD638" s="104"/>
      <c r="CE638" s="104"/>
      <c r="CF638" s="103"/>
      <c r="CG638" s="103"/>
      <c r="CH638" s="103"/>
      <c r="CI638" s="103"/>
      <c r="CJ638" s="103"/>
      <c r="CK638" s="133"/>
      <c r="CL638" s="133"/>
      <c r="CM638" s="133"/>
      <c r="CN638" s="133"/>
      <c r="CO638" s="133"/>
      <c r="CP638" s="133"/>
      <c r="CQ638" s="133"/>
      <c r="CR638" s="133"/>
      <c r="CS638" s="133"/>
      <c r="CT638" s="133"/>
      <c r="CU638" s="133"/>
      <c r="CV638" s="133"/>
      <c r="CW638" s="133"/>
      <c r="CX638" s="133"/>
      <c r="CY638" s="133"/>
      <c r="CZ638" s="133"/>
      <c r="DA638" s="133"/>
      <c r="DB638" s="133"/>
      <c r="DC638" s="133"/>
      <c r="DD638" s="133"/>
      <c r="DE638" s="1"/>
      <c r="DF638" s="53"/>
      <c r="DG638" s="51"/>
      <c r="DJ638" s="52"/>
      <c r="DK638" s="52"/>
      <c r="DL638" s="52"/>
      <c r="DM638" s="52"/>
      <c r="DN638" s="52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P638" s="53"/>
      <c r="EQ638" s="1"/>
      <c r="ER638" s="103"/>
      <c r="ES638" s="103"/>
      <c r="ET638" s="1"/>
      <c r="EU638" s="103"/>
      <c r="EV638" s="1"/>
      <c r="EW638" s="1"/>
      <c r="EX638" s="1"/>
      <c r="EY638" s="104"/>
    </row>
    <row r="639" spans="9:155">
      <c r="I639" s="132"/>
      <c r="J639" s="133"/>
      <c r="K639" s="1"/>
      <c r="L639" s="1"/>
      <c r="Q639" s="1"/>
      <c r="R639" s="1"/>
      <c r="S639" s="103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53"/>
      <c r="AO639" s="103"/>
      <c r="AP639" s="103"/>
      <c r="AQ639" s="103"/>
      <c r="AR639" s="103"/>
      <c r="AS639" s="103"/>
      <c r="AT639" s="31"/>
      <c r="AU639" s="31"/>
      <c r="AV639" s="31"/>
      <c r="AW639" s="146"/>
      <c r="AX639" s="146"/>
      <c r="AY639" s="103"/>
      <c r="AZ639" s="103"/>
      <c r="BA639" s="103"/>
      <c r="BB639" s="103"/>
      <c r="BC639" s="103"/>
      <c r="BD639" s="103"/>
      <c r="BE639" s="104"/>
      <c r="BF639" s="102"/>
      <c r="BG639" s="102"/>
      <c r="BH639" s="102"/>
      <c r="BI639" s="105"/>
      <c r="BJ639" s="152"/>
      <c r="BK639" s="103"/>
      <c r="BL639" s="103"/>
      <c r="BM639" s="103"/>
      <c r="BN639" s="103"/>
      <c r="BO639" s="103"/>
      <c r="BP639" s="103"/>
      <c r="BQ639" s="103"/>
      <c r="BR639" s="103"/>
      <c r="BS639" s="103"/>
      <c r="BT639" s="103"/>
      <c r="BU639" s="103"/>
      <c r="BV639" s="104"/>
      <c r="BW639" s="103"/>
      <c r="BX639" s="104"/>
      <c r="BY639" s="104"/>
      <c r="BZ639" s="104"/>
      <c r="CA639" s="104"/>
      <c r="CB639" s="104"/>
      <c r="CC639" s="104"/>
      <c r="CD639" s="104"/>
      <c r="CE639" s="104"/>
      <c r="CF639" s="103"/>
      <c r="CG639" s="103"/>
      <c r="CH639" s="103"/>
      <c r="CI639" s="103"/>
      <c r="CJ639" s="103"/>
      <c r="CK639" s="133"/>
      <c r="CL639" s="133"/>
      <c r="CM639" s="133"/>
      <c r="CN639" s="133"/>
      <c r="CO639" s="133"/>
      <c r="CP639" s="133"/>
      <c r="CQ639" s="133"/>
      <c r="CR639" s="133"/>
      <c r="CS639" s="133"/>
      <c r="CT639" s="133"/>
      <c r="CU639" s="133"/>
      <c r="CV639" s="133"/>
      <c r="CW639" s="133"/>
      <c r="CX639" s="133"/>
      <c r="CY639" s="133"/>
      <c r="CZ639" s="133"/>
      <c r="DA639" s="133"/>
      <c r="DB639" s="133"/>
      <c r="DC639" s="133"/>
      <c r="DD639" s="133"/>
      <c r="DE639" s="1"/>
      <c r="DF639" s="53"/>
      <c r="DG639" s="51"/>
      <c r="DJ639" s="52"/>
      <c r="DK639" s="52"/>
      <c r="DL639" s="52"/>
      <c r="DM639" s="52"/>
      <c r="DN639" s="52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P639" s="53"/>
      <c r="EQ639" s="1"/>
      <c r="ER639" s="103"/>
      <c r="ES639" s="103"/>
      <c r="ET639" s="1"/>
      <c r="EU639" s="103"/>
      <c r="EV639" s="1"/>
      <c r="EW639" s="1"/>
      <c r="EX639" s="1"/>
      <c r="EY639" s="104"/>
    </row>
    <row r="640" spans="9:155">
      <c r="I640" s="132"/>
      <c r="J640" s="133"/>
      <c r="K640" s="1"/>
      <c r="L640" s="1"/>
      <c r="Q640" s="1"/>
      <c r="R640" s="1"/>
      <c r="S640" s="103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53"/>
      <c r="AO640" s="103"/>
      <c r="AP640" s="103"/>
      <c r="AQ640" s="103"/>
      <c r="AR640" s="103"/>
      <c r="AS640" s="103"/>
      <c r="AT640" s="31"/>
      <c r="AU640" s="31"/>
      <c r="AV640" s="31"/>
      <c r="AW640" s="146"/>
      <c r="AX640" s="146"/>
      <c r="AY640" s="103"/>
      <c r="AZ640" s="103"/>
      <c r="BA640" s="103"/>
      <c r="BB640" s="103"/>
      <c r="BC640" s="103"/>
      <c r="BD640" s="103"/>
      <c r="BE640" s="104"/>
      <c r="BF640" s="102"/>
      <c r="BG640" s="102"/>
      <c r="BH640" s="102"/>
      <c r="BI640" s="105"/>
      <c r="BJ640" s="152"/>
      <c r="BK640" s="103"/>
      <c r="BL640" s="103"/>
      <c r="BM640" s="103"/>
      <c r="BN640" s="103"/>
      <c r="BO640" s="103"/>
      <c r="BP640" s="103"/>
      <c r="BQ640" s="103"/>
      <c r="BR640" s="103"/>
      <c r="BS640" s="103"/>
      <c r="BT640" s="103"/>
      <c r="BU640" s="103"/>
      <c r="BV640" s="104"/>
      <c r="BW640" s="103"/>
      <c r="BX640" s="104"/>
      <c r="BY640" s="104"/>
      <c r="BZ640" s="104"/>
      <c r="CA640" s="104"/>
      <c r="CB640" s="104"/>
      <c r="CC640" s="104"/>
      <c r="CD640" s="104"/>
      <c r="CE640" s="104"/>
      <c r="CF640" s="103"/>
      <c r="CG640" s="103"/>
      <c r="CH640" s="103"/>
      <c r="CI640" s="103"/>
      <c r="CJ640" s="103"/>
      <c r="CK640" s="133"/>
      <c r="CL640" s="133"/>
      <c r="CM640" s="133"/>
      <c r="CN640" s="133"/>
      <c r="CO640" s="133"/>
      <c r="CP640" s="133"/>
      <c r="CQ640" s="133"/>
      <c r="CR640" s="133"/>
      <c r="CS640" s="133"/>
      <c r="CT640" s="133"/>
      <c r="CU640" s="133"/>
      <c r="CV640" s="133"/>
      <c r="CW640" s="133"/>
      <c r="CX640" s="133"/>
      <c r="CY640" s="133"/>
      <c r="CZ640" s="133"/>
      <c r="DA640" s="133"/>
      <c r="DB640" s="133"/>
      <c r="DC640" s="133"/>
      <c r="DD640" s="133"/>
      <c r="DE640" s="1"/>
      <c r="DF640" s="53"/>
      <c r="DG640" s="51"/>
      <c r="DJ640" s="52"/>
      <c r="DK640" s="52"/>
      <c r="DL640" s="52"/>
      <c r="DM640" s="52"/>
      <c r="DN640" s="52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P640" s="53"/>
      <c r="EQ640" s="1"/>
      <c r="ER640" s="103"/>
      <c r="ES640" s="103"/>
      <c r="ET640" s="1"/>
      <c r="EU640" s="103"/>
      <c r="EV640" s="1"/>
      <c r="EW640" s="1"/>
      <c r="EX640" s="1"/>
      <c r="EY640" s="104"/>
    </row>
    <row r="641" spans="9:155">
      <c r="I641" s="132"/>
      <c r="J641" s="133"/>
      <c r="K641" s="1"/>
      <c r="L641" s="1"/>
      <c r="Q641" s="1"/>
      <c r="R641" s="1"/>
      <c r="S641" s="103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53"/>
      <c r="AO641" s="103"/>
      <c r="AP641" s="103"/>
      <c r="AQ641" s="103"/>
      <c r="AR641" s="103"/>
      <c r="AS641" s="103"/>
      <c r="AT641" s="31"/>
      <c r="AU641" s="31"/>
      <c r="AV641" s="31"/>
      <c r="AW641" s="146"/>
      <c r="AX641" s="146"/>
      <c r="AY641" s="103"/>
      <c r="AZ641" s="103"/>
      <c r="BA641" s="103"/>
      <c r="BB641" s="103"/>
      <c r="BC641" s="103"/>
      <c r="BD641" s="103"/>
      <c r="BE641" s="104"/>
      <c r="BF641" s="102"/>
      <c r="BG641" s="102"/>
      <c r="BH641" s="102"/>
      <c r="BI641" s="105"/>
      <c r="BJ641" s="152"/>
      <c r="BK641" s="103"/>
      <c r="BL641" s="103"/>
      <c r="BM641" s="103"/>
      <c r="BN641" s="103"/>
      <c r="BO641" s="103"/>
      <c r="BP641" s="103"/>
      <c r="BQ641" s="103"/>
      <c r="BR641" s="103"/>
      <c r="BS641" s="103"/>
      <c r="BT641" s="103"/>
      <c r="BU641" s="103"/>
      <c r="BV641" s="104"/>
      <c r="BW641" s="103"/>
      <c r="BX641" s="104"/>
      <c r="BY641" s="104"/>
      <c r="BZ641" s="104"/>
      <c r="CA641" s="104"/>
      <c r="CB641" s="104"/>
      <c r="CC641" s="104"/>
      <c r="CD641" s="104"/>
      <c r="CE641" s="104"/>
      <c r="CF641" s="103"/>
      <c r="CG641" s="103"/>
      <c r="CH641" s="103"/>
      <c r="CI641" s="103"/>
      <c r="CJ641" s="103"/>
      <c r="CK641" s="133"/>
      <c r="CL641" s="133"/>
      <c r="CM641" s="133"/>
      <c r="CN641" s="133"/>
      <c r="CO641" s="133"/>
      <c r="CP641" s="133"/>
      <c r="CQ641" s="133"/>
      <c r="CR641" s="133"/>
      <c r="CS641" s="133"/>
      <c r="CT641" s="133"/>
      <c r="CU641" s="133"/>
      <c r="CV641" s="133"/>
      <c r="CW641" s="133"/>
      <c r="CX641" s="133"/>
      <c r="CY641" s="133"/>
      <c r="CZ641" s="133"/>
      <c r="DA641" s="133"/>
      <c r="DB641" s="133"/>
      <c r="DC641" s="133"/>
      <c r="DD641" s="133"/>
      <c r="DE641" s="1"/>
      <c r="DF641" s="53"/>
      <c r="DG641" s="51"/>
      <c r="DJ641" s="52"/>
      <c r="DK641" s="52"/>
      <c r="DL641" s="52"/>
      <c r="DM641" s="52"/>
      <c r="DN641" s="52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P641" s="53"/>
      <c r="EQ641" s="1"/>
      <c r="ER641" s="103"/>
      <c r="ES641" s="103"/>
      <c r="ET641" s="1"/>
      <c r="EU641" s="103"/>
      <c r="EV641" s="1"/>
      <c r="EW641" s="1"/>
      <c r="EX641" s="1"/>
      <c r="EY641" s="104"/>
    </row>
    <row r="642" spans="9:155">
      <c r="I642" s="132"/>
      <c r="J642" s="133"/>
      <c r="K642" s="1"/>
      <c r="L642" s="1"/>
      <c r="Q642" s="1"/>
      <c r="R642" s="1"/>
      <c r="S642" s="103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53"/>
      <c r="AO642" s="103"/>
      <c r="AP642" s="103"/>
      <c r="AQ642" s="103"/>
      <c r="AR642" s="103"/>
      <c r="AS642" s="103"/>
      <c r="AT642" s="31"/>
      <c r="AU642" s="31"/>
      <c r="AV642" s="31"/>
      <c r="AW642" s="146"/>
      <c r="AX642" s="146"/>
      <c r="AY642" s="103"/>
      <c r="AZ642" s="103"/>
      <c r="BA642" s="103"/>
      <c r="BB642" s="103"/>
      <c r="BC642" s="103"/>
      <c r="BD642" s="103"/>
      <c r="BE642" s="104"/>
      <c r="BF642" s="102"/>
      <c r="BG642" s="102"/>
      <c r="BH642" s="102"/>
      <c r="BI642" s="105"/>
      <c r="BJ642" s="152"/>
      <c r="BK642" s="103"/>
      <c r="BL642" s="103"/>
      <c r="BM642" s="103"/>
      <c r="BN642" s="103"/>
      <c r="BO642" s="103"/>
      <c r="BP642" s="103"/>
      <c r="BQ642" s="103"/>
      <c r="BR642" s="103"/>
      <c r="BS642" s="103"/>
      <c r="BT642" s="103"/>
      <c r="BU642" s="103"/>
      <c r="BV642" s="104"/>
      <c r="BW642" s="103"/>
      <c r="BX642" s="104"/>
      <c r="BY642" s="104"/>
      <c r="BZ642" s="104"/>
      <c r="CA642" s="104"/>
      <c r="CB642" s="104"/>
      <c r="CC642" s="104"/>
      <c r="CD642" s="104"/>
      <c r="CE642" s="104"/>
      <c r="CF642" s="103"/>
      <c r="CG642" s="103"/>
      <c r="CH642" s="103"/>
      <c r="CI642" s="103"/>
      <c r="CJ642" s="103"/>
      <c r="CK642" s="133"/>
      <c r="CL642" s="133"/>
      <c r="CM642" s="133"/>
      <c r="CN642" s="133"/>
      <c r="CO642" s="133"/>
      <c r="CP642" s="133"/>
      <c r="CQ642" s="133"/>
      <c r="CR642" s="133"/>
      <c r="CS642" s="133"/>
      <c r="CT642" s="133"/>
      <c r="CU642" s="133"/>
      <c r="CV642" s="133"/>
      <c r="CW642" s="133"/>
      <c r="CX642" s="133"/>
      <c r="CY642" s="133"/>
      <c r="CZ642" s="133"/>
      <c r="DA642" s="133"/>
      <c r="DB642" s="133"/>
      <c r="DC642" s="133"/>
      <c r="DD642" s="133"/>
      <c r="DE642" s="1"/>
      <c r="DF642" s="53"/>
      <c r="DG642" s="51"/>
      <c r="DJ642" s="52"/>
      <c r="DK642" s="52"/>
      <c r="DL642" s="52"/>
      <c r="DM642" s="52"/>
      <c r="DN642" s="52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P642" s="53"/>
      <c r="EQ642" s="1"/>
      <c r="ER642" s="103"/>
      <c r="ES642" s="103"/>
      <c r="ET642" s="1"/>
      <c r="EU642" s="103"/>
      <c r="EV642" s="1"/>
      <c r="EW642" s="1"/>
      <c r="EX642" s="1"/>
      <c r="EY642" s="104"/>
    </row>
    <row r="643" spans="9:155">
      <c r="I643" s="132"/>
      <c r="J643" s="133"/>
      <c r="K643" s="1"/>
      <c r="L643" s="1"/>
      <c r="Q643" s="1"/>
      <c r="R643" s="1"/>
      <c r="S643" s="103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53"/>
      <c r="AO643" s="103"/>
      <c r="AP643" s="103"/>
      <c r="AQ643" s="103"/>
      <c r="AR643" s="103"/>
      <c r="AS643" s="103"/>
      <c r="AT643" s="31"/>
      <c r="AU643" s="31"/>
      <c r="AV643" s="31"/>
      <c r="AW643" s="146"/>
      <c r="AX643" s="146"/>
      <c r="AY643" s="103"/>
      <c r="AZ643" s="103"/>
      <c r="BA643" s="103"/>
      <c r="BB643" s="103"/>
      <c r="BC643" s="103"/>
      <c r="BD643" s="103"/>
      <c r="BE643" s="104"/>
      <c r="BF643" s="102"/>
      <c r="BG643" s="102"/>
      <c r="BH643" s="102"/>
      <c r="BI643" s="105"/>
      <c r="BJ643" s="152"/>
      <c r="BK643" s="103"/>
      <c r="BL643" s="103"/>
      <c r="BM643" s="103"/>
      <c r="BN643" s="103"/>
      <c r="BO643" s="103"/>
      <c r="BP643" s="103"/>
      <c r="BQ643" s="103"/>
      <c r="BR643" s="103"/>
      <c r="BS643" s="103"/>
      <c r="BT643" s="103"/>
      <c r="BU643" s="103"/>
      <c r="BV643" s="104"/>
      <c r="BW643" s="103"/>
      <c r="BX643" s="104"/>
      <c r="BY643" s="104"/>
      <c r="BZ643" s="104"/>
      <c r="CA643" s="104"/>
      <c r="CB643" s="104"/>
      <c r="CC643" s="104"/>
      <c r="CD643" s="104"/>
      <c r="CE643" s="104"/>
      <c r="CF643" s="103"/>
      <c r="CG643" s="103"/>
      <c r="CH643" s="103"/>
      <c r="CI643" s="103"/>
      <c r="CJ643" s="103"/>
      <c r="CK643" s="133"/>
      <c r="CL643" s="133"/>
      <c r="CM643" s="133"/>
      <c r="CN643" s="133"/>
      <c r="CO643" s="133"/>
      <c r="CP643" s="133"/>
      <c r="CQ643" s="133"/>
      <c r="CR643" s="133"/>
      <c r="CS643" s="133"/>
      <c r="CT643" s="133"/>
      <c r="CU643" s="133"/>
      <c r="CV643" s="133"/>
      <c r="CW643" s="133"/>
      <c r="CX643" s="133"/>
      <c r="CY643" s="133"/>
      <c r="CZ643" s="133"/>
      <c r="DA643" s="133"/>
      <c r="DB643" s="133"/>
      <c r="DC643" s="133"/>
      <c r="DD643" s="133"/>
      <c r="DE643" s="1"/>
      <c r="DF643" s="53"/>
      <c r="DG643" s="51"/>
      <c r="DJ643" s="52"/>
      <c r="DK643" s="52"/>
      <c r="DL643" s="52"/>
      <c r="DM643" s="52"/>
      <c r="DN643" s="52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P643" s="53"/>
      <c r="EQ643" s="1"/>
      <c r="ER643" s="103"/>
      <c r="ES643" s="103"/>
      <c r="ET643" s="1"/>
      <c r="EU643" s="103"/>
      <c r="EV643" s="1"/>
      <c r="EW643" s="1"/>
      <c r="EX643" s="1"/>
      <c r="EY643" s="104"/>
    </row>
    <row r="644" spans="9:155">
      <c r="I644" s="132"/>
      <c r="J644" s="133"/>
      <c r="K644" s="1"/>
      <c r="L644" s="1"/>
      <c r="Q644" s="1"/>
      <c r="R644" s="1"/>
      <c r="S644" s="103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53"/>
      <c r="AO644" s="103"/>
      <c r="AP644" s="103"/>
      <c r="AQ644" s="103"/>
      <c r="AR644" s="103"/>
      <c r="AS644" s="103"/>
      <c r="AT644" s="31"/>
      <c r="AU644" s="31"/>
      <c r="AV644" s="31"/>
      <c r="AW644" s="146"/>
      <c r="AX644" s="146"/>
      <c r="AY644" s="103"/>
      <c r="AZ644" s="103"/>
      <c r="BA644" s="103"/>
      <c r="BB644" s="103"/>
      <c r="BC644" s="103"/>
      <c r="BD644" s="103"/>
      <c r="BE644" s="104"/>
      <c r="BF644" s="102"/>
      <c r="BG644" s="102"/>
      <c r="BH644" s="102"/>
      <c r="BI644" s="105"/>
      <c r="BJ644" s="152"/>
      <c r="BK644" s="103"/>
      <c r="BL644" s="103"/>
      <c r="BM644" s="103"/>
      <c r="BN644" s="103"/>
      <c r="BO644" s="103"/>
      <c r="BP644" s="103"/>
      <c r="BQ644" s="103"/>
      <c r="BR644" s="103"/>
      <c r="BS644" s="103"/>
      <c r="BT644" s="103"/>
      <c r="BU644" s="103"/>
      <c r="BV644" s="104"/>
      <c r="BW644" s="103"/>
      <c r="BX644" s="104"/>
      <c r="BY644" s="104"/>
      <c r="BZ644" s="104"/>
      <c r="CA644" s="104"/>
      <c r="CB644" s="104"/>
      <c r="CC644" s="104"/>
      <c r="CD644" s="104"/>
      <c r="CE644" s="104"/>
      <c r="CF644" s="103"/>
      <c r="CG644" s="103"/>
      <c r="CH644" s="103"/>
      <c r="CI644" s="103"/>
      <c r="CJ644" s="103"/>
      <c r="CK644" s="133"/>
      <c r="CL644" s="133"/>
      <c r="CM644" s="133"/>
      <c r="CN644" s="133"/>
      <c r="CO644" s="133"/>
      <c r="CP644" s="133"/>
      <c r="CQ644" s="133"/>
      <c r="CR644" s="133"/>
      <c r="CS644" s="133"/>
      <c r="CT644" s="133"/>
      <c r="CU644" s="133"/>
      <c r="CV644" s="133"/>
      <c r="CW644" s="133"/>
      <c r="CX644" s="133"/>
      <c r="CY644" s="133"/>
      <c r="CZ644" s="133"/>
      <c r="DA644" s="133"/>
      <c r="DB644" s="133"/>
      <c r="DC644" s="133"/>
      <c r="DD644" s="133"/>
      <c r="DE644" s="1"/>
      <c r="DF644" s="53"/>
      <c r="DG644" s="51"/>
      <c r="DJ644" s="52"/>
      <c r="DK644" s="52"/>
      <c r="DL644" s="52"/>
      <c r="DM644" s="52"/>
      <c r="DN644" s="52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P644" s="53"/>
      <c r="EQ644" s="1"/>
      <c r="ER644" s="103"/>
      <c r="ES644" s="103"/>
      <c r="ET644" s="1"/>
      <c r="EU644" s="103"/>
      <c r="EV644" s="1"/>
      <c r="EW644" s="1"/>
      <c r="EX644" s="1"/>
      <c r="EY644" s="104"/>
    </row>
    <row r="645" spans="9:155">
      <c r="I645" s="132"/>
      <c r="J645" s="133"/>
      <c r="K645" s="1"/>
      <c r="L645" s="1"/>
      <c r="Q645" s="1"/>
      <c r="R645" s="1"/>
      <c r="S645" s="103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53"/>
      <c r="AO645" s="103"/>
      <c r="AP645" s="103"/>
      <c r="AQ645" s="103"/>
      <c r="AR645" s="103"/>
      <c r="AS645" s="103"/>
      <c r="AT645" s="31"/>
      <c r="AU645" s="31"/>
      <c r="AV645" s="31"/>
      <c r="AW645" s="146"/>
      <c r="AX645" s="146"/>
      <c r="AY645" s="103"/>
      <c r="AZ645" s="103"/>
      <c r="BA645" s="103"/>
      <c r="BB645" s="103"/>
      <c r="BC645" s="103"/>
      <c r="BD645" s="103"/>
      <c r="BE645" s="104"/>
      <c r="BF645" s="102"/>
      <c r="BG645" s="102"/>
      <c r="BH645" s="102"/>
      <c r="BI645" s="105"/>
      <c r="BJ645" s="152"/>
      <c r="BK645" s="103"/>
      <c r="BL645" s="103"/>
      <c r="BM645" s="103"/>
      <c r="BN645" s="103"/>
      <c r="BO645" s="103"/>
      <c r="BP645" s="103"/>
      <c r="BQ645" s="103"/>
      <c r="BR645" s="103"/>
      <c r="BS645" s="103"/>
      <c r="BT645" s="103"/>
      <c r="BU645" s="103"/>
      <c r="BV645" s="104"/>
      <c r="BW645" s="103"/>
      <c r="BX645" s="104"/>
      <c r="BY645" s="104"/>
      <c r="BZ645" s="104"/>
      <c r="CA645" s="104"/>
      <c r="CB645" s="104"/>
      <c r="CC645" s="104"/>
      <c r="CD645" s="104"/>
      <c r="CE645" s="104"/>
      <c r="CF645" s="103"/>
      <c r="CG645" s="103"/>
      <c r="CH645" s="103"/>
      <c r="CI645" s="103"/>
      <c r="CJ645" s="103"/>
      <c r="CK645" s="133"/>
      <c r="CL645" s="133"/>
      <c r="CM645" s="133"/>
      <c r="CN645" s="133"/>
      <c r="CO645" s="133"/>
      <c r="CP645" s="133"/>
      <c r="CQ645" s="133"/>
      <c r="CR645" s="133"/>
      <c r="CS645" s="133"/>
      <c r="CT645" s="133"/>
      <c r="CU645" s="133"/>
      <c r="CV645" s="133"/>
      <c r="CW645" s="133"/>
      <c r="CX645" s="133"/>
      <c r="CY645" s="133"/>
      <c r="CZ645" s="133"/>
      <c r="DA645" s="133"/>
      <c r="DB645" s="133"/>
      <c r="DC645" s="133"/>
      <c r="DD645" s="133"/>
      <c r="DE645" s="1"/>
      <c r="DF645" s="53"/>
      <c r="DG645" s="51"/>
      <c r="DJ645" s="52"/>
      <c r="DK645" s="52"/>
      <c r="DL645" s="52"/>
      <c r="DM645" s="52"/>
      <c r="DN645" s="52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P645" s="53"/>
      <c r="EQ645" s="1"/>
      <c r="ER645" s="103"/>
      <c r="ES645" s="103"/>
      <c r="ET645" s="1"/>
      <c r="EU645" s="103"/>
      <c r="EV645" s="1"/>
      <c r="EW645" s="1"/>
      <c r="EX645" s="1"/>
      <c r="EY645" s="104"/>
    </row>
    <row r="646" spans="9:155">
      <c r="I646" s="132"/>
      <c r="J646" s="133"/>
      <c r="K646" s="1"/>
      <c r="L646" s="1"/>
      <c r="Q646" s="1"/>
      <c r="R646" s="1"/>
      <c r="S646" s="103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53"/>
      <c r="AO646" s="103"/>
      <c r="AP646" s="103"/>
      <c r="AQ646" s="103"/>
      <c r="AR646" s="103"/>
      <c r="AS646" s="103"/>
      <c r="AT646" s="31"/>
      <c r="AU646" s="31"/>
      <c r="AV646" s="31"/>
      <c r="AW646" s="146"/>
      <c r="AX646" s="146"/>
      <c r="AY646" s="103"/>
      <c r="AZ646" s="103"/>
      <c r="BA646" s="103"/>
      <c r="BB646" s="103"/>
      <c r="BC646" s="103"/>
      <c r="BD646" s="103"/>
      <c r="BE646" s="104"/>
      <c r="BF646" s="102"/>
      <c r="BG646" s="102"/>
      <c r="BH646" s="102"/>
      <c r="BI646" s="105"/>
      <c r="BJ646" s="152"/>
      <c r="BK646" s="103"/>
      <c r="BL646" s="103"/>
      <c r="BM646" s="103"/>
      <c r="BN646" s="103"/>
      <c r="BO646" s="103"/>
      <c r="BP646" s="103"/>
      <c r="BQ646" s="103"/>
      <c r="BR646" s="103"/>
      <c r="BS646" s="103"/>
      <c r="BT646" s="103"/>
      <c r="BU646" s="103"/>
      <c r="BV646" s="104"/>
      <c r="BW646" s="103"/>
      <c r="BX646" s="104"/>
      <c r="BY646" s="104"/>
      <c r="BZ646" s="104"/>
      <c r="CA646" s="104"/>
      <c r="CB646" s="104"/>
      <c r="CC646" s="104"/>
      <c r="CD646" s="104"/>
      <c r="CE646" s="104"/>
      <c r="CF646" s="103"/>
      <c r="CG646" s="103"/>
      <c r="CH646" s="103"/>
      <c r="CI646" s="103"/>
      <c r="CJ646" s="103"/>
      <c r="CK646" s="133"/>
      <c r="CL646" s="133"/>
      <c r="CM646" s="133"/>
      <c r="CN646" s="133"/>
      <c r="CO646" s="133"/>
      <c r="CP646" s="133"/>
      <c r="CQ646" s="133"/>
      <c r="CR646" s="133"/>
      <c r="CS646" s="133"/>
      <c r="CT646" s="133"/>
      <c r="CU646" s="133"/>
      <c r="CV646" s="133"/>
      <c r="CW646" s="133"/>
      <c r="CX646" s="133"/>
      <c r="CY646" s="133"/>
      <c r="CZ646" s="133"/>
      <c r="DA646" s="133"/>
      <c r="DB646" s="133"/>
      <c r="DC646" s="133"/>
      <c r="DD646" s="133"/>
      <c r="DE646" s="1"/>
      <c r="DF646" s="53"/>
      <c r="DG646" s="51"/>
      <c r="DJ646" s="52"/>
      <c r="DK646" s="52"/>
      <c r="DL646" s="52"/>
      <c r="DM646" s="52"/>
      <c r="DN646" s="52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P646" s="53"/>
      <c r="EQ646" s="1"/>
      <c r="ER646" s="103"/>
      <c r="ES646" s="103"/>
      <c r="ET646" s="1"/>
      <c r="EU646" s="103"/>
      <c r="EV646" s="1"/>
      <c r="EW646" s="1"/>
      <c r="EX646" s="1"/>
      <c r="EY646" s="104"/>
    </row>
    <row r="647" spans="9:155">
      <c r="I647" s="132"/>
      <c r="J647" s="133"/>
      <c r="K647" s="1"/>
      <c r="L647" s="1"/>
      <c r="Q647" s="1"/>
      <c r="R647" s="1"/>
      <c r="S647" s="103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53"/>
      <c r="AO647" s="103"/>
      <c r="AP647" s="103"/>
      <c r="AQ647" s="103"/>
      <c r="AR647" s="103"/>
      <c r="AS647" s="103"/>
      <c r="AT647" s="31"/>
      <c r="AU647" s="31"/>
      <c r="AV647" s="31"/>
      <c r="AW647" s="146"/>
      <c r="AX647" s="146"/>
      <c r="AY647" s="103"/>
      <c r="AZ647" s="103"/>
      <c r="BA647" s="103"/>
      <c r="BB647" s="103"/>
      <c r="BC647" s="103"/>
      <c r="BD647" s="103"/>
      <c r="BE647" s="104"/>
      <c r="BF647" s="102"/>
      <c r="BG647" s="102"/>
      <c r="BH647" s="102"/>
      <c r="BI647" s="105"/>
      <c r="BJ647" s="152"/>
      <c r="BK647" s="103"/>
      <c r="BL647" s="103"/>
      <c r="BM647" s="103"/>
      <c r="BN647" s="103"/>
      <c r="BO647" s="103"/>
      <c r="BP647" s="103"/>
      <c r="BQ647" s="103"/>
      <c r="BR647" s="103"/>
      <c r="BS647" s="103"/>
      <c r="BT647" s="103"/>
      <c r="BU647" s="103"/>
      <c r="BV647" s="104"/>
      <c r="BW647" s="103"/>
      <c r="BX647" s="104"/>
      <c r="BY647" s="104"/>
      <c r="BZ647" s="104"/>
      <c r="CA647" s="104"/>
      <c r="CB647" s="104"/>
      <c r="CC647" s="104"/>
      <c r="CD647" s="104"/>
      <c r="CE647" s="104"/>
      <c r="CF647" s="103"/>
      <c r="CG647" s="103"/>
      <c r="CH647" s="103"/>
      <c r="CI647" s="103"/>
      <c r="CJ647" s="103"/>
      <c r="CK647" s="133"/>
      <c r="CL647" s="133"/>
      <c r="CM647" s="133"/>
      <c r="CN647" s="133"/>
      <c r="CO647" s="133"/>
      <c r="CP647" s="133"/>
      <c r="CQ647" s="133"/>
      <c r="CR647" s="133"/>
      <c r="CS647" s="133"/>
      <c r="CT647" s="133"/>
      <c r="CU647" s="133"/>
      <c r="CV647" s="133"/>
      <c r="CW647" s="133"/>
      <c r="CX647" s="133"/>
      <c r="CY647" s="133"/>
      <c r="CZ647" s="133"/>
      <c r="DA647" s="133"/>
      <c r="DB647" s="133"/>
      <c r="DC647" s="133"/>
      <c r="DD647" s="133"/>
      <c r="DE647" s="1"/>
      <c r="DF647" s="53"/>
      <c r="DG647" s="51"/>
      <c r="DJ647" s="52"/>
      <c r="DK647" s="52"/>
      <c r="DL647" s="52"/>
      <c r="DM647" s="52"/>
      <c r="DN647" s="52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P647" s="53"/>
      <c r="EQ647" s="1"/>
      <c r="ER647" s="103"/>
      <c r="ES647" s="103"/>
      <c r="ET647" s="1"/>
      <c r="EU647" s="103"/>
      <c r="EV647" s="1"/>
      <c r="EW647" s="1"/>
      <c r="EX647" s="1"/>
      <c r="EY647" s="104"/>
    </row>
    <row r="648" spans="9:155">
      <c r="I648" s="132"/>
      <c r="J648" s="133"/>
      <c r="K648" s="1"/>
      <c r="L648" s="1"/>
      <c r="Q648" s="1"/>
      <c r="R648" s="1"/>
      <c r="S648" s="103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53"/>
      <c r="AO648" s="103"/>
      <c r="AP648" s="103"/>
      <c r="AQ648" s="103"/>
      <c r="AR648" s="103"/>
      <c r="AS648" s="103"/>
      <c r="AT648" s="31"/>
      <c r="AU648" s="31"/>
      <c r="AV648" s="31"/>
      <c r="AW648" s="146"/>
      <c r="AX648" s="146"/>
      <c r="AY648" s="103"/>
      <c r="AZ648" s="103"/>
      <c r="BA648" s="103"/>
      <c r="BB648" s="103"/>
      <c r="BC648" s="103"/>
      <c r="BD648" s="103"/>
      <c r="BE648" s="104"/>
      <c r="BF648" s="102"/>
      <c r="BG648" s="102"/>
      <c r="BH648" s="102"/>
      <c r="BI648" s="105"/>
      <c r="BJ648" s="152"/>
      <c r="BK648" s="103"/>
      <c r="BL648" s="103"/>
      <c r="BM648" s="103"/>
      <c r="BN648" s="103"/>
      <c r="BO648" s="103"/>
      <c r="BP648" s="103"/>
      <c r="BQ648" s="103"/>
      <c r="BR648" s="103"/>
      <c r="BS648" s="103"/>
      <c r="BT648" s="103"/>
      <c r="BU648" s="103"/>
      <c r="BV648" s="104"/>
      <c r="BW648" s="103"/>
      <c r="BX648" s="104"/>
      <c r="BY648" s="104"/>
      <c r="BZ648" s="104"/>
      <c r="CA648" s="104"/>
      <c r="CB648" s="104"/>
      <c r="CC648" s="104"/>
      <c r="CD648" s="104"/>
      <c r="CE648" s="104"/>
      <c r="CF648" s="103"/>
      <c r="CG648" s="103"/>
      <c r="CH648" s="103"/>
      <c r="CI648" s="103"/>
      <c r="CJ648" s="103"/>
      <c r="CK648" s="133"/>
      <c r="CL648" s="133"/>
      <c r="CM648" s="133"/>
      <c r="CN648" s="133"/>
      <c r="CO648" s="133"/>
      <c r="CP648" s="133"/>
      <c r="CQ648" s="133"/>
      <c r="CR648" s="133"/>
      <c r="CS648" s="133"/>
      <c r="CT648" s="133"/>
      <c r="CU648" s="133"/>
      <c r="CV648" s="133"/>
      <c r="CW648" s="133"/>
      <c r="CX648" s="133"/>
      <c r="CY648" s="133"/>
      <c r="CZ648" s="133"/>
      <c r="DA648" s="133"/>
      <c r="DB648" s="133"/>
      <c r="DC648" s="133"/>
      <c r="DD648" s="133"/>
      <c r="DE648" s="1"/>
      <c r="DF648" s="53"/>
      <c r="DG648" s="51"/>
      <c r="DJ648" s="52"/>
      <c r="DK648" s="52"/>
      <c r="DL648" s="52"/>
      <c r="DM648" s="52"/>
      <c r="DN648" s="52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P648" s="53"/>
      <c r="EQ648" s="1"/>
      <c r="ER648" s="103"/>
      <c r="ES648" s="103"/>
      <c r="ET648" s="1"/>
      <c r="EU648" s="103"/>
      <c r="EV648" s="1"/>
      <c r="EW648" s="1"/>
      <c r="EX648" s="1"/>
      <c r="EY648" s="104"/>
    </row>
    <row r="649" spans="9:155">
      <c r="I649" s="132"/>
      <c r="J649" s="133"/>
      <c r="K649" s="1"/>
      <c r="L649" s="1"/>
      <c r="Q649" s="1"/>
      <c r="R649" s="1"/>
      <c r="S649" s="103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53"/>
      <c r="AO649" s="103"/>
      <c r="AP649" s="103"/>
      <c r="AQ649" s="103"/>
      <c r="AR649" s="103"/>
      <c r="AS649" s="103"/>
      <c r="AT649" s="31"/>
      <c r="AU649" s="31"/>
      <c r="AV649" s="31"/>
      <c r="AW649" s="146"/>
      <c r="AX649" s="146"/>
      <c r="AY649" s="103"/>
      <c r="AZ649" s="103"/>
      <c r="BA649" s="103"/>
      <c r="BB649" s="103"/>
      <c r="BC649" s="103"/>
      <c r="BD649" s="103"/>
      <c r="BE649" s="104"/>
      <c r="BF649" s="102"/>
      <c r="BG649" s="102"/>
      <c r="BH649" s="102"/>
      <c r="BI649" s="105"/>
      <c r="BJ649" s="152"/>
      <c r="BK649" s="103"/>
      <c r="BL649" s="103"/>
      <c r="BM649" s="103"/>
      <c r="BN649" s="103"/>
      <c r="BO649" s="103"/>
      <c r="BP649" s="103"/>
      <c r="BQ649" s="103"/>
      <c r="BR649" s="103"/>
      <c r="BS649" s="103"/>
      <c r="BT649" s="103"/>
      <c r="BU649" s="103"/>
      <c r="BV649" s="104"/>
      <c r="BW649" s="103"/>
      <c r="BX649" s="104"/>
      <c r="BY649" s="104"/>
      <c r="BZ649" s="104"/>
      <c r="CA649" s="104"/>
      <c r="CB649" s="104"/>
      <c r="CC649" s="104"/>
      <c r="CD649" s="104"/>
      <c r="CE649" s="104"/>
      <c r="CF649" s="103"/>
      <c r="CG649" s="103"/>
      <c r="CH649" s="103"/>
      <c r="CI649" s="103"/>
      <c r="CJ649" s="103"/>
      <c r="CK649" s="133"/>
      <c r="CL649" s="133"/>
      <c r="CM649" s="133"/>
      <c r="CN649" s="133"/>
      <c r="CO649" s="133"/>
      <c r="CP649" s="133"/>
      <c r="CQ649" s="133"/>
      <c r="CR649" s="133"/>
      <c r="CS649" s="133"/>
      <c r="CT649" s="133"/>
      <c r="CU649" s="133"/>
      <c r="CV649" s="133"/>
      <c r="CW649" s="133"/>
      <c r="CX649" s="133"/>
      <c r="CY649" s="133"/>
      <c r="CZ649" s="133"/>
      <c r="DA649" s="133"/>
      <c r="DB649" s="133"/>
      <c r="DC649" s="133"/>
      <c r="DD649" s="133"/>
      <c r="DE649" s="1"/>
      <c r="DF649" s="53"/>
      <c r="DG649" s="51"/>
      <c r="DJ649" s="52"/>
      <c r="DK649" s="52"/>
      <c r="DL649" s="52"/>
      <c r="DM649" s="52"/>
      <c r="DN649" s="52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P649" s="53"/>
      <c r="EQ649" s="1"/>
      <c r="ER649" s="103"/>
      <c r="ES649" s="103"/>
      <c r="ET649" s="1"/>
      <c r="EU649" s="103"/>
      <c r="EV649" s="1"/>
      <c r="EW649" s="1"/>
      <c r="EX649" s="1"/>
      <c r="EY649" s="104"/>
    </row>
    <row r="650" spans="9:155">
      <c r="I650" s="132"/>
      <c r="J650" s="133"/>
      <c r="K650" s="1"/>
      <c r="L650" s="1"/>
      <c r="Q650" s="1"/>
      <c r="R650" s="1"/>
      <c r="S650" s="103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53"/>
      <c r="AO650" s="103"/>
      <c r="AP650" s="103"/>
      <c r="AQ650" s="103"/>
      <c r="AR650" s="103"/>
      <c r="AS650" s="103"/>
      <c r="AT650" s="31"/>
      <c r="AU650" s="31"/>
      <c r="AV650" s="31"/>
      <c r="AW650" s="146"/>
      <c r="AX650" s="146"/>
      <c r="AY650" s="103"/>
      <c r="AZ650" s="103"/>
      <c r="BA650" s="103"/>
      <c r="BB650" s="103"/>
      <c r="BC650" s="103"/>
      <c r="BD650" s="103"/>
      <c r="BE650" s="104"/>
      <c r="BF650" s="102"/>
      <c r="BG650" s="102"/>
      <c r="BH650" s="102"/>
      <c r="BI650" s="105"/>
      <c r="BJ650" s="152"/>
      <c r="BK650" s="103"/>
      <c r="BL650" s="103"/>
      <c r="BM650" s="103"/>
      <c r="BN650" s="103"/>
      <c r="BO650" s="103"/>
      <c r="BP650" s="103"/>
      <c r="BQ650" s="103"/>
      <c r="BR650" s="103"/>
      <c r="BS650" s="103"/>
      <c r="BT650" s="103"/>
      <c r="BU650" s="103"/>
      <c r="BV650" s="104"/>
      <c r="BW650" s="103"/>
      <c r="BX650" s="104"/>
      <c r="BY650" s="104"/>
      <c r="BZ650" s="104"/>
      <c r="CA650" s="104"/>
      <c r="CB650" s="104"/>
      <c r="CC650" s="104"/>
      <c r="CD650" s="104"/>
      <c r="CE650" s="104"/>
      <c r="CF650" s="103"/>
      <c r="CG650" s="103"/>
      <c r="CH650" s="103"/>
      <c r="CI650" s="103"/>
      <c r="CJ650" s="103"/>
      <c r="CK650" s="133"/>
      <c r="CL650" s="133"/>
      <c r="CM650" s="133"/>
      <c r="CN650" s="133"/>
      <c r="CO650" s="133"/>
      <c r="CP650" s="133"/>
      <c r="CQ650" s="133"/>
      <c r="CR650" s="133"/>
      <c r="CS650" s="133"/>
      <c r="CT650" s="133"/>
      <c r="CU650" s="133"/>
      <c r="CV650" s="133"/>
      <c r="CW650" s="133"/>
      <c r="CX650" s="133"/>
      <c r="CY650" s="133"/>
      <c r="CZ650" s="133"/>
      <c r="DA650" s="133"/>
      <c r="DB650" s="133"/>
      <c r="DC650" s="133"/>
      <c r="DD650" s="133"/>
      <c r="DE650" s="1"/>
      <c r="DF650" s="53"/>
      <c r="DG650" s="51"/>
      <c r="DJ650" s="52"/>
      <c r="DK650" s="52"/>
      <c r="DL650" s="52"/>
      <c r="DM650" s="52"/>
      <c r="DN650" s="52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P650" s="53"/>
      <c r="EQ650" s="1"/>
      <c r="ER650" s="103"/>
      <c r="ES650" s="103"/>
      <c r="ET650" s="1"/>
      <c r="EU650" s="103"/>
      <c r="EV650" s="1"/>
      <c r="EW650" s="1"/>
      <c r="EX650" s="1"/>
      <c r="EY650" s="104"/>
    </row>
    <row r="651" spans="9:155">
      <c r="I651" s="132"/>
      <c r="J651" s="133"/>
      <c r="K651" s="1"/>
      <c r="L651" s="1"/>
      <c r="Q651" s="1"/>
      <c r="R651" s="1"/>
      <c r="S651" s="103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53"/>
      <c r="AO651" s="103"/>
      <c r="AP651" s="103"/>
      <c r="AQ651" s="103"/>
      <c r="AR651" s="103"/>
      <c r="AS651" s="103"/>
      <c r="AT651" s="31"/>
      <c r="AU651" s="31"/>
      <c r="AV651" s="31"/>
      <c r="AW651" s="146"/>
      <c r="AX651" s="146"/>
      <c r="AY651" s="103"/>
      <c r="AZ651" s="103"/>
      <c r="BA651" s="103"/>
      <c r="BB651" s="103"/>
      <c r="BC651" s="103"/>
      <c r="BD651" s="103"/>
      <c r="BE651" s="104"/>
      <c r="BF651" s="102"/>
      <c r="BG651" s="102"/>
      <c r="BH651" s="102"/>
      <c r="BI651" s="105"/>
      <c r="BJ651" s="152"/>
      <c r="BK651" s="103"/>
      <c r="BL651" s="103"/>
      <c r="BM651" s="103"/>
      <c r="BN651" s="103"/>
      <c r="BO651" s="103"/>
      <c r="BP651" s="103"/>
      <c r="BQ651" s="103"/>
      <c r="BR651" s="103"/>
      <c r="BS651" s="103"/>
      <c r="BT651" s="103"/>
      <c r="BU651" s="103"/>
      <c r="BV651" s="104"/>
      <c r="BW651" s="103"/>
      <c r="BX651" s="104"/>
      <c r="BY651" s="104"/>
      <c r="BZ651" s="104"/>
      <c r="CA651" s="104"/>
      <c r="CB651" s="104"/>
      <c r="CC651" s="104"/>
      <c r="CD651" s="104"/>
      <c r="CE651" s="104"/>
      <c r="CF651" s="103"/>
      <c r="CG651" s="103"/>
      <c r="CH651" s="103"/>
      <c r="CI651" s="103"/>
      <c r="CJ651" s="103"/>
      <c r="CK651" s="133"/>
      <c r="CL651" s="133"/>
      <c r="CM651" s="133"/>
      <c r="CN651" s="133"/>
      <c r="CO651" s="133"/>
      <c r="CP651" s="133"/>
      <c r="CQ651" s="133"/>
      <c r="CR651" s="133"/>
      <c r="CS651" s="133"/>
      <c r="CT651" s="133"/>
      <c r="CU651" s="133"/>
      <c r="CV651" s="133"/>
      <c r="CW651" s="133"/>
      <c r="CX651" s="133"/>
      <c r="CY651" s="133"/>
      <c r="CZ651" s="133"/>
      <c r="DA651" s="133"/>
      <c r="DB651" s="133"/>
      <c r="DC651" s="133"/>
      <c r="DD651" s="133"/>
      <c r="DE651" s="1"/>
      <c r="DF651" s="53"/>
      <c r="DG651" s="51"/>
      <c r="DJ651" s="52"/>
      <c r="DK651" s="52"/>
      <c r="DL651" s="52"/>
      <c r="DM651" s="52"/>
      <c r="DN651" s="52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P651" s="53"/>
      <c r="EQ651" s="1"/>
      <c r="ER651" s="103"/>
      <c r="ES651" s="103"/>
      <c r="ET651" s="1"/>
      <c r="EU651" s="103"/>
      <c r="EV651" s="1"/>
      <c r="EW651" s="1"/>
      <c r="EX651" s="1"/>
      <c r="EY651" s="104"/>
    </row>
    <row r="652" spans="9:155">
      <c r="I652" s="132"/>
      <c r="J652" s="133"/>
      <c r="K652" s="1"/>
      <c r="L652" s="1"/>
      <c r="Q652" s="1"/>
      <c r="R652" s="1"/>
      <c r="S652" s="103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53"/>
      <c r="AO652" s="103"/>
      <c r="AP652" s="103"/>
      <c r="AQ652" s="103"/>
      <c r="AR652" s="103"/>
      <c r="AS652" s="103"/>
      <c r="AT652" s="31"/>
      <c r="AU652" s="31"/>
      <c r="AV652" s="31"/>
      <c r="AW652" s="146"/>
      <c r="AX652" s="146"/>
      <c r="AY652" s="103"/>
      <c r="AZ652" s="103"/>
      <c r="BA652" s="103"/>
      <c r="BB652" s="103"/>
      <c r="BC652" s="103"/>
      <c r="BD652" s="103"/>
      <c r="BE652" s="104"/>
      <c r="BF652" s="102"/>
      <c r="BG652" s="102"/>
      <c r="BH652" s="102"/>
      <c r="BI652" s="105"/>
      <c r="BJ652" s="152"/>
      <c r="BK652" s="103"/>
      <c r="BL652" s="103"/>
      <c r="BM652" s="103"/>
      <c r="BN652" s="103"/>
      <c r="BO652" s="103"/>
      <c r="BP652" s="103"/>
      <c r="BQ652" s="103"/>
      <c r="BR652" s="103"/>
      <c r="BS652" s="103"/>
      <c r="BT652" s="103"/>
      <c r="BU652" s="103"/>
      <c r="BV652" s="104"/>
      <c r="BW652" s="103"/>
      <c r="BX652" s="104"/>
      <c r="BY652" s="104"/>
      <c r="BZ652" s="104"/>
      <c r="CA652" s="104"/>
      <c r="CB652" s="104"/>
      <c r="CC652" s="104"/>
      <c r="CD652" s="104"/>
      <c r="CE652" s="104"/>
      <c r="CF652" s="103"/>
      <c r="CG652" s="103"/>
      <c r="CH652" s="103"/>
      <c r="CI652" s="103"/>
      <c r="CJ652" s="103"/>
      <c r="CK652" s="133"/>
      <c r="CL652" s="133"/>
      <c r="CM652" s="133"/>
      <c r="CN652" s="133"/>
      <c r="CO652" s="133"/>
      <c r="CP652" s="133"/>
      <c r="CQ652" s="133"/>
      <c r="CR652" s="133"/>
      <c r="CS652" s="133"/>
      <c r="CT652" s="133"/>
      <c r="CU652" s="133"/>
      <c r="CV652" s="133"/>
      <c r="CW652" s="133"/>
      <c r="CX652" s="133"/>
      <c r="CY652" s="133"/>
      <c r="CZ652" s="133"/>
      <c r="DA652" s="133"/>
      <c r="DB652" s="133"/>
      <c r="DC652" s="133"/>
      <c r="DD652" s="133"/>
      <c r="DE652" s="1"/>
      <c r="DF652" s="53"/>
      <c r="DG652" s="51"/>
      <c r="DJ652" s="52"/>
      <c r="DK652" s="52"/>
      <c r="DL652" s="52"/>
      <c r="DM652" s="52"/>
      <c r="DN652" s="52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P652" s="53"/>
      <c r="EQ652" s="1"/>
      <c r="ER652" s="103"/>
      <c r="ES652" s="103"/>
      <c r="ET652" s="1"/>
      <c r="EU652" s="103"/>
      <c r="EV652" s="1"/>
      <c r="EW652" s="1"/>
      <c r="EX652" s="1"/>
      <c r="EY652" s="104"/>
    </row>
    <row r="653" spans="9:155">
      <c r="I653" s="132"/>
      <c r="J653" s="133"/>
      <c r="K653" s="1"/>
      <c r="L653" s="1"/>
      <c r="Q653" s="1"/>
      <c r="R653" s="1"/>
      <c r="S653" s="103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53"/>
      <c r="AO653" s="103"/>
      <c r="AP653" s="103"/>
      <c r="AQ653" s="103"/>
      <c r="AR653" s="103"/>
      <c r="AS653" s="103"/>
      <c r="AT653" s="31"/>
      <c r="AU653" s="31"/>
      <c r="AV653" s="31"/>
      <c r="AW653" s="146"/>
      <c r="AX653" s="146"/>
      <c r="AY653" s="103"/>
      <c r="AZ653" s="103"/>
      <c r="BA653" s="103"/>
      <c r="BB653" s="103"/>
      <c r="BC653" s="103"/>
      <c r="BD653" s="103"/>
      <c r="BE653" s="104"/>
      <c r="BF653" s="102"/>
      <c r="BG653" s="102"/>
      <c r="BH653" s="102"/>
      <c r="BI653" s="105"/>
      <c r="BJ653" s="152"/>
      <c r="BK653" s="103"/>
      <c r="BL653" s="103"/>
      <c r="BM653" s="103"/>
      <c r="BN653" s="103"/>
      <c r="BO653" s="103"/>
      <c r="BP653" s="103"/>
      <c r="BQ653" s="103"/>
      <c r="BR653" s="103"/>
      <c r="BS653" s="103"/>
      <c r="BT653" s="103"/>
      <c r="BU653" s="103"/>
      <c r="BV653" s="104"/>
      <c r="BW653" s="103"/>
      <c r="BX653" s="104"/>
      <c r="BY653" s="104"/>
      <c r="BZ653" s="104"/>
      <c r="CA653" s="104"/>
      <c r="CB653" s="104"/>
      <c r="CC653" s="104"/>
      <c r="CD653" s="104"/>
      <c r="CE653" s="104"/>
      <c r="CF653" s="103"/>
      <c r="CG653" s="103"/>
      <c r="CH653" s="103"/>
      <c r="CI653" s="103"/>
      <c r="CJ653" s="103"/>
      <c r="CK653" s="133"/>
      <c r="CL653" s="133"/>
      <c r="CM653" s="133"/>
      <c r="CN653" s="133"/>
      <c r="CO653" s="133"/>
      <c r="CP653" s="133"/>
      <c r="CQ653" s="133"/>
      <c r="CR653" s="133"/>
      <c r="CS653" s="133"/>
      <c r="CT653" s="133"/>
      <c r="CU653" s="133"/>
      <c r="CV653" s="133"/>
      <c r="CW653" s="133"/>
      <c r="CX653" s="133"/>
      <c r="CY653" s="133"/>
      <c r="CZ653" s="133"/>
      <c r="DA653" s="133"/>
      <c r="DB653" s="133"/>
      <c r="DC653" s="133"/>
      <c r="DD653" s="133"/>
      <c r="DE653" s="1"/>
      <c r="DF653" s="53"/>
      <c r="DG653" s="51"/>
      <c r="DJ653" s="52"/>
      <c r="DK653" s="52"/>
      <c r="DL653" s="52"/>
      <c r="DM653" s="52"/>
      <c r="DN653" s="52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P653" s="53"/>
      <c r="EQ653" s="1"/>
      <c r="ER653" s="103"/>
      <c r="ES653" s="103"/>
      <c r="ET653" s="1"/>
      <c r="EU653" s="103"/>
      <c r="EV653" s="1"/>
      <c r="EW653" s="1"/>
      <c r="EX653" s="1"/>
      <c r="EY653" s="104"/>
    </row>
    <row r="654" spans="9:155">
      <c r="I654" s="132"/>
      <c r="J654" s="133"/>
      <c r="K654" s="1"/>
      <c r="L654" s="1"/>
      <c r="Q654" s="1"/>
      <c r="R654" s="1"/>
      <c r="S654" s="103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53"/>
      <c r="AO654" s="103"/>
      <c r="AP654" s="103"/>
      <c r="AQ654" s="103"/>
      <c r="AR654" s="103"/>
      <c r="AS654" s="103"/>
      <c r="AT654" s="31"/>
      <c r="AU654" s="31"/>
      <c r="AV654" s="31"/>
      <c r="AW654" s="146"/>
      <c r="AX654" s="146"/>
      <c r="AY654" s="103"/>
      <c r="AZ654" s="103"/>
      <c r="BA654" s="103"/>
      <c r="BB654" s="103"/>
      <c r="BC654" s="103"/>
      <c r="BD654" s="103"/>
      <c r="BE654" s="104"/>
      <c r="BF654" s="102"/>
      <c r="BG654" s="102"/>
      <c r="BH654" s="102"/>
      <c r="BI654" s="105"/>
      <c r="BJ654" s="152"/>
      <c r="BK654" s="103"/>
      <c r="BL654" s="103"/>
      <c r="BM654" s="103"/>
      <c r="BN654" s="103"/>
      <c r="BO654" s="103"/>
      <c r="BP654" s="103"/>
      <c r="BQ654" s="103"/>
      <c r="BR654" s="103"/>
      <c r="BS654" s="103"/>
      <c r="BT654" s="103"/>
      <c r="BU654" s="103"/>
      <c r="BV654" s="104"/>
      <c r="BW654" s="103"/>
      <c r="BX654" s="104"/>
      <c r="BY654" s="104"/>
      <c r="BZ654" s="104"/>
      <c r="CA654" s="104"/>
      <c r="CB654" s="104"/>
      <c r="CC654" s="104"/>
      <c r="CD654" s="104"/>
      <c r="CE654" s="104"/>
      <c r="CF654" s="103"/>
      <c r="CG654" s="103"/>
      <c r="CH654" s="103"/>
      <c r="CI654" s="103"/>
      <c r="CJ654" s="103"/>
      <c r="CK654" s="133"/>
      <c r="CL654" s="133"/>
      <c r="CM654" s="133"/>
      <c r="CN654" s="133"/>
      <c r="CO654" s="133"/>
      <c r="CP654" s="133"/>
      <c r="CQ654" s="133"/>
      <c r="CR654" s="133"/>
      <c r="CS654" s="133"/>
      <c r="CT654" s="133"/>
      <c r="CU654" s="133"/>
      <c r="CV654" s="133"/>
      <c r="CW654" s="133"/>
      <c r="CX654" s="133"/>
      <c r="CY654" s="133"/>
      <c r="CZ654" s="133"/>
      <c r="DA654" s="133"/>
      <c r="DB654" s="133"/>
      <c r="DC654" s="133"/>
      <c r="DD654" s="133"/>
      <c r="DE654" s="1"/>
      <c r="DF654" s="53"/>
      <c r="DG654" s="51"/>
      <c r="DJ654" s="52"/>
      <c r="DK654" s="52"/>
      <c r="DL654" s="52"/>
      <c r="DM654" s="52"/>
      <c r="DN654" s="52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P654" s="53"/>
      <c r="EQ654" s="1"/>
      <c r="ER654" s="103"/>
      <c r="ES654" s="103"/>
      <c r="ET654" s="1"/>
      <c r="EU654" s="103"/>
      <c r="EV654" s="1"/>
      <c r="EW654" s="1"/>
      <c r="EX654" s="1"/>
      <c r="EY654" s="104"/>
    </row>
    <row r="655" spans="9:155">
      <c r="I655" s="132"/>
      <c r="J655" s="133"/>
      <c r="K655" s="1"/>
      <c r="L655" s="1"/>
      <c r="Q655" s="1"/>
      <c r="R655" s="1"/>
      <c r="S655" s="103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53"/>
      <c r="AO655" s="103"/>
      <c r="AP655" s="103"/>
      <c r="AQ655" s="103"/>
      <c r="AR655" s="103"/>
      <c r="AS655" s="103"/>
      <c r="AT655" s="31"/>
      <c r="AU655" s="31"/>
      <c r="AV655" s="31"/>
      <c r="AW655" s="146"/>
      <c r="AX655" s="146"/>
      <c r="AY655" s="103"/>
      <c r="AZ655" s="103"/>
      <c r="BA655" s="103"/>
      <c r="BB655" s="103"/>
      <c r="BC655" s="103"/>
      <c r="BD655" s="103"/>
      <c r="BE655" s="104"/>
      <c r="BF655" s="102"/>
      <c r="BG655" s="102"/>
      <c r="BH655" s="102"/>
      <c r="BI655" s="105"/>
      <c r="BJ655" s="152"/>
      <c r="BK655" s="103"/>
      <c r="BL655" s="103"/>
      <c r="BM655" s="103"/>
      <c r="BN655" s="103"/>
      <c r="BO655" s="103"/>
      <c r="BP655" s="103"/>
      <c r="BQ655" s="103"/>
      <c r="BR655" s="103"/>
      <c r="BS655" s="103"/>
      <c r="BT655" s="103"/>
      <c r="BU655" s="103"/>
      <c r="BV655" s="104"/>
      <c r="BW655" s="103"/>
      <c r="BX655" s="104"/>
      <c r="BY655" s="104"/>
      <c r="BZ655" s="104"/>
      <c r="CA655" s="104"/>
      <c r="CB655" s="104"/>
      <c r="CC655" s="104"/>
      <c r="CD655" s="104"/>
      <c r="CE655" s="104"/>
      <c r="CF655" s="103"/>
      <c r="CG655" s="103"/>
      <c r="CH655" s="103"/>
      <c r="CI655" s="103"/>
      <c r="CJ655" s="103"/>
      <c r="CK655" s="133"/>
      <c r="CL655" s="133"/>
      <c r="CM655" s="133"/>
      <c r="CN655" s="133"/>
      <c r="CO655" s="133"/>
      <c r="CP655" s="133"/>
      <c r="CQ655" s="133"/>
      <c r="CR655" s="133"/>
      <c r="CS655" s="133"/>
      <c r="CT655" s="133"/>
      <c r="CU655" s="133"/>
      <c r="CV655" s="133"/>
      <c r="CW655" s="133"/>
      <c r="CX655" s="133"/>
      <c r="CY655" s="133"/>
      <c r="CZ655" s="133"/>
      <c r="DA655" s="133"/>
      <c r="DB655" s="133"/>
      <c r="DC655" s="133"/>
      <c r="DD655" s="133"/>
      <c r="DE655" s="1"/>
      <c r="DF655" s="53"/>
      <c r="DG655" s="51"/>
      <c r="DJ655" s="52"/>
      <c r="DK655" s="52"/>
      <c r="DL655" s="52"/>
      <c r="DM655" s="52"/>
      <c r="DN655" s="52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P655" s="53"/>
      <c r="EQ655" s="1"/>
      <c r="ER655" s="103"/>
      <c r="ES655" s="103"/>
      <c r="ET655" s="1"/>
      <c r="EU655" s="103"/>
      <c r="EV655" s="1"/>
      <c r="EW655" s="1"/>
      <c r="EX655" s="1"/>
      <c r="EY655" s="104"/>
    </row>
    <row r="656" spans="9:155">
      <c r="I656" s="132"/>
      <c r="J656" s="133"/>
      <c r="K656" s="1"/>
      <c r="L656" s="1"/>
      <c r="Q656" s="1"/>
      <c r="R656" s="1"/>
      <c r="S656" s="103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53"/>
      <c r="AO656" s="103"/>
      <c r="AP656" s="103"/>
      <c r="AQ656" s="103"/>
      <c r="AR656" s="103"/>
      <c r="AS656" s="103"/>
      <c r="AT656" s="31"/>
      <c r="AU656" s="31"/>
      <c r="AV656" s="31"/>
      <c r="AW656" s="146"/>
      <c r="AX656" s="146"/>
      <c r="AY656" s="103"/>
      <c r="AZ656" s="103"/>
      <c r="BA656" s="103"/>
      <c r="BB656" s="103"/>
      <c r="BC656" s="103"/>
      <c r="BD656" s="103"/>
      <c r="BE656" s="104"/>
      <c r="BF656" s="102"/>
      <c r="BG656" s="102"/>
      <c r="BH656" s="102"/>
      <c r="BI656" s="105"/>
      <c r="BJ656" s="152"/>
      <c r="BK656" s="103"/>
      <c r="BL656" s="103"/>
      <c r="BM656" s="103"/>
      <c r="BN656" s="103"/>
      <c r="BO656" s="103"/>
      <c r="BP656" s="103"/>
      <c r="BQ656" s="103"/>
      <c r="BR656" s="103"/>
      <c r="BS656" s="103"/>
      <c r="BT656" s="103"/>
      <c r="BU656" s="103"/>
      <c r="BV656" s="104"/>
      <c r="BW656" s="103"/>
      <c r="BX656" s="104"/>
      <c r="BY656" s="104"/>
      <c r="BZ656" s="104"/>
      <c r="CA656" s="104"/>
      <c r="CB656" s="104"/>
      <c r="CC656" s="104"/>
      <c r="CD656" s="104"/>
      <c r="CE656" s="104"/>
      <c r="CF656" s="103"/>
      <c r="CG656" s="103"/>
      <c r="CH656" s="103"/>
      <c r="CI656" s="103"/>
      <c r="CJ656" s="103"/>
      <c r="CK656" s="133"/>
      <c r="CL656" s="133"/>
      <c r="CM656" s="133"/>
      <c r="CN656" s="133"/>
      <c r="CO656" s="133"/>
      <c r="CP656" s="133"/>
      <c r="CQ656" s="133"/>
      <c r="CR656" s="133"/>
      <c r="CS656" s="133"/>
      <c r="CT656" s="133"/>
      <c r="CU656" s="133"/>
      <c r="CV656" s="133"/>
      <c r="CW656" s="133"/>
      <c r="CX656" s="133"/>
      <c r="CY656" s="133"/>
      <c r="CZ656" s="133"/>
      <c r="DA656" s="133"/>
      <c r="DB656" s="133"/>
      <c r="DC656" s="133"/>
      <c r="DD656" s="133"/>
      <c r="DE656" s="1"/>
      <c r="DF656" s="53"/>
      <c r="DG656" s="51"/>
      <c r="DJ656" s="52"/>
      <c r="DK656" s="52"/>
      <c r="DL656" s="52"/>
      <c r="DM656" s="52"/>
      <c r="DN656" s="52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P656" s="53"/>
      <c r="EQ656" s="1"/>
      <c r="ER656" s="103"/>
      <c r="ES656" s="103"/>
      <c r="ET656" s="1"/>
      <c r="EU656" s="103"/>
      <c r="EV656" s="1"/>
      <c r="EW656" s="1"/>
      <c r="EX656" s="1"/>
      <c r="EY656" s="104"/>
    </row>
    <row r="657" spans="9:155">
      <c r="I657" s="132"/>
      <c r="J657" s="133"/>
      <c r="K657" s="1"/>
      <c r="L657" s="1"/>
      <c r="Q657" s="1"/>
      <c r="R657" s="1"/>
      <c r="S657" s="103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53"/>
      <c r="AO657" s="103"/>
      <c r="AP657" s="103"/>
      <c r="AQ657" s="103"/>
      <c r="AR657" s="103"/>
      <c r="AS657" s="103"/>
      <c r="AT657" s="31"/>
      <c r="AU657" s="31"/>
      <c r="AV657" s="31"/>
      <c r="AW657" s="146"/>
      <c r="AX657" s="146"/>
      <c r="AY657" s="103"/>
      <c r="AZ657" s="103"/>
      <c r="BA657" s="103"/>
      <c r="BB657" s="103"/>
      <c r="BC657" s="103"/>
      <c r="BD657" s="103"/>
      <c r="BE657" s="104"/>
      <c r="BF657" s="102"/>
      <c r="BG657" s="102"/>
      <c r="BH657" s="102"/>
      <c r="BI657" s="105"/>
      <c r="BJ657" s="152"/>
      <c r="BK657" s="103"/>
      <c r="BL657" s="103"/>
      <c r="BM657" s="103"/>
      <c r="BN657" s="103"/>
      <c r="BO657" s="103"/>
      <c r="BP657" s="103"/>
      <c r="BQ657" s="103"/>
      <c r="BR657" s="103"/>
      <c r="BS657" s="103"/>
      <c r="BT657" s="103"/>
      <c r="BU657" s="103"/>
      <c r="BV657" s="104"/>
      <c r="BW657" s="103"/>
      <c r="BX657" s="104"/>
      <c r="BY657" s="104"/>
      <c r="BZ657" s="104"/>
      <c r="CA657" s="104"/>
      <c r="CB657" s="104"/>
      <c r="CC657" s="104"/>
      <c r="CD657" s="104"/>
      <c r="CE657" s="104"/>
      <c r="CF657" s="103"/>
      <c r="CG657" s="103"/>
      <c r="CH657" s="103"/>
      <c r="CI657" s="103"/>
      <c r="CJ657" s="103"/>
      <c r="CK657" s="133"/>
      <c r="CL657" s="133"/>
      <c r="CM657" s="133"/>
      <c r="CN657" s="133"/>
      <c r="CO657" s="133"/>
      <c r="CP657" s="133"/>
      <c r="CQ657" s="133"/>
      <c r="CR657" s="133"/>
      <c r="CS657" s="133"/>
      <c r="CT657" s="133"/>
      <c r="CU657" s="133"/>
      <c r="CV657" s="133"/>
      <c r="CW657" s="133"/>
      <c r="CX657" s="133"/>
      <c r="CY657" s="133"/>
      <c r="CZ657" s="133"/>
      <c r="DA657" s="133"/>
      <c r="DB657" s="133"/>
      <c r="DC657" s="133"/>
      <c r="DD657" s="133"/>
      <c r="DE657" s="1"/>
      <c r="DF657" s="53"/>
      <c r="DG657" s="51"/>
      <c r="DJ657" s="52"/>
      <c r="DK657" s="52"/>
      <c r="DL657" s="52"/>
      <c r="DM657" s="52"/>
      <c r="DN657" s="52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P657" s="53"/>
      <c r="EQ657" s="1"/>
      <c r="ER657" s="103"/>
      <c r="ES657" s="103"/>
      <c r="ET657" s="1"/>
      <c r="EU657" s="103"/>
      <c r="EV657" s="1"/>
      <c r="EW657" s="1"/>
      <c r="EX657" s="1"/>
      <c r="EY657" s="104"/>
    </row>
    <row r="658" spans="9:155">
      <c r="I658" s="132"/>
      <c r="J658" s="133"/>
      <c r="K658" s="1"/>
      <c r="L658" s="1"/>
      <c r="Q658" s="1"/>
      <c r="R658" s="1"/>
      <c r="S658" s="103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53"/>
      <c r="AO658" s="103"/>
      <c r="AP658" s="103"/>
      <c r="AQ658" s="103"/>
      <c r="AR658" s="103"/>
      <c r="AS658" s="103"/>
      <c r="AT658" s="31"/>
      <c r="AU658" s="31"/>
      <c r="AV658" s="31"/>
      <c r="AW658" s="146"/>
      <c r="AX658" s="146"/>
      <c r="AY658" s="103"/>
      <c r="AZ658" s="103"/>
      <c r="BA658" s="103"/>
      <c r="BB658" s="103"/>
      <c r="BC658" s="103"/>
      <c r="BD658" s="103"/>
      <c r="BE658" s="104"/>
      <c r="BF658" s="102"/>
      <c r="BG658" s="102"/>
      <c r="BH658" s="102"/>
      <c r="BI658" s="105"/>
      <c r="BJ658" s="152"/>
      <c r="BK658" s="103"/>
      <c r="BL658" s="103"/>
      <c r="BM658" s="103"/>
      <c r="BN658" s="103"/>
      <c r="BO658" s="103"/>
      <c r="BP658" s="103"/>
      <c r="BQ658" s="103"/>
      <c r="BR658" s="103"/>
      <c r="BS658" s="103"/>
      <c r="BT658" s="103"/>
      <c r="BU658" s="103"/>
      <c r="BV658" s="104"/>
      <c r="BW658" s="103"/>
      <c r="BX658" s="104"/>
      <c r="BY658" s="104"/>
      <c r="BZ658" s="104"/>
      <c r="CA658" s="104"/>
      <c r="CB658" s="104"/>
      <c r="CC658" s="104"/>
      <c r="CD658" s="104"/>
      <c r="CE658" s="104"/>
      <c r="CF658" s="103"/>
      <c r="CG658" s="103"/>
      <c r="CH658" s="103"/>
      <c r="CI658" s="103"/>
      <c r="CJ658" s="103"/>
      <c r="CK658" s="133"/>
      <c r="CL658" s="133"/>
      <c r="CM658" s="133"/>
      <c r="CN658" s="133"/>
      <c r="CO658" s="133"/>
      <c r="CP658" s="133"/>
      <c r="CQ658" s="133"/>
      <c r="CR658" s="133"/>
      <c r="CS658" s="133"/>
      <c r="CT658" s="133"/>
      <c r="CU658" s="133"/>
      <c r="CV658" s="133"/>
      <c r="CW658" s="133"/>
      <c r="CX658" s="133"/>
      <c r="CY658" s="133"/>
      <c r="CZ658" s="133"/>
      <c r="DA658" s="133"/>
      <c r="DB658" s="133"/>
      <c r="DC658" s="133"/>
      <c r="DD658" s="133"/>
      <c r="DE658" s="1"/>
      <c r="DF658" s="53"/>
      <c r="DG658" s="51"/>
      <c r="DJ658" s="52"/>
      <c r="DK658" s="52"/>
      <c r="DL658" s="52"/>
      <c r="DM658" s="52"/>
      <c r="DN658" s="52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P658" s="53"/>
      <c r="EQ658" s="1"/>
      <c r="ER658" s="103"/>
      <c r="ES658" s="103"/>
      <c r="ET658" s="1"/>
      <c r="EU658" s="103"/>
      <c r="EV658" s="1"/>
      <c r="EW658" s="1"/>
      <c r="EX658" s="1"/>
      <c r="EY658" s="104"/>
    </row>
    <row r="659" spans="9:155">
      <c r="I659" s="132"/>
      <c r="J659" s="133"/>
      <c r="K659" s="1"/>
      <c r="L659" s="1"/>
      <c r="Q659" s="1"/>
      <c r="R659" s="1"/>
      <c r="S659" s="103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53"/>
      <c r="AO659" s="103"/>
      <c r="AP659" s="103"/>
      <c r="AQ659" s="103"/>
      <c r="AR659" s="103"/>
      <c r="AS659" s="103"/>
      <c r="AT659" s="31"/>
      <c r="AU659" s="31"/>
      <c r="AV659" s="31"/>
      <c r="AW659" s="146"/>
      <c r="AX659" s="146"/>
      <c r="AY659" s="103"/>
      <c r="AZ659" s="103"/>
      <c r="BA659" s="103"/>
      <c r="BB659" s="103"/>
      <c r="BC659" s="103"/>
      <c r="BD659" s="103"/>
      <c r="BE659" s="104"/>
      <c r="BF659" s="102"/>
      <c r="BG659" s="102"/>
      <c r="BH659" s="102"/>
      <c r="BI659" s="105"/>
      <c r="BJ659" s="152"/>
      <c r="BK659" s="103"/>
      <c r="BL659" s="103"/>
      <c r="BM659" s="103"/>
      <c r="BN659" s="103"/>
      <c r="BO659" s="103"/>
      <c r="BP659" s="103"/>
      <c r="BQ659" s="103"/>
      <c r="BR659" s="103"/>
      <c r="BS659" s="103"/>
      <c r="BT659" s="103"/>
      <c r="BU659" s="103"/>
      <c r="BV659" s="104"/>
      <c r="BW659" s="103"/>
      <c r="BX659" s="104"/>
      <c r="BY659" s="104"/>
      <c r="BZ659" s="104"/>
      <c r="CA659" s="104"/>
      <c r="CB659" s="104"/>
      <c r="CC659" s="104"/>
      <c r="CD659" s="104"/>
      <c r="CE659" s="104"/>
      <c r="CF659" s="103"/>
      <c r="CG659" s="103"/>
      <c r="CH659" s="103"/>
      <c r="CI659" s="103"/>
      <c r="CJ659" s="103"/>
      <c r="CK659" s="133"/>
      <c r="CL659" s="133"/>
      <c r="CM659" s="133"/>
      <c r="CN659" s="133"/>
      <c r="CO659" s="133"/>
      <c r="CP659" s="133"/>
      <c r="CQ659" s="133"/>
      <c r="CR659" s="133"/>
      <c r="CS659" s="133"/>
      <c r="CT659" s="133"/>
      <c r="CU659" s="133"/>
      <c r="CV659" s="133"/>
      <c r="CW659" s="133"/>
      <c r="CX659" s="133"/>
      <c r="CY659" s="133"/>
      <c r="CZ659" s="133"/>
      <c r="DA659" s="133"/>
      <c r="DB659" s="133"/>
      <c r="DC659" s="133"/>
      <c r="DD659" s="133"/>
      <c r="DE659" s="1"/>
      <c r="DF659" s="53"/>
      <c r="DG659" s="51"/>
      <c r="DJ659" s="52"/>
      <c r="DK659" s="52"/>
      <c r="DL659" s="52"/>
      <c r="DM659" s="52"/>
      <c r="DN659" s="52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P659" s="53"/>
      <c r="EQ659" s="1"/>
      <c r="ER659" s="103"/>
      <c r="ES659" s="103"/>
      <c r="ET659" s="1"/>
      <c r="EU659" s="103"/>
      <c r="EV659" s="1"/>
      <c r="EW659" s="1"/>
      <c r="EX659" s="1"/>
      <c r="EY659" s="104"/>
    </row>
    <row r="660" spans="9:155">
      <c r="I660" s="132"/>
      <c r="J660" s="133"/>
      <c r="K660" s="1"/>
      <c r="L660" s="1"/>
      <c r="Q660" s="1"/>
      <c r="R660" s="1"/>
      <c r="S660" s="103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53"/>
      <c r="AO660" s="103"/>
      <c r="AP660" s="103"/>
      <c r="AQ660" s="103"/>
      <c r="AR660" s="103"/>
      <c r="AS660" s="103"/>
      <c r="AT660" s="31"/>
      <c r="AU660" s="31"/>
      <c r="AV660" s="31"/>
      <c r="AW660" s="146"/>
      <c r="AX660" s="146"/>
      <c r="AY660" s="103"/>
      <c r="AZ660" s="103"/>
      <c r="BA660" s="103"/>
      <c r="BB660" s="103"/>
      <c r="BC660" s="103"/>
      <c r="BD660" s="103"/>
      <c r="BE660" s="104"/>
      <c r="BF660" s="102"/>
      <c r="BG660" s="102"/>
      <c r="BH660" s="102"/>
      <c r="BI660" s="105"/>
      <c r="BJ660" s="152"/>
      <c r="BK660" s="103"/>
      <c r="BL660" s="103"/>
      <c r="BM660" s="103"/>
      <c r="BN660" s="103"/>
      <c r="BO660" s="103"/>
      <c r="BP660" s="103"/>
      <c r="BQ660" s="103"/>
      <c r="BR660" s="103"/>
      <c r="BS660" s="103"/>
      <c r="BT660" s="103"/>
      <c r="BU660" s="103"/>
      <c r="BV660" s="104"/>
      <c r="BW660" s="103"/>
      <c r="BX660" s="104"/>
      <c r="BY660" s="104"/>
      <c r="BZ660" s="104"/>
      <c r="CA660" s="104"/>
      <c r="CB660" s="104"/>
      <c r="CC660" s="104"/>
      <c r="CD660" s="104"/>
      <c r="CE660" s="104"/>
      <c r="CF660" s="103"/>
      <c r="CG660" s="103"/>
      <c r="CH660" s="103"/>
      <c r="CI660" s="103"/>
      <c r="CJ660" s="103"/>
      <c r="CK660" s="133"/>
      <c r="CL660" s="133"/>
      <c r="CM660" s="133"/>
      <c r="CN660" s="133"/>
      <c r="CO660" s="133"/>
      <c r="CP660" s="133"/>
      <c r="CQ660" s="133"/>
      <c r="CR660" s="133"/>
      <c r="CS660" s="133"/>
      <c r="CT660" s="133"/>
      <c r="CU660" s="133"/>
      <c r="CV660" s="133"/>
      <c r="CW660" s="133"/>
      <c r="CX660" s="133"/>
      <c r="CY660" s="133"/>
      <c r="CZ660" s="133"/>
      <c r="DA660" s="133"/>
      <c r="DB660" s="133"/>
      <c r="DC660" s="133"/>
      <c r="DD660" s="133"/>
      <c r="DE660" s="1"/>
      <c r="DF660" s="53"/>
      <c r="DG660" s="51"/>
      <c r="DJ660" s="52"/>
      <c r="DK660" s="52"/>
      <c r="DL660" s="52"/>
      <c r="DM660" s="52"/>
      <c r="DN660" s="52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P660" s="53"/>
      <c r="EQ660" s="1"/>
      <c r="ER660" s="103"/>
      <c r="ES660" s="103"/>
      <c r="ET660" s="1"/>
      <c r="EU660" s="103"/>
      <c r="EV660" s="1"/>
      <c r="EW660" s="1"/>
      <c r="EX660" s="1"/>
      <c r="EY660" s="104"/>
    </row>
    <row r="661" spans="9:155">
      <c r="I661" s="132"/>
      <c r="J661" s="133"/>
      <c r="K661" s="1"/>
      <c r="L661" s="1"/>
      <c r="Q661" s="1"/>
      <c r="R661" s="1"/>
      <c r="S661" s="103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53"/>
      <c r="AO661" s="103"/>
      <c r="AP661" s="103"/>
      <c r="AQ661" s="103"/>
      <c r="AR661" s="103"/>
      <c r="AS661" s="103"/>
      <c r="AT661" s="31"/>
      <c r="AU661" s="31"/>
      <c r="AV661" s="31"/>
      <c r="AW661" s="146"/>
      <c r="AX661" s="146"/>
      <c r="AY661" s="103"/>
      <c r="AZ661" s="103"/>
      <c r="BA661" s="103"/>
      <c r="BB661" s="103"/>
      <c r="BC661" s="103"/>
      <c r="BD661" s="103"/>
      <c r="BE661" s="104"/>
      <c r="BF661" s="102"/>
      <c r="BG661" s="102"/>
      <c r="BH661" s="102"/>
      <c r="BI661" s="105"/>
      <c r="BJ661" s="152"/>
      <c r="BK661" s="103"/>
      <c r="BL661" s="103"/>
      <c r="BM661" s="103"/>
      <c r="BN661" s="103"/>
      <c r="BO661" s="103"/>
      <c r="BP661" s="103"/>
      <c r="BQ661" s="103"/>
      <c r="BR661" s="103"/>
      <c r="BS661" s="103"/>
      <c r="BT661" s="103"/>
      <c r="BU661" s="103"/>
      <c r="BV661" s="104"/>
      <c r="BW661" s="103"/>
      <c r="BX661" s="104"/>
      <c r="BY661" s="104"/>
      <c r="BZ661" s="104"/>
      <c r="CA661" s="104"/>
      <c r="CB661" s="104"/>
      <c r="CC661" s="104"/>
      <c r="CD661" s="104"/>
      <c r="CE661" s="104"/>
      <c r="CF661" s="103"/>
      <c r="CG661" s="103"/>
      <c r="CH661" s="103"/>
      <c r="CI661" s="103"/>
      <c r="CJ661" s="103"/>
      <c r="CK661" s="133"/>
      <c r="CL661" s="133"/>
      <c r="CM661" s="133"/>
      <c r="CN661" s="133"/>
      <c r="CO661" s="133"/>
      <c r="CP661" s="133"/>
      <c r="CQ661" s="133"/>
      <c r="CR661" s="133"/>
      <c r="CS661" s="133"/>
      <c r="CT661" s="133"/>
      <c r="CU661" s="133"/>
      <c r="CV661" s="133"/>
      <c r="CW661" s="133"/>
      <c r="CX661" s="133"/>
      <c r="CY661" s="133"/>
      <c r="CZ661" s="133"/>
      <c r="DA661" s="133"/>
      <c r="DB661" s="133"/>
      <c r="DC661" s="133"/>
      <c r="DD661" s="133"/>
      <c r="DE661" s="1"/>
      <c r="DF661" s="53"/>
      <c r="DG661" s="51"/>
      <c r="DJ661" s="52"/>
      <c r="DK661" s="52"/>
      <c r="DL661" s="52"/>
      <c r="DM661" s="52"/>
      <c r="DN661" s="52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P661" s="53"/>
      <c r="EQ661" s="1"/>
      <c r="ER661" s="103"/>
      <c r="ES661" s="103"/>
      <c r="ET661" s="1"/>
      <c r="EU661" s="103"/>
      <c r="EV661" s="1"/>
      <c r="EW661" s="1"/>
      <c r="EX661" s="1"/>
      <c r="EY661" s="104"/>
    </row>
    <row r="662" spans="9:155">
      <c r="I662" s="132"/>
      <c r="J662" s="133"/>
      <c r="K662" s="1"/>
      <c r="L662" s="1"/>
      <c r="Q662" s="1"/>
      <c r="R662" s="1"/>
      <c r="S662" s="103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53"/>
      <c r="AO662" s="103"/>
      <c r="AP662" s="103"/>
      <c r="AQ662" s="103"/>
      <c r="AR662" s="103"/>
      <c r="AS662" s="103"/>
      <c r="AT662" s="31"/>
      <c r="AU662" s="31"/>
      <c r="AV662" s="31"/>
      <c r="AW662" s="146"/>
      <c r="AX662" s="146"/>
      <c r="AY662" s="103"/>
      <c r="AZ662" s="103"/>
      <c r="BA662" s="103"/>
      <c r="BB662" s="103"/>
      <c r="BC662" s="103"/>
      <c r="BD662" s="103"/>
      <c r="BE662" s="104"/>
      <c r="BF662" s="102"/>
      <c r="BG662" s="102"/>
      <c r="BH662" s="102"/>
      <c r="BI662" s="105"/>
      <c r="BJ662" s="152"/>
      <c r="BK662" s="103"/>
      <c r="BL662" s="103"/>
      <c r="BM662" s="103"/>
      <c r="BN662" s="103"/>
      <c r="BO662" s="103"/>
      <c r="BP662" s="103"/>
      <c r="BQ662" s="103"/>
      <c r="BR662" s="103"/>
      <c r="BS662" s="103"/>
      <c r="BT662" s="103"/>
      <c r="BU662" s="103"/>
      <c r="BV662" s="104"/>
      <c r="BW662" s="103"/>
      <c r="BX662" s="104"/>
      <c r="BY662" s="104"/>
      <c r="BZ662" s="104"/>
      <c r="CA662" s="104"/>
      <c r="CB662" s="104"/>
      <c r="CC662" s="104"/>
      <c r="CD662" s="104"/>
      <c r="CE662" s="104"/>
      <c r="CF662" s="103"/>
      <c r="CG662" s="103"/>
      <c r="CH662" s="103"/>
      <c r="CI662" s="103"/>
      <c r="CJ662" s="103"/>
      <c r="CK662" s="133"/>
      <c r="CL662" s="133"/>
      <c r="CM662" s="133"/>
      <c r="CN662" s="133"/>
      <c r="CO662" s="133"/>
      <c r="CP662" s="133"/>
      <c r="CQ662" s="133"/>
      <c r="CR662" s="133"/>
      <c r="CS662" s="133"/>
      <c r="CT662" s="133"/>
      <c r="CU662" s="133"/>
      <c r="CV662" s="133"/>
      <c r="CW662" s="133"/>
      <c r="CX662" s="133"/>
      <c r="CY662" s="133"/>
      <c r="CZ662" s="133"/>
      <c r="DA662" s="133"/>
      <c r="DB662" s="133"/>
      <c r="DC662" s="133"/>
      <c r="DD662" s="133"/>
      <c r="DE662" s="1"/>
      <c r="DF662" s="53"/>
      <c r="DG662" s="51"/>
      <c r="DJ662" s="52"/>
      <c r="DK662" s="52"/>
      <c r="DL662" s="52"/>
      <c r="DM662" s="52"/>
      <c r="DN662" s="52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P662" s="53"/>
      <c r="EQ662" s="1"/>
      <c r="ER662" s="103"/>
      <c r="ES662" s="103"/>
      <c r="ET662" s="1"/>
      <c r="EU662" s="103"/>
      <c r="EV662" s="1"/>
      <c r="EW662" s="1"/>
      <c r="EX662" s="1"/>
      <c r="EY662" s="104"/>
    </row>
    <row r="663" spans="9:155">
      <c r="I663" s="132"/>
      <c r="J663" s="133"/>
      <c r="K663" s="1"/>
      <c r="L663" s="1"/>
      <c r="Q663" s="1"/>
      <c r="R663" s="1"/>
      <c r="S663" s="103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53"/>
      <c r="AO663" s="103"/>
      <c r="AP663" s="103"/>
      <c r="AQ663" s="103"/>
      <c r="AR663" s="103"/>
      <c r="AS663" s="103"/>
      <c r="AT663" s="31"/>
      <c r="AU663" s="31"/>
      <c r="AV663" s="31"/>
      <c r="AW663" s="146"/>
      <c r="AX663" s="146"/>
      <c r="AY663" s="103"/>
      <c r="AZ663" s="103"/>
      <c r="BA663" s="103"/>
      <c r="BB663" s="103"/>
      <c r="BC663" s="103"/>
      <c r="BD663" s="103"/>
      <c r="BE663" s="104"/>
      <c r="BF663" s="102"/>
      <c r="BG663" s="102"/>
      <c r="BH663" s="102"/>
      <c r="BI663" s="105"/>
      <c r="BJ663" s="152"/>
      <c r="BK663" s="103"/>
      <c r="BL663" s="103"/>
      <c r="BM663" s="103"/>
      <c r="BN663" s="103"/>
      <c r="BO663" s="103"/>
      <c r="BP663" s="103"/>
      <c r="BQ663" s="103"/>
      <c r="BR663" s="103"/>
      <c r="BS663" s="103"/>
      <c r="BT663" s="103"/>
      <c r="BU663" s="103"/>
      <c r="BV663" s="104"/>
      <c r="BW663" s="103"/>
      <c r="BX663" s="104"/>
      <c r="BY663" s="104"/>
      <c r="BZ663" s="104"/>
      <c r="CA663" s="104"/>
      <c r="CB663" s="104"/>
      <c r="CC663" s="104"/>
      <c r="CD663" s="104"/>
      <c r="CE663" s="104"/>
      <c r="CF663" s="103"/>
      <c r="CG663" s="103"/>
      <c r="CH663" s="103"/>
      <c r="CI663" s="103"/>
      <c r="CJ663" s="103"/>
      <c r="CK663" s="133"/>
      <c r="CL663" s="133"/>
      <c r="CM663" s="133"/>
      <c r="CN663" s="133"/>
      <c r="CO663" s="133"/>
      <c r="CP663" s="133"/>
      <c r="CQ663" s="133"/>
      <c r="CR663" s="133"/>
      <c r="CS663" s="133"/>
      <c r="CT663" s="133"/>
      <c r="CU663" s="133"/>
      <c r="CV663" s="133"/>
      <c r="CW663" s="133"/>
      <c r="CX663" s="133"/>
      <c r="CY663" s="133"/>
      <c r="CZ663" s="133"/>
      <c r="DA663" s="133"/>
      <c r="DB663" s="133"/>
      <c r="DC663" s="133"/>
      <c r="DD663" s="133"/>
      <c r="DE663" s="1"/>
      <c r="DF663" s="53"/>
      <c r="DG663" s="51"/>
      <c r="DJ663" s="52"/>
      <c r="DK663" s="52"/>
      <c r="DL663" s="52"/>
      <c r="DM663" s="52"/>
      <c r="DN663" s="52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P663" s="53"/>
      <c r="EQ663" s="1"/>
      <c r="ER663" s="103"/>
      <c r="ES663" s="103"/>
      <c r="ET663" s="1"/>
      <c r="EU663" s="103"/>
      <c r="EV663" s="1"/>
      <c r="EW663" s="1"/>
      <c r="EX663" s="1"/>
      <c r="EY663" s="104"/>
    </row>
    <row r="664" spans="9:155">
      <c r="I664" s="132"/>
      <c r="J664" s="133"/>
      <c r="K664" s="1"/>
      <c r="L664" s="1"/>
      <c r="Q664" s="1"/>
      <c r="R664" s="1"/>
      <c r="S664" s="103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53"/>
      <c r="AO664" s="103"/>
      <c r="AP664" s="103"/>
      <c r="AQ664" s="103"/>
      <c r="AR664" s="103"/>
      <c r="AS664" s="103"/>
      <c r="AT664" s="31"/>
      <c r="AU664" s="31"/>
      <c r="AV664" s="31"/>
      <c r="AW664" s="146"/>
      <c r="AX664" s="146"/>
      <c r="AY664" s="103"/>
      <c r="AZ664" s="103"/>
      <c r="BA664" s="103"/>
      <c r="BB664" s="103"/>
      <c r="BC664" s="103"/>
      <c r="BD664" s="103"/>
      <c r="BE664" s="104"/>
      <c r="BF664" s="102"/>
      <c r="BG664" s="102"/>
      <c r="BH664" s="102"/>
      <c r="BI664" s="105"/>
      <c r="BJ664" s="152"/>
      <c r="BK664" s="103"/>
      <c r="BL664" s="103"/>
      <c r="BM664" s="103"/>
      <c r="BN664" s="103"/>
      <c r="BO664" s="103"/>
      <c r="BP664" s="103"/>
      <c r="BQ664" s="103"/>
      <c r="BR664" s="103"/>
      <c r="BS664" s="103"/>
      <c r="BT664" s="103"/>
      <c r="BU664" s="103"/>
      <c r="BV664" s="104"/>
      <c r="BW664" s="103"/>
      <c r="BX664" s="104"/>
      <c r="BY664" s="104"/>
      <c r="BZ664" s="104"/>
      <c r="CA664" s="104"/>
      <c r="CB664" s="104"/>
      <c r="CC664" s="104"/>
      <c r="CD664" s="104"/>
      <c r="CE664" s="104"/>
      <c r="CF664" s="103"/>
      <c r="CG664" s="103"/>
      <c r="CH664" s="103"/>
      <c r="CI664" s="103"/>
      <c r="CJ664" s="103"/>
      <c r="CK664" s="133"/>
      <c r="CL664" s="133"/>
      <c r="CM664" s="133"/>
      <c r="CN664" s="133"/>
      <c r="CO664" s="133"/>
      <c r="CP664" s="133"/>
      <c r="CQ664" s="133"/>
      <c r="CR664" s="133"/>
      <c r="CS664" s="133"/>
      <c r="CT664" s="133"/>
      <c r="CU664" s="133"/>
      <c r="CV664" s="133"/>
      <c r="CW664" s="133"/>
      <c r="CX664" s="133"/>
      <c r="CY664" s="133"/>
      <c r="CZ664" s="133"/>
      <c r="DA664" s="133"/>
      <c r="DB664" s="133"/>
      <c r="DC664" s="133"/>
      <c r="DD664" s="133"/>
      <c r="DE664" s="1"/>
      <c r="DF664" s="53"/>
      <c r="DG664" s="51"/>
      <c r="DJ664" s="52"/>
      <c r="DK664" s="52"/>
      <c r="DL664" s="52"/>
      <c r="DM664" s="52"/>
      <c r="DN664" s="52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P664" s="53"/>
      <c r="EQ664" s="1"/>
      <c r="ER664" s="103"/>
      <c r="ES664" s="103"/>
      <c r="ET664" s="1"/>
      <c r="EU664" s="103"/>
      <c r="EV664" s="1"/>
      <c r="EW664" s="1"/>
      <c r="EX664" s="1"/>
      <c r="EY664" s="104"/>
    </row>
    <row r="665" spans="9:155">
      <c r="I665" s="132"/>
      <c r="J665" s="133"/>
      <c r="K665" s="1"/>
      <c r="L665" s="1"/>
      <c r="Q665" s="1"/>
      <c r="R665" s="1"/>
      <c r="S665" s="103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53"/>
      <c r="AO665" s="103"/>
      <c r="AP665" s="103"/>
      <c r="AQ665" s="103"/>
      <c r="AR665" s="103"/>
      <c r="AS665" s="103"/>
      <c r="AT665" s="31"/>
      <c r="AU665" s="31"/>
      <c r="AV665" s="31"/>
      <c r="AW665" s="146"/>
      <c r="AX665" s="146"/>
      <c r="AY665" s="103"/>
      <c r="AZ665" s="103"/>
      <c r="BA665" s="103"/>
      <c r="BB665" s="103"/>
      <c r="BC665" s="103"/>
      <c r="BD665" s="103"/>
      <c r="BE665" s="104"/>
      <c r="BF665" s="102"/>
      <c r="BG665" s="102"/>
      <c r="BH665" s="102"/>
      <c r="BI665" s="105"/>
      <c r="BJ665" s="152"/>
      <c r="BK665" s="103"/>
      <c r="BL665" s="103"/>
      <c r="BM665" s="103"/>
      <c r="BN665" s="103"/>
      <c r="BO665" s="103"/>
      <c r="BP665" s="103"/>
      <c r="BQ665" s="103"/>
      <c r="BR665" s="103"/>
      <c r="BS665" s="103"/>
      <c r="BT665" s="103"/>
      <c r="BU665" s="103"/>
      <c r="BV665" s="104"/>
      <c r="BW665" s="103"/>
      <c r="BX665" s="104"/>
      <c r="BY665" s="104"/>
      <c r="BZ665" s="104"/>
      <c r="CA665" s="104"/>
      <c r="CB665" s="104"/>
      <c r="CC665" s="104"/>
      <c r="CD665" s="104"/>
      <c r="CE665" s="104"/>
      <c r="CF665" s="103"/>
      <c r="CG665" s="103"/>
      <c r="CH665" s="103"/>
      <c r="CI665" s="103"/>
      <c r="CJ665" s="103"/>
      <c r="CK665" s="133"/>
      <c r="CL665" s="133"/>
      <c r="CM665" s="133"/>
      <c r="CN665" s="133"/>
      <c r="CO665" s="133"/>
      <c r="CP665" s="133"/>
      <c r="CQ665" s="133"/>
      <c r="CR665" s="133"/>
      <c r="CS665" s="133"/>
      <c r="CT665" s="133"/>
      <c r="CU665" s="133"/>
      <c r="CV665" s="133"/>
      <c r="CW665" s="133"/>
      <c r="CX665" s="133"/>
      <c r="CY665" s="133"/>
      <c r="CZ665" s="133"/>
      <c r="DA665" s="133"/>
      <c r="DB665" s="133"/>
      <c r="DC665" s="133"/>
      <c r="DD665" s="133"/>
      <c r="DE665" s="1"/>
      <c r="DF665" s="53"/>
      <c r="DG665" s="51"/>
      <c r="DJ665" s="52"/>
      <c r="DK665" s="52"/>
      <c r="DL665" s="52"/>
      <c r="DM665" s="52"/>
      <c r="DN665" s="52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P665" s="53"/>
      <c r="EQ665" s="1"/>
      <c r="ER665" s="103"/>
      <c r="ES665" s="103"/>
      <c r="ET665" s="1"/>
      <c r="EU665" s="103"/>
      <c r="EV665" s="1"/>
      <c r="EW665" s="1"/>
      <c r="EX665" s="1"/>
      <c r="EY665" s="104"/>
    </row>
    <row r="666" spans="9:155">
      <c r="I666" s="132"/>
      <c r="J666" s="133"/>
      <c r="K666" s="1"/>
      <c r="L666" s="1"/>
      <c r="Q666" s="1"/>
      <c r="R666" s="1"/>
      <c r="S666" s="103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53"/>
      <c r="AO666" s="103"/>
      <c r="AP666" s="103"/>
      <c r="AQ666" s="103"/>
      <c r="AR666" s="103"/>
      <c r="AS666" s="103"/>
      <c r="AT666" s="31"/>
      <c r="AU666" s="31"/>
      <c r="AV666" s="31"/>
      <c r="AW666" s="146"/>
      <c r="AX666" s="146"/>
      <c r="AY666" s="103"/>
      <c r="AZ666" s="103"/>
      <c r="BA666" s="103"/>
      <c r="BB666" s="103"/>
      <c r="BC666" s="103"/>
      <c r="BD666" s="103"/>
      <c r="BE666" s="104"/>
      <c r="BF666" s="102"/>
      <c r="BG666" s="102"/>
      <c r="BH666" s="102"/>
      <c r="BI666" s="105"/>
      <c r="BJ666" s="152"/>
      <c r="BK666" s="103"/>
      <c r="BL666" s="103"/>
      <c r="BM666" s="103"/>
      <c r="BN666" s="103"/>
      <c r="BO666" s="103"/>
      <c r="BP666" s="103"/>
      <c r="BQ666" s="103"/>
      <c r="BR666" s="103"/>
      <c r="BS666" s="103"/>
      <c r="BT666" s="103"/>
      <c r="BU666" s="103"/>
      <c r="BV666" s="104"/>
      <c r="BW666" s="103"/>
      <c r="BX666" s="104"/>
      <c r="BY666" s="104"/>
      <c r="BZ666" s="104"/>
      <c r="CA666" s="104"/>
      <c r="CB666" s="104"/>
      <c r="CC666" s="104"/>
      <c r="CD666" s="104"/>
      <c r="CE666" s="104"/>
      <c r="CF666" s="103"/>
      <c r="CG666" s="103"/>
      <c r="CH666" s="103"/>
      <c r="CI666" s="103"/>
      <c r="CJ666" s="103"/>
      <c r="CK666" s="133"/>
      <c r="CL666" s="133"/>
      <c r="CM666" s="133"/>
      <c r="CN666" s="133"/>
      <c r="CO666" s="133"/>
      <c r="CP666" s="133"/>
      <c r="CQ666" s="133"/>
      <c r="CR666" s="133"/>
      <c r="CS666" s="133"/>
      <c r="CT666" s="133"/>
      <c r="CU666" s="133"/>
      <c r="CV666" s="133"/>
      <c r="CW666" s="133"/>
      <c r="CX666" s="133"/>
      <c r="CY666" s="133"/>
      <c r="CZ666" s="133"/>
      <c r="DA666" s="133"/>
      <c r="DB666" s="133"/>
      <c r="DC666" s="133"/>
      <c r="DD666" s="133"/>
      <c r="DE666" s="1"/>
      <c r="DF666" s="53"/>
      <c r="DG666" s="51"/>
      <c r="DJ666" s="52"/>
      <c r="DK666" s="52"/>
      <c r="DL666" s="52"/>
      <c r="DM666" s="52"/>
      <c r="DN666" s="52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P666" s="53"/>
      <c r="EQ666" s="1"/>
      <c r="ER666" s="103"/>
      <c r="ES666" s="103"/>
      <c r="ET666" s="1"/>
      <c r="EU666" s="103"/>
      <c r="EV666" s="1"/>
      <c r="EW666" s="1"/>
      <c r="EX666" s="1"/>
      <c r="EY666" s="104"/>
    </row>
    <row r="667" spans="9:155">
      <c r="I667" s="132"/>
      <c r="J667" s="133"/>
      <c r="K667" s="1"/>
      <c r="L667" s="1"/>
      <c r="Q667" s="1"/>
      <c r="R667" s="1"/>
      <c r="S667" s="103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53"/>
      <c r="AO667" s="103"/>
      <c r="AP667" s="103"/>
      <c r="AQ667" s="103"/>
      <c r="AR667" s="103"/>
      <c r="AS667" s="103"/>
      <c r="AT667" s="31"/>
      <c r="AU667" s="31"/>
      <c r="AV667" s="31"/>
      <c r="AW667" s="146"/>
      <c r="AX667" s="146"/>
      <c r="AY667" s="103"/>
      <c r="AZ667" s="103"/>
      <c r="BA667" s="103"/>
      <c r="BB667" s="103"/>
      <c r="BC667" s="103"/>
      <c r="BD667" s="103"/>
      <c r="BE667" s="104"/>
      <c r="BF667" s="102"/>
      <c r="BG667" s="102"/>
      <c r="BH667" s="102"/>
      <c r="BI667" s="105"/>
      <c r="BJ667" s="152"/>
      <c r="BK667" s="103"/>
      <c r="BL667" s="103"/>
      <c r="BM667" s="103"/>
      <c r="BN667" s="103"/>
      <c r="BO667" s="103"/>
      <c r="BP667" s="103"/>
      <c r="BQ667" s="103"/>
      <c r="BR667" s="103"/>
      <c r="BS667" s="103"/>
      <c r="BT667" s="103"/>
      <c r="BU667" s="103"/>
      <c r="BV667" s="104"/>
      <c r="BW667" s="103"/>
      <c r="BX667" s="104"/>
      <c r="BY667" s="104"/>
      <c r="BZ667" s="104"/>
      <c r="CA667" s="104"/>
      <c r="CB667" s="104"/>
      <c r="CC667" s="104"/>
      <c r="CD667" s="104"/>
      <c r="CE667" s="104"/>
      <c r="CF667" s="103"/>
      <c r="CG667" s="103"/>
      <c r="CH667" s="103"/>
      <c r="CI667" s="103"/>
      <c r="CJ667" s="103"/>
      <c r="CK667" s="133"/>
      <c r="CL667" s="133"/>
      <c r="CM667" s="133"/>
      <c r="CN667" s="133"/>
      <c r="CO667" s="133"/>
      <c r="CP667" s="133"/>
      <c r="CQ667" s="133"/>
      <c r="CR667" s="133"/>
      <c r="CS667" s="133"/>
      <c r="CT667" s="133"/>
      <c r="CU667" s="133"/>
      <c r="CV667" s="133"/>
      <c r="CW667" s="133"/>
      <c r="CX667" s="133"/>
      <c r="CY667" s="133"/>
      <c r="CZ667" s="133"/>
      <c r="DA667" s="133"/>
      <c r="DB667" s="133"/>
      <c r="DC667" s="133"/>
      <c r="DD667" s="133"/>
      <c r="DE667" s="1"/>
      <c r="DF667" s="53"/>
      <c r="DG667" s="51"/>
      <c r="DJ667" s="52"/>
      <c r="DK667" s="52"/>
      <c r="DL667" s="52"/>
      <c r="DM667" s="52"/>
      <c r="DN667" s="52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P667" s="53"/>
      <c r="EQ667" s="1"/>
      <c r="ER667" s="103"/>
      <c r="ES667" s="103"/>
      <c r="ET667" s="1"/>
      <c r="EU667" s="103"/>
      <c r="EV667" s="1"/>
      <c r="EW667" s="1"/>
      <c r="EX667" s="1"/>
      <c r="EY667" s="104"/>
    </row>
    <row r="668" spans="9:155">
      <c r="I668" s="132"/>
      <c r="J668" s="133"/>
      <c r="K668" s="1"/>
      <c r="L668" s="1"/>
      <c r="Q668" s="1"/>
      <c r="R668" s="1"/>
      <c r="S668" s="103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53"/>
      <c r="AO668" s="103"/>
      <c r="AP668" s="103"/>
      <c r="AQ668" s="103"/>
      <c r="AR668" s="103"/>
      <c r="AS668" s="103"/>
      <c r="AT668" s="31"/>
      <c r="AU668" s="31"/>
      <c r="AV668" s="31"/>
      <c r="AW668" s="146"/>
      <c r="AX668" s="146"/>
      <c r="AY668" s="103"/>
      <c r="AZ668" s="103"/>
      <c r="BA668" s="103"/>
      <c r="BB668" s="103"/>
      <c r="BC668" s="103"/>
      <c r="BD668" s="103"/>
      <c r="BE668" s="104"/>
      <c r="BF668" s="102"/>
      <c r="BG668" s="102"/>
      <c r="BH668" s="102"/>
      <c r="BI668" s="105"/>
      <c r="BJ668" s="152"/>
      <c r="BK668" s="103"/>
      <c r="BL668" s="103"/>
      <c r="BM668" s="103"/>
      <c r="BN668" s="103"/>
      <c r="BO668" s="103"/>
      <c r="BP668" s="103"/>
      <c r="BQ668" s="103"/>
      <c r="BR668" s="103"/>
      <c r="BS668" s="103"/>
      <c r="BT668" s="103"/>
      <c r="BU668" s="103"/>
      <c r="BV668" s="104"/>
      <c r="BW668" s="103"/>
      <c r="BX668" s="104"/>
      <c r="BY668" s="104"/>
      <c r="BZ668" s="104"/>
      <c r="CA668" s="104"/>
      <c r="CB668" s="104"/>
      <c r="CC668" s="104"/>
      <c r="CD668" s="104"/>
      <c r="CE668" s="104"/>
      <c r="CF668" s="103"/>
      <c r="CG668" s="103"/>
      <c r="CH668" s="103"/>
      <c r="CI668" s="103"/>
      <c r="CJ668" s="103"/>
      <c r="CK668" s="133"/>
      <c r="CL668" s="133"/>
      <c r="CM668" s="133"/>
      <c r="CN668" s="133"/>
      <c r="CO668" s="133"/>
      <c r="CP668" s="133"/>
      <c r="CQ668" s="133"/>
      <c r="CR668" s="133"/>
      <c r="CS668" s="133"/>
      <c r="CT668" s="133"/>
      <c r="CU668" s="133"/>
      <c r="CV668" s="133"/>
      <c r="CW668" s="133"/>
      <c r="CX668" s="133"/>
      <c r="CY668" s="133"/>
      <c r="CZ668" s="133"/>
      <c r="DA668" s="133"/>
      <c r="DB668" s="133"/>
      <c r="DC668" s="133"/>
      <c r="DD668" s="133"/>
      <c r="DE668" s="1"/>
      <c r="DF668" s="53"/>
      <c r="DG668" s="51"/>
      <c r="DJ668" s="52"/>
      <c r="DK668" s="52"/>
      <c r="DL668" s="52"/>
      <c r="DM668" s="52"/>
      <c r="DN668" s="52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P668" s="53"/>
      <c r="EQ668" s="1"/>
      <c r="ER668" s="103"/>
      <c r="ES668" s="103"/>
      <c r="ET668" s="1"/>
      <c r="EU668" s="103"/>
      <c r="EV668" s="1"/>
      <c r="EW668" s="1"/>
      <c r="EX668" s="1"/>
      <c r="EY668" s="104"/>
    </row>
    <row r="669" spans="9:155">
      <c r="I669" s="132"/>
      <c r="J669" s="133"/>
      <c r="K669" s="1"/>
      <c r="L669" s="1"/>
      <c r="Q669" s="1"/>
      <c r="R669" s="1"/>
      <c r="S669" s="103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53"/>
      <c r="AO669" s="103"/>
      <c r="AP669" s="103"/>
      <c r="AQ669" s="103"/>
      <c r="AR669" s="103"/>
      <c r="AS669" s="103"/>
      <c r="AT669" s="31"/>
      <c r="AU669" s="31"/>
      <c r="AV669" s="31"/>
      <c r="AW669" s="146"/>
      <c r="AX669" s="146"/>
      <c r="AY669" s="103"/>
      <c r="AZ669" s="103"/>
      <c r="BA669" s="103"/>
      <c r="BB669" s="103"/>
      <c r="BC669" s="103"/>
      <c r="BD669" s="103"/>
      <c r="BE669" s="104"/>
      <c r="BF669" s="102"/>
      <c r="BG669" s="102"/>
      <c r="BH669" s="102"/>
      <c r="BI669" s="105"/>
      <c r="BJ669" s="152"/>
      <c r="BK669" s="103"/>
      <c r="BL669" s="103"/>
      <c r="BM669" s="103"/>
      <c r="BN669" s="103"/>
      <c r="BO669" s="103"/>
      <c r="BP669" s="103"/>
      <c r="BQ669" s="103"/>
      <c r="BR669" s="103"/>
      <c r="BS669" s="103"/>
      <c r="BT669" s="103"/>
      <c r="BU669" s="103"/>
      <c r="BV669" s="104"/>
      <c r="BW669" s="103"/>
      <c r="BX669" s="104"/>
      <c r="BY669" s="104"/>
      <c r="BZ669" s="104"/>
      <c r="CA669" s="104"/>
      <c r="CB669" s="104"/>
      <c r="CC669" s="104"/>
      <c r="CD669" s="104"/>
      <c r="CE669" s="104"/>
      <c r="CF669" s="103"/>
      <c r="CG669" s="103"/>
      <c r="CH669" s="103"/>
      <c r="CI669" s="103"/>
      <c r="CJ669" s="103"/>
      <c r="CK669" s="133"/>
      <c r="CL669" s="133"/>
      <c r="CM669" s="133"/>
      <c r="CN669" s="133"/>
      <c r="CO669" s="133"/>
      <c r="CP669" s="133"/>
      <c r="CQ669" s="133"/>
      <c r="CR669" s="133"/>
      <c r="CS669" s="133"/>
      <c r="CT669" s="133"/>
      <c r="CU669" s="133"/>
      <c r="CV669" s="133"/>
      <c r="CW669" s="133"/>
      <c r="CX669" s="133"/>
      <c r="CY669" s="133"/>
      <c r="CZ669" s="133"/>
      <c r="DA669" s="133"/>
      <c r="DB669" s="133"/>
      <c r="DC669" s="133"/>
      <c r="DD669" s="133"/>
      <c r="DE669" s="1"/>
      <c r="DF669" s="53"/>
      <c r="DG669" s="51"/>
      <c r="DJ669" s="52"/>
      <c r="DK669" s="52"/>
      <c r="DL669" s="52"/>
      <c r="DM669" s="52"/>
      <c r="DN669" s="52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P669" s="53"/>
      <c r="EQ669" s="1"/>
      <c r="ER669" s="103"/>
      <c r="ES669" s="103"/>
      <c r="ET669" s="1"/>
      <c r="EU669" s="103"/>
      <c r="EV669" s="1"/>
      <c r="EW669" s="1"/>
      <c r="EX669" s="1"/>
      <c r="EY669" s="104"/>
    </row>
    <row r="670" spans="9:155">
      <c r="I670" s="132"/>
      <c r="J670" s="133"/>
      <c r="K670" s="1"/>
      <c r="L670" s="1"/>
      <c r="Q670" s="1"/>
      <c r="R670" s="1"/>
      <c r="S670" s="103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53"/>
      <c r="AO670" s="103"/>
      <c r="AP670" s="103"/>
      <c r="AQ670" s="103"/>
      <c r="AR670" s="103"/>
      <c r="AS670" s="103"/>
      <c r="AT670" s="31"/>
      <c r="AU670" s="31"/>
      <c r="AV670" s="31"/>
      <c r="AW670" s="146"/>
      <c r="AX670" s="146"/>
      <c r="AY670" s="103"/>
      <c r="AZ670" s="103"/>
      <c r="BA670" s="103"/>
      <c r="BB670" s="103"/>
      <c r="BC670" s="103"/>
      <c r="BD670" s="103"/>
      <c r="BE670" s="104"/>
      <c r="BF670" s="102"/>
      <c r="BG670" s="102"/>
      <c r="BH670" s="102"/>
      <c r="BI670" s="105"/>
      <c r="BJ670" s="152"/>
      <c r="BK670" s="103"/>
      <c r="BL670" s="103"/>
      <c r="BM670" s="103"/>
      <c r="BN670" s="103"/>
      <c r="BO670" s="103"/>
      <c r="BP670" s="103"/>
      <c r="BQ670" s="103"/>
      <c r="BR670" s="103"/>
      <c r="BS670" s="103"/>
      <c r="BT670" s="103"/>
      <c r="BU670" s="103"/>
      <c r="BV670" s="104"/>
      <c r="BW670" s="103"/>
      <c r="BX670" s="104"/>
      <c r="BY670" s="104"/>
      <c r="BZ670" s="104"/>
      <c r="CA670" s="104"/>
      <c r="CB670" s="104"/>
      <c r="CC670" s="104"/>
      <c r="CD670" s="104"/>
      <c r="CE670" s="104"/>
      <c r="CF670" s="103"/>
      <c r="CG670" s="103"/>
      <c r="CH670" s="103"/>
      <c r="CI670" s="103"/>
      <c r="CJ670" s="103"/>
      <c r="CK670" s="133"/>
      <c r="CL670" s="133"/>
      <c r="CM670" s="133"/>
      <c r="CN670" s="133"/>
      <c r="CO670" s="133"/>
      <c r="CP670" s="133"/>
      <c r="CQ670" s="133"/>
      <c r="CR670" s="133"/>
      <c r="CS670" s="133"/>
      <c r="CT670" s="133"/>
      <c r="CU670" s="133"/>
      <c r="CV670" s="133"/>
      <c r="CW670" s="133"/>
      <c r="CX670" s="133"/>
      <c r="CY670" s="133"/>
      <c r="CZ670" s="133"/>
      <c r="DA670" s="133"/>
      <c r="DB670" s="133"/>
      <c r="DC670" s="133"/>
      <c r="DD670" s="133"/>
      <c r="DE670" s="1"/>
      <c r="DF670" s="53"/>
      <c r="DG670" s="51"/>
      <c r="DJ670" s="52"/>
      <c r="DK670" s="52"/>
      <c r="DL670" s="52"/>
      <c r="DM670" s="52"/>
      <c r="DN670" s="52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P670" s="53"/>
      <c r="EQ670" s="1"/>
      <c r="ER670" s="103"/>
      <c r="ES670" s="103"/>
      <c r="ET670" s="1"/>
      <c r="EU670" s="103"/>
      <c r="EV670" s="1"/>
      <c r="EW670" s="1"/>
      <c r="EX670" s="1"/>
      <c r="EY670" s="104"/>
    </row>
    <row r="671" spans="9:155">
      <c r="I671" s="132"/>
      <c r="J671" s="133"/>
      <c r="K671" s="1"/>
      <c r="L671" s="1"/>
      <c r="Q671" s="1"/>
      <c r="R671" s="1"/>
      <c r="S671" s="103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53"/>
      <c r="AO671" s="103"/>
      <c r="AP671" s="103"/>
      <c r="AQ671" s="103"/>
      <c r="AR671" s="103"/>
      <c r="AS671" s="103"/>
      <c r="AT671" s="31"/>
      <c r="AU671" s="31"/>
      <c r="AV671" s="31"/>
      <c r="AW671" s="146"/>
      <c r="AX671" s="146"/>
      <c r="AY671" s="103"/>
      <c r="AZ671" s="103"/>
      <c r="BA671" s="103"/>
      <c r="BB671" s="103"/>
      <c r="BC671" s="103"/>
      <c r="BD671" s="103"/>
      <c r="BE671" s="104"/>
      <c r="BF671" s="102"/>
      <c r="BG671" s="102"/>
      <c r="BH671" s="102"/>
      <c r="BI671" s="105"/>
      <c r="BJ671" s="152"/>
      <c r="BK671" s="103"/>
      <c r="BL671" s="103"/>
      <c r="BM671" s="103"/>
      <c r="BN671" s="103"/>
      <c r="BO671" s="103"/>
      <c r="BP671" s="103"/>
      <c r="BQ671" s="103"/>
      <c r="BR671" s="103"/>
      <c r="BS671" s="103"/>
      <c r="BT671" s="103"/>
      <c r="BU671" s="103"/>
      <c r="BV671" s="104"/>
      <c r="BW671" s="103"/>
      <c r="BX671" s="104"/>
      <c r="BY671" s="104"/>
      <c r="BZ671" s="104"/>
      <c r="CA671" s="104"/>
      <c r="CB671" s="104"/>
      <c r="CC671" s="104"/>
      <c r="CD671" s="104"/>
      <c r="CE671" s="104"/>
      <c r="CF671" s="103"/>
      <c r="CG671" s="103"/>
      <c r="CH671" s="103"/>
      <c r="CI671" s="103"/>
      <c r="CJ671" s="103"/>
      <c r="CK671" s="133"/>
      <c r="CL671" s="133"/>
      <c r="CM671" s="133"/>
      <c r="CN671" s="133"/>
      <c r="CO671" s="133"/>
      <c r="CP671" s="133"/>
      <c r="CQ671" s="133"/>
      <c r="CR671" s="133"/>
      <c r="CS671" s="133"/>
      <c r="CT671" s="133"/>
      <c r="CU671" s="133"/>
      <c r="CV671" s="133"/>
      <c r="CW671" s="133"/>
      <c r="CX671" s="133"/>
      <c r="CY671" s="133"/>
      <c r="CZ671" s="133"/>
      <c r="DA671" s="133"/>
      <c r="DB671" s="133"/>
      <c r="DC671" s="133"/>
      <c r="DD671" s="133"/>
      <c r="DE671" s="1"/>
      <c r="DF671" s="53"/>
      <c r="DG671" s="51"/>
      <c r="DJ671" s="52"/>
      <c r="DK671" s="52"/>
      <c r="DL671" s="52"/>
      <c r="DM671" s="52"/>
      <c r="DN671" s="52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P671" s="53"/>
      <c r="EQ671" s="1"/>
      <c r="ER671" s="103"/>
      <c r="ES671" s="103"/>
      <c r="ET671" s="1"/>
      <c r="EU671" s="103"/>
      <c r="EV671" s="1"/>
      <c r="EW671" s="1"/>
      <c r="EX671" s="1"/>
      <c r="EY671" s="104"/>
    </row>
    <row r="672" spans="9:155">
      <c r="I672" s="132"/>
      <c r="J672" s="133"/>
      <c r="K672" s="1"/>
      <c r="L672" s="1"/>
      <c r="Q672" s="1"/>
      <c r="R672" s="1"/>
      <c r="S672" s="103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53"/>
      <c r="AO672" s="103"/>
      <c r="AP672" s="103"/>
      <c r="AQ672" s="103"/>
      <c r="AR672" s="103"/>
      <c r="AS672" s="103"/>
      <c r="AT672" s="31"/>
      <c r="AU672" s="31"/>
      <c r="AV672" s="31"/>
      <c r="AW672" s="146"/>
      <c r="AX672" s="146"/>
      <c r="AY672" s="103"/>
      <c r="AZ672" s="103"/>
      <c r="BA672" s="103"/>
      <c r="BB672" s="103"/>
      <c r="BC672" s="103"/>
      <c r="BD672" s="103"/>
      <c r="BE672" s="104"/>
      <c r="BF672" s="102"/>
      <c r="BG672" s="102"/>
      <c r="BH672" s="102"/>
      <c r="BI672" s="105"/>
      <c r="BJ672" s="152"/>
      <c r="BK672" s="103"/>
      <c r="BL672" s="103"/>
      <c r="BM672" s="103"/>
      <c r="BN672" s="103"/>
      <c r="BO672" s="103"/>
      <c r="BP672" s="103"/>
      <c r="BQ672" s="103"/>
      <c r="BR672" s="103"/>
      <c r="BS672" s="103"/>
      <c r="BT672" s="103"/>
      <c r="BU672" s="103"/>
      <c r="BV672" s="104"/>
      <c r="BW672" s="103"/>
      <c r="BX672" s="104"/>
      <c r="BY672" s="104"/>
      <c r="BZ672" s="104"/>
      <c r="CA672" s="104"/>
      <c r="CB672" s="104"/>
      <c r="CC672" s="104"/>
      <c r="CD672" s="104"/>
      <c r="CE672" s="104"/>
      <c r="CF672" s="103"/>
      <c r="CG672" s="103"/>
      <c r="CH672" s="103"/>
      <c r="CI672" s="103"/>
      <c r="CJ672" s="103"/>
      <c r="CK672" s="133"/>
      <c r="CL672" s="133"/>
      <c r="CM672" s="133"/>
      <c r="CN672" s="133"/>
      <c r="CO672" s="133"/>
      <c r="CP672" s="133"/>
      <c r="CQ672" s="133"/>
      <c r="CR672" s="133"/>
      <c r="CS672" s="133"/>
      <c r="CT672" s="133"/>
      <c r="CU672" s="133"/>
      <c r="CV672" s="133"/>
      <c r="CW672" s="133"/>
      <c r="CX672" s="133"/>
      <c r="CY672" s="133"/>
      <c r="CZ672" s="133"/>
      <c r="DA672" s="133"/>
      <c r="DB672" s="133"/>
      <c r="DC672" s="133"/>
      <c r="DD672" s="133"/>
      <c r="DE672" s="1"/>
      <c r="DF672" s="53"/>
      <c r="DG672" s="51"/>
      <c r="DJ672" s="52"/>
      <c r="DK672" s="52"/>
      <c r="DL672" s="52"/>
      <c r="DM672" s="52"/>
      <c r="DN672" s="52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P672" s="53"/>
      <c r="EQ672" s="1"/>
      <c r="ER672" s="103"/>
      <c r="ES672" s="103"/>
      <c r="ET672" s="1"/>
      <c r="EU672" s="103"/>
      <c r="EV672" s="1"/>
      <c r="EW672" s="1"/>
      <c r="EX672" s="1"/>
      <c r="EY672" s="104"/>
    </row>
    <row r="673" spans="9:155">
      <c r="I673" s="132"/>
      <c r="J673" s="133"/>
      <c r="K673" s="1"/>
      <c r="L673" s="1"/>
      <c r="Q673" s="1"/>
      <c r="R673" s="1"/>
      <c r="S673" s="103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53"/>
      <c r="AO673" s="103"/>
      <c r="AP673" s="103"/>
      <c r="AQ673" s="103"/>
      <c r="AR673" s="103"/>
      <c r="AS673" s="103"/>
      <c r="AT673" s="31"/>
      <c r="AU673" s="31"/>
      <c r="AV673" s="31"/>
      <c r="AW673" s="146"/>
      <c r="AX673" s="146"/>
      <c r="AY673" s="103"/>
      <c r="AZ673" s="103"/>
      <c r="BA673" s="103"/>
      <c r="BB673" s="103"/>
      <c r="BC673" s="103"/>
      <c r="BD673" s="103"/>
      <c r="BE673" s="104"/>
      <c r="BF673" s="102"/>
      <c r="BG673" s="102"/>
      <c r="BH673" s="102"/>
      <c r="BI673" s="105"/>
      <c r="BJ673" s="152"/>
      <c r="BK673" s="103"/>
      <c r="BL673" s="103"/>
      <c r="BM673" s="103"/>
      <c r="BN673" s="103"/>
      <c r="BO673" s="103"/>
      <c r="BP673" s="103"/>
      <c r="BQ673" s="103"/>
      <c r="BR673" s="103"/>
      <c r="BS673" s="103"/>
      <c r="BT673" s="103"/>
      <c r="BU673" s="103"/>
      <c r="BV673" s="104"/>
      <c r="BW673" s="103"/>
      <c r="BX673" s="104"/>
      <c r="BY673" s="104"/>
      <c r="BZ673" s="104"/>
      <c r="CA673" s="104"/>
      <c r="CB673" s="104"/>
      <c r="CC673" s="104"/>
      <c r="CD673" s="104"/>
      <c r="CE673" s="104"/>
      <c r="CF673" s="103"/>
      <c r="CG673" s="103"/>
      <c r="CH673" s="103"/>
      <c r="CI673" s="103"/>
      <c r="CJ673" s="103"/>
      <c r="CK673" s="133"/>
      <c r="CL673" s="133"/>
      <c r="CM673" s="133"/>
      <c r="CN673" s="133"/>
      <c r="CO673" s="133"/>
      <c r="CP673" s="133"/>
      <c r="CQ673" s="133"/>
      <c r="CR673" s="133"/>
      <c r="CS673" s="133"/>
      <c r="CT673" s="133"/>
      <c r="CU673" s="133"/>
      <c r="CV673" s="133"/>
      <c r="CW673" s="133"/>
      <c r="CX673" s="133"/>
      <c r="CY673" s="133"/>
      <c r="CZ673" s="133"/>
      <c r="DA673" s="133"/>
      <c r="DB673" s="133"/>
      <c r="DC673" s="133"/>
      <c r="DD673" s="133"/>
      <c r="DE673" s="1"/>
      <c r="DF673" s="53"/>
      <c r="DG673" s="51"/>
      <c r="DJ673" s="52"/>
      <c r="DK673" s="52"/>
      <c r="DL673" s="52"/>
      <c r="DM673" s="52"/>
      <c r="DN673" s="52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P673" s="53"/>
      <c r="EQ673" s="1"/>
      <c r="ER673" s="103"/>
      <c r="ES673" s="103"/>
      <c r="ET673" s="1"/>
      <c r="EU673" s="103"/>
      <c r="EV673" s="1"/>
      <c r="EW673" s="1"/>
      <c r="EX673" s="1"/>
      <c r="EY673" s="104"/>
    </row>
    <row r="674" spans="9:155">
      <c r="I674" s="132"/>
      <c r="J674" s="133"/>
      <c r="K674" s="1"/>
      <c r="L674" s="1"/>
      <c r="Q674" s="1"/>
      <c r="R674" s="1"/>
      <c r="S674" s="103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53"/>
      <c r="AO674" s="103"/>
      <c r="AP674" s="103"/>
      <c r="AQ674" s="103"/>
      <c r="AR674" s="103"/>
      <c r="AS674" s="103"/>
      <c r="AT674" s="31"/>
      <c r="AU674" s="31"/>
      <c r="AV674" s="31"/>
      <c r="AW674" s="146"/>
      <c r="AX674" s="146"/>
      <c r="AY674" s="103"/>
      <c r="AZ674" s="103"/>
      <c r="BA674" s="103"/>
      <c r="BB674" s="103"/>
      <c r="BC674" s="103"/>
      <c r="BD674" s="103"/>
      <c r="BE674" s="104"/>
      <c r="BF674" s="102"/>
      <c r="BG674" s="102"/>
      <c r="BH674" s="102"/>
      <c r="BI674" s="105"/>
      <c r="BJ674" s="152"/>
      <c r="BK674" s="103"/>
      <c r="BL674" s="103"/>
      <c r="BM674" s="103"/>
      <c r="BN674" s="103"/>
      <c r="BO674" s="103"/>
      <c r="BP674" s="103"/>
      <c r="BQ674" s="103"/>
      <c r="BR674" s="103"/>
      <c r="BS674" s="103"/>
      <c r="BT674" s="103"/>
      <c r="BU674" s="103"/>
      <c r="BV674" s="104"/>
      <c r="BW674" s="103"/>
      <c r="BX674" s="104"/>
      <c r="BY674" s="104"/>
      <c r="BZ674" s="104"/>
      <c r="CA674" s="104"/>
      <c r="CB674" s="104"/>
      <c r="CC674" s="104"/>
      <c r="CD674" s="104"/>
      <c r="CE674" s="104"/>
      <c r="CF674" s="103"/>
      <c r="CG674" s="103"/>
      <c r="CH674" s="103"/>
      <c r="CI674" s="103"/>
      <c r="CJ674" s="103"/>
      <c r="CK674" s="133"/>
      <c r="CL674" s="133"/>
      <c r="CM674" s="133"/>
      <c r="CN674" s="133"/>
      <c r="CO674" s="133"/>
      <c r="CP674" s="133"/>
      <c r="CQ674" s="133"/>
      <c r="CR674" s="133"/>
      <c r="CS674" s="133"/>
      <c r="CT674" s="133"/>
      <c r="CU674" s="133"/>
      <c r="CV674" s="133"/>
      <c r="CW674" s="133"/>
      <c r="CX674" s="133"/>
      <c r="CY674" s="133"/>
      <c r="CZ674" s="133"/>
      <c r="DA674" s="133"/>
      <c r="DB674" s="133"/>
      <c r="DC674" s="133"/>
      <c r="DD674" s="133"/>
      <c r="DE674" s="1"/>
      <c r="DF674" s="53"/>
      <c r="DG674" s="51"/>
      <c r="DJ674" s="52"/>
      <c r="DK674" s="52"/>
      <c r="DL674" s="52"/>
      <c r="DM674" s="52"/>
      <c r="DN674" s="52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P674" s="53"/>
      <c r="EQ674" s="1"/>
      <c r="ER674" s="103"/>
      <c r="ES674" s="103"/>
      <c r="ET674" s="1"/>
      <c r="EU674" s="103"/>
      <c r="EV674" s="1"/>
      <c r="EW674" s="1"/>
      <c r="EX674" s="1"/>
      <c r="EY674" s="104"/>
    </row>
    <row r="675" spans="9:155">
      <c r="I675" s="132"/>
      <c r="J675" s="133"/>
      <c r="K675" s="1"/>
      <c r="L675" s="1"/>
      <c r="Q675" s="1"/>
      <c r="R675" s="1"/>
      <c r="S675" s="103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53"/>
      <c r="AO675" s="103"/>
      <c r="AP675" s="103"/>
      <c r="AQ675" s="103"/>
      <c r="AR675" s="103"/>
      <c r="AS675" s="103"/>
      <c r="AT675" s="31"/>
      <c r="AU675" s="31"/>
      <c r="AV675" s="31"/>
      <c r="AW675" s="146"/>
      <c r="AX675" s="146"/>
      <c r="AY675" s="103"/>
      <c r="AZ675" s="103"/>
      <c r="BA675" s="103"/>
      <c r="BB675" s="103"/>
      <c r="BC675" s="103"/>
      <c r="BD675" s="103"/>
      <c r="BE675" s="104"/>
      <c r="BF675" s="102"/>
      <c r="BG675" s="102"/>
      <c r="BH675" s="102"/>
      <c r="BI675" s="105"/>
      <c r="BJ675" s="152"/>
      <c r="BK675" s="103"/>
      <c r="BL675" s="103"/>
      <c r="BM675" s="103"/>
      <c r="BN675" s="103"/>
      <c r="BO675" s="103"/>
      <c r="BP675" s="103"/>
      <c r="BQ675" s="103"/>
      <c r="BR675" s="103"/>
      <c r="BS675" s="103"/>
      <c r="BT675" s="103"/>
      <c r="BU675" s="103"/>
      <c r="BV675" s="104"/>
      <c r="BW675" s="103"/>
      <c r="BX675" s="104"/>
      <c r="BY675" s="104"/>
      <c r="BZ675" s="104"/>
      <c r="CA675" s="104"/>
      <c r="CB675" s="104"/>
      <c r="CC675" s="104"/>
      <c r="CD675" s="104"/>
      <c r="CE675" s="104"/>
      <c r="CF675" s="103"/>
      <c r="CG675" s="103"/>
      <c r="CH675" s="103"/>
      <c r="CI675" s="103"/>
      <c r="CJ675" s="103"/>
      <c r="CK675" s="133"/>
      <c r="CL675" s="133"/>
      <c r="CM675" s="133"/>
      <c r="CN675" s="133"/>
      <c r="CO675" s="133"/>
      <c r="CP675" s="133"/>
      <c r="CQ675" s="133"/>
      <c r="CR675" s="133"/>
      <c r="CS675" s="133"/>
      <c r="CT675" s="133"/>
      <c r="CU675" s="133"/>
      <c r="CV675" s="133"/>
      <c r="CW675" s="133"/>
      <c r="CX675" s="133"/>
      <c r="CY675" s="133"/>
      <c r="CZ675" s="133"/>
      <c r="DA675" s="133"/>
      <c r="DB675" s="133"/>
      <c r="DC675" s="133"/>
      <c r="DD675" s="133"/>
      <c r="DE675" s="1"/>
      <c r="DF675" s="53"/>
      <c r="DG675" s="51"/>
      <c r="DJ675" s="52"/>
      <c r="DK675" s="52"/>
      <c r="DL675" s="52"/>
      <c r="DM675" s="52"/>
      <c r="DN675" s="52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P675" s="53"/>
      <c r="EQ675" s="1"/>
      <c r="ER675" s="103"/>
      <c r="ES675" s="103"/>
      <c r="ET675" s="1"/>
      <c r="EU675" s="103"/>
      <c r="EV675" s="1"/>
      <c r="EW675" s="1"/>
      <c r="EX675" s="1"/>
      <c r="EY675" s="104"/>
    </row>
    <row r="676" spans="9:155">
      <c r="I676" s="132"/>
      <c r="J676" s="133"/>
      <c r="K676" s="1"/>
      <c r="L676" s="1"/>
      <c r="Q676" s="1"/>
      <c r="R676" s="1"/>
      <c r="S676" s="103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53"/>
      <c r="AO676" s="103"/>
      <c r="AP676" s="103"/>
      <c r="AQ676" s="103"/>
      <c r="AR676" s="103"/>
      <c r="AS676" s="103"/>
      <c r="AT676" s="31"/>
      <c r="AU676" s="31"/>
      <c r="AV676" s="31"/>
      <c r="AW676" s="146"/>
      <c r="AX676" s="146"/>
      <c r="AY676" s="103"/>
      <c r="AZ676" s="103"/>
      <c r="BA676" s="103"/>
      <c r="BB676" s="103"/>
      <c r="BC676" s="103"/>
      <c r="BD676" s="103"/>
      <c r="BE676" s="104"/>
      <c r="BF676" s="102"/>
      <c r="BG676" s="102"/>
      <c r="BH676" s="102"/>
      <c r="BI676" s="105"/>
      <c r="BJ676" s="152"/>
      <c r="BK676" s="103"/>
      <c r="BL676" s="103"/>
      <c r="BM676" s="103"/>
      <c r="BN676" s="103"/>
      <c r="BO676" s="103"/>
      <c r="BP676" s="103"/>
      <c r="BQ676" s="103"/>
      <c r="BR676" s="103"/>
      <c r="BS676" s="103"/>
      <c r="BT676" s="103"/>
      <c r="BU676" s="103"/>
      <c r="BV676" s="104"/>
      <c r="BW676" s="103"/>
      <c r="BX676" s="104"/>
      <c r="BY676" s="104"/>
      <c r="BZ676" s="104"/>
      <c r="CA676" s="104"/>
      <c r="CB676" s="104"/>
      <c r="CC676" s="104"/>
      <c r="CD676" s="104"/>
      <c r="CE676" s="104"/>
      <c r="CF676" s="103"/>
      <c r="CG676" s="103"/>
      <c r="CH676" s="103"/>
      <c r="CI676" s="103"/>
      <c r="CJ676" s="103"/>
      <c r="CK676" s="133"/>
      <c r="CL676" s="133"/>
      <c r="CM676" s="133"/>
      <c r="CN676" s="133"/>
      <c r="CO676" s="133"/>
      <c r="CP676" s="133"/>
      <c r="CQ676" s="133"/>
      <c r="CR676" s="133"/>
      <c r="CS676" s="133"/>
      <c r="CT676" s="133"/>
      <c r="CU676" s="133"/>
      <c r="CV676" s="133"/>
      <c r="CW676" s="133"/>
      <c r="CX676" s="133"/>
      <c r="CY676" s="133"/>
      <c r="CZ676" s="133"/>
      <c r="DA676" s="133"/>
      <c r="DB676" s="133"/>
      <c r="DC676" s="133"/>
      <c r="DD676" s="133"/>
      <c r="DE676" s="1"/>
      <c r="DF676" s="53"/>
      <c r="DG676" s="51"/>
      <c r="DJ676" s="52"/>
      <c r="DK676" s="52"/>
      <c r="DL676" s="52"/>
      <c r="DM676" s="52"/>
      <c r="DN676" s="52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P676" s="53"/>
      <c r="EQ676" s="1"/>
      <c r="ER676" s="103"/>
      <c r="ES676" s="103"/>
      <c r="ET676" s="1"/>
      <c r="EU676" s="103"/>
      <c r="EV676" s="1"/>
      <c r="EW676" s="1"/>
      <c r="EX676" s="1"/>
      <c r="EY676" s="104"/>
    </row>
    <row r="677" spans="9:155">
      <c r="I677" s="132"/>
      <c r="J677" s="133"/>
      <c r="K677" s="1"/>
      <c r="L677" s="1"/>
      <c r="Q677" s="1"/>
      <c r="R677" s="1"/>
      <c r="S677" s="103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53"/>
      <c r="AO677" s="103"/>
      <c r="AP677" s="103"/>
      <c r="AQ677" s="103"/>
      <c r="AR677" s="103"/>
      <c r="AS677" s="103"/>
      <c r="AT677" s="31"/>
      <c r="AU677" s="31"/>
      <c r="AV677" s="31"/>
      <c r="AW677" s="146"/>
      <c r="AX677" s="146"/>
      <c r="AY677" s="103"/>
      <c r="AZ677" s="103"/>
      <c r="BA677" s="103"/>
      <c r="BB677" s="103"/>
      <c r="BC677" s="103"/>
      <c r="BD677" s="103"/>
      <c r="BE677" s="104"/>
      <c r="BF677" s="102"/>
      <c r="BG677" s="102"/>
      <c r="BH677" s="102"/>
      <c r="BI677" s="105"/>
      <c r="BJ677" s="152"/>
      <c r="BK677" s="103"/>
      <c r="BL677" s="103"/>
      <c r="BM677" s="103"/>
      <c r="BN677" s="103"/>
      <c r="BO677" s="103"/>
      <c r="BP677" s="103"/>
      <c r="BQ677" s="103"/>
      <c r="BR677" s="103"/>
      <c r="BS677" s="103"/>
      <c r="BT677" s="103"/>
      <c r="BU677" s="103"/>
      <c r="BV677" s="104"/>
      <c r="BW677" s="103"/>
      <c r="BX677" s="104"/>
      <c r="BY677" s="104"/>
      <c r="BZ677" s="104"/>
      <c r="CA677" s="104"/>
      <c r="CB677" s="104"/>
      <c r="CC677" s="104"/>
      <c r="CD677" s="104"/>
      <c r="CE677" s="104"/>
      <c r="CF677" s="103"/>
      <c r="CG677" s="103"/>
      <c r="CH677" s="103"/>
      <c r="CI677" s="103"/>
      <c r="CJ677" s="103"/>
      <c r="CK677" s="133"/>
      <c r="CL677" s="133"/>
      <c r="CM677" s="133"/>
      <c r="CN677" s="133"/>
      <c r="CO677" s="133"/>
      <c r="CP677" s="133"/>
      <c r="CQ677" s="133"/>
      <c r="CR677" s="133"/>
      <c r="CS677" s="133"/>
      <c r="CT677" s="133"/>
      <c r="CU677" s="133"/>
      <c r="CV677" s="133"/>
      <c r="CW677" s="133"/>
      <c r="CX677" s="133"/>
      <c r="CY677" s="133"/>
      <c r="CZ677" s="133"/>
      <c r="DA677" s="133"/>
      <c r="DB677" s="133"/>
      <c r="DC677" s="133"/>
      <c r="DD677" s="133"/>
      <c r="DE677" s="1"/>
      <c r="DF677" s="53"/>
      <c r="DG677" s="51"/>
      <c r="DJ677" s="52"/>
      <c r="DK677" s="52"/>
      <c r="DL677" s="52"/>
      <c r="DM677" s="52"/>
      <c r="DN677" s="52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P677" s="53"/>
      <c r="EQ677" s="1"/>
      <c r="ER677" s="103"/>
      <c r="ES677" s="103"/>
      <c r="ET677" s="1"/>
      <c r="EU677" s="103"/>
      <c r="EV677" s="1"/>
      <c r="EW677" s="1"/>
      <c r="EX677" s="1"/>
      <c r="EY677" s="104"/>
    </row>
    <row r="678" spans="9:155">
      <c r="I678" s="132"/>
      <c r="J678" s="133"/>
      <c r="K678" s="1"/>
      <c r="L678" s="1"/>
      <c r="Q678" s="1"/>
      <c r="R678" s="1"/>
      <c r="S678" s="103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53"/>
      <c r="AO678" s="103"/>
      <c r="AP678" s="103"/>
      <c r="AQ678" s="103"/>
      <c r="AR678" s="103"/>
      <c r="AS678" s="103"/>
      <c r="AT678" s="31"/>
      <c r="AU678" s="31"/>
      <c r="AV678" s="31"/>
      <c r="AW678" s="146"/>
      <c r="AX678" s="146"/>
      <c r="AY678" s="103"/>
      <c r="AZ678" s="103"/>
      <c r="BA678" s="103"/>
      <c r="BB678" s="103"/>
      <c r="BC678" s="103"/>
      <c r="BD678" s="103"/>
      <c r="BE678" s="104"/>
      <c r="BF678" s="102"/>
      <c r="BG678" s="102"/>
      <c r="BH678" s="102"/>
      <c r="BI678" s="105"/>
      <c r="BJ678" s="152"/>
      <c r="BK678" s="103"/>
      <c r="BL678" s="103"/>
      <c r="BM678" s="103"/>
      <c r="BN678" s="103"/>
      <c r="BO678" s="103"/>
      <c r="BP678" s="103"/>
      <c r="BQ678" s="103"/>
      <c r="BR678" s="103"/>
      <c r="BS678" s="103"/>
      <c r="BT678" s="103"/>
      <c r="BU678" s="103"/>
      <c r="BV678" s="104"/>
      <c r="BW678" s="103"/>
      <c r="BX678" s="104"/>
      <c r="BY678" s="104"/>
      <c r="BZ678" s="104"/>
      <c r="CA678" s="104"/>
      <c r="CB678" s="104"/>
      <c r="CC678" s="104"/>
      <c r="CD678" s="104"/>
      <c r="CE678" s="104"/>
      <c r="CF678" s="103"/>
      <c r="CG678" s="103"/>
      <c r="CH678" s="103"/>
      <c r="CI678" s="103"/>
      <c r="CJ678" s="103"/>
      <c r="CK678" s="133"/>
      <c r="CL678" s="133"/>
      <c r="CM678" s="133"/>
      <c r="CN678" s="133"/>
      <c r="CO678" s="133"/>
      <c r="CP678" s="133"/>
      <c r="CQ678" s="133"/>
      <c r="CR678" s="133"/>
      <c r="CS678" s="133"/>
      <c r="CT678" s="133"/>
      <c r="CU678" s="133"/>
      <c r="CV678" s="133"/>
      <c r="CW678" s="133"/>
      <c r="CX678" s="133"/>
      <c r="CY678" s="133"/>
      <c r="CZ678" s="133"/>
      <c r="DA678" s="133"/>
      <c r="DB678" s="133"/>
      <c r="DC678" s="133"/>
      <c r="DD678" s="133"/>
      <c r="DE678" s="1"/>
      <c r="DF678" s="53"/>
      <c r="DG678" s="51"/>
      <c r="DJ678" s="52"/>
      <c r="DK678" s="52"/>
      <c r="DL678" s="52"/>
      <c r="DM678" s="52"/>
      <c r="DN678" s="52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P678" s="53"/>
      <c r="EQ678" s="1"/>
      <c r="ER678" s="103"/>
      <c r="ES678" s="103"/>
      <c r="ET678" s="1"/>
      <c r="EU678" s="103"/>
      <c r="EV678" s="1"/>
      <c r="EW678" s="1"/>
      <c r="EX678" s="1"/>
      <c r="EY678" s="104"/>
    </row>
    <row r="679" spans="9:155">
      <c r="I679" s="132"/>
      <c r="J679" s="133"/>
      <c r="K679" s="1"/>
      <c r="L679" s="1"/>
      <c r="Q679" s="1"/>
      <c r="R679" s="1"/>
      <c r="S679" s="103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53"/>
      <c r="AO679" s="103"/>
      <c r="AP679" s="103"/>
      <c r="AQ679" s="103"/>
      <c r="AR679" s="103"/>
      <c r="AS679" s="103"/>
      <c r="AT679" s="31"/>
      <c r="AU679" s="31"/>
      <c r="AV679" s="31"/>
      <c r="AW679" s="146"/>
      <c r="AX679" s="146"/>
      <c r="AY679" s="103"/>
      <c r="AZ679" s="103"/>
      <c r="BA679" s="103"/>
      <c r="BB679" s="103"/>
      <c r="BC679" s="103"/>
      <c r="BD679" s="103"/>
      <c r="BE679" s="104"/>
      <c r="BF679" s="102"/>
      <c r="BG679" s="102"/>
      <c r="BH679" s="102"/>
      <c r="BI679" s="105"/>
      <c r="BJ679" s="152"/>
      <c r="BK679" s="103"/>
      <c r="BL679" s="103"/>
      <c r="BM679" s="103"/>
      <c r="BN679" s="103"/>
      <c r="BO679" s="103"/>
      <c r="BP679" s="103"/>
      <c r="BQ679" s="103"/>
      <c r="BR679" s="103"/>
      <c r="BS679" s="103"/>
      <c r="BT679" s="103"/>
      <c r="BU679" s="103"/>
      <c r="BV679" s="104"/>
      <c r="BW679" s="103"/>
      <c r="BX679" s="104"/>
      <c r="BY679" s="104"/>
      <c r="BZ679" s="104"/>
      <c r="CA679" s="104"/>
      <c r="CB679" s="104"/>
      <c r="CC679" s="104"/>
      <c r="CD679" s="104"/>
      <c r="CE679" s="104"/>
      <c r="CF679" s="103"/>
      <c r="CG679" s="103"/>
      <c r="CH679" s="103"/>
      <c r="CI679" s="103"/>
      <c r="CJ679" s="103"/>
      <c r="CK679" s="133"/>
      <c r="CL679" s="133"/>
      <c r="CM679" s="133"/>
      <c r="CN679" s="133"/>
      <c r="CO679" s="133"/>
      <c r="CP679" s="133"/>
      <c r="CQ679" s="133"/>
      <c r="CR679" s="133"/>
      <c r="CS679" s="133"/>
      <c r="CT679" s="133"/>
      <c r="CU679" s="133"/>
      <c r="CV679" s="133"/>
      <c r="CW679" s="133"/>
      <c r="CX679" s="133"/>
      <c r="CY679" s="133"/>
      <c r="CZ679" s="133"/>
      <c r="DA679" s="133"/>
      <c r="DB679" s="133"/>
      <c r="DC679" s="133"/>
      <c r="DD679" s="133"/>
      <c r="DE679" s="1"/>
      <c r="DF679" s="53"/>
      <c r="DG679" s="51"/>
      <c r="DJ679" s="52"/>
      <c r="DK679" s="52"/>
      <c r="DL679" s="52"/>
      <c r="DM679" s="52"/>
      <c r="DN679" s="52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P679" s="53"/>
      <c r="EQ679" s="1"/>
      <c r="ER679" s="103"/>
      <c r="ES679" s="103"/>
      <c r="ET679" s="1"/>
      <c r="EU679" s="103"/>
      <c r="EV679" s="1"/>
      <c r="EW679" s="1"/>
      <c r="EX679" s="1"/>
      <c r="EY679" s="104"/>
    </row>
    <row r="680" spans="9:155">
      <c r="I680" s="132"/>
      <c r="J680" s="133"/>
      <c r="K680" s="1"/>
      <c r="L680" s="1"/>
      <c r="Q680" s="1"/>
      <c r="R680" s="1"/>
      <c r="S680" s="103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53"/>
      <c r="AO680" s="103"/>
      <c r="AP680" s="103"/>
      <c r="AQ680" s="103"/>
      <c r="AR680" s="103"/>
      <c r="AS680" s="103"/>
      <c r="AT680" s="31"/>
      <c r="AU680" s="31"/>
      <c r="AV680" s="31"/>
      <c r="AW680" s="146"/>
      <c r="AX680" s="146"/>
      <c r="AY680" s="103"/>
      <c r="AZ680" s="103"/>
      <c r="BA680" s="103"/>
      <c r="BB680" s="103"/>
      <c r="BC680" s="103"/>
      <c r="BD680" s="103"/>
      <c r="BE680" s="104"/>
      <c r="BF680" s="102"/>
      <c r="BG680" s="102"/>
      <c r="BH680" s="102"/>
      <c r="BI680" s="105"/>
      <c r="BJ680" s="152"/>
      <c r="BK680" s="103"/>
      <c r="BL680" s="103"/>
      <c r="BM680" s="103"/>
      <c r="BN680" s="103"/>
      <c r="BO680" s="103"/>
      <c r="BP680" s="103"/>
      <c r="BQ680" s="103"/>
      <c r="BR680" s="103"/>
      <c r="BS680" s="103"/>
      <c r="BT680" s="103"/>
      <c r="BU680" s="103"/>
      <c r="BV680" s="104"/>
      <c r="BW680" s="103"/>
      <c r="BX680" s="104"/>
      <c r="BY680" s="104"/>
      <c r="BZ680" s="104"/>
      <c r="CA680" s="104"/>
      <c r="CB680" s="104"/>
      <c r="CC680" s="104"/>
      <c r="CD680" s="104"/>
      <c r="CE680" s="104"/>
      <c r="CF680" s="103"/>
      <c r="CG680" s="103"/>
      <c r="CH680" s="103"/>
      <c r="CI680" s="103"/>
      <c r="CJ680" s="103"/>
      <c r="CK680" s="133"/>
      <c r="CL680" s="133"/>
      <c r="CM680" s="133"/>
      <c r="CN680" s="133"/>
      <c r="CO680" s="133"/>
      <c r="CP680" s="133"/>
      <c r="CQ680" s="133"/>
      <c r="CR680" s="133"/>
      <c r="CS680" s="133"/>
      <c r="CT680" s="133"/>
      <c r="CU680" s="133"/>
      <c r="CV680" s="133"/>
      <c r="CW680" s="133"/>
      <c r="CX680" s="133"/>
      <c r="CY680" s="133"/>
      <c r="CZ680" s="133"/>
      <c r="DA680" s="133"/>
      <c r="DB680" s="133"/>
      <c r="DC680" s="133"/>
      <c r="DD680" s="133"/>
      <c r="DE680" s="1"/>
      <c r="DF680" s="53"/>
      <c r="DG680" s="51"/>
      <c r="DJ680" s="52"/>
      <c r="DK680" s="52"/>
      <c r="DL680" s="52"/>
      <c r="DM680" s="52"/>
      <c r="DN680" s="52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P680" s="53"/>
      <c r="EQ680" s="1"/>
      <c r="ER680" s="103"/>
      <c r="ES680" s="103"/>
      <c r="ET680" s="1"/>
      <c r="EU680" s="103"/>
      <c r="EV680" s="1"/>
      <c r="EW680" s="1"/>
      <c r="EX680" s="1"/>
      <c r="EY680" s="104"/>
    </row>
    <row r="681" spans="9:155">
      <c r="I681" s="132"/>
      <c r="J681" s="133"/>
      <c r="K681" s="1"/>
      <c r="L681" s="1"/>
      <c r="Q681" s="1"/>
      <c r="R681" s="1"/>
      <c r="S681" s="103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53"/>
      <c r="AO681" s="103"/>
      <c r="AP681" s="103"/>
      <c r="AQ681" s="103"/>
      <c r="AR681" s="103"/>
      <c r="AS681" s="103"/>
      <c r="AT681" s="31"/>
      <c r="AU681" s="31"/>
      <c r="AV681" s="31"/>
      <c r="AW681" s="146"/>
      <c r="AX681" s="146"/>
      <c r="AY681" s="103"/>
      <c r="AZ681" s="103"/>
      <c r="BA681" s="103"/>
      <c r="BB681" s="103"/>
      <c r="BC681" s="103"/>
      <c r="BD681" s="103"/>
      <c r="BE681" s="104"/>
      <c r="BF681" s="102"/>
      <c r="BG681" s="102"/>
      <c r="BH681" s="102"/>
      <c r="BI681" s="105"/>
      <c r="BJ681" s="152"/>
      <c r="BK681" s="103"/>
      <c r="BL681" s="103"/>
      <c r="BM681" s="103"/>
      <c r="BN681" s="103"/>
      <c r="BO681" s="103"/>
      <c r="BP681" s="103"/>
      <c r="BQ681" s="103"/>
      <c r="BR681" s="103"/>
      <c r="BS681" s="103"/>
      <c r="BT681" s="103"/>
      <c r="BU681" s="103"/>
      <c r="BV681" s="104"/>
      <c r="BW681" s="103"/>
      <c r="BX681" s="104"/>
      <c r="BY681" s="104"/>
      <c r="BZ681" s="104"/>
      <c r="CA681" s="104"/>
      <c r="CB681" s="104"/>
      <c r="CC681" s="104"/>
      <c r="CD681" s="104"/>
      <c r="CE681" s="104"/>
      <c r="CF681" s="103"/>
      <c r="CG681" s="103"/>
      <c r="CH681" s="103"/>
      <c r="CI681" s="103"/>
      <c r="CJ681" s="103"/>
      <c r="CK681" s="133"/>
      <c r="CL681" s="133"/>
      <c r="CM681" s="133"/>
      <c r="CN681" s="133"/>
      <c r="CO681" s="133"/>
      <c r="CP681" s="133"/>
      <c r="CQ681" s="133"/>
      <c r="CR681" s="133"/>
      <c r="CS681" s="133"/>
      <c r="CT681" s="133"/>
      <c r="CU681" s="133"/>
      <c r="CV681" s="133"/>
      <c r="CW681" s="133"/>
      <c r="CX681" s="133"/>
      <c r="CY681" s="133"/>
      <c r="CZ681" s="133"/>
      <c r="DA681" s="133"/>
      <c r="DB681" s="133"/>
      <c r="DC681" s="133"/>
      <c r="DD681" s="133"/>
      <c r="DE681" s="1"/>
      <c r="DF681" s="53"/>
      <c r="DG681" s="51"/>
      <c r="DJ681" s="52"/>
      <c r="DK681" s="52"/>
      <c r="DL681" s="52"/>
      <c r="DM681" s="52"/>
      <c r="DN681" s="52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P681" s="53"/>
      <c r="EQ681" s="1"/>
      <c r="ER681" s="103"/>
      <c r="ES681" s="103"/>
      <c r="ET681" s="1"/>
      <c r="EU681" s="103"/>
      <c r="EV681" s="1"/>
      <c r="EW681" s="1"/>
      <c r="EX681" s="1"/>
      <c r="EY681" s="104"/>
    </row>
    <row r="682" spans="9:155">
      <c r="I682" s="132"/>
      <c r="J682" s="133"/>
      <c r="K682" s="1"/>
      <c r="L682" s="1"/>
      <c r="Q682" s="1"/>
      <c r="R682" s="1"/>
      <c r="S682" s="103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53"/>
      <c r="AO682" s="103"/>
      <c r="AP682" s="103"/>
      <c r="AQ682" s="103"/>
      <c r="AR682" s="103"/>
      <c r="AS682" s="103"/>
      <c r="AT682" s="31"/>
      <c r="AU682" s="31"/>
      <c r="AV682" s="31"/>
      <c r="AW682" s="146"/>
      <c r="AX682" s="146"/>
      <c r="AY682" s="103"/>
      <c r="AZ682" s="103"/>
      <c r="BA682" s="103"/>
      <c r="BB682" s="103"/>
      <c r="BC682" s="103"/>
      <c r="BD682" s="103"/>
      <c r="BE682" s="104"/>
      <c r="BF682" s="102"/>
      <c r="BG682" s="102"/>
      <c r="BH682" s="102"/>
      <c r="BI682" s="105"/>
      <c r="BJ682" s="152"/>
      <c r="BK682" s="103"/>
      <c r="BL682" s="103"/>
      <c r="BM682" s="103"/>
      <c r="BN682" s="103"/>
      <c r="BO682" s="103"/>
      <c r="BP682" s="103"/>
      <c r="BQ682" s="103"/>
      <c r="BR682" s="103"/>
      <c r="BS682" s="103"/>
      <c r="BT682" s="103"/>
      <c r="BU682" s="103"/>
      <c r="BV682" s="104"/>
      <c r="BW682" s="103"/>
      <c r="BX682" s="104"/>
      <c r="BY682" s="104"/>
      <c r="BZ682" s="104"/>
      <c r="CA682" s="104"/>
      <c r="CB682" s="104"/>
      <c r="CC682" s="104"/>
      <c r="CD682" s="104"/>
      <c r="CE682" s="104"/>
      <c r="CF682" s="103"/>
      <c r="CG682" s="103"/>
      <c r="CH682" s="103"/>
      <c r="CI682" s="103"/>
      <c r="CJ682" s="103"/>
      <c r="CK682" s="133"/>
      <c r="CL682" s="133"/>
      <c r="CM682" s="133"/>
      <c r="CN682" s="133"/>
      <c r="CO682" s="133"/>
      <c r="CP682" s="133"/>
      <c r="CQ682" s="133"/>
      <c r="CR682" s="133"/>
      <c r="CS682" s="133"/>
      <c r="CT682" s="133"/>
      <c r="CU682" s="133"/>
      <c r="CV682" s="133"/>
      <c r="CW682" s="133"/>
      <c r="CX682" s="133"/>
      <c r="CY682" s="133"/>
      <c r="CZ682" s="133"/>
      <c r="DA682" s="133"/>
      <c r="DB682" s="133"/>
      <c r="DC682" s="133"/>
      <c r="DD682" s="133"/>
      <c r="DE682" s="1"/>
      <c r="DF682" s="53"/>
      <c r="DG682" s="51"/>
      <c r="DJ682" s="52"/>
      <c r="DK682" s="52"/>
      <c r="DL682" s="52"/>
      <c r="DM682" s="52"/>
      <c r="DN682" s="52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P682" s="53"/>
      <c r="EQ682" s="1"/>
      <c r="ER682" s="103"/>
      <c r="ES682" s="103"/>
      <c r="ET682" s="1"/>
      <c r="EU682" s="103"/>
      <c r="EV682" s="1"/>
      <c r="EW682" s="1"/>
      <c r="EX682" s="1"/>
      <c r="EY682" s="104"/>
    </row>
    <row r="683" spans="9:155">
      <c r="I683" s="132"/>
      <c r="J683" s="133"/>
      <c r="K683" s="1"/>
      <c r="L683" s="1"/>
      <c r="Q683" s="1"/>
      <c r="R683" s="1"/>
      <c r="S683" s="103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53"/>
      <c r="AO683" s="103"/>
      <c r="AP683" s="103"/>
      <c r="AQ683" s="103"/>
      <c r="AR683" s="103"/>
      <c r="AS683" s="103"/>
      <c r="AT683" s="31"/>
      <c r="AU683" s="31"/>
      <c r="AV683" s="31"/>
      <c r="AW683" s="146"/>
      <c r="AX683" s="146"/>
      <c r="AY683" s="103"/>
      <c r="AZ683" s="103"/>
      <c r="BA683" s="103"/>
      <c r="BB683" s="103"/>
      <c r="BC683" s="103"/>
      <c r="BD683" s="103"/>
      <c r="BE683" s="104"/>
      <c r="BF683" s="102"/>
      <c r="BG683" s="102"/>
      <c r="BH683" s="102"/>
      <c r="BI683" s="105"/>
      <c r="BJ683" s="152"/>
      <c r="BK683" s="103"/>
      <c r="BL683" s="103"/>
      <c r="BM683" s="103"/>
      <c r="BN683" s="103"/>
      <c r="BO683" s="103"/>
      <c r="BP683" s="103"/>
      <c r="BQ683" s="103"/>
      <c r="BR683" s="103"/>
      <c r="BS683" s="103"/>
      <c r="BT683" s="103"/>
      <c r="BU683" s="103"/>
      <c r="BV683" s="104"/>
      <c r="BW683" s="103"/>
      <c r="BX683" s="104"/>
      <c r="BY683" s="104"/>
      <c r="BZ683" s="104"/>
      <c r="CA683" s="104"/>
      <c r="CB683" s="104"/>
      <c r="CC683" s="104"/>
      <c r="CD683" s="104"/>
      <c r="CE683" s="104"/>
      <c r="CF683" s="103"/>
      <c r="CG683" s="103"/>
      <c r="CH683" s="103"/>
      <c r="CI683" s="103"/>
      <c r="CJ683" s="103"/>
      <c r="CK683" s="133"/>
      <c r="CL683" s="133"/>
      <c r="CM683" s="133"/>
      <c r="CN683" s="133"/>
      <c r="CO683" s="133"/>
      <c r="CP683" s="133"/>
      <c r="CQ683" s="133"/>
      <c r="CR683" s="133"/>
      <c r="CS683" s="133"/>
      <c r="CT683" s="133"/>
      <c r="CU683" s="133"/>
      <c r="CV683" s="133"/>
      <c r="CW683" s="133"/>
      <c r="CX683" s="133"/>
      <c r="CY683" s="133"/>
      <c r="CZ683" s="133"/>
      <c r="DA683" s="133"/>
      <c r="DB683" s="133"/>
      <c r="DC683" s="133"/>
      <c r="DD683" s="133"/>
      <c r="DE683" s="1"/>
      <c r="DF683" s="53"/>
      <c r="DG683" s="51"/>
      <c r="DJ683" s="52"/>
      <c r="DK683" s="52"/>
      <c r="DL683" s="52"/>
      <c r="DM683" s="52"/>
      <c r="DN683" s="52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P683" s="53"/>
      <c r="EQ683" s="1"/>
      <c r="ER683" s="103"/>
      <c r="ES683" s="103"/>
      <c r="ET683" s="1"/>
      <c r="EU683" s="103"/>
      <c r="EV683" s="1"/>
      <c r="EW683" s="1"/>
      <c r="EX683" s="1"/>
      <c r="EY683" s="104"/>
    </row>
    <row r="684" spans="9:155">
      <c r="I684" s="132"/>
      <c r="J684" s="133"/>
      <c r="K684" s="1"/>
      <c r="L684" s="1"/>
      <c r="Q684" s="1"/>
      <c r="R684" s="1"/>
      <c r="S684" s="103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53"/>
      <c r="AO684" s="103"/>
      <c r="AP684" s="103"/>
      <c r="AQ684" s="103"/>
      <c r="AR684" s="103"/>
      <c r="AS684" s="103"/>
      <c r="AT684" s="31"/>
      <c r="AU684" s="31"/>
      <c r="AV684" s="31"/>
      <c r="AW684" s="146"/>
      <c r="AX684" s="146"/>
      <c r="AY684" s="103"/>
      <c r="AZ684" s="103"/>
      <c r="BA684" s="103"/>
      <c r="BB684" s="103"/>
      <c r="BC684" s="103"/>
      <c r="BD684" s="103"/>
      <c r="BE684" s="104"/>
      <c r="BF684" s="102"/>
      <c r="BG684" s="102"/>
      <c r="BH684" s="102"/>
      <c r="BI684" s="105"/>
      <c r="BJ684" s="152"/>
      <c r="BK684" s="103"/>
      <c r="BL684" s="103"/>
      <c r="BM684" s="103"/>
      <c r="BN684" s="103"/>
      <c r="BO684" s="103"/>
      <c r="BP684" s="103"/>
      <c r="BQ684" s="103"/>
      <c r="BR684" s="103"/>
      <c r="BS684" s="103"/>
      <c r="BT684" s="103"/>
      <c r="BU684" s="103"/>
      <c r="BV684" s="104"/>
      <c r="BW684" s="103"/>
      <c r="BX684" s="104"/>
      <c r="BY684" s="104"/>
      <c r="BZ684" s="104"/>
      <c r="CA684" s="104"/>
      <c r="CB684" s="104"/>
      <c r="CC684" s="104"/>
      <c r="CD684" s="104"/>
      <c r="CE684" s="104"/>
      <c r="CF684" s="103"/>
      <c r="CG684" s="103"/>
      <c r="CH684" s="103"/>
      <c r="CI684" s="103"/>
      <c r="CJ684" s="103"/>
      <c r="CK684" s="133"/>
      <c r="CL684" s="133"/>
      <c r="CM684" s="133"/>
      <c r="CN684" s="133"/>
      <c r="CO684" s="133"/>
      <c r="CP684" s="133"/>
      <c r="CQ684" s="133"/>
      <c r="CR684" s="133"/>
      <c r="CS684" s="133"/>
      <c r="CT684" s="133"/>
      <c r="CU684" s="133"/>
      <c r="CV684" s="133"/>
      <c r="CW684" s="133"/>
      <c r="CX684" s="133"/>
      <c r="CY684" s="133"/>
      <c r="CZ684" s="133"/>
      <c r="DA684" s="133"/>
      <c r="DB684" s="133"/>
      <c r="DC684" s="133"/>
      <c r="DD684" s="133"/>
      <c r="DE684" s="1"/>
      <c r="DF684" s="53"/>
      <c r="DG684" s="51"/>
      <c r="DJ684" s="52"/>
      <c r="DK684" s="52"/>
      <c r="DL684" s="52"/>
      <c r="DM684" s="52"/>
      <c r="DN684" s="52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P684" s="53"/>
      <c r="EQ684" s="1"/>
      <c r="ER684" s="103"/>
      <c r="ES684" s="103"/>
      <c r="ET684" s="1"/>
      <c r="EU684" s="103"/>
      <c r="EV684" s="1"/>
      <c r="EW684" s="1"/>
      <c r="EX684" s="1"/>
      <c r="EY684" s="104"/>
    </row>
    <row r="685" spans="9:155">
      <c r="I685" s="132"/>
      <c r="J685" s="133"/>
      <c r="K685" s="1"/>
      <c r="L685" s="1"/>
      <c r="Q685" s="1"/>
      <c r="R685" s="1"/>
      <c r="S685" s="103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53"/>
      <c r="AO685" s="103"/>
      <c r="AP685" s="103"/>
      <c r="AQ685" s="103"/>
      <c r="AR685" s="103"/>
      <c r="AS685" s="103"/>
      <c r="AT685" s="31"/>
      <c r="AU685" s="31"/>
      <c r="AV685" s="31"/>
      <c r="AW685" s="146"/>
      <c r="AX685" s="146"/>
      <c r="AY685" s="103"/>
      <c r="AZ685" s="103"/>
      <c r="BA685" s="103"/>
      <c r="BB685" s="103"/>
      <c r="BC685" s="103"/>
      <c r="BD685" s="103"/>
      <c r="BE685" s="104"/>
      <c r="BF685" s="102"/>
      <c r="BG685" s="102"/>
      <c r="BH685" s="102"/>
      <c r="BI685" s="105"/>
      <c r="BJ685" s="152"/>
      <c r="BK685" s="103"/>
      <c r="BL685" s="103"/>
      <c r="BM685" s="103"/>
      <c r="BN685" s="103"/>
      <c r="BO685" s="103"/>
      <c r="BP685" s="103"/>
      <c r="BQ685" s="103"/>
      <c r="BR685" s="103"/>
      <c r="BS685" s="103"/>
      <c r="BT685" s="103"/>
      <c r="BU685" s="103"/>
      <c r="BV685" s="104"/>
      <c r="BW685" s="103"/>
      <c r="BX685" s="104"/>
      <c r="BY685" s="104"/>
      <c r="BZ685" s="104"/>
      <c r="CA685" s="104"/>
      <c r="CB685" s="104"/>
      <c r="CC685" s="104"/>
      <c r="CD685" s="104"/>
      <c r="CE685" s="104"/>
      <c r="CF685" s="103"/>
      <c r="CG685" s="103"/>
      <c r="CH685" s="103"/>
      <c r="CI685" s="103"/>
      <c r="CJ685" s="103"/>
      <c r="CK685" s="133"/>
      <c r="CL685" s="133"/>
      <c r="CM685" s="133"/>
      <c r="CN685" s="133"/>
      <c r="CO685" s="133"/>
      <c r="CP685" s="133"/>
      <c r="CQ685" s="133"/>
      <c r="CR685" s="133"/>
      <c r="CS685" s="133"/>
      <c r="CT685" s="133"/>
      <c r="CU685" s="133"/>
      <c r="CV685" s="133"/>
      <c r="CW685" s="133"/>
      <c r="CX685" s="133"/>
      <c r="CY685" s="133"/>
      <c r="CZ685" s="133"/>
      <c r="DA685" s="133"/>
      <c r="DB685" s="133"/>
      <c r="DC685" s="133"/>
      <c r="DD685" s="133"/>
      <c r="DE685" s="1"/>
      <c r="DF685" s="53"/>
      <c r="DG685" s="51"/>
      <c r="DJ685" s="52"/>
      <c r="DK685" s="52"/>
      <c r="DL685" s="52"/>
      <c r="DM685" s="52"/>
      <c r="DN685" s="52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P685" s="53"/>
      <c r="EQ685" s="1"/>
      <c r="ER685" s="103"/>
      <c r="ES685" s="103"/>
      <c r="ET685" s="1"/>
      <c r="EU685" s="103"/>
      <c r="EV685" s="1"/>
      <c r="EW685" s="1"/>
      <c r="EX685" s="1"/>
      <c r="EY685" s="104"/>
    </row>
    <row r="686" spans="9:155">
      <c r="I686" s="132"/>
      <c r="J686" s="133"/>
      <c r="K686" s="1"/>
      <c r="L686" s="1"/>
      <c r="Q686" s="1"/>
      <c r="R686" s="1"/>
      <c r="S686" s="103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53"/>
      <c r="AO686" s="103"/>
      <c r="AP686" s="103"/>
      <c r="AQ686" s="103"/>
      <c r="AR686" s="103"/>
      <c r="AS686" s="103"/>
      <c r="AT686" s="31"/>
      <c r="AU686" s="31"/>
      <c r="AV686" s="31"/>
      <c r="AW686" s="146"/>
      <c r="AX686" s="146"/>
      <c r="AY686" s="103"/>
      <c r="AZ686" s="103"/>
      <c r="BA686" s="103"/>
      <c r="BB686" s="103"/>
      <c r="BC686" s="103"/>
      <c r="BD686" s="103"/>
      <c r="BE686" s="104"/>
      <c r="BF686" s="102"/>
      <c r="BG686" s="102"/>
      <c r="BH686" s="102"/>
      <c r="BI686" s="105"/>
      <c r="BJ686" s="152"/>
      <c r="BK686" s="103"/>
      <c r="BL686" s="103"/>
      <c r="BM686" s="103"/>
      <c r="BN686" s="103"/>
      <c r="BO686" s="103"/>
      <c r="BP686" s="103"/>
      <c r="BQ686" s="103"/>
      <c r="BR686" s="103"/>
      <c r="BS686" s="103"/>
      <c r="BT686" s="103"/>
      <c r="BU686" s="103"/>
      <c r="BV686" s="104"/>
      <c r="BW686" s="103"/>
      <c r="BX686" s="104"/>
      <c r="BY686" s="104"/>
      <c r="BZ686" s="104"/>
      <c r="CA686" s="104"/>
      <c r="CB686" s="104"/>
      <c r="CC686" s="104"/>
      <c r="CD686" s="104"/>
      <c r="CE686" s="104"/>
      <c r="CF686" s="103"/>
      <c r="CG686" s="103"/>
      <c r="CH686" s="103"/>
      <c r="CI686" s="103"/>
      <c r="CJ686" s="103"/>
      <c r="CK686" s="133"/>
      <c r="CL686" s="133"/>
      <c r="CM686" s="133"/>
      <c r="CN686" s="133"/>
      <c r="CO686" s="133"/>
      <c r="CP686" s="133"/>
      <c r="CQ686" s="133"/>
      <c r="CR686" s="133"/>
      <c r="CS686" s="133"/>
      <c r="CT686" s="133"/>
      <c r="CU686" s="133"/>
      <c r="CV686" s="133"/>
      <c r="CW686" s="133"/>
      <c r="CX686" s="133"/>
      <c r="CY686" s="133"/>
      <c r="CZ686" s="133"/>
      <c r="DA686" s="133"/>
      <c r="DB686" s="133"/>
      <c r="DC686" s="133"/>
      <c r="DD686" s="133"/>
      <c r="DE686" s="1"/>
      <c r="DF686" s="53"/>
      <c r="DG686" s="51"/>
      <c r="DJ686" s="52"/>
      <c r="DK686" s="52"/>
      <c r="DL686" s="52"/>
      <c r="DM686" s="52"/>
      <c r="DN686" s="52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P686" s="53"/>
      <c r="EQ686" s="1"/>
      <c r="ER686" s="103"/>
      <c r="ES686" s="103"/>
      <c r="ET686" s="1"/>
      <c r="EU686" s="103"/>
      <c r="EV686" s="1"/>
      <c r="EW686" s="1"/>
      <c r="EX686" s="1"/>
      <c r="EY686" s="104"/>
    </row>
    <row r="687" spans="9:155">
      <c r="I687" s="132"/>
      <c r="J687" s="133"/>
      <c r="K687" s="1"/>
      <c r="L687" s="1"/>
      <c r="Q687" s="1"/>
      <c r="R687" s="1"/>
      <c r="S687" s="103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53"/>
      <c r="AO687" s="103"/>
      <c r="AP687" s="103"/>
      <c r="AQ687" s="103"/>
      <c r="AR687" s="103"/>
      <c r="AS687" s="103"/>
      <c r="AT687" s="31"/>
      <c r="AU687" s="31"/>
      <c r="AV687" s="31"/>
      <c r="AW687" s="146"/>
      <c r="AX687" s="146"/>
      <c r="AY687" s="103"/>
      <c r="AZ687" s="103"/>
      <c r="BA687" s="103"/>
      <c r="BB687" s="103"/>
      <c r="BC687" s="103"/>
      <c r="BD687" s="103"/>
      <c r="BE687" s="104"/>
      <c r="BF687" s="102"/>
      <c r="BG687" s="102"/>
      <c r="BH687" s="102"/>
      <c r="BI687" s="105"/>
      <c r="BJ687" s="152"/>
      <c r="BK687" s="103"/>
      <c r="BL687" s="103"/>
      <c r="BM687" s="103"/>
      <c r="BN687" s="103"/>
      <c r="BO687" s="103"/>
      <c r="BP687" s="103"/>
      <c r="BQ687" s="103"/>
      <c r="BR687" s="103"/>
      <c r="BS687" s="103"/>
      <c r="BT687" s="103"/>
      <c r="BU687" s="103"/>
      <c r="BV687" s="104"/>
      <c r="BW687" s="103"/>
      <c r="BX687" s="104"/>
      <c r="BY687" s="104"/>
      <c r="BZ687" s="104"/>
      <c r="CA687" s="104"/>
      <c r="CB687" s="104"/>
      <c r="CC687" s="104"/>
      <c r="CD687" s="104"/>
      <c r="CE687" s="104"/>
      <c r="CF687" s="103"/>
      <c r="CG687" s="103"/>
      <c r="CH687" s="103"/>
      <c r="CI687" s="103"/>
      <c r="CJ687" s="103"/>
      <c r="CK687" s="133"/>
      <c r="CL687" s="133"/>
      <c r="CM687" s="133"/>
      <c r="CN687" s="133"/>
      <c r="CO687" s="133"/>
      <c r="CP687" s="133"/>
      <c r="CQ687" s="133"/>
      <c r="CR687" s="133"/>
      <c r="CS687" s="133"/>
      <c r="CT687" s="133"/>
      <c r="CU687" s="133"/>
      <c r="CV687" s="133"/>
      <c r="CW687" s="133"/>
      <c r="CX687" s="133"/>
      <c r="CY687" s="133"/>
      <c r="CZ687" s="133"/>
      <c r="DA687" s="133"/>
      <c r="DB687" s="133"/>
      <c r="DC687" s="133"/>
      <c r="DD687" s="133"/>
      <c r="DE687" s="1"/>
      <c r="DF687" s="53"/>
      <c r="DG687" s="51"/>
      <c r="DJ687" s="52"/>
      <c r="DK687" s="52"/>
      <c r="DL687" s="52"/>
      <c r="DM687" s="52"/>
      <c r="DN687" s="52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P687" s="53"/>
      <c r="EQ687" s="1"/>
      <c r="ER687" s="103"/>
      <c r="ES687" s="103"/>
      <c r="ET687" s="1"/>
      <c r="EU687" s="103"/>
      <c r="EV687" s="1"/>
      <c r="EW687" s="1"/>
      <c r="EX687" s="1"/>
      <c r="EY687" s="104"/>
    </row>
    <row r="688" spans="9:155">
      <c r="I688" s="132"/>
      <c r="J688" s="133"/>
      <c r="K688" s="1"/>
      <c r="L688" s="1"/>
      <c r="Q688" s="1"/>
      <c r="R688" s="1"/>
      <c r="S688" s="103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53"/>
      <c r="AO688" s="103"/>
      <c r="AP688" s="103"/>
      <c r="AQ688" s="103"/>
      <c r="AR688" s="103"/>
      <c r="AS688" s="103"/>
      <c r="AT688" s="31"/>
      <c r="AU688" s="31"/>
      <c r="AV688" s="31"/>
      <c r="AW688" s="146"/>
      <c r="AX688" s="146"/>
      <c r="AY688" s="103"/>
      <c r="AZ688" s="103"/>
      <c r="BA688" s="103"/>
      <c r="BB688" s="103"/>
      <c r="BC688" s="103"/>
      <c r="BD688" s="103"/>
      <c r="BE688" s="104"/>
      <c r="BF688" s="102"/>
      <c r="BG688" s="102"/>
      <c r="BH688" s="102"/>
      <c r="BI688" s="105"/>
      <c r="BJ688" s="152"/>
      <c r="BK688" s="103"/>
      <c r="BL688" s="103"/>
      <c r="BM688" s="103"/>
      <c r="BN688" s="103"/>
      <c r="BO688" s="103"/>
      <c r="BP688" s="103"/>
      <c r="BQ688" s="103"/>
      <c r="BR688" s="103"/>
      <c r="BS688" s="103"/>
      <c r="BT688" s="103"/>
      <c r="BU688" s="103"/>
      <c r="BV688" s="104"/>
      <c r="BW688" s="103"/>
      <c r="BX688" s="104"/>
      <c r="BY688" s="104"/>
      <c r="BZ688" s="104"/>
      <c r="CA688" s="104"/>
      <c r="CB688" s="104"/>
      <c r="CC688" s="104"/>
      <c r="CD688" s="104"/>
      <c r="CE688" s="104"/>
      <c r="CF688" s="103"/>
      <c r="CG688" s="103"/>
      <c r="CH688" s="103"/>
      <c r="CI688" s="103"/>
      <c r="CJ688" s="103"/>
      <c r="CK688" s="133"/>
      <c r="CL688" s="133"/>
      <c r="CM688" s="133"/>
      <c r="CN688" s="133"/>
      <c r="CO688" s="133"/>
      <c r="CP688" s="133"/>
      <c r="CQ688" s="133"/>
      <c r="CR688" s="133"/>
      <c r="CS688" s="133"/>
      <c r="CT688" s="133"/>
      <c r="CU688" s="133"/>
      <c r="CV688" s="133"/>
      <c r="CW688" s="133"/>
      <c r="CX688" s="133"/>
      <c r="CY688" s="133"/>
      <c r="CZ688" s="133"/>
      <c r="DA688" s="133"/>
      <c r="DB688" s="133"/>
      <c r="DC688" s="133"/>
      <c r="DD688" s="133"/>
      <c r="DE688" s="1"/>
      <c r="DF688" s="53"/>
      <c r="DG688" s="51"/>
      <c r="DJ688" s="52"/>
      <c r="DK688" s="52"/>
      <c r="DL688" s="52"/>
      <c r="DM688" s="52"/>
      <c r="DN688" s="52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P688" s="53"/>
      <c r="EQ688" s="1"/>
      <c r="ER688" s="103"/>
      <c r="ES688" s="103"/>
      <c r="ET688" s="1"/>
      <c r="EU688" s="103"/>
      <c r="EV688" s="1"/>
      <c r="EW688" s="1"/>
      <c r="EX688" s="1"/>
      <c r="EY688" s="104"/>
    </row>
    <row r="689" spans="9:155">
      <c r="I689" s="132"/>
      <c r="J689" s="133"/>
      <c r="K689" s="1"/>
      <c r="L689" s="1"/>
      <c r="Q689" s="1"/>
      <c r="R689" s="1"/>
      <c r="S689" s="103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53"/>
      <c r="AN689" s="103"/>
      <c r="AO689" s="103"/>
      <c r="AP689" s="103"/>
      <c r="AQ689" s="103"/>
      <c r="AR689" s="103"/>
      <c r="AS689" s="31"/>
      <c r="AT689" s="31"/>
      <c r="AU689" s="31"/>
      <c r="AV689" s="146"/>
      <c r="AW689" s="146"/>
      <c r="AX689" s="103"/>
      <c r="AY689" s="103"/>
      <c r="AZ689" s="103"/>
      <c r="BA689" s="103"/>
      <c r="BB689" s="103"/>
      <c r="BC689" s="103"/>
      <c r="BD689" s="104"/>
      <c r="BE689" s="102"/>
      <c r="BF689" s="102"/>
      <c r="BG689" s="102"/>
      <c r="BH689" s="104"/>
      <c r="BI689" s="152"/>
      <c r="BJ689" s="103"/>
      <c r="BK689" s="103"/>
      <c r="BL689" s="103"/>
      <c r="BM689" s="103"/>
      <c r="BN689" s="103"/>
      <c r="BO689" s="103"/>
      <c r="BP689" s="103"/>
      <c r="BQ689" s="103"/>
      <c r="BR689" s="103"/>
      <c r="BS689" s="103"/>
      <c r="BT689" s="103"/>
      <c r="BU689" s="104"/>
      <c r="BV689" s="104"/>
      <c r="BW689" s="104"/>
      <c r="BX689" s="104"/>
      <c r="BY689" s="104"/>
      <c r="BZ689" s="104"/>
      <c r="CA689" s="104"/>
      <c r="CB689" s="104"/>
      <c r="CC689" s="104"/>
      <c r="CD689" s="104"/>
      <c r="CE689" s="103"/>
      <c r="CF689" s="103"/>
      <c r="CG689" s="103"/>
      <c r="CH689" s="103"/>
      <c r="CI689" s="103"/>
      <c r="CJ689" s="133"/>
      <c r="CK689" s="133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53"/>
      <c r="DF689" s="51"/>
      <c r="DJ689" s="52"/>
      <c r="DK689" s="52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P689" s="53"/>
      <c r="EQ689" s="1"/>
      <c r="ER689" s="103"/>
      <c r="ES689" s="103"/>
      <c r="ET689" s="1"/>
      <c r="EU689" s="103"/>
      <c r="EV689" s="1"/>
      <c r="EW689" s="1"/>
      <c r="EX689" s="1"/>
      <c r="EY689" s="105"/>
    </row>
    <row r="690" spans="9:155">
      <c r="I690" s="132"/>
      <c r="J690" s="133"/>
      <c r="K690" s="1"/>
      <c r="L690" s="1"/>
      <c r="Q690" s="1"/>
      <c r="R690" s="1"/>
      <c r="S690" s="103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53"/>
      <c r="AN690" s="103"/>
      <c r="AO690" s="103"/>
      <c r="AP690" s="103"/>
      <c r="AQ690" s="103"/>
      <c r="AR690" s="103"/>
      <c r="AS690" s="31"/>
      <c r="AT690" s="31"/>
      <c r="AU690" s="31"/>
      <c r="AV690" s="146"/>
      <c r="AW690" s="146"/>
      <c r="AX690" s="103"/>
      <c r="AY690" s="103"/>
      <c r="AZ690" s="103"/>
      <c r="BA690" s="103"/>
      <c r="BB690" s="103"/>
      <c r="BC690" s="103"/>
      <c r="BD690" s="104"/>
      <c r="BE690" s="102"/>
      <c r="BF690" s="102"/>
      <c r="BG690" s="102"/>
      <c r="BH690" s="104"/>
      <c r="BI690" s="152"/>
      <c r="BJ690" s="103"/>
      <c r="BK690" s="103"/>
      <c r="BL690" s="103"/>
      <c r="BM690" s="103"/>
      <c r="BN690" s="103"/>
      <c r="BO690" s="103"/>
      <c r="BP690" s="103"/>
      <c r="BQ690" s="103"/>
      <c r="BR690" s="103"/>
      <c r="BS690" s="103"/>
      <c r="BT690" s="103"/>
      <c r="BU690" s="104"/>
      <c r="BV690" s="104"/>
      <c r="BW690" s="104"/>
      <c r="BX690" s="104"/>
      <c r="BY690" s="104"/>
      <c r="BZ690" s="104"/>
      <c r="CA690" s="104"/>
      <c r="CB690" s="104"/>
      <c r="CC690" s="104"/>
      <c r="CD690" s="104"/>
      <c r="CE690" s="103"/>
      <c r="CF690" s="103"/>
      <c r="CG690" s="103"/>
      <c r="CH690" s="103"/>
      <c r="CI690" s="103"/>
      <c r="CJ690" s="133"/>
      <c r="CK690" s="133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53"/>
      <c r="DF690" s="51"/>
      <c r="DJ690" s="52"/>
      <c r="DK690" s="52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P690" s="53"/>
      <c r="EQ690" s="1"/>
      <c r="ER690" s="103"/>
      <c r="ES690" s="103"/>
      <c r="ET690" s="1"/>
      <c r="EU690" s="103"/>
      <c r="EV690" s="1"/>
      <c r="EW690" s="1"/>
      <c r="EX690" s="1"/>
      <c r="EY690" s="105"/>
    </row>
    <row r="691" spans="9:155">
      <c r="I691" s="132"/>
      <c r="J691" s="133"/>
      <c r="K691" s="1"/>
      <c r="L691" s="1"/>
      <c r="Q691" s="1"/>
      <c r="R691" s="1"/>
      <c r="S691" s="103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53"/>
      <c r="AN691" s="103"/>
      <c r="AO691" s="103"/>
      <c r="AP691" s="103"/>
      <c r="AQ691" s="103"/>
      <c r="AR691" s="103"/>
      <c r="AS691" s="31"/>
      <c r="AT691" s="31"/>
      <c r="AU691" s="31"/>
      <c r="AV691" s="146"/>
      <c r="AW691" s="146"/>
      <c r="AX691" s="103"/>
      <c r="AY691" s="103"/>
      <c r="AZ691" s="103"/>
      <c r="BA691" s="103"/>
      <c r="BB691" s="103"/>
      <c r="BC691" s="103"/>
      <c r="BD691" s="104"/>
      <c r="BE691" s="102"/>
      <c r="BF691" s="102"/>
      <c r="BG691" s="102"/>
      <c r="BH691" s="104"/>
      <c r="BI691" s="152"/>
      <c r="BJ691" s="103"/>
      <c r="BK691" s="103"/>
      <c r="BL691" s="103"/>
      <c r="BM691" s="103"/>
      <c r="BN691" s="103"/>
      <c r="BO691" s="103"/>
      <c r="BP691" s="103"/>
      <c r="BQ691" s="103"/>
      <c r="BR691" s="103"/>
      <c r="BS691" s="103"/>
      <c r="BT691" s="103"/>
      <c r="BU691" s="104"/>
      <c r="BV691" s="104"/>
      <c r="BW691" s="104"/>
      <c r="BX691" s="104"/>
      <c r="BY691" s="104"/>
      <c r="BZ691" s="104"/>
      <c r="CA691" s="104"/>
      <c r="CB691" s="104"/>
      <c r="CC691" s="104"/>
      <c r="CD691" s="104"/>
      <c r="CE691" s="103"/>
      <c r="CF691" s="103"/>
      <c r="CG691" s="103"/>
      <c r="CH691" s="103"/>
      <c r="CI691" s="103"/>
      <c r="CJ691" s="133"/>
      <c r="CK691" s="133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53"/>
      <c r="DF691" s="51"/>
      <c r="DJ691" s="52"/>
      <c r="DK691" s="52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P691" s="53"/>
      <c r="EQ691" s="1"/>
      <c r="ER691" s="103"/>
      <c r="ES691" s="103"/>
      <c r="ET691" s="1"/>
      <c r="EU691" s="103"/>
      <c r="EV691" s="1"/>
      <c r="EW691" s="1"/>
      <c r="EX691" s="1"/>
      <c r="EY691" s="105"/>
    </row>
    <row r="692" spans="9:155">
      <c r="I692" s="132"/>
      <c r="J692" s="133"/>
      <c r="K692" s="1"/>
      <c r="L692" s="1"/>
      <c r="Q692" s="1"/>
      <c r="R692" s="1"/>
      <c r="S692" s="103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53"/>
      <c r="AN692" s="103"/>
      <c r="AO692" s="103"/>
      <c r="AP692" s="103"/>
      <c r="AQ692" s="103"/>
      <c r="AR692" s="103"/>
      <c r="AS692" s="31"/>
      <c r="AT692" s="31"/>
      <c r="AU692" s="31"/>
      <c r="AV692" s="146"/>
      <c r="AW692" s="146"/>
      <c r="AX692" s="103"/>
      <c r="AY692" s="103"/>
      <c r="AZ692" s="103"/>
      <c r="BA692" s="103"/>
      <c r="BB692" s="103"/>
      <c r="BC692" s="103"/>
      <c r="BD692" s="104"/>
      <c r="BE692" s="102"/>
      <c r="BF692" s="102"/>
      <c r="BG692" s="102"/>
      <c r="BH692" s="104"/>
      <c r="BI692" s="152"/>
      <c r="BJ692" s="103"/>
      <c r="BK692" s="103"/>
      <c r="BL692" s="103"/>
      <c r="BM692" s="103"/>
      <c r="BN692" s="103"/>
      <c r="BO692" s="103"/>
      <c r="BP692" s="103"/>
      <c r="BQ692" s="103"/>
      <c r="BR692" s="103"/>
      <c r="BS692" s="103"/>
      <c r="BT692" s="103"/>
      <c r="BU692" s="104"/>
      <c r="BV692" s="104"/>
      <c r="BW692" s="104"/>
      <c r="BX692" s="104"/>
      <c r="BY692" s="104"/>
      <c r="BZ692" s="104"/>
      <c r="CA692" s="104"/>
      <c r="CB692" s="104"/>
      <c r="CC692" s="104"/>
      <c r="CD692" s="104"/>
      <c r="CE692" s="103"/>
      <c r="CF692" s="103"/>
      <c r="CG692" s="103"/>
      <c r="CH692" s="103"/>
      <c r="CI692" s="103"/>
      <c r="CJ692" s="133"/>
      <c r="CK692" s="133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53"/>
      <c r="DF692" s="51"/>
      <c r="DJ692" s="52"/>
      <c r="DK692" s="52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P692" s="53"/>
      <c r="EQ692" s="1"/>
      <c r="ER692" s="103"/>
      <c r="ES692" s="103"/>
      <c r="ET692" s="1"/>
      <c r="EU692" s="103"/>
      <c r="EV692" s="1"/>
      <c r="EW692" s="1"/>
      <c r="EX692" s="1"/>
      <c r="EY692" s="105"/>
    </row>
    <row r="693" spans="9:155">
      <c r="I693" s="132"/>
      <c r="J693" s="133"/>
      <c r="K693" s="1"/>
      <c r="L693" s="1"/>
      <c r="Q693" s="1"/>
      <c r="R693" s="1"/>
      <c r="S693" s="103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53"/>
      <c r="AN693" s="103"/>
      <c r="AO693" s="103"/>
      <c r="AP693" s="103"/>
      <c r="AQ693" s="103"/>
      <c r="AR693" s="103"/>
      <c r="AS693" s="31"/>
      <c r="AT693" s="31"/>
      <c r="AU693" s="31"/>
      <c r="AV693" s="146"/>
      <c r="AW693" s="146"/>
      <c r="AX693" s="103"/>
      <c r="AY693" s="103"/>
      <c r="AZ693" s="103"/>
      <c r="BA693" s="103"/>
      <c r="BB693" s="103"/>
      <c r="BC693" s="103"/>
      <c r="BD693" s="104"/>
      <c r="BE693" s="102"/>
      <c r="BF693" s="102"/>
      <c r="BG693" s="102"/>
      <c r="BH693" s="104"/>
      <c r="BI693" s="152"/>
      <c r="BJ693" s="103"/>
      <c r="BK693" s="103"/>
      <c r="BL693" s="103"/>
      <c r="BM693" s="103"/>
      <c r="BN693" s="103"/>
      <c r="BO693" s="103"/>
      <c r="BP693" s="103"/>
      <c r="BQ693" s="103"/>
      <c r="BR693" s="103"/>
      <c r="BS693" s="103"/>
      <c r="BT693" s="103"/>
      <c r="BU693" s="104"/>
      <c r="BV693" s="104"/>
      <c r="BW693" s="104"/>
      <c r="BX693" s="104"/>
      <c r="BY693" s="104"/>
      <c r="BZ693" s="104"/>
      <c r="CA693" s="104"/>
      <c r="CB693" s="104"/>
      <c r="CC693" s="104"/>
      <c r="CD693" s="104"/>
      <c r="CE693" s="103"/>
      <c r="CF693" s="103"/>
      <c r="CG693" s="103"/>
      <c r="CH693" s="103"/>
      <c r="CI693" s="103"/>
      <c r="CJ693" s="133"/>
      <c r="CK693" s="133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53"/>
      <c r="DF693" s="51"/>
      <c r="DJ693" s="52"/>
      <c r="DK693" s="52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P693" s="53"/>
      <c r="EQ693" s="1"/>
      <c r="ER693" s="103"/>
      <c r="ES693" s="103"/>
      <c r="ET693" s="1"/>
      <c r="EU693" s="103"/>
      <c r="EV693" s="1"/>
      <c r="EW693" s="1"/>
      <c r="EX693" s="1"/>
      <c r="EY693" s="105"/>
    </row>
    <row r="694" spans="9:155">
      <c r="I694" s="132"/>
      <c r="J694" s="133"/>
      <c r="K694" s="1"/>
      <c r="L694" s="1"/>
      <c r="Q694" s="1"/>
      <c r="R694" s="1"/>
      <c r="S694" s="103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53"/>
      <c r="AN694" s="103"/>
      <c r="AO694" s="103"/>
      <c r="AP694" s="103"/>
      <c r="AQ694" s="103"/>
      <c r="AR694" s="103"/>
      <c r="AS694" s="31"/>
      <c r="AT694" s="31"/>
      <c r="AU694" s="31"/>
      <c r="AV694" s="146"/>
      <c r="AW694" s="146"/>
      <c r="AX694" s="103"/>
      <c r="AY694" s="103"/>
      <c r="AZ694" s="103"/>
      <c r="BA694" s="103"/>
      <c r="BB694" s="103"/>
      <c r="BC694" s="103"/>
      <c r="BD694" s="104"/>
      <c r="BE694" s="102"/>
      <c r="BF694" s="102"/>
      <c r="BG694" s="102"/>
      <c r="BH694" s="104"/>
      <c r="BI694" s="152"/>
      <c r="BJ694" s="103"/>
      <c r="BK694" s="103"/>
      <c r="BL694" s="103"/>
      <c r="BM694" s="103"/>
      <c r="BN694" s="103"/>
      <c r="BO694" s="103"/>
      <c r="BP694" s="103"/>
      <c r="BQ694" s="103"/>
      <c r="BR694" s="103"/>
      <c r="BS694" s="103"/>
      <c r="BT694" s="103"/>
      <c r="BU694" s="104"/>
      <c r="BV694" s="104"/>
      <c r="BW694" s="104"/>
      <c r="BX694" s="104"/>
      <c r="BY694" s="104"/>
      <c r="BZ694" s="104"/>
      <c r="CA694" s="104"/>
      <c r="CB694" s="104"/>
      <c r="CC694" s="104"/>
      <c r="CD694" s="104"/>
      <c r="CE694" s="103"/>
      <c r="CF694" s="103"/>
      <c r="CG694" s="103"/>
      <c r="CH694" s="103"/>
      <c r="CI694" s="103"/>
      <c r="CJ694" s="133"/>
      <c r="CK694" s="133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53"/>
      <c r="DF694" s="51"/>
      <c r="DJ694" s="52"/>
      <c r="DK694" s="52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P694" s="53"/>
      <c r="EQ694" s="1"/>
      <c r="ER694" s="103"/>
      <c r="ES694" s="103"/>
      <c r="ET694" s="1"/>
      <c r="EU694" s="103"/>
      <c r="EV694" s="1"/>
      <c r="EW694" s="1"/>
      <c r="EX694" s="1"/>
      <c r="EY694" s="105"/>
    </row>
    <row r="695" spans="9:155">
      <c r="I695" s="132"/>
      <c r="J695" s="133"/>
      <c r="K695" s="1"/>
      <c r="L695" s="1"/>
      <c r="Q695" s="1"/>
      <c r="R695" s="1"/>
      <c r="S695" s="103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53"/>
      <c r="AN695" s="103"/>
      <c r="AO695" s="103"/>
      <c r="AP695" s="103"/>
      <c r="AQ695" s="103"/>
      <c r="AR695" s="103"/>
      <c r="AS695" s="31"/>
      <c r="AT695" s="31"/>
      <c r="AU695" s="31"/>
      <c r="AV695" s="146"/>
      <c r="AW695" s="146"/>
      <c r="AX695" s="103"/>
      <c r="AY695" s="103"/>
      <c r="AZ695" s="103"/>
      <c r="BA695" s="103"/>
      <c r="BB695" s="103"/>
      <c r="BC695" s="103"/>
      <c r="BD695" s="104"/>
      <c r="BE695" s="102"/>
      <c r="BF695" s="102"/>
      <c r="BG695" s="102"/>
      <c r="BH695" s="104"/>
      <c r="BI695" s="152"/>
      <c r="BJ695" s="103"/>
      <c r="BK695" s="103"/>
      <c r="BL695" s="103"/>
      <c r="BM695" s="103"/>
      <c r="BN695" s="103"/>
      <c r="BO695" s="103"/>
      <c r="BP695" s="103"/>
      <c r="BQ695" s="103"/>
      <c r="BR695" s="103"/>
      <c r="BS695" s="103"/>
      <c r="BT695" s="103"/>
      <c r="BU695" s="104"/>
      <c r="BV695" s="104"/>
      <c r="BW695" s="104"/>
      <c r="BX695" s="104"/>
      <c r="BY695" s="104"/>
      <c r="BZ695" s="104"/>
      <c r="CA695" s="104"/>
      <c r="CB695" s="104"/>
      <c r="CC695" s="104"/>
      <c r="CD695" s="104"/>
      <c r="CE695" s="103"/>
      <c r="CF695" s="103"/>
      <c r="CG695" s="103"/>
      <c r="CH695" s="103"/>
      <c r="CI695" s="103"/>
      <c r="CJ695" s="133"/>
      <c r="CK695" s="133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53"/>
      <c r="DF695" s="51"/>
      <c r="DJ695" s="52"/>
      <c r="DK695" s="52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P695" s="53"/>
      <c r="EQ695" s="1"/>
      <c r="ER695" s="103"/>
      <c r="ES695" s="103"/>
      <c r="ET695" s="1"/>
      <c r="EU695" s="103"/>
      <c r="EV695" s="1"/>
      <c r="EW695" s="1"/>
      <c r="EX695" s="1"/>
      <c r="EY695" s="105"/>
    </row>
    <row r="696" spans="9:155">
      <c r="I696" s="132"/>
      <c r="J696" s="133"/>
      <c r="K696" s="1"/>
      <c r="L696" s="1"/>
      <c r="Q696" s="1"/>
      <c r="R696" s="1"/>
      <c r="S696" s="103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53"/>
      <c r="AN696" s="103"/>
      <c r="AO696" s="103"/>
      <c r="AP696" s="103"/>
      <c r="AQ696" s="103"/>
      <c r="AR696" s="103"/>
      <c r="AS696" s="31"/>
      <c r="AT696" s="31"/>
      <c r="AU696" s="31"/>
      <c r="AV696" s="146"/>
      <c r="AW696" s="146"/>
      <c r="AX696" s="103"/>
      <c r="AY696" s="103"/>
      <c r="AZ696" s="103"/>
      <c r="BA696" s="103"/>
      <c r="BB696" s="103"/>
      <c r="BC696" s="103"/>
      <c r="BD696" s="104"/>
      <c r="BE696" s="102"/>
      <c r="BF696" s="102"/>
      <c r="BG696" s="102"/>
      <c r="BH696" s="104"/>
      <c r="BI696" s="152"/>
      <c r="BJ696" s="103"/>
      <c r="BK696" s="103"/>
      <c r="BL696" s="103"/>
      <c r="BM696" s="103"/>
      <c r="BN696" s="103"/>
      <c r="BO696" s="103"/>
      <c r="BP696" s="103"/>
      <c r="BQ696" s="103"/>
      <c r="BR696" s="103"/>
      <c r="BS696" s="103"/>
      <c r="BT696" s="103"/>
      <c r="BU696" s="104"/>
      <c r="BV696" s="104"/>
      <c r="BW696" s="104"/>
      <c r="BX696" s="104"/>
      <c r="BY696" s="104"/>
      <c r="BZ696" s="104"/>
      <c r="CA696" s="104"/>
      <c r="CB696" s="104"/>
      <c r="CC696" s="104"/>
      <c r="CD696" s="104"/>
      <c r="CE696" s="103"/>
      <c r="CF696" s="103"/>
      <c r="CG696" s="103"/>
      <c r="CH696" s="103"/>
      <c r="CI696" s="103"/>
      <c r="CJ696" s="133"/>
      <c r="CK696" s="133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53"/>
      <c r="DF696" s="51"/>
      <c r="DJ696" s="52"/>
      <c r="DK696" s="52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P696" s="53"/>
      <c r="EQ696" s="1"/>
      <c r="ER696" s="103"/>
      <c r="ES696" s="103"/>
      <c r="ET696" s="1"/>
      <c r="EU696" s="103"/>
      <c r="EV696" s="1"/>
      <c r="EW696" s="1"/>
      <c r="EX696" s="1"/>
      <c r="EY696" s="105"/>
    </row>
    <row r="697" spans="9:155">
      <c r="I697" s="132"/>
      <c r="J697" s="133"/>
      <c r="K697" s="1"/>
      <c r="L697" s="1"/>
      <c r="Q697" s="1"/>
      <c r="R697" s="1"/>
      <c r="S697" s="103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53"/>
      <c r="AN697" s="103"/>
      <c r="AO697" s="103"/>
      <c r="AP697" s="103"/>
      <c r="AQ697" s="103"/>
      <c r="AR697" s="103"/>
      <c r="AS697" s="31"/>
      <c r="AT697" s="31"/>
      <c r="AU697" s="31"/>
      <c r="AV697" s="146"/>
      <c r="AW697" s="146"/>
      <c r="AX697" s="103"/>
      <c r="AY697" s="103"/>
      <c r="AZ697" s="103"/>
      <c r="BA697" s="103"/>
      <c r="BB697" s="103"/>
      <c r="BC697" s="103"/>
      <c r="BD697" s="104"/>
      <c r="BE697" s="102"/>
      <c r="BF697" s="102"/>
      <c r="BG697" s="102"/>
      <c r="BH697" s="104"/>
      <c r="BI697" s="152"/>
      <c r="BJ697" s="103"/>
      <c r="BK697" s="103"/>
      <c r="BL697" s="103"/>
      <c r="BM697" s="103"/>
      <c r="BN697" s="103"/>
      <c r="BO697" s="103"/>
      <c r="BP697" s="103"/>
      <c r="BQ697" s="103"/>
      <c r="BR697" s="103"/>
      <c r="BS697" s="103"/>
      <c r="BT697" s="103"/>
      <c r="BU697" s="104"/>
      <c r="BV697" s="104"/>
      <c r="BW697" s="104"/>
      <c r="BX697" s="104"/>
      <c r="BY697" s="104"/>
      <c r="BZ697" s="104"/>
      <c r="CA697" s="104"/>
      <c r="CB697" s="104"/>
      <c r="CC697" s="104"/>
      <c r="CD697" s="104"/>
      <c r="CE697" s="103"/>
      <c r="CF697" s="103"/>
      <c r="CG697" s="103"/>
      <c r="CH697" s="103"/>
      <c r="CI697" s="103"/>
      <c r="CJ697" s="133"/>
      <c r="CK697" s="133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53"/>
      <c r="DF697" s="51"/>
      <c r="DJ697" s="52"/>
      <c r="DK697" s="52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P697" s="53"/>
      <c r="EQ697" s="1"/>
      <c r="ER697" s="103"/>
      <c r="ES697" s="103"/>
      <c r="ET697" s="1"/>
      <c r="EU697" s="103"/>
      <c r="EV697" s="1"/>
      <c r="EW697" s="1"/>
      <c r="EX697" s="1"/>
      <c r="EY697" s="105"/>
    </row>
    <row r="698" spans="9:155">
      <c r="I698" s="132"/>
      <c r="J698" s="133"/>
      <c r="K698" s="1"/>
      <c r="L698" s="1"/>
      <c r="Q698" s="1"/>
      <c r="R698" s="1"/>
      <c r="S698" s="103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53"/>
      <c r="AN698" s="103"/>
      <c r="AO698" s="103"/>
      <c r="AP698" s="103"/>
      <c r="AQ698" s="103"/>
      <c r="AR698" s="103"/>
      <c r="AS698" s="31"/>
      <c r="AT698" s="31"/>
      <c r="AU698" s="31"/>
      <c r="AV698" s="146"/>
      <c r="AW698" s="146"/>
      <c r="AX698" s="103"/>
      <c r="AY698" s="103"/>
      <c r="AZ698" s="103"/>
      <c r="BA698" s="103"/>
      <c r="BB698" s="103"/>
      <c r="BC698" s="103"/>
      <c r="BD698" s="104"/>
      <c r="BE698" s="102"/>
      <c r="BF698" s="102"/>
      <c r="BG698" s="102"/>
      <c r="BH698" s="104"/>
      <c r="BI698" s="152"/>
      <c r="BJ698" s="103"/>
      <c r="BK698" s="103"/>
      <c r="BL698" s="103"/>
      <c r="BM698" s="103"/>
      <c r="BN698" s="103"/>
      <c r="BO698" s="103"/>
      <c r="BP698" s="103"/>
      <c r="BQ698" s="103"/>
      <c r="BR698" s="103"/>
      <c r="BS698" s="103"/>
      <c r="BT698" s="103"/>
      <c r="BU698" s="104"/>
      <c r="BV698" s="104"/>
      <c r="BW698" s="104"/>
      <c r="BX698" s="104"/>
      <c r="BY698" s="104"/>
      <c r="BZ698" s="104"/>
      <c r="CA698" s="104"/>
      <c r="CB698" s="104"/>
      <c r="CC698" s="104"/>
      <c r="CD698" s="104"/>
      <c r="CE698" s="103"/>
      <c r="CF698" s="103"/>
      <c r="CG698" s="103"/>
      <c r="CH698" s="103"/>
      <c r="CI698" s="103"/>
      <c r="CJ698" s="133"/>
      <c r="CK698" s="133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53"/>
      <c r="DF698" s="51"/>
      <c r="DJ698" s="52"/>
      <c r="DK698" s="52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P698" s="53"/>
      <c r="EQ698" s="1"/>
      <c r="ER698" s="103"/>
      <c r="ES698" s="103"/>
      <c r="ET698" s="1"/>
      <c r="EU698" s="103"/>
      <c r="EV698" s="1"/>
      <c r="EW698" s="1"/>
      <c r="EX698" s="1"/>
      <c r="EY698" s="105"/>
    </row>
    <row r="699" spans="9:155">
      <c r="I699" s="132"/>
      <c r="J699" s="133"/>
      <c r="K699" s="1"/>
      <c r="L699" s="1"/>
      <c r="Q699" s="1"/>
      <c r="R699" s="1"/>
      <c r="S699" s="103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53"/>
      <c r="AN699" s="103"/>
      <c r="AO699" s="103"/>
      <c r="AP699" s="103"/>
      <c r="AQ699" s="103"/>
      <c r="AR699" s="103"/>
      <c r="AS699" s="31"/>
      <c r="AT699" s="31"/>
      <c r="AU699" s="31"/>
      <c r="AV699" s="146"/>
      <c r="AW699" s="146"/>
      <c r="AX699" s="103"/>
      <c r="AY699" s="103"/>
      <c r="AZ699" s="103"/>
      <c r="BA699" s="103"/>
      <c r="BB699" s="103"/>
      <c r="BC699" s="103"/>
      <c r="BD699" s="104"/>
      <c r="BE699" s="102"/>
      <c r="BF699" s="102"/>
      <c r="BG699" s="102"/>
      <c r="BH699" s="104"/>
      <c r="BI699" s="152"/>
      <c r="BJ699" s="103"/>
      <c r="BK699" s="103"/>
      <c r="BL699" s="103"/>
      <c r="BM699" s="103"/>
      <c r="BN699" s="103"/>
      <c r="BO699" s="103"/>
      <c r="BP699" s="103"/>
      <c r="BQ699" s="103"/>
      <c r="BR699" s="103"/>
      <c r="BS699" s="103"/>
      <c r="BT699" s="103"/>
      <c r="BU699" s="104"/>
      <c r="BV699" s="104"/>
      <c r="BW699" s="104"/>
      <c r="BX699" s="104"/>
      <c r="BY699" s="104"/>
      <c r="BZ699" s="104"/>
      <c r="CA699" s="104"/>
      <c r="CB699" s="104"/>
      <c r="CC699" s="104"/>
      <c r="CD699" s="104"/>
      <c r="CE699" s="103"/>
      <c r="CF699" s="103"/>
      <c r="CG699" s="103"/>
      <c r="CH699" s="103"/>
      <c r="CI699" s="103"/>
      <c r="CJ699" s="133"/>
      <c r="CK699" s="133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53"/>
      <c r="DF699" s="51"/>
      <c r="DJ699" s="52"/>
      <c r="DK699" s="52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P699" s="53"/>
      <c r="EQ699" s="1"/>
      <c r="ER699" s="103"/>
      <c r="ES699" s="103"/>
      <c r="ET699" s="1"/>
      <c r="EU699" s="103"/>
      <c r="EV699" s="1"/>
      <c r="EW699" s="1"/>
      <c r="EX699" s="1"/>
      <c r="EY699" s="105"/>
    </row>
    <row r="700" spans="9:155">
      <c r="I700" s="132"/>
      <c r="J700" s="133"/>
      <c r="K700" s="1"/>
      <c r="L700" s="1"/>
      <c r="Q700" s="1"/>
      <c r="R700" s="1"/>
      <c r="S700" s="103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53"/>
      <c r="AN700" s="103"/>
      <c r="AO700" s="103"/>
      <c r="AP700" s="103"/>
      <c r="AQ700" s="103"/>
      <c r="AR700" s="103"/>
      <c r="AS700" s="31"/>
      <c r="AT700" s="31"/>
      <c r="AU700" s="31"/>
      <c r="AV700" s="146"/>
      <c r="AW700" s="146"/>
      <c r="AX700" s="103"/>
      <c r="AY700" s="103"/>
      <c r="AZ700" s="103"/>
      <c r="BA700" s="103"/>
      <c r="BB700" s="103"/>
      <c r="BC700" s="103"/>
      <c r="BD700" s="104"/>
      <c r="BE700" s="102"/>
      <c r="BF700" s="102"/>
      <c r="BG700" s="102"/>
      <c r="BH700" s="104"/>
      <c r="BI700" s="152"/>
      <c r="BJ700" s="103"/>
      <c r="BK700" s="103"/>
      <c r="BL700" s="103"/>
      <c r="BM700" s="103"/>
      <c r="BN700" s="103"/>
      <c r="BO700" s="103"/>
      <c r="BP700" s="103"/>
      <c r="BQ700" s="103"/>
      <c r="BR700" s="103"/>
      <c r="BS700" s="103"/>
      <c r="BT700" s="103"/>
      <c r="BU700" s="104"/>
      <c r="BV700" s="104"/>
      <c r="BW700" s="104"/>
      <c r="BX700" s="104"/>
      <c r="BY700" s="104"/>
      <c r="BZ700" s="104"/>
      <c r="CA700" s="104"/>
      <c r="CB700" s="104"/>
      <c r="CC700" s="104"/>
      <c r="CD700" s="104"/>
      <c r="CE700" s="103"/>
      <c r="CF700" s="103"/>
      <c r="CG700" s="103"/>
      <c r="CH700" s="103"/>
      <c r="CI700" s="103"/>
      <c r="CJ700" s="133"/>
      <c r="CK700" s="133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53"/>
      <c r="DF700" s="51"/>
      <c r="DJ700" s="52"/>
      <c r="DK700" s="52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P700" s="53"/>
      <c r="EQ700" s="1"/>
      <c r="ER700" s="103"/>
      <c r="ES700" s="103"/>
      <c r="ET700" s="1"/>
      <c r="EU700" s="103"/>
      <c r="EV700" s="1"/>
      <c r="EW700" s="1"/>
      <c r="EX700" s="1"/>
      <c r="EY700" s="105"/>
    </row>
    <row r="701" spans="9:155">
      <c r="I701" s="132"/>
      <c r="J701" s="133"/>
      <c r="K701" s="1"/>
      <c r="L701" s="1"/>
      <c r="Q701" s="1"/>
      <c r="R701" s="1"/>
      <c r="S701" s="103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53"/>
      <c r="AN701" s="103"/>
      <c r="AO701" s="103"/>
      <c r="AP701" s="103"/>
      <c r="AQ701" s="103"/>
      <c r="AR701" s="103"/>
      <c r="AS701" s="31"/>
      <c r="AT701" s="31"/>
      <c r="AU701" s="31"/>
      <c r="AV701" s="146"/>
      <c r="AW701" s="146"/>
      <c r="AX701" s="103"/>
      <c r="AY701" s="103"/>
      <c r="AZ701" s="103"/>
      <c r="BA701" s="103"/>
      <c r="BB701" s="103"/>
      <c r="BC701" s="103"/>
      <c r="BD701" s="104"/>
      <c r="BE701" s="102"/>
      <c r="BF701" s="102"/>
      <c r="BG701" s="102"/>
      <c r="BH701" s="104"/>
      <c r="BI701" s="152"/>
      <c r="BJ701" s="103"/>
      <c r="BK701" s="103"/>
      <c r="BL701" s="103"/>
      <c r="BM701" s="103"/>
      <c r="BN701" s="103"/>
      <c r="BO701" s="103"/>
      <c r="BP701" s="103"/>
      <c r="BQ701" s="103"/>
      <c r="BR701" s="103"/>
      <c r="BS701" s="103"/>
      <c r="BT701" s="103"/>
      <c r="BU701" s="104"/>
      <c r="BV701" s="104"/>
      <c r="BW701" s="104"/>
      <c r="BX701" s="104"/>
      <c r="BY701" s="104"/>
      <c r="BZ701" s="104"/>
      <c r="CA701" s="104"/>
      <c r="CB701" s="104"/>
      <c r="CC701" s="104"/>
      <c r="CD701" s="104"/>
      <c r="CE701" s="103"/>
      <c r="CF701" s="103"/>
      <c r="CG701" s="103"/>
      <c r="CH701" s="103"/>
      <c r="CI701" s="103"/>
      <c r="CJ701" s="133"/>
      <c r="CK701" s="133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53"/>
      <c r="DF701" s="51"/>
      <c r="DJ701" s="52"/>
      <c r="DK701" s="52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P701" s="53"/>
      <c r="EQ701" s="1"/>
      <c r="ER701" s="103"/>
      <c r="ES701" s="103"/>
      <c r="ET701" s="1"/>
      <c r="EU701" s="103"/>
      <c r="EV701" s="1"/>
      <c r="EW701" s="1"/>
      <c r="EX701" s="1"/>
      <c r="EY701" s="105"/>
    </row>
    <row r="702" spans="9:155">
      <c r="I702" s="132"/>
      <c r="J702" s="133"/>
      <c r="K702" s="1"/>
      <c r="L702" s="1"/>
      <c r="Q702" s="1"/>
      <c r="R702" s="1"/>
      <c r="S702" s="103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53"/>
      <c r="AN702" s="103"/>
      <c r="AO702" s="103"/>
      <c r="AP702" s="103"/>
      <c r="AQ702" s="103"/>
      <c r="AR702" s="103"/>
      <c r="AS702" s="31"/>
      <c r="AT702" s="31"/>
      <c r="AU702" s="31"/>
      <c r="AV702" s="146"/>
      <c r="AW702" s="146"/>
      <c r="AX702" s="103"/>
      <c r="AY702" s="103"/>
      <c r="AZ702" s="103"/>
      <c r="BA702" s="103"/>
      <c r="BB702" s="103"/>
      <c r="BC702" s="103"/>
      <c r="BD702" s="104"/>
      <c r="BE702" s="102"/>
      <c r="BF702" s="102"/>
      <c r="BG702" s="102"/>
      <c r="BH702" s="104"/>
      <c r="BI702" s="152"/>
      <c r="BJ702" s="103"/>
      <c r="BK702" s="103"/>
      <c r="BL702" s="103"/>
      <c r="BM702" s="103"/>
      <c r="BN702" s="103"/>
      <c r="BO702" s="103"/>
      <c r="BP702" s="103"/>
      <c r="BQ702" s="103"/>
      <c r="BR702" s="103"/>
      <c r="BS702" s="103"/>
      <c r="BT702" s="103"/>
      <c r="BU702" s="104"/>
      <c r="BV702" s="104"/>
      <c r="BW702" s="104"/>
      <c r="BX702" s="104"/>
      <c r="BY702" s="104"/>
      <c r="BZ702" s="104"/>
      <c r="CA702" s="104"/>
      <c r="CB702" s="104"/>
      <c r="CC702" s="104"/>
      <c r="CD702" s="104"/>
      <c r="CE702" s="103"/>
      <c r="CF702" s="103"/>
      <c r="CG702" s="103"/>
      <c r="CH702" s="103"/>
      <c r="CI702" s="103"/>
      <c r="CJ702" s="133"/>
      <c r="CK702" s="133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53"/>
      <c r="DF702" s="51"/>
      <c r="DJ702" s="52"/>
      <c r="DK702" s="52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P702" s="53"/>
      <c r="EQ702" s="1"/>
      <c r="ER702" s="103"/>
      <c r="ES702" s="103"/>
      <c r="ET702" s="1"/>
      <c r="EU702" s="103"/>
      <c r="EV702" s="1"/>
      <c r="EW702" s="1"/>
      <c r="EX702" s="1"/>
      <c r="EY702" s="105"/>
    </row>
    <row r="703" spans="9:155">
      <c r="I703" s="132"/>
      <c r="J703" s="133"/>
      <c r="K703" s="1"/>
      <c r="L703" s="1"/>
      <c r="Q703" s="1"/>
      <c r="R703" s="1"/>
      <c r="S703" s="103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53"/>
      <c r="AN703" s="103"/>
      <c r="AO703" s="103"/>
      <c r="AP703" s="103"/>
      <c r="AQ703" s="103"/>
      <c r="AR703" s="103"/>
      <c r="AS703" s="31"/>
      <c r="AT703" s="31"/>
      <c r="AU703" s="31"/>
      <c r="AV703" s="146"/>
      <c r="AW703" s="146"/>
      <c r="AX703" s="103"/>
      <c r="AY703" s="103"/>
      <c r="AZ703" s="103"/>
      <c r="BA703" s="103"/>
      <c r="BB703" s="103"/>
      <c r="BC703" s="103"/>
      <c r="BD703" s="104"/>
      <c r="BE703" s="102"/>
      <c r="BF703" s="102"/>
      <c r="BG703" s="102"/>
      <c r="BH703" s="104"/>
      <c r="BI703" s="152"/>
      <c r="BJ703" s="103"/>
      <c r="BK703" s="103"/>
      <c r="BL703" s="103"/>
      <c r="BM703" s="103"/>
      <c r="BN703" s="103"/>
      <c r="BO703" s="103"/>
      <c r="BP703" s="103"/>
      <c r="BQ703" s="103"/>
      <c r="BR703" s="103"/>
      <c r="BS703" s="103"/>
      <c r="BT703" s="103"/>
      <c r="BU703" s="104"/>
      <c r="BV703" s="104"/>
      <c r="BW703" s="104"/>
      <c r="BX703" s="104"/>
      <c r="BY703" s="104"/>
      <c r="BZ703" s="104"/>
      <c r="CA703" s="104"/>
      <c r="CB703" s="104"/>
      <c r="CC703" s="104"/>
      <c r="CD703" s="104"/>
      <c r="CE703" s="103"/>
      <c r="CF703" s="103"/>
      <c r="CG703" s="103"/>
      <c r="CH703" s="103"/>
      <c r="CI703" s="103"/>
      <c r="CJ703" s="133"/>
      <c r="CK703" s="133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53"/>
      <c r="DF703" s="51"/>
      <c r="DJ703" s="52"/>
      <c r="DK703" s="52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P703" s="53"/>
      <c r="EQ703" s="1"/>
      <c r="ER703" s="103"/>
      <c r="ES703" s="103"/>
      <c r="ET703" s="1"/>
      <c r="EU703" s="103"/>
      <c r="EV703" s="1"/>
      <c r="EW703" s="1"/>
      <c r="EX703" s="1"/>
      <c r="EY703" s="105"/>
    </row>
    <row r="704" spans="9:155">
      <c r="I704" s="132"/>
      <c r="J704" s="133"/>
      <c r="K704" s="1"/>
      <c r="L704" s="1"/>
      <c r="Q704" s="1"/>
      <c r="R704" s="1"/>
      <c r="S704" s="103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53"/>
      <c r="AN704" s="103"/>
      <c r="AO704" s="103"/>
      <c r="AP704" s="103"/>
      <c r="AQ704" s="103"/>
      <c r="AR704" s="103"/>
      <c r="AS704" s="31"/>
      <c r="AT704" s="31"/>
      <c r="AU704" s="31"/>
      <c r="AV704" s="146"/>
      <c r="AW704" s="146"/>
      <c r="AX704" s="103"/>
      <c r="AY704" s="103"/>
      <c r="AZ704" s="103"/>
      <c r="BA704" s="103"/>
      <c r="BB704" s="103"/>
      <c r="BC704" s="103"/>
      <c r="BD704" s="104"/>
      <c r="BE704" s="102"/>
      <c r="BF704" s="102"/>
      <c r="BG704" s="102"/>
      <c r="BH704" s="104"/>
      <c r="BI704" s="152"/>
      <c r="BJ704" s="103"/>
      <c r="BK704" s="103"/>
      <c r="BL704" s="103"/>
      <c r="BM704" s="103"/>
      <c r="BN704" s="103"/>
      <c r="BO704" s="103"/>
      <c r="BP704" s="103"/>
      <c r="BQ704" s="103"/>
      <c r="BR704" s="103"/>
      <c r="BS704" s="103"/>
      <c r="BT704" s="103"/>
      <c r="BU704" s="104"/>
      <c r="BV704" s="104"/>
      <c r="BW704" s="104"/>
      <c r="BX704" s="104"/>
      <c r="BY704" s="104"/>
      <c r="BZ704" s="104"/>
      <c r="CA704" s="104"/>
      <c r="CB704" s="104"/>
      <c r="CC704" s="104"/>
      <c r="CD704" s="104"/>
      <c r="CE704" s="103"/>
      <c r="CF704" s="103"/>
      <c r="CG704" s="103"/>
      <c r="CH704" s="103"/>
      <c r="CI704" s="103"/>
      <c r="CJ704" s="133"/>
      <c r="CK704" s="133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53"/>
      <c r="DF704" s="51"/>
      <c r="DJ704" s="52"/>
      <c r="DK704" s="52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P704" s="53"/>
      <c r="EQ704" s="1"/>
      <c r="ER704" s="103"/>
      <c r="ES704" s="103"/>
      <c r="ET704" s="1"/>
      <c r="EU704" s="103"/>
      <c r="EV704" s="1"/>
      <c r="EW704" s="1"/>
      <c r="EX704" s="1"/>
      <c r="EY704" s="105"/>
    </row>
    <row r="705" spans="9:155">
      <c r="I705" s="132"/>
      <c r="J705" s="133"/>
      <c r="K705" s="1"/>
      <c r="L705" s="1"/>
      <c r="Q705" s="1"/>
      <c r="R705" s="1"/>
      <c r="S705" s="103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53"/>
      <c r="AN705" s="103"/>
      <c r="AO705" s="103"/>
      <c r="AP705" s="103"/>
      <c r="AQ705" s="103"/>
      <c r="AR705" s="103"/>
      <c r="AS705" s="31"/>
      <c r="AT705" s="31"/>
      <c r="AU705" s="31"/>
      <c r="AV705" s="146"/>
      <c r="AW705" s="146"/>
      <c r="AX705" s="103"/>
      <c r="AY705" s="103"/>
      <c r="AZ705" s="103"/>
      <c r="BA705" s="103"/>
      <c r="BB705" s="103"/>
      <c r="BC705" s="103"/>
      <c r="BD705" s="104"/>
      <c r="BE705" s="102"/>
      <c r="BF705" s="102"/>
      <c r="BG705" s="102"/>
      <c r="BH705" s="104"/>
      <c r="BI705" s="152"/>
      <c r="BJ705" s="103"/>
      <c r="BK705" s="103"/>
      <c r="BL705" s="103"/>
      <c r="BM705" s="103"/>
      <c r="BN705" s="103"/>
      <c r="BO705" s="103"/>
      <c r="BP705" s="103"/>
      <c r="BQ705" s="103"/>
      <c r="BR705" s="103"/>
      <c r="BS705" s="103"/>
      <c r="BT705" s="103"/>
      <c r="BU705" s="104"/>
      <c r="BV705" s="104"/>
      <c r="BW705" s="104"/>
      <c r="BX705" s="104"/>
      <c r="BY705" s="104"/>
      <c r="BZ705" s="104"/>
      <c r="CA705" s="104"/>
      <c r="CB705" s="104"/>
      <c r="CC705" s="104"/>
      <c r="CD705" s="104"/>
      <c r="CE705" s="103"/>
      <c r="CF705" s="103"/>
      <c r="CG705" s="103"/>
      <c r="CH705" s="103"/>
      <c r="CI705" s="103"/>
      <c r="CJ705" s="133"/>
      <c r="CK705" s="133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53"/>
      <c r="DF705" s="51"/>
      <c r="DJ705" s="52"/>
      <c r="DK705" s="52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P705" s="53"/>
      <c r="EQ705" s="1"/>
      <c r="ER705" s="103"/>
      <c r="ES705" s="103"/>
      <c r="ET705" s="1"/>
      <c r="EU705" s="103"/>
      <c r="EV705" s="1"/>
      <c r="EW705" s="1"/>
      <c r="EX705" s="1"/>
      <c r="EY705" s="105"/>
    </row>
    <row r="706" spans="9:155">
      <c r="I706" s="132"/>
      <c r="J706" s="133"/>
      <c r="K706" s="1"/>
      <c r="L706" s="1"/>
      <c r="Q706" s="1"/>
      <c r="R706" s="1"/>
      <c r="S706" s="103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53"/>
      <c r="AN706" s="103"/>
      <c r="AO706" s="103"/>
      <c r="AP706" s="103"/>
      <c r="AQ706" s="103"/>
      <c r="AR706" s="103"/>
      <c r="AS706" s="31"/>
      <c r="AT706" s="31"/>
      <c r="AU706" s="31"/>
      <c r="AV706" s="146"/>
      <c r="AW706" s="146"/>
      <c r="AX706" s="103"/>
      <c r="AY706" s="103"/>
      <c r="AZ706" s="103"/>
      <c r="BA706" s="103"/>
      <c r="BB706" s="103"/>
      <c r="BC706" s="103"/>
      <c r="BD706" s="104"/>
      <c r="BE706" s="102"/>
      <c r="BF706" s="102"/>
      <c r="BG706" s="102"/>
      <c r="BH706" s="104"/>
      <c r="BI706" s="152"/>
      <c r="BJ706" s="103"/>
      <c r="BK706" s="103"/>
      <c r="BL706" s="103"/>
      <c r="BM706" s="103"/>
      <c r="BN706" s="103"/>
      <c r="BO706" s="103"/>
      <c r="BP706" s="103"/>
      <c r="BQ706" s="103"/>
      <c r="BR706" s="103"/>
      <c r="BS706" s="103"/>
      <c r="BT706" s="103"/>
      <c r="BU706" s="104"/>
      <c r="BV706" s="104"/>
      <c r="BW706" s="104"/>
      <c r="BX706" s="104"/>
      <c r="BY706" s="104"/>
      <c r="BZ706" s="104"/>
      <c r="CA706" s="104"/>
      <c r="CB706" s="104"/>
      <c r="CC706" s="104"/>
      <c r="CD706" s="104"/>
      <c r="CE706" s="103"/>
      <c r="CF706" s="103"/>
      <c r="CG706" s="103"/>
      <c r="CH706" s="103"/>
      <c r="CI706" s="103"/>
      <c r="CJ706" s="133"/>
      <c r="CK706" s="133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53"/>
      <c r="DF706" s="51"/>
      <c r="DJ706" s="52"/>
      <c r="DK706" s="52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P706" s="53"/>
      <c r="EQ706" s="1"/>
      <c r="ER706" s="103"/>
      <c r="ES706" s="103"/>
      <c r="ET706" s="1"/>
      <c r="EU706" s="103"/>
      <c r="EV706" s="1"/>
      <c r="EW706" s="1"/>
      <c r="EX706" s="1"/>
      <c r="EY706" s="105"/>
    </row>
    <row r="707" spans="9:155">
      <c r="I707" s="132"/>
      <c r="J707" s="133"/>
      <c r="K707" s="1"/>
      <c r="L707" s="1"/>
      <c r="Q707" s="1"/>
      <c r="R707" s="1"/>
      <c r="S707" s="103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53"/>
      <c r="AN707" s="103"/>
      <c r="AO707" s="103"/>
      <c r="AP707" s="103"/>
      <c r="AQ707" s="103"/>
      <c r="AR707" s="103"/>
      <c r="AS707" s="31"/>
      <c r="AT707" s="31"/>
      <c r="AU707" s="31"/>
      <c r="AV707" s="30"/>
      <c r="AW707" s="30"/>
      <c r="AX707" s="103"/>
      <c r="AY707" s="103"/>
      <c r="AZ707" s="103"/>
      <c r="BA707" s="103"/>
      <c r="BB707" s="103"/>
      <c r="BC707" s="103"/>
      <c r="BD707" s="104"/>
      <c r="BE707" s="102"/>
      <c r="BF707" s="102"/>
      <c r="BG707" s="102"/>
      <c r="BH707" s="104"/>
      <c r="BI707" s="152"/>
      <c r="BJ707" s="103"/>
      <c r="BK707" s="103"/>
      <c r="BL707" s="103"/>
      <c r="BM707" s="103"/>
      <c r="BN707" s="103"/>
      <c r="BO707" s="103"/>
      <c r="BP707" s="103"/>
      <c r="BQ707" s="103"/>
      <c r="BR707" s="103"/>
      <c r="BS707" s="103"/>
      <c r="BT707" s="103"/>
      <c r="BU707" s="104"/>
      <c r="BV707" s="104"/>
      <c r="BW707" s="104"/>
      <c r="BX707" s="104"/>
      <c r="BY707" s="104"/>
      <c r="BZ707" s="104"/>
      <c r="CA707" s="104"/>
      <c r="CB707" s="104"/>
      <c r="CC707" s="104"/>
      <c r="CD707" s="104"/>
      <c r="CE707" s="103"/>
      <c r="CF707" s="103"/>
      <c r="CG707" s="103"/>
      <c r="CH707" s="103"/>
      <c r="CI707" s="103"/>
      <c r="CJ707" s="133"/>
      <c r="CK707" s="133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53"/>
      <c r="DF707" s="51"/>
      <c r="DJ707" s="52"/>
      <c r="DK707" s="52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P707" s="53"/>
      <c r="EQ707" s="1"/>
      <c r="ER707" s="103"/>
      <c r="ES707" s="103"/>
      <c r="ET707" s="1"/>
      <c r="EU707" s="103"/>
      <c r="EV707" s="1"/>
      <c r="EW707" s="1"/>
      <c r="EX707" s="1"/>
      <c r="EY707" s="105"/>
    </row>
    <row r="708" spans="9:155">
      <c r="I708" s="132"/>
      <c r="J708" s="133"/>
      <c r="K708" s="1"/>
      <c r="L708" s="1"/>
      <c r="Q708" s="1"/>
      <c r="R708" s="1"/>
      <c r="S708" s="103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53"/>
      <c r="AN708" s="103"/>
      <c r="AO708" s="103"/>
      <c r="AP708" s="103"/>
      <c r="AQ708" s="103"/>
      <c r="AR708" s="103"/>
      <c r="AS708" s="31"/>
      <c r="AT708" s="31"/>
      <c r="AU708" s="31"/>
      <c r="AV708" s="30"/>
      <c r="AW708" s="30"/>
      <c r="AX708" s="103"/>
      <c r="AY708" s="103"/>
      <c r="AZ708" s="103"/>
      <c r="BA708" s="103"/>
      <c r="BB708" s="103"/>
      <c r="BC708" s="103"/>
      <c r="BD708" s="104"/>
      <c r="BE708" s="102"/>
      <c r="BF708" s="102"/>
      <c r="BG708" s="102"/>
      <c r="BH708" s="104"/>
      <c r="BI708" s="152"/>
      <c r="BJ708" s="103"/>
      <c r="BK708" s="103"/>
      <c r="BL708" s="103"/>
      <c r="BM708" s="103"/>
      <c r="BN708" s="103"/>
      <c r="BO708" s="103"/>
      <c r="BP708" s="103"/>
      <c r="BQ708" s="103"/>
      <c r="BR708" s="103"/>
      <c r="BS708" s="103"/>
      <c r="BT708" s="103"/>
      <c r="BU708" s="104"/>
      <c r="BV708" s="104"/>
      <c r="BW708" s="104"/>
      <c r="BX708" s="104"/>
      <c r="BY708" s="104"/>
      <c r="BZ708" s="104"/>
      <c r="CA708" s="104"/>
      <c r="CB708" s="104"/>
      <c r="CC708" s="104"/>
      <c r="CD708" s="104"/>
      <c r="CE708" s="103"/>
      <c r="CF708" s="103"/>
      <c r="CG708" s="103"/>
      <c r="CH708" s="103"/>
      <c r="CI708" s="103"/>
      <c r="CJ708" s="133"/>
      <c r="CK708" s="133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53"/>
      <c r="DF708" s="51"/>
      <c r="DJ708" s="52"/>
      <c r="DK708" s="52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P708" s="53"/>
      <c r="EQ708" s="1"/>
      <c r="ER708" s="103"/>
      <c r="ES708" s="103"/>
      <c r="ET708" s="1"/>
      <c r="EU708" s="103"/>
      <c r="EV708" s="1"/>
      <c r="EW708" s="1"/>
      <c r="EX708" s="1"/>
      <c r="EY708" s="105"/>
    </row>
    <row r="709" spans="9:155">
      <c r="I709" s="132"/>
      <c r="J709" s="133"/>
      <c r="K709" s="1"/>
      <c r="L709" s="1"/>
      <c r="Q709" s="1"/>
      <c r="R709" s="1"/>
      <c r="S709" s="103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53"/>
      <c r="AN709" s="103"/>
      <c r="AO709" s="103"/>
      <c r="AP709" s="103"/>
      <c r="AQ709" s="103"/>
      <c r="AR709" s="103"/>
      <c r="AS709" s="31"/>
      <c r="AT709" s="31"/>
      <c r="AU709" s="31"/>
      <c r="AV709" s="30"/>
      <c r="AW709" s="30"/>
      <c r="AX709" s="103"/>
      <c r="AY709" s="103"/>
      <c r="AZ709" s="103"/>
      <c r="BA709" s="103"/>
      <c r="BB709" s="103"/>
      <c r="BC709" s="103"/>
      <c r="BD709" s="104"/>
      <c r="BE709" s="102"/>
      <c r="BF709" s="102"/>
      <c r="BG709" s="102"/>
      <c r="BH709" s="104"/>
      <c r="BI709" s="152"/>
      <c r="BJ709" s="103"/>
      <c r="BK709" s="103"/>
      <c r="BL709" s="103"/>
      <c r="BM709" s="103"/>
      <c r="BN709" s="103"/>
      <c r="BO709" s="103"/>
      <c r="BP709" s="103"/>
      <c r="BQ709" s="103"/>
      <c r="BR709" s="103"/>
      <c r="BS709" s="103"/>
      <c r="BT709" s="103"/>
      <c r="BU709" s="104"/>
      <c r="BV709" s="104"/>
      <c r="BW709" s="104"/>
      <c r="BX709" s="104"/>
      <c r="BY709" s="104"/>
      <c r="BZ709" s="104"/>
      <c r="CA709" s="104"/>
      <c r="CB709" s="104"/>
      <c r="CC709" s="104"/>
      <c r="CD709" s="104"/>
      <c r="CE709" s="103"/>
      <c r="CF709" s="103"/>
      <c r="CG709" s="103"/>
      <c r="CH709" s="103"/>
      <c r="CI709" s="103"/>
      <c r="CJ709" s="133"/>
      <c r="CK709" s="133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53"/>
      <c r="DF709" s="51"/>
      <c r="DJ709" s="52"/>
      <c r="DK709" s="52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P709" s="53"/>
      <c r="EQ709" s="1"/>
      <c r="ER709" s="103"/>
      <c r="ES709" s="103"/>
      <c r="ET709" s="1"/>
      <c r="EU709" s="103"/>
      <c r="EV709" s="1"/>
      <c r="EW709" s="1"/>
      <c r="EX709" s="1"/>
      <c r="EY709" s="105"/>
    </row>
    <row r="710" spans="9:155">
      <c r="I710" s="132"/>
      <c r="J710" s="133"/>
      <c r="K710" s="1"/>
      <c r="L710" s="1"/>
      <c r="Q710" s="1"/>
      <c r="R710" s="1"/>
      <c r="S710" s="103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53"/>
      <c r="AN710" s="103"/>
      <c r="AO710" s="103"/>
      <c r="AP710" s="103"/>
      <c r="AQ710" s="103"/>
      <c r="AR710" s="103"/>
      <c r="AS710" s="31"/>
      <c r="AT710" s="31"/>
      <c r="AU710" s="31"/>
      <c r="AV710" s="30"/>
      <c r="AW710" s="30"/>
      <c r="AX710" s="103"/>
      <c r="AY710" s="103"/>
      <c r="AZ710" s="103"/>
      <c r="BA710" s="103"/>
      <c r="BB710" s="103"/>
      <c r="BC710" s="103"/>
      <c r="BD710" s="104"/>
      <c r="BE710" s="102"/>
      <c r="BF710" s="102"/>
      <c r="BG710" s="102"/>
      <c r="BH710" s="104"/>
      <c r="BI710" s="152"/>
      <c r="BJ710" s="103"/>
      <c r="BK710" s="103"/>
      <c r="BL710" s="103"/>
      <c r="BM710" s="103"/>
      <c r="BN710" s="103"/>
      <c r="BO710" s="103"/>
      <c r="BP710" s="103"/>
      <c r="BQ710" s="103"/>
      <c r="BR710" s="103"/>
      <c r="BS710" s="103"/>
      <c r="BT710" s="103"/>
      <c r="BU710" s="104"/>
      <c r="BV710" s="104"/>
      <c r="BW710" s="104"/>
      <c r="BX710" s="104"/>
      <c r="BY710" s="104"/>
      <c r="BZ710" s="104"/>
      <c r="CA710" s="104"/>
      <c r="CB710" s="104"/>
      <c r="CC710" s="104"/>
      <c r="CD710" s="104"/>
      <c r="CE710" s="103"/>
      <c r="CF710" s="103"/>
      <c r="CG710" s="103"/>
      <c r="CH710" s="103"/>
      <c r="CI710" s="103"/>
      <c r="CJ710" s="133"/>
      <c r="CK710" s="133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53"/>
      <c r="DF710" s="51"/>
      <c r="DJ710" s="52"/>
      <c r="DK710" s="52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P710" s="53"/>
      <c r="EQ710" s="1"/>
      <c r="ER710" s="103"/>
      <c r="ES710" s="103"/>
      <c r="ET710" s="1"/>
      <c r="EU710" s="103"/>
      <c r="EV710" s="1"/>
      <c r="EW710" s="1"/>
      <c r="EX710" s="1"/>
      <c r="EY710" s="105"/>
    </row>
    <row r="711" spans="9:155">
      <c r="I711" s="132"/>
      <c r="J711" s="133"/>
      <c r="K711" s="1"/>
      <c r="L711" s="1"/>
      <c r="Q711" s="1"/>
      <c r="R711" s="1"/>
      <c r="S711" s="103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53"/>
      <c r="AN711" s="103"/>
      <c r="AO711" s="103"/>
      <c r="AP711" s="103"/>
      <c r="AQ711" s="103"/>
      <c r="AR711" s="103"/>
      <c r="AS711" s="31"/>
      <c r="AT711" s="31"/>
      <c r="AU711" s="31"/>
      <c r="AV711" s="30"/>
      <c r="AW711" s="30"/>
      <c r="AX711" s="103"/>
      <c r="AY711" s="103"/>
      <c r="AZ711" s="103"/>
      <c r="BA711" s="103"/>
      <c r="BB711" s="103"/>
      <c r="BC711" s="103"/>
      <c r="BD711" s="104"/>
      <c r="BE711" s="102"/>
      <c r="BF711" s="102"/>
      <c r="BG711" s="102"/>
      <c r="BH711" s="104"/>
      <c r="BI711" s="152"/>
      <c r="BJ711" s="103"/>
      <c r="BK711" s="103"/>
      <c r="BL711" s="103"/>
      <c r="BM711" s="103"/>
      <c r="BN711" s="103"/>
      <c r="BO711" s="103"/>
      <c r="BP711" s="103"/>
      <c r="BQ711" s="103"/>
      <c r="BR711" s="103"/>
      <c r="BS711" s="103"/>
      <c r="BT711" s="103"/>
      <c r="BU711" s="104"/>
      <c r="BV711" s="104"/>
      <c r="BW711" s="104"/>
      <c r="BX711" s="104"/>
      <c r="BY711" s="104"/>
      <c r="BZ711" s="104"/>
      <c r="CA711" s="104"/>
      <c r="CB711" s="104"/>
      <c r="CC711" s="104"/>
      <c r="CD711" s="104"/>
      <c r="CE711" s="103"/>
      <c r="CF711" s="103"/>
      <c r="CG711" s="103"/>
      <c r="CH711" s="103"/>
      <c r="CI711" s="103"/>
      <c r="CJ711" s="133"/>
      <c r="CK711" s="133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53"/>
      <c r="DF711" s="51"/>
      <c r="DJ711" s="52"/>
      <c r="DK711" s="52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P711" s="53"/>
      <c r="EQ711" s="1"/>
      <c r="ER711" s="103"/>
      <c r="ES711" s="103"/>
      <c r="ET711" s="1"/>
      <c r="EU711" s="103"/>
      <c r="EV711" s="1"/>
      <c r="EW711" s="1"/>
      <c r="EX711" s="1"/>
      <c r="EY711" s="105"/>
    </row>
    <row r="712" spans="9:155">
      <c r="I712" s="132"/>
      <c r="J712" s="133"/>
      <c r="K712" s="1"/>
      <c r="L712" s="1"/>
      <c r="Q712" s="1"/>
      <c r="R712" s="1"/>
      <c r="S712" s="103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53"/>
      <c r="AN712" s="103"/>
      <c r="AO712" s="103"/>
      <c r="AP712" s="103"/>
      <c r="AQ712" s="103"/>
      <c r="AR712" s="103"/>
      <c r="AS712" s="31"/>
      <c r="AT712" s="31"/>
      <c r="AU712" s="31"/>
      <c r="AV712" s="30"/>
      <c r="AW712" s="30"/>
      <c r="AX712" s="103"/>
      <c r="AY712" s="103"/>
      <c r="AZ712" s="103"/>
      <c r="BA712" s="103"/>
      <c r="BB712" s="103"/>
      <c r="BC712" s="103"/>
      <c r="BD712" s="104"/>
      <c r="BE712" s="102"/>
      <c r="BF712" s="102"/>
      <c r="BG712" s="102"/>
      <c r="BH712" s="104"/>
      <c r="BI712" s="152"/>
      <c r="BJ712" s="103"/>
      <c r="BK712" s="103"/>
      <c r="BL712" s="103"/>
      <c r="BM712" s="103"/>
      <c r="BN712" s="103"/>
      <c r="BO712" s="103"/>
      <c r="BP712" s="103"/>
      <c r="BQ712" s="103"/>
      <c r="BR712" s="103"/>
      <c r="BS712" s="103"/>
      <c r="BT712" s="103"/>
      <c r="BU712" s="104"/>
      <c r="BV712" s="104"/>
      <c r="BW712" s="104"/>
      <c r="BX712" s="104"/>
      <c r="BY712" s="104"/>
      <c r="BZ712" s="104"/>
      <c r="CA712" s="104"/>
      <c r="CB712" s="104"/>
      <c r="CC712" s="104"/>
      <c r="CD712" s="104"/>
      <c r="CE712" s="103"/>
      <c r="CF712" s="103"/>
      <c r="CG712" s="103"/>
      <c r="CH712" s="103"/>
      <c r="CI712" s="103"/>
      <c r="CJ712" s="133"/>
      <c r="CK712" s="133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53"/>
      <c r="DF712" s="51"/>
      <c r="DJ712" s="52"/>
      <c r="DK712" s="52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P712" s="53"/>
      <c r="EQ712" s="1"/>
      <c r="ER712" s="103"/>
      <c r="ES712" s="103"/>
      <c r="ET712" s="1"/>
      <c r="EU712" s="103"/>
      <c r="EV712" s="1"/>
      <c r="EW712" s="1"/>
      <c r="EX712" s="1"/>
      <c r="EY712" s="105"/>
    </row>
    <row r="713" spans="9:155">
      <c r="I713" s="132"/>
      <c r="J713" s="133"/>
      <c r="K713" s="1"/>
      <c r="L713" s="1"/>
      <c r="Q713" s="1"/>
      <c r="R713" s="1"/>
      <c r="S713" s="103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53"/>
      <c r="AN713" s="103"/>
      <c r="AO713" s="103"/>
      <c r="AP713" s="103"/>
      <c r="AQ713" s="103"/>
      <c r="AR713" s="103"/>
      <c r="AS713" s="31"/>
      <c r="AT713" s="31"/>
      <c r="AU713" s="31"/>
      <c r="AV713" s="30"/>
      <c r="AW713" s="30"/>
      <c r="AX713" s="103"/>
      <c r="AY713" s="103"/>
      <c r="AZ713" s="103"/>
      <c r="BA713" s="103"/>
      <c r="BB713" s="103"/>
      <c r="BC713" s="103"/>
      <c r="BD713" s="104"/>
      <c r="BE713" s="102"/>
      <c r="BF713" s="102"/>
      <c r="BG713" s="102"/>
      <c r="BH713" s="104"/>
      <c r="BI713" s="152"/>
      <c r="BJ713" s="103"/>
      <c r="BK713" s="103"/>
      <c r="BL713" s="103"/>
      <c r="BM713" s="103"/>
      <c r="BN713" s="103"/>
      <c r="BO713" s="103"/>
      <c r="BP713" s="103"/>
      <c r="BQ713" s="103"/>
      <c r="BR713" s="103"/>
      <c r="BS713" s="103"/>
      <c r="BT713" s="103"/>
      <c r="BU713" s="104"/>
      <c r="BV713" s="104"/>
      <c r="BW713" s="104"/>
      <c r="BX713" s="104"/>
      <c r="BY713" s="104"/>
      <c r="BZ713" s="104"/>
      <c r="CA713" s="104"/>
      <c r="CB713" s="104"/>
      <c r="CC713" s="104"/>
      <c r="CD713" s="104"/>
      <c r="CE713" s="103"/>
      <c r="CF713" s="103"/>
      <c r="CG713" s="103"/>
      <c r="CH713" s="103"/>
      <c r="CI713" s="103"/>
      <c r="CJ713" s="133"/>
      <c r="CK713" s="133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53"/>
      <c r="DF713" s="51"/>
      <c r="DJ713" s="52"/>
      <c r="DK713" s="52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P713" s="53"/>
      <c r="EQ713" s="1"/>
      <c r="ER713" s="103"/>
      <c r="ES713" s="103"/>
      <c r="ET713" s="1"/>
      <c r="EU713" s="103"/>
      <c r="EV713" s="1"/>
      <c r="EW713" s="1"/>
      <c r="EX713" s="1"/>
      <c r="EY713" s="105"/>
    </row>
    <row r="714" spans="9:155">
      <c r="I714" s="132"/>
      <c r="J714" s="133"/>
      <c r="K714" s="1"/>
      <c r="L714" s="1"/>
      <c r="Q714" s="1"/>
      <c r="R714" s="1"/>
      <c r="S714" s="103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53"/>
      <c r="AN714" s="103"/>
      <c r="AO714" s="103"/>
      <c r="AP714" s="103"/>
      <c r="AQ714" s="103"/>
      <c r="AR714" s="103"/>
      <c r="AS714" s="31"/>
      <c r="AT714" s="31"/>
      <c r="AU714" s="31"/>
      <c r="AV714" s="30"/>
      <c r="AW714" s="30"/>
      <c r="AX714" s="103"/>
      <c r="AY714" s="103"/>
      <c r="AZ714" s="103"/>
      <c r="BA714" s="103"/>
      <c r="BB714" s="103"/>
      <c r="BC714" s="103"/>
      <c r="BD714" s="104"/>
      <c r="BE714" s="102"/>
      <c r="BF714" s="102"/>
      <c r="BG714" s="102"/>
      <c r="BH714" s="104"/>
      <c r="BI714" s="152"/>
      <c r="BJ714" s="103"/>
      <c r="BK714" s="103"/>
      <c r="BL714" s="103"/>
      <c r="BM714" s="103"/>
      <c r="BN714" s="103"/>
      <c r="BO714" s="103"/>
      <c r="BP714" s="103"/>
      <c r="BQ714" s="103"/>
      <c r="BR714" s="103"/>
      <c r="BS714" s="103"/>
      <c r="BT714" s="103"/>
      <c r="BU714" s="104"/>
      <c r="BV714" s="104"/>
      <c r="BW714" s="104"/>
      <c r="BX714" s="104"/>
      <c r="BY714" s="104"/>
      <c r="BZ714" s="104"/>
      <c r="CA714" s="104"/>
      <c r="CB714" s="104"/>
      <c r="CC714" s="104"/>
      <c r="CD714" s="104"/>
      <c r="CE714" s="103"/>
      <c r="CF714" s="103"/>
      <c r="CG714" s="103"/>
      <c r="CH714" s="103"/>
      <c r="CI714" s="103"/>
      <c r="CJ714" s="133"/>
      <c r="CK714" s="133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53"/>
      <c r="DF714" s="51"/>
      <c r="DJ714" s="52"/>
      <c r="DK714" s="52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P714" s="53"/>
      <c r="EQ714" s="1"/>
      <c r="ER714" s="103"/>
      <c r="ES714" s="103"/>
      <c r="ET714" s="1"/>
      <c r="EU714" s="103"/>
      <c r="EV714" s="1"/>
      <c r="EW714" s="1"/>
      <c r="EX714" s="1"/>
      <c r="EY714" s="105"/>
    </row>
    <row r="715" spans="9:155">
      <c r="I715" s="132"/>
      <c r="J715" s="133"/>
      <c r="K715" s="1"/>
      <c r="L715" s="1"/>
      <c r="Q715" s="1"/>
      <c r="R715" s="1"/>
      <c r="S715" s="103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53"/>
      <c r="AN715" s="103"/>
      <c r="AO715" s="103"/>
      <c r="AP715" s="103"/>
      <c r="AQ715" s="103"/>
      <c r="AR715" s="103"/>
      <c r="AS715" s="31"/>
      <c r="AT715" s="31"/>
      <c r="AU715" s="31"/>
      <c r="AV715" s="30"/>
      <c r="AW715" s="30"/>
      <c r="AX715" s="103"/>
      <c r="AY715" s="103"/>
      <c r="AZ715" s="103"/>
      <c r="BA715" s="103"/>
      <c r="BB715" s="103"/>
      <c r="BC715" s="103"/>
      <c r="BD715" s="104"/>
      <c r="BE715" s="102"/>
      <c r="BF715" s="102"/>
      <c r="BG715" s="102"/>
      <c r="BH715" s="104"/>
      <c r="BI715" s="152"/>
      <c r="BJ715" s="103"/>
      <c r="BK715" s="103"/>
      <c r="BL715" s="103"/>
      <c r="BM715" s="103"/>
      <c r="BN715" s="103"/>
      <c r="BO715" s="103"/>
      <c r="BP715" s="103"/>
      <c r="BQ715" s="103"/>
      <c r="BR715" s="103"/>
      <c r="BS715" s="103"/>
      <c r="BT715" s="103"/>
      <c r="BU715" s="104"/>
      <c r="BV715" s="104"/>
      <c r="BW715" s="104"/>
      <c r="BX715" s="104"/>
      <c r="BY715" s="104"/>
      <c r="BZ715" s="104"/>
      <c r="CA715" s="104"/>
      <c r="CB715" s="104"/>
      <c r="CC715" s="104"/>
      <c r="CD715" s="104"/>
      <c r="CE715" s="103"/>
      <c r="CF715" s="103"/>
      <c r="CG715" s="103"/>
      <c r="CH715" s="103"/>
      <c r="CI715" s="103"/>
      <c r="CJ715" s="133"/>
      <c r="CK715" s="133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53"/>
      <c r="DF715" s="51"/>
      <c r="DJ715" s="52"/>
      <c r="DK715" s="52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P715" s="53"/>
      <c r="EQ715" s="1"/>
      <c r="ER715" s="103"/>
      <c r="ES715" s="103"/>
      <c r="ET715" s="1"/>
      <c r="EU715" s="103"/>
      <c r="EV715" s="1"/>
      <c r="EW715" s="1"/>
      <c r="EX715" s="1"/>
      <c r="EY715" s="105"/>
    </row>
    <row r="716" spans="9:155">
      <c r="I716" s="132"/>
      <c r="J716" s="133"/>
      <c r="K716" s="1"/>
      <c r="L716" s="1"/>
      <c r="Q716" s="1"/>
      <c r="R716" s="1"/>
      <c r="S716" s="103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53"/>
      <c r="AN716" s="103"/>
      <c r="AO716" s="103"/>
      <c r="AP716" s="103"/>
      <c r="AQ716" s="103"/>
      <c r="AR716" s="103"/>
      <c r="AS716" s="31"/>
      <c r="AT716" s="31"/>
      <c r="AU716" s="31"/>
      <c r="AV716" s="30"/>
      <c r="AW716" s="30"/>
      <c r="AX716" s="103"/>
      <c r="AY716" s="103"/>
      <c r="AZ716" s="103"/>
      <c r="BA716" s="103"/>
      <c r="BB716" s="103"/>
      <c r="BC716" s="103"/>
      <c r="BD716" s="104"/>
      <c r="BE716" s="102"/>
      <c r="BF716" s="102"/>
      <c r="BG716" s="102"/>
      <c r="BH716" s="104"/>
      <c r="BI716" s="152"/>
      <c r="BJ716" s="103"/>
      <c r="BK716" s="103"/>
      <c r="BL716" s="103"/>
      <c r="BM716" s="103"/>
      <c r="BN716" s="103"/>
      <c r="BO716" s="103"/>
      <c r="BP716" s="103"/>
      <c r="BQ716" s="103"/>
      <c r="BR716" s="103"/>
      <c r="BS716" s="103"/>
      <c r="BT716" s="103"/>
      <c r="BU716" s="104"/>
      <c r="BV716" s="104"/>
      <c r="BW716" s="104"/>
      <c r="BX716" s="104"/>
      <c r="BY716" s="104"/>
      <c r="BZ716" s="104"/>
      <c r="CA716" s="104"/>
      <c r="CB716" s="104"/>
      <c r="CC716" s="104"/>
      <c r="CD716" s="104"/>
      <c r="CE716" s="103"/>
      <c r="CF716" s="103"/>
      <c r="CG716" s="103"/>
      <c r="CH716" s="103"/>
      <c r="CI716" s="103"/>
      <c r="CJ716" s="133"/>
      <c r="CK716" s="133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53"/>
      <c r="DF716" s="51"/>
      <c r="DJ716" s="52"/>
      <c r="DK716" s="52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P716" s="53"/>
      <c r="EQ716" s="1"/>
      <c r="ER716" s="103"/>
      <c r="ES716" s="103"/>
      <c r="ET716" s="1"/>
      <c r="EU716" s="103"/>
      <c r="EV716" s="1"/>
      <c r="EW716" s="1"/>
      <c r="EX716" s="1"/>
      <c r="EY716" s="105"/>
    </row>
    <row r="717" spans="9:155">
      <c r="I717" s="132"/>
      <c r="J717" s="133"/>
      <c r="K717" s="1"/>
      <c r="L717" s="1"/>
      <c r="Q717" s="1"/>
      <c r="R717" s="1"/>
      <c r="S717" s="103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53"/>
      <c r="AN717" s="103"/>
      <c r="AO717" s="103"/>
      <c r="AP717" s="103"/>
      <c r="AQ717" s="103"/>
      <c r="AR717" s="103"/>
      <c r="AS717" s="31"/>
      <c r="AT717" s="31"/>
      <c r="AU717" s="31"/>
      <c r="AV717" s="30"/>
      <c r="AW717" s="30"/>
      <c r="AX717" s="103"/>
      <c r="AY717" s="103"/>
      <c r="AZ717" s="103"/>
      <c r="BA717" s="103"/>
      <c r="BB717" s="103"/>
      <c r="BC717" s="103"/>
      <c r="BD717" s="104"/>
      <c r="BE717" s="102"/>
      <c r="BF717" s="102"/>
      <c r="BG717" s="102"/>
      <c r="BH717" s="104"/>
      <c r="BI717" s="152"/>
      <c r="BJ717" s="103"/>
      <c r="BK717" s="103"/>
      <c r="BL717" s="103"/>
      <c r="BM717" s="103"/>
      <c r="BN717" s="103"/>
      <c r="BO717" s="103"/>
      <c r="BP717" s="103"/>
      <c r="BQ717" s="103"/>
      <c r="BR717" s="103"/>
      <c r="BS717" s="103"/>
      <c r="BT717" s="103"/>
      <c r="BU717" s="104"/>
      <c r="BV717" s="104"/>
      <c r="BW717" s="104"/>
      <c r="BX717" s="104"/>
      <c r="BY717" s="104"/>
      <c r="BZ717" s="104"/>
      <c r="CA717" s="104"/>
      <c r="CB717" s="104"/>
      <c r="CC717" s="104"/>
      <c r="CD717" s="104"/>
      <c r="CE717" s="103"/>
      <c r="CF717" s="103"/>
      <c r="CG717" s="103"/>
      <c r="CH717" s="103"/>
      <c r="CI717" s="103"/>
      <c r="CJ717" s="133"/>
      <c r="CK717" s="133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53"/>
      <c r="DF717" s="51"/>
      <c r="DJ717" s="52"/>
      <c r="DK717" s="52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P717" s="53"/>
      <c r="EQ717" s="1"/>
      <c r="ER717" s="103"/>
      <c r="ES717" s="103"/>
      <c r="ET717" s="1"/>
      <c r="EU717" s="103"/>
      <c r="EV717" s="1"/>
      <c r="EW717" s="1"/>
      <c r="EX717" s="1"/>
      <c r="EY717" s="105"/>
    </row>
    <row r="718" spans="9:155">
      <c r="I718" s="132"/>
      <c r="J718" s="133"/>
      <c r="K718" s="1"/>
      <c r="L718" s="1"/>
      <c r="Q718" s="1"/>
      <c r="R718" s="1"/>
      <c r="S718" s="103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53"/>
      <c r="AN718" s="103"/>
      <c r="AO718" s="103"/>
      <c r="AP718" s="103"/>
      <c r="AQ718" s="103"/>
      <c r="AR718" s="103"/>
      <c r="AS718" s="31"/>
      <c r="AT718" s="31"/>
      <c r="AU718" s="31"/>
      <c r="AV718" s="30"/>
      <c r="AW718" s="30"/>
      <c r="AX718" s="103"/>
      <c r="AY718" s="103"/>
      <c r="AZ718" s="103"/>
      <c r="BA718" s="103"/>
      <c r="BB718" s="103"/>
      <c r="BC718" s="103"/>
      <c r="BD718" s="104"/>
      <c r="BE718" s="102"/>
      <c r="BF718" s="102"/>
      <c r="BG718" s="102"/>
      <c r="BH718" s="104"/>
      <c r="BI718" s="152"/>
      <c r="BJ718" s="103"/>
      <c r="BK718" s="103"/>
      <c r="BL718" s="103"/>
      <c r="BM718" s="103"/>
      <c r="BN718" s="103"/>
      <c r="BO718" s="103"/>
      <c r="BP718" s="103"/>
      <c r="BQ718" s="103"/>
      <c r="BR718" s="103"/>
      <c r="BS718" s="103"/>
      <c r="BT718" s="103"/>
      <c r="BU718" s="104"/>
      <c r="BV718" s="104"/>
      <c r="BW718" s="104"/>
      <c r="BX718" s="104"/>
      <c r="BY718" s="104"/>
      <c r="BZ718" s="104"/>
      <c r="CA718" s="104"/>
      <c r="CB718" s="104"/>
      <c r="CC718" s="104"/>
      <c r="CD718" s="104"/>
      <c r="CE718" s="103"/>
      <c r="CF718" s="103"/>
      <c r="CG718" s="103"/>
      <c r="CH718" s="103"/>
      <c r="CI718" s="103"/>
      <c r="CJ718" s="133"/>
      <c r="CK718" s="133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53"/>
      <c r="DF718" s="51"/>
      <c r="DJ718" s="52"/>
      <c r="DK718" s="52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P718" s="53"/>
      <c r="EQ718" s="1"/>
      <c r="ER718" s="103"/>
      <c r="ES718" s="103"/>
      <c r="ET718" s="1"/>
      <c r="EU718" s="103"/>
      <c r="EV718" s="1"/>
      <c r="EW718" s="1"/>
      <c r="EX718" s="1"/>
      <c r="EY718" s="105"/>
    </row>
    <row r="719" spans="9:155">
      <c r="I719" s="132"/>
      <c r="J719" s="133"/>
      <c r="K719" s="1"/>
      <c r="L719" s="1"/>
      <c r="Q719" s="1"/>
      <c r="R719" s="1"/>
      <c r="S719" s="103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53"/>
      <c r="AN719" s="103"/>
      <c r="AO719" s="103"/>
      <c r="AP719" s="103"/>
      <c r="AQ719" s="103"/>
      <c r="AR719" s="103"/>
      <c r="AS719" s="31"/>
      <c r="AT719" s="31"/>
      <c r="AU719" s="31"/>
      <c r="AV719" s="30"/>
      <c r="AW719" s="30"/>
      <c r="AX719" s="103"/>
      <c r="AY719" s="103"/>
      <c r="AZ719" s="103"/>
      <c r="BA719" s="103"/>
      <c r="BB719" s="103"/>
      <c r="BC719" s="103"/>
      <c r="BD719" s="104"/>
      <c r="BE719" s="102"/>
      <c r="BF719" s="102"/>
      <c r="BG719" s="102"/>
      <c r="BH719" s="104"/>
      <c r="BI719" s="152"/>
      <c r="BJ719" s="103"/>
      <c r="BK719" s="103"/>
      <c r="BL719" s="103"/>
      <c r="BM719" s="103"/>
      <c r="BN719" s="103"/>
      <c r="BO719" s="103"/>
      <c r="BP719" s="103"/>
      <c r="BQ719" s="103"/>
      <c r="BR719" s="103"/>
      <c r="BS719" s="103"/>
      <c r="BT719" s="103"/>
      <c r="BU719" s="104"/>
      <c r="BV719" s="104"/>
      <c r="BW719" s="104"/>
      <c r="BX719" s="104"/>
      <c r="BY719" s="104"/>
      <c r="BZ719" s="104"/>
      <c r="CA719" s="104"/>
      <c r="CB719" s="104"/>
      <c r="CC719" s="104"/>
      <c r="CD719" s="104"/>
      <c r="CE719" s="103"/>
      <c r="CF719" s="103"/>
      <c r="CG719" s="103"/>
      <c r="CH719" s="103"/>
      <c r="CI719" s="103"/>
      <c r="CJ719" s="133"/>
      <c r="CK719" s="133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53"/>
      <c r="DF719" s="51"/>
      <c r="DJ719" s="52"/>
      <c r="DK719" s="52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P719" s="53"/>
      <c r="EQ719" s="1"/>
      <c r="ER719" s="103"/>
      <c r="ES719" s="103"/>
      <c r="ET719" s="1"/>
      <c r="EU719" s="103"/>
      <c r="EV719" s="1"/>
      <c r="EW719" s="1"/>
      <c r="EX719" s="1"/>
      <c r="EY719" s="105"/>
    </row>
    <row r="720" spans="9:155">
      <c r="I720" s="132"/>
      <c r="J720" s="133"/>
      <c r="K720" s="1"/>
      <c r="L720" s="1"/>
      <c r="Q720" s="1"/>
      <c r="R720" s="1"/>
      <c r="S720" s="103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53"/>
      <c r="AN720" s="103"/>
      <c r="AO720" s="103"/>
      <c r="AP720" s="103"/>
      <c r="AQ720" s="103"/>
      <c r="AR720" s="103"/>
      <c r="AS720" s="31"/>
      <c r="AT720" s="31"/>
      <c r="AU720" s="31"/>
      <c r="AV720" s="30"/>
      <c r="AW720" s="30"/>
      <c r="AX720" s="103"/>
      <c r="AY720" s="103"/>
      <c r="AZ720" s="103"/>
      <c r="BA720" s="103"/>
      <c r="BB720" s="103"/>
      <c r="BC720" s="103"/>
      <c r="BD720" s="104"/>
      <c r="BE720" s="102"/>
      <c r="BF720" s="102"/>
      <c r="BG720" s="102"/>
      <c r="BH720" s="104"/>
      <c r="BI720" s="152"/>
      <c r="BJ720" s="103"/>
      <c r="BK720" s="103"/>
      <c r="BL720" s="103"/>
      <c r="BM720" s="103"/>
      <c r="BN720" s="103"/>
      <c r="BO720" s="103"/>
      <c r="BP720" s="103"/>
      <c r="BQ720" s="103"/>
      <c r="BR720" s="103"/>
      <c r="BS720" s="103"/>
      <c r="BT720" s="103"/>
      <c r="BU720" s="104"/>
      <c r="BV720" s="104"/>
      <c r="BW720" s="104"/>
      <c r="BX720" s="104"/>
      <c r="BY720" s="104"/>
      <c r="BZ720" s="104"/>
      <c r="CA720" s="104"/>
      <c r="CB720" s="104"/>
      <c r="CC720" s="104"/>
      <c r="CD720" s="104"/>
      <c r="CE720" s="103"/>
      <c r="CF720" s="103"/>
      <c r="CG720" s="103"/>
      <c r="CH720" s="103"/>
      <c r="CI720" s="103"/>
      <c r="CJ720" s="133"/>
      <c r="CK720" s="133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53"/>
      <c r="DF720" s="51"/>
      <c r="DJ720" s="52"/>
      <c r="DK720" s="52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P720" s="53"/>
      <c r="EQ720" s="1"/>
      <c r="ER720" s="103"/>
      <c r="ES720" s="103"/>
      <c r="ET720" s="1"/>
      <c r="EU720" s="103"/>
      <c r="EV720" s="1"/>
      <c r="EW720" s="1"/>
      <c r="EX720" s="1"/>
      <c r="EY720" s="105"/>
    </row>
    <row r="721" spans="9:155">
      <c r="I721" s="132"/>
      <c r="J721" s="133"/>
      <c r="K721" s="1"/>
      <c r="L721" s="1"/>
      <c r="Q721" s="1"/>
      <c r="R721" s="1"/>
      <c r="S721" s="103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53"/>
      <c r="AN721" s="103"/>
      <c r="AO721" s="103"/>
      <c r="AP721" s="103"/>
      <c r="AQ721" s="103"/>
      <c r="AR721" s="103"/>
      <c r="AS721" s="31"/>
      <c r="AT721" s="31"/>
      <c r="AU721" s="31"/>
      <c r="AV721" s="30"/>
      <c r="AW721" s="30"/>
      <c r="AX721" s="103"/>
      <c r="AY721" s="103"/>
      <c r="AZ721" s="103"/>
      <c r="BA721" s="103"/>
      <c r="BB721" s="103"/>
      <c r="BC721" s="103"/>
      <c r="BD721" s="104"/>
      <c r="BE721" s="102"/>
      <c r="BF721" s="102"/>
      <c r="BG721" s="102"/>
      <c r="BH721" s="104"/>
      <c r="BI721" s="152"/>
      <c r="BJ721" s="103"/>
      <c r="BK721" s="103"/>
      <c r="BL721" s="103"/>
      <c r="BM721" s="103"/>
      <c r="BN721" s="103"/>
      <c r="BO721" s="103"/>
      <c r="BP721" s="103"/>
      <c r="BQ721" s="103"/>
      <c r="BR721" s="103"/>
      <c r="BS721" s="103"/>
      <c r="BT721" s="103"/>
      <c r="BU721" s="104"/>
      <c r="BV721" s="104"/>
      <c r="BW721" s="104"/>
      <c r="BX721" s="104"/>
      <c r="BY721" s="104"/>
      <c r="BZ721" s="104"/>
      <c r="CA721" s="104"/>
      <c r="CB721" s="104"/>
      <c r="CC721" s="104"/>
      <c r="CD721" s="104"/>
      <c r="CE721" s="103"/>
      <c r="CF721" s="103"/>
      <c r="CG721" s="103"/>
      <c r="CH721" s="103"/>
      <c r="CI721" s="103"/>
      <c r="CJ721" s="133"/>
      <c r="CK721" s="133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53"/>
      <c r="DF721" s="51"/>
      <c r="DJ721" s="52"/>
      <c r="DK721" s="52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P721" s="53"/>
      <c r="EQ721" s="1"/>
      <c r="ER721" s="103"/>
      <c r="ES721" s="103"/>
      <c r="ET721" s="1"/>
      <c r="EU721" s="103"/>
      <c r="EV721" s="1"/>
      <c r="EW721" s="1"/>
      <c r="EX721" s="1"/>
      <c r="EY721" s="105"/>
    </row>
    <row r="722" spans="9:155">
      <c r="I722" s="132"/>
      <c r="J722" s="133"/>
      <c r="K722" s="1"/>
      <c r="L722" s="1"/>
      <c r="Q722" s="1"/>
      <c r="R722" s="1"/>
      <c r="S722" s="103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53"/>
      <c r="AN722" s="103"/>
      <c r="AO722" s="103"/>
      <c r="AP722" s="103"/>
      <c r="AQ722" s="103"/>
      <c r="AR722" s="103"/>
      <c r="AS722" s="31"/>
      <c r="AT722" s="31"/>
      <c r="AU722" s="31"/>
      <c r="AV722" s="30"/>
      <c r="AW722" s="30"/>
      <c r="AX722" s="103"/>
      <c r="AY722" s="103"/>
      <c r="AZ722" s="103"/>
      <c r="BA722" s="103"/>
      <c r="BB722" s="103"/>
      <c r="BC722" s="103"/>
      <c r="BD722" s="104"/>
      <c r="BE722" s="102"/>
      <c r="BF722" s="102"/>
      <c r="BG722" s="102"/>
      <c r="BH722" s="104"/>
      <c r="BI722" s="152"/>
      <c r="BJ722" s="103"/>
      <c r="BK722" s="103"/>
      <c r="BL722" s="103"/>
      <c r="BM722" s="103"/>
      <c r="BN722" s="103"/>
      <c r="BO722" s="103"/>
      <c r="BP722" s="103"/>
      <c r="BQ722" s="103"/>
      <c r="BR722" s="103"/>
      <c r="BS722" s="103"/>
      <c r="BT722" s="103"/>
      <c r="BU722" s="104"/>
      <c r="BV722" s="104"/>
      <c r="BW722" s="104"/>
      <c r="BX722" s="104"/>
      <c r="BY722" s="104"/>
      <c r="BZ722" s="104"/>
      <c r="CA722" s="104"/>
      <c r="CB722" s="104"/>
      <c r="CC722" s="104"/>
      <c r="CD722" s="104"/>
      <c r="CE722" s="103"/>
      <c r="CF722" s="103"/>
      <c r="CG722" s="103"/>
      <c r="CH722" s="103"/>
      <c r="CI722" s="103"/>
      <c r="CJ722" s="133"/>
      <c r="CK722" s="133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53"/>
      <c r="DF722" s="51"/>
      <c r="DJ722" s="52"/>
      <c r="DK722" s="52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P722" s="53"/>
      <c r="EQ722" s="1"/>
      <c r="ER722" s="103"/>
      <c r="ES722" s="103"/>
      <c r="ET722" s="1"/>
      <c r="EU722" s="103"/>
      <c r="EV722" s="1"/>
      <c r="EW722" s="1"/>
      <c r="EX722" s="1"/>
      <c r="EY722" s="105"/>
    </row>
    <row r="723" spans="9:155">
      <c r="I723" s="132"/>
      <c r="J723" s="133"/>
      <c r="K723" s="1"/>
      <c r="L723" s="1"/>
      <c r="Q723" s="1"/>
      <c r="R723" s="1"/>
      <c r="S723" s="103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53"/>
      <c r="AN723" s="103"/>
      <c r="AO723" s="103"/>
      <c r="AP723" s="103"/>
      <c r="AQ723" s="103"/>
      <c r="AR723" s="103"/>
      <c r="AS723" s="31"/>
      <c r="AT723" s="31"/>
      <c r="AU723" s="31"/>
      <c r="AV723" s="30"/>
      <c r="AW723" s="30"/>
      <c r="AX723" s="103"/>
      <c r="AY723" s="103"/>
      <c r="AZ723" s="103"/>
      <c r="BA723" s="103"/>
      <c r="BB723" s="103"/>
      <c r="BC723" s="103"/>
      <c r="BD723" s="104"/>
      <c r="BE723" s="102"/>
      <c r="BF723" s="102"/>
      <c r="BG723" s="102"/>
      <c r="BH723" s="104"/>
      <c r="BI723" s="152"/>
      <c r="BJ723" s="103"/>
      <c r="BK723" s="103"/>
      <c r="BL723" s="103"/>
      <c r="BM723" s="103"/>
      <c r="BN723" s="103"/>
      <c r="BO723" s="103"/>
      <c r="BP723" s="103"/>
      <c r="BQ723" s="103"/>
      <c r="BR723" s="103"/>
      <c r="BS723" s="103"/>
      <c r="BT723" s="103"/>
      <c r="BU723" s="104"/>
      <c r="BV723" s="104"/>
      <c r="BW723" s="104"/>
      <c r="BX723" s="104"/>
      <c r="BY723" s="104"/>
      <c r="BZ723" s="104"/>
      <c r="CA723" s="104"/>
      <c r="CB723" s="104"/>
      <c r="CC723" s="104"/>
      <c r="CD723" s="104"/>
      <c r="CE723" s="103"/>
      <c r="CF723" s="103"/>
      <c r="CG723" s="103"/>
      <c r="CH723" s="103"/>
      <c r="CI723" s="103"/>
      <c r="CJ723" s="133"/>
      <c r="CK723" s="133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53"/>
      <c r="DF723" s="51"/>
      <c r="DJ723" s="52"/>
      <c r="DK723" s="52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P723" s="53"/>
      <c r="EQ723" s="1"/>
      <c r="ER723" s="103"/>
      <c r="ES723" s="103"/>
      <c r="ET723" s="1"/>
      <c r="EU723" s="103"/>
      <c r="EV723" s="1"/>
      <c r="EW723" s="1"/>
      <c r="EX723" s="1"/>
      <c r="EY723" s="105"/>
    </row>
    <row r="724" spans="9:155">
      <c r="I724" s="132"/>
      <c r="J724" s="133"/>
      <c r="K724" s="1"/>
      <c r="L724" s="1"/>
      <c r="Q724" s="1"/>
      <c r="R724" s="1"/>
      <c r="S724" s="103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53"/>
      <c r="AN724" s="103"/>
      <c r="AO724" s="103"/>
      <c r="AP724" s="103"/>
      <c r="AQ724" s="103"/>
      <c r="AR724" s="103"/>
      <c r="AS724" s="31"/>
      <c r="AT724" s="31"/>
      <c r="AU724" s="31"/>
      <c r="AV724" s="30"/>
      <c r="AW724" s="30"/>
      <c r="AX724" s="103"/>
      <c r="AY724" s="103"/>
      <c r="AZ724" s="103"/>
      <c r="BA724" s="103"/>
      <c r="BB724" s="103"/>
      <c r="BC724" s="103"/>
      <c r="BD724" s="104"/>
      <c r="BE724" s="102"/>
      <c r="BF724" s="102"/>
      <c r="BG724" s="102"/>
      <c r="BH724" s="104"/>
      <c r="BI724" s="152"/>
      <c r="BJ724" s="103"/>
      <c r="BK724" s="103"/>
      <c r="BL724" s="103"/>
      <c r="BM724" s="103"/>
      <c r="BN724" s="103"/>
      <c r="BO724" s="103"/>
      <c r="BP724" s="103"/>
      <c r="BQ724" s="103"/>
      <c r="BR724" s="103"/>
      <c r="BS724" s="103"/>
      <c r="BT724" s="103"/>
      <c r="BU724" s="104"/>
      <c r="BV724" s="104"/>
      <c r="BW724" s="104"/>
      <c r="BX724" s="104"/>
      <c r="BY724" s="104"/>
      <c r="BZ724" s="104"/>
      <c r="CA724" s="104"/>
      <c r="CB724" s="104"/>
      <c r="CC724" s="104"/>
      <c r="CD724" s="104"/>
      <c r="CE724" s="103"/>
      <c r="CF724" s="103"/>
      <c r="CG724" s="103"/>
      <c r="CH724" s="103"/>
      <c r="CI724" s="103"/>
      <c r="CJ724" s="133"/>
      <c r="CK724" s="133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53"/>
      <c r="DF724" s="51"/>
      <c r="DJ724" s="52"/>
      <c r="DK724" s="52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P724" s="53"/>
      <c r="EQ724" s="1"/>
      <c r="ER724" s="103"/>
      <c r="ES724" s="103"/>
      <c r="ET724" s="1"/>
      <c r="EU724" s="103"/>
      <c r="EV724" s="1"/>
      <c r="EW724" s="1"/>
      <c r="EX724" s="1"/>
      <c r="EY724" s="105"/>
    </row>
    <row r="725" spans="9:155">
      <c r="I725" s="132"/>
      <c r="J725" s="133"/>
      <c r="K725" s="1"/>
      <c r="L725" s="1"/>
      <c r="Q725" s="1"/>
      <c r="R725" s="1"/>
      <c r="S725" s="103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53"/>
      <c r="AN725" s="103"/>
      <c r="AO725" s="103"/>
      <c r="AP725" s="103"/>
      <c r="AQ725" s="103"/>
      <c r="AR725" s="103"/>
      <c r="AS725" s="31"/>
      <c r="AT725" s="31"/>
      <c r="AU725" s="31"/>
      <c r="AV725" s="30"/>
      <c r="AW725" s="30"/>
      <c r="AX725" s="103"/>
      <c r="AY725" s="103"/>
      <c r="AZ725" s="103"/>
      <c r="BA725" s="103"/>
      <c r="BB725" s="103"/>
      <c r="BC725" s="103"/>
      <c r="BD725" s="104"/>
      <c r="BE725" s="102"/>
      <c r="BF725" s="102"/>
      <c r="BG725" s="102"/>
      <c r="BH725" s="104"/>
      <c r="BI725" s="152"/>
      <c r="BJ725" s="103"/>
      <c r="BK725" s="103"/>
      <c r="BL725" s="103"/>
      <c r="BM725" s="103"/>
      <c r="BN725" s="103"/>
      <c r="BO725" s="103"/>
      <c r="BP725" s="103"/>
      <c r="BQ725" s="103"/>
      <c r="BR725" s="103"/>
      <c r="BS725" s="103"/>
      <c r="BT725" s="103"/>
      <c r="BU725" s="104"/>
      <c r="BV725" s="104"/>
      <c r="BW725" s="104"/>
      <c r="BX725" s="104"/>
      <c r="BY725" s="104"/>
      <c r="BZ725" s="104"/>
      <c r="CA725" s="104"/>
      <c r="CB725" s="104"/>
      <c r="CC725" s="104"/>
      <c r="CD725" s="104"/>
      <c r="CE725" s="103"/>
      <c r="CF725" s="103"/>
      <c r="CG725" s="103"/>
      <c r="CH725" s="103"/>
      <c r="CI725" s="103"/>
      <c r="CJ725" s="133"/>
      <c r="CK725" s="133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53"/>
      <c r="DF725" s="51"/>
      <c r="DJ725" s="52"/>
      <c r="DK725" s="52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P725" s="53"/>
      <c r="EQ725" s="1"/>
      <c r="ER725" s="103"/>
      <c r="ES725" s="103"/>
      <c r="ET725" s="1"/>
      <c r="EU725" s="103"/>
      <c r="EV725" s="1"/>
      <c r="EW725" s="1"/>
      <c r="EX725" s="1"/>
      <c r="EY725" s="105"/>
    </row>
    <row r="726" spans="9:155">
      <c r="I726" s="132"/>
      <c r="J726" s="133"/>
      <c r="K726" s="1"/>
      <c r="L726" s="1"/>
      <c r="Q726" s="1"/>
      <c r="R726" s="1"/>
      <c r="S726" s="103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53"/>
      <c r="AN726" s="103"/>
      <c r="AO726" s="103"/>
      <c r="AP726" s="103"/>
      <c r="AQ726" s="103"/>
      <c r="AR726" s="103"/>
      <c r="AS726" s="31"/>
      <c r="AT726" s="31"/>
      <c r="AU726" s="31"/>
      <c r="AV726" s="30"/>
      <c r="AW726" s="30"/>
      <c r="AX726" s="103"/>
      <c r="AY726" s="103"/>
      <c r="AZ726" s="103"/>
      <c r="BA726" s="103"/>
      <c r="BB726" s="103"/>
      <c r="BC726" s="103"/>
      <c r="BD726" s="104"/>
      <c r="BE726" s="102"/>
      <c r="BF726" s="102"/>
      <c r="BG726" s="102"/>
      <c r="BH726" s="104"/>
      <c r="BI726" s="152"/>
      <c r="BJ726" s="103"/>
      <c r="BK726" s="103"/>
      <c r="BL726" s="103"/>
      <c r="BM726" s="103"/>
      <c r="BN726" s="103"/>
      <c r="BO726" s="103"/>
      <c r="BP726" s="103"/>
      <c r="BQ726" s="103"/>
      <c r="BR726" s="103"/>
      <c r="BS726" s="103"/>
      <c r="BT726" s="103"/>
      <c r="BU726" s="104"/>
      <c r="BV726" s="104"/>
      <c r="BW726" s="104"/>
      <c r="BX726" s="104"/>
      <c r="BY726" s="104"/>
      <c r="BZ726" s="104"/>
      <c r="CA726" s="104"/>
      <c r="CB726" s="104"/>
      <c r="CC726" s="104"/>
      <c r="CD726" s="104"/>
      <c r="CE726" s="103"/>
      <c r="CF726" s="103"/>
      <c r="CG726" s="103"/>
      <c r="CH726" s="103"/>
      <c r="CI726" s="103"/>
      <c r="CJ726" s="133"/>
      <c r="CK726" s="133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53"/>
      <c r="DF726" s="51"/>
      <c r="DJ726" s="52"/>
      <c r="DK726" s="52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P726" s="53"/>
      <c r="EQ726" s="1"/>
      <c r="ER726" s="103"/>
      <c r="ES726" s="103"/>
      <c r="ET726" s="1"/>
      <c r="EU726" s="103"/>
      <c r="EV726" s="1"/>
      <c r="EW726" s="1"/>
      <c r="EX726" s="1"/>
      <c r="EY726" s="105"/>
    </row>
    <row r="727" spans="9:155">
      <c r="I727" s="132"/>
      <c r="J727" s="133"/>
      <c r="K727" s="1"/>
      <c r="L727" s="1"/>
      <c r="Q727" s="1"/>
      <c r="R727" s="1"/>
      <c r="S727" s="103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53"/>
      <c r="AN727" s="103"/>
      <c r="AO727" s="103"/>
      <c r="AP727" s="103"/>
      <c r="AQ727" s="103"/>
      <c r="AR727" s="103"/>
      <c r="AS727" s="31"/>
      <c r="AT727" s="31"/>
      <c r="AU727" s="31"/>
      <c r="AV727" s="30"/>
      <c r="AW727" s="30"/>
      <c r="AX727" s="103"/>
      <c r="AY727" s="103"/>
      <c r="AZ727" s="103"/>
      <c r="BA727" s="103"/>
      <c r="BB727" s="103"/>
      <c r="BC727" s="103"/>
      <c r="BD727" s="104"/>
      <c r="BE727" s="102"/>
      <c r="BF727" s="102"/>
      <c r="BG727" s="102"/>
      <c r="BH727" s="104"/>
      <c r="BI727" s="152"/>
      <c r="BJ727" s="103"/>
      <c r="BK727" s="103"/>
      <c r="BL727" s="103"/>
      <c r="BM727" s="103"/>
      <c r="BN727" s="103"/>
      <c r="BO727" s="103"/>
      <c r="BP727" s="103"/>
      <c r="BQ727" s="103"/>
      <c r="BR727" s="103"/>
      <c r="BS727" s="103"/>
      <c r="BT727" s="103"/>
      <c r="BU727" s="104"/>
      <c r="BV727" s="104"/>
      <c r="BW727" s="104"/>
      <c r="BX727" s="104"/>
      <c r="BY727" s="104"/>
      <c r="BZ727" s="104"/>
      <c r="CA727" s="104"/>
      <c r="CB727" s="104"/>
      <c r="CC727" s="104"/>
      <c r="CD727" s="104"/>
      <c r="CE727" s="103"/>
      <c r="CF727" s="103"/>
      <c r="CG727" s="103"/>
      <c r="CH727" s="103"/>
      <c r="CI727" s="103"/>
      <c r="CJ727" s="133"/>
      <c r="CK727" s="133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53"/>
      <c r="DF727" s="51"/>
      <c r="DJ727" s="52"/>
      <c r="DK727" s="52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P727" s="53"/>
      <c r="EQ727" s="1"/>
      <c r="ER727" s="103"/>
      <c r="ES727" s="103"/>
      <c r="ET727" s="1"/>
      <c r="EU727" s="103"/>
      <c r="EV727" s="1"/>
      <c r="EW727" s="1"/>
      <c r="EX727" s="1"/>
      <c r="EY727" s="105"/>
    </row>
    <row r="728" spans="9:155">
      <c r="I728" s="132"/>
      <c r="J728" s="133"/>
      <c r="K728" s="1"/>
      <c r="L728" s="1"/>
      <c r="Q728" s="1"/>
      <c r="R728" s="1"/>
      <c r="S728" s="103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53"/>
      <c r="AN728" s="103"/>
      <c r="AO728" s="103"/>
      <c r="AP728" s="103"/>
      <c r="AQ728" s="103"/>
      <c r="AR728" s="103"/>
      <c r="AS728" s="31"/>
      <c r="AT728" s="31"/>
      <c r="AU728" s="31"/>
      <c r="AV728" s="30"/>
      <c r="AW728" s="30"/>
      <c r="AX728" s="103"/>
      <c r="AY728" s="103"/>
      <c r="AZ728" s="103"/>
      <c r="BA728" s="103"/>
      <c r="BB728" s="103"/>
      <c r="BC728" s="103"/>
      <c r="BD728" s="104"/>
      <c r="BE728" s="102"/>
      <c r="BF728" s="102"/>
      <c r="BG728" s="102"/>
      <c r="BH728" s="104"/>
      <c r="BI728" s="152"/>
      <c r="BJ728" s="103"/>
      <c r="BK728" s="103"/>
      <c r="BL728" s="103"/>
      <c r="BM728" s="103"/>
      <c r="BN728" s="103"/>
      <c r="BO728" s="103"/>
      <c r="BP728" s="103"/>
      <c r="BQ728" s="103"/>
      <c r="BR728" s="103"/>
      <c r="BS728" s="103"/>
      <c r="BT728" s="103"/>
      <c r="BU728" s="104"/>
      <c r="BV728" s="104"/>
      <c r="BW728" s="104"/>
      <c r="BX728" s="104"/>
      <c r="BY728" s="104"/>
      <c r="BZ728" s="104"/>
      <c r="CA728" s="104"/>
      <c r="CB728" s="104"/>
      <c r="CC728" s="104"/>
      <c r="CD728" s="104"/>
      <c r="CE728" s="103"/>
      <c r="CF728" s="103"/>
      <c r="CG728" s="103"/>
      <c r="CH728" s="103"/>
      <c r="CI728" s="103"/>
      <c r="CJ728" s="133"/>
      <c r="CK728" s="133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53"/>
      <c r="DF728" s="51"/>
      <c r="DJ728" s="52"/>
      <c r="DK728" s="52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P728" s="53"/>
      <c r="EQ728" s="1"/>
      <c r="ER728" s="103"/>
      <c r="ES728" s="103"/>
      <c r="ET728" s="1"/>
      <c r="EU728" s="103"/>
      <c r="EV728" s="1"/>
      <c r="EW728" s="1"/>
      <c r="EX728" s="1"/>
      <c r="EY728" s="105"/>
    </row>
    <row r="729" spans="9:155">
      <c r="I729" s="132"/>
      <c r="J729" s="133"/>
      <c r="K729" s="1"/>
      <c r="L729" s="1"/>
      <c r="Q729" s="1"/>
      <c r="R729" s="1"/>
      <c r="S729" s="103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53"/>
      <c r="AN729" s="103"/>
      <c r="AO729" s="103"/>
      <c r="AP729" s="103"/>
      <c r="AQ729" s="103"/>
      <c r="AR729" s="103"/>
      <c r="AS729" s="31"/>
      <c r="AT729" s="31"/>
      <c r="AU729" s="31"/>
      <c r="AV729" s="30"/>
      <c r="AW729" s="30"/>
      <c r="AX729" s="103"/>
      <c r="AY729" s="103"/>
      <c r="AZ729" s="103"/>
      <c r="BA729" s="103"/>
      <c r="BB729" s="103"/>
      <c r="BC729" s="103"/>
      <c r="BD729" s="104"/>
      <c r="BE729" s="102"/>
      <c r="BF729" s="102"/>
      <c r="BG729" s="102"/>
      <c r="BH729" s="104"/>
      <c r="BI729" s="152"/>
      <c r="BJ729" s="103"/>
      <c r="BK729" s="103"/>
      <c r="BL729" s="103"/>
      <c r="BM729" s="103"/>
      <c r="BN729" s="103"/>
      <c r="BO729" s="103"/>
      <c r="BP729" s="103"/>
      <c r="BQ729" s="103"/>
      <c r="BR729" s="103"/>
      <c r="BS729" s="103"/>
      <c r="BT729" s="103"/>
      <c r="BU729" s="104"/>
      <c r="BV729" s="104"/>
      <c r="BW729" s="104"/>
      <c r="BX729" s="104"/>
      <c r="BY729" s="104"/>
      <c r="BZ729" s="104"/>
      <c r="CA729" s="104"/>
      <c r="CB729" s="104"/>
      <c r="CC729" s="104"/>
      <c r="CD729" s="104"/>
      <c r="CE729" s="103"/>
      <c r="CF729" s="103"/>
      <c r="CG729" s="103"/>
      <c r="CH729" s="103"/>
      <c r="CI729" s="103"/>
      <c r="CJ729" s="133"/>
      <c r="CK729" s="133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53"/>
      <c r="DF729" s="51"/>
      <c r="DJ729" s="52"/>
      <c r="DK729" s="52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P729" s="53"/>
      <c r="EQ729" s="1"/>
      <c r="ER729" s="103"/>
      <c r="ES729" s="103"/>
      <c r="ET729" s="1"/>
      <c r="EU729" s="103"/>
      <c r="EV729" s="1"/>
      <c r="EW729" s="1"/>
      <c r="EX729" s="1"/>
      <c r="EY729" s="105"/>
    </row>
    <row r="730" spans="9:155">
      <c r="I730" s="132"/>
      <c r="J730" s="133"/>
      <c r="K730" s="1"/>
      <c r="L730" s="1"/>
      <c r="Q730" s="1"/>
      <c r="R730" s="1"/>
      <c r="S730" s="103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53"/>
      <c r="AN730" s="103"/>
      <c r="AO730" s="103"/>
      <c r="AP730" s="103"/>
      <c r="AQ730" s="103"/>
      <c r="AR730" s="103"/>
      <c r="AS730" s="31"/>
      <c r="AT730" s="31"/>
      <c r="AU730" s="31"/>
      <c r="AV730" s="30"/>
      <c r="AW730" s="30"/>
      <c r="AX730" s="103"/>
      <c r="AY730" s="103"/>
      <c r="AZ730" s="103"/>
      <c r="BA730" s="103"/>
      <c r="BB730" s="103"/>
      <c r="BC730" s="103"/>
      <c r="BD730" s="104"/>
      <c r="BE730" s="102"/>
      <c r="BF730" s="102"/>
      <c r="BG730" s="102"/>
      <c r="BH730" s="104"/>
      <c r="BI730" s="152"/>
      <c r="BJ730" s="103"/>
      <c r="BK730" s="103"/>
      <c r="BL730" s="103"/>
      <c r="BM730" s="103"/>
      <c r="BN730" s="103"/>
      <c r="BO730" s="103"/>
      <c r="BP730" s="103"/>
      <c r="BQ730" s="103"/>
      <c r="BR730" s="103"/>
      <c r="BS730" s="103"/>
      <c r="BT730" s="103"/>
      <c r="BU730" s="104"/>
      <c r="BV730" s="104"/>
      <c r="BW730" s="104"/>
      <c r="BX730" s="104"/>
      <c r="BY730" s="104"/>
      <c r="BZ730" s="104"/>
      <c r="CA730" s="104"/>
      <c r="CB730" s="104"/>
      <c r="CC730" s="104"/>
      <c r="CD730" s="104"/>
      <c r="CE730" s="103"/>
      <c r="CF730" s="103"/>
      <c r="CG730" s="103"/>
      <c r="CH730" s="103"/>
      <c r="CI730" s="103"/>
      <c r="CJ730" s="133"/>
      <c r="CK730" s="133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53"/>
      <c r="DF730" s="51"/>
      <c r="DJ730" s="52"/>
      <c r="DK730" s="52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P730" s="53"/>
      <c r="EQ730" s="1"/>
      <c r="ER730" s="103"/>
      <c r="ES730" s="103"/>
      <c r="ET730" s="1"/>
      <c r="EU730" s="103"/>
      <c r="EV730" s="1"/>
      <c r="EW730" s="1"/>
      <c r="EX730" s="1"/>
      <c r="EY730" s="105"/>
    </row>
    <row r="731" spans="9:155">
      <c r="I731" s="132"/>
      <c r="J731" s="133"/>
      <c r="K731" s="1"/>
      <c r="L731" s="1"/>
      <c r="Q731" s="1"/>
      <c r="R731" s="1"/>
      <c r="S731" s="103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53"/>
      <c r="AN731" s="103"/>
      <c r="AO731" s="103"/>
      <c r="AP731" s="103"/>
      <c r="AQ731" s="103"/>
      <c r="AR731" s="103"/>
      <c r="AS731" s="31"/>
      <c r="AT731" s="31"/>
      <c r="AU731" s="31"/>
      <c r="AV731" s="30"/>
      <c r="AW731" s="30"/>
      <c r="AX731" s="103"/>
      <c r="AY731" s="103"/>
      <c r="AZ731" s="103"/>
      <c r="BA731" s="103"/>
      <c r="BB731" s="103"/>
      <c r="BC731" s="103"/>
      <c r="BD731" s="104"/>
      <c r="BE731" s="102"/>
      <c r="BF731" s="102"/>
      <c r="BG731" s="102"/>
      <c r="BH731" s="104"/>
      <c r="BI731" s="152"/>
      <c r="BJ731" s="103"/>
      <c r="BK731" s="103"/>
      <c r="BL731" s="103"/>
      <c r="BM731" s="103"/>
      <c r="BN731" s="103"/>
      <c r="BO731" s="103"/>
      <c r="BP731" s="103"/>
      <c r="BQ731" s="103"/>
      <c r="BR731" s="103"/>
      <c r="BS731" s="103"/>
      <c r="BT731" s="103"/>
      <c r="BU731" s="104"/>
      <c r="BV731" s="104"/>
      <c r="BW731" s="104"/>
      <c r="BX731" s="104"/>
      <c r="BY731" s="104"/>
      <c r="BZ731" s="104"/>
      <c r="CA731" s="104"/>
      <c r="CB731" s="104"/>
      <c r="CC731" s="104"/>
      <c r="CD731" s="104"/>
      <c r="CE731" s="103"/>
      <c r="CF731" s="103"/>
      <c r="CG731" s="103"/>
      <c r="CH731" s="103"/>
      <c r="CI731" s="103"/>
      <c r="CJ731" s="133"/>
      <c r="CK731" s="133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53"/>
      <c r="DF731" s="51"/>
      <c r="DJ731" s="52"/>
      <c r="DK731" s="52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P731" s="53"/>
      <c r="EQ731" s="1"/>
      <c r="ER731" s="103"/>
      <c r="ES731" s="103"/>
      <c r="ET731" s="1"/>
      <c r="EU731" s="103"/>
      <c r="EV731" s="1"/>
      <c r="EW731" s="1"/>
      <c r="EX731" s="1"/>
      <c r="EY731" s="105"/>
    </row>
    <row r="732" spans="9:155">
      <c r="I732" s="132"/>
      <c r="J732" s="133"/>
      <c r="K732" s="1"/>
      <c r="L732" s="1"/>
      <c r="Q732" s="1"/>
      <c r="R732" s="1"/>
      <c r="S732" s="103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53"/>
      <c r="AN732" s="103"/>
      <c r="AO732" s="103"/>
      <c r="AP732" s="103"/>
      <c r="AQ732" s="103"/>
      <c r="AR732" s="103"/>
      <c r="AS732" s="31"/>
      <c r="AT732" s="31"/>
      <c r="AU732" s="31"/>
      <c r="AV732" s="30"/>
      <c r="AW732" s="30"/>
      <c r="AX732" s="103"/>
      <c r="AY732" s="103"/>
      <c r="AZ732" s="103"/>
      <c r="BA732" s="103"/>
      <c r="BB732" s="103"/>
      <c r="BC732" s="103"/>
      <c r="BD732" s="104"/>
      <c r="BE732" s="102"/>
      <c r="BF732" s="102"/>
      <c r="BG732" s="102"/>
      <c r="BH732" s="104"/>
      <c r="BI732" s="152"/>
      <c r="BJ732" s="103"/>
      <c r="BK732" s="103"/>
      <c r="BL732" s="103"/>
      <c r="BM732" s="103"/>
      <c r="BN732" s="103"/>
      <c r="BO732" s="103"/>
      <c r="BP732" s="103"/>
      <c r="BQ732" s="103"/>
      <c r="BR732" s="103"/>
      <c r="BS732" s="103"/>
      <c r="BT732" s="103"/>
      <c r="BU732" s="104"/>
      <c r="BV732" s="104"/>
      <c r="BW732" s="104"/>
      <c r="BX732" s="104"/>
      <c r="BY732" s="104"/>
      <c r="BZ732" s="104"/>
      <c r="CA732" s="104"/>
      <c r="CB732" s="104"/>
      <c r="CC732" s="104"/>
      <c r="CD732" s="104"/>
      <c r="CE732" s="103"/>
      <c r="CF732" s="103"/>
      <c r="CG732" s="103"/>
      <c r="CH732" s="103"/>
      <c r="CI732" s="103"/>
      <c r="CJ732" s="133"/>
      <c r="CK732" s="133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53"/>
      <c r="DF732" s="51"/>
      <c r="DJ732" s="52"/>
      <c r="DK732" s="52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P732" s="53"/>
      <c r="EQ732" s="1"/>
      <c r="ER732" s="103"/>
      <c r="ES732" s="103"/>
      <c r="ET732" s="1"/>
      <c r="EU732" s="103"/>
      <c r="EV732" s="1"/>
      <c r="EW732" s="1"/>
      <c r="EX732" s="1"/>
      <c r="EY732" s="105"/>
    </row>
    <row r="733" spans="9:155">
      <c r="I733" s="132"/>
      <c r="J733" s="133"/>
      <c r="K733" s="1"/>
      <c r="L733" s="1"/>
      <c r="Q733" s="1"/>
      <c r="R733" s="1"/>
      <c r="S733" s="103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53"/>
      <c r="AN733" s="103"/>
      <c r="AO733" s="103"/>
      <c r="AP733" s="103"/>
      <c r="AQ733" s="103"/>
      <c r="AR733" s="103"/>
      <c r="AS733" s="31"/>
      <c r="AT733" s="31"/>
      <c r="AU733" s="31"/>
      <c r="AV733" s="30"/>
      <c r="AW733" s="30"/>
      <c r="AX733" s="103"/>
      <c r="AY733" s="103"/>
      <c r="AZ733" s="103"/>
      <c r="BA733" s="103"/>
      <c r="BB733" s="103"/>
      <c r="BC733" s="103"/>
      <c r="BD733" s="104"/>
      <c r="BE733" s="102"/>
      <c r="BF733" s="102"/>
      <c r="BG733" s="102"/>
      <c r="BH733" s="104"/>
      <c r="BI733" s="152"/>
      <c r="BJ733" s="103"/>
      <c r="BK733" s="103"/>
      <c r="BL733" s="103"/>
      <c r="BM733" s="103"/>
      <c r="BN733" s="103"/>
      <c r="BO733" s="103"/>
      <c r="BP733" s="103"/>
      <c r="BQ733" s="103"/>
      <c r="BR733" s="103"/>
      <c r="BS733" s="103"/>
      <c r="BT733" s="103"/>
      <c r="BU733" s="104"/>
      <c r="BV733" s="104"/>
      <c r="BW733" s="104"/>
      <c r="BX733" s="104"/>
      <c r="BY733" s="104"/>
      <c r="BZ733" s="104"/>
      <c r="CA733" s="104"/>
      <c r="CB733" s="104"/>
      <c r="CC733" s="104"/>
      <c r="CD733" s="104"/>
      <c r="CE733" s="103"/>
      <c r="CF733" s="103"/>
      <c r="CG733" s="103"/>
      <c r="CH733" s="103"/>
      <c r="CI733" s="103"/>
      <c r="CJ733" s="133"/>
      <c r="CK733" s="133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53"/>
      <c r="DF733" s="51"/>
      <c r="DJ733" s="52"/>
      <c r="DK733" s="52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P733" s="53"/>
      <c r="EQ733" s="1"/>
      <c r="ER733" s="103"/>
      <c r="ES733" s="103"/>
      <c r="ET733" s="1"/>
      <c r="EU733" s="103"/>
      <c r="EV733" s="1"/>
      <c r="EW733" s="1"/>
      <c r="EX733" s="1"/>
      <c r="EY733" s="105"/>
    </row>
    <row r="734" spans="9:155">
      <c r="I734" s="132"/>
      <c r="J734" s="133"/>
      <c r="K734" s="1"/>
      <c r="L734" s="1"/>
      <c r="Q734" s="1"/>
      <c r="R734" s="1"/>
      <c r="S734" s="103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53"/>
      <c r="AN734" s="103"/>
      <c r="AO734" s="103"/>
      <c r="AP734" s="103"/>
      <c r="AQ734" s="103"/>
      <c r="AR734" s="103"/>
      <c r="AS734" s="31"/>
      <c r="AT734" s="31"/>
      <c r="AU734" s="31"/>
      <c r="AV734" s="30"/>
      <c r="AW734" s="30"/>
      <c r="AX734" s="103"/>
      <c r="AY734" s="103"/>
      <c r="AZ734" s="103"/>
      <c r="BA734" s="103"/>
      <c r="BB734" s="103"/>
      <c r="BC734" s="103"/>
      <c r="BD734" s="104"/>
      <c r="BE734" s="102"/>
      <c r="BF734" s="102"/>
      <c r="BG734" s="102"/>
      <c r="BH734" s="104"/>
      <c r="BI734" s="152"/>
      <c r="BJ734" s="103"/>
      <c r="BK734" s="103"/>
      <c r="BL734" s="103"/>
      <c r="BM734" s="103"/>
      <c r="BN734" s="103"/>
      <c r="BO734" s="103"/>
      <c r="BP734" s="103"/>
      <c r="BQ734" s="103"/>
      <c r="BR734" s="103"/>
      <c r="BS734" s="103"/>
      <c r="BT734" s="103"/>
      <c r="BU734" s="104"/>
      <c r="BV734" s="104"/>
      <c r="BW734" s="104"/>
      <c r="BX734" s="104"/>
      <c r="BY734" s="104"/>
      <c r="BZ734" s="104"/>
      <c r="CA734" s="104"/>
      <c r="CB734" s="104"/>
      <c r="CC734" s="104"/>
      <c r="CD734" s="104"/>
      <c r="CE734" s="103"/>
      <c r="CF734" s="103"/>
      <c r="CG734" s="103"/>
      <c r="CH734" s="103"/>
      <c r="CI734" s="103"/>
      <c r="CJ734" s="133"/>
      <c r="CK734" s="133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53"/>
      <c r="DF734" s="51"/>
      <c r="DJ734" s="52"/>
      <c r="DK734" s="52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P734" s="53"/>
      <c r="EQ734" s="1"/>
      <c r="ER734" s="103"/>
      <c r="ES734" s="103"/>
      <c r="ET734" s="1"/>
      <c r="EU734" s="103"/>
      <c r="EV734" s="1"/>
      <c r="EW734" s="1"/>
      <c r="EX734" s="1"/>
      <c r="EY734" s="105"/>
    </row>
    <row r="735" spans="9:155">
      <c r="I735" s="132"/>
      <c r="J735" s="133"/>
      <c r="K735" s="1"/>
      <c r="L735" s="1"/>
      <c r="Q735" s="1"/>
      <c r="R735" s="1"/>
      <c r="S735" s="103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53"/>
      <c r="AN735" s="103"/>
      <c r="AO735" s="103"/>
      <c r="AP735" s="103"/>
      <c r="AQ735" s="103"/>
      <c r="AR735" s="103"/>
      <c r="AS735" s="31"/>
      <c r="AT735" s="31"/>
      <c r="AU735" s="31"/>
      <c r="AV735" s="30"/>
      <c r="AW735" s="30"/>
      <c r="AX735" s="103"/>
      <c r="AY735" s="103"/>
      <c r="AZ735" s="103"/>
      <c r="BA735" s="103"/>
      <c r="BB735" s="103"/>
      <c r="BC735" s="103"/>
      <c r="BD735" s="104"/>
      <c r="BE735" s="102"/>
      <c r="BF735" s="102"/>
      <c r="BG735" s="102"/>
      <c r="BH735" s="104"/>
      <c r="BI735" s="152"/>
      <c r="BJ735" s="103"/>
      <c r="BK735" s="103"/>
      <c r="BL735" s="103"/>
      <c r="BM735" s="103"/>
      <c r="BN735" s="103"/>
      <c r="BO735" s="103"/>
      <c r="BP735" s="103"/>
      <c r="BQ735" s="103"/>
      <c r="BR735" s="103"/>
      <c r="BS735" s="103"/>
      <c r="BT735" s="103"/>
      <c r="BU735" s="104"/>
      <c r="BV735" s="104"/>
      <c r="BW735" s="104"/>
      <c r="BX735" s="104"/>
      <c r="BY735" s="104"/>
      <c r="BZ735" s="104"/>
      <c r="CA735" s="104"/>
      <c r="CB735" s="104"/>
      <c r="CC735" s="104"/>
      <c r="CD735" s="104"/>
      <c r="CE735" s="103"/>
      <c r="CF735" s="103"/>
      <c r="CG735" s="103"/>
      <c r="CH735" s="103"/>
      <c r="CI735" s="103"/>
      <c r="CJ735" s="133"/>
      <c r="CK735" s="133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53"/>
      <c r="DF735" s="51"/>
      <c r="DJ735" s="52"/>
      <c r="DK735" s="52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P735" s="53"/>
      <c r="EQ735" s="1"/>
      <c r="ER735" s="103"/>
      <c r="ES735" s="103"/>
      <c r="ET735" s="1"/>
      <c r="EU735" s="103"/>
      <c r="EV735" s="1"/>
      <c r="EW735" s="1"/>
      <c r="EX735" s="1"/>
      <c r="EY735" s="105"/>
    </row>
    <row r="736" spans="9:155">
      <c r="I736" s="132"/>
      <c r="J736" s="133"/>
      <c r="K736" s="1"/>
      <c r="L736" s="1"/>
      <c r="Q736" s="1"/>
      <c r="R736" s="1"/>
      <c r="S736" s="103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53"/>
      <c r="AN736" s="103"/>
      <c r="AO736" s="103"/>
      <c r="AP736" s="103"/>
      <c r="AQ736" s="103"/>
      <c r="AR736" s="103"/>
      <c r="AS736" s="31"/>
      <c r="AT736" s="31"/>
      <c r="AU736" s="31"/>
      <c r="AV736" s="30"/>
      <c r="AW736" s="30"/>
      <c r="AX736" s="103"/>
      <c r="AY736" s="103"/>
      <c r="AZ736" s="103"/>
      <c r="BA736" s="103"/>
      <c r="BB736" s="103"/>
      <c r="BC736" s="103"/>
      <c r="BD736" s="104"/>
      <c r="BE736" s="102"/>
      <c r="BF736" s="102"/>
      <c r="BG736" s="102"/>
      <c r="BH736" s="104"/>
      <c r="BI736" s="152"/>
      <c r="BJ736" s="103"/>
      <c r="BK736" s="103"/>
      <c r="BL736" s="103"/>
      <c r="BM736" s="103"/>
      <c r="BN736" s="103"/>
      <c r="BO736" s="103"/>
      <c r="BP736" s="103"/>
      <c r="BQ736" s="103"/>
      <c r="BR736" s="103"/>
      <c r="BS736" s="103"/>
      <c r="BT736" s="103"/>
      <c r="BU736" s="104"/>
      <c r="BV736" s="104"/>
      <c r="BW736" s="104"/>
      <c r="BX736" s="104"/>
      <c r="BY736" s="104"/>
      <c r="BZ736" s="104"/>
      <c r="CA736" s="104"/>
      <c r="CB736" s="104"/>
      <c r="CC736" s="104"/>
      <c r="CD736" s="104"/>
      <c r="CE736" s="103"/>
      <c r="CF736" s="103"/>
      <c r="CG736" s="103"/>
      <c r="CH736" s="103"/>
      <c r="CI736" s="103"/>
      <c r="CJ736" s="133"/>
      <c r="CK736" s="133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53"/>
      <c r="DF736" s="51"/>
      <c r="DJ736" s="52"/>
      <c r="DK736" s="52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P736" s="53"/>
      <c r="EQ736" s="1"/>
      <c r="ER736" s="103"/>
      <c r="ES736" s="103"/>
      <c r="ET736" s="1"/>
      <c r="EU736" s="103"/>
      <c r="EV736" s="1"/>
      <c r="EW736" s="1"/>
      <c r="EX736" s="1"/>
      <c r="EY736" s="105"/>
    </row>
    <row r="737" spans="9:155">
      <c r="I737" s="132"/>
      <c r="J737" s="133"/>
      <c r="K737" s="1"/>
      <c r="L737" s="1"/>
      <c r="Q737" s="1"/>
      <c r="R737" s="1"/>
      <c r="S737" s="103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53"/>
      <c r="AN737" s="103"/>
      <c r="AO737" s="103"/>
      <c r="AP737" s="103"/>
      <c r="AQ737" s="103"/>
      <c r="AR737" s="103"/>
      <c r="AS737" s="31"/>
      <c r="AT737" s="31"/>
      <c r="AU737" s="31"/>
      <c r="AV737" s="30"/>
      <c r="AW737" s="30"/>
      <c r="AX737" s="103"/>
      <c r="AY737" s="103"/>
      <c r="AZ737" s="103"/>
      <c r="BA737" s="103"/>
      <c r="BB737" s="103"/>
      <c r="BC737" s="103"/>
      <c r="BD737" s="104"/>
      <c r="BE737" s="102"/>
      <c r="BF737" s="102"/>
      <c r="BG737" s="102"/>
      <c r="BH737" s="104"/>
      <c r="BI737" s="152"/>
      <c r="BJ737" s="103"/>
      <c r="BK737" s="103"/>
      <c r="BL737" s="103"/>
      <c r="BM737" s="103"/>
      <c r="BN737" s="103"/>
      <c r="BO737" s="103"/>
      <c r="BP737" s="103"/>
      <c r="BQ737" s="103"/>
      <c r="BR737" s="103"/>
      <c r="BS737" s="103"/>
      <c r="BT737" s="103"/>
      <c r="BU737" s="104"/>
      <c r="BV737" s="104"/>
      <c r="BW737" s="104"/>
      <c r="BX737" s="104"/>
      <c r="BY737" s="104"/>
      <c r="BZ737" s="104"/>
      <c r="CA737" s="104"/>
      <c r="CB737" s="104"/>
      <c r="CC737" s="104"/>
      <c r="CD737" s="104"/>
      <c r="CE737" s="103"/>
      <c r="CF737" s="103"/>
      <c r="CG737" s="103"/>
      <c r="CH737" s="103"/>
      <c r="CI737" s="103"/>
      <c r="CJ737" s="133"/>
      <c r="CK737" s="133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53"/>
      <c r="DF737" s="51"/>
      <c r="DJ737" s="52"/>
      <c r="DK737" s="52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P737" s="53"/>
      <c r="EQ737" s="1"/>
      <c r="ER737" s="103"/>
      <c r="ES737" s="103"/>
      <c r="ET737" s="1"/>
      <c r="EU737" s="103"/>
      <c r="EV737" s="1"/>
      <c r="EW737" s="1"/>
      <c r="EX737" s="1"/>
      <c r="EY737" s="105"/>
    </row>
    <row r="738" spans="9:155">
      <c r="I738" s="132"/>
      <c r="J738" s="133"/>
      <c r="K738" s="1"/>
      <c r="L738" s="1"/>
      <c r="Q738" s="1"/>
      <c r="R738" s="1"/>
      <c r="S738" s="103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53"/>
      <c r="AN738" s="103"/>
      <c r="AO738" s="103"/>
      <c r="AP738" s="103"/>
      <c r="AQ738" s="103"/>
      <c r="AR738" s="103"/>
      <c r="AS738" s="31"/>
      <c r="AT738" s="31"/>
      <c r="AU738" s="31"/>
      <c r="AV738" s="30"/>
      <c r="AW738" s="30"/>
      <c r="AX738" s="103"/>
      <c r="AY738" s="103"/>
      <c r="AZ738" s="103"/>
      <c r="BA738" s="103"/>
      <c r="BB738" s="103"/>
      <c r="BC738" s="103"/>
      <c r="BD738" s="104"/>
      <c r="BE738" s="102"/>
      <c r="BF738" s="102"/>
      <c r="BG738" s="102"/>
      <c r="BH738" s="104"/>
      <c r="BI738" s="152"/>
      <c r="BJ738" s="103"/>
      <c r="BK738" s="103"/>
      <c r="BL738" s="103"/>
      <c r="BM738" s="103"/>
      <c r="BN738" s="103"/>
      <c r="BO738" s="103"/>
      <c r="BP738" s="103"/>
      <c r="BQ738" s="103"/>
      <c r="BR738" s="103"/>
      <c r="BS738" s="103"/>
      <c r="BT738" s="103"/>
      <c r="BU738" s="104"/>
      <c r="BV738" s="104"/>
      <c r="BW738" s="104"/>
      <c r="BX738" s="104"/>
      <c r="BY738" s="104"/>
      <c r="BZ738" s="104"/>
      <c r="CA738" s="104"/>
      <c r="CB738" s="104"/>
      <c r="CC738" s="104"/>
      <c r="CD738" s="104"/>
      <c r="CE738" s="103"/>
      <c r="CF738" s="103"/>
      <c r="CG738" s="103"/>
      <c r="CH738" s="103"/>
      <c r="CI738" s="103"/>
      <c r="CJ738" s="133"/>
      <c r="CK738" s="133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53"/>
      <c r="DF738" s="51"/>
      <c r="DJ738" s="52"/>
      <c r="DK738" s="52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P738" s="53"/>
      <c r="EQ738" s="1"/>
      <c r="ER738" s="103"/>
      <c r="ES738" s="103"/>
      <c r="ET738" s="1"/>
      <c r="EU738" s="103"/>
      <c r="EV738" s="1"/>
      <c r="EW738" s="1"/>
      <c r="EX738" s="1"/>
      <c r="EY738" s="105"/>
    </row>
    <row r="739" spans="9:155">
      <c r="I739" s="132"/>
      <c r="J739" s="133"/>
      <c r="K739" s="1"/>
      <c r="L739" s="1"/>
      <c r="Q739" s="1"/>
      <c r="R739" s="1"/>
      <c r="S739" s="103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53"/>
      <c r="AN739" s="103"/>
      <c r="AO739" s="103"/>
      <c r="AP739" s="103"/>
      <c r="AQ739" s="103"/>
      <c r="AR739" s="103"/>
      <c r="AS739" s="31"/>
      <c r="AT739" s="31"/>
      <c r="AU739" s="31"/>
      <c r="AV739" s="30"/>
      <c r="AW739" s="30"/>
      <c r="AX739" s="103"/>
      <c r="AY739" s="103"/>
      <c r="AZ739" s="103"/>
      <c r="BA739" s="103"/>
      <c r="BB739" s="103"/>
      <c r="BC739" s="103"/>
      <c r="BD739" s="104"/>
      <c r="BE739" s="102"/>
      <c r="BF739" s="102"/>
      <c r="BG739" s="102"/>
      <c r="BH739" s="104"/>
      <c r="BI739" s="152"/>
      <c r="BJ739" s="103"/>
      <c r="BK739" s="103"/>
      <c r="BL739" s="103"/>
      <c r="BM739" s="103"/>
      <c r="BN739" s="103"/>
      <c r="BO739" s="103"/>
      <c r="BP739" s="103"/>
      <c r="BQ739" s="103"/>
      <c r="BR739" s="103"/>
      <c r="BS739" s="103"/>
      <c r="BT739" s="103"/>
      <c r="BU739" s="104"/>
      <c r="BV739" s="104"/>
      <c r="BW739" s="104"/>
      <c r="BX739" s="104"/>
      <c r="BY739" s="104"/>
      <c r="BZ739" s="104"/>
      <c r="CA739" s="104"/>
      <c r="CB739" s="104"/>
      <c r="CC739" s="104"/>
      <c r="CD739" s="104"/>
      <c r="CE739" s="103"/>
      <c r="CF739" s="103"/>
      <c r="CG739" s="103"/>
      <c r="CH739" s="103"/>
      <c r="CI739" s="103"/>
      <c r="CJ739" s="133"/>
      <c r="CK739" s="133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53"/>
      <c r="DF739" s="51"/>
      <c r="DJ739" s="52"/>
      <c r="DK739" s="52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P739" s="53"/>
      <c r="EQ739" s="1"/>
      <c r="ER739" s="103"/>
      <c r="ES739" s="103"/>
      <c r="ET739" s="1"/>
      <c r="EU739" s="103"/>
      <c r="EV739" s="1"/>
      <c r="EW739" s="1"/>
      <c r="EX739" s="1"/>
      <c r="EY739" s="105"/>
    </row>
    <row r="740" spans="9:155">
      <c r="I740" s="132"/>
      <c r="J740" s="133"/>
      <c r="K740" s="1"/>
      <c r="L740" s="1"/>
      <c r="Q740" s="1"/>
      <c r="R740" s="1"/>
      <c r="S740" s="103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53"/>
      <c r="AN740" s="103"/>
      <c r="AO740" s="103"/>
      <c r="AP740" s="103"/>
      <c r="AQ740" s="103"/>
      <c r="AR740" s="103"/>
      <c r="AS740" s="31"/>
      <c r="AT740" s="31"/>
      <c r="AU740" s="31"/>
      <c r="AV740" s="30"/>
      <c r="AW740" s="30"/>
      <c r="AX740" s="103"/>
      <c r="AY740" s="103"/>
      <c r="AZ740" s="103"/>
      <c r="BA740" s="103"/>
      <c r="BB740" s="103"/>
      <c r="BC740" s="103"/>
      <c r="BD740" s="104"/>
      <c r="BE740" s="102"/>
      <c r="BF740" s="102"/>
      <c r="BG740" s="102"/>
      <c r="BH740" s="104"/>
      <c r="BI740" s="152"/>
      <c r="BJ740" s="103"/>
      <c r="BK740" s="103"/>
      <c r="BL740" s="103"/>
      <c r="BM740" s="103"/>
      <c r="BN740" s="103"/>
      <c r="BO740" s="103"/>
      <c r="BP740" s="103"/>
      <c r="BQ740" s="103"/>
      <c r="BR740" s="103"/>
      <c r="BS740" s="103"/>
      <c r="BT740" s="103"/>
      <c r="BU740" s="104"/>
      <c r="BV740" s="104"/>
      <c r="BW740" s="104"/>
      <c r="BX740" s="104"/>
      <c r="BY740" s="104"/>
      <c r="BZ740" s="104"/>
      <c r="CA740" s="104"/>
      <c r="CB740" s="104"/>
      <c r="CC740" s="104"/>
      <c r="CD740" s="104"/>
      <c r="CE740" s="103"/>
      <c r="CF740" s="103"/>
      <c r="CG740" s="103"/>
      <c r="CH740" s="103"/>
      <c r="CI740" s="103"/>
      <c r="CJ740" s="133"/>
      <c r="CK740" s="133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53"/>
      <c r="DF740" s="51"/>
      <c r="DJ740" s="52"/>
      <c r="DK740" s="52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P740" s="53"/>
      <c r="EQ740" s="1"/>
      <c r="ER740" s="103"/>
      <c r="ES740" s="103"/>
      <c r="ET740" s="1"/>
      <c r="EU740" s="103"/>
      <c r="EV740" s="1"/>
      <c r="EW740" s="1"/>
      <c r="EX740" s="1"/>
      <c r="EY740" s="105"/>
    </row>
    <row r="741" spans="9:155">
      <c r="I741" s="132"/>
      <c r="J741" s="133"/>
      <c r="K741" s="1"/>
      <c r="L741" s="1"/>
      <c r="Q741" s="1"/>
      <c r="R741" s="1"/>
      <c r="S741" s="103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53"/>
      <c r="AN741" s="103"/>
      <c r="AO741" s="103"/>
      <c r="AP741" s="103"/>
      <c r="AQ741" s="103"/>
      <c r="AR741" s="103"/>
      <c r="AS741" s="31"/>
      <c r="AT741" s="31"/>
      <c r="AU741" s="31"/>
      <c r="AV741" s="30"/>
      <c r="AW741" s="30"/>
      <c r="AX741" s="103"/>
      <c r="AY741" s="103"/>
      <c r="AZ741" s="103"/>
      <c r="BA741" s="103"/>
      <c r="BB741" s="103"/>
      <c r="BC741" s="103"/>
      <c r="BD741" s="104"/>
      <c r="BE741" s="102"/>
      <c r="BF741" s="102"/>
      <c r="BG741" s="102"/>
      <c r="BH741" s="104"/>
      <c r="BI741" s="152"/>
      <c r="BJ741" s="103"/>
      <c r="BK741" s="103"/>
      <c r="BL741" s="103"/>
      <c r="BM741" s="103"/>
      <c r="BN741" s="103"/>
      <c r="BO741" s="103"/>
      <c r="BP741" s="103"/>
      <c r="BQ741" s="103"/>
      <c r="BR741" s="103"/>
      <c r="BS741" s="103"/>
      <c r="BT741" s="103"/>
      <c r="BU741" s="104"/>
      <c r="BV741" s="104"/>
      <c r="BW741" s="104"/>
      <c r="BX741" s="104"/>
      <c r="BY741" s="104"/>
      <c r="BZ741" s="104"/>
      <c r="CA741" s="104"/>
      <c r="CB741" s="104"/>
      <c r="CC741" s="104"/>
      <c r="CD741" s="104"/>
      <c r="CE741" s="103"/>
      <c r="CF741" s="103"/>
      <c r="CG741" s="103"/>
      <c r="CH741" s="103"/>
      <c r="CI741" s="103"/>
      <c r="CJ741" s="133"/>
      <c r="CK741" s="133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53"/>
      <c r="DF741" s="51"/>
      <c r="DJ741" s="52"/>
      <c r="DK741" s="52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P741" s="53"/>
      <c r="EQ741" s="1"/>
      <c r="ER741" s="103"/>
      <c r="ES741" s="103"/>
      <c r="ET741" s="1"/>
      <c r="EU741" s="103"/>
      <c r="EV741" s="1"/>
      <c r="EW741" s="1"/>
      <c r="EX741" s="1"/>
      <c r="EY741" s="105"/>
    </row>
    <row r="742" spans="9:155">
      <c r="I742" s="132"/>
      <c r="J742" s="133"/>
      <c r="K742" s="1"/>
      <c r="L742" s="1"/>
      <c r="Q742" s="1"/>
      <c r="R742" s="1"/>
      <c r="S742" s="103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53"/>
      <c r="AN742" s="103"/>
      <c r="AO742" s="103"/>
      <c r="AP742" s="103"/>
      <c r="AQ742" s="103"/>
      <c r="AR742" s="103"/>
      <c r="AS742" s="31"/>
      <c r="AT742" s="31"/>
      <c r="AU742" s="31"/>
      <c r="AV742" s="30"/>
      <c r="AW742" s="30"/>
      <c r="AX742" s="103"/>
      <c r="AY742" s="103"/>
      <c r="AZ742" s="103"/>
      <c r="BA742" s="103"/>
      <c r="BB742" s="103"/>
      <c r="BC742" s="103"/>
      <c r="BD742" s="104"/>
      <c r="BE742" s="102"/>
      <c r="BF742" s="102"/>
      <c r="BG742" s="102"/>
      <c r="BH742" s="104"/>
      <c r="BI742" s="152"/>
      <c r="BJ742" s="103"/>
      <c r="BK742" s="103"/>
      <c r="BL742" s="103"/>
      <c r="BM742" s="103"/>
      <c r="BN742" s="103"/>
      <c r="BO742" s="103"/>
      <c r="BP742" s="103"/>
      <c r="BQ742" s="103"/>
      <c r="BR742" s="103"/>
      <c r="BS742" s="103"/>
      <c r="BT742" s="103"/>
      <c r="BU742" s="104"/>
      <c r="BV742" s="104"/>
      <c r="BW742" s="104"/>
      <c r="BX742" s="104"/>
      <c r="BY742" s="104"/>
      <c r="BZ742" s="104"/>
      <c r="CA742" s="104"/>
      <c r="CB742" s="104"/>
      <c r="CC742" s="104"/>
      <c r="CD742" s="104"/>
      <c r="CE742" s="103"/>
      <c r="CF742" s="103"/>
      <c r="CG742" s="103"/>
      <c r="CH742" s="103"/>
      <c r="CI742" s="103"/>
      <c r="CJ742" s="133"/>
      <c r="CK742" s="133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53"/>
      <c r="DF742" s="51"/>
      <c r="DJ742" s="52"/>
      <c r="DK742" s="52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P742" s="53"/>
      <c r="EQ742" s="1"/>
      <c r="ER742" s="103"/>
      <c r="ES742" s="103"/>
      <c r="ET742" s="1"/>
      <c r="EU742" s="103"/>
      <c r="EV742" s="1"/>
      <c r="EW742" s="1"/>
      <c r="EX742" s="1"/>
      <c r="EY742" s="105"/>
    </row>
    <row r="743" spans="9:155">
      <c r="I743" s="132"/>
      <c r="J743" s="133"/>
      <c r="K743" s="1"/>
      <c r="L743" s="1"/>
      <c r="Q743" s="1"/>
      <c r="R743" s="1"/>
      <c r="S743" s="103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53"/>
      <c r="AN743" s="103"/>
      <c r="AO743" s="103"/>
      <c r="AP743" s="103"/>
      <c r="AQ743" s="103"/>
      <c r="AR743" s="103"/>
      <c r="AS743" s="31"/>
      <c r="AT743" s="31"/>
      <c r="AU743" s="31"/>
      <c r="AV743" s="30"/>
      <c r="AW743" s="30"/>
      <c r="AX743" s="103"/>
      <c r="AY743" s="103"/>
      <c r="AZ743" s="103"/>
      <c r="BA743" s="103"/>
      <c r="BB743" s="103"/>
      <c r="BC743" s="103"/>
      <c r="BD743" s="104"/>
      <c r="BE743" s="102"/>
      <c r="BF743" s="102"/>
      <c r="BG743" s="102"/>
      <c r="BH743" s="104"/>
      <c r="BI743" s="152"/>
      <c r="BJ743" s="103"/>
      <c r="BK743" s="103"/>
      <c r="BL743" s="103"/>
      <c r="BM743" s="103"/>
      <c r="BN743" s="103"/>
      <c r="BO743" s="103"/>
      <c r="BP743" s="103"/>
      <c r="BQ743" s="103"/>
      <c r="BR743" s="103"/>
      <c r="BS743" s="103"/>
      <c r="BT743" s="103"/>
      <c r="BU743" s="104"/>
      <c r="BV743" s="104"/>
      <c r="BW743" s="104"/>
      <c r="BX743" s="104"/>
      <c r="BY743" s="104"/>
      <c r="BZ743" s="104"/>
      <c r="CA743" s="104"/>
      <c r="CB743" s="104"/>
      <c r="CC743" s="104"/>
      <c r="CD743" s="104"/>
      <c r="CE743" s="103"/>
      <c r="CF743" s="103"/>
      <c r="CG743" s="103"/>
      <c r="CH743" s="103"/>
      <c r="CI743" s="103"/>
      <c r="CJ743" s="133"/>
      <c r="CK743" s="133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53"/>
      <c r="DF743" s="51"/>
      <c r="DJ743" s="52"/>
      <c r="DK743" s="52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P743" s="53"/>
      <c r="EQ743" s="1"/>
      <c r="ER743" s="103"/>
      <c r="ES743" s="103"/>
      <c r="ET743" s="1"/>
      <c r="EU743" s="103"/>
      <c r="EV743" s="1"/>
      <c r="EW743" s="1"/>
      <c r="EX743" s="1"/>
      <c r="EY743" s="105"/>
    </row>
    <row r="744" spans="9:155">
      <c r="I744" s="132"/>
      <c r="J744" s="133"/>
      <c r="K744" s="1"/>
      <c r="L744" s="1"/>
      <c r="Q744" s="1"/>
      <c r="R744" s="1"/>
      <c r="S744" s="103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53"/>
      <c r="AN744" s="103"/>
      <c r="AO744" s="103"/>
      <c r="AP744" s="103"/>
      <c r="AQ744" s="103"/>
      <c r="AR744" s="103"/>
      <c r="AS744" s="31"/>
      <c r="AT744" s="31"/>
      <c r="AU744" s="31"/>
      <c r="AV744" s="30"/>
      <c r="AW744" s="30"/>
      <c r="AX744" s="103"/>
      <c r="AY744" s="103"/>
      <c r="AZ744" s="103"/>
      <c r="BA744" s="103"/>
      <c r="BB744" s="103"/>
      <c r="BC744" s="103"/>
      <c r="BD744" s="104"/>
      <c r="BE744" s="102"/>
      <c r="BF744" s="102"/>
      <c r="BG744" s="102"/>
      <c r="BH744" s="104"/>
      <c r="BI744" s="152"/>
      <c r="BJ744" s="103"/>
      <c r="BK744" s="103"/>
      <c r="BL744" s="103"/>
      <c r="BM744" s="103"/>
      <c r="BN744" s="103"/>
      <c r="BO744" s="103"/>
      <c r="BP744" s="103"/>
      <c r="BQ744" s="103"/>
      <c r="BR744" s="103"/>
      <c r="BS744" s="103"/>
      <c r="BT744" s="103"/>
      <c r="BU744" s="104"/>
      <c r="BV744" s="104"/>
      <c r="BW744" s="104"/>
      <c r="BX744" s="104"/>
      <c r="BY744" s="104"/>
      <c r="BZ744" s="104"/>
      <c r="CA744" s="104"/>
      <c r="CB744" s="104"/>
      <c r="CC744" s="104"/>
      <c r="CD744" s="104"/>
      <c r="CE744" s="103"/>
      <c r="CF744" s="103"/>
      <c r="CG744" s="103"/>
      <c r="CH744" s="103"/>
      <c r="CI744" s="103"/>
      <c r="CJ744" s="133"/>
      <c r="CK744" s="133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53"/>
      <c r="DF744" s="51"/>
      <c r="DJ744" s="52"/>
      <c r="DK744" s="52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P744" s="53"/>
      <c r="EQ744" s="1"/>
      <c r="ER744" s="103"/>
      <c r="ES744" s="103"/>
      <c r="ET744" s="1"/>
      <c r="EU744" s="103"/>
      <c r="EV744" s="1"/>
      <c r="EW744" s="1"/>
      <c r="EX744" s="1"/>
      <c r="EY744" s="105"/>
    </row>
    <row r="745" spans="9:155">
      <c r="I745" s="132"/>
      <c r="J745" s="133"/>
      <c r="K745" s="1"/>
      <c r="L745" s="1"/>
      <c r="Q745" s="1"/>
      <c r="R745" s="1"/>
      <c r="S745" s="103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53"/>
      <c r="AN745" s="103"/>
      <c r="AO745" s="103"/>
      <c r="AP745" s="103"/>
      <c r="AQ745" s="103"/>
      <c r="AR745" s="103"/>
      <c r="AS745" s="31"/>
      <c r="AT745" s="31"/>
      <c r="AU745" s="31"/>
      <c r="AV745" s="30"/>
      <c r="AW745" s="30"/>
      <c r="AX745" s="103"/>
      <c r="AY745" s="103"/>
      <c r="AZ745" s="103"/>
      <c r="BA745" s="103"/>
      <c r="BB745" s="103"/>
      <c r="BC745" s="103"/>
      <c r="BD745" s="104"/>
      <c r="BE745" s="102"/>
      <c r="BF745" s="102"/>
      <c r="BG745" s="102"/>
      <c r="BH745" s="104"/>
      <c r="BI745" s="152"/>
      <c r="BJ745" s="103"/>
      <c r="BK745" s="103"/>
      <c r="BL745" s="103"/>
      <c r="BM745" s="103"/>
      <c r="BN745" s="103"/>
      <c r="BO745" s="103"/>
      <c r="BP745" s="103"/>
      <c r="BQ745" s="103"/>
      <c r="BR745" s="103"/>
      <c r="BS745" s="103"/>
      <c r="BT745" s="103"/>
      <c r="BU745" s="104"/>
      <c r="BV745" s="104"/>
      <c r="BW745" s="104"/>
      <c r="BX745" s="104"/>
      <c r="BY745" s="104"/>
      <c r="BZ745" s="104"/>
      <c r="CA745" s="104"/>
      <c r="CB745" s="104"/>
      <c r="CC745" s="104"/>
      <c r="CD745" s="104"/>
      <c r="CE745" s="103"/>
      <c r="CF745" s="103"/>
      <c r="CG745" s="103"/>
      <c r="CH745" s="103"/>
      <c r="CI745" s="103"/>
      <c r="CJ745" s="133"/>
      <c r="CK745" s="133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53"/>
      <c r="DF745" s="51"/>
      <c r="DJ745" s="52"/>
      <c r="DK745" s="52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P745" s="53"/>
      <c r="EQ745" s="1"/>
      <c r="ER745" s="103"/>
      <c r="ES745" s="103"/>
      <c r="ET745" s="1"/>
      <c r="EU745" s="103"/>
      <c r="EV745" s="1"/>
      <c r="EW745" s="1"/>
      <c r="EX745" s="1"/>
      <c r="EY745" s="105"/>
    </row>
    <row r="746" spans="9:155">
      <c r="I746" s="132"/>
      <c r="J746" s="133"/>
      <c r="K746" s="1"/>
      <c r="L746" s="1"/>
      <c r="Q746" s="1"/>
      <c r="R746" s="1"/>
      <c r="S746" s="103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53"/>
      <c r="AN746" s="103"/>
      <c r="AO746" s="103"/>
      <c r="AP746" s="103"/>
      <c r="AQ746" s="103"/>
      <c r="AR746" s="103"/>
      <c r="AS746" s="31"/>
      <c r="AT746" s="31"/>
      <c r="AU746" s="31"/>
      <c r="AV746" s="30"/>
      <c r="AW746" s="30"/>
      <c r="AX746" s="103"/>
      <c r="AY746" s="103"/>
      <c r="AZ746" s="103"/>
      <c r="BA746" s="103"/>
      <c r="BB746" s="103"/>
      <c r="BC746" s="103"/>
      <c r="BD746" s="104"/>
      <c r="BE746" s="102"/>
      <c r="BF746" s="102"/>
      <c r="BG746" s="102"/>
      <c r="BH746" s="104"/>
      <c r="BI746" s="152"/>
      <c r="BJ746" s="103"/>
      <c r="BK746" s="103"/>
      <c r="BL746" s="103"/>
      <c r="BM746" s="103"/>
      <c r="BN746" s="103"/>
      <c r="BO746" s="103"/>
      <c r="BP746" s="103"/>
      <c r="BQ746" s="103"/>
      <c r="BR746" s="103"/>
      <c r="BS746" s="103"/>
      <c r="BT746" s="103"/>
      <c r="BU746" s="104"/>
      <c r="BV746" s="104"/>
      <c r="BW746" s="104"/>
      <c r="BX746" s="104"/>
      <c r="BY746" s="104"/>
      <c r="BZ746" s="104"/>
      <c r="CA746" s="104"/>
      <c r="CB746" s="104"/>
      <c r="CC746" s="104"/>
      <c r="CD746" s="104"/>
      <c r="CE746" s="103"/>
      <c r="CF746" s="103"/>
      <c r="CG746" s="103"/>
      <c r="CH746" s="103"/>
      <c r="CI746" s="103"/>
      <c r="CJ746" s="133"/>
      <c r="CK746" s="133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53"/>
      <c r="DF746" s="51"/>
      <c r="DJ746" s="52"/>
      <c r="DK746" s="52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P746" s="53"/>
      <c r="EQ746" s="1"/>
      <c r="ER746" s="103"/>
      <c r="ES746" s="103"/>
      <c r="ET746" s="1"/>
      <c r="EU746" s="103"/>
      <c r="EV746" s="1"/>
      <c r="EW746" s="1"/>
      <c r="EX746" s="1"/>
      <c r="EY746" s="105"/>
    </row>
    <row r="747" spans="9:155">
      <c r="I747" s="132"/>
      <c r="J747" s="133"/>
      <c r="K747" s="1"/>
      <c r="L747" s="1"/>
      <c r="Q747" s="1"/>
      <c r="R747" s="1"/>
      <c r="S747" s="103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53"/>
      <c r="AN747" s="103"/>
      <c r="AO747" s="103"/>
      <c r="AP747" s="103"/>
      <c r="AQ747" s="103"/>
      <c r="AR747" s="103"/>
      <c r="AS747" s="31"/>
      <c r="AT747" s="31"/>
      <c r="AU747" s="31"/>
      <c r="AV747" s="30"/>
      <c r="AW747" s="30"/>
      <c r="AX747" s="103"/>
      <c r="AY747" s="103"/>
      <c r="AZ747" s="103"/>
      <c r="BA747" s="103"/>
      <c r="BB747" s="103"/>
      <c r="BC747" s="103"/>
      <c r="BD747" s="104"/>
      <c r="BE747" s="102"/>
      <c r="BF747" s="102"/>
      <c r="BG747" s="102"/>
      <c r="BH747" s="104"/>
      <c r="BI747" s="152"/>
      <c r="BJ747" s="103"/>
      <c r="BK747" s="103"/>
      <c r="BL747" s="103"/>
      <c r="BM747" s="103"/>
      <c r="BN747" s="103"/>
      <c r="BO747" s="103"/>
      <c r="BP747" s="103"/>
      <c r="BQ747" s="103"/>
      <c r="BR747" s="103"/>
      <c r="BS747" s="103"/>
      <c r="BT747" s="103"/>
      <c r="BU747" s="104"/>
      <c r="BV747" s="104"/>
      <c r="BW747" s="104"/>
      <c r="BX747" s="104"/>
      <c r="BY747" s="104"/>
      <c r="BZ747" s="104"/>
      <c r="CA747" s="104"/>
      <c r="CB747" s="104"/>
      <c r="CC747" s="104"/>
      <c r="CD747" s="104"/>
      <c r="CE747" s="103"/>
      <c r="CF747" s="103"/>
      <c r="CG747" s="103"/>
      <c r="CH747" s="103"/>
      <c r="CI747" s="103"/>
      <c r="CJ747" s="133"/>
      <c r="CK747" s="133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53"/>
      <c r="DF747" s="51"/>
      <c r="DJ747" s="52"/>
      <c r="DK747" s="52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P747" s="53"/>
      <c r="EQ747" s="1"/>
      <c r="ER747" s="103"/>
      <c r="ES747" s="103"/>
      <c r="ET747" s="1"/>
      <c r="EU747" s="103"/>
      <c r="EV747" s="1"/>
      <c r="EW747" s="1"/>
      <c r="EX747" s="1"/>
      <c r="EY747" s="105"/>
    </row>
    <row r="748" spans="9:155">
      <c r="I748" s="132"/>
      <c r="J748" s="133"/>
      <c r="K748" s="1"/>
      <c r="L748" s="1"/>
      <c r="Q748" s="1"/>
      <c r="R748" s="1"/>
      <c r="S748" s="103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53"/>
      <c r="AN748" s="103"/>
      <c r="AO748" s="103"/>
      <c r="AP748" s="103"/>
      <c r="AQ748" s="103"/>
      <c r="AR748" s="103"/>
      <c r="AS748" s="31"/>
      <c r="AT748" s="31"/>
      <c r="AU748" s="31"/>
      <c r="AV748" s="30"/>
      <c r="AW748" s="30"/>
      <c r="AX748" s="103"/>
      <c r="AY748" s="103"/>
      <c r="AZ748" s="103"/>
      <c r="BA748" s="103"/>
      <c r="BB748" s="103"/>
      <c r="BC748" s="103"/>
      <c r="BD748" s="104"/>
      <c r="BE748" s="102"/>
      <c r="BF748" s="102"/>
      <c r="BG748" s="102"/>
      <c r="BH748" s="104"/>
      <c r="BI748" s="152"/>
      <c r="BJ748" s="103"/>
      <c r="BK748" s="103"/>
      <c r="BL748" s="103"/>
      <c r="BM748" s="103"/>
      <c r="BN748" s="103"/>
      <c r="BO748" s="103"/>
      <c r="BP748" s="103"/>
      <c r="BQ748" s="103"/>
      <c r="BR748" s="103"/>
      <c r="BS748" s="103"/>
      <c r="BT748" s="103"/>
      <c r="BU748" s="104"/>
      <c r="BV748" s="104"/>
      <c r="BW748" s="104"/>
      <c r="BX748" s="104"/>
      <c r="BY748" s="104"/>
      <c r="BZ748" s="104"/>
      <c r="CA748" s="104"/>
      <c r="CB748" s="104"/>
      <c r="CC748" s="104"/>
      <c r="CD748" s="104"/>
      <c r="CE748" s="103"/>
      <c r="CF748" s="103"/>
      <c r="CG748" s="103"/>
      <c r="CH748" s="103"/>
      <c r="CI748" s="103"/>
      <c r="CJ748" s="133"/>
      <c r="CK748" s="133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53"/>
      <c r="DF748" s="51"/>
      <c r="DJ748" s="52"/>
      <c r="DK748" s="52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P748" s="53"/>
      <c r="EQ748" s="1"/>
      <c r="ER748" s="103"/>
      <c r="ES748" s="103"/>
      <c r="ET748" s="1"/>
      <c r="EU748" s="103"/>
      <c r="EV748" s="1"/>
      <c r="EW748" s="1"/>
      <c r="EX748" s="1"/>
      <c r="EY748" s="105"/>
    </row>
    <row r="749" spans="9:155">
      <c r="I749" s="132"/>
      <c r="J749" s="133"/>
      <c r="K749" s="1"/>
      <c r="L749" s="1"/>
      <c r="Q749" s="1"/>
      <c r="R749" s="1"/>
      <c r="S749" s="103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53"/>
      <c r="AN749" s="103"/>
      <c r="AO749" s="103"/>
      <c r="AP749" s="103"/>
      <c r="AQ749" s="103"/>
      <c r="AR749" s="103"/>
      <c r="AS749" s="31"/>
      <c r="AT749" s="31"/>
      <c r="AU749" s="31"/>
      <c r="AV749" s="30"/>
      <c r="AW749" s="30"/>
      <c r="AX749" s="103"/>
      <c r="AY749" s="103"/>
      <c r="AZ749" s="103"/>
      <c r="BA749" s="103"/>
      <c r="BB749" s="103"/>
      <c r="BC749" s="103"/>
      <c r="BD749" s="104"/>
      <c r="BE749" s="102"/>
      <c r="BF749" s="102"/>
      <c r="BG749" s="102"/>
      <c r="BH749" s="104"/>
      <c r="BI749" s="152"/>
      <c r="BJ749" s="103"/>
      <c r="BK749" s="103"/>
      <c r="BL749" s="103"/>
      <c r="BM749" s="103"/>
      <c r="BN749" s="103"/>
      <c r="BO749" s="103"/>
      <c r="BP749" s="103"/>
      <c r="BQ749" s="103"/>
      <c r="BR749" s="103"/>
      <c r="BS749" s="103"/>
      <c r="BT749" s="103"/>
      <c r="BU749" s="104"/>
      <c r="BV749" s="104"/>
      <c r="BW749" s="104"/>
      <c r="BX749" s="104"/>
      <c r="BY749" s="104"/>
      <c r="BZ749" s="104"/>
      <c r="CA749" s="104"/>
      <c r="CB749" s="104"/>
      <c r="CC749" s="104"/>
      <c r="CD749" s="104"/>
      <c r="CE749" s="103"/>
      <c r="CF749" s="103"/>
      <c r="CG749" s="103"/>
      <c r="CH749" s="103"/>
      <c r="CI749" s="103"/>
      <c r="CJ749" s="133"/>
      <c r="CK749" s="133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53"/>
      <c r="DF749" s="51"/>
      <c r="DJ749" s="52"/>
      <c r="DK749" s="52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P749" s="53"/>
      <c r="EQ749" s="1"/>
      <c r="ER749" s="103"/>
      <c r="ES749" s="103"/>
      <c r="ET749" s="1"/>
      <c r="EU749" s="103"/>
      <c r="EV749" s="1"/>
      <c r="EW749" s="1"/>
      <c r="EX749" s="1"/>
      <c r="EY749" s="105"/>
    </row>
    <row r="750" spans="9:155">
      <c r="I750" s="132"/>
      <c r="J750" s="133"/>
      <c r="K750" s="1"/>
      <c r="L750" s="1"/>
      <c r="Q750" s="1"/>
      <c r="R750" s="1"/>
      <c r="S750" s="103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53"/>
      <c r="AN750" s="103"/>
      <c r="AO750" s="103"/>
      <c r="AP750" s="103"/>
      <c r="AQ750" s="103"/>
      <c r="AR750" s="103"/>
      <c r="AS750" s="31"/>
      <c r="AT750" s="31"/>
      <c r="AU750" s="31"/>
      <c r="AV750" s="30"/>
      <c r="AW750" s="30"/>
      <c r="AX750" s="103"/>
      <c r="AY750" s="103"/>
      <c r="AZ750" s="103"/>
      <c r="BA750" s="103"/>
      <c r="BB750" s="103"/>
      <c r="BC750" s="103"/>
      <c r="BD750" s="104"/>
      <c r="BE750" s="102"/>
      <c r="BF750" s="102"/>
      <c r="BG750" s="102"/>
      <c r="BH750" s="104"/>
      <c r="BI750" s="152"/>
      <c r="BJ750" s="103"/>
      <c r="BK750" s="103"/>
      <c r="BL750" s="103"/>
      <c r="BM750" s="103"/>
      <c r="BN750" s="103"/>
      <c r="BO750" s="103"/>
      <c r="BP750" s="103"/>
      <c r="BQ750" s="103"/>
      <c r="BR750" s="103"/>
      <c r="BS750" s="103"/>
      <c r="BT750" s="103"/>
      <c r="BU750" s="104"/>
      <c r="BV750" s="104"/>
      <c r="BW750" s="104"/>
      <c r="BX750" s="104"/>
      <c r="BY750" s="104"/>
      <c r="BZ750" s="104"/>
      <c r="CA750" s="104"/>
      <c r="CB750" s="104"/>
      <c r="CC750" s="104"/>
      <c r="CD750" s="104"/>
      <c r="CE750" s="103"/>
      <c r="CF750" s="103"/>
      <c r="CG750" s="103"/>
      <c r="CH750" s="103"/>
      <c r="CI750" s="103"/>
      <c r="CJ750" s="133"/>
      <c r="CK750" s="133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53"/>
      <c r="DF750" s="51"/>
      <c r="DJ750" s="52"/>
      <c r="DK750" s="52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P750" s="53"/>
      <c r="EQ750" s="1"/>
      <c r="ER750" s="103"/>
      <c r="ES750" s="103"/>
      <c r="ET750" s="1"/>
      <c r="EU750" s="103"/>
      <c r="EV750" s="1"/>
      <c r="EW750" s="1"/>
      <c r="EX750" s="1"/>
      <c r="EY750" s="105"/>
    </row>
    <row r="751" spans="9:155">
      <c r="I751" s="132"/>
      <c r="J751" s="133"/>
      <c r="K751" s="1"/>
      <c r="L751" s="1"/>
      <c r="Q751" s="1"/>
      <c r="R751" s="1"/>
      <c r="S751" s="103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53"/>
      <c r="AN751" s="103"/>
      <c r="AO751" s="103"/>
      <c r="AP751" s="103"/>
      <c r="AQ751" s="103"/>
      <c r="AR751" s="103"/>
      <c r="AS751" s="31"/>
      <c r="AT751" s="31"/>
      <c r="AU751" s="31"/>
      <c r="AV751" s="30"/>
      <c r="AW751" s="30"/>
      <c r="AX751" s="103"/>
      <c r="AY751" s="103"/>
      <c r="AZ751" s="103"/>
      <c r="BA751" s="103"/>
      <c r="BB751" s="103"/>
      <c r="BC751" s="103"/>
      <c r="BD751" s="104"/>
      <c r="BE751" s="102"/>
      <c r="BF751" s="102"/>
      <c r="BG751" s="102"/>
      <c r="BH751" s="104"/>
      <c r="BI751" s="152"/>
      <c r="BJ751" s="103"/>
      <c r="BK751" s="103"/>
      <c r="BL751" s="103"/>
      <c r="BM751" s="103"/>
      <c r="BN751" s="103"/>
      <c r="BO751" s="103"/>
      <c r="BP751" s="103"/>
      <c r="BQ751" s="103"/>
      <c r="BR751" s="103"/>
      <c r="BS751" s="103"/>
      <c r="BT751" s="103"/>
      <c r="BU751" s="104"/>
      <c r="BV751" s="104"/>
      <c r="BW751" s="104"/>
      <c r="BX751" s="104"/>
      <c r="BY751" s="104"/>
      <c r="BZ751" s="104"/>
      <c r="CA751" s="104"/>
      <c r="CB751" s="104"/>
      <c r="CC751" s="104"/>
      <c r="CD751" s="104"/>
      <c r="CE751" s="103"/>
      <c r="CF751" s="103"/>
      <c r="CG751" s="103"/>
      <c r="CH751" s="103"/>
      <c r="CI751" s="103"/>
      <c r="CJ751" s="133"/>
      <c r="CK751" s="133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53"/>
      <c r="DF751" s="51"/>
      <c r="DJ751" s="52"/>
      <c r="DK751" s="52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P751" s="53"/>
      <c r="EQ751" s="1"/>
      <c r="ER751" s="103"/>
      <c r="ES751" s="103"/>
      <c r="ET751" s="1"/>
      <c r="EU751" s="103"/>
      <c r="EV751" s="1"/>
      <c r="EW751" s="1"/>
      <c r="EX751" s="1"/>
      <c r="EY751" s="105"/>
    </row>
    <row r="752" spans="9:155">
      <c r="I752" s="132"/>
      <c r="J752" s="133"/>
      <c r="K752" s="1"/>
      <c r="L752" s="1"/>
      <c r="Q752" s="1"/>
      <c r="R752" s="1"/>
      <c r="S752" s="103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53"/>
      <c r="AN752" s="103"/>
      <c r="AO752" s="103"/>
      <c r="AP752" s="103"/>
      <c r="AQ752" s="103"/>
      <c r="AR752" s="103"/>
      <c r="AS752" s="31"/>
      <c r="AT752" s="31"/>
      <c r="AU752" s="31"/>
      <c r="AV752" s="30"/>
      <c r="AW752" s="30"/>
      <c r="AX752" s="103"/>
      <c r="AY752" s="103"/>
      <c r="AZ752" s="103"/>
      <c r="BA752" s="103"/>
      <c r="BB752" s="103"/>
      <c r="BC752" s="103"/>
      <c r="BD752" s="104"/>
      <c r="BE752" s="102"/>
      <c r="BF752" s="102"/>
      <c r="BG752" s="102"/>
      <c r="BH752" s="104"/>
      <c r="BI752" s="152"/>
      <c r="BJ752" s="103"/>
      <c r="BK752" s="103"/>
      <c r="BL752" s="103"/>
      <c r="BM752" s="103"/>
      <c r="BN752" s="103"/>
      <c r="BO752" s="103"/>
      <c r="BP752" s="103"/>
      <c r="BQ752" s="103"/>
      <c r="BR752" s="103"/>
      <c r="BS752" s="103"/>
      <c r="BT752" s="103"/>
      <c r="BU752" s="104"/>
      <c r="BV752" s="104"/>
      <c r="BW752" s="104"/>
      <c r="BX752" s="104"/>
      <c r="BY752" s="104"/>
      <c r="BZ752" s="104"/>
      <c r="CA752" s="104"/>
      <c r="CB752" s="104"/>
      <c r="CC752" s="104"/>
      <c r="CD752" s="104"/>
      <c r="CE752" s="103"/>
      <c r="CF752" s="103"/>
      <c r="CG752" s="103"/>
      <c r="CH752" s="103"/>
      <c r="CI752" s="103"/>
      <c r="CJ752" s="133"/>
      <c r="CK752" s="133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53"/>
      <c r="DF752" s="51"/>
      <c r="DJ752" s="52"/>
      <c r="DK752" s="52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P752" s="53"/>
      <c r="EQ752" s="1"/>
      <c r="ER752" s="103"/>
      <c r="ES752" s="103"/>
      <c r="ET752" s="1"/>
      <c r="EU752" s="103"/>
      <c r="EV752" s="1"/>
      <c r="EW752" s="1"/>
      <c r="EX752" s="1"/>
      <c r="EY752" s="105"/>
    </row>
    <row r="753" spans="9:155">
      <c r="I753" s="132"/>
      <c r="J753" s="133"/>
      <c r="K753" s="1"/>
      <c r="L753" s="1"/>
      <c r="Q753" s="1"/>
      <c r="R753" s="1"/>
      <c r="S753" s="103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53"/>
      <c r="AN753" s="103"/>
      <c r="AO753" s="103"/>
      <c r="AP753" s="103"/>
      <c r="AQ753" s="103"/>
      <c r="AR753" s="103"/>
      <c r="AS753" s="31"/>
      <c r="AT753" s="31"/>
      <c r="AU753" s="31"/>
      <c r="AV753" s="30"/>
      <c r="AW753" s="30"/>
      <c r="AX753" s="103"/>
      <c r="AY753" s="103"/>
      <c r="AZ753" s="103"/>
      <c r="BA753" s="103"/>
      <c r="BB753" s="103"/>
      <c r="BC753" s="103"/>
      <c r="BD753" s="104"/>
      <c r="BE753" s="102"/>
      <c r="BF753" s="102"/>
      <c r="BG753" s="102"/>
      <c r="BH753" s="104"/>
      <c r="BI753" s="152"/>
      <c r="BJ753" s="103"/>
      <c r="BK753" s="103"/>
      <c r="BL753" s="103"/>
      <c r="BM753" s="103"/>
      <c r="BN753" s="103"/>
      <c r="BO753" s="103"/>
      <c r="BP753" s="103"/>
      <c r="BQ753" s="103"/>
      <c r="BR753" s="103"/>
      <c r="BS753" s="103"/>
      <c r="BT753" s="103"/>
      <c r="BU753" s="104"/>
      <c r="BV753" s="104"/>
      <c r="BW753" s="104"/>
      <c r="BX753" s="104"/>
      <c r="BY753" s="104"/>
      <c r="BZ753" s="104"/>
      <c r="CA753" s="104"/>
      <c r="CB753" s="104"/>
      <c r="CC753" s="104"/>
      <c r="CD753" s="104"/>
      <c r="CE753" s="103"/>
      <c r="CF753" s="103"/>
      <c r="CG753" s="103"/>
      <c r="CH753" s="103"/>
      <c r="CI753" s="103"/>
      <c r="CJ753" s="133"/>
      <c r="CK753" s="133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53"/>
      <c r="DF753" s="51"/>
      <c r="DJ753" s="52"/>
      <c r="DK753" s="52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P753" s="53"/>
      <c r="EQ753" s="1"/>
      <c r="ER753" s="103"/>
      <c r="ES753" s="103"/>
      <c r="ET753" s="1"/>
      <c r="EU753" s="103"/>
      <c r="EV753" s="1"/>
      <c r="EW753" s="1"/>
      <c r="EX753" s="1"/>
      <c r="EY753" s="105"/>
    </row>
    <row r="754" spans="9:155">
      <c r="I754" s="132"/>
      <c r="J754" s="133"/>
      <c r="K754" s="1"/>
      <c r="L754" s="1"/>
      <c r="Q754" s="1"/>
      <c r="R754" s="1"/>
      <c r="S754" s="103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53"/>
      <c r="AN754" s="103"/>
      <c r="AO754" s="103"/>
      <c r="AP754" s="103"/>
      <c r="AQ754" s="103"/>
      <c r="AR754" s="103"/>
      <c r="AS754" s="31"/>
      <c r="AT754" s="31"/>
      <c r="AU754" s="31"/>
      <c r="AV754" s="30"/>
      <c r="AW754" s="30"/>
      <c r="AX754" s="103"/>
      <c r="AY754" s="103"/>
      <c r="AZ754" s="103"/>
      <c r="BA754" s="103"/>
      <c r="BB754" s="103"/>
      <c r="BC754" s="103"/>
      <c r="BD754" s="104"/>
      <c r="BE754" s="102"/>
      <c r="BF754" s="102"/>
      <c r="BG754" s="102"/>
      <c r="BH754" s="104"/>
      <c r="BI754" s="152"/>
      <c r="BJ754" s="103"/>
      <c r="BK754" s="103"/>
      <c r="BL754" s="103"/>
      <c r="BM754" s="103"/>
      <c r="BN754" s="103"/>
      <c r="BO754" s="103"/>
      <c r="BP754" s="103"/>
      <c r="BQ754" s="103"/>
      <c r="BR754" s="103"/>
      <c r="BS754" s="103"/>
      <c r="BT754" s="103"/>
      <c r="BU754" s="104"/>
      <c r="BV754" s="104"/>
      <c r="BW754" s="104"/>
      <c r="BX754" s="104"/>
      <c r="BY754" s="104"/>
      <c r="BZ754" s="104"/>
      <c r="CA754" s="104"/>
      <c r="CB754" s="104"/>
      <c r="CC754" s="104"/>
      <c r="CD754" s="104"/>
      <c r="CE754" s="103"/>
      <c r="CF754" s="103"/>
      <c r="CG754" s="103"/>
      <c r="CH754" s="103"/>
      <c r="CI754" s="103"/>
      <c r="CJ754" s="133"/>
      <c r="CK754" s="133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53"/>
      <c r="DF754" s="51"/>
      <c r="DJ754" s="52"/>
      <c r="DK754" s="52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P754" s="53"/>
      <c r="EQ754" s="1"/>
      <c r="ER754" s="103"/>
      <c r="ES754" s="103"/>
      <c r="ET754" s="1"/>
      <c r="EU754" s="103"/>
      <c r="EV754" s="1"/>
      <c r="EW754" s="1"/>
      <c r="EX754" s="1"/>
      <c r="EY754" s="105"/>
    </row>
    <row r="755" spans="9:155">
      <c r="I755" s="132"/>
      <c r="J755" s="133"/>
      <c r="K755" s="1"/>
      <c r="L755" s="1"/>
      <c r="Q755" s="1"/>
      <c r="R755" s="1"/>
      <c r="S755" s="103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53"/>
      <c r="AN755" s="103"/>
      <c r="AO755" s="103"/>
      <c r="AP755" s="103"/>
      <c r="AQ755" s="103"/>
      <c r="AR755" s="103"/>
      <c r="AS755" s="31"/>
      <c r="AT755" s="31"/>
      <c r="AU755" s="31"/>
      <c r="AV755" s="30"/>
      <c r="AW755" s="30"/>
      <c r="AX755" s="103"/>
      <c r="AY755" s="103"/>
      <c r="AZ755" s="103"/>
      <c r="BA755" s="103"/>
      <c r="BB755" s="103"/>
      <c r="BC755" s="103"/>
      <c r="BD755" s="104"/>
      <c r="BE755" s="102"/>
      <c r="BF755" s="102"/>
      <c r="BG755" s="102"/>
      <c r="BH755" s="104"/>
      <c r="BI755" s="152"/>
      <c r="BJ755" s="103"/>
      <c r="BK755" s="103"/>
      <c r="BL755" s="103"/>
      <c r="BM755" s="103"/>
      <c r="BN755" s="103"/>
      <c r="BO755" s="103"/>
      <c r="BP755" s="103"/>
      <c r="BQ755" s="103"/>
      <c r="BR755" s="103"/>
      <c r="BS755" s="103"/>
      <c r="BT755" s="103"/>
      <c r="BU755" s="104"/>
      <c r="BV755" s="104"/>
      <c r="BW755" s="104"/>
      <c r="BX755" s="104"/>
      <c r="BY755" s="104"/>
      <c r="BZ755" s="104"/>
      <c r="CA755" s="104"/>
      <c r="CB755" s="104"/>
      <c r="CC755" s="104"/>
      <c r="CD755" s="104"/>
      <c r="CE755" s="103"/>
      <c r="CF755" s="103"/>
      <c r="CG755" s="103"/>
      <c r="CH755" s="103"/>
      <c r="CI755" s="103"/>
      <c r="CJ755" s="133"/>
      <c r="CK755" s="133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53"/>
      <c r="DF755" s="51"/>
      <c r="DJ755" s="52"/>
      <c r="DK755" s="52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P755" s="53"/>
      <c r="EQ755" s="1"/>
      <c r="ER755" s="103"/>
      <c r="ES755" s="103"/>
      <c r="ET755" s="1"/>
      <c r="EU755" s="103"/>
      <c r="EV755" s="1"/>
      <c r="EW755" s="1"/>
      <c r="EX755" s="1"/>
      <c r="EY755" s="105"/>
    </row>
    <row r="756" spans="9:155">
      <c r="I756" s="132"/>
      <c r="J756" s="133"/>
      <c r="K756" s="1"/>
      <c r="L756" s="1"/>
      <c r="Q756" s="1"/>
      <c r="R756" s="1"/>
      <c r="S756" s="103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53"/>
      <c r="AN756" s="103"/>
      <c r="AO756" s="103"/>
      <c r="AP756" s="103"/>
      <c r="AQ756" s="103"/>
      <c r="AR756" s="103"/>
      <c r="AS756" s="31"/>
      <c r="AT756" s="31"/>
      <c r="AU756" s="31"/>
      <c r="AV756" s="30"/>
      <c r="AW756" s="30"/>
      <c r="AX756" s="103"/>
      <c r="AY756" s="103"/>
      <c r="AZ756" s="103"/>
      <c r="BA756" s="103"/>
      <c r="BB756" s="103"/>
      <c r="BC756" s="103"/>
      <c r="BD756" s="104"/>
      <c r="BE756" s="102"/>
      <c r="BF756" s="102"/>
      <c r="BG756" s="102"/>
      <c r="BH756" s="104"/>
      <c r="BI756" s="152"/>
      <c r="BJ756" s="103"/>
      <c r="BK756" s="103"/>
      <c r="BL756" s="103"/>
      <c r="BM756" s="103"/>
      <c r="BN756" s="103"/>
      <c r="BO756" s="103"/>
      <c r="BP756" s="103"/>
      <c r="BQ756" s="103"/>
      <c r="BR756" s="103"/>
      <c r="BS756" s="103"/>
      <c r="BT756" s="103"/>
      <c r="BU756" s="104"/>
      <c r="BV756" s="104"/>
      <c r="BW756" s="104"/>
      <c r="BX756" s="104"/>
      <c r="BY756" s="104"/>
      <c r="BZ756" s="104"/>
      <c r="CA756" s="104"/>
      <c r="CB756" s="104"/>
      <c r="CC756" s="104"/>
      <c r="CD756" s="104"/>
      <c r="CE756" s="103"/>
      <c r="CF756" s="103"/>
      <c r="CG756" s="103"/>
      <c r="CH756" s="103"/>
      <c r="CI756" s="103"/>
      <c r="CJ756" s="133"/>
      <c r="CK756" s="133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53"/>
      <c r="DF756" s="51"/>
      <c r="DJ756" s="52"/>
      <c r="DK756" s="52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P756" s="53"/>
      <c r="EQ756" s="1"/>
      <c r="ER756" s="103"/>
      <c r="ES756" s="103"/>
      <c r="ET756" s="1"/>
      <c r="EU756" s="103"/>
      <c r="EV756" s="1"/>
      <c r="EW756" s="1"/>
      <c r="EX756" s="1"/>
      <c r="EY756" s="105"/>
    </row>
    <row r="757" spans="9:155">
      <c r="I757" s="132"/>
      <c r="J757" s="133"/>
      <c r="K757" s="1"/>
      <c r="L757" s="1"/>
      <c r="Q757" s="1"/>
      <c r="R757" s="1"/>
      <c r="S757" s="103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53"/>
      <c r="AN757" s="103"/>
      <c r="AO757" s="103"/>
      <c r="AP757" s="103"/>
      <c r="AQ757" s="103"/>
      <c r="AR757" s="103"/>
      <c r="AS757" s="31"/>
      <c r="AT757" s="31"/>
      <c r="AU757" s="31"/>
      <c r="AV757" s="30"/>
      <c r="AW757" s="30"/>
      <c r="AX757" s="103"/>
      <c r="AY757" s="103"/>
      <c r="AZ757" s="103"/>
      <c r="BA757" s="103"/>
      <c r="BB757" s="103"/>
      <c r="BC757" s="103"/>
      <c r="BD757" s="104"/>
      <c r="BE757" s="102"/>
      <c r="BF757" s="102"/>
      <c r="BG757" s="102"/>
      <c r="BH757" s="104"/>
      <c r="BI757" s="152"/>
      <c r="BJ757" s="103"/>
      <c r="BK757" s="103"/>
      <c r="BL757" s="103"/>
      <c r="BM757" s="103"/>
      <c r="BN757" s="103"/>
      <c r="BO757" s="103"/>
      <c r="BP757" s="103"/>
      <c r="BQ757" s="103"/>
      <c r="BR757" s="103"/>
      <c r="BS757" s="103"/>
      <c r="BT757" s="103"/>
      <c r="BU757" s="104"/>
      <c r="BV757" s="104"/>
      <c r="BW757" s="104"/>
      <c r="BX757" s="104"/>
      <c r="BY757" s="104"/>
      <c r="BZ757" s="104"/>
      <c r="CA757" s="104"/>
      <c r="CB757" s="104"/>
      <c r="CC757" s="104"/>
      <c r="CD757" s="104"/>
      <c r="CE757" s="103"/>
      <c r="CF757" s="103"/>
      <c r="CG757" s="103"/>
      <c r="CH757" s="103"/>
      <c r="CI757" s="103"/>
      <c r="CJ757" s="133"/>
      <c r="CK757" s="133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53"/>
      <c r="DF757" s="51"/>
      <c r="DJ757" s="52"/>
      <c r="DK757" s="52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P757" s="53"/>
      <c r="EQ757" s="1"/>
      <c r="ER757" s="103"/>
      <c r="ES757" s="103"/>
      <c r="ET757" s="1"/>
      <c r="EU757" s="103"/>
      <c r="EV757" s="1"/>
      <c r="EW757" s="1"/>
      <c r="EX757" s="1"/>
      <c r="EY757" s="105"/>
    </row>
    <row r="758" spans="9:155">
      <c r="I758" s="132"/>
      <c r="J758" s="133"/>
      <c r="K758" s="1"/>
      <c r="L758" s="1"/>
      <c r="Q758" s="1"/>
      <c r="R758" s="1"/>
      <c r="S758" s="103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53"/>
      <c r="AN758" s="103"/>
      <c r="AO758" s="103"/>
      <c r="AP758" s="103"/>
      <c r="AQ758" s="103"/>
      <c r="AR758" s="103"/>
      <c r="AS758" s="31"/>
      <c r="AT758" s="31"/>
      <c r="AU758" s="31"/>
      <c r="AV758" s="30"/>
      <c r="AW758" s="30"/>
      <c r="AX758" s="103"/>
      <c r="AY758" s="103"/>
      <c r="AZ758" s="103"/>
      <c r="BA758" s="103"/>
      <c r="BB758" s="103"/>
      <c r="BC758" s="103"/>
      <c r="BD758" s="104"/>
      <c r="BE758" s="102"/>
      <c r="BF758" s="102"/>
      <c r="BG758" s="102"/>
      <c r="BH758" s="104"/>
      <c r="BI758" s="152"/>
      <c r="BJ758" s="103"/>
      <c r="BK758" s="103"/>
      <c r="BL758" s="103"/>
      <c r="BM758" s="103"/>
      <c r="BN758" s="103"/>
      <c r="BO758" s="103"/>
      <c r="BP758" s="103"/>
      <c r="BQ758" s="103"/>
      <c r="BR758" s="103"/>
      <c r="BS758" s="103"/>
      <c r="BT758" s="103"/>
      <c r="BU758" s="104"/>
      <c r="BV758" s="104"/>
      <c r="BW758" s="104"/>
      <c r="BX758" s="104"/>
      <c r="BY758" s="104"/>
      <c r="BZ758" s="104"/>
      <c r="CA758" s="104"/>
      <c r="CB758" s="104"/>
      <c r="CC758" s="104"/>
      <c r="CD758" s="104"/>
      <c r="CE758" s="103"/>
      <c r="CF758" s="103"/>
      <c r="CG758" s="103"/>
      <c r="CH758" s="103"/>
      <c r="CI758" s="103"/>
      <c r="CJ758" s="133"/>
      <c r="CK758" s="133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53"/>
      <c r="DF758" s="51"/>
      <c r="DJ758" s="52"/>
      <c r="DK758" s="52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P758" s="53"/>
      <c r="EQ758" s="1"/>
      <c r="ER758" s="103"/>
      <c r="ES758" s="103"/>
      <c r="ET758" s="1"/>
      <c r="EU758" s="103"/>
      <c r="EV758" s="1"/>
      <c r="EW758" s="1"/>
      <c r="EX758" s="1"/>
      <c r="EY758" s="105"/>
    </row>
    <row r="759" spans="9:155">
      <c r="I759" s="132"/>
      <c r="J759" s="133"/>
      <c r="K759" s="1"/>
      <c r="L759" s="1"/>
      <c r="Q759" s="1"/>
      <c r="R759" s="1"/>
      <c r="S759" s="103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53"/>
      <c r="AN759" s="103"/>
      <c r="AO759" s="103"/>
      <c r="AP759" s="103"/>
      <c r="AQ759" s="103"/>
      <c r="AR759" s="103"/>
      <c r="AS759" s="31"/>
      <c r="AT759" s="31"/>
      <c r="AU759" s="31"/>
      <c r="AV759" s="30"/>
      <c r="AW759" s="30"/>
      <c r="AX759" s="103"/>
      <c r="AY759" s="103"/>
      <c r="AZ759" s="103"/>
      <c r="BA759" s="103"/>
      <c r="BB759" s="103"/>
      <c r="BC759" s="103"/>
      <c r="BD759" s="104"/>
      <c r="BE759" s="102"/>
      <c r="BF759" s="102"/>
      <c r="BG759" s="102"/>
      <c r="BH759" s="104"/>
      <c r="BI759" s="152"/>
      <c r="BJ759" s="103"/>
      <c r="BK759" s="103"/>
      <c r="BL759" s="103"/>
      <c r="BM759" s="103"/>
      <c r="BN759" s="103"/>
      <c r="BO759" s="103"/>
      <c r="BP759" s="103"/>
      <c r="BQ759" s="103"/>
      <c r="BR759" s="103"/>
      <c r="BS759" s="103"/>
      <c r="BT759" s="103"/>
      <c r="BU759" s="104"/>
      <c r="BV759" s="104"/>
      <c r="BW759" s="104"/>
      <c r="BX759" s="104"/>
      <c r="BY759" s="104"/>
      <c r="BZ759" s="104"/>
      <c r="CA759" s="104"/>
      <c r="CB759" s="104"/>
      <c r="CC759" s="104"/>
      <c r="CD759" s="104"/>
      <c r="CE759" s="103"/>
      <c r="CF759" s="103"/>
      <c r="CG759" s="103"/>
      <c r="CH759" s="103"/>
      <c r="CI759" s="103"/>
      <c r="CJ759" s="133"/>
      <c r="CK759" s="133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53"/>
      <c r="DF759" s="51"/>
      <c r="DJ759" s="52"/>
      <c r="DK759" s="52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P759" s="53"/>
      <c r="EQ759" s="1"/>
      <c r="ER759" s="103"/>
      <c r="ES759" s="103"/>
      <c r="ET759" s="1"/>
      <c r="EU759" s="103"/>
      <c r="EV759" s="1"/>
      <c r="EW759" s="1"/>
      <c r="EX759" s="1"/>
      <c r="EY759" s="105"/>
    </row>
    <row r="760" spans="9:155">
      <c r="I760" s="132"/>
      <c r="J760" s="133"/>
      <c r="K760" s="1"/>
      <c r="L760" s="1"/>
      <c r="Q760" s="1"/>
      <c r="R760" s="1"/>
      <c r="S760" s="103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53"/>
      <c r="AN760" s="103"/>
      <c r="AO760" s="103"/>
      <c r="AP760" s="103"/>
      <c r="AQ760" s="103"/>
      <c r="AR760" s="103"/>
      <c r="AS760" s="31"/>
      <c r="AT760" s="31"/>
      <c r="AU760" s="31"/>
      <c r="AV760" s="30"/>
      <c r="AW760" s="30"/>
      <c r="AX760" s="103"/>
      <c r="AY760" s="103"/>
      <c r="AZ760" s="103"/>
      <c r="BA760" s="103"/>
      <c r="BB760" s="103"/>
      <c r="BC760" s="103"/>
      <c r="BD760" s="104"/>
      <c r="BE760" s="102"/>
      <c r="BF760" s="102"/>
      <c r="BG760" s="102"/>
      <c r="BH760" s="104"/>
      <c r="BI760" s="152"/>
      <c r="BJ760" s="103"/>
      <c r="BK760" s="103"/>
      <c r="BL760" s="103"/>
      <c r="BM760" s="103"/>
      <c r="BN760" s="103"/>
      <c r="BO760" s="103"/>
      <c r="BP760" s="103"/>
      <c r="BQ760" s="103"/>
      <c r="BR760" s="103"/>
      <c r="BS760" s="103"/>
      <c r="BT760" s="103"/>
      <c r="BU760" s="104"/>
      <c r="BV760" s="104"/>
      <c r="BW760" s="104"/>
      <c r="BX760" s="104"/>
      <c r="BY760" s="104"/>
      <c r="BZ760" s="104"/>
      <c r="CA760" s="104"/>
      <c r="CB760" s="104"/>
      <c r="CC760" s="104"/>
      <c r="CD760" s="104"/>
      <c r="CE760" s="103"/>
      <c r="CF760" s="103"/>
      <c r="CG760" s="103"/>
      <c r="CH760" s="103"/>
      <c r="CI760" s="103"/>
      <c r="CJ760" s="133"/>
      <c r="CK760" s="133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53"/>
      <c r="DF760" s="51"/>
      <c r="DJ760" s="52"/>
      <c r="DK760" s="52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P760" s="53"/>
      <c r="EQ760" s="1"/>
      <c r="ER760" s="103"/>
      <c r="ES760" s="103"/>
      <c r="ET760" s="1"/>
      <c r="EU760" s="103"/>
      <c r="EV760" s="1"/>
      <c r="EW760" s="1"/>
      <c r="EX760" s="1"/>
      <c r="EY760" s="105"/>
    </row>
    <row r="761" spans="9:155">
      <c r="I761" s="132"/>
      <c r="J761" s="133"/>
      <c r="K761" s="1"/>
      <c r="L761" s="1"/>
      <c r="Q761" s="1"/>
      <c r="R761" s="1"/>
      <c r="S761" s="103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53"/>
      <c r="AN761" s="103"/>
      <c r="AO761" s="103"/>
      <c r="AP761" s="103"/>
      <c r="AQ761" s="103"/>
      <c r="AR761" s="103"/>
      <c r="AS761" s="31"/>
      <c r="AT761" s="31"/>
      <c r="AU761" s="31"/>
      <c r="AV761" s="30"/>
      <c r="AW761" s="30"/>
      <c r="AX761" s="103"/>
      <c r="AY761" s="103"/>
      <c r="AZ761" s="103"/>
      <c r="BA761" s="103"/>
      <c r="BB761" s="103"/>
      <c r="BC761" s="103"/>
      <c r="BD761" s="104"/>
      <c r="BE761" s="102"/>
      <c r="BF761" s="102"/>
      <c r="BG761" s="102"/>
      <c r="BH761" s="104"/>
      <c r="BI761" s="152"/>
      <c r="BJ761" s="103"/>
      <c r="BK761" s="103"/>
      <c r="BL761" s="103"/>
      <c r="BM761" s="103"/>
      <c r="BN761" s="103"/>
      <c r="BO761" s="103"/>
      <c r="BP761" s="103"/>
      <c r="BQ761" s="103"/>
      <c r="BR761" s="103"/>
      <c r="BS761" s="103"/>
      <c r="BT761" s="103"/>
      <c r="BU761" s="104"/>
      <c r="BV761" s="104"/>
      <c r="BW761" s="104"/>
      <c r="BX761" s="104"/>
      <c r="BY761" s="104"/>
      <c r="BZ761" s="104"/>
      <c r="CA761" s="104"/>
      <c r="CB761" s="104"/>
      <c r="CC761" s="104"/>
      <c r="CD761" s="104"/>
      <c r="CE761" s="103"/>
      <c r="CF761" s="103"/>
      <c r="CG761" s="103"/>
      <c r="CH761" s="103"/>
      <c r="CI761" s="103"/>
      <c r="CJ761" s="133"/>
      <c r="CK761" s="133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53"/>
      <c r="DF761" s="51"/>
      <c r="DJ761" s="52"/>
      <c r="DK761" s="52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P761" s="53"/>
      <c r="EQ761" s="1"/>
      <c r="ER761" s="103"/>
      <c r="ES761" s="103"/>
      <c r="ET761" s="1"/>
      <c r="EU761" s="103"/>
      <c r="EV761" s="1"/>
      <c r="EW761" s="1"/>
      <c r="EX761" s="1"/>
      <c r="EY761" s="105"/>
    </row>
    <row r="762" spans="9:155">
      <c r="I762" s="132"/>
      <c r="J762" s="133"/>
      <c r="K762" s="1"/>
      <c r="L762" s="1"/>
      <c r="Q762" s="1"/>
      <c r="R762" s="1"/>
      <c r="S762" s="103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53"/>
      <c r="AN762" s="103"/>
      <c r="AO762" s="103"/>
      <c r="AP762" s="103"/>
      <c r="AQ762" s="103"/>
      <c r="AR762" s="103"/>
      <c r="AS762" s="31"/>
      <c r="AT762" s="31"/>
      <c r="AU762" s="31"/>
      <c r="AV762" s="30"/>
      <c r="AW762" s="30"/>
      <c r="AX762" s="103"/>
      <c r="AY762" s="103"/>
      <c r="AZ762" s="103"/>
      <c r="BA762" s="103"/>
      <c r="BB762" s="103"/>
      <c r="BC762" s="103"/>
      <c r="BD762" s="104"/>
      <c r="BE762" s="102"/>
      <c r="BF762" s="102"/>
      <c r="BG762" s="102"/>
      <c r="BH762" s="104"/>
      <c r="BI762" s="152"/>
      <c r="BJ762" s="103"/>
      <c r="BK762" s="103"/>
      <c r="BL762" s="103"/>
      <c r="BM762" s="103"/>
      <c r="BN762" s="103"/>
      <c r="BO762" s="103"/>
      <c r="BP762" s="103"/>
      <c r="BQ762" s="103"/>
      <c r="BR762" s="103"/>
      <c r="BS762" s="103"/>
      <c r="BT762" s="103"/>
      <c r="BU762" s="104"/>
      <c r="BV762" s="104"/>
      <c r="BW762" s="104"/>
      <c r="BX762" s="104"/>
      <c r="BY762" s="104"/>
      <c r="BZ762" s="104"/>
      <c r="CA762" s="104"/>
      <c r="CB762" s="104"/>
      <c r="CC762" s="104"/>
      <c r="CD762" s="104"/>
      <c r="CE762" s="103"/>
      <c r="CF762" s="103"/>
      <c r="CG762" s="103"/>
      <c r="CH762" s="103"/>
      <c r="CI762" s="103"/>
      <c r="CJ762" s="133"/>
      <c r="CK762" s="133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53"/>
      <c r="DF762" s="51"/>
      <c r="DJ762" s="52"/>
      <c r="DK762" s="52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P762" s="53"/>
      <c r="EQ762" s="1"/>
      <c r="ER762" s="103"/>
      <c r="ES762" s="103"/>
      <c r="ET762" s="1"/>
      <c r="EU762" s="103"/>
      <c r="EV762" s="1"/>
      <c r="EW762" s="1"/>
      <c r="EX762" s="1"/>
      <c r="EY762" s="105"/>
    </row>
    <row r="763" spans="9:155">
      <c r="I763" s="132"/>
      <c r="J763" s="133"/>
      <c r="K763" s="1"/>
      <c r="L763" s="1"/>
      <c r="Q763" s="1"/>
      <c r="R763" s="1"/>
      <c r="S763" s="103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53"/>
      <c r="AN763" s="103"/>
      <c r="AO763" s="103"/>
      <c r="AP763" s="103"/>
      <c r="AQ763" s="103"/>
      <c r="AR763" s="103"/>
      <c r="AS763" s="31"/>
      <c r="AT763" s="31"/>
      <c r="AU763" s="31"/>
      <c r="AV763" s="30"/>
      <c r="AW763" s="30"/>
      <c r="AX763" s="103"/>
      <c r="AY763" s="103"/>
      <c r="AZ763" s="103"/>
      <c r="BA763" s="103"/>
      <c r="BB763" s="103"/>
      <c r="BC763" s="103"/>
      <c r="BD763" s="104"/>
      <c r="BE763" s="102"/>
      <c r="BF763" s="102"/>
      <c r="BG763" s="102"/>
      <c r="BH763" s="104"/>
      <c r="BI763" s="152"/>
      <c r="BJ763" s="103"/>
      <c r="BK763" s="103"/>
      <c r="BL763" s="103"/>
      <c r="BM763" s="103"/>
      <c r="BN763" s="103"/>
      <c r="BO763" s="103"/>
      <c r="BP763" s="103"/>
      <c r="BQ763" s="103"/>
      <c r="BR763" s="103"/>
      <c r="BS763" s="103"/>
      <c r="BT763" s="103"/>
      <c r="BU763" s="104"/>
      <c r="BV763" s="104"/>
      <c r="BW763" s="104"/>
      <c r="BX763" s="104"/>
      <c r="BY763" s="104"/>
      <c r="BZ763" s="104"/>
      <c r="CA763" s="104"/>
      <c r="CB763" s="104"/>
      <c r="CC763" s="104"/>
      <c r="CD763" s="104"/>
      <c r="CE763" s="103"/>
      <c r="CF763" s="103"/>
      <c r="CG763" s="103"/>
      <c r="CH763" s="103"/>
      <c r="CI763" s="103"/>
      <c r="CJ763" s="133"/>
      <c r="CK763" s="133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53"/>
      <c r="DF763" s="51"/>
      <c r="DJ763" s="52"/>
      <c r="DK763" s="52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P763" s="53"/>
      <c r="EQ763" s="1"/>
      <c r="ER763" s="103"/>
      <c r="ES763" s="103"/>
      <c r="ET763" s="1"/>
      <c r="EU763" s="103"/>
      <c r="EV763" s="1"/>
      <c r="EW763" s="1"/>
      <c r="EX763" s="1"/>
      <c r="EY763" s="105"/>
    </row>
    <row r="764" spans="9:155">
      <c r="I764" s="132"/>
      <c r="J764" s="133"/>
      <c r="K764" s="1"/>
      <c r="L764" s="1"/>
      <c r="Q764" s="1"/>
      <c r="R764" s="1"/>
      <c r="S764" s="103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53"/>
      <c r="AN764" s="103"/>
      <c r="AO764" s="103"/>
      <c r="AP764" s="103"/>
      <c r="AQ764" s="103"/>
      <c r="AR764" s="103"/>
      <c r="AS764" s="31"/>
      <c r="AT764" s="31"/>
      <c r="AU764" s="31"/>
      <c r="AV764" s="30"/>
      <c r="AW764" s="30"/>
      <c r="AX764" s="103"/>
      <c r="AY764" s="103"/>
      <c r="AZ764" s="103"/>
      <c r="BA764" s="103"/>
      <c r="BB764" s="103"/>
      <c r="BC764" s="103"/>
      <c r="BD764" s="104"/>
      <c r="BE764" s="102"/>
      <c r="BF764" s="102"/>
      <c r="BG764" s="102"/>
      <c r="BH764" s="104"/>
      <c r="BI764" s="152"/>
      <c r="BJ764" s="103"/>
      <c r="BK764" s="103"/>
      <c r="BL764" s="103"/>
      <c r="BM764" s="103"/>
      <c r="BN764" s="103"/>
      <c r="BO764" s="103"/>
      <c r="BP764" s="103"/>
      <c r="BQ764" s="103"/>
      <c r="BR764" s="103"/>
      <c r="BS764" s="103"/>
      <c r="BT764" s="103"/>
      <c r="BU764" s="104"/>
      <c r="BV764" s="104"/>
      <c r="BW764" s="104"/>
      <c r="BX764" s="104"/>
      <c r="BY764" s="104"/>
      <c r="BZ764" s="104"/>
      <c r="CA764" s="104"/>
      <c r="CB764" s="104"/>
      <c r="CC764" s="104"/>
      <c r="CD764" s="104"/>
      <c r="CE764" s="103"/>
      <c r="CF764" s="103"/>
      <c r="CG764" s="103"/>
      <c r="CH764" s="103"/>
      <c r="CI764" s="103"/>
      <c r="CJ764" s="133"/>
      <c r="CK764" s="133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53"/>
      <c r="DF764" s="51"/>
      <c r="DJ764" s="52"/>
      <c r="DK764" s="52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P764" s="53"/>
      <c r="EQ764" s="1"/>
      <c r="ER764" s="103"/>
      <c r="ES764" s="103"/>
      <c r="ET764" s="1"/>
      <c r="EU764" s="103"/>
      <c r="EV764" s="1"/>
      <c r="EW764" s="1"/>
      <c r="EX764" s="1"/>
      <c r="EY764" s="105"/>
    </row>
    <row r="765" spans="9:155">
      <c r="I765" s="132"/>
      <c r="J765" s="133"/>
      <c r="K765" s="1"/>
      <c r="L765" s="1"/>
      <c r="Q765" s="1"/>
      <c r="R765" s="1"/>
      <c r="S765" s="103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53"/>
      <c r="AN765" s="103"/>
      <c r="AO765" s="103"/>
      <c r="AP765" s="103"/>
      <c r="AQ765" s="103"/>
      <c r="AR765" s="103"/>
      <c r="AS765" s="31"/>
      <c r="AT765" s="31"/>
      <c r="AU765" s="31"/>
      <c r="AV765" s="30"/>
      <c r="AW765" s="30"/>
      <c r="AX765" s="103"/>
      <c r="AY765" s="103"/>
      <c r="AZ765" s="103"/>
      <c r="BA765" s="103"/>
      <c r="BB765" s="103"/>
      <c r="BC765" s="103"/>
      <c r="BD765" s="104"/>
      <c r="BE765" s="102"/>
      <c r="BF765" s="102"/>
      <c r="BG765" s="102"/>
      <c r="BH765" s="104"/>
      <c r="BI765" s="152"/>
      <c r="BJ765" s="103"/>
      <c r="BK765" s="103"/>
      <c r="BL765" s="103"/>
      <c r="BM765" s="103"/>
      <c r="BN765" s="103"/>
      <c r="BO765" s="103"/>
      <c r="BP765" s="103"/>
      <c r="BQ765" s="103"/>
      <c r="BR765" s="103"/>
      <c r="BS765" s="103"/>
      <c r="BT765" s="103"/>
      <c r="BU765" s="104"/>
      <c r="BV765" s="104"/>
      <c r="BW765" s="104"/>
      <c r="BX765" s="104"/>
      <c r="BY765" s="104"/>
      <c r="BZ765" s="104"/>
      <c r="CA765" s="104"/>
      <c r="CB765" s="104"/>
      <c r="CC765" s="104"/>
      <c r="CD765" s="104"/>
      <c r="CE765" s="103"/>
      <c r="CF765" s="103"/>
      <c r="CG765" s="103"/>
      <c r="CH765" s="103"/>
      <c r="CI765" s="103"/>
      <c r="CJ765" s="133"/>
      <c r="CK765" s="133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53"/>
      <c r="DF765" s="51"/>
      <c r="DJ765" s="52"/>
      <c r="DK765" s="52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P765" s="53"/>
      <c r="EQ765" s="1"/>
      <c r="ER765" s="103"/>
      <c r="ES765" s="103"/>
      <c r="ET765" s="1"/>
      <c r="EU765" s="103"/>
      <c r="EV765" s="1"/>
      <c r="EW765" s="1"/>
      <c r="EX765" s="1"/>
      <c r="EY765" s="105"/>
    </row>
    <row r="766" spans="9:155">
      <c r="I766" s="132"/>
      <c r="J766" s="133"/>
      <c r="K766" s="1"/>
      <c r="L766" s="1"/>
      <c r="Q766" s="1"/>
      <c r="R766" s="1"/>
      <c r="S766" s="103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53"/>
      <c r="AN766" s="103"/>
      <c r="AO766" s="103"/>
      <c r="AP766" s="103"/>
      <c r="AQ766" s="103"/>
      <c r="AR766" s="103"/>
      <c r="AS766" s="31"/>
      <c r="AT766" s="31"/>
      <c r="AU766" s="31"/>
      <c r="AV766" s="30"/>
      <c r="AW766" s="30"/>
      <c r="AX766" s="103"/>
      <c r="AY766" s="103"/>
      <c r="AZ766" s="103"/>
      <c r="BA766" s="103"/>
      <c r="BB766" s="103"/>
      <c r="BC766" s="103"/>
      <c r="BD766" s="104"/>
      <c r="BE766" s="102"/>
      <c r="BF766" s="102"/>
      <c r="BG766" s="102"/>
      <c r="BH766" s="104"/>
      <c r="BI766" s="152"/>
      <c r="BJ766" s="103"/>
      <c r="BK766" s="103"/>
      <c r="BL766" s="103"/>
      <c r="BM766" s="103"/>
      <c r="BN766" s="103"/>
      <c r="BO766" s="103"/>
      <c r="BP766" s="103"/>
      <c r="BQ766" s="103"/>
      <c r="BR766" s="103"/>
      <c r="BS766" s="103"/>
      <c r="BT766" s="103"/>
      <c r="BU766" s="104"/>
      <c r="BV766" s="104"/>
      <c r="BW766" s="104"/>
      <c r="BX766" s="104"/>
      <c r="BY766" s="104"/>
      <c r="BZ766" s="104"/>
      <c r="CA766" s="104"/>
      <c r="CB766" s="104"/>
      <c r="CC766" s="104"/>
      <c r="CD766" s="104"/>
      <c r="CE766" s="103"/>
      <c r="CF766" s="103"/>
      <c r="CG766" s="103"/>
      <c r="CH766" s="103"/>
      <c r="CI766" s="103"/>
      <c r="CJ766" s="133"/>
      <c r="CK766" s="133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53"/>
      <c r="DF766" s="51"/>
      <c r="DJ766" s="52"/>
      <c r="DK766" s="52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P766" s="53"/>
      <c r="EQ766" s="1"/>
      <c r="ER766" s="103"/>
      <c r="ES766" s="103"/>
      <c r="ET766" s="1"/>
      <c r="EU766" s="103"/>
      <c r="EV766" s="1"/>
      <c r="EW766" s="1"/>
      <c r="EX766" s="1"/>
      <c r="EY766" s="105"/>
    </row>
    <row r="767" spans="9:155">
      <c r="I767" s="132"/>
      <c r="J767" s="133"/>
      <c r="K767" s="1"/>
      <c r="L767" s="1"/>
      <c r="Q767" s="1"/>
      <c r="R767" s="1"/>
      <c r="S767" s="103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53"/>
      <c r="AN767" s="103"/>
      <c r="AO767" s="103"/>
      <c r="AP767" s="103"/>
      <c r="AQ767" s="103"/>
      <c r="AR767" s="103"/>
      <c r="AS767" s="31"/>
      <c r="AT767" s="31"/>
      <c r="AU767" s="31"/>
      <c r="AV767" s="30"/>
      <c r="AW767" s="30"/>
      <c r="AX767" s="103"/>
      <c r="AY767" s="103"/>
      <c r="AZ767" s="103"/>
      <c r="BA767" s="103"/>
      <c r="BB767" s="103"/>
      <c r="BC767" s="103"/>
      <c r="BD767" s="104"/>
      <c r="BE767" s="102"/>
      <c r="BF767" s="102"/>
      <c r="BG767" s="102"/>
      <c r="BH767" s="104"/>
      <c r="BI767" s="152"/>
      <c r="BJ767" s="103"/>
      <c r="BK767" s="103"/>
      <c r="BL767" s="103"/>
      <c r="BM767" s="103"/>
      <c r="BN767" s="103"/>
      <c r="BO767" s="103"/>
      <c r="BP767" s="103"/>
      <c r="BQ767" s="103"/>
      <c r="BR767" s="103"/>
      <c r="BS767" s="103"/>
      <c r="BT767" s="103"/>
      <c r="BU767" s="104"/>
      <c r="BV767" s="104"/>
      <c r="BW767" s="104"/>
      <c r="BX767" s="104"/>
      <c r="BY767" s="104"/>
      <c r="BZ767" s="104"/>
      <c r="CA767" s="104"/>
      <c r="CB767" s="104"/>
      <c r="CC767" s="104"/>
      <c r="CD767" s="104"/>
      <c r="CE767" s="103"/>
      <c r="CF767" s="103"/>
      <c r="CG767" s="103"/>
      <c r="CH767" s="103"/>
      <c r="CI767" s="103"/>
      <c r="CJ767" s="133"/>
      <c r="CK767" s="133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53"/>
      <c r="DF767" s="51"/>
      <c r="DJ767" s="52"/>
      <c r="DK767" s="52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P767" s="53"/>
      <c r="EQ767" s="1"/>
      <c r="ER767" s="103"/>
      <c r="ES767" s="103"/>
      <c r="ET767" s="1"/>
      <c r="EU767" s="103"/>
      <c r="EV767" s="1"/>
      <c r="EW767" s="1"/>
      <c r="EX767" s="1"/>
      <c r="EY767" s="105"/>
    </row>
    <row r="768" spans="9:155">
      <c r="I768" s="132"/>
      <c r="J768" s="133"/>
      <c r="K768" s="1"/>
      <c r="L768" s="1"/>
      <c r="Q768" s="1"/>
      <c r="R768" s="1"/>
      <c r="S768" s="103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53"/>
      <c r="AN768" s="103"/>
      <c r="AO768" s="103"/>
      <c r="AP768" s="103"/>
      <c r="AQ768" s="103"/>
      <c r="AR768" s="103"/>
      <c r="AS768" s="31"/>
      <c r="AT768" s="31"/>
      <c r="AU768" s="31"/>
      <c r="AV768" s="30"/>
      <c r="AW768" s="30"/>
      <c r="AX768" s="103"/>
      <c r="AY768" s="103"/>
      <c r="AZ768" s="103"/>
      <c r="BA768" s="103"/>
      <c r="BB768" s="103"/>
      <c r="BC768" s="103"/>
      <c r="BD768" s="104"/>
      <c r="BE768" s="102"/>
      <c r="BF768" s="102"/>
      <c r="BG768" s="102"/>
      <c r="BH768" s="104"/>
      <c r="BI768" s="152"/>
      <c r="BJ768" s="103"/>
      <c r="BK768" s="103"/>
      <c r="BL768" s="103"/>
      <c r="BM768" s="103"/>
      <c r="BN768" s="103"/>
      <c r="BO768" s="103"/>
      <c r="BP768" s="103"/>
      <c r="BQ768" s="103"/>
      <c r="BR768" s="103"/>
      <c r="BS768" s="103"/>
      <c r="BT768" s="103"/>
      <c r="BU768" s="104"/>
      <c r="BV768" s="104"/>
      <c r="BW768" s="104"/>
      <c r="BX768" s="104"/>
      <c r="BY768" s="104"/>
      <c r="BZ768" s="104"/>
      <c r="CA768" s="104"/>
      <c r="CB768" s="104"/>
      <c r="CC768" s="104"/>
      <c r="CD768" s="104"/>
      <c r="CE768" s="103"/>
      <c r="CF768" s="103"/>
      <c r="CG768" s="103"/>
      <c r="CH768" s="103"/>
      <c r="CI768" s="103"/>
      <c r="CJ768" s="133"/>
      <c r="CK768" s="133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53"/>
      <c r="DF768" s="51"/>
      <c r="DJ768" s="52"/>
      <c r="DK768" s="52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P768" s="53"/>
      <c r="EQ768" s="1"/>
      <c r="ER768" s="103"/>
      <c r="ES768" s="103"/>
      <c r="ET768" s="1"/>
      <c r="EU768" s="103"/>
      <c r="EV768" s="1"/>
      <c r="EW768" s="1"/>
      <c r="EX768" s="1"/>
      <c r="EY768" s="105"/>
    </row>
    <row r="769" spans="9:155">
      <c r="I769" s="132"/>
      <c r="J769" s="133"/>
      <c r="K769" s="1"/>
      <c r="L769" s="1"/>
      <c r="Q769" s="1"/>
      <c r="R769" s="1"/>
      <c r="S769" s="103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53"/>
      <c r="AN769" s="103"/>
      <c r="AO769" s="103"/>
      <c r="AP769" s="103"/>
      <c r="AQ769" s="103"/>
      <c r="AR769" s="103"/>
      <c r="AS769" s="31"/>
      <c r="AT769" s="31"/>
      <c r="AU769" s="31"/>
      <c r="AV769" s="30"/>
      <c r="AW769" s="30"/>
      <c r="AX769" s="103"/>
      <c r="AY769" s="103"/>
      <c r="AZ769" s="103"/>
      <c r="BA769" s="103"/>
      <c r="BB769" s="103"/>
      <c r="BC769" s="103"/>
      <c r="BD769" s="104"/>
      <c r="BE769" s="102"/>
      <c r="BF769" s="102"/>
      <c r="BG769" s="102"/>
      <c r="BH769" s="104"/>
      <c r="BI769" s="152"/>
      <c r="BJ769" s="103"/>
      <c r="BK769" s="103"/>
      <c r="BL769" s="103"/>
      <c r="BM769" s="103"/>
      <c r="BN769" s="103"/>
      <c r="BO769" s="103"/>
      <c r="BP769" s="103"/>
      <c r="BQ769" s="103"/>
      <c r="BR769" s="103"/>
      <c r="BS769" s="103"/>
      <c r="BT769" s="103"/>
      <c r="BU769" s="104"/>
      <c r="BV769" s="104"/>
      <c r="BW769" s="104"/>
      <c r="BX769" s="104"/>
      <c r="BY769" s="104"/>
      <c r="BZ769" s="104"/>
      <c r="CA769" s="104"/>
      <c r="CB769" s="104"/>
      <c r="CC769" s="104"/>
      <c r="CD769" s="104"/>
      <c r="CE769" s="103"/>
      <c r="CF769" s="103"/>
      <c r="CG769" s="103"/>
      <c r="CH769" s="103"/>
      <c r="CI769" s="103"/>
      <c r="CJ769" s="133"/>
      <c r="CK769" s="133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53"/>
      <c r="DF769" s="51"/>
      <c r="DJ769" s="52"/>
      <c r="DK769" s="52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P769" s="53"/>
      <c r="EQ769" s="1"/>
      <c r="ER769" s="103"/>
      <c r="ES769" s="103"/>
      <c r="ET769" s="1"/>
      <c r="EU769" s="103"/>
      <c r="EV769" s="1"/>
      <c r="EW769" s="1"/>
      <c r="EX769" s="1"/>
      <c r="EY769" s="105"/>
    </row>
    <row r="770" spans="9:155">
      <c r="I770" s="132"/>
      <c r="J770" s="133"/>
      <c r="K770" s="1"/>
      <c r="L770" s="1"/>
      <c r="Q770" s="1"/>
      <c r="R770" s="1"/>
      <c r="S770" s="103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53"/>
      <c r="AN770" s="103"/>
      <c r="AO770" s="103"/>
      <c r="AP770" s="103"/>
      <c r="AQ770" s="103"/>
      <c r="AR770" s="103"/>
      <c r="AS770" s="31"/>
      <c r="AT770" s="31"/>
      <c r="AU770" s="31"/>
      <c r="AV770" s="30"/>
      <c r="AW770" s="30"/>
      <c r="AX770" s="103"/>
      <c r="AY770" s="103"/>
      <c r="AZ770" s="103"/>
      <c r="BA770" s="103"/>
      <c r="BB770" s="103"/>
      <c r="BC770" s="103"/>
      <c r="BD770" s="104"/>
      <c r="BE770" s="102"/>
      <c r="BF770" s="102"/>
      <c r="BG770" s="102"/>
      <c r="BH770" s="104"/>
      <c r="BI770" s="152"/>
      <c r="BJ770" s="103"/>
      <c r="BK770" s="103"/>
      <c r="BL770" s="103"/>
      <c r="BM770" s="103"/>
      <c r="BN770" s="103"/>
      <c r="BO770" s="103"/>
      <c r="BP770" s="103"/>
      <c r="BQ770" s="103"/>
      <c r="BR770" s="103"/>
      <c r="BS770" s="103"/>
      <c r="BT770" s="103"/>
      <c r="BU770" s="104"/>
      <c r="BV770" s="104"/>
      <c r="BW770" s="104"/>
      <c r="BX770" s="104"/>
      <c r="BY770" s="104"/>
      <c r="BZ770" s="104"/>
      <c r="CA770" s="104"/>
      <c r="CB770" s="104"/>
      <c r="CC770" s="104"/>
      <c r="CD770" s="104"/>
      <c r="CE770" s="103"/>
      <c r="CF770" s="103"/>
      <c r="CG770" s="103"/>
      <c r="CH770" s="103"/>
      <c r="CI770" s="103"/>
      <c r="CJ770" s="133"/>
      <c r="CK770" s="133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53"/>
      <c r="DF770" s="51"/>
      <c r="DJ770" s="52"/>
      <c r="DK770" s="52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P770" s="53"/>
      <c r="EQ770" s="1"/>
      <c r="ER770" s="103"/>
      <c r="ES770" s="103"/>
      <c r="ET770" s="1"/>
      <c r="EU770" s="103"/>
      <c r="EV770" s="1"/>
      <c r="EW770" s="1"/>
      <c r="EX770" s="1"/>
      <c r="EY770" s="105"/>
    </row>
    <row r="771" spans="9:155">
      <c r="I771" s="132"/>
      <c r="J771" s="133"/>
      <c r="K771" s="1"/>
      <c r="L771" s="1"/>
      <c r="Q771" s="1"/>
      <c r="R771" s="1"/>
      <c r="S771" s="103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53"/>
      <c r="AN771" s="103"/>
      <c r="AO771" s="103"/>
      <c r="AP771" s="103"/>
      <c r="AQ771" s="103"/>
      <c r="AR771" s="103"/>
      <c r="AS771" s="31"/>
      <c r="AT771" s="31"/>
      <c r="AU771" s="31"/>
      <c r="AV771" s="30"/>
      <c r="AW771" s="30"/>
      <c r="AX771" s="103"/>
      <c r="AY771" s="103"/>
      <c r="AZ771" s="103"/>
      <c r="BA771" s="103"/>
      <c r="BB771" s="103"/>
      <c r="BC771" s="103"/>
      <c r="BD771" s="104"/>
      <c r="BE771" s="102"/>
      <c r="BF771" s="102"/>
      <c r="BG771" s="102"/>
      <c r="BH771" s="104"/>
      <c r="BI771" s="152"/>
      <c r="BJ771" s="103"/>
      <c r="BK771" s="103"/>
      <c r="BL771" s="103"/>
      <c r="BM771" s="103"/>
      <c r="BN771" s="103"/>
      <c r="BO771" s="103"/>
      <c r="BP771" s="103"/>
      <c r="BQ771" s="103"/>
      <c r="BR771" s="103"/>
      <c r="BS771" s="103"/>
      <c r="BT771" s="103"/>
      <c r="BU771" s="104"/>
      <c r="BV771" s="104"/>
      <c r="BW771" s="104"/>
      <c r="BX771" s="104"/>
      <c r="BY771" s="104"/>
      <c r="BZ771" s="104"/>
      <c r="CA771" s="104"/>
      <c r="CB771" s="104"/>
      <c r="CC771" s="104"/>
      <c r="CD771" s="104"/>
      <c r="CE771" s="103"/>
      <c r="CF771" s="103"/>
      <c r="CG771" s="103"/>
      <c r="CH771" s="103"/>
      <c r="CI771" s="103"/>
      <c r="CJ771" s="133"/>
      <c r="CK771" s="133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53"/>
      <c r="DF771" s="51"/>
      <c r="DJ771" s="52"/>
      <c r="DK771" s="52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P771" s="53"/>
      <c r="EQ771" s="1"/>
      <c r="ER771" s="103"/>
      <c r="ES771" s="103"/>
      <c r="ET771" s="1"/>
      <c r="EU771" s="103"/>
      <c r="EV771" s="1"/>
      <c r="EW771" s="1"/>
      <c r="EX771" s="1"/>
      <c r="EY771" s="105"/>
    </row>
    <row r="772" spans="9:155">
      <c r="I772" s="132"/>
      <c r="J772" s="133"/>
      <c r="K772" s="1"/>
      <c r="L772" s="1"/>
      <c r="Q772" s="1"/>
      <c r="R772" s="1"/>
      <c r="S772" s="103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53"/>
      <c r="AN772" s="103"/>
      <c r="AO772" s="103"/>
      <c r="AP772" s="103"/>
      <c r="AQ772" s="103"/>
      <c r="AR772" s="103"/>
      <c r="AS772" s="31"/>
      <c r="AT772" s="31"/>
      <c r="AU772" s="31"/>
      <c r="AV772" s="30"/>
      <c r="AW772" s="30"/>
      <c r="AX772" s="103"/>
      <c r="AY772" s="103"/>
      <c r="AZ772" s="103"/>
      <c r="BA772" s="103"/>
      <c r="BB772" s="103"/>
      <c r="BC772" s="103"/>
      <c r="BD772" s="104"/>
      <c r="BE772" s="102"/>
      <c r="BF772" s="102"/>
      <c r="BG772" s="102"/>
      <c r="BH772" s="104"/>
      <c r="BI772" s="152"/>
      <c r="BJ772" s="103"/>
      <c r="BK772" s="103"/>
      <c r="BL772" s="103"/>
      <c r="BM772" s="103"/>
      <c r="BN772" s="103"/>
      <c r="BO772" s="103"/>
      <c r="BP772" s="103"/>
      <c r="BQ772" s="103"/>
      <c r="BR772" s="103"/>
      <c r="BS772" s="103"/>
      <c r="BT772" s="103"/>
      <c r="BU772" s="104"/>
      <c r="BV772" s="104"/>
      <c r="BW772" s="104"/>
      <c r="BX772" s="104"/>
      <c r="BY772" s="104"/>
      <c r="BZ772" s="104"/>
      <c r="CA772" s="104"/>
      <c r="CB772" s="104"/>
      <c r="CC772" s="104"/>
      <c r="CD772" s="104"/>
      <c r="CE772" s="103"/>
      <c r="CF772" s="103"/>
      <c r="CG772" s="103"/>
      <c r="CH772" s="103"/>
      <c r="CI772" s="103"/>
      <c r="CJ772" s="133"/>
      <c r="CK772" s="133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53"/>
      <c r="DF772" s="51"/>
      <c r="DJ772" s="52"/>
      <c r="DK772" s="52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P772" s="53"/>
      <c r="EQ772" s="1"/>
      <c r="ER772" s="103"/>
      <c r="ES772" s="103"/>
      <c r="ET772" s="1"/>
      <c r="EU772" s="103"/>
      <c r="EV772" s="1"/>
      <c r="EW772" s="1"/>
      <c r="EX772" s="1"/>
      <c r="EY772" s="105"/>
    </row>
    <row r="773" spans="9:155">
      <c r="I773" s="132"/>
      <c r="J773" s="133"/>
      <c r="K773" s="1"/>
      <c r="L773" s="1"/>
      <c r="Q773" s="1"/>
      <c r="R773" s="1"/>
      <c r="S773" s="103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53"/>
      <c r="AN773" s="103"/>
      <c r="AO773" s="103"/>
      <c r="AP773" s="103"/>
      <c r="AQ773" s="103"/>
      <c r="AR773" s="103"/>
      <c r="AS773" s="31"/>
      <c r="AT773" s="31"/>
      <c r="AU773" s="31"/>
      <c r="AV773" s="30"/>
      <c r="AW773" s="30"/>
      <c r="AX773" s="103"/>
      <c r="AY773" s="103"/>
      <c r="AZ773" s="103"/>
      <c r="BA773" s="103"/>
      <c r="BB773" s="103"/>
      <c r="BC773" s="103"/>
      <c r="BD773" s="104"/>
      <c r="BE773" s="102"/>
      <c r="BF773" s="102"/>
      <c r="BG773" s="102"/>
      <c r="BH773" s="104"/>
      <c r="BI773" s="152"/>
      <c r="BJ773" s="103"/>
      <c r="BK773" s="103"/>
      <c r="BL773" s="103"/>
      <c r="BM773" s="103"/>
      <c r="BN773" s="103"/>
      <c r="BO773" s="103"/>
      <c r="BP773" s="103"/>
      <c r="BQ773" s="103"/>
      <c r="BR773" s="103"/>
      <c r="BS773" s="103"/>
      <c r="BT773" s="103"/>
      <c r="BU773" s="104"/>
      <c r="BV773" s="104"/>
      <c r="BW773" s="104"/>
      <c r="BX773" s="104"/>
      <c r="BY773" s="104"/>
      <c r="BZ773" s="104"/>
      <c r="CA773" s="104"/>
      <c r="CB773" s="104"/>
      <c r="CC773" s="104"/>
      <c r="CD773" s="104"/>
      <c r="CE773" s="103"/>
      <c r="CF773" s="103"/>
      <c r="CG773" s="103"/>
      <c r="CH773" s="103"/>
      <c r="CI773" s="103"/>
      <c r="CJ773" s="133"/>
      <c r="CK773" s="133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53"/>
      <c r="DF773" s="51"/>
      <c r="DJ773" s="52"/>
      <c r="DK773" s="52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P773" s="53"/>
      <c r="EQ773" s="1"/>
      <c r="ER773" s="103"/>
      <c r="ES773" s="103"/>
      <c r="ET773" s="1"/>
      <c r="EU773" s="103"/>
      <c r="EV773" s="1"/>
      <c r="EW773" s="1"/>
      <c r="EX773" s="1"/>
      <c r="EY773" s="105"/>
    </row>
    <row r="774" spans="9:155">
      <c r="I774" s="132"/>
      <c r="J774" s="133"/>
      <c r="K774" s="1"/>
      <c r="L774" s="1"/>
      <c r="Q774" s="1"/>
      <c r="R774" s="1"/>
      <c r="S774" s="103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53"/>
      <c r="AN774" s="103"/>
      <c r="AO774" s="103"/>
      <c r="AP774" s="103"/>
      <c r="AQ774" s="103"/>
      <c r="AR774" s="103"/>
      <c r="AS774" s="31"/>
      <c r="AT774" s="31"/>
      <c r="AU774" s="31"/>
      <c r="AV774" s="30"/>
      <c r="AW774" s="30"/>
      <c r="AX774" s="103"/>
      <c r="AY774" s="103"/>
      <c r="AZ774" s="103"/>
      <c r="BA774" s="103"/>
      <c r="BB774" s="103"/>
      <c r="BC774" s="103"/>
      <c r="BD774" s="104"/>
      <c r="BE774" s="102"/>
      <c r="BF774" s="102"/>
      <c r="BG774" s="102"/>
      <c r="BH774" s="104"/>
      <c r="BI774" s="152"/>
      <c r="BJ774" s="103"/>
      <c r="BK774" s="103"/>
      <c r="BL774" s="103"/>
      <c r="BM774" s="103"/>
      <c r="BN774" s="103"/>
      <c r="BO774" s="103"/>
      <c r="BP774" s="103"/>
      <c r="BQ774" s="103"/>
      <c r="BR774" s="103"/>
      <c r="BS774" s="103"/>
      <c r="BT774" s="103"/>
      <c r="BU774" s="104"/>
      <c r="BV774" s="104"/>
      <c r="BW774" s="104"/>
      <c r="BX774" s="104"/>
      <c r="BY774" s="104"/>
      <c r="BZ774" s="104"/>
      <c r="CA774" s="104"/>
      <c r="CB774" s="104"/>
      <c r="CC774" s="104"/>
      <c r="CD774" s="104"/>
      <c r="CE774" s="103"/>
      <c r="CF774" s="103"/>
      <c r="CG774" s="103"/>
      <c r="CH774" s="103"/>
      <c r="CI774" s="103"/>
      <c r="CJ774" s="133"/>
      <c r="CK774" s="133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53"/>
      <c r="DF774" s="51"/>
      <c r="DJ774" s="52"/>
      <c r="DK774" s="52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P774" s="53"/>
      <c r="EQ774" s="1"/>
      <c r="ER774" s="103"/>
      <c r="ES774" s="103"/>
      <c r="ET774" s="1"/>
      <c r="EU774" s="103"/>
      <c r="EV774" s="1"/>
      <c r="EW774" s="1"/>
      <c r="EX774" s="1"/>
      <c r="EY774" s="105"/>
    </row>
    <row r="775" spans="9:155">
      <c r="I775" s="132"/>
      <c r="J775" s="133"/>
      <c r="K775" s="1"/>
      <c r="L775" s="1"/>
      <c r="Q775" s="1"/>
      <c r="R775" s="1"/>
      <c r="S775" s="103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53"/>
      <c r="AN775" s="103"/>
      <c r="AO775" s="103"/>
      <c r="AP775" s="103"/>
      <c r="AQ775" s="103"/>
      <c r="AR775" s="103"/>
      <c r="AS775" s="31"/>
      <c r="AT775" s="31"/>
      <c r="AU775" s="31"/>
      <c r="AV775" s="30"/>
      <c r="AW775" s="30"/>
      <c r="AX775" s="103"/>
      <c r="AY775" s="103"/>
      <c r="AZ775" s="103"/>
      <c r="BA775" s="103"/>
      <c r="BB775" s="103"/>
      <c r="BC775" s="103"/>
      <c r="BD775" s="104"/>
      <c r="BE775" s="102"/>
      <c r="BF775" s="102"/>
      <c r="BG775" s="102"/>
      <c r="BH775" s="104"/>
      <c r="BI775" s="152"/>
      <c r="BJ775" s="103"/>
      <c r="BK775" s="103"/>
      <c r="BL775" s="103"/>
      <c r="BM775" s="103"/>
      <c r="BN775" s="103"/>
      <c r="BO775" s="103"/>
      <c r="BP775" s="103"/>
      <c r="BQ775" s="103"/>
      <c r="BR775" s="103"/>
      <c r="BS775" s="103"/>
      <c r="BT775" s="103"/>
      <c r="BU775" s="104"/>
      <c r="BV775" s="104"/>
      <c r="BW775" s="104"/>
      <c r="BX775" s="104"/>
      <c r="BY775" s="104"/>
      <c r="BZ775" s="104"/>
      <c r="CA775" s="104"/>
      <c r="CB775" s="104"/>
      <c r="CC775" s="104"/>
      <c r="CD775" s="104"/>
      <c r="CE775" s="103"/>
      <c r="CF775" s="103"/>
      <c r="CG775" s="103"/>
      <c r="CH775" s="103"/>
      <c r="CI775" s="103"/>
      <c r="CJ775" s="133"/>
      <c r="CK775" s="133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53"/>
      <c r="DF775" s="51"/>
      <c r="DJ775" s="52"/>
      <c r="DK775" s="52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P775" s="53"/>
      <c r="EQ775" s="1"/>
      <c r="ER775" s="103"/>
      <c r="ES775" s="103"/>
      <c r="ET775" s="1"/>
      <c r="EU775" s="103"/>
      <c r="EV775" s="1"/>
      <c r="EW775" s="1"/>
      <c r="EX775" s="1"/>
      <c r="EY775" s="105"/>
    </row>
    <row r="776" spans="9:155">
      <c r="I776" s="132"/>
      <c r="J776" s="133"/>
      <c r="K776" s="1"/>
      <c r="L776" s="1"/>
      <c r="Q776" s="1"/>
      <c r="R776" s="1"/>
      <c r="S776" s="103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53"/>
      <c r="AN776" s="103"/>
      <c r="AO776" s="103"/>
      <c r="AP776" s="103"/>
      <c r="AQ776" s="103"/>
      <c r="AR776" s="103"/>
      <c r="AS776" s="31"/>
      <c r="AT776" s="31"/>
      <c r="AU776" s="31"/>
      <c r="AV776" s="30"/>
      <c r="AW776" s="30"/>
      <c r="AX776" s="103"/>
      <c r="AY776" s="103"/>
      <c r="AZ776" s="103"/>
      <c r="BA776" s="103"/>
      <c r="BB776" s="103"/>
      <c r="BC776" s="103"/>
      <c r="BD776" s="104"/>
      <c r="BE776" s="102"/>
      <c r="BF776" s="102"/>
      <c r="BG776" s="102"/>
      <c r="BH776" s="104"/>
      <c r="BI776" s="152"/>
      <c r="BJ776" s="103"/>
      <c r="BK776" s="103"/>
      <c r="BL776" s="103"/>
      <c r="BM776" s="103"/>
      <c r="BN776" s="103"/>
      <c r="BO776" s="103"/>
      <c r="BP776" s="103"/>
      <c r="BQ776" s="103"/>
      <c r="BR776" s="103"/>
      <c r="BS776" s="103"/>
      <c r="BT776" s="103"/>
      <c r="BU776" s="104"/>
      <c r="BV776" s="104"/>
      <c r="BW776" s="104"/>
      <c r="BX776" s="104"/>
      <c r="BY776" s="104"/>
      <c r="BZ776" s="104"/>
      <c r="CA776" s="104"/>
      <c r="CB776" s="104"/>
      <c r="CC776" s="104"/>
      <c r="CD776" s="104"/>
      <c r="CE776" s="103"/>
      <c r="CF776" s="103"/>
      <c r="CG776" s="103"/>
      <c r="CH776" s="103"/>
      <c r="CI776" s="103"/>
      <c r="CJ776" s="133"/>
      <c r="CK776" s="133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53"/>
      <c r="DF776" s="51"/>
      <c r="DJ776" s="52"/>
      <c r="DK776" s="52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P776" s="53"/>
      <c r="EQ776" s="1"/>
      <c r="ER776" s="103"/>
      <c r="ES776" s="103"/>
      <c r="ET776" s="1"/>
      <c r="EU776" s="103"/>
      <c r="EV776" s="1"/>
      <c r="EW776" s="1"/>
      <c r="EX776" s="1"/>
      <c r="EY776" s="105"/>
    </row>
    <row r="777" spans="9:155">
      <c r="I777" s="132"/>
      <c r="J777" s="133"/>
      <c r="K777" s="1"/>
      <c r="L777" s="1"/>
      <c r="Q777" s="1"/>
      <c r="R777" s="1"/>
      <c r="S777" s="103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53"/>
      <c r="AN777" s="103"/>
      <c r="AO777" s="103"/>
      <c r="AP777" s="103"/>
      <c r="AQ777" s="103"/>
      <c r="AR777" s="103"/>
      <c r="AS777" s="31"/>
      <c r="AT777" s="31"/>
      <c r="AU777" s="31"/>
      <c r="AV777" s="30"/>
      <c r="AW777" s="30"/>
      <c r="AX777" s="103"/>
      <c r="AY777" s="103"/>
      <c r="AZ777" s="103"/>
      <c r="BA777" s="103"/>
      <c r="BB777" s="103"/>
      <c r="BC777" s="103"/>
      <c r="BD777" s="104"/>
      <c r="BE777" s="102"/>
      <c r="BF777" s="102"/>
      <c r="BG777" s="102"/>
      <c r="BH777" s="104"/>
      <c r="BI777" s="152"/>
      <c r="BJ777" s="103"/>
      <c r="BK777" s="103"/>
      <c r="BL777" s="103"/>
      <c r="BM777" s="103"/>
      <c r="BN777" s="103"/>
      <c r="BO777" s="103"/>
      <c r="BP777" s="103"/>
      <c r="BQ777" s="103"/>
      <c r="BR777" s="103"/>
      <c r="BS777" s="103"/>
      <c r="BT777" s="103"/>
      <c r="BU777" s="104"/>
      <c r="BV777" s="104"/>
      <c r="BW777" s="104"/>
      <c r="BX777" s="104"/>
      <c r="BY777" s="104"/>
      <c r="BZ777" s="104"/>
      <c r="CA777" s="104"/>
      <c r="CB777" s="104"/>
      <c r="CC777" s="104"/>
      <c r="CD777" s="104"/>
      <c r="CE777" s="103"/>
      <c r="CF777" s="103"/>
      <c r="CG777" s="103"/>
      <c r="CH777" s="103"/>
      <c r="CI777" s="103"/>
      <c r="CJ777" s="133"/>
      <c r="CK777" s="133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53"/>
      <c r="DF777" s="51"/>
      <c r="DJ777" s="52"/>
      <c r="DK777" s="52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P777" s="53"/>
      <c r="EQ777" s="1"/>
      <c r="ER777" s="103"/>
      <c r="ES777" s="103"/>
      <c r="ET777" s="1"/>
      <c r="EU777" s="103"/>
      <c r="EV777" s="1"/>
      <c r="EW777" s="1"/>
      <c r="EX777" s="1"/>
      <c r="EY777" s="105"/>
    </row>
    <row r="778" spans="9:155">
      <c r="I778" s="132"/>
      <c r="J778" s="133"/>
      <c r="K778" s="1"/>
      <c r="L778" s="1"/>
      <c r="Q778" s="1"/>
      <c r="R778" s="1"/>
      <c r="S778" s="103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53"/>
      <c r="AN778" s="103"/>
      <c r="AO778" s="103"/>
      <c r="AP778" s="103"/>
      <c r="AQ778" s="103"/>
      <c r="AR778" s="103"/>
      <c r="AS778" s="31"/>
      <c r="AT778" s="31"/>
      <c r="AU778" s="31"/>
      <c r="AV778" s="30"/>
      <c r="AW778" s="30"/>
      <c r="AX778" s="103"/>
      <c r="AY778" s="103"/>
      <c r="AZ778" s="103"/>
      <c r="BA778" s="103"/>
      <c r="BB778" s="103"/>
      <c r="BC778" s="103"/>
      <c r="BD778" s="104"/>
      <c r="BE778" s="102"/>
      <c r="BF778" s="102"/>
      <c r="BG778" s="102"/>
      <c r="BH778" s="104"/>
      <c r="BI778" s="152"/>
      <c r="BJ778" s="103"/>
      <c r="BK778" s="103"/>
      <c r="BL778" s="103"/>
      <c r="BM778" s="103"/>
      <c r="BN778" s="103"/>
      <c r="BO778" s="103"/>
      <c r="BP778" s="103"/>
      <c r="BQ778" s="103"/>
      <c r="BR778" s="103"/>
      <c r="BS778" s="103"/>
      <c r="BT778" s="103"/>
      <c r="BU778" s="104"/>
      <c r="BV778" s="104"/>
      <c r="BW778" s="104"/>
      <c r="BX778" s="104"/>
      <c r="BY778" s="104"/>
      <c r="BZ778" s="104"/>
      <c r="CA778" s="104"/>
      <c r="CB778" s="104"/>
      <c r="CC778" s="104"/>
      <c r="CD778" s="104"/>
      <c r="CE778" s="103"/>
      <c r="CF778" s="103"/>
      <c r="CG778" s="103"/>
      <c r="CH778" s="103"/>
      <c r="CI778" s="103"/>
      <c r="CJ778" s="133"/>
      <c r="CK778" s="133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53"/>
      <c r="DF778" s="51"/>
      <c r="DJ778" s="52"/>
      <c r="DK778" s="52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P778" s="53"/>
      <c r="EQ778" s="1"/>
      <c r="ER778" s="103"/>
      <c r="ES778" s="103"/>
      <c r="ET778" s="1"/>
      <c r="EU778" s="103"/>
      <c r="EV778" s="1"/>
      <c r="EW778" s="1"/>
      <c r="EX778" s="1"/>
      <c r="EY778" s="105"/>
    </row>
    <row r="779" spans="9:155">
      <c r="I779" s="132"/>
      <c r="J779" s="133"/>
      <c r="K779" s="1"/>
      <c r="L779" s="1"/>
      <c r="Q779" s="1"/>
      <c r="R779" s="1"/>
      <c r="S779" s="103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53"/>
      <c r="AN779" s="103"/>
      <c r="AO779" s="103"/>
      <c r="AP779" s="103"/>
      <c r="AQ779" s="103"/>
      <c r="AR779" s="103"/>
      <c r="AS779" s="31"/>
      <c r="AT779" s="31"/>
      <c r="AU779" s="31"/>
      <c r="AV779" s="30"/>
      <c r="AW779" s="30"/>
      <c r="AX779" s="103"/>
      <c r="AY779" s="103"/>
      <c r="AZ779" s="103"/>
      <c r="BA779" s="103"/>
      <c r="BB779" s="103"/>
      <c r="BC779" s="103"/>
      <c r="BD779" s="104"/>
      <c r="BE779" s="102"/>
      <c r="BF779" s="102"/>
      <c r="BG779" s="102"/>
      <c r="BH779" s="104"/>
      <c r="BI779" s="152"/>
      <c r="BJ779" s="103"/>
      <c r="BK779" s="103"/>
      <c r="BL779" s="103"/>
      <c r="BM779" s="103"/>
      <c r="BN779" s="103"/>
      <c r="BO779" s="103"/>
      <c r="BP779" s="103"/>
      <c r="BQ779" s="103"/>
      <c r="BR779" s="103"/>
      <c r="BS779" s="103"/>
      <c r="BT779" s="103"/>
      <c r="BU779" s="104"/>
      <c r="BV779" s="104"/>
      <c r="BW779" s="104"/>
      <c r="BX779" s="104"/>
      <c r="BY779" s="104"/>
      <c r="BZ779" s="104"/>
      <c r="CA779" s="104"/>
      <c r="CB779" s="104"/>
      <c r="CC779" s="104"/>
      <c r="CD779" s="104"/>
      <c r="CE779" s="103"/>
      <c r="CF779" s="103"/>
      <c r="CG779" s="103"/>
      <c r="CH779" s="103"/>
      <c r="CI779" s="103"/>
      <c r="CJ779" s="133"/>
      <c r="CK779" s="133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53"/>
      <c r="DF779" s="51"/>
      <c r="DJ779" s="52"/>
      <c r="DK779" s="52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P779" s="53"/>
      <c r="EQ779" s="1"/>
      <c r="ER779" s="103"/>
      <c r="ES779" s="103"/>
      <c r="ET779" s="1"/>
      <c r="EU779" s="103"/>
      <c r="EV779" s="1"/>
      <c r="EW779" s="1"/>
      <c r="EX779" s="1"/>
      <c r="EY779" s="105"/>
    </row>
    <row r="780" spans="9:155">
      <c r="I780" s="132"/>
      <c r="J780" s="133"/>
      <c r="K780" s="1"/>
      <c r="L780" s="1"/>
      <c r="Q780" s="1"/>
      <c r="R780" s="1"/>
      <c r="S780" s="103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53"/>
      <c r="AN780" s="103"/>
      <c r="AO780" s="103"/>
      <c r="AP780" s="103"/>
      <c r="AQ780" s="103"/>
      <c r="AR780" s="103"/>
      <c r="AS780" s="31"/>
      <c r="AT780" s="31"/>
      <c r="AU780" s="31"/>
      <c r="AV780" s="30"/>
      <c r="AW780" s="30"/>
      <c r="AX780" s="103"/>
      <c r="AY780" s="103"/>
      <c r="AZ780" s="103"/>
      <c r="BA780" s="103"/>
      <c r="BB780" s="103"/>
      <c r="BC780" s="103"/>
      <c r="BD780" s="104"/>
      <c r="BE780" s="102"/>
      <c r="BF780" s="102"/>
      <c r="BG780" s="102"/>
      <c r="BH780" s="104"/>
      <c r="BI780" s="152"/>
      <c r="BJ780" s="103"/>
      <c r="BK780" s="103"/>
      <c r="BL780" s="103"/>
      <c r="BM780" s="103"/>
      <c r="BN780" s="103"/>
      <c r="BO780" s="103"/>
      <c r="BP780" s="103"/>
      <c r="BQ780" s="103"/>
      <c r="BR780" s="103"/>
      <c r="BS780" s="103"/>
      <c r="BT780" s="103"/>
      <c r="BU780" s="104"/>
      <c r="BV780" s="104"/>
      <c r="BW780" s="104"/>
      <c r="BX780" s="104"/>
      <c r="BY780" s="104"/>
      <c r="BZ780" s="104"/>
      <c r="CA780" s="104"/>
      <c r="CB780" s="104"/>
      <c r="CC780" s="104"/>
      <c r="CD780" s="104"/>
      <c r="CE780" s="103"/>
      <c r="CF780" s="103"/>
      <c r="CG780" s="103"/>
      <c r="CH780" s="103"/>
      <c r="CI780" s="103"/>
      <c r="CJ780" s="133"/>
      <c r="CK780" s="133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53"/>
      <c r="DF780" s="51"/>
      <c r="DJ780" s="52"/>
      <c r="DK780" s="52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P780" s="53"/>
      <c r="EQ780" s="1"/>
      <c r="ER780" s="103"/>
      <c r="ES780" s="103"/>
      <c r="ET780" s="1"/>
      <c r="EU780" s="103"/>
      <c r="EV780" s="1"/>
      <c r="EW780" s="1"/>
      <c r="EX780" s="1"/>
      <c r="EY780" s="105"/>
    </row>
    <row r="781" spans="9:155">
      <c r="I781" s="132"/>
      <c r="J781" s="133"/>
      <c r="K781" s="1"/>
      <c r="L781" s="1"/>
      <c r="Q781" s="1"/>
      <c r="R781" s="1"/>
      <c r="S781" s="103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53"/>
      <c r="AN781" s="103"/>
      <c r="AO781" s="103"/>
      <c r="AP781" s="103"/>
      <c r="AQ781" s="103"/>
      <c r="AR781" s="103"/>
      <c r="AS781" s="31"/>
      <c r="AT781" s="31"/>
      <c r="AU781" s="31"/>
      <c r="AV781" s="30"/>
      <c r="AW781" s="30"/>
      <c r="AX781" s="103"/>
      <c r="AY781" s="103"/>
      <c r="AZ781" s="103"/>
      <c r="BA781" s="103"/>
      <c r="BB781" s="103"/>
      <c r="BC781" s="103"/>
      <c r="BD781" s="104"/>
      <c r="BE781" s="102"/>
      <c r="BF781" s="102"/>
      <c r="BG781" s="102"/>
      <c r="BH781" s="104"/>
      <c r="BI781" s="152"/>
      <c r="BJ781" s="103"/>
      <c r="BK781" s="103"/>
      <c r="BL781" s="103"/>
      <c r="BM781" s="103"/>
      <c r="BN781" s="103"/>
      <c r="BO781" s="103"/>
      <c r="BP781" s="103"/>
      <c r="BQ781" s="103"/>
      <c r="BR781" s="103"/>
      <c r="BS781" s="103"/>
      <c r="BT781" s="103"/>
      <c r="BU781" s="104"/>
      <c r="BV781" s="104"/>
      <c r="BW781" s="104"/>
      <c r="BX781" s="104"/>
      <c r="BY781" s="104"/>
      <c r="BZ781" s="104"/>
      <c r="CA781" s="104"/>
      <c r="CB781" s="104"/>
      <c r="CC781" s="104"/>
      <c r="CD781" s="104"/>
      <c r="CE781" s="103"/>
      <c r="CF781" s="103"/>
      <c r="CG781" s="103"/>
      <c r="CH781" s="103"/>
      <c r="CI781" s="103"/>
      <c r="CJ781" s="133"/>
      <c r="CK781" s="133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53"/>
      <c r="DF781" s="51"/>
      <c r="DJ781" s="52"/>
      <c r="DK781" s="52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P781" s="53"/>
      <c r="EQ781" s="1"/>
      <c r="ER781" s="103"/>
      <c r="ES781" s="103"/>
      <c r="ET781" s="1"/>
      <c r="EU781" s="103"/>
      <c r="EV781" s="1"/>
      <c r="EW781" s="1"/>
      <c r="EX781" s="1"/>
      <c r="EY781" s="105"/>
    </row>
    <row r="782" spans="9:155">
      <c r="I782" s="132"/>
      <c r="J782" s="133"/>
      <c r="K782" s="1"/>
      <c r="L782" s="1"/>
      <c r="Q782" s="1"/>
      <c r="R782" s="1"/>
      <c r="S782" s="103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53"/>
      <c r="AN782" s="103"/>
      <c r="AO782" s="103"/>
      <c r="AP782" s="103"/>
      <c r="AQ782" s="103"/>
      <c r="AR782" s="103"/>
      <c r="AS782" s="31"/>
      <c r="AT782" s="31"/>
      <c r="AU782" s="31"/>
      <c r="AV782" s="30"/>
      <c r="AW782" s="30"/>
      <c r="AX782" s="103"/>
      <c r="AY782" s="103"/>
      <c r="AZ782" s="103"/>
      <c r="BA782" s="103"/>
      <c r="BB782" s="103"/>
      <c r="BC782" s="103"/>
      <c r="BD782" s="104"/>
      <c r="BE782" s="102"/>
      <c r="BF782" s="102"/>
      <c r="BG782" s="102"/>
      <c r="BH782" s="104"/>
      <c r="BI782" s="152"/>
      <c r="BJ782" s="103"/>
      <c r="BK782" s="103"/>
      <c r="BL782" s="103"/>
      <c r="BM782" s="103"/>
      <c r="BN782" s="103"/>
      <c r="BO782" s="103"/>
      <c r="BP782" s="103"/>
      <c r="BQ782" s="103"/>
      <c r="BR782" s="103"/>
      <c r="BS782" s="103"/>
      <c r="BT782" s="103"/>
      <c r="BU782" s="104"/>
      <c r="BV782" s="104"/>
      <c r="BW782" s="104"/>
      <c r="BX782" s="104"/>
      <c r="BY782" s="104"/>
      <c r="BZ782" s="104"/>
      <c r="CA782" s="104"/>
      <c r="CB782" s="104"/>
      <c r="CC782" s="104"/>
      <c r="CD782" s="104"/>
      <c r="CE782" s="103"/>
      <c r="CF782" s="103"/>
      <c r="CG782" s="103"/>
      <c r="CH782" s="103"/>
      <c r="CI782" s="103"/>
      <c r="CJ782" s="133"/>
      <c r="CK782" s="133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53"/>
      <c r="DF782" s="51"/>
      <c r="DJ782" s="52"/>
      <c r="DK782" s="52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P782" s="53"/>
      <c r="EQ782" s="1"/>
      <c r="ER782" s="103"/>
      <c r="ES782" s="103"/>
      <c r="ET782" s="1"/>
      <c r="EU782" s="103"/>
      <c r="EV782" s="1"/>
      <c r="EW782" s="1"/>
      <c r="EX782" s="1"/>
      <c r="EY782" s="105"/>
    </row>
    <row r="783" spans="9:155">
      <c r="I783" s="132"/>
      <c r="J783" s="133"/>
      <c r="K783" s="1"/>
      <c r="L783" s="1"/>
      <c r="Q783" s="1"/>
      <c r="R783" s="1"/>
      <c r="S783" s="103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53"/>
      <c r="AN783" s="103"/>
      <c r="AO783" s="103"/>
      <c r="AP783" s="103"/>
      <c r="AQ783" s="103"/>
      <c r="AR783" s="103"/>
      <c r="AS783" s="31"/>
      <c r="AT783" s="31"/>
      <c r="AU783" s="31"/>
      <c r="AV783" s="30"/>
      <c r="AW783" s="30"/>
      <c r="AX783" s="103"/>
      <c r="AY783" s="103"/>
      <c r="AZ783" s="103"/>
      <c r="BA783" s="103"/>
      <c r="BB783" s="103"/>
      <c r="BC783" s="103"/>
      <c r="BD783" s="104"/>
      <c r="BE783" s="102"/>
      <c r="BF783" s="102"/>
      <c r="BG783" s="102"/>
      <c r="BH783" s="104"/>
      <c r="BI783" s="152"/>
      <c r="BJ783" s="103"/>
      <c r="BK783" s="103"/>
      <c r="BL783" s="103"/>
      <c r="BM783" s="103"/>
      <c r="BN783" s="103"/>
      <c r="BO783" s="103"/>
      <c r="BP783" s="103"/>
      <c r="BQ783" s="103"/>
      <c r="BR783" s="103"/>
      <c r="BS783" s="103"/>
      <c r="BT783" s="103"/>
      <c r="BU783" s="104"/>
      <c r="BV783" s="104"/>
      <c r="BW783" s="104"/>
      <c r="BX783" s="104"/>
      <c r="BY783" s="104"/>
      <c r="BZ783" s="104"/>
      <c r="CA783" s="104"/>
      <c r="CB783" s="104"/>
      <c r="CC783" s="104"/>
      <c r="CD783" s="104"/>
      <c r="CE783" s="103"/>
      <c r="CF783" s="103"/>
      <c r="CG783" s="103"/>
      <c r="CH783" s="103"/>
      <c r="CI783" s="103"/>
      <c r="CJ783" s="133"/>
      <c r="CK783" s="133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53"/>
      <c r="DF783" s="51"/>
      <c r="DJ783" s="52"/>
      <c r="DK783" s="52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P783" s="53"/>
      <c r="EQ783" s="1"/>
      <c r="ER783" s="103"/>
      <c r="ES783" s="103"/>
      <c r="ET783" s="1"/>
      <c r="EU783" s="103"/>
      <c r="EV783" s="1"/>
      <c r="EW783" s="1"/>
      <c r="EX783" s="1"/>
      <c r="EY783" s="105"/>
    </row>
    <row r="784" spans="9:155">
      <c r="I784" s="132"/>
      <c r="J784" s="133"/>
      <c r="K784" s="1"/>
      <c r="L784" s="1"/>
      <c r="Q784" s="1"/>
      <c r="R784" s="1"/>
      <c r="S784" s="103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53"/>
      <c r="AN784" s="103"/>
      <c r="AO784" s="103"/>
      <c r="AP784" s="103"/>
      <c r="AQ784" s="103"/>
      <c r="AR784" s="103"/>
      <c r="AS784" s="31"/>
      <c r="AT784" s="31"/>
      <c r="AU784" s="31"/>
      <c r="AV784" s="30"/>
      <c r="AW784" s="30"/>
      <c r="AX784" s="103"/>
      <c r="AY784" s="103"/>
      <c r="AZ784" s="103"/>
      <c r="BA784" s="103"/>
      <c r="BB784" s="103"/>
      <c r="BC784" s="103"/>
      <c r="BD784" s="104"/>
      <c r="BE784" s="102"/>
      <c r="BF784" s="102"/>
      <c r="BG784" s="102"/>
      <c r="BH784" s="104"/>
      <c r="BI784" s="152"/>
      <c r="BJ784" s="103"/>
      <c r="BK784" s="103"/>
      <c r="BL784" s="103"/>
      <c r="BM784" s="103"/>
      <c r="BN784" s="103"/>
      <c r="BO784" s="103"/>
      <c r="BP784" s="103"/>
      <c r="BQ784" s="103"/>
      <c r="BR784" s="103"/>
      <c r="BS784" s="103"/>
      <c r="BT784" s="103"/>
      <c r="BU784" s="104"/>
      <c r="BV784" s="104"/>
      <c r="BW784" s="104"/>
      <c r="BX784" s="104"/>
      <c r="BY784" s="104"/>
      <c r="BZ784" s="104"/>
      <c r="CA784" s="104"/>
      <c r="CB784" s="104"/>
      <c r="CC784" s="104"/>
      <c r="CD784" s="104"/>
      <c r="CE784" s="103"/>
      <c r="CF784" s="103"/>
      <c r="CG784" s="103"/>
      <c r="CH784" s="103"/>
      <c r="CI784" s="103"/>
      <c r="CJ784" s="133"/>
      <c r="CK784" s="133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53"/>
      <c r="DF784" s="51"/>
      <c r="DJ784" s="52"/>
      <c r="DK784" s="52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P784" s="53"/>
      <c r="EQ784" s="1"/>
      <c r="ER784" s="103"/>
      <c r="ES784" s="103"/>
      <c r="ET784" s="1"/>
      <c r="EU784" s="103"/>
      <c r="EV784" s="1"/>
      <c r="EW784" s="1"/>
      <c r="EX784" s="1"/>
      <c r="EY784" s="105"/>
    </row>
    <row r="785" spans="9:155">
      <c r="I785" s="132"/>
      <c r="J785" s="133"/>
      <c r="K785" s="1"/>
      <c r="L785" s="1"/>
      <c r="Q785" s="1"/>
      <c r="R785" s="1"/>
      <c r="S785" s="103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53"/>
      <c r="AN785" s="103"/>
      <c r="AO785" s="103"/>
      <c r="AP785" s="103"/>
      <c r="AQ785" s="103"/>
      <c r="AR785" s="103"/>
      <c r="AS785" s="31"/>
      <c r="AT785" s="31"/>
      <c r="AU785" s="31"/>
      <c r="AV785" s="30"/>
      <c r="AW785" s="30"/>
      <c r="AX785" s="103"/>
      <c r="AY785" s="103"/>
      <c r="AZ785" s="103"/>
      <c r="BA785" s="103"/>
      <c r="BB785" s="103"/>
      <c r="BC785" s="103"/>
      <c r="BD785" s="104"/>
      <c r="BE785" s="102"/>
      <c r="BF785" s="102"/>
      <c r="BG785" s="102"/>
      <c r="BH785" s="104"/>
      <c r="BI785" s="152"/>
      <c r="BJ785" s="103"/>
      <c r="BK785" s="103"/>
      <c r="BL785" s="103"/>
      <c r="BM785" s="103"/>
      <c r="BN785" s="103"/>
      <c r="BO785" s="103"/>
      <c r="BP785" s="103"/>
      <c r="BQ785" s="103"/>
      <c r="BR785" s="103"/>
      <c r="BS785" s="103"/>
      <c r="BT785" s="103"/>
      <c r="BU785" s="104"/>
      <c r="BV785" s="104"/>
      <c r="BW785" s="104"/>
      <c r="BX785" s="104"/>
      <c r="BY785" s="104"/>
      <c r="BZ785" s="104"/>
      <c r="CA785" s="104"/>
      <c r="CB785" s="104"/>
      <c r="CC785" s="104"/>
      <c r="CD785" s="104"/>
      <c r="CE785" s="103"/>
      <c r="CF785" s="103"/>
      <c r="CG785" s="103"/>
      <c r="CH785" s="103"/>
      <c r="CI785" s="103"/>
      <c r="CJ785" s="133"/>
      <c r="CK785" s="133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53"/>
      <c r="DF785" s="51"/>
      <c r="DJ785" s="52"/>
      <c r="DK785" s="52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P785" s="53"/>
      <c r="EQ785" s="1"/>
      <c r="ER785" s="103"/>
      <c r="ES785" s="103"/>
      <c r="ET785" s="1"/>
      <c r="EU785" s="103"/>
      <c r="EV785" s="1"/>
      <c r="EW785" s="1"/>
      <c r="EX785" s="1"/>
      <c r="EY785" s="105"/>
    </row>
    <row r="786" spans="9:155">
      <c r="I786" s="132"/>
      <c r="J786" s="133"/>
      <c r="K786" s="1"/>
      <c r="L786" s="1"/>
      <c r="Q786" s="1"/>
      <c r="R786" s="1"/>
      <c r="S786" s="103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53"/>
      <c r="AN786" s="103"/>
      <c r="AO786" s="103"/>
      <c r="AP786" s="103"/>
      <c r="AQ786" s="103"/>
      <c r="AR786" s="103"/>
      <c r="AS786" s="31"/>
      <c r="AT786" s="31"/>
      <c r="AU786" s="31"/>
      <c r="AV786" s="30"/>
      <c r="AW786" s="30"/>
      <c r="AX786" s="103"/>
      <c r="AY786" s="103"/>
      <c r="AZ786" s="103"/>
      <c r="BA786" s="103"/>
      <c r="BB786" s="103"/>
      <c r="BC786" s="103"/>
      <c r="BD786" s="104"/>
      <c r="BE786" s="102"/>
      <c r="BF786" s="102"/>
      <c r="BG786" s="102"/>
      <c r="BH786" s="104"/>
      <c r="BI786" s="152"/>
      <c r="BJ786" s="103"/>
      <c r="BK786" s="103"/>
      <c r="BL786" s="103"/>
      <c r="BM786" s="103"/>
      <c r="BN786" s="103"/>
      <c r="BO786" s="103"/>
      <c r="BP786" s="103"/>
      <c r="BQ786" s="103"/>
      <c r="BR786" s="103"/>
      <c r="BS786" s="103"/>
      <c r="BT786" s="103"/>
      <c r="BU786" s="104"/>
      <c r="BV786" s="104"/>
      <c r="BW786" s="104"/>
      <c r="BX786" s="104"/>
      <c r="BY786" s="104"/>
      <c r="BZ786" s="104"/>
      <c r="CA786" s="104"/>
      <c r="CB786" s="104"/>
      <c r="CC786" s="104"/>
      <c r="CD786" s="104"/>
      <c r="CE786" s="103"/>
      <c r="CF786" s="103"/>
      <c r="CG786" s="103"/>
      <c r="CH786" s="103"/>
      <c r="CI786" s="103"/>
      <c r="CJ786" s="133"/>
      <c r="CK786" s="133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53"/>
      <c r="DF786" s="51"/>
      <c r="DJ786" s="52"/>
      <c r="DK786" s="52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P786" s="53"/>
      <c r="EQ786" s="1"/>
      <c r="ER786" s="103"/>
      <c r="ES786" s="103"/>
      <c r="ET786" s="1"/>
      <c r="EU786" s="103"/>
      <c r="EV786" s="1"/>
      <c r="EW786" s="1"/>
      <c r="EX786" s="1"/>
      <c r="EY786" s="105"/>
    </row>
    <row r="787" spans="9:155">
      <c r="I787" s="132"/>
      <c r="J787" s="133"/>
      <c r="K787" s="1"/>
      <c r="L787" s="1"/>
      <c r="Q787" s="1"/>
      <c r="R787" s="1"/>
      <c r="S787" s="103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53"/>
      <c r="AN787" s="103"/>
      <c r="AO787" s="103"/>
      <c r="AP787" s="103"/>
      <c r="AQ787" s="103"/>
      <c r="AR787" s="103"/>
      <c r="AS787" s="31"/>
      <c r="AT787" s="31"/>
      <c r="AU787" s="31"/>
      <c r="AV787" s="30"/>
      <c r="AW787" s="30"/>
      <c r="AX787" s="103"/>
      <c r="AY787" s="103"/>
      <c r="AZ787" s="103"/>
      <c r="BA787" s="103"/>
      <c r="BB787" s="103"/>
      <c r="BC787" s="103"/>
      <c r="BD787" s="104"/>
      <c r="BE787" s="102"/>
      <c r="BF787" s="102"/>
      <c r="BG787" s="102"/>
      <c r="BH787" s="104"/>
      <c r="BI787" s="152"/>
      <c r="BJ787" s="103"/>
      <c r="BK787" s="103"/>
      <c r="BL787" s="103"/>
      <c r="BM787" s="103"/>
      <c r="BN787" s="103"/>
      <c r="BO787" s="103"/>
      <c r="BP787" s="103"/>
      <c r="BQ787" s="103"/>
      <c r="BR787" s="103"/>
      <c r="BS787" s="103"/>
      <c r="BT787" s="103"/>
      <c r="BU787" s="104"/>
      <c r="BV787" s="104"/>
      <c r="BW787" s="104"/>
      <c r="BX787" s="104"/>
      <c r="BY787" s="104"/>
      <c r="BZ787" s="104"/>
      <c r="CA787" s="104"/>
      <c r="CB787" s="104"/>
      <c r="CC787" s="104"/>
      <c r="CD787" s="104"/>
      <c r="CE787" s="103"/>
      <c r="CF787" s="103"/>
      <c r="CG787" s="103"/>
      <c r="CH787" s="103"/>
      <c r="CI787" s="103"/>
      <c r="CJ787" s="133"/>
      <c r="CK787" s="133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53"/>
      <c r="DF787" s="51"/>
      <c r="DJ787" s="52"/>
      <c r="DK787" s="52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P787" s="53"/>
      <c r="EQ787" s="1"/>
      <c r="ER787" s="103"/>
      <c r="ES787" s="103"/>
      <c r="ET787" s="1"/>
      <c r="EU787" s="103"/>
      <c r="EV787" s="1"/>
      <c r="EW787" s="1"/>
      <c r="EX787" s="1"/>
      <c r="EY787" s="105"/>
    </row>
    <row r="788" spans="9:155">
      <c r="I788" s="132"/>
      <c r="J788" s="133"/>
      <c r="K788" s="1"/>
      <c r="L788" s="1"/>
      <c r="Q788" s="1"/>
      <c r="R788" s="1"/>
      <c r="S788" s="103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53"/>
      <c r="AN788" s="103"/>
      <c r="AO788" s="103"/>
      <c r="AP788" s="103"/>
      <c r="AQ788" s="103"/>
      <c r="AR788" s="103"/>
      <c r="AS788" s="31"/>
      <c r="AT788" s="31"/>
      <c r="AU788" s="31"/>
      <c r="AV788" s="30"/>
      <c r="AW788" s="30"/>
      <c r="AX788" s="103"/>
      <c r="AY788" s="103"/>
      <c r="AZ788" s="103"/>
      <c r="BA788" s="103"/>
      <c r="BB788" s="103"/>
      <c r="BC788" s="103"/>
      <c r="BD788" s="104"/>
      <c r="BE788" s="102"/>
      <c r="BF788" s="102"/>
      <c r="BG788" s="102"/>
      <c r="BH788" s="104"/>
      <c r="BI788" s="152"/>
      <c r="BJ788" s="103"/>
      <c r="BK788" s="103"/>
      <c r="BL788" s="103"/>
      <c r="BM788" s="103"/>
      <c r="BN788" s="103"/>
      <c r="BO788" s="103"/>
      <c r="BP788" s="103"/>
      <c r="BQ788" s="103"/>
      <c r="BR788" s="103"/>
      <c r="BS788" s="103"/>
      <c r="BT788" s="103"/>
      <c r="BU788" s="104"/>
      <c r="BV788" s="104"/>
      <c r="BW788" s="104"/>
      <c r="BX788" s="104"/>
      <c r="BY788" s="104"/>
      <c r="BZ788" s="104"/>
      <c r="CA788" s="104"/>
      <c r="CB788" s="104"/>
      <c r="CC788" s="104"/>
      <c r="CD788" s="104"/>
      <c r="CE788" s="103"/>
      <c r="CF788" s="103"/>
      <c r="CG788" s="103"/>
      <c r="CH788" s="103"/>
      <c r="CI788" s="103"/>
      <c r="CJ788" s="133"/>
      <c r="CK788" s="133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53"/>
      <c r="DF788" s="51"/>
      <c r="DJ788" s="52"/>
      <c r="DK788" s="52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P788" s="53"/>
      <c r="EQ788" s="1"/>
      <c r="ER788" s="103"/>
      <c r="ES788" s="103"/>
      <c r="ET788" s="1"/>
      <c r="EU788" s="103"/>
      <c r="EV788" s="1"/>
      <c r="EW788" s="1"/>
      <c r="EX788" s="1"/>
      <c r="EY788" s="105"/>
    </row>
    <row r="789" spans="9:155">
      <c r="I789" s="132"/>
      <c r="J789" s="133"/>
      <c r="K789" s="1"/>
      <c r="L789" s="1"/>
      <c r="Q789" s="1"/>
      <c r="R789" s="1"/>
      <c r="S789" s="103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53"/>
      <c r="AN789" s="103"/>
      <c r="AO789" s="103"/>
      <c r="AP789" s="103"/>
      <c r="AQ789" s="103"/>
      <c r="AR789" s="103"/>
      <c r="AS789" s="31"/>
      <c r="AT789" s="31"/>
      <c r="AU789" s="31"/>
      <c r="AV789" s="30"/>
      <c r="AW789" s="30"/>
      <c r="AX789" s="103"/>
      <c r="AY789" s="103"/>
      <c r="AZ789" s="103"/>
      <c r="BA789" s="103"/>
      <c r="BB789" s="103"/>
      <c r="BC789" s="103"/>
      <c r="BD789" s="104"/>
      <c r="BE789" s="102"/>
      <c r="BF789" s="102"/>
      <c r="BG789" s="102"/>
      <c r="BH789" s="104"/>
      <c r="BI789" s="152"/>
      <c r="BJ789" s="103"/>
      <c r="BK789" s="103"/>
      <c r="BL789" s="103"/>
      <c r="BM789" s="103"/>
      <c r="BN789" s="103"/>
      <c r="BO789" s="103"/>
      <c r="BP789" s="103"/>
      <c r="BQ789" s="103"/>
      <c r="BR789" s="103"/>
      <c r="BS789" s="103"/>
      <c r="BT789" s="103"/>
      <c r="BU789" s="104"/>
      <c r="BV789" s="104"/>
      <c r="BW789" s="104"/>
      <c r="BX789" s="104"/>
      <c r="BY789" s="104"/>
      <c r="BZ789" s="104"/>
      <c r="CA789" s="104"/>
      <c r="CB789" s="104"/>
      <c r="CC789" s="104"/>
      <c r="CD789" s="104"/>
      <c r="CE789" s="103"/>
      <c r="CF789" s="103"/>
      <c r="CG789" s="103"/>
      <c r="CH789" s="103"/>
      <c r="CI789" s="103"/>
      <c r="CJ789" s="133"/>
      <c r="CK789" s="133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53"/>
      <c r="DF789" s="51"/>
      <c r="DJ789" s="52"/>
      <c r="DK789" s="52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P789" s="53"/>
      <c r="EQ789" s="1"/>
      <c r="ER789" s="103"/>
      <c r="ES789" s="103"/>
      <c r="ET789" s="1"/>
      <c r="EU789" s="103"/>
      <c r="EV789" s="1"/>
      <c r="EW789" s="1"/>
      <c r="EX789" s="1"/>
      <c r="EY789" s="105"/>
    </row>
    <row r="790" spans="9:155">
      <c r="I790" s="132"/>
      <c r="J790" s="133"/>
      <c r="K790" s="1"/>
      <c r="L790" s="1"/>
      <c r="Q790" s="1"/>
      <c r="R790" s="1"/>
      <c r="S790" s="103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53"/>
      <c r="AN790" s="103"/>
      <c r="AO790" s="103"/>
      <c r="AP790" s="103"/>
      <c r="AQ790" s="103"/>
      <c r="AR790" s="103"/>
      <c r="AS790" s="31"/>
      <c r="AT790" s="31"/>
      <c r="AU790" s="31"/>
      <c r="AV790" s="30"/>
      <c r="AW790" s="30"/>
      <c r="AX790" s="103"/>
      <c r="AY790" s="103"/>
      <c r="AZ790" s="103"/>
      <c r="BA790" s="103"/>
      <c r="BB790" s="103"/>
      <c r="BC790" s="103"/>
      <c r="BD790" s="104"/>
      <c r="BE790" s="102"/>
      <c r="BF790" s="102"/>
      <c r="BG790" s="102"/>
      <c r="BH790" s="104"/>
      <c r="BI790" s="152"/>
      <c r="BJ790" s="103"/>
      <c r="BK790" s="103"/>
      <c r="BL790" s="103"/>
      <c r="BM790" s="103"/>
      <c r="BN790" s="103"/>
      <c r="BO790" s="103"/>
      <c r="BP790" s="103"/>
      <c r="BQ790" s="103"/>
      <c r="BR790" s="103"/>
      <c r="BS790" s="103"/>
      <c r="BT790" s="103"/>
      <c r="BU790" s="104"/>
      <c r="BV790" s="104"/>
      <c r="BW790" s="104"/>
      <c r="BX790" s="104"/>
      <c r="BY790" s="104"/>
      <c r="BZ790" s="104"/>
      <c r="CA790" s="104"/>
      <c r="CB790" s="104"/>
      <c r="CC790" s="104"/>
      <c r="CD790" s="104"/>
      <c r="CE790" s="103"/>
      <c r="CF790" s="103"/>
      <c r="CG790" s="103"/>
      <c r="CH790" s="103"/>
      <c r="CI790" s="103"/>
      <c r="CJ790" s="133"/>
      <c r="CK790" s="133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53"/>
      <c r="DF790" s="51"/>
      <c r="DJ790" s="52"/>
      <c r="DK790" s="52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P790" s="53"/>
      <c r="EQ790" s="1"/>
      <c r="ER790" s="103"/>
      <c r="ES790" s="103"/>
      <c r="ET790" s="1"/>
      <c r="EU790" s="103"/>
      <c r="EV790" s="1"/>
      <c r="EW790" s="1"/>
      <c r="EX790" s="1"/>
      <c r="EY790" s="105"/>
    </row>
    <row r="791" spans="9:155">
      <c r="I791" s="132"/>
      <c r="J791" s="133"/>
      <c r="K791" s="1"/>
      <c r="L791" s="1"/>
      <c r="Q791" s="1"/>
      <c r="R791" s="1"/>
      <c r="S791" s="103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53"/>
      <c r="AN791" s="103"/>
      <c r="AO791" s="103"/>
      <c r="AP791" s="103"/>
      <c r="AQ791" s="103"/>
      <c r="AR791" s="103"/>
      <c r="AS791" s="31"/>
      <c r="AT791" s="31"/>
      <c r="AU791" s="31"/>
      <c r="AV791" s="30"/>
      <c r="AW791" s="30"/>
      <c r="AX791" s="103"/>
      <c r="AY791" s="103"/>
      <c r="AZ791" s="103"/>
      <c r="BA791" s="103"/>
      <c r="BB791" s="103"/>
      <c r="BC791" s="103"/>
      <c r="BD791" s="104"/>
      <c r="BE791" s="102"/>
      <c r="BF791" s="102"/>
      <c r="BG791" s="102"/>
      <c r="BH791" s="104"/>
      <c r="BI791" s="152"/>
      <c r="BJ791" s="103"/>
      <c r="BK791" s="103"/>
      <c r="BL791" s="103"/>
      <c r="BM791" s="103"/>
      <c r="BN791" s="103"/>
      <c r="BO791" s="103"/>
      <c r="BP791" s="103"/>
      <c r="BQ791" s="103"/>
      <c r="BR791" s="103"/>
      <c r="BS791" s="103"/>
      <c r="BT791" s="103"/>
      <c r="BU791" s="104"/>
      <c r="BV791" s="104"/>
      <c r="BW791" s="104"/>
      <c r="BX791" s="104"/>
      <c r="BY791" s="104"/>
      <c r="BZ791" s="104"/>
      <c r="CA791" s="104"/>
      <c r="CB791" s="104"/>
      <c r="CC791" s="104"/>
      <c r="CD791" s="104"/>
      <c r="CE791" s="103"/>
      <c r="CF791" s="103"/>
      <c r="CG791" s="103"/>
      <c r="CH791" s="103"/>
      <c r="CI791" s="103"/>
      <c r="CJ791" s="133"/>
      <c r="CK791" s="133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53"/>
      <c r="DF791" s="51"/>
      <c r="DJ791" s="52"/>
      <c r="DK791" s="52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P791" s="53"/>
      <c r="EQ791" s="1"/>
      <c r="ER791" s="103"/>
      <c r="ES791" s="103"/>
      <c r="ET791" s="1"/>
      <c r="EU791" s="103"/>
      <c r="EV791" s="1"/>
      <c r="EW791" s="1"/>
      <c r="EX791" s="1"/>
      <c r="EY791" s="105"/>
    </row>
    <row r="792" spans="9:155">
      <c r="I792" s="132"/>
      <c r="J792" s="133"/>
      <c r="K792" s="1"/>
      <c r="L792" s="1"/>
      <c r="Q792" s="1"/>
      <c r="R792" s="1"/>
      <c r="S792" s="103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53"/>
      <c r="AN792" s="103"/>
      <c r="AO792" s="103"/>
      <c r="AP792" s="103"/>
      <c r="AQ792" s="103"/>
      <c r="AR792" s="103"/>
      <c r="AS792" s="31"/>
      <c r="AT792" s="31"/>
      <c r="AU792" s="31"/>
      <c r="AV792" s="30"/>
      <c r="AW792" s="30"/>
      <c r="AX792" s="103"/>
      <c r="AY792" s="103"/>
      <c r="AZ792" s="103"/>
      <c r="BA792" s="103"/>
      <c r="BB792" s="103"/>
      <c r="BC792" s="103"/>
      <c r="BD792" s="104"/>
      <c r="BE792" s="102"/>
      <c r="BF792" s="102"/>
      <c r="BG792" s="102"/>
      <c r="BH792" s="104"/>
      <c r="BI792" s="152"/>
      <c r="BJ792" s="103"/>
      <c r="BK792" s="103"/>
      <c r="BL792" s="103"/>
      <c r="BM792" s="103"/>
      <c r="BN792" s="103"/>
      <c r="BO792" s="103"/>
      <c r="BP792" s="103"/>
      <c r="BQ792" s="103"/>
      <c r="BR792" s="103"/>
      <c r="BS792" s="103"/>
      <c r="BT792" s="103"/>
      <c r="BU792" s="104"/>
      <c r="BV792" s="104"/>
      <c r="BW792" s="104"/>
      <c r="BX792" s="104"/>
      <c r="BY792" s="104"/>
      <c r="BZ792" s="104"/>
      <c r="CA792" s="104"/>
      <c r="CB792" s="104"/>
      <c r="CC792" s="104"/>
      <c r="CD792" s="104"/>
      <c r="CE792" s="103"/>
      <c r="CF792" s="103"/>
      <c r="CG792" s="103"/>
      <c r="CH792" s="103"/>
      <c r="CI792" s="103"/>
      <c r="CJ792" s="133"/>
      <c r="CK792" s="133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53"/>
      <c r="DF792" s="51"/>
      <c r="DJ792" s="52"/>
      <c r="DK792" s="52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P792" s="53"/>
      <c r="EQ792" s="1"/>
      <c r="ER792" s="103"/>
      <c r="ES792" s="103"/>
      <c r="ET792" s="1"/>
      <c r="EU792" s="103"/>
      <c r="EV792" s="1"/>
      <c r="EW792" s="1"/>
      <c r="EX792" s="1"/>
      <c r="EY792" s="105"/>
    </row>
    <row r="793" spans="9:155">
      <c r="I793" s="132"/>
      <c r="J793" s="133"/>
      <c r="K793" s="1"/>
      <c r="L793" s="1"/>
      <c r="Q793" s="1"/>
      <c r="R793" s="1"/>
      <c r="S793" s="103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53"/>
      <c r="AN793" s="103"/>
      <c r="AO793" s="103"/>
      <c r="AP793" s="103"/>
      <c r="AQ793" s="103"/>
      <c r="AR793" s="103"/>
      <c r="AS793" s="31"/>
      <c r="AT793" s="31"/>
      <c r="AU793" s="31"/>
      <c r="AV793" s="30"/>
      <c r="AW793" s="30"/>
      <c r="AX793" s="103"/>
      <c r="AY793" s="103"/>
      <c r="AZ793" s="103"/>
      <c r="BA793" s="103"/>
      <c r="BB793" s="103"/>
      <c r="BC793" s="103"/>
      <c r="BD793" s="104"/>
      <c r="BE793" s="102"/>
      <c r="BF793" s="102"/>
      <c r="BG793" s="102"/>
      <c r="BH793" s="104"/>
      <c r="BI793" s="152"/>
      <c r="BJ793" s="103"/>
      <c r="BK793" s="103"/>
      <c r="BL793" s="103"/>
      <c r="BM793" s="103"/>
      <c r="BN793" s="103"/>
      <c r="BO793" s="103"/>
      <c r="BP793" s="103"/>
      <c r="BQ793" s="103"/>
      <c r="BR793" s="103"/>
      <c r="BS793" s="103"/>
      <c r="BT793" s="103"/>
      <c r="BU793" s="104"/>
      <c r="BV793" s="104"/>
      <c r="BW793" s="104"/>
      <c r="BX793" s="104"/>
      <c r="BY793" s="104"/>
      <c r="BZ793" s="104"/>
      <c r="CA793" s="104"/>
      <c r="CB793" s="104"/>
      <c r="CC793" s="104"/>
      <c r="CD793" s="104"/>
      <c r="CE793" s="103"/>
      <c r="CF793" s="103"/>
      <c r="CG793" s="103"/>
      <c r="CH793" s="103"/>
      <c r="CI793" s="103"/>
      <c r="CJ793" s="133"/>
      <c r="CK793" s="133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53"/>
      <c r="DF793" s="51"/>
      <c r="DJ793" s="52"/>
      <c r="DK793" s="52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P793" s="53"/>
      <c r="EQ793" s="1"/>
      <c r="ER793" s="103"/>
      <c r="ES793" s="103"/>
      <c r="ET793" s="1"/>
      <c r="EU793" s="103"/>
      <c r="EV793" s="1"/>
      <c r="EW793" s="1"/>
      <c r="EX793" s="1"/>
      <c r="EY793" s="105"/>
    </row>
    <row r="794" spans="9:155">
      <c r="I794" s="132"/>
      <c r="J794" s="133"/>
      <c r="K794" s="1"/>
      <c r="L794" s="1"/>
      <c r="Q794" s="1"/>
      <c r="R794" s="1"/>
      <c r="S794" s="103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53"/>
      <c r="AN794" s="103"/>
      <c r="AO794" s="103"/>
      <c r="AP794" s="103"/>
      <c r="AQ794" s="103"/>
      <c r="AR794" s="103"/>
      <c r="AS794" s="31"/>
      <c r="AT794" s="31"/>
      <c r="AU794" s="31"/>
      <c r="AV794" s="30"/>
      <c r="AW794" s="30"/>
      <c r="AX794" s="103"/>
      <c r="AY794" s="103"/>
      <c r="AZ794" s="103"/>
      <c r="BA794" s="103"/>
      <c r="BB794" s="103"/>
      <c r="BC794" s="103"/>
      <c r="BD794" s="104"/>
      <c r="BE794" s="102"/>
      <c r="BF794" s="102"/>
      <c r="BG794" s="102"/>
      <c r="BH794" s="104"/>
      <c r="BI794" s="152"/>
      <c r="BJ794" s="103"/>
      <c r="BK794" s="103"/>
      <c r="BL794" s="103"/>
      <c r="BM794" s="103"/>
      <c r="BN794" s="103"/>
      <c r="BO794" s="103"/>
      <c r="BP794" s="103"/>
      <c r="BQ794" s="103"/>
      <c r="BR794" s="103"/>
      <c r="BS794" s="103"/>
      <c r="BT794" s="103"/>
      <c r="BU794" s="104"/>
      <c r="BV794" s="104"/>
      <c r="BW794" s="104"/>
      <c r="BX794" s="104"/>
      <c r="BY794" s="104"/>
      <c r="BZ794" s="104"/>
      <c r="CA794" s="104"/>
      <c r="CB794" s="104"/>
      <c r="CC794" s="104"/>
      <c r="CD794" s="104"/>
      <c r="CE794" s="103"/>
      <c r="CF794" s="103"/>
      <c r="CG794" s="103"/>
      <c r="CH794" s="103"/>
      <c r="CI794" s="103"/>
      <c r="CJ794" s="133"/>
      <c r="CK794" s="133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53"/>
      <c r="DF794" s="51"/>
      <c r="DJ794" s="52"/>
      <c r="DK794" s="52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P794" s="53"/>
      <c r="EQ794" s="1"/>
      <c r="ER794" s="103"/>
      <c r="ES794" s="103"/>
      <c r="ET794" s="1"/>
      <c r="EU794" s="103"/>
      <c r="EV794" s="1"/>
      <c r="EW794" s="1"/>
      <c r="EX794" s="1"/>
      <c r="EY794" s="105"/>
    </row>
    <row r="795" spans="9:155">
      <c r="I795" s="132"/>
      <c r="J795" s="133"/>
      <c r="K795" s="1"/>
      <c r="L795" s="1"/>
      <c r="Q795" s="1"/>
      <c r="R795" s="1"/>
      <c r="S795" s="103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53"/>
      <c r="AN795" s="103"/>
      <c r="AO795" s="103"/>
      <c r="AP795" s="103"/>
      <c r="AQ795" s="103"/>
      <c r="AR795" s="103"/>
      <c r="AS795" s="31"/>
      <c r="AT795" s="31"/>
      <c r="AU795" s="31"/>
      <c r="AV795" s="30"/>
      <c r="AW795" s="30"/>
      <c r="AX795" s="103"/>
      <c r="AY795" s="103"/>
      <c r="AZ795" s="103"/>
      <c r="BA795" s="103"/>
      <c r="BB795" s="103"/>
      <c r="BC795" s="103"/>
      <c r="BD795" s="104"/>
      <c r="BE795" s="102"/>
      <c r="BF795" s="102"/>
      <c r="BG795" s="102"/>
      <c r="BH795" s="104"/>
      <c r="BI795" s="152"/>
      <c r="BJ795" s="103"/>
      <c r="BK795" s="103"/>
      <c r="BL795" s="103"/>
      <c r="BM795" s="103"/>
      <c r="BN795" s="103"/>
      <c r="BO795" s="103"/>
      <c r="BP795" s="103"/>
      <c r="BQ795" s="103"/>
      <c r="BR795" s="103"/>
      <c r="BS795" s="103"/>
      <c r="BT795" s="103"/>
      <c r="BU795" s="104"/>
      <c r="BV795" s="104"/>
      <c r="BW795" s="104"/>
      <c r="BX795" s="104"/>
      <c r="BY795" s="104"/>
      <c r="BZ795" s="104"/>
      <c r="CA795" s="104"/>
      <c r="CB795" s="104"/>
      <c r="CC795" s="104"/>
      <c r="CD795" s="104"/>
      <c r="CE795" s="103"/>
      <c r="CF795" s="103"/>
      <c r="CG795" s="103"/>
      <c r="CH795" s="103"/>
      <c r="CI795" s="103"/>
      <c r="CJ795" s="133"/>
      <c r="CK795" s="133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53"/>
      <c r="DF795" s="51"/>
      <c r="DJ795" s="52"/>
      <c r="DK795" s="52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P795" s="53"/>
      <c r="EQ795" s="1"/>
      <c r="ER795" s="103"/>
      <c r="ES795" s="103"/>
      <c r="ET795" s="1"/>
      <c r="EU795" s="103"/>
      <c r="EV795" s="1"/>
      <c r="EW795" s="1"/>
      <c r="EX795" s="1"/>
      <c r="EY795" s="105"/>
    </row>
    <row r="796" spans="9:155">
      <c r="I796" s="132"/>
      <c r="J796" s="133"/>
      <c r="K796" s="1"/>
      <c r="L796" s="1"/>
      <c r="Q796" s="1"/>
      <c r="R796" s="1"/>
      <c r="S796" s="103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53"/>
      <c r="AN796" s="103"/>
      <c r="AO796" s="103"/>
      <c r="AP796" s="103"/>
      <c r="AQ796" s="103"/>
      <c r="AR796" s="103"/>
      <c r="AS796" s="31"/>
      <c r="AT796" s="31"/>
      <c r="AU796" s="31"/>
      <c r="AV796" s="30"/>
      <c r="AW796" s="30"/>
      <c r="AX796" s="103"/>
      <c r="AY796" s="103"/>
      <c r="AZ796" s="103"/>
      <c r="BA796" s="103"/>
      <c r="BB796" s="103"/>
      <c r="BC796" s="103"/>
      <c r="BD796" s="104"/>
      <c r="BE796" s="102"/>
      <c r="BF796" s="102"/>
      <c r="BG796" s="102"/>
      <c r="BH796" s="104"/>
      <c r="BI796" s="152"/>
      <c r="BJ796" s="103"/>
      <c r="BK796" s="103"/>
      <c r="BL796" s="103"/>
      <c r="BM796" s="103"/>
      <c r="BN796" s="103"/>
      <c r="BO796" s="103"/>
      <c r="BP796" s="103"/>
      <c r="BQ796" s="103"/>
      <c r="BR796" s="103"/>
      <c r="BS796" s="103"/>
      <c r="BT796" s="103"/>
      <c r="BU796" s="104"/>
      <c r="BV796" s="104"/>
      <c r="BW796" s="104"/>
      <c r="BX796" s="104"/>
      <c r="BY796" s="104"/>
      <c r="BZ796" s="104"/>
      <c r="CA796" s="104"/>
      <c r="CB796" s="104"/>
      <c r="CC796" s="104"/>
      <c r="CD796" s="104"/>
      <c r="CE796" s="103"/>
      <c r="CF796" s="103"/>
      <c r="CG796" s="103"/>
      <c r="CH796" s="103"/>
      <c r="CI796" s="103"/>
      <c r="CJ796" s="133"/>
      <c r="CK796" s="133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53"/>
      <c r="DF796" s="51"/>
      <c r="DJ796" s="52"/>
      <c r="DK796" s="52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P796" s="53"/>
      <c r="EQ796" s="1"/>
      <c r="ER796" s="103"/>
      <c r="ES796" s="103"/>
      <c r="ET796" s="1"/>
      <c r="EU796" s="103"/>
      <c r="EV796" s="1"/>
      <c r="EW796" s="1"/>
      <c r="EX796" s="1"/>
      <c r="EY796" s="105"/>
    </row>
    <row r="797" spans="9:155">
      <c r="I797" s="132"/>
      <c r="J797" s="133"/>
      <c r="K797" s="1"/>
      <c r="L797" s="1"/>
      <c r="Q797" s="1"/>
      <c r="R797" s="1"/>
      <c r="S797" s="103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53"/>
      <c r="AN797" s="103"/>
      <c r="AO797" s="103"/>
      <c r="AP797" s="103"/>
      <c r="AQ797" s="103"/>
      <c r="AR797" s="103"/>
      <c r="AS797" s="31"/>
      <c r="AT797" s="31"/>
      <c r="AU797" s="31"/>
      <c r="AV797" s="30"/>
      <c r="AW797" s="30"/>
      <c r="AX797" s="103"/>
      <c r="AY797" s="103"/>
      <c r="AZ797" s="103"/>
      <c r="BA797" s="103"/>
      <c r="BB797" s="103"/>
      <c r="BC797" s="103"/>
      <c r="BD797" s="104"/>
      <c r="BE797" s="102"/>
      <c r="BF797" s="102"/>
      <c r="BG797" s="102"/>
      <c r="BH797" s="104"/>
      <c r="BI797" s="152"/>
      <c r="BJ797" s="103"/>
      <c r="BK797" s="103"/>
      <c r="BL797" s="103"/>
      <c r="BM797" s="103"/>
      <c r="BN797" s="103"/>
      <c r="BO797" s="103"/>
      <c r="BP797" s="103"/>
      <c r="BQ797" s="103"/>
      <c r="BR797" s="103"/>
      <c r="BS797" s="103"/>
      <c r="BT797" s="103"/>
      <c r="BU797" s="104"/>
      <c r="BV797" s="104"/>
      <c r="BW797" s="104"/>
      <c r="BX797" s="104"/>
      <c r="BY797" s="104"/>
      <c r="BZ797" s="104"/>
      <c r="CA797" s="104"/>
      <c r="CB797" s="104"/>
      <c r="CC797" s="104"/>
      <c r="CD797" s="104"/>
      <c r="CE797" s="103"/>
      <c r="CF797" s="103"/>
      <c r="CG797" s="103"/>
      <c r="CH797" s="103"/>
      <c r="CI797" s="103"/>
      <c r="CJ797" s="133"/>
      <c r="CK797" s="133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53"/>
      <c r="DF797" s="51"/>
      <c r="DJ797" s="52"/>
      <c r="DK797" s="52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P797" s="53"/>
      <c r="EQ797" s="1"/>
      <c r="ER797" s="103"/>
      <c r="ES797" s="103"/>
      <c r="ET797" s="1"/>
      <c r="EU797" s="103"/>
      <c r="EV797" s="1"/>
      <c r="EW797" s="1"/>
      <c r="EX797" s="1"/>
      <c r="EY797" s="105"/>
    </row>
    <row r="798" spans="9:155">
      <c r="I798" s="132"/>
      <c r="J798" s="133"/>
      <c r="K798" s="1"/>
      <c r="L798" s="1"/>
      <c r="Q798" s="1"/>
      <c r="R798" s="1"/>
      <c r="S798" s="103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53"/>
      <c r="AN798" s="103"/>
      <c r="AO798" s="103"/>
      <c r="AP798" s="103"/>
      <c r="AQ798" s="103"/>
      <c r="AR798" s="103"/>
      <c r="AS798" s="31"/>
      <c r="AT798" s="31"/>
      <c r="AU798" s="31"/>
      <c r="AV798" s="30"/>
      <c r="AW798" s="30"/>
      <c r="AX798" s="103"/>
      <c r="AY798" s="103"/>
      <c r="AZ798" s="103"/>
      <c r="BA798" s="103"/>
      <c r="BB798" s="103"/>
      <c r="BC798" s="103"/>
      <c r="BD798" s="104"/>
      <c r="BE798" s="102"/>
      <c r="BF798" s="102"/>
      <c r="BG798" s="102"/>
      <c r="BH798" s="104"/>
      <c r="BI798" s="152"/>
      <c r="BJ798" s="103"/>
      <c r="BK798" s="103"/>
      <c r="BL798" s="103"/>
      <c r="BM798" s="103"/>
      <c r="BN798" s="103"/>
      <c r="BO798" s="103"/>
      <c r="BP798" s="103"/>
      <c r="BQ798" s="103"/>
      <c r="BR798" s="103"/>
      <c r="BS798" s="103"/>
      <c r="BT798" s="103"/>
      <c r="BU798" s="104"/>
      <c r="BV798" s="104"/>
      <c r="BW798" s="104"/>
      <c r="BX798" s="104"/>
      <c r="BY798" s="104"/>
      <c r="BZ798" s="104"/>
      <c r="CA798" s="104"/>
      <c r="CB798" s="104"/>
      <c r="CC798" s="104"/>
      <c r="CD798" s="104"/>
      <c r="CE798" s="103"/>
      <c r="CF798" s="103"/>
      <c r="CG798" s="103"/>
      <c r="CH798" s="103"/>
      <c r="CI798" s="103"/>
      <c r="CJ798" s="133"/>
      <c r="CK798" s="133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53"/>
      <c r="DF798" s="51"/>
      <c r="DJ798" s="52"/>
      <c r="DK798" s="52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P798" s="53"/>
      <c r="EQ798" s="1"/>
      <c r="ER798" s="103"/>
      <c r="ES798" s="103"/>
      <c r="ET798" s="1"/>
      <c r="EU798" s="103"/>
      <c r="EV798" s="1"/>
      <c r="EW798" s="1"/>
      <c r="EX798" s="1"/>
      <c r="EY798" s="105"/>
    </row>
    <row r="799" spans="9:155">
      <c r="I799" s="132"/>
      <c r="J799" s="133"/>
      <c r="K799" s="1"/>
      <c r="L799" s="1"/>
      <c r="Q799" s="1"/>
      <c r="R799" s="1"/>
      <c r="S799" s="103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53"/>
      <c r="AN799" s="103"/>
      <c r="AO799" s="103"/>
      <c r="AP799" s="103"/>
      <c r="AQ799" s="103"/>
      <c r="AR799" s="103"/>
      <c r="AS799" s="31"/>
      <c r="AT799" s="31"/>
      <c r="AU799" s="31"/>
      <c r="AV799" s="30"/>
      <c r="AW799" s="30"/>
      <c r="AX799" s="103"/>
      <c r="AY799" s="103"/>
      <c r="AZ799" s="103"/>
      <c r="BA799" s="103"/>
      <c r="BB799" s="103"/>
      <c r="BC799" s="103"/>
      <c r="BD799" s="104"/>
      <c r="BE799" s="102"/>
      <c r="BF799" s="102"/>
      <c r="BG799" s="102"/>
      <c r="BH799" s="104"/>
      <c r="BI799" s="152"/>
      <c r="BJ799" s="103"/>
      <c r="BK799" s="103"/>
      <c r="BL799" s="103"/>
      <c r="BM799" s="103"/>
      <c r="BN799" s="103"/>
      <c r="BO799" s="103"/>
      <c r="BP799" s="103"/>
      <c r="BQ799" s="103"/>
      <c r="BR799" s="103"/>
      <c r="BS799" s="103"/>
      <c r="BT799" s="103"/>
      <c r="BU799" s="104"/>
      <c r="BV799" s="104"/>
      <c r="BW799" s="104"/>
      <c r="BX799" s="104"/>
      <c r="BY799" s="104"/>
      <c r="BZ799" s="104"/>
      <c r="CA799" s="104"/>
      <c r="CB799" s="104"/>
      <c r="CC799" s="104"/>
      <c r="CD799" s="104"/>
      <c r="CE799" s="103"/>
      <c r="CF799" s="103"/>
      <c r="CG799" s="103"/>
      <c r="CH799" s="103"/>
      <c r="CI799" s="103"/>
      <c r="CJ799" s="133"/>
      <c r="CK799" s="133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53"/>
      <c r="DF799" s="51"/>
      <c r="DJ799" s="52"/>
      <c r="DK799" s="52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P799" s="53"/>
      <c r="EQ799" s="1"/>
      <c r="ER799" s="103"/>
      <c r="ES799" s="103"/>
      <c r="ET799" s="1"/>
      <c r="EU799" s="103"/>
      <c r="EV799" s="1"/>
      <c r="EW799" s="1"/>
      <c r="EX799" s="1"/>
      <c r="EY799" s="105"/>
    </row>
    <row r="800" spans="9:155">
      <c r="I800" s="132"/>
      <c r="J800" s="133"/>
      <c r="K800" s="1"/>
      <c r="L800" s="1"/>
      <c r="Q800" s="1"/>
      <c r="R800" s="1"/>
      <c r="S800" s="103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53"/>
      <c r="AN800" s="103"/>
      <c r="AO800" s="103"/>
      <c r="AP800" s="103"/>
      <c r="AQ800" s="103"/>
      <c r="AR800" s="103"/>
      <c r="AS800" s="31"/>
      <c r="AT800" s="31"/>
      <c r="AU800" s="31"/>
      <c r="AV800" s="30"/>
      <c r="AW800" s="30"/>
      <c r="AX800" s="103"/>
      <c r="AY800" s="103"/>
      <c r="AZ800" s="103"/>
      <c r="BA800" s="103"/>
      <c r="BB800" s="103"/>
      <c r="BC800" s="103"/>
      <c r="BD800" s="104"/>
      <c r="BE800" s="102"/>
      <c r="BF800" s="102"/>
      <c r="BG800" s="102"/>
      <c r="BH800" s="104"/>
      <c r="BI800" s="152"/>
      <c r="BJ800" s="103"/>
      <c r="BK800" s="103"/>
      <c r="BL800" s="103"/>
      <c r="BM800" s="103"/>
      <c r="BN800" s="103"/>
      <c r="BO800" s="103"/>
      <c r="BP800" s="103"/>
      <c r="BQ800" s="103"/>
      <c r="BR800" s="103"/>
      <c r="BS800" s="103"/>
      <c r="BT800" s="103"/>
      <c r="BU800" s="104"/>
      <c r="BV800" s="104"/>
      <c r="BW800" s="104"/>
      <c r="BX800" s="104"/>
      <c r="BY800" s="104"/>
      <c r="BZ800" s="104"/>
      <c r="CA800" s="104"/>
      <c r="CB800" s="104"/>
      <c r="CC800" s="104"/>
      <c r="CD800" s="104"/>
      <c r="CE800" s="103"/>
      <c r="CF800" s="103"/>
      <c r="CG800" s="103"/>
      <c r="CH800" s="103"/>
      <c r="CI800" s="103"/>
      <c r="CJ800" s="133"/>
      <c r="CK800" s="133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53"/>
      <c r="DF800" s="51"/>
      <c r="DJ800" s="52"/>
      <c r="DK800" s="52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P800" s="53"/>
      <c r="EQ800" s="1"/>
      <c r="ER800" s="103"/>
      <c r="ES800" s="103"/>
      <c r="ET800" s="1"/>
      <c r="EU800" s="103"/>
      <c r="EV800" s="1"/>
      <c r="EW800" s="1"/>
      <c r="EX800" s="1"/>
      <c r="EY800" s="105"/>
    </row>
    <row r="801" spans="9:153">
      <c r="I801" s="132"/>
      <c r="J801" s="133"/>
      <c r="K801" s="1"/>
      <c r="L801" s="1"/>
      <c r="Q801" s="1"/>
      <c r="R801" s="1"/>
      <c r="S801" s="103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53"/>
      <c r="AN801" s="103"/>
      <c r="AO801" s="103"/>
      <c r="AP801" s="103"/>
      <c r="AQ801" s="31"/>
      <c r="AR801" s="31"/>
      <c r="AS801" s="31"/>
      <c r="AT801" s="30"/>
      <c r="AU801" s="30"/>
      <c r="AV801" s="103"/>
      <c r="AW801" s="103"/>
      <c r="AX801" s="103"/>
      <c r="AY801" s="103"/>
      <c r="AZ801" s="103"/>
      <c r="BA801" s="103"/>
      <c r="BB801" s="104"/>
      <c r="BC801" s="102"/>
      <c r="BD801" s="102"/>
      <c r="BE801" s="102"/>
      <c r="BF801" s="104"/>
      <c r="BG801" s="152"/>
      <c r="BH801" s="103"/>
      <c r="BI801" s="103"/>
      <c r="BJ801" s="103"/>
      <c r="BK801" s="103"/>
      <c r="BL801" s="103"/>
      <c r="BM801" s="103"/>
      <c r="BN801" s="103"/>
      <c r="BO801" s="103"/>
      <c r="BP801" s="103"/>
      <c r="BQ801" s="103"/>
      <c r="BR801" s="103"/>
      <c r="BS801" s="104"/>
      <c r="BT801" s="104"/>
      <c r="BU801" s="104"/>
      <c r="BV801" s="104"/>
      <c r="BW801" s="104"/>
      <c r="BX801" s="104"/>
      <c r="BY801" s="104"/>
      <c r="BZ801" s="104"/>
      <c r="CA801" s="104"/>
      <c r="CB801" s="104"/>
      <c r="CC801" s="103"/>
      <c r="CD801" s="103"/>
      <c r="CE801" s="103"/>
      <c r="CF801" s="103"/>
      <c r="CG801" s="103"/>
      <c r="CH801" s="133"/>
      <c r="CI801" s="133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O801" s="1"/>
      <c r="EP801" s="103"/>
      <c r="EQ801" s="103"/>
      <c r="ER801" s="1"/>
      <c r="ES801" s="103"/>
      <c r="ET801" s="1"/>
      <c r="EU801" s="1"/>
      <c r="EV801" s="1"/>
      <c r="EW801" s="105"/>
    </row>
    <row r="802" spans="9:153">
      <c r="I802" s="132"/>
      <c r="J802" s="133"/>
      <c r="K802" s="1"/>
      <c r="L802" s="1"/>
      <c r="Q802" s="1"/>
      <c r="R802" s="1"/>
      <c r="S802" s="103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53"/>
      <c r="AN802" s="103"/>
      <c r="AO802" s="103"/>
      <c r="AP802" s="103"/>
      <c r="AQ802" s="31"/>
      <c r="AR802" s="31"/>
      <c r="AS802" s="31"/>
      <c r="AT802" s="30"/>
      <c r="AU802" s="30"/>
      <c r="AV802" s="103"/>
      <c r="AW802" s="103"/>
      <c r="AX802" s="103"/>
      <c r="AY802" s="103"/>
      <c r="AZ802" s="103"/>
      <c r="BA802" s="103"/>
      <c r="BB802" s="104"/>
      <c r="BC802" s="102"/>
      <c r="BD802" s="102"/>
      <c r="BE802" s="102"/>
      <c r="BF802" s="104"/>
      <c r="BG802" s="152"/>
      <c r="BH802" s="103"/>
      <c r="BI802" s="103"/>
      <c r="BJ802" s="103"/>
      <c r="BK802" s="103"/>
      <c r="BL802" s="103"/>
      <c r="BM802" s="103"/>
      <c r="BN802" s="103"/>
      <c r="BO802" s="103"/>
      <c r="BP802" s="103"/>
      <c r="BQ802" s="103"/>
      <c r="BR802" s="103"/>
      <c r="BS802" s="104"/>
      <c r="BT802" s="104"/>
      <c r="BU802" s="104"/>
      <c r="BV802" s="104"/>
      <c r="BW802" s="104"/>
      <c r="BX802" s="104"/>
      <c r="BY802" s="104"/>
      <c r="BZ802" s="104"/>
      <c r="CA802" s="104"/>
      <c r="CB802" s="104"/>
      <c r="CC802" s="103"/>
      <c r="CD802" s="103"/>
      <c r="CE802" s="103"/>
      <c r="CF802" s="103"/>
      <c r="CG802" s="103"/>
      <c r="CH802" s="133"/>
      <c r="CI802" s="133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O802" s="1"/>
      <c r="EP802" s="103"/>
      <c r="EQ802" s="103"/>
      <c r="ER802" s="1"/>
      <c r="ES802" s="103"/>
      <c r="ET802" s="1"/>
      <c r="EU802" s="1"/>
      <c r="EV802" s="1"/>
      <c r="EW802" s="105"/>
    </row>
    <row r="803" spans="9:153">
      <c r="I803" s="132"/>
      <c r="J803" s="133"/>
      <c r="K803" s="1"/>
      <c r="L803" s="1"/>
      <c r="Q803" s="1"/>
      <c r="R803" s="1"/>
      <c r="S803" s="103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53"/>
      <c r="AN803" s="103"/>
      <c r="AO803" s="103"/>
      <c r="AP803" s="103"/>
      <c r="AQ803" s="31"/>
      <c r="AR803" s="31"/>
      <c r="AS803" s="31"/>
      <c r="AT803" s="30"/>
      <c r="AU803" s="30"/>
      <c r="AV803" s="103"/>
      <c r="AW803" s="103"/>
      <c r="AX803" s="103"/>
      <c r="AY803" s="103"/>
      <c r="AZ803" s="103"/>
      <c r="BA803" s="103"/>
      <c r="BB803" s="104"/>
      <c r="BC803" s="102"/>
      <c r="BD803" s="102"/>
      <c r="BE803" s="102"/>
      <c r="BF803" s="104"/>
      <c r="BG803" s="152"/>
      <c r="BH803" s="103"/>
      <c r="BI803" s="103"/>
      <c r="BJ803" s="103"/>
      <c r="BK803" s="103"/>
      <c r="BL803" s="103"/>
      <c r="BM803" s="103"/>
      <c r="BN803" s="103"/>
      <c r="BO803" s="103"/>
      <c r="BP803" s="103"/>
      <c r="BQ803" s="103"/>
      <c r="BR803" s="103"/>
      <c r="BS803" s="104"/>
      <c r="BT803" s="104"/>
      <c r="BU803" s="104"/>
      <c r="BV803" s="104"/>
      <c r="BW803" s="104"/>
      <c r="BX803" s="104"/>
      <c r="BY803" s="104"/>
      <c r="BZ803" s="104"/>
      <c r="CA803" s="104"/>
      <c r="CB803" s="104"/>
      <c r="CC803" s="103"/>
      <c r="CD803" s="103"/>
      <c r="CE803" s="103"/>
      <c r="CF803" s="103"/>
      <c r="CG803" s="103"/>
      <c r="CH803" s="133"/>
      <c r="CI803" s="133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O803" s="1"/>
      <c r="EP803" s="103"/>
      <c r="EQ803" s="103"/>
      <c r="ER803" s="1"/>
      <c r="ES803" s="103"/>
      <c r="ET803" s="1"/>
      <c r="EU803" s="1"/>
      <c r="EV803" s="1"/>
      <c r="EW803" s="105"/>
    </row>
    <row r="804" spans="9:153">
      <c r="I804" s="132"/>
      <c r="J804" s="133"/>
      <c r="K804" s="1"/>
      <c r="L804" s="1"/>
      <c r="Q804" s="1"/>
      <c r="R804" s="1"/>
      <c r="S804" s="103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53"/>
      <c r="AN804" s="103"/>
      <c r="AO804" s="103"/>
      <c r="AP804" s="103"/>
      <c r="AQ804" s="31"/>
      <c r="AR804" s="31"/>
      <c r="AS804" s="31"/>
      <c r="AT804" s="30"/>
      <c r="AU804" s="30"/>
      <c r="AV804" s="103"/>
      <c r="AW804" s="103"/>
      <c r="AX804" s="103"/>
      <c r="AY804" s="103"/>
      <c r="AZ804" s="103"/>
      <c r="BA804" s="103"/>
      <c r="BB804" s="104"/>
      <c r="BC804" s="102"/>
      <c r="BD804" s="102"/>
      <c r="BE804" s="102"/>
      <c r="BF804" s="104"/>
      <c r="BG804" s="152"/>
      <c r="BH804" s="103"/>
      <c r="BI804" s="103"/>
      <c r="BJ804" s="103"/>
      <c r="BK804" s="103"/>
      <c r="BL804" s="103"/>
      <c r="BM804" s="103"/>
      <c r="BN804" s="103"/>
      <c r="BO804" s="103"/>
      <c r="BP804" s="103"/>
      <c r="BQ804" s="103"/>
      <c r="BR804" s="103"/>
      <c r="BS804" s="104"/>
      <c r="BT804" s="104"/>
      <c r="BU804" s="104"/>
      <c r="BV804" s="104"/>
      <c r="BW804" s="104"/>
      <c r="BX804" s="104"/>
      <c r="BY804" s="104"/>
      <c r="BZ804" s="104"/>
      <c r="CA804" s="104"/>
      <c r="CB804" s="104"/>
      <c r="CC804" s="103"/>
      <c r="CD804" s="103"/>
      <c r="CE804" s="103"/>
      <c r="CF804" s="103"/>
      <c r="CG804" s="103"/>
      <c r="CH804" s="133"/>
      <c r="CI804" s="133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O804" s="1"/>
      <c r="EP804" s="103"/>
      <c r="EQ804" s="103"/>
      <c r="ER804" s="1"/>
      <c r="ES804" s="103"/>
      <c r="ET804" s="1"/>
      <c r="EU804" s="1"/>
      <c r="EV804" s="1"/>
      <c r="EW804" s="105"/>
    </row>
    <row r="805" spans="9:153">
      <c r="I805" s="132"/>
      <c r="J805" s="133"/>
      <c r="K805" s="1"/>
      <c r="L805" s="1"/>
      <c r="Q805" s="1"/>
      <c r="R805" s="1"/>
      <c r="S805" s="103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53"/>
      <c r="AN805" s="103"/>
      <c r="AO805" s="103"/>
      <c r="AP805" s="103"/>
      <c r="AQ805" s="31"/>
      <c r="AR805" s="31"/>
      <c r="AS805" s="31"/>
      <c r="AT805" s="30"/>
      <c r="AU805" s="30"/>
      <c r="AV805" s="103"/>
      <c r="AW805" s="103"/>
      <c r="AX805" s="103"/>
      <c r="AY805" s="103"/>
      <c r="AZ805" s="103"/>
      <c r="BA805" s="103"/>
      <c r="BB805" s="104"/>
      <c r="BC805" s="102"/>
      <c r="BD805" s="102"/>
      <c r="BE805" s="102"/>
      <c r="BF805" s="104"/>
      <c r="BG805" s="152"/>
      <c r="BH805" s="103"/>
      <c r="BI805" s="103"/>
      <c r="BJ805" s="103"/>
      <c r="BK805" s="103"/>
      <c r="BL805" s="103"/>
      <c r="BM805" s="103"/>
      <c r="BN805" s="103"/>
      <c r="BO805" s="103"/>
      <c r="BP805" s="103"/>
      <c r="BQ805" s="103"/>
      <c r="BR805" s="103"/>
      <c r="BS805" s="104"/>
      <c r="BT805" s="104"/>
      <c r="BU805" s="104"/>
      <c r="BV805" s="104"/>
      <c r="BW805" s="104"/>
      <c r="BX805" s="104"/>
      <c r="BY805" s="104"/>
      <c r="BZ805" s="104"/>
      <c r="CA805" s="104"/>
      <c r="CB805" s="104"/>
      <c r="CC805" s="103"/>
      <c r="CD805" s="103"/>
      <c r="CE805" s="103"/>
      <c r="CF805" s="103"/>
      <c r="CG805" s="103"/>
      <c r="CH805" s="133"/>
      <c r="CI805" s="133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O805" s="1"/>
      <c r="EP805" s="103"/>
      <c r="EQ805" s="103"/>
      <c r="ER805" s="1"/>
      <c r="ES805" s="103"/>
      <c r="ET805" s="1"/>
      <c r="EU805" s="1"/>
      <c r="EV805" s="1"/>
      <c r="EW805" s="105"/>
    </row>
    <row r="806" spans="9:153">
      <c r="I806" s="132"/>
      <c r="J806" s="133"/>
      <c r="K806" s="1"/>
      <c r="L806" s="1"/>
      <c r="Q806" s="1"/>
      <c r="R806" s="1"/>
      <c r="S806" s="103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53"/>
      <c r="AN806" s="103"/>
      <c r="AO806" s="103"/>
      <c r="AP806" s="103"/>
      <c r="AQ806" s="31"/>
      <c r="AR806" s="31"/>
      <c r="AS806" s="31"/>
      <c r="AT806" s="30"/>
      <c r="AU806" s="30"/>
      <c r="AV806" s="103"/>
      <c r="AW806" s="103"/>
      <c r="AX806" s="103"/>
      <c r="AY806" s="103"/>
      <c r="AZ806" s="103"/>
      <c r="BA806" s="103"/>
      <c r="BB806" s="104"/>
      <c r="BC806" s="102"/>
      <c r="BD806" s="102"/>
      <c r="BE806" s="102"/>
      <c r="BF806" s="104"/>
      <c r="BG806" s="152"/>
      <c r="BH806" s="103"/>
      <c r="BI806" s="103"/>
      <c r="BJ806" s="103"/>
      <c r="BK806" s="103"/>
      <c r="BL806" s="103"/>
      <c r="BM806" s="103"/>
      <c r="BN806" s="103"/>
      <c r="BO806" s="103"/>
      <c r="BP806" s="103"/>
      <c r="BQ806" s="103"/>
      <c r="BR806" s="103"/>
      <c r="BS806" s="104"/>
      <c r="BT806" s="104"/>
      <c r="BU806" s="104"/>
      <c r="BV806" s="104"/>
      <c r="BW806" s="104"/>
      <c r="BX806" s="104"/>
      <c r="BY806" s="104"/>
      <c r="BZ806" s="104"/>
      <c r="CA806" s="104"/>
      <c r="CB806" s="104"/>
      <c r="CC806" s="103"/>
      <c r="CD806" s="103"/>
      <c r="CE806" s="103"/>
      <c r="CF806" s="103"/>
      <c r="CG806" s="103"/>
      <c r="CH806" s="133"/>
      <c r="CI806" s="133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O806" s="1"/>
      <c r="EP806" s="103"/>
      <c r="EQ806" s="103"/>
      <c r="ER806" s="1"/>
      <c r="ES806" s="103"/>
      <c r="ET806" s="1"/>
      <c r="EU806" s="1"/>
      <c r="EV806" s="1"/>
      <c r="EW806" s="105"/>
    </row>
    <row r="807" spans="9:153">
      <c r="I807" s="132"/>
      <c r="J807" s="133"/>
      <c r="K807" s="1"/>
      <c r="L807" s="1"/>
      <c r="Q807" s="1"/>
      <c r="R807" s="1"/>
      <c r="S807" s="103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53"/>
      <c r="AN807" s="103"/>
      <c r="AO807" s="103"/>
      <c r="AP807" s="103"/>
      <c r="AQ807" s="31"/>
      <c r="AR807" s="31"/>
      <c r="AS807" s="31"/>
      <c r="AT807" s="30"/>
      <c r="AU807" s="30"/>
      <c r="AV807" s="103"/>
      <c r="AW807" s="103"/>
      <c r="AX807" s="103"/>
      <c r="AY807" s="103"/>
      <c r="AZ807" s="103"/>
      <c r="BA807" s="103"/>
      <c r="BB807" s="104"/>
      <c r="BC807" s="102"/>
      <c r="BD807" s="102"/>
      <c r="BE807" s="102"/>
      <c r="BF807" s="104"/>
      <c r="BG807" s="152"/>
      <c r="BH807" s="103"/>
      <c r="BI807" s="103"/>
      <c r="BJ807" s="103"/>
      <c r="BK807" s="103"/>
      <c r="BL807" s="103"/>
      <c r="BM807" s="103"/>
      <c r="BN807" s="103"/>
      <c r="BO807" s="103"/>
      <c r="BP807" s="103"/>
      <c r="BQ807" s="103"/>
      <c r="BR807" s="103"/>
      <c r="BS807" s="104"/>
      <c r="BT807" s="104"/>
      <c r="BU807" s="104"/>
      <c r="BV807" s="104"/>
      <c r="BW807" s="104"/>
      <c r="BX807" s="104"/>
      <c r="BY807" s="104"/>
      <c r="BZ807" s="104"/>
      <c r="CA807" s="104"/>
      <c r="CB807" s="104"/>
      <c r="CC807" s="103"/>
      <c r="CD807" s="103"/>
      <c r="CE807" s="103"/>
      <c r="CF807" s="103"/>
      <c r="CG807" s="103"/>
      <c r="CH807" s="133"/>
      <c r="CI807" s="133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O807" s="1"/>
      <c r="EP807" s="103"/>
      <c r="EQ807" s="103"/>
      <c r="ER807" s="1"/>
      <c r="ES807" s="103"/>
      <c r="ET807" s="1"/>
      <c r="EU807" s="1"/>
      <c r="EV807" s="1"/>
      <c r="EW807" s="105"/>
    </row>
    <row r="808" spans="9:153">
      <c r="I808" s="132"/>
      <c r="J808" s="133"/>
      <c r="K808" s="1"/>
      <c r="L808" s="1"/>
      <c r="Q808" s="1"/>
      <c r="R808" s="1"/>
      <c r="S808" s="103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53"/>
      <c r="AN808" s="103"/>
      <c r="AO808" s="103"/>
      <c r="AP808" s="103"/>
      <c r="AQ808" s="31"/>
      <c r="AR808" s="31"/>
      <c r="AS808" s="31"/>
      <c r="AT808" s="30"/>
      <c r="AU808" s="30"/>
      <c r="AV808" s="103"/>
      <c r="AW808" s="103"/>
      <c r="AX808" s="103"/>
      <c r="AY808" s="103"/>
      <c r="AZ808" s="103"/>
      <c r="BA808" s="103"/>
      <c r="BB808" s="104"/>
      <c r="BC808" s="102"/>
      <c r="BD808" s="102"/>
      <c r="BE808" s="102"/>
      <c r="BF808" s="104"/>
      <c r="BG808" s="152"/>
      <c r="BH808" s="103"/>
      <c r="BI808" s="103"/>
      <c r="BJ808" s="103"/>
      <c r="BK808" s="103"/>
      <c r="BL808" s="103"/>
      <c r="BM808" s="103"/>
      <c r="BN808" s="103"/>
      <c r="BO808" s="103"/>
      <c r="BP808" s="103"/>
      <c r="BQ808" s="103"/>
      <c r="BR808" s="103"/>
      <c r="BS808" s="104"/>
      <c r="BT808" s="104"/>
      <c r="BU808" s="104"/>
      <c r="BV808" s="104"/>
      <c r="BW808" s="104"/>
      <c r="BX808" s="104"/>
      <c r="BY808" s="104"/>
      <c r="BZ808" s="104"/>
      <c r="CA808" s="104"/>
      <c r="CB808" s="104"/>
      <c r="CC808" s="103"/>
      <c r="CD808" s="103"/>
      <c r="CE808" s="103"/>
      <c r="CF808" s="103"/>
      <c r="CG808" s="103"/>
      <c r="CH808" s="133"/>
      <c r="CI808" s="133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O808" s="1"/>
      <c r="EP808" s="103"/>
      <c r="EQ808" s="103"/>
      <c r="ER808" s="1"/>
      <c r="ES808" s="103"/>
      <c r="ET808" s="1"/>
      <c r="EU808" s="1"/>
      <c r="EV808" s="1"/>
      <c r="EW808" s="105"/>
    </row>
    <row r="809" spans="9:153">
      <c r="I809" s="132"/>
      <c r="J809" s="133"/>
      <c r="K809" s="1"/>
      <c r="L809" s="1"/>
      <c r="Q809" s="1"/>
      <c r="R809" s="1"/>
      <c r="S809" s="103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53"/>
      <c r="AN809" s="103"/>
      <c r="AO809" s="103"/>
      <c r="AP809" s="103"/>
      <c r="AQ809" s="31"/>
      <c r="AR809" s="31"/>
      <c r="AS809" s="31"/>
      <c r="AT809" s="30"/>
      <c r="AU809" s="30"/>
      <c r="AV809" s="103"/>
      <c r="AW809" s="103"/>
      <c r="AX809" s="103"/>
      <c r="AY809" s="103"/>
      <c r="AZ809" s="103"/>
      <c r="BA809" s="103"/>
      <c r="BB809" s="104"/>
      <c r="BC809" s="102"/>
      <c r="BD809" s="102"/>
      <c r="BE809" s="102"/>
      <c r="BF809" s="104"/>
      <c r="BG809" s="152"/>
      <c r="BH809" s="103"/>
      <c r="BI809" s="103"/>
      <c r="BJ809" s="103"/>
      <c r="BK809" s="103"/>
      <c r="BL809" s="103"/>
      <c r="BM809" s="103"/>
      <c r="BN809" s="103"/>
      <c r="BO809" s="103"/>
      <c r="BP809" s="103"/>
      <c r="BQ809" s="103"/>
      <c r="BR809" s="103"/>
      <c r="BS809" s="104"/>
      <c r="BT809" s="104"/>
      <c r="BU809" s="104"/>
      <c r="BV809" s="104"/>
      <c r="BW809" s="104"/>
      <c r="BX809" s="104"/>
      <c r="BY809" s="104"/>
      <c r="BZ809" s="104"/>
      <c r="CA809" s="104"/>
      <c r="CB809" s="104"/>
      <c r="CC809" s="103"/>
      <c r="CD809" s="103"/>
      <c r="CE809" s="103"/>
      <c r="CF809" s="103"/>
      <c r="CG809" s="103"/>
      <c r="CH809" s="133"/>
      <c r="CI809" s="133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O809" s="1"/>
      <c r="EP809" s="103"/>
      <c r="EQ809" s="103"/>
      <c r="ER809" s="1"/>
      <c r="ES809" s="103"/>
      <c r="ET809" s="1"/>
      <c r="EU809" s="1"/>
      <c r="EV809" s="1"/>
      <c r="EW809" s="105"/>
    </row>
    <row r="810" spans="9:153">
      <c r="I810" s="132"/>
      <c r="J810" s="133"/>
      <c r="K810" s="1"/>
      <c r="L810" s="1"/>
      <c r="Q810" s="1"/>
      <c r="R810" s="1"/>
      <c r="S810" s="103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53"/>
      <c r="AN810" s="103"/>
      <c r="AO810" s="103"/>
      <c r="AP810" s="103"/>
      <c r="AQ810" s="31"/>
      <c r="AR810" s="31"/>
      <c r="AS810" s="31"/>
      <c r="AT810" s="30"/>
      <c r="AU810" s="30"/>
      <c r="AV810" s="103"/>
      <c r="AW810" s="103"/>
      <c r="AX810" s="103"/>
      <c r="AY810" s="103"/>
      <c r="AZ810" s="103"/>
      <c r="BA810" s="103"/>
      <c r="BB810" s="104"/>
      <c r="BC810" s="102"/>
      <c r="BD810" s="102"/>
      <c r="BE810" s="102"/>
      <c r="BF810" s="104"/>
      <c r="BG810" s="152"/>
      <c r="BH810" s="103"/>
      <c r="BI810" s="103"/>
      <c r="BJ810" s="103"/>
      <c r="BK810" s="103"/>
      <c r="BL810" s="103"/>
      <c r="BM810" s="103"/>
      <c r="BN810" s="103"/>
      <c r="BO810" s="103"/>
      <c r="BP810" s="103"/>
      <c r="BQ810" s="103"/>
      <c r="BR810" s="103"/>
      <c r="BS810" s="104"/>
      <c r="BT810" s="104"/>
      <c r="BU810" s="104"/>
      <c r="BV810" s="104"/>
      <c r="BW810" s="104"/>
      <c r="BX810" s="104"/>
      <c r="BY810" s="104"/>
      <c r="BZ810" s="104"/>
      <c r="CA810" s="104"/>
      <c r="CB810" s="104"/>
      <c r="CC810" s="103"/>
      <c r="CD810" s="103"/>
      <c r="CE810" s="103"/>
      <c r="CF810" s="103"/>
      <c r="CG810" s="103"/>
      <c r="CH810" s="133"/>
      <c r="CI810" s="133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O810" s="1"/>
      <c r="EP810" s="103"/>
      <c r="EQ810" s="103"/>
      <c r="ER810" s="1"/>
      <c r="ES810" s="103"/>
      <c r="ET810" s="1"/>
      <c r="EU810" s="1"/>
      <c r="EV810" s="1"/>
      <c r="EW810" s="105"/>
    </row>
    <row r="811" spans="9:153">
      <c r="I811" s="132"/>
      <c r="J811" s="133"/>
      <c r="K811" s="1"/>
      <c r="L811" s="1"/>
      <c r="Q811" s="1"/>
      <c r="R811" s="1"/>
      <c r="S811" s="103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53"/>
      <c r="AN811" s="103"/>
      <c r="AO811" s="103"/>
      <c r="AP811" s="103"/>
      <c r="AQ811" s="31"/>
      <c r="AR811" s="31"/>
      <c r="AS811" s="31"/>
      <c r="AT811" s="30"/>
      <c r="AU811" s="30"/>
      <c r="AV811" s="103"/>
      <c r="AW811" s="103"/>
      <c r="AX811" s="103"/>
      <c r="AY811" s="103"/>
      <c r="AZ811" s="103"/>
      <c r="BA811" s="103"/>
      <c r="BB811" s="104"/>
      <c r="BC811" s="102"/>
      <c r="BD811" s="102"/>
      <c r="BE811" s="102"/>
      <c r="BF811" s="104"/>
      <c r="BG811" s="152"/>
      <c r="BH811" s="103"/>
      <c r="BI811" s="103"/>
      <c r="BJ811" s="103"/>
      <c r="BK811" s="103"/>
      <c r="BL811" s="103"/>
      <c r="BM811" s="103"/>
      <c r="BN811" s="103"/>
      <c r="BO811" s="103"/>
      <c r="BP811" s="103"/>
      <c r="BQ811" s="103"/>
      <c r="BR811" s="103"/>
      <c r="BS811" s="104"/>
      <c r="BT811" s="104"/>
      <c r="BU811" s="104"/>
      <c r="BV811" s="104"/>
      <c r="BW811" s="104"/>
      <c r="BX811" s="104"/>
      <c r="BY811" s="104"/>
      <c r="BZ811" s="104"/>
      <c r="CA811" s="104"/>
      <c r="CB811" s="104"/>
      <c r="CC811" s="103"/>
      <c r="CD811" s="103"/>
      <c r="CE811" s="103"/>
      <c r="CF811" s="103"/>
      <c r="CG811" s="103"/>
      <c r="CH811" s="133"/>
      <c r="CI811" s="133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O811" s="1"/>
      <c r="EP811" s="103"/>
      <c r="EQ811" s="103"/>
      <c r="ER811" s="1"/>
      <c r="ES811" s="103"/>
      <c r="ET811" s="1"/>
      <c r="EU811" s="1"/>
      <c r="EV811" s="1"/>
      <c r="EW811" s="105"/>
    </row>
    <row r="812" spans="9:153">
      <c r="I812" s="132"/>
      <c r="J812" s="133"/>
      <c r="K812" s="1"/>
      <c r="L812" s="1"/>
      <c r="Q812" s="1"/>
      <c r="R812" s="1"/>
      <c r="S812" s="103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53"/>
      <c r="AN812" s="103"/>
      <c r="AO812" s="103"/>
      <c r="AP812" s="103"/>
      <c r="AQ812" s="31"/>
      <c r="AR812" s="31"/>
      <c r="AS812" s="31"/>
      <c r="AT812" s="30"/>
      <c r="AU812" s="30"/>
      <c r="AV812" s="103"/>
      <c r="AW812" s="103"/>
      <c r="AX812" s="103"/>
      <c r="AY812" s="103"/>
      <c r="AZ812" s="103"/>
      <c r="BA812" s="103"/>
      <c r="BB812" s="104"/>
      <c r="BC812" s="102"/>
      <c r="BD812" s="102"/>
      <c r="BE812" s="102"/>
      <c r="BF812" s="104"/>
      <c r="BG812" s="152"/>
      <c r="BH812" s="103"/>
      <c r="BI812" s="103"/>
      <c r="BJ812" s="103"/>
      <c r="BK812" s="103"/>
      <c r="BL812" s="103"/>
      <c r="BM812" s="103"/>
      <c r="BN812" s="103"/>
      <c r="BO812" s="103"/>
      <c r="BP812" s="103"/>
      <c r="BQ812" s="103"/>
      <c r="BR812" s="103"/>
      <c r="BS812" s="104"/>
      <c r="BT812" s="104"/>
      <c r="BU812" s="104"/>
      <c r="BV812" s="104"/>
      <c r="BW812" s="104"/>
      <c r="BX812" s="104"/>
      <c r="BY812" s="104"/>
      <c r="BZ812" s="104"/>
      <c r="CA812" s="104"/>
      <c r="CB812" s="104"/>
      <c r="CC812" s="103"/>
      <c r="CD812" s="103"/>
      <c r="CE812" s="103"/>
      <c r="CF812" s="103"/>
      <c r="CG812" s="103"/>
      <c r="CH812" s="133"/>
      <c r="CI812" s="133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O812" s="1"/>
      <c r="EP812" s="103"/>
      <c r="EQ812" s="103"/>
      <c r="ER812" s="1"/>
      <c r="ES812" s="103"/>
      <c r="ET812" s="1"/>
      <c r="EU812" s="1"/>
      <c r="EV812" s="1"/>
      <c r="EW812" s="105"/>
    </row>
    <row r="813" spans="9:153">
      <c r="I813" s="132"/>
      <c r="J813" s="133"/>
      <c r="K813" s="1"/>
      <c r="L813" s="1"/>
      <c r="Q813" s="1"/>
      <c r="R813" s="1"/>
      <c r="S813" s="103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53"/>
      <c r="AN813" s="103"/>
      <c r="AO813" s="103"/>
      <c r="AP813" s="103"/>
      <c r="AQ813" s="31"/>
      <c r="AR813" s="31"/>
      <c r="AS813" s="31"/>
      <c r="AT813" s="30"/>
      <c r="AU813" s="30"/>
      <c r="AV813" s="103"/>
      <c r="AW813" s="103"/>
      <c r="AX813" s="103"/>
      <c r="AY813" s="103"/>
      <c r="AZ813" s="103"/>
      <c r="BA813" s="103"/>
      <c r="BB813" s="104"/>
      <c r="BC813" s="102"/>
      <c r="BD813" s="102"/>
      <c r="BE813" s="102"/>
      <c r="BF813" s="104"/>
      <c r="BG813" s="152"/>
      <c r="BH813" s="103"/>
      <c r="BI813" s="103"/>
      <c r="BJ813" s="103"/>
      <c r="BK813" s="103"/>
      <c r="BL813" s="103"/>
      <c r="BM813" s="103"/>
      <c r="BN813" s="103"/>
      <c r="BO813" s="103"/>
      <c r="BP813" s="103"/>
      <c r="BQ813" s="103"/>
      <c r="BR813" s="103"/>
      <c r="BS813" s="104"/>
      <c r="BT813" s="104"/>
      <c r="BU813" s="104"/>
      <c r="BV813" s="104"/>
      <c r="BW813" s="104"/>
      <c r="BX813" s="104"/>
      <c r="BY813" s="104"/>
      <c r="BZ813" s="104"/>
      <c r="CA813" s="104"/>
      <c r="CB813" s="104"/>
      <c r="CC813" s="103"/>
      <c r="CD813" s="103"/>
      <c r="CE813" s="103"/>
      <c r="CF813" s="103"/>
      <c r="CG813" s="103"/>
      <c r="CH813" s="133"/>
      <c r="CI813" s="133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O813" s="1"/>
      <c r="EP813" s="103"/>
      <c r="EQ813" s="103"/>
      <c r="ER813" s="1"/>
      <c r="ES813" s="103"/>
      <c r="ET813" s="1"/>
      <c r="EU813" s="1"/>
      <c r="EV813" s="1"/>
      <c r="EW813" s="105"/>
    </row>
    <row r="814" spans="9:153">
      <c r="I814" s="132"/>
      <c r="J814" s="133"/>
      <c r="K814" s="1"/>
      <c r="L814" s="1"/>
      <c r="Q814" s="1"/>
      <c r="R814" s="1"/>
      <c r="S814" s="103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53"/>
      <c r="AN814" s="103"/>
      <c r="AO814" s="103"/>
      <c r="AP814" s="103"/>
      <c r="AQ814" s="31"/>
      <c r="AR814" s="31"/>
      <c r="AS814" s="31"/>
      <c r="AT814" s="30"/>
      <c r="AU814" s="30"/>
      <c r="AV814" s="103"/>
      <c r="AW814" s="103"/>
      <c r="AX814" s="103"/>
      <c r="AY814" s="103"/>
      <c r="AZ814" s="103"/>
      <c r="BA814" s="103"/>
      <c r="BB814" s="104"/>
      <c r="BC814" s="102"/>
      <c r="BD814" s="102"/>
      <c r="BE814" s="102"/>
      <c r="BF814" s="104"/>
      <c r="BG814" s="152"/>
      <c r="BH814" s="103"/>
      <c r="BI814" s="103"/>
      <c r="BJ814" s="103"/>
      <c r="BK814" s="103"/>
      <c r="BL814" s="103"/>
      <c r="BM814" s="103"/>
      <c r="BN814" s="103"/>
      <c r="BO814" s="103"/>
      <c r="BP814" s="103"/>
      <c r="BQ814" s="103"/>
      <c r="BR814" s="103"/>
      <c r="BS814" s="104"/>
      <c r="BT814" s="104"/>
      <c r="BU814" s="104"/>
      <c r="BV814" s="104"/>
      <c r="BW814" s="104"/>
      <c r="BX814" s="104"/>
      <c r="BY814" s="104"/>
      <c r="BZ814" s="104"/>
      <c r="CA814" s="104"/>
      <c r="CB814" s="104"/>
      <c r="CC814" s="103"/>
      <c r="CD814" s="103"/>
      <c r="CE814" s="103"/>
      <c r="CF814" s="103"/>
      <c r="CG814" s="103"/>
      <c r="CH814" s="133"/>
      <c r="CI814" s="133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O814" s="1"/>
      <c r="EP814" s="103"/>
      <c r="EQ814" s="103"/>
      <c r="ER814" s="1"/>
      <c r="ES814" s="103"/>
      <c r="ET814" s="1"/>
      <c r="EU814" s="1"/>
      <c r="EV814" s="1"/>
      <c r="EW814" s="105"/>
    </row>
    <row r="815" spans="9:153">
      <c r="I815" s="132"/>
      <c r="J815" s="133"/>
      <c r="K815" s="1"/>
      <c r="L815" s="1"/>
      <c r="Q815" s="1"/>
      <c r="R815" s="1"/>
      <c r="S815" s="103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53"/>
      <c r="AN815" s="103"/>
      <c r="AO815" s="103"/>
      <c r="AP815" s="103"/>
      <c r="AQ815" s="31"/>
      <c r="AR815" s="31"/>
      <c r="AS815" s="31"/>
      <c r="AT815" s="30"/>
      <c r="AU815" s="30"/>
      <c r="AV815" s="103"/>
      <c r="AW815" s="103"/>
      <c r="AX815" s="103"/>
      <c r="AY815" s="103"/>
      <c r="AZ815" s="103"/>
      <c r="BA815" s="103"/>
      <c r="BB815" s="104"/>
      <c r="BC815" s="102"/>
      <c r="BD815" s="102"/>
      <c r="BE815" s="102"/>
      <c r="BF815" s="104"/>
      <c r="BG815" s="152"/>
      <c r="BH815" s="103"/>
      <c r="BI815" s="103"/>
      <c r="BJ815" s="103"/>
      <c r="BK815" s="103"/>
      <c r="BL815" s="103"/>
      <c r="BM815" s="103"/>
      <c r="BN815" s="103"/>
      <c r="BO815" s="103"/>
      <c r="BP815" s="103"/>
      <c r="BQ815" s="103"/>
      <c r="BR815" s="103"/>
      <c r="BS815" s="104"/>
      <c r="BT815" s="104"/>
      <c r="BU815" s="104"/>
      <c r="BV815" s="104"/>
      <c r="BW815" s="104"/>
      <c r="BX815" s="104"/>
      <c r="BY815" s="104"/>
      <c r="BZ815" s="104"/>
      <c r="CA815" s="104"/>
      <c r="CB815" s="104"/>
      <c r="CC815" s="103"/>
      <c r="CD815" s="103"/>
      <c r="CE815" s="103"/>
      <c r="CF815" s="103"/>
      <c r="CG815" s="103"/>
      <c r="CH815" s="133"/>
      <c r="CI815" s="133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O815" s="1"/>
      <c r="EP815" s="103"/>
      <c r="EQ815" s="103"/>
      <c r="ER815" s="1"/>
      <c r="ES815" s="103"/>
      <c r="ET815" s="1"/>
      <c r="EU815" s="1"/>
      <c r="EV815" s="1"/>
      <c r="EW815" s="105"/>
    </row>
    <row r="816" spans="9:153">
      <c r="I816" s="132"/>
      <c r="J816" s="133"/>
      <c r="K816" s="1"/>
      <c r="L816" s="1"/>
      <c r="Q816" s="1"/>
      <c r="R816" s="1"/>
      <c r="S816" s="103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53"/>
      <c r="AN816" s="103"/>
      <c r="AO816" s="103"/>
      <c r="AP816" s="103"/>
      <c r="AQ816" s="31"/>
      <c r="AR816" s="31"/>
      <c r="AS816" s="31"/>
      <c r="AT816" s="30"/>
      <c r="AU816" s="30"/>
      <c r="AV816" s="103"/>
      <c r="AW816" s="103"/>
      <c r="AX816" s="103"/>
      <c r="AY816" s="103"/>
      <c r="AZ816" s="103"/>
      <c r="BA816" s="103"/>
      <c r="BB816" s="104"/>
      <c r="BC816" s="102"/>
      <c r="BD816" s="102"/>
      <c r="BE816" s="102"/>
      <c r="BF816" s="104"/>
      <c r="BG816" s="152"/>
      <c r="BH816" s="103"/>
      <c r="BI816" s="103"/>
      <c r="BJ816" s="103"/>
      <c r="BK816" s="103"/>
      <c r="BL816" s="103"/>
      <c r="BM816" s="103"/>
      <c r="BN816" s="103"/>
      <c r="BO816" s="103"/>
      <c r="BP816" s="103"/>
      <c r="BQ816" s="103"/>
      <c r="BR816" s="103"/>
      <c r="BS816" s="104"/>
      <c r="BT816" s="104"/>
      <c r="BU816" s="104"/>
      <c r="BV816" s="104"/>
      <c r="BW816" s="104"/>
      <c r="BX816" s="104"/>
      <c r="BY816" s="104"/>
      <c r="BZ816" s="104"/>
      <c r="CA816" s="104"/>
      <c r="CB816" s="104"/>
      <c r="CC816" s="103"/>
      <c r="CD816" s="103"/>
      <c r="CE816" s="103"/>
      <c r="CF816" s="103"/>
      <c r="CG816" s="103"/>
      <c r="CH816" s="133"/>
      <c r="CI816" s="133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O816" s="1"/>
      <c r="EP816" s="103"/>
      <c r="EQ816" s="103"/>
      <c r="ER816" s="1"/>
      <c r="ES816" s="103"/>
      <c r="ET816" s="1"/>
      <c r="EU816" s="1"/>
      <c r="EV816" s="1"/>
      <c r="EW816" s="105"/>
    </row>
    <row r="817" spans="9:153">
      <c r="I817" s="132"/>
      <c r="J817" s="133"/>
      <c r="K817" s="1"/>
      <c r="L817" s="1"/>
      <c r="Q817" s="1"/>
      <c r="R817" s="1"/>
      <c r="S817" s="103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53"/>
      <c r="AN817" s="103"/>
      <c r="AO817" s="103"/>
      <c r="AP817" s="103"/>
      <c r="AQ817" s="31"/>
      <c r="AR817" s="31"/>
      <c r="AS817" s="31"/>
      <c r="AT817" s="30"/>
      <c r="AU817" s="30"/>
      <c r="AV817" s="103"/>
      <c r="AW817" s="103"/>
      <c r="AX817" s="103"/>
      <c r="AY817" s="103"/>
      <c r="AZ817" s="103"/>
      <c r="BA817" s="103"/>
      <c r="BB817" s="104"/>
      <c r="BC817" s="102"/>
      <c r="BD817" s="102"/>
      <c r="BE817" s="102"/>
      <c r="BF817" s="104"/>
      <c r="BG817" s="152"/>
      <c r="BH817" s="103"/>
      <c r="BI817" s="103"/>
      <c r="BJ817" s="103"/>
      <c r="BK817" s="103"/>
      <c r="BL817" s="103"/>
      <c r="BM817" s="103"/>
      <c r="BN817" s="103"/>
      <c r="BO817" s="103"/>
      <c r="BP817" s="103"/>
      <c r="BQ817" s="103"/>
      <c r="BR817" s="103"/>
      <c r="BS817" s="104"/>
      <c r="BT817" s="104"/>
      <c r="BU817" s="104"/>
      <c r="BV817" s="104"/>
      <c r="BW817" s="104"/>
      <c r="BX817" s="104"/>
      <c r="BY817" s="104"/>
      <c r="BZ817" s="104"/>
      <c r="CA817" s="104"/>
      <c r="CB817" s="104"/>
      <c r="CC817" s="103"/>
      <c r="CD817" s="103"/>
      <c r="CE817" s="103"/>
      <c r="CF817" s="103"/>
      <c r="CG817" s="103"/>
      <c r="CH817" s="133"/>
      <c r="CI817" s="133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O817" s="1"/>
      <c r="EP817" s="103"/>
      <c r="EQ817" s="103"/>
      <c r="ER817" s="1"/>
      <c r="ES817" s="103"/>
      <c r="ET817" s="1"/>
      <c r="EU817" s="1"/>
      <c r="EV817" s="1"/>
      <c r="EW817" s="105"/>
    </row>
    <row r="818" spans="9:153">
      <c r="I818" s="132"/>
      <c r="J818" s="133"/>
      <c r="K818" s="1"/>
      <c r="L818" s="1"/>
      <c r="Q818" s="1"/>
      <c r="R818" s="1"/>
      <c r="S818" s="103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53"/>
      <c r="AN818" s="103"/>
      <c r="AO818" s="103"/>
      <c r="AP818" s="103"/>
      <c r="AQ818" s="31"/>
      <c r="AR818" s="31"/>
      <c r="AS818" s="31"/>
      <c r="AT818" s="30"/>
      <c r="AU818" s="30"/>
      <c r="AV818" s="103"/>
      <c r="AW818" s="103"/>
      <c r="AX818" s="103"/>
      <c r="AY818" s="103"/>
      <c r="AZ818" s="103"/>
      <c r="BA818" s="103"/>
      <c r="BB818" s="104"/>
      <c r="BC818" s="102"/>
      <c r="BD818" s="102"/>
      <c r="BE818" s="102"/>
      <c r="BF818" s="104"/>
      <c r="BG818" s="152"/>
      <c r="BH818" s="103"/>
      <c r="BI818" s="103"/>
      <c r="BJ818" s="103"/>
      <c r="BK818" s="103"/>
      <c r="BL818" s="103"/>
      <c r="BM818" s="103"/>
      <c r="BN818" s="103"/>
      <c r="BO818" s="103"/>
      <c r="BP818" s="103"/>
      <c r="BQ818" s="103"/>
      <c r="BR818" s="103"/>
      <c r="BS818" s="104"/>
      <c r="BT818" s="104"/>
      <c r="BU818" s="104"/>
      <c r="BV818" s="104"/>
      <c r="BW818" s="104"/>
      <c r="BX818" s="104"/>
      <c r="BY818" s="104"/>
      <c r="BZ818" s="104"/>
      <c r="CA818" s="104"/>
      <c r="CB818" s="104"/>
      <c r="CC818" s="103"/>
      <c r="CD818" s="103"/>
      <c r="CE818" s="103"/>
      <c r="CF818" s="103"/>
      <c r="CG818" s="103"/>
      <c r="CH818" s="133"/>
      <c r="CI818" s="133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O818" s="1"/>
      <c r="EP818" s="103"/>
      <c r="EQ818" s="103"/>
      <c r="ER818" s="1"/>
      <c r="ES818" s="103"/>
      <c r="ET818" s="1"/>
      <c r="EU818" s="1"/>
      <c r="EV818" s="1"/>
      <c r="EW818" s="105"/>
    </row>
    <row r="819" spans="9:153">
      <c r="I819" s="132"/>
      <c r="J819" s="133"/>
      <c r="K819" s="1"/>
      <c r="L819" s="1"/>
      <c r="Q819" s="1"/>
      <c r="R819" s="1"/>
      <c r="S819" s="103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53"/>
      <c r="AN819" s="103"/>
      <c r="AO819" s="103"/>
      <c r="AP819" s="103"/>
      <c r="AQ819" s="31"/>
      <c r="AR819" s="31"/>
      <c r="AS819" s="31"/>
      <c r="AT819" s="30"/>
      <c r="AU819" s="30"/>
      <c r="AV819" s="103"/>
      <c r="AW819" s="103"/>
      <c r="AX819" s="103"/>
      <c r="AY819" s="103"/>
      <c r="AZ819" s="103"/>
      <c r="BA819" s="103"/>
      <c r="BB819" s="104"/>
      <c r="BC819" s="102"/>
      <c r="BD819" s="102"/>
      <c r="BE819" s="102"/>
      <c r="BF819" s="104"/>
      <c r="BG819" s="152"/>
      <c r="BH819" s="103"/>
      <c r="BI819" s="103"/>
      <c r="BJ819" s="103"/>
      <c r="BK819" s="103"/>
      <c r="BL819" s="103"/>
      <c r="BM819" s="103"/>
      <c r="BN819" s="103"/>
      <c r="BO819" s="103"/>
      <c r="BP819" s="103"/>
      <c r="BQ819" s="103"/>
      <c r="BR819" s="103"/>
      <c r="BS819" s="104"/>
      <c r="BT819" s="104"/>
      <c r="BU819" s="104"/>
      <c r="BV819" s="104"/>
      <c r="BW819" s="104"/>
      <c r="BX819" s="104"/>
      <c r="BY819" s="104"/>
      <c r="BZ819" s="104"/>
      <c r="CA819" s="104"/>
      <c r="CB819" s="104"/>
      <c r="CC819" s="103"/>
      <c r="CD819" s="103"/>
      <c r="CE819" s="103"/>
      <c r="CF819" s="103"/>
      <c r="CG819" s="103"/>
      <c r="CH819" s="133"/>
      <c r="CI819" s="133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O819" s="1"/>
      <c r="EP819" s="103"/>
      <c r="EQ819" s="103"/>
      <c r="ER819" s="1"/>
      <c r="ES819" s="103"/>
      <c r="ET819" s="1"/>
      <c r="EU819" s="1"/>
      <c r="EV819" s="1"/>
      <c r="EW819" s="105"/>
    </row>
    <row r="820" spans="9:153">
      <c r="I820" s="132"/>
      <c r="J820" s="133"/>
      <c r="K820" s="1"/>
      <c r="L820" s="1"/>
      <c r="Q820" s="1"/>
      <c r="R820" s="1"/>
      <c r="S820" s="103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53"/>
      <c r="AN820" s="103"/>
      <c r="AO820" s="103"/>
      <c r="AP820" s="103"/>
      <c r="AQ820" s="31"/>
      <c r="AR820" s="31"/>
      <c r="AS820" s="31"/>
      <c r="AT820" s="30"/>
      <c r="AU820" s="30"/>
      <c r="AV820" s="103"/>
      <c r="AW820" s="103"/>
      <c r="AX820" s="103"/>
      <c r="AY820" s="103"/>
      <c r="AZ820" s="103"/>
      <c r="BA820" s="103"/>
      <c r="BB820" s="104"/>
      <c r="BC820" s="102"/>
      <c r="BD820" s="102"/>
      <c r="BE820" s="102"/>
      <c r="BF820" s="104"/>
      <c r="BG820" s="152"/>
      <c r="BH820" s="103"/>
      <c r="BI820" s="103"/>
      <c r="BJ820" s="103"/>
      <c r="BK820" s="103"/>
      <c r="BL820" s="103"/>
      <c r="BM820" s="103"/>
      <c r="BN820" s="103"/>
      <c r="BO820" s="103"/>
      <c r="BP820" s="103"/>
      <c r="BQ820" s="103"/>
      <c r="BR820" s="103"/>
      <c r="BS820" s="104"/>
      <c r="BT820" s="104"/>
      <c r="BU820" s="104"/>
      <c r="BV820" s="104"/>
      <c r="BW820" s="104"/>
      <c r="BX820" s="104"/>
      <c r="BY820" s="104"/>
      <c r="BZ820" s="104"/>
      <c r="CA820" s="104"/>
      <c r="CB820" s="104"/>
      <c r="CC820" s="103"/>
      <c r="CD820" s="103"/>
      <c r="CE820" s="103"/>
      <c r="CF820" s="103"/>
      <c r="CG820" s="103"/>
      <c r="CH820" s="133"/>
      <c r="CI820" s="133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O820" s="1"/>
      <c r="EP820" s="103"/>
      <c r="EQ820" s="103"/>
      <c r="ER820" s="1"/>
      <c r="ES820" s="103"/>
      <c r="ET820" s="1"/>
      <c r="EU820" s="1"/>
      <c r="EV820" s="1"/>
      <c r="EW820" s="105"/>
    </row>
    <row r="821" spans="9:153">
      <c r="I821" s="132"/>
      <c r="J821" s="133"/>
      <c r="K821" s="1"/>
      <c r="L821" s="1"/>
      <c r="Q821" s="1"/>
      <c r="R821" s="1"/>
      <c r="S821" s="103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53"/>
      <c r="AN821" s="103"/>
      <c r="AO821" s="103"/>
      <c r="AP821" s="103"/>
      <c r="AQ821" s="31"/>
      <c r="AR821" s="31"/>
      <c r="AS821" s="31"/>
      <c r="AT821" s="30"/>
      <c r="AU821" s="30"/>
      <c r="AV821" s="103"/>
      <c r="AW821" s="103"/>
      <c r="AX821" s="103"/>
      <c r="AY821" s="103"/>
      <c r="AZ821" s="103"/>
      <c r="BA821" s="103"/>
      <c r="BB821" s="104"/>
      <c r="BC821" s="102"/>
      <c r="BD821" s="102"/>
      <c r="BE821" s="102"/>
      <c r="BF821" s="104"/>
      <c r="BG821" s="152"/>
      <c r="BH821" s="103"/>
      <c r="BI821" s="103"/>
      <c r="BJ821" s="103"/>
      <c r="BK821" s="103"/>
      <c r="BL821" s="103"/>
      <c r="BM821" s="103"/>
      <c r="BN821" s="103"/>
      <c r="BO821" s="103"/>
      <c r="BP821" s="103"/>
      <c r="BQ821" s="103"/>
      <c r="BR821" s="103"/>
      <c r="BS821" s="104"/>
      <c r="BT821" s="104"/>
      <c r="BU821" s="104"/>
      <c r="BV821" s="104"/>
      <c r="BW821" s="104"/>
      <c r="BX821" s="104"/>
      <c r="BY821" s="104"/>
      <c r="BZ821" s="104"/>
      <c r="CA821" s="104"/>
      <c r="CB821" s="104"/>
      <c r="CC821" s="103"/>
      <c r="CD821" s="103"/>
      <c r="CE821" s="103"/>
      <c r="CF821" s="103"/>
      <c r="CG821" s="103"/>
      <c r="CH821" s="133"/>
      <c r="CI821" s="133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O821" s="1"/>
      <c r="EP821" s="103"/>
      <c r="EQ821" s="103"/>
      <c r="ER821" s="1"/>
      <c r="ES821" s="103"/>
      <c r="ET821" s="1"/>
      <c r="EU821" s="1"/>
      <c r="EV821" s="1"/>
      <c r="EW821" s="105"/>
    </row>
    <row r="822" spans="9:153">
      <c r="I822" s="132"/>
      <c r="J822" s="133"/>
      <c r="K822" s="1"/>
      <c r="L822" s="1"/>
      <c r="Q822" s="1"/>
      <c r="R822" s="1"/>
      <c r="S822" s="103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53"/>
      <c r="AN822" s="103"/>
      <c r="AO822" s="103"/>
      <c r="AP822" s="103"/>
      <c r="AQ822" s="31"/>
      <c r="AR822" s="31"/>
      <c r="AS822" s="31"/>
      <c r="AT822" s="30"/>
      <c r="AU822" s="30"/>
      <c r="AV822" s="103"/>
      <c r="AW822" s="103"/>
      <c r="AX822" s="103"/>
      <c r="AY822" s="103"/>
      <c r="AZ822" s="103"/>
      <c r="BA822" s="103"/>
      <c r="BB822" s="104"/>
      <c r="BC822" s="102"/>
      <c r="BD822" s="102"/>
      <c r="BE822" s="102"/>
      <c r="BF822" s="104"/>
      <c r="BG822" s="152"/>
      <c r="BH822" s="103"/>
      <c r="BI822" s="103"/>
      <c r="BJ822" s="103"/>
      <c r="BK822" s="103"/>
      <c r="BL822" s="103"/>
      <c r="BM822" s="103"/>
      <c r="BN822" s="103"/>
      <c r="BO822" s="103"/>
      <c r="BP822" s="103"/>
      <c r="BQ822" s="103"/>
      <c r="BR822" s="103"/>
      <c r="BS822" s="104"/>
      <c r="BT822" s="104"/>
      <c r="BU822" s="104"/>
      <c r="BV822" s="104"/>
      <c r="BW822" s="104"/>
      <c r="BX822" s="104"/>
      <c r="BY822" s="104"/>
      <c r="BZ822" s="104"/>
      <c r="CA822" s="104"/>
      <c r="CB822" s="104"/>
      <c r="CC822" s="103"/>
      <c r="CD822" s="103"/>
      <c r="CE822" s="103"/>
      <c r="CF822" s="103"/>
      <c r="CG822" s="103"/>
      <c r="CH822" s="133"/>
      <c r="CI822" s="133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O822" s="1"/>
      <c r="EP822" s="103"/>
      <c r="EQ822" s="103"/>
      <c r="ER822" s="1"/>
      <c r="ES822" s="103"/>
      <c r="ET822" s="1"/>
      <c r="EU822" s="1"/>
      <c r="EV822" s="1"/>
      <c r="EW822" s="105"/>
    </row>
    <row r="823" spans="9:153">
      <c r="I823" s="132"/>
      <c r="J823" s="133"/>
      <c r="K823" s="1"/>
      <c r="L823" s="1"/>
      <c r="Q823" s="1"/>
      <c r="R823" s="1"/>
      <c r="S823" s="103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53"/>
      <c r="AN823" s="103"/>
      <c r="AO823" s="103"/>
      <c r="AP823" s="103"/>
      <c r="AQ823" s="31"/>
      <c r="AR823" s="31"/>
      <c r="AS823" s="31"/>
      <c r="AT823" s="30"/>
      <c r="AU823" s="30"/>
      <c r="AV823" s="103"/>
      <c r="AW823" s="103"/>
      <c r="AX823" s="103"/>
      <c r="AY823" s="103"/>
      <c r="AZ823" s="103"/>
      <c r="BA823" s="103"/>
      <c r="BB823" s="104"/>
      <c r="BC823" s="102"/>
      <c r="BD823" s="102"/>
      <c r="BE823" s="102"/>
      <c r="BF823" s="104"/>
      <c r="BG823" s="152"/>
      <c r="BH823" s="103"/>
      <c r="BI823" s="103"/>
      <c r="BJ823" s="103"/>
      <c r="BK823" s="103"/>
      <c r="BL823" s="103"/>
      <c r="BM823" s="103"/>
      <c r="BN823" s="103"/>
      <c r="BO823" s="103"/>
      <c r="BP823" s="103"/>
      <c r="BQ823" s="103"/>
      <c r="BR823" s="103"/>
      <c r="BS823" s="104"/>
      <c r="BT823" s="104"/>
      <c r="BU823" s="104"/>
      <c r="BV823" s="104"/>
      <c r="BW823" s="104"/>
      <c r="BX823" s="104"/>
      <c r="BY823" s="104"/>
      <c r="BZ823" s="104"/>
      <c r="CA823" s="104"/>
      <c r="CB823" s="104"/>
      <c r="CC823" s="103"/>
      <c r="CD823" s="103"/>
      <c r="CE823" s="103"/>
      <c r="CF823" s="103"/>
      <c r="CG823" s="103"/>
      <c r="CH823" s="133"/>
      <c r="CI823" s="133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O823" s="1"/>
      <c r="EP823" s="103"/>
      <c r="EQ823" s="103"/>
      <c r="ER823" s="1"/>
      <c r="ES823" s="103"/>
      <c r="ET823" s="1"/>
      <c r="EU823" s="1"/>
      <c r="EV823" s="1"/>
      <c r="EW823" s="105"/>
    </row>
    <row r="824" spans="9:153">
      <c r="I824" s="132"/>
      <c r="J824" s="133"/>
      <c r="K824" s="1"/>
      <c r="L824" s="1"/>
      <c r="Q824" s="1"/>
      <c r="R824" s="1"/>
      <c r="S824" s="103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53"/>
      <c r="AN824" s="103"/>
      <c r="AO824" s="103"/>
      <c r="AP824" s="103"/>
      <c r="AQ824" s="31"/>
      <c r="AR824" s="31"/>
      <c r="AS824" s="31"/>
      <c r="AT824" s="30"/>
      <c r="AU824" s="30"/>
      <c r="AV824" s="103"/>
      <c r="AW824" s="103"/>
      <c r="AX824" s="103"/>
      <c r="AY824" s="103"/>
      <c r="AZ824" s="103"/>
      <c r="BA824" s="103"/>
      <c r="BB824" s="104"/>
      <c r="BC824" s="102"/>
      <c r="BD824" s="102"/>
      <c r="BE824" s="102"/>
      <c r="BF824" s="104"/>
      <c r="BG824" s="152"/>
      <c r="BH824" s="103"/>
      <c r="BI824" s="103"/>
      <c r="BJ824" s="103"/>
      <c r="BK824" s="103"/>
      <c r="BL824" s="103"/>
      <c r="BM824" s="103"/>
      <c r="BN824" s="103"/>
      <c r="BO824" s="103"/>
      <c r="BP824" s="103"/>
      <c r="BQ824" s="103"/>
      <c r="BR824" s="103"/>
      <c r="BS824" s="104"/>
      <c r="BT824" s="104"/>
      <c r="BU824" s="104"/>
      <c r="BV824" s="104"/>
      <c r="BW824" s="104"/>
      <c r="BX824" s="104"/>
      <c r="BY824" s="104"/>
      <c r="BZ824" s="104"/>
      <c r="CA824" s="104"/>
      <c r="CB824" s="104"/>
      <c r="CC824" s="103"/>
      <c r="CD824" s="103"/>
      <c r="CE824" s="103"/>
      <c r="CF824" s="103"/>
      <c r="CG824" s="103"/>
      <c r="CH824" s="133"/>
      <c r="CI824" s="133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O824" s="1"/>
      <c r="EP824" s="103"/>
      <c r="EQ824" s="103"/>
      <c r="ER824" s="1"/>
      <c r="ES824" s="103"/>
      <c r="ET824" s="1"/>
      <c r="EU824" s="1"/>
      <c r="EV824" s="1"/>
      <c r="EW824" s="105"/>
    </row>
    <row r="825" spans="9:153">
      <c r="I825" s="132"/>
      <c r="J825" s="133"/>
      <c r="K825" s="1"/>
      <c r="L825" s="1"/>
      <c r="Q825" s="1"/>
      <c r="R825" s="1"/>
      <c r="S825" s="103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53"/>
      <c r="AN825" s="103"/>
      <c r="AO825" s="103"/>
      <c r="AP825" s="103"/>
      <c r="AQ825" s="31"/>
      <c r="AR825" s="31"/>
      <c r="AS825" s="31"/>
      <c r="AT825" s="30"/>
      <c r="AU825" s="30"/>
      <c r="AV825" s="103"/>
      <c r="AW825" s="103"/>
      <c r="AX825" s="103"/>
      <c r="AY825" s="103"/>
      <c r="AZ825" s="103"/>
      <c r="BA825" s="103"/>
      <c r="BB825" s="104"/>
      <c r="BC825" s="102"/>
      <c r="BD825" s="102"/>
      <c r="BE825" s="102"/>
      <c r="BF825" s="104"/>
      <c r="BG825" s="152"/>
      <c r="BH825" s="103"/>
      <c r="BI825" s="103"/>
      <c r="BJ825" s="103"/>
      <c r="BK825" s="103"/>
      <c r="BL825" s="103"/>
      <c r="BM825" s="103"/>
      <c r="BN825" s="103"/>
      <c r="BO825" s="103"/>
      <c r="BP825" s="103"/>
      <c r="BQ825" s="103"/>
      <c r="BR825" s="103"/>
      <c r="BS825" s="104"/>
      <c r="BT825" s="104"/>
      <c r="BU825" s="104"/>
      <c r="BV825" s="104"/>
      <c r="BW825" s="104"/>
      <c r="BX825" s="104"/>
      <c r="BY825" s="104"/>
      <c r="BZ825" s="104"/>
      <c r="CA825" s="104"/>
      <c r="CB825" s="104"/>
      <c r="CC825" s="103"/>
      <c r="CD825" s="103"/>
      <c r="CE825" s="103"/>
      <c r="CF825" s="103"/>
      <c r="CG825" s="103"/>
      <c r="CH825" s="133"/>
      <c r="CI825" s="133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O825" s="1"/>
      <c r="EP825" s="103"/>
      <c r="EQ825" s="103"/>
      <c r="ER825" s="1"/>
      <c r="ES825" s="103"/>
      <c r="ET825" s="1"/>
      <c r="EU825" s="1"/>
      <c r="EV825" s="1"/>
      <c r="EW825" s="105"/>
    </row>
    <row r="826" spans="9:153">
      <c r="I826" s="132"/>
      <c r="J826" s="133"/>
      <c r="K826" s="1"/>
      <c r="L826" s="1"/>
      <c r="Q826" s="1"/>
      <c r="R826" s="1"/>
      <c r="S826" s="103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53"/>
      <c r="AN826" s="103"/>
      <c r="AO826" s="103"/>
      <c r="AP826" s="103"/>
      <c r="AQ826" s="31"/>
      <c r="AR826" s="31"/>
      <c r="AS826" s="31"/>
      <c r="AT826" s="30"/>
      <c r="AU826" s="30"/>
      <c r="AV826" s="103"/>
      <c r="AW826" s="103"/>
      <c r="AX826" s="103"/>
      <c r="AY826" s="103"/>
      <c r="AZ826" s="103"/>
      <c r="BA826" s="103"/>
      <c r="BB826" s="104"/>
      <c r="BC826" s="102"/>
      <c r="BD826" s="102"/>
      <c r="BE826" s="102"/>
      <c r="BF826" s="104"/>
      <c r="BG826" s="152"/>
      <c r="BH826" s="103"/>
      <c r="BI826" s="103"/>
      <c r="BJ826" s="103"/>
      <c r="BK826" s="103"/>
      <c r="BL826" s="103"/>
      <c r="BM826" s="103"/>
      <c r="BN826" s="103"/>
      <c r="BO826" s="103"/>
      <c r="BP826" s="103"/>
      <c r="BQ826" s="103"/>
      <c r="BR826" s="103"/>
      <c r="BS826" s="104"/>
      <c r="BT826" s="104"/>
      <c r="BU826" s="104"/>
      <c r="BV826" s="104"/>
      <c r="BW826" s="104"/>
      <c r="BX826" s="104"/>
      <c r="BY826" s="104"/>
      <c r="BZ826" s="104"/>
      <c r="CA826" s="104"/>
      <c r="CB826" s="104"/>
      <c r="CC826" s="103"/>
      <c r="CD826" s="103"/>
      <c r="CE826" s="103"/>
      <c r="CF826" s="103"/>
      <c r="CG826" s="103"/>
      <c r="CH826" s="133"/>
      <c r="CI826" s="133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O826" s="1"/>
      <c r="EP826" s="103"/>
      <c r="EQ826" s="103"/>
      <c r="ER826" s="1"/>
      <c r="ES826" s="103"/>
      <c r="ET826" s="1"/>
      <c r="EU826" s="1"/>
      <c r="EV826" s="1"/>
      <c r="EW826" s="105"/>
    </row>
    <row r="827" spans="9:153">
      <c r="I827" s="132"/>
      <c r="J827" s="133"/>
      <c r="K827" s="1"/>
      <c r="L827" s="1"/>
      <c r="Q827" s="1"/>
      <c r="R827" s="1"/>
      <c r="S827" s="103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53"/>
      <c r="AN827" s="103"/>
      <c r="AO827" s="103"/>
      <c r="AP827" s="103"/>
      <c r="AQ827" s="31"/>
      <c r="AR827" s="31"/>
      <c r="AS827" s="31"/>
      <c r="AT827" s="30"/>
      <c r="AU827" s="30"/>
      <c r="AV827" s="103"/>
      <c r="AW827" s="103"/>
      <c r="AX827" s="103"/>
      <c r="AY827" s="103"/>
      <c r="AZ827" s="103"/>
      <c r="BA827" s="103"/>
      <c r="BB827" s="104"/>
      <c r="BC827" s="102"/>
      <c r="BD827" s="102"/>
      <c r="BE827" s="102"/>
      <c r="BF827" s="104"/>
      <c r="BG827" s="152"/>
      <c r="BH827" s="103"/>
      <c r="BI827" s="103"/>
      <c r="BJ827" s="103"/>
      <c r="BK827" s="103"/>
      <c r="BL827" s="103"/>
      <c r="BM827" s="103"/>
      <c r="BN827" s="103"/>
      <c r="BO827" s="103"/>
      <c r="BP827" s="103"/>
      <c r="BQ827" s="103"/>
      <c r="BR827" s="103"/>
      <c r="BS827" s="104"/>
      <c r="BT827" s="104"/>
      <c r="BU827" s="104"/>
      <c r="BV827" s="104"/>
      <c r="BW827" s="104"/>
      <c r="BX827" s="104"/>
      <c r="BY827" s="104"/>
      <c r="BZ827" s="104"/>
      <c r="CA827" s="104"/>
      <c r="CB827" s="104"/>
      <c r="CC827" s="103"/>
      <c r="CD827" s="103"/>
      <c r="CE827" s="103"/>
      <c r="CF827" s="103"/>
      <c r="CG827" s="103"/>
      <c r="CH827" s="133"/>
      <c r="CI827" s="133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O827" s="1"/>
      <c r="EP827" s="103"/>
      <c r="EQ827" s="103"/>
      <c r="ER827" s="1"/>
      <c r="ES827" s="103"/>
      <c r="ET827" s="1"/>
      <c r="EU827" s="1"/>
      <c r="EV827" s="1"/>
      <c r="EW827" s="105"/>
    </row>
    <row r="828" spans="9:153">
      <c r="I828" s="132"/>
      <c r="J828" s="133"/>
      <c r="K828" s="1"/>
      <c r="L828" s="1"/>
      <c r="Q828" s="1"/>
      <c r="R828" s="1"/>
      <c r="S828" s="103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53"/>
      <c r="AN828" s="103"/>
      <c r="AO828" s="103"/>
      <c r="AP828" s="103"/>
      <c r="AQ828" s="31"/>
      <c r="AR828" s="31"/>
      <c r="AS828" s="31"/>
      <c r="AT828" s="30"/>
      <c r="AU828" s="30"/>
      <c r="AV828" s="103"/>
      <c r="AW828" s="103"/>
      <c r="AX828" s="103"/>
      <c r="AY828" s="103"/>
      <c r="AZ828" s="103"/>
      <c r="BA828" s="103"/>
      <c r="BB828" s="104"/>
      <c r="BC828" s="102"/>
      <c r="BD828" s="102"/>
      <c r="BE828" s="102"/>
      <c r="BF828" s="104"/>
      <c r="BG828" s="152"/>
      <c r="BH828" s="103"/>
      <c r="BI828" s="103"/>
      <c r="BJ828" s="103"/>
      <c r="BK828" s="103"/>
      <c r="BL828" s="103"/>
      <c r="BM828" s="103"/>
      <c r="BN828" s="103"/>
      <c r="BO828" s="103"/>
      <c r="BP828" s="103"/>
      <c r="BQ828" s="103"/>
      <c r="BR828" s="103"/>
      <c r="BS828" s="104"/>
      <c r="BT828" s="104"/>
      <c r="BU828" s="104"/>
      <c r="BV828" s="104"/>
      <c r="BW828" s="104"/>
      <c r="BX828" s="104"/>
      <c r="BY828" s="104"/>
      <c r="BZ828" s="104"/>
      <c r="CA828" s="104"/>
      <c r="CB828" s="104"/>
      <c r="CC828" s="103"/>
      <c r="CD828" s="103"/>
      <c r="CE828" s="103"/>
      <c r="CF828" s="103"/>
      <c r="CG828" s="103"/>
      <c r="CH828" s="133"/>
      <c r="CI828" s="133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O828" s="1"/>
      <c r="EP828" s="103"/>
      <c r="EQ828" s="103"/>
      <c r="ER828" s="1"/>
      <c r="ES828" s="103"/>
      <c r="ET828" s="1"/>
      <c r="EU828" s="1"/>
      <c r="EV828" s="1"/>
      <c r="EW828" s="105"/>
    </row>
    <row r="829" spans="9:153">
      <c r="I829" s="132"/>
      <c r="J829" s="133"/>
      <c r="K829" s="1"/>
      <c r="L829" s="1"/>
      <c r="Q829" s="1"/>
      <c r="R829" s="1"/>
      <c r="S829" s="103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53"/>
      <c r="AN829" s="103"/>
      <c r="AO829" s="103"/>
      <c r="AP829" s="103"/>
      <c r="AQ829" s="31"/>
      <c r="AR829" s="31"/>
      <c r="AS829" s="31"/>
      <c r="AT829" s="30"/>
      <c r="AU829" s="30"/>
      <c r="AV829" s="103"/>
      <c r="AW829" s="103"/>
      <c r="AX829" s="103"/>
      <c r="AY829" s="103"/>
      <c r="AZ829" s="103"/>
      <c r="BA829" s="103"/>
      <c r="BB829" s="104"/>
      <c r="BC829" s="102"/>
      <c r="BD829" s="102"/>
      <c r="BE829" s="102"/>
      <c r="BF829" s="104"/>
      <c r="BG829" s="152"/>
      <c r="BH829" s="103"/>
      <c r="BI829" s="103"/>
      <c r="BJ829" s="103"/>
      <c r="BK829" s="103"/>
      <c r="BL829" s="103"/>
      <c r="BM829" s="103"/>
      <c r="BN829" s="103"/>
      <c r="BO829" s="103"/>
      <c r="BP829" s="103"/>
      <c r="BQ829" s="103"/>
      <c r="BR829" s="103"/>
      <c r="BS829" s="104"/>
      <c r="BT829" s="104"/>
      <c r="BU829" s="104"/>
      <c r="BV829" s="104"/>
      <c r="BW829" s="104"/>
      <c r="BX829" s="104"/>
      <c r="BY829" s="104"/>
      <c r="BZ829" s="104"/>
      <c r="CA829" s="104"/>
      <c r="CB829" s="104"/>
      <c r="CC829" s="103"/>
      <c r="CD829" s="103"/>
      <c r="CE829" s="103"/>
      <c r="CF829" s="103"/>
      <c r="CG829" s="103"/>
      <c r="CH829" s="133"/>
      <c r="CI829" s="133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O829" s="1"/>
      <c r="EP829" s="103"/>
      <c r="EQ829" s="103"/>
      <c r="ER829" s="1"/>
      <c r="ES829" s="103"/>
      <c r="ET829" s="1"/>
      <c r="EU829" s="1"/>
      <c r="EV829" s="1"/>
      <c r="EW829" s="105"/>
    </row>
    <row r="830" spans="9:153">
      <c r="I830" s="132"/>
      <c r="J830" s="133"/>
      <c r="K830" s="1"/>
      <c r="L830" s="1"/>
      <c r="Q830" s="1"/>
      <c r="R830" s="1"/>
      <c r="S830" s="103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53"/>
      <c r="AN830" s="103"/>
      <c r="AO830" s="103"/>
      <c r="AP830" s="103"/>
      <c r="AQ830" s="31"/>
      <c r="AR830" s="31"/>
      <c r="AS830" s="31"/>
      <c r="AT830" s="30"/>
      <c r="AU830" s="30"/>
      <c r="AV830" s="103"/>
      <c r="AW830" s="103"/>
      <c r="AX830" s="103"/>
      <c r="AY830" s="103"/>
      <c r="AZ830" s="103"/>
      <c r="BA830" s="103"/>
      <c r="BB830" s="104"/>
      <c r="BC830" s="102"/>
      <c r="BD830" s="102"/>
      <c r="BE830" s="102"/>
      <c r="BF830" s="104"/>
      <c r="BG830" s="152"/>
      <c r="BH830" s="103"/>
      <c r="BI830" s="103"/>
      <c r="BJ830" s="103"/>
      <c r="BK830" s="103"/>
      <c r="BL830" s="103"/>
      <c r="BM830" s="103"/>
      <c r="BN830" s="103"/>
      <c r="BO830" s="103"/>
      <c r="BP830" s="103"/>
      <c r="BQ830" s="103"/>
      <c r="BR830" s="103"/>
      <c r="BS830" s="104"/>
      <c r="BT830" s="104"/>
      <c r="BU830" s="104"/>
      <c r="BV830" s="104"/>
      <c r="BW830" s="104"/>
      <c r="BX830" s="104"/>
      <c r="BY830" s="104"/>
      <c r="BZ830" s="104"/>
      <c r="CA830" s="104"/>
      <c r="CB830" s="104"/>
      <c r="CC830" s="103"/>
      <c r="CD830" s="103"/>
      <c r="CE830" s="103"/>
      <c r="CF830" s="103"/>
      <c r="CG830" s="103"/>
      <c r="CH830" s="133"/>
      <c r="CI830" s="133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O830" s="1"/>
      <c r="EP830" s="103"/>
      <c r="EQ830" s="103"/>
      <c r="ER830" s="1"/>
      <c r="ES830" s="103"/>
      <c r="ET830" s="1"/>
      <c r="EU830" s="1"/>
      <c r="EV830" s="1"/>
      <c r="EW830" s="105"/>
    </row>
    <row r="831" spans="9:153">
      <c r="I831" s="132"/>
      <c r="J831" s="133"/>
      <c r="K831" s="1"/>
      <c r="L831" s="1"/>
      <c r="Q831" s="1"/>
      <c r="R831" s="1"/>
      <c r="S831" s="103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53"/>
      <c r="AN831" s="103"/>
      <c r="AO831" s="103"/>
      <c r="AP831" s="103"/>
      <c r="AQ831" s="31"/>
      <c r="AR831" s="31"/>
      <c r="AS831" s="31"/>
      <c r="AT831" s="30"/>
      <c r="AU831" s="30"/>
      <c r="AV831" s="103"/>
      <c r="AW831" s="103"/>
      <c r="AX831" s="103"/>
      <c r="AY831" s="103"/>
      <c r="AZ831" s="103"/>
      <c r="BA831" s="103"/>
      <c r="BB831" s="104"/>
      <c r="BC831" s="102"/>
      <c r="BD831" s="102"/>
      <c r="BE831" s="102"/>
      <c r="BF831" s="104"/>
      <c r="BG831" s="152"/>
      <c r="BH831" s="103"/>
      <c r="BI831" s="103"/>
      <c r="BJ831" s="103"/>
      <c r="BK831" s="103"/>
      <c r="BL831" s="103"/>
      <c r="BM831" s="103"/>
      <c r="BN831" s="103"/>
      <c r="BO831" s="103"/>
      <c r="BP831" s="103"/>
      <c r="BQ831" s="103"/>
      <c r="BR831" s="103"/>
      <c r="BS831" s="104"/>
      <c r="BT831" s="104"/>
      <c r="BU831" s="104"/>
      <c r="BV831" s="104"/>
      <c r="BW831" s="104"/>
      <c r="BX831" s="104"/>
      <c r="BY831" s="104"/>
      <c r="BZ831" s="104"/>
      <c r="CA831" s="104"/>
      <c r="CB831" s="104"/>
      <c r="CC831" s="103"/>
      <c r="CD831" s="103"/>
      <c r="CE831" s="103"/>
      <c r="CF831" s="103"/>
      <c r="CG831" s="103"/>
      <c r="CH831" s="133"/>
      <c r="CI831" s="133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O831" s="1"/>
      <c r="EP831" s="103"/>
      <c r="EQ831" s="103"/>
      <c r="ER831" s="1"/>
      <c r="ES831" s="103"/>
      <c r="ET831" s="1"/>
      <c r="EU831" s="1"/>
      <c r="EV831" s="1"/>
      <c r="EW831" s="105"/>
    </row>
    <row r="832" spans="9:153">
      <c r="I832" s="132"/>
      <c r="J832" s="133"/>
      <c r="K832" s="1"/>
      <c r="L832" s="1"/>
      <c r="Q832" s="1"/>
      <c r="R832" s="1"/>
      <c r="S832" s="103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53"/>
      <c r="AN832" s="103"/>
      <c r="AO832" s="103"/>
      <c r="AP832" s="103"/>
      <c r="AQ832" s="31"/>
      <c r="AR832" s="31"/>
      <c r="AS832" s="31"/>
      <c r="AT832" s="30"/>
      <c r="AU832" s="30"/>
      <c r="AV832" s="103"/>
      <c r="AW832" s="103"/>
      <c r="AX832" s="103"/>
      <c r="AY832" s="103"/>
      <c r="AZ832" s="103"/>
      <c r="BA832" s="103"/>
      <c r="BB832" s="104"/>
      <c r="BC832" s="102"/>
      <c r="BD832" s="102"/>
      <c r="BE832" s="102"/>
      <c r="BF832" s="104"/>
      <c r="BG832" s="152"/>
      <c r="BH832" s="103"/>
      <c r="BI832" s="103"/>
      <c r="BJ832" s="103"/>
      <c r="BK832" s="103"/>
      <c r="BL832" s="103"/>
      <c r="BM832" s="103"/>
      <c r="BN832" s="103"/>
      <c r="BO832" s="103"/>
      <c r="BP832" s="103"/>
      <c r="BQ832" s="103"/>
      <c r="BR832" s="103"/>
      <c r="BS832" s="104"/>
      <c r="BT832" s="104"/>
      <c r="BU832" s="104"/>
      <c r="BV832" s="104"/>
      <c r="BW832" s="104"/>
      <c r="BX832" s="104"/>
      <c r="BY832" s="104"/>
      <c r="BZ832" s="104"/>
      <c r="CA832" s="104"/>
      <c r="CB832" s="104"/>
      <c r="CC832" s="103"/>
      <c r="CD832" s="103"/>
      <c r="CE832" s="103"/>
      <c r="CF832" s="103"/>
      <c r="CG832" s="103"/>
      <c r="CH832" s="133"/>
      <c r="CI832" s="133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O832" s="1"/>
      <c r="EP832" s="103"/>
      <c r="EQ832" s="103"/>
      <c r="ER832" s="1"/>
      <c r="ES832" s="103"/>
      <c r="ET832" s="1"/>
      <c r="EU832" s="1"/>
      <c r="EV832" s="1"/>
      <c r="EW832" s="105"/>
    </row>
    <row r="833" spans="9:153">
      <c r="I833" s="132"/>
      <c r="J833" s="133"/>
      <c r="K833" s="1"/>
      <c r="L833" s="1"/>
      <c r="Q833" s="1"/>
      <c r="R833" s="1"/>
      <c r="S833" s="103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53"/>
      <c r="AN833" s="103"/>
      <c r="AO833" s="103"/>
      <c r="AP833" s="103"/>
      <c r="AQ833" s="31"/>
      <c r="AR833" s="31"/>
      <c r="AS833" s="31"/>
      <c r="AT833" s="30"/>
      <c r="AU833" s="30"/>
      <c r="AV833" s="103"/>
      <c r="AW833" s="103"/>
      <c r="AX833" s="103"/>
      <c r="AY833" s="103"/>
      <c r="AZ833" s="103"/>
      <c r="BA833" s="103"/>
      <c r="BB833" s="104"/>
      <c r="BC833" s="102"/>
      <c r="BD833" s="102"/>
      <c r="BE833" s="102"/>
      <c r="BF833" s="104"/>
      <c r="BG833" s="152"/>
      <c r="BH833" s="103"/>
      <c r="BI833" s="103"/>
      <c r="BJ833" s="103"/>
      <c r="BK833" s="103"/>
      <c r="BL833" s="103"/>
      <c r="BM833" s="103"/>
      <c r="BN833" s="103"/>
      <c r="BO833" s="103"/>
      <c r="BP833" s="103"/>
      <c r="BQ833" s="103"/>
      <c r="BR833" s="103"/>
      <c r="BS833" s="104"/>
      <c r="BT833" s="104"/>
      <c r="BU833" s="104"/>
      <c r="BV833" s="104"/>
      <c r="BW833" s="104"/>
      <c r="BX833" s="104"/>
      <c r="BY833" s="104"/>
      <c r="BZ833" s="104"/>
      <c r="CA833" s="104"/>
      <c r="CB833" s="104"/>
      <c r="CC833" s="103"/>
      <c r="CD833" s="103"/>
      <c r="CE833" s="103"/>
      <c r="CF833" s="103"/>
      <c r="CG833" s="103"/>
      <c r="CH833" s="133"/>
      <c r="CI833" s="133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O833" s="1"/>
      <c r="EP833" s="103"/>
      <c r="EQ833" s="103"/>
      <c r="ER833" s="1"/>
      <c r="ES833" s="103"/>
      <c r="ET833" s="1"/>
      <c r="EU833" s="1"/>
      <c r="EV833" s="1"/>
      <c r="EW833" s="105"/>
    </row>
    <row r="834" spans="9:153">
      <c r="I834" s="132"/>
      <c r="J834" s="133"/>
      <c r="K834" s="1"/>
      <c r="L834" s="1"/>
      <c r="Q834" s="1"/>
      <c r="R834" s="1"/>
      <c r="S834" s="103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53"/>
      <c r="AN834" s="103"/>
      <c r="AO834" s="103"/>
      <c r="AP834" s="103"/>
      <c r="AQ834" s="31"/>
      <c r="AR834" s="31"/>
      <c r="AS834" s="31"/>
      <c r="AT834" s="30"/>
      <c r="AU834" s="30"/>
      <c r="AV834" s="103"/>
      <c r="AW834" s="103"/>
      <c r="AX834" s="103"/>
      <c r="AY834" s="103"/>
      <c r="AZ834" s="103"/>
      <c r="BA834" s="103"/>
      <c r="BB834" s="104"/>
      <c r="BC834" s="102"/>
      <c r="BD834" s="102"/>
      <c r="BE834" s="102"/>
      <c r="BF834" s="104"/>
      <c r="BG834" s="152"/>
      <c r="BH834" s="103"/>
      <c r="BI834" s="103"/>
      <c r="BJ834" s="103"/>
      <c r="BK834" s="103"/>
      <c r="BL834" s="103"/>
      <c r="BM834" s="103"/>
      <c r="BN834" s="103"/>
      <c r="BO834" s="103"/>
      <c r="BP834" s="103"/>
      <c r="BQ834" s="103"/>
      <c r="BR834" s="103"/>
      <c r="BS834" s="104"/>
      <c r="BT834" s="104"/>
      <c r="BU834" s="104"/>
      <c r="BV834" s="104"/>
      <c r="BW834" s="104"/>
      <c r="BX834" s="104"/>
      <c r="BY834" s="104"/>
      <c r="BZ834" s="104"/>
      <c r="CA834" s="104"/>
      <c r="CB834" s="104"/>
      <c r="CC834" s="103"/>
      <c r="CD834" s="103"/>
      <c r="CE834" s="103"/>
      <c r="CF834" s="103"/>
      <c r="CG834" s="103"/>
      <c r="CH834" s="133"/>
      <c r="CI834" s="133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O834" s="1"/>
      <c r="EP834" s="103"/>
      <c r="EQ834" s="103"/>
      <c r="ER834" s="1"/>
      <c r="ES834" s="103"/>
      <c r="ET834" s="1"/>
      <c r="EU834" s="1"/>
      <c r="EV834" s="1"/>
      <c r="EW834" s="105"/>
    </row>
    <row r="835" spans="9:153">
      <c r="I835" s="132"/>
      <c r="J835" s="133"/>
      <c r="K835" s="1"/>
      <c r="L835" s="1"/>
      <c r="Q835" s="1"/>
      <c r="R835" s="1"/>
      <c r="S835" s="103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53"/>
      <c r="AN835" s="103"/>
      <c r="AO835" s="103"/>
      <c r="AP835" s="103"/>
      <c r="AQ835" s="31"/>
      <c r="AR835" s="31"/>
      <c r="AS835" s="31"/>
      <c r="AT835" s="30"/>
      <c r="AU835" s="30"/>
      <c r="AV835" s="103"/>
      <c r="AW835" s="103"/>
      <c r="AX835" s="103"/>
      <c r="AY835" s="103"/>
      <c r="AZ835" s="103"/>
      <c r="BA835" s="103"/>
      <c r="BB835" s="104"/>
      <c r="BC835" s="102"/>
      <c r="BD835" s="102"/>
      <c r="BE835" s="102"/>
      <c r="BF835" s="104"/>
      <c r="BG835" s="152"/>
      <c r="BH835" s="103"/>
      <c r="BI835" s="103"/>
      <c r="BJ835" s="103"/>
      <c r="BK835" s="103"/>
      <c r="BL835" s="103"/>
      <c r="BM835" s="103"/>
      <c r="BN835" s="103"/>
      <c r="BO835" s="103"/>
      <c r="BP835" s="103"/>
      <c r="BQ835" s="103"/>
      <c r="BR835" s="103"/>
      <c r="BS835" s="104"/>
      <c r="BT835" s="104"/>
      <c r="BU835" s="104"/>
      <c r="BV835" s="104"/>
      <c r="BW835" s="104"/>
      <c r="BX835" s="104"/>
      <c r="BY835" s="104"/>
      <c r="BZ835" s="104"/>
      <c r="CA835" s="104"/>
      <c r="CB835" s="104"/>
      <c r="CC835" s="103"/>
      <c r="CD835" s="103"/>
      <c r="CE835" s="103"/>
      <c r="CF835" s="103"/>
      <c r="CG835" s="103"/>
      <c r="CH835" s="133"/>
      <c r="CI835" s="133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O835" s="1"/>
      <c r="EP835" s="103"/>
      <c r="EQ835" s="103"/>
      <c r="ER835" s="1"/>
      <c r="ES835" s="103"/>
      <c r="ET835" s="1"/>
      <c r="EU835" s="1"/>
      <c r="EV835" s="1"/>
      <c r="EW835" s="105"/>
    </row>
    <row r="836" spans="9:153">
      <c r="I836" s="132"/>
      <c r="J836" s="133"/>
      <c r="K836" s="1"/>
      <c r="L836" s="1"/>
      <c r="Q836" s="1"/>
      <c r="R836" s="1"/>
      <c r="S836" s="103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53"/>
      <c r="AN836" s="103"/>
      <c r="AO836" s="103"/>
      <c r="AP836" s="103"/>
      <c r="AQ836" s="31"/>
      <c r="AR836" s="31"/>
      <c r="AS836" s="31"/>
      <c r="AT836" s="30"/>
      <c r="AU836" s="30"/>
      <c r="AV836" s="103"/>
      <c r="AW836" s="103"/>
      <c r="AX836" s="103"/>
      <c r="AY836" s="103"/>
      <c r="AZ836" s="103"/>
      <c r="BA836" s="103"/>
      <c r="BB836" s="104"/>
      <c r="BC836" s="102"/>
      <c r="BD836" s="102"/>
      <c r="BE836" s="102"/>
      <c r="BF836" s="104"/>
      <c r="BG836" s="152"/>
      <c r="BH836" s="103"/>
      <c r="BI836" s="103"/>
      <c r="BJ836" s="103"/>
      <c r="BK836" s="103"/>
      <c r="BL836" s="103"/>
      <c r="BM836" s="103"/>
      <c r="BN836" s="103"/>
      <c r="BO836" s="103"/>
      <c r="BP836" s="103"/>
      <c r="BQ836" s="103"/>
      <c r="BR836" s="103"/>
      <c r="BS836" s="104"/>
      <c r="BT836" s="104"/>
      <c r="BU836" s="104"/>
      <c r="BV836" s="104"/>
      <c r="BW836" s="104"/>
      <c r="BX836" s="104"/>
      <c r="BY836" s="104"/>
      <c r="BZ836" s="104"/>
      <c r="CA836" s="104"/>
      <c r="CB836" s="104"/>
      <c r="CC836" s="103"/>
      <c r="CD836" s="103"/>
      <c r="CE836" s="103"/>
      <c r="CF836" s="103"/>
      <c r="CG836" s="103"/>
      <c r="CH836" s="133"/>
      <c r="CI836" s="133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O836" s="1"/>
      <c r="EP836" s="103"/>
      <c r="EQ836" s="103"/>
      <c r="ER836" s="1"/>
      <c r="ES836" s="103"/>
      <c r="ET836" s="1"/>
      <c r="EU836" s="1"/>
      <c r="EV836" s="1"/>
      <c r="EW836" s="105"/>
    </row>
    <row r="837" spans="9:153">
      <c r="I837" s="132"/>
      <c r="J837" s="133"/>
      <c r="K837" s="1"/>
      <c r="L837" s="1"/>
      <c r="Q837" s="1"/>
      <c r="R837" s="1"/>
      <c r="S837" s="103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53"/>
      <c r="AN837" s="103"/>
      <c r="AO837" s="103"/>
      <c r="AP837" s="103"/>
      <c r="AQ837" s="31"/>
      <c r="AR837" s="31"/>
      <c r="AS837" s="31"/>
      <c r="AT837" s="30"/>
      <c r="AU837" s="30"/>
      <c r="AV837" s="103"/>
      <c r="AW837" s="103"/>
      <c r="AX837" s="103"/>
      <c r="AY837" s="103"/>
      <c r="AZ837" s="103"/>
      <c r="BA837" s="103"/>
      <c r="BB837" s="104"/>
      <c r="BC837" s="102"/>
      <c r="BD837" s="102"/>
      <c r="BE837" s="102"/>
      <c r="BF837" s="104"/>
      <c r="BG837" s="152"/>
      <c r="BH837" s="103"/>
      <c r="BI837" s="103"/>
      <c r="BJ837" s="103"/>
      <c r="BK837" s="103"/>
      <c r="BL837" s="103"/>
      <c r="BM837" s="103"/>
      <c r="BN837" s="103"/>
      <c r="BO837" s="103"/>
      <c r="BP837" s="103"/>
      <c r="BQ837" s="103"/>
      <c r="BR837" s="103"/>
      <c r="BS837" s="104"/>
      <c r="BT837" s="104"/>
      <c r="BU837" s="104"/>
      <c r="BV837" s="104"/>
      <c r="BW837" s="104"/>
      <c r="BX837" s="104"/>
      <c r="BY837" s="104"/>
      <c r="BZ837" s="104"/>
      <c r="CA837" s="104"/>
      <c r="CB837" s="104"/>
      <c r="CC837" s="103"/>
      <c r="CD837" s="103"/>
      <c r="CE837" s="103"/>
      <c r="CF837" s="103"/>
      <c r="CG837" s="103"/>
      <c r="CH837" s="133"/>
      <c r="CI837" s="133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O837" s="1"/>
      <c r="EP837" s="103"/>
      <c r="EQ837" s="103"/>
      <c r="ER837" s="1"/>
      <c r="ES837" s="103"/>
      <c r="ET837" s="1"/>
      <c r="EU837" s="1"/>
      <c r="EV837" s="1"/>
      <c r="EW837" s="105"/>
    </row>
    <row r="838" spans="9:153">
      <c r="I838" s="132"/>
      <c r="J838" s="133"/>
      <c r="K838" s="1"/>
      <c r="L838" s="1"/>
      <c r="Q838" s="1"/>
      <c r="R838" s="1"/>
      <c r="S838" s="103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53"/>
      <c r="AN838" s="103"/>
      <c r="AO838" s="103"/>
      <c r="AP838" s="103"/>
      <c r="AQ838" s="31"/>
      <c r="AR838" s="31"/>
      <c r="AS838" s="31"/>
      <c r="AT838" s="30"/>
      <c r="AU838" s="30"/>
      <c r="AV838" s="103"/>
      <c r="AW838" s="103"/>
      <c r="AX838" s="103"/>
      <c r="AY838" s="103"/>
      <c r="AZ838" s="103"/>
      <c r="BA838" s="103"/>
      <c r="BB838" s="104"/>
      <c r="BC838" s="102"/>
      <c r="BD838" s="102"/>
      <c r="BE838" s="102"/>
      <c r="BF838" s="104"/>
      <c r="BG838" s="152"/>
      <c r="BH838" s="103"/>
      <c r="BI838" s="103"/>
      <c r="BJ838" s="103"/>
      <c r="BK838" s="103"/>
      <c r="BL838" s="103"/>
      <c r="BM838" s="103"/>
      <c r="BN838" s="103"/>
      <c r="BO838" s="103"/>
      <c r="BP838" s="103"/>
      <c r="BQ838" s="103"/>
      <c r="BR838" s="103"/>
      <c r="BS838" s="104"/>
      <c r="BT838" s="104"/>
      <c r="BU838" s="104"/>
      <c r="BV838" s="104"/>
      <c r="BW838" s="104"/>
      <c r="BX838" s="104"/>
      <c r="BY838" s="104"/>
      <c r="BZ838" s="104"/>
      <c r="CA838" s="104"/>
      <c r="CB838" s="104"/>
      <c r="CC838" s="103"/>
      <c r="CD838" s="103"/>
      <c r="CE838" s="103"/>
      <c r="CF838" s="103"/>
      <c r="CG838" s="103"/>
      <c r="CH838" s="133"/>
      <c r="CI838" s="133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O838" s="1"/>
      <c r="EP838" s="103"/>
      <c r="EQ838" s="103"/>
      <c r="ER838" s="1"/>
      <c r="ES838" s="103"/>
      <c r="ET838" s="1"/>
      <c r="EU838" s="1"/>
      <c r="EV838" s="1"/>
      <c r="EW838" s="105"/>
    </row>
    <row r="839" spans="9:153">
      <c r="I839" s="132"/>
      <c r="J839" s="133"/>
      <c r="K839" s="1"/>
      <c r="L839" s="1"/>
      <c r="Q839" s="1"/>
      <c r="R839" s="1"/>
      <c r="S839" s="103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53"/>
      <c r="AN839" s="103"/>
      <c r="AO839" s="103"/>
      <c r="AP839" s="103"/>
      <c r="AQ839" s="31"/>
      <c r="AR839" s="31"/>
      <c r="AS839" s="31"/>
      <c r="AT839" s="30"/>
      <c r="AU839" s="30"/>
      <c r="AV839" s="103"/>
      <c r="AW839" s="103"/>
      <c r="AX839" s="103"/>
      <c r="AY839" s="103"/>
      <c r="AZ839" s="103"/>
      <c r="BA839" s="103"/>
      <c r="BB839" s="104"/>
      <c r="BC839" s="102"/>
      <c r="BD839" s="102"/>
      <c r="BE839" s="102"/>
      <c r="BF839" s="104"/>
      <c r="BG839" s="152"/>
      <c r="BH839" s="103"/>
      <c r="BI839" s="103"/>
      <c r="BJ839" s="103"/>
      <c r="BK839" s="103"/>
      <c r="BL839" s="103"/>
      <c r="BM839" s="103"/>
      <c r="BN839" s="103"/>
      <c r="BO839" s="103"/>
      <c r="BP839" s="103"/>
      <c r="BQ839" s="103"/>
      <c r="BR839" s="103"/>
      <c r="BS839" s="104"/>
      <c r="BT839" s="104"/>
      <c r="BU839" s="104"/>
      <c r="BV839" s="104"/>
      <c r="BW839" s="104"/>
      <c r="BX839" s="104"/>
      <c r="BY839" s="104"/>
      <c r="BZ839" s="104"/>
      <c r="CA839" s="104"/>
      <c r="CB839" s="104"/>
      <c r="CC839" s="103"/>
      <c r="CD839" s="103"/>
      <c r="CE839" s="103"/>
      <c r="CF839" s="103"/>
      <c r="CG839" s="103"/>
      <c r="CH839" s="133"/>
      <c r="CI839" s="133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O839" s="1"/>
      <c r="EP839" s="103"/>
      <c r="EQ839" s="103"/>
      <c r="ER839" s="1"/>
      <c r="ES839" s="103"/>
      <c r="ET839" s="1"/>
      <c r="EU839" s="1"/>
      <c r="EV839" s="1"/>
      <c r="EW839" s="105"/>
    </row>
    <row r="840" spans="9:153">
      <c r="I840" s="132"/>
      <c r="J840" s="133"/>
      <c r="K840" s="1"/>
      <c r="L840" s="1"/>
      <c r="Q840" s="1"/>
      <c r="R840" s="1"/>
      <c r="S840" s="103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53"/>
      <c r="AN840" s="103"/>
      <c r="AO840" s="103"/>
      <c r="AP840" s="103"/>
      <c r="AQ840" s="31"/>
      <c r="AR840" s="31"/>
      <c r="AS840" s="31"/>
      <c r="AT840" s="30"/>
      <c r="AU840" s="30"/>
      <c r="AV840" s="103"/>
      <c r="AW840" s="103"/>
      <c r="AX840" s="103"/>
      <c r="AY840" s="103"/>
      <c r="AZ840" s="103"/>
      <c r="BA840" s="103"/>
      <c r="BB840" s="104"/>
      <c r="BC840" s="102"/>
      <c r="BD840" s="102"/>
      <c r="BE840" s="102"/>
      <c r="BF840" s="104"/>
      <c r="BG840" s="152"/>
      <c r="BH840" s="103"/>
      <c r="BI840" s="103"/>
      <c r="BJ840" s="103"/>
      <c r="BK840" s="103"/>
      <c r="BL840" s="103"/>
      <c r="BM840" s="103"/>
      <c r="BN840" s="103"/>
      <c r="BO840" s="103"/>
      <c r="BP840" s="103"/>
      <c r="BQ840" s="103"/>
      <c r="BR840" s="103"/>
      <c r="BS840" s="104"/>
      <c r="BT840" s="104"/>
      <c r="BU840" s="104"/>
      <c r="BV840" s="104"/>
      <c r="BW840" s="104"/>
      <c r="BX840" s="104"/>
      <c r="BY840" s="104"/>
      <c r="BZ840" s="104"/>
      <c r="CA840" s="104"/>
      <c r="CB840" s="104"/>
      <c r="CC840" s="103"/>
      <c r="CD840" s="103"/>
      <c r="CE840" s="103"/>
      <c r="CF840" s="103"/>
      <c r="CG840" s="103"/>
      <c r="CH840" s="133"/>
      <c r="CI840" s="133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O840" s="1"/>
      <c r="EP840" s="103"/>
      <c r="EQ840" s="103"/>
      <c r="ER840" s="1"/>
      <c r="ES840" s="103"/>
      <c r="ET840" s="1"/>
      <c r="EU840" s="1"/>
      <c r="EV840" s="1"/>
      <c r="EW840" s="105"/>
    </row>
    <row r="841" spans="9:153">
      <c r="I841" s="132"/>
      <c r="J841" s="133"/>
      <c r="K841" s="1"/>
      <c r="L841" s="1"/>
      <c r="Q841" s="1"/>
      <c r="R841" s="1"/>
      <c r="S841" s="103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53"/>
      <c r="AN841" s="103"/>
      <c r="AO841" s="103"/>
      <c r="AP841" s="103"/>
      <c r="AQ841" s="31"/>
      <c r="AR841" s="31"/>
      <c r="AS841" s="31"/>
      <c r="AT841" s="30"/>
      <c r="AU841" s="30"/>
      <c r="AV841" s="103"/>
      <c r="AW841" s="103"/>
      <c r="AX841" s="103"/>
      <c r="AY841" s="103"/>
      <c r="AZ841" s="103"/>
      <c r="BA841" s="103"/>
      <c r="BB841" s="104"/>
      <c r="BC841" s="102"/>
      <c r="BD841" s="102"/>
      <c r="BE841" s="102"/>
      <c r="BF841" s="104"/>
      <c r="BG841" s="152"/>
      <c r="BH841" s="103"/>
      <c r="BI841" s="103"/>
      <c r="BJ841" s="103"/>
      <c r="BK841" s="103"/>
      <c r="BL841" s="103"/>
      <c r="BM841" s="103"/>
      <c r="BN841" s="103"/>
      <c r="BO841" s="103"/>
      <c r="BP841" s="103"/>
      <c r="BQ841" s="103"/>
      <c r="BR841" s="103"/>
      <c r="BS841" s="104"/>
      <c r="BT841" s="104"/>
      <c r="BU841" s="104"/>
      <c r="BV841" s="104"/>
      <c r="BW841" s="104"/>
      <c r="BX841" s="104"/>
      <c r="BY841" s="104"/>
      <c r="BZ841" s="104"/>
      <c r="CA841" s="104"/>
      <c r="CB841" s="104"/>
      <c r="CC841" s="103"/>
      <c r="CD841" s="103"/>
      <c r="CE841" s="103"/>
      <c r="CF841" s="103"/>
      <c r="CG841" s="103"/>
      <c r="CH841" s="133"/>
      <c r="CI841" s="133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O841" s="1"/>
      <c r="EP841" s="103"/>
      <c r="EQ841" s="103"/>
      <c r="ER841" s="1"/>
      <c r="ES841" s="103"/>
      <c r="ET841" s="1"/>
      <c r="EU841" s="1"/>
      <c r="EV841" s="1"/>
      <c r="EW841" s="105"/>
    </row>
    <row r="842" spans="9:153">
      <c r="I842" s="132"/>
      <c r="J842" s="133"/>
      <c r="K842" s="1"/>
      <c r="L842" s="1"/>
      <c r="Q842" s="1"/>
      <c r="R842" s="1"/>
      <c r="S842" s="103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53"/>
      <c r="AN842" s="103"/>
      <c r="AO842" s="103"/>
      <c r="AP842" s="103"/>
      <c r="AQ842" s="31"/>
      <c r="AR842" s="31"/>
      <c r="AS842" s="31"/>
      <c r="AT842" s="30"/>
      <c r="AU842" s="30"/>
      <c r="AV842" s="103"/>
      <c r="AW842" s="103"/>
      <c r="AX842" s="103"/>
      <c r="AY842" s="103"/>
      <c r="AZ842" s="103"/>
      <c r="BA842" s="103"/>
      <c r="BB842" s="104"/>
      <c r="BC842" s="102"/>
      <c r="BD842" s="102"/>
      <c r="BE842" s="102"/>
      <c r="BF842" s="104"/>
      <c r="BG842" s="152"/>
      <c r="BH842" s="103"/>
      <c r="BI842" s="103"/>
      <c r="BJ842" s="103"/>
      <c r="BK842" s="103"/>
      <c r="BL842" s="103"/>
      <c r="BM842" s="103"/>
      <c r="BN842" s="103"/>
      <c r="BO842" s="103"/>
      <c r="BP842" s="103"/>
      <c r="BQ842" s="103"/>
      <c r="BR842" s="103"/>
      <c r="BS842" s="104"/>
      <c r="BT842" s="104"/>
      <c r="BU842" s="104"/>
      <c r="BV842" s="104"/>
      <c r="BW842" s="104"/>
      <c r="BX842" s="104"/>
      <c r="BY842" s="104"/>
      <c r="BZ842" s="104"/>
      <c r="CA842" s="104"/>
      <c r="CB842" s="104"/>
      <c r="CC842" s="103"/>
      <c r="CD842" s="103"/>
      <c r="CE842" s="103"/>
      <c r="CF842" s="103"/>
      <c r="CG842" s="103"/>
      <c r="CH842" s="133"/>
      <c r="CI842" s="133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O842" s="1"/>
      <c r="EP842" s="103"/>
      <c r="EQ842" s="103"/>
      <c r="ER842" s="1"/>
      <c r="ES842" s="103"/>
      <c r="ET842" s="1"/>
      <c r="EU842" s="1"/>
      <c r="EV842" s="1"/>
      <c r="EW842" s="105"/>
    </row>
    <row r="843" spans="9:153">
      <c r="I843" s="132"/>
      <c r="J843" s="133"/>
      <c r="K843" s="1"/>
      <c r="L843" s="1"/>
      <c r="Q843" s="1"/>
      <c r="R843" s="1"/>
      <c r="S843" s="103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53"/>
      <c r="AN843" s="103"/>
      <c r="AO843" s="103"/>
      <c r="AP843" s="103"/>
      <c r="AQ843" s="31"/>
      <c r="AR843" s="31"/>
      <c r="AS843" s="31"/>
      <c r="AT843" s="30"/>
      <c r="AU843" s="30"/>
      <c r="AV843" s="103"/>
      <c r="AW843" s="103"/>
      <c r="AX843" s="103"/>
      <c r="AY843" s="103"/>
      <c r="AZ843" s="103"/>
      <c r="BA843" s="103"/>
      <c r="BB843" s="104"/>
      <c r="BC843" s="102"/>
      <c r="BD843" s="102"/>
      <c r="BE843" s="102"/>
      <c r="BF843" s="104"/>
      <c r="BG843" s="152"/>
      <c r="BH843" s="103"/>
      <c r="BI843" s="103"/>
      <c r="BJ843" s="103"/>
      <c r="BK843" s="103"/>
      <c r="BL843" s="103"/>
      <c r="BM843" s="103"/>
      <c r="BN843" s="103"/>
      <c r="BO843" s="103"/>
      <c r="BP843" s="103"/>
      <c r="BQ843" s="103"/>
      <c r="BR843" s="103"/>
      <c r="BS843" s="104"/>
      <c r="BT843" s="104"/>
      <c r="BU843" s="104"/>
      <c r="BV843" s="104"/>
      <c r="BW843" s="104"/>
      <c r="BX843" s="104"/>
      <c r="BY843" s="104"/>
      <c r="BZ843" s="104"/>
      <c r="CA843" s="104"/>
      <c r="CB843" s="104"/>
      <c r="CC843" s="103"/>
      <c r="CD843" s="103"/>
      <c r="CE843" s="103"/>
      <c r="CF843" s="103"/>
      <c r="CG843" s="103"/>
      <c r="CH843" s="133"/>
      <c r="CI843" s="133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O843" s="1"/>
      <c r="EP843" s="103"/>
      <c r="EQ843" s="103"/>
      <c r="ER843" s="1"/>
      <c r="ES843" s="103"/>
      <c r="ET843" s="1"/>
      <c r="EU843" s="1"/>
      <c r="EV843" s="1"/>
      <c r="EW843" s="105"/>
    </row>
    <row r="844" spans="9:153">
      <c r="I844" s="132"/>
      <c r="J844" s="133"/>
      <c r="K844" s="1"/>
      <c r="L844" s="1"/>
      <c r="Q844" s="1"/>
      <c r="R844" s="1"/>
      <c r="S844" s="103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53"/>
      <c r="AN844" s="103"/>
      <c r="AO844" s="103"/>
      <c r="AP844" s="103"/>
      <c r="AQ844" s="31"/>
      <c r="AR844" s="31"/>
      <c r="AS844" s="31"/>
      <c r="AT844" s="30"/>
      <c r="AU844" s="30"/>
      <c r="AV844" s="103"/>
      <c r="AW844" s="103"/>
      <c r="AX844" s="103"/>
      <c r="AY844" s="103"/>
      <c r="AZ844" s="103"/>
      <c r="BA844" s="103"/>
      <c r="BB844" s="104"/>
      <c r="BC844" s="102"/>
      <c r="BD844" s="102"/>
      <c r="BE844" s="102"/>
      <c r="BF844" s="104"/>
      <c r="BG844" s="152"/>
      <c r="BH844" s="103"/>
      <c r="BI844" s="103"/>
      <c r="BJ844" s="103"/>
      <c r="BK844" s="103"/>
      <c r="BL844" s="103"/>
      <c r="BM844" s="103"/>
      <c r="BN844" s="103"/>
      <c r="BO844" s="103"/>
      <c r="BP844" s="103"/>
      <c r="BQ844" s="103"/>
      <c r="BR844" s="103"/>
      <c r="BS844" s="104"/>
      <c r="BT844" s="104"/>
      <c r="BU844" s="104"/>
      <c r="BV844" s="104"/>
      <c r="BW844" s="104"/>
      <c r="BX844" s="104"/>
      <c r="BY844" s="104"/>
      <c r="BZ844" s="104"/>
      <c r="CA844" s="104"/>
      <c r="CB844" s="104"/>
      <c r="CC844" s="103"/>
      <c r="CD844" s="103"/>
      <c r="CE844" s="103"/>
      <c r="CF844" s="103"/>
      <c r="CG844" s="103"/>
      <c r="CH844" s="133"/>
      <c r="CI844" s="133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O844" s="1"/>
      <c r="EP844" s="103"/>
      <c r="EQ844" s="103"/>
      <c r="ER844" s="1"/>
      <c r="ES844" s="103"/>
      <c r="ET844" s="1"/>
      <c r="EU844" s="1"/>
      <c r="EV844" s="1"/>
      <c r="EW844" s="105"/>
    </row>
    <row r="845" spans="9:153">
      <c r="I845" s="132"/>
      <c r="J845" s="133"/>
      <c r="K845" s="1"/>
      <c r="L845" s="1"/>
      <c r="Q845" s="1"/>
      <c r="R845" s="1"/>
      <c r="S845" s="103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53"/>
      <c r="AN845" s="103"/>
      <c r="AO845" s="103"/>
      <c r="AP845" s="103"/>
      <c r="AQ845" s="31"/>
      <c r="AR845" s="31"/>
      <c r="AS845" s="31"/>
      <c r="AT845" s="30"/>
      <c r="AU845" s="30"/>
      <c r="AV845" s="103"/>
      <c r="AW845" s="103"/>
      <c r="AX845" s="103"/>
      <c r="AY845" s="103"/>
      <c r="AZ845" s="103"/>
      <c r="BA845" s="103"/>
      <c r="BB845" s="104"/>
      <c r="BC845" s="102"/>
      <c r="BD845" s="102"/>
      <c r="BE845" s="102"/>
      <c r="BF845" s="104"/>
      <c r="BG845" s="152"/>
      <c r="BH845" s="103"/>
      <c r="BI845" s="103"/>
      <c r="BJ845" s="103"/>
      <c r="BK845" s="103"/>
      <c r="BL845" s="103"/>
      <c r="BM845" s="103"/>
      <c r="BN845" s="103"/>
      <c r="BO845" s="103"/>
      <c r="BP845" s="103"/>
      <c r="BQ845" s="103"/>
      <c r="BR845" s="103"/>
      <c r="BS845" s="104"/>
      <c r="BT845" s="104"/>
      <c r="BU845" s="104"/>
      <c r="BV845" s="104"/>
      <c r="BW845" s="104"/>
      <c r="BX845" s="104"/>
      <c r="BY845" s="104"/>
      <c r="BZ845" s="104"/>
      <c r="CA845" s="104"/>
      <c r="CB845" s="104"/>
      <c r="CC845" s="103"/>
      <c r="CD845" s="103"/>
      <c r="CE845" s="103"/>
      <c r="CF845" s="103"/>
      <c r="CG845" s="103"/>
      <c r="CH845" s="133"/>
      <c r="CI845" s="133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O845" s="1"/>
      <c r="EP845" s="103"/>
      <c r="EQ845" s="103"/>
      <c r="ER845" s="1"/>
      <c r="ES845" s="103"/>
      <c r="ET845" s="1"/>
      <c r="EU845" s="1"/>
      <c r="EV845" s="1"/>
      <c r="EW845" s="105"/>
    </row>
    <row r="846" spans="9:153">
      <c r="I846" s="132"/>
      <c r="J846" s="133"/>
      <c r="K846" s="1"/>
      <c r="L846" s="1"/>
      <c r="Q846" s="1"/>
      <c r="R846" s="1"/>
      <c r="S846" s="103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53"/>
      <c r="AN846" s="103"/>
      <c r="AO846" s="103"/>
      <c r="AP846" s="103"/>
      <c r="AQ846" s="31"/>
      <c r="AR846" s="31"/>
      <c r="AS846" s="31"/>
      <c r="AT846" s="30"/>
      <c r="AU846" s="30"/>
      <c r="AV846" s="103"/>
      <c r="AW846" s="103"/>
      <c r="AX846" s="103"/>
      <c r="AY846" s="103"/>
      <c r="AZ846" s="103"/>
      <c r="BA846" s="103"/>
      <c r="BB846" s="104"/>
      <c r="BC846" s="102"/>
      <c r="BD846" s="102"/>
      <c r="BE846" s="102"/>
      <c r="BF846" s="104"/>
      <c r="BG846" s="152"/>
      <c r="BH846" s="103"/>
      <c r="BI846" s="103"/>
      <c r="BJ846" s="103"/>
      <c r="BK846" s="103"/>
      <c r="BL846" s="103"/>
      <c r="BM846" s="103"/>
      <c r="BN846" s="103"/>
      <c r="BO846" s="103"/>
      <c r="BP846" s="103"/>
      <c r="BQ846" s="103"/>
      <c r="BR846" s="103"/>
      <c r="BS846" s="104"/>
      <c r="BT846" s="104"/>
      <c r="BU846" s="104"/>
      <c r="BV846" s="104"/>
      <c r="BW846" s="104"/>
      <c r="BX846" s="104"/>
      <c r="BY846" s="104"/>
      <c r="BZ846" s="104"/>
      <c r="CA846" s="104"/>
      <c r="CB846" s="104"/>
      <c r="CC846" s="103"/>
      <c r="CD846" s="103"/>
      <c r="CE846" s="103"/>
      <c r="CF846" s="103"/>
      <c r="CG846" s="103"/>
      <c r="CH846" s="133"/>
      <c r="CI846" s="133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O846" s="1"/>
      <c r="EP846" s="103"/>
      <c r="EQ846" s="103"/>
      <c r="ER846" s="1"/>
      <c r="ES846" s="103"/>
      <c r="ET846" s="1"/>
      <c r="EU846" s="1"/>
      <c r="EV846" s="1"/>
      <c r="EW846" s="105"/>
    </row>
    <row r="847" spans="9:153">
      <c r="I847" s="132"/>
      <c r="J847" s="133"/>
      <c r="K847" s="1"/>
      <c r="L847" s="1"/>
      <c r="Q847" s="1"/>
      <c r="R847" s="1"/>
      <c r="S847" s="103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53"/>
      <c r="AN847" s="103"/>
      <c r="AO847" s="103"/>
      <c r="AP847" s="103"/>
      <c r="AQ847" s="31"/>
      <c r="AR847" s="31"/>
      <c r="AS847" s="31"/>
      <c r="AT847" s="30"/>
      <c r="AU847" s="30"/>
      <c r="AV847" s="103"/>
      <c r="AW847" s="103"/>
      <c r="AX847" s="103"/>
      <c r="AY847" s="103"/>
      <c r="AZ847" s="103"/>
      <c r="BA847" s="103"/>
      <c r="BB847" s="104"/>
      <c r="BC847" s="102"/>
      <c r="BD847" s="102"/>
      <c r="BE847" s="102"/>
      <c r="BF847" s="104"/>
      <c r="BG847" s="152"/>
      <c r="BH847" s="103"/>
      <c r="BI847" s="103"/>
      <c r="BJ847" s="103"/>
      <c r="BK847" s="103"/>
      <c r="BL847" s="103"/>
      <c r="BM847" s="103"/>
      <c r="BN847" s="103"/>
      <c r="BO847" s="103"/>
      <c r="BP847" s="103"/>
      <c r="BQ847" s="103"/>
      <c r="BR847" s="103"/>
      <c r="BS847" s="104"/>
      <c r="BT847" s="104"/>
      <c r="BU847" s="104"/>
      <c r="BV847" s="104"/>
      <c r="BW847" s="104"/>
      <c r="BX847" s="104"/>
      <c r="BY847" s="104"/>
      <c r="BZ847" s="104"/>
      <c r="CA847" s="104"/>
      <c r="CB847" s="104"/>
      <c r="CC847" s="103"/>
      <c r="CD847" s="103"/>
      <c r="CE847" s="103"/>
      <c r="CF847" s="103"/>
      <c r="CG847" s="103"/>
      <c r="CH847" s="133"/>
      <c r="CI847" s="133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O847" s="1"/>
      <c r="EP847" s="103"/>
      <c r="EQ847" s="103"/>
      <c r="ER847" s="1"/>
      <c r="ES847" s="103"/>
      <c r="ET847" s="1"/>
      <c r="EU847" s="1"/>
      <c r="EV847" s="1"/>
      <c r="EW847" s="105"/>
    </row>
    <row r="848" spans="9:153">
      <c r="I848" s="132"/>
      <c r="J848" s="133"/>
      <c r="K848" s="1"/>
      <c r="L848" s="1"/>
      <c r="Q848" s="1"/>
      <c r="R848" s="1"/>
      <c r="S848" s="103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53"/>
      <c r="AN848" s="103"/>
      <c r="AO848" s="103"/>
      <c r="AP848" s="103"/>
      <c r="AQ848" s="31"/>
      <c r="AR848" s="31"/>
      <c r="AS848" s="31"/>
      <c r="AT848" s="30"/>
      <c r="AU848" s="30"/>
      <c r="AV848" s="103"/>
      <c r="AW848" s="103"/>
      <c r="AX848" s="103"/>
      <c r="AY848" s="103"/>
      <c r="AZ848" s="103"/>
      <c r="BA848" s="103"/>
      <c r="BB848" s="104"/>
      <c r="BC848" s="102"/>
      <c r="BD848" s="102"/>
      <c r="BE848" s="102"/>
      <c r="BF848" s="104"/>
      <c r="BG848" s="152"/>
      <c r="BH848" s="103"/>
      <c r="BI848" s="103"/>
      <c r="BJ848" s="103"/>
      <c r="BK848" s="103"/>
      <c r="BL848" s="103"/>
      <c r="BM848" s="103"/>
      <c r="BN848" s="103"/>
      <c r="BO848" s="103"/>
      <c r="BP848" s="103"/>
      <c r="BQ848" s="103"/>
      <c r="BR848" s="103"/>
      <c r="BS848" s="104"/>
      <c r="BT848" s="104"/>
      <c r="BU848" s="104"/>
      <c r="BV848" s="104"/>
      <c r="BW848" s="104"/>
      <c r="BX848" s="104"/>
      <c r="BY848" s="104"/>
      <c r="BZ848" s="104"/>
      <c r="CA848" s="104"/>
      <c r="CB848" s="104"/>
      <c r="CC848" s="103"/>
      <c r="CD848" s="103"/>
      <c r="CE848" s="103"/>
      <c r="CF848" s="103"/>
      <c r="CG848" s="103"/>
      <c r="CH848" s="133"/>
      <c r="CI848" s="133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O848" s="1"/>
      <c r="EP848" s="103"/>
      <c r="EQ848" s="103"/>
      <c r="ER848" s="1"/>
      <c r="ES848" s="103"/>
      <c r="ET848" s="1"/>
      <c r="EU848" s="1"/>
      <c r="EV848" s="1"/>
      <c r="EW848" s="105"/>
    </row>
    <row r="849" spans="9:153">
      <c r="I849" s="132"/>
      <c r="J849" s="133"/>
      <c r="K849" s="1"/>
      <c r="L849" s="1"/>
      <c r="Q849" s="1"/>
      <c r="R849" s="1"/>
      <c r="S849" s="103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53"/>
      <c r="AN849" s="103"/>
      <c r="AO849" s="103"/>
      <c r="AP849" s="103"/>
      <c r="AQ849" s="31"/>
      <c r="AR849" s="31"/>
      <c r="AS849" s="31"/>
      <c r="AT849" s="30"/>
      <c r="AU849" s="30"/>
      <c r="AV849" s="103"/>
      <c r="AW849" s="103"/>
      <c r="AX849" s="103"/>
      <c r="AY849" s="103"/>
      <c r="AZ849" s="103"/>
      <c r="BA849" s="103"/>
      <c r="BB849" s="104"/>
      <c r="BC849" s="102"/>
      <c r="BD849" s="102"/>
      <c r="BE849" s="102"/>
      <c r="BF849" s="104"/>
      <c r="BG849" s="152"/>
      <c r="BH849" s="103"/>
      <c r="BI849" s="103"/>
      <c r="BJ849" s="103"/>
      <c r="BK849" s="103"/>
      <c r="BL849" s="103"/>
      <c r="BM849" s="103"/>
      <c r="BN849" s="103"/>
      <c r="BO849" s="103"/>
      <c r="BP849" s="103"/>
      <c r="BQ849" s="103"/>
      <c r="BR849" s="103"/>
      <c r="BS849" s="104"/>
      <c r="BT849" s="104"/>
      <c r="BU849" s="104"/>
      <c r="BV849" s="104"/>
      <c r="BW849" s="104"/>
      <c r="BX849" s="104"/>
      <c r="BY849" s="104"/>
      <c r="BZ849" s="104"/>
      <c r="CA849" s="104"/>
      <c r="CB849" s="104"/>
      <c r="CC849" s="103"/>
      <c r="CD849" s="103"/>
      <c r="CE849" s="103"/>
      <c r="CF849" s="103"/>
      <c r="CG849" s="103"/>
      <c r="CH849" s="133"/>
      <c r="CI849" s="133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O849" s="1"/>
      <c r="EP849" s="103"/>
      <c r="EQ849" s="103"/>
      <c r="ER849" s="1"/>
      <c r="ES849" s="103"/>
      <c r="ET849" s="1"/>
      <c r="EU849" s="1"/>
      <c r="EV849" s="1"/>
      <c r="EW849" s="105"/>
    </row>
    <row r="850" spans="9:153">
      <c r="I850" s="132"/>
      <c r="J850" s="133"/>
      <c r="K850" s="1"/>
      <c r="L850" s="1"/>
      <c r="Q850" s="1"/>
      <c r="R850" s="1"/>
      <c r="S850" s="103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53"/>
      <c r="AN850" s="103"/>
      <c r="AO850" s="103"/>
      <c r="AP850" s="103"/>
      <c r="AQ850" s="31"/>
      <c r="AR850" s="31"/>
      <c r="AS850" s="31"/>
      <c r="AT850" s="30"/>
      <c r="AU850" s="30"/>
      <c r="AV850" s="103"/>
      <c r="AW850" s="103"/>
      <c r="AX850" s="103"/>
      <c r="AY850" s="103"/>
      <c r="AZ850" s="103"/>
      <c r="BA850" s="103"/>
      <c r="BB850" s="104"/>
      <c r="BC850" s="102"/>
      <c r="BD850" s="102"/>
      <c r="BE850" s="102"/>
      <c r="BF850" s="104"/>
      <c r="BG850" s="152"/>
      <c r="BH850" s="103"/>
      <c r="BI850" s="103"/>
      <c r="BJ850" s="103"/>
      <c r="BK850" s="103"/>
      <c r="BL850" s="103"/>
      <c r="BM850" s="103"/>
      <c r="BN850" s="103"/>
      <c r="BO850" s="103"/>
      <c r="BP850" s="103"/>
      <c r="BQ850" s="103"/>
      <c r="BR850" s="103"/>
      <c r="BS850" s="104"/>
      <c r="BT850" s="104"/>
      <c r="BU850" s="104"/>
      <c r="BV850" s="104"/>
      <c r="BW850" s="104"/>
      <c r="BX850" s="104"/>
      <c r="BY850" s="104"/>
      <c r="BZ850" s="104"/>
      <c r="CA850" s="104"/>
      <c r="CB850" s="104"/>
      <c r="CC850" s="103"/>
      <c r="CD850" s="103"/>
      <c r="CE850" s="103"/>
      <c r="CF850" s="103"/>
      <c r="CG850" s="103"/>
      <c r="CH850" s="133"/>
      <c r="CI850" s="133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O850" s="1"/>
      <c r="EP850" s="103"/>
      <c r="EQ850" s="103"/>
      <c r="ER850" s="1"/>
      <c r="ES850" s="103"/>
      <c r="ET850" s="1"/>
      <c r="EU850" s="1"/>
      <c r="EV850" s="1"/>
      <c r="EW850" s="105"/>
    </row>
    <row r="851" spans="9:153">
      <c r="I851" s="132"/>
      <c r="J851" s="133"/>
      <c r="K851" s="1"/>
      <c r="L851" s="1"/>
      <c r="Q851" s="1"/>
      <c r="R851" s="1"/>
      <c r="S851" s="103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53"/>
      <c r="AN851" s="103"/>
      <c r="AO851" s="103"/>
      <c r="AP851" s="103"/>
      <c r="AQ851" s="31"/>
      <c r="AR851" s="31"/>
      <c r="AS851" s="31"/>
      <c r="AT851" s="30"/>
      <c r="AU851" s="30"/>
      <c r="AV851" s="103"/>
      <c r="AW851" s="103"/>
      <c r="AX851" s="103"/>
      <c r="AY851" s="103"/>
      <c r="AZ851" s="103"/>
      <c r="BA851" s="103"/>
      <c r="BB851" s="104"/>
      <c r="BC851" s="102"/>
      <c r="BD851" s="102"/>
      <c r="BE851" s="102"/>
      <c r="BF851" s="104"/>
      <c r="BG851" s="152"/>
      <c r="BH851" s="103"/>
      <c r="BI851" s="103"/>
      <c r="BJ851" s="103"/>
      <c r="BK851" s="103"/>
      <c r="BL851" s="103"/>
      <c r="BM851" s="103"/>
      <c r="BN851" s="103"/>
      <c r="BO851" s="103"/>
      <c r="BP851" s="103"/>
      <c r="BQ851" s="103"/>
      <c r="BR851" s="103"/>
      <c r="BS851" s="104"/>
      <c r="BT851" s="104"/>
      <c r="BU851" s="104"/>
      <c r="BV851" s="104"/>
      <c r="BW851" s="104"/>
      <c r="BX851" s="104"/>
      <c r="BY851" s="104"/>
      <c r="BZ851" s="104"/>
      <c r="CA851" s="104"/>
      <c r="CB851" s="104"/>
      <c r="CC851" s="103"/>
      <c r="CD851" s="103"/>
      <c r="CE851" s="103"/>
      <c r="CF851" s="103"/>
      <c r="CG851" s="103"/>
      <c r="CH851" s="133"/>
      <c r="CI851" s="133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O851" s="1"/>
      <c r="EP851" s="103"/>
      <c r="EQ851" s="103"/>
      <c r="ER851" s="1"/>
      <c r="ES851" s="103"/>
      <c r="ET851" s="1"/>
      <c r="EU851" s="1"/>
      <c r="EV851" s="1"/>
      <c r="EW851" s="105"/>
    </row>
    <row r="852" spans="9:153">
      <c r="I852" s="132"/>
      <c r="J852" s="133"/>
      <c r="K852" s="1"/>
      <c r="L852" s="1"/>
      <c r="Q852" s="1"/>
      <c r="R852" s="1"/>
      <c r="S852" s="103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53"/>
      <c r="AN852" s="103"/>
      <c r="AO852" s="103"/>
      <c r="AP852" s="103"/>
      <c r="AQ852" s="31"/>
      <c r="AR852" s="31"/>
      <c r="AS852" s="31"/>
      <c r="AT852" s="30"/>
      <c r="AU852" s="30"/>
      <c r="AV852" s="103"/>
      <c r="AW852" s="103"/>
      <c r="AX852" s="103"/>
      <c r="AY852" s="103"/>
      <c r="AZ852" s="103"/>
      <c r="BA852" s="103"/>
      <c r="BB852" s="104"/>
      <c r="BC852" s="102"/>
      <c r="BD852" s="102"/>
      <c r="BE852" s="102"/>
      <c r="BF852" s="104"/>
      <c r="BG852" s="152"/>
      <c r="BH852" s="103"/>
      <c r="BI852" s="103"/>
      <c r="BJ852" s="103"/>
      <c r="BK852" s="103"/>
      <c r="BL852" s="103"/>
      <c r="BM852" s="103"/>
      <c r="BN852" s="103"/>
      <c r="BO852" s="103"/>
      <c r="BP852" s="103"/>
      <c r="BQ852" s="103"/>
      <c r="BR852" s="103"/>
      <c r="BS852" s="104"/>
      <c r="BT852" s="104"/>
      <c r="BU852" s="104"/>
      <c r="BV852" s="104"/>
      <c r="BW852" s="104"/>
      <c r="BX852" s="104"/>
      <c r="BY852" s="104"/>
      <c r="BZ852" s="104"/>
      <c r="CA852" s="104"/>
      <c r="CB852" s="104"/>
      <c r="CC852" s="103"/>
      <c r="CD852" s="103"/>
      <c r="CE852" s="103"/>
      <c r="CF852" s="103"/>
      <c r="CG852" s="103"/>
      <c r="CH852" s="133"/>
      <c r="CI852" s="133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O852" s="1"/>
      <c r="EP852" s="103"/>
      <c r="EQ852" s="103"/>
      <c r="ER852" s="1"/>
      <c r="ES852" s="103"/>
      <c r="ET852" s="1"/>
      <c r="EU852" s="1"/>
      <c r="EV852" s="1"/>
      <c r="EW852" s="105"/>
    </row>
    <row r="853" spans="9:153">
      <c r="I853" s="132"/>
      <c r="J853" s="133"/>
      <c r="K853" s="1"/>
      <c r="L853" s="1"/>
      <c r="Q853" s="1"/>
      <c r="R853" s="1"/>
      <c r="S853" s="103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53"/>
      <c r="AN853" s="103"/>
      <c r="AO853" s="103"/>
      <c r="AP853" s="103"/>
      <c r="AQ853" s="31"/>
      <c r="AR853" s="31"/>
      <c r="AS853" s="31"/>
      <c r="AT853" s="30"/>
      <c r="AU853" s="30"/>
      <c r="AV853" s="103"/>
      <c r="AW853" s="103"/>
      <c r="AX853" s="103"/>
      <c r="AY853" s="103"/>
      <c r="AZ853" s="103"/>
      <c r="BA853" s="103"/>
      <c r="BB853" s="104"/>
      <c r="BC853" s="102"/>
      <c r="BD853" s="102"/>
      <c r="BE853" s="102"/>
      <c r="BF853" s="104"/>
      <c r="BG853" s="152"/>
      <c r="BH853" s="103"/>
      <c r="BI853" s="103"/>
      <c r="BJ853" s="103"/>
      <c r="BK853" s="103"/>
      <c r="BL853" s="103"/>
      <c r="BM853" s="103"/>
      <c r="BN853" s="103"/>
      <c r="BO853" s="103"/>
      <c r="BP853" s="103"/>
      <c r="BQ853" s="103"/>
      <c r="BR853" s="103"/>
      <c r="BS853" s="104"/>
      <c r="BT853" s="104"/>
      <c r="BU853" s="104"/>
      <c r="BV853" s="104"/>
      <c r="BW853" s="104"/>
      <c r="BX853" s="104"/>
      <c r="BY853" s="104"/>
      <c r="BZ853" s="104"/>
      <c r="CA853" s="104"/>
      <c r="CB853" s="104"/>
      <c r="CC853" s="103"/>
      <c r="CD853" s="103"/>
      <c r="CE853" s="103"/>
      <c r="CF853" s="103"/>
      <c r="CG853" s="103"/>
      <c r="CH853" s="133"/>
      <c r="CI853" s="133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O853" s="1"/>
      <c r="EP853" s="103"/>
      <c r="EQ853" s="103"/>
      <c r="ER853" s="1"/>
      <c r="ES853" s="103"/>
      <c r="ET853" s="1"/>
      <c r="EU853" s="1"/>
      <c r="EV853" s="1"/>
      <c r="EW853" s="105"/>
    </row>
    <row r="854" spans="9:153">
      <c r="I854" s="132"/>
      <c r="J854" s="133"/>
      <c r="K854" s="1"/>
      <c r="L854" s="1"/>
      <c r="Q854" s="1"/>
      <c r="R854" s="1"/>
      <c r="S854" s="103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53"/>
      <c r="AN854" s="103"/>
      <c r="AO854" s="103"/>
      <c r="AP854" s="103"/>
      <c r="AQ854" s="31"/>
      <c r="AR854" s="31"/>
      <c r="AS854" s="31"/>
      <c r="AT854" s="30"/>
      <c r="AU854" s="30"/>
      <c r="AV854" s="103"/>
      <c r="AW854" s="103"/>
      <c r="AX854" s="103"/>
      <c r="AY854" s="103"/>
      <c r="AZ854" s="103"/>
      <c r="BA854" s="103"/>
      <c r="BB854" s="104"/>
      <c r="BC854" s="102"/>
      <c r="BD854" s="102"/>
      <c r="BE854" s="102"/>
      <c r="BF854" s="104"/>
      <c r="BG854" s="152"/>
      <c r="BH854" s="103"/>
      <c r="BI854" s="103"/>
      <c r="BJ854" s="103"/>
      <c r="BK854" s="103"/>
      <c r="BL854" s="103"/>
      <c r="BM854" s="103"/>
      <c r="BN854" s="103"/>
      <c r="BO854" s="103"/>
      <c r="BP854" s="103"/>
      <c r="BQ854" s="103"/>
      <c r="BR854" s="103"/>
      <c r="BS854" s="104"/>
      <c r="BT854" s="104"/>
      <c r="BU854" s="104"/>
      <c r="BV854" s="104"/>
      <c r="BW854" s="104"/>
      <c r="BX854" s="104"/>
      <c r="BY854" s="104"/>
      <c r="BZ854" s="104"/>
      <c r="CA854" s="104"/>
      <c r="CB854" s="104"/>
      <c r="CC854" s="103"/>
      <c r="CD854" s="103"/>
      <c r="CE854" s="103"/>
      <c r="CF854" s="103"/>
      <c r="CG854" s="103"/>
      <c r="CH854" s="133"/>
      <c r="CI854" s="133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O854" s="1"/>
      <c r="EP854" s="103"/>
      <c r="EQ854" s="103"/>
      <c r="ER854" s="1"/>
      <c r="ES854" s="103"/>
      <c r="ET854" s="1"/>
      <c r="EU854" s="1"/>
      <c r="EV854" s="1"/>
      <c r="EW854" s="105"/>
    </row>
    <row r="855" spans="9:153">
      <c r="I855" s="132"/>
      <c r="J855" s="133"/>
      <c r="K855" s="1"/>
      <c r="L855" s="1"/>
      <c r="Q855" s="1"/>
      <c r="R855" s="1"/>
      <c r="S855" s="103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53"/>
      <c r="AN855" s="103"/>
      <c r="AO855" s="103"/>
      <c r="AP855" s="103"/>
      <c r="AQ855" s="31"/>
      <c r="AR855" s="31"/>
      <c r="AS855" s="31"/>
      <c r="AT855" s="30"/>
      <c r="AU855" s="30"/>
      <c r="AV855" s="103"/>
      <c r="AW855" s="103"/>
      <c r="AX855" s="103"/>
      <c r="AY855" s="103"/>
      <c r="AZ855" s="103"/>
      <c r="BA855" s="103"/>
      <c r="BB855" s="104"/>
      <c r="BC855" s="102"/>
      <c r="BD855" s="102"/>
      <c r="BE855" s="102"/>
      <c r="BF855" s="104"/>
      <c r="BG855" s="152"/>
      <c r="BH855" s="103"/>
      <c r="BI855" s="103"/>
      <c r="BJ855" s="103"/>
      <c r="BK855" s="103"/>
      <c r="BL855" s="103"/>
      <c r="BM855" s="103"/>
      <c r="BN855" s="103"/>
      <c r="BO855" s="103"/>
      <c r="BP855" s="103"/>
      <c r="BQ855" s="103"/>
      <c r="BR855" s="103"/>
      <c r="BS855" s="104"/>
      <c r="BT855" s="104"/>
      <c r="BU855" s="104"/>
      <c r="BV855" s="104"/>
      <c r="BW855" s="104"/>
      <c r="BX855" s="104"/>
      <c r="BY855" s="104"/>
      <c r="BZ855" s="104"/>
      <c r="CA855" s="104"/>
      <c r="CB855" s="104"/>
      <c r="CC855" s="103"/>
      <c r="CD855" s="103"/>
      <c r="CE855" s="103"/>
      <c r="CF855" s="103"/>
      <c r="CG855" s="103"/>
      <c r="CH855" s="133"/>
      <c r="CI855" s="133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O855" s="1"/>
      <c r="EP855" s="103"/>
      <c r="EQ855" s="103"/>
      <c r="ER855" s="1"/>
      <c r="ES855" s="103"/>
      <c r="ET855" s="1"/>
      <c r="EU855" s="1"/>
      <c r="EV855" s="1"/>
      <c r="EW855" s="105"/>
    </row>
    <row r="856" spans="9:153">
      <c r="I856" s="132"/>
      <c r="J856" s="133"/>
      <c r="K856" s="1"/>
      <c r="L856" s="1"/>
      <c r="Q856" s="1"/>
      <c r="R856" s="1"/>
      <c r="S856" s="103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53"/>
      <c r="AN856" s="103"/>
      <c r="AO856" s="103"/>
      <c r="AP856" s="103"/>
      <c r="AQ856" s="31"/>
      <c r="AR856" s="31"/>
      <c r="AS856" s="31"/>
      <c r="AT856" s="30"/>
      <c r="AU856" s="30"/>
      <c r="AV856" s="103"/>
      <c r="AW856" s="103"/>
      <c r="AX856" s="103"/>
      <c r="AY856" s="103"/>
      <c r="AZ856" s="103"/>
      <c r="BA856" s="103"/>
      <c r="BB856" s="104"/>
      <c r="BC856" s="102"/>
      <c r="BD856" s="102"/>
      <c r="BE856" s="102"/>
      <c r="BF856" s="104"/>
      <c r="BG856" s="152"/>
      <c r="BH856" s="103"/>
      <c r="BI856" s="103"/>
      <c r="BJ856" s="103"/>
      <c r="BK856" s="103"/>
      <c r="BL856" s="103"/>
      <c r="BM856" s="103"/>
      <c r="BN856" s="103"/>
      <c r="BO856" s="103"/>
      <c r="BP856" s="103"/>
      <c r="BQ856" s="103"/>
      <c r="BR856" s="103"/>
      <c r="BS856" s="104"/>
      <c r="BT856" s="104"/>
      <c r="BU856" s="104"/>
      <c r="BV856" s="104"/>
      <c r="BW856" s="104"/>
      <c r="BX856" s="104"/>
      <c r="BY856" s="104"/>
      <c r="BZ856" s="104"/>
      <c r="CA856" s="104"/>
      <c r="CB856" s="104"/>
      <c r="CC856" s="103"/>
      <c r="CD856" s="103"/>
      <c r="CE856" s="103"/>
      <c r="CF856" s="103"/>
      <c r="CG856" s="103"/>
      <c r="CH856" s="133"/>
      <c r="CI856" s="133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O856" s="1"/>
      <c r="EP856" s="103"/>
      <c r="EQ856" s="103"/>
      <c r="ER856" s="1"/>
      <c r="ES856" s="103"/>
      <c r="ET856" s="1"/>
      <c r="EU856" s="1"/>
      <c r="EV856" s="1"/>
      <c r="EW856" s="105"/>
    </row>
    <row r="857" spans="9:153">
      <c r="I857" s="132"/>
      <c r="J857" s="133"/>
      <c r="K857" s="1"/>
      <c r="L857" s="1"/>
      <c r="Q857" s="1"/>
      <c r="R857" s="1"/>
      <c r="S857" s="103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53"/>
      <c r="AN857" s="103"/>
      <c r="AO857" s="103"/>
      <c r="AP857" s="103"/>
      <c r="AQ857" s="31"/>
      <c r="AR857" s="31"/>
      <c r="AS857" s="31"/>
      <c r="AT857" s="30"/>
      <c r="AU857" s="30"/>
      <c r="AV857" s="103"/>
      <c r="AW857" s="103"/>
      <c r="AX857" s="103"/>
      <c r="AY857" s="103"/>
      <c r="AZ857" s="103"/>
      <c r="BA857" s="103"/>
      <c r="BB857" s="104"/>
      <c r="BC857" s="102"/>
      <c r="BD857" s="102"/>
      <c r="BE857" s="102"/>
      <c r="BF857" s="104"/>
      <c r="BG857" s="152"/>
      <c r="BH857" s="103"/>
      <c r="BI857" s="103"/>
      <c r="BJ857" s="103"/>
      <c r="BK857" s="103"/>
      <c r="BL857" s="103"/>
      <c r="BM857" s="103"/>
      <c r="BN857" s="103"/>
      <c r="BO857" s="103"/>
      <c r="BP857" s="103"/>
      <c r="BQ857" s="103"/>
      <c r="BR857" s="103"/>
      <c r="BS857" s="104"/>
      <c r="BT857" s="104"/>
      <c r="BU857" s="104"/>
      <c r="BV857" s="104"/>
      <c r="BW857" s="104"/>
      <c r="BX857" s="104"/>
      <c r="BY857" s="104"/>
      <c r="BZ857" s="104"/>
      <c r="CA857" s="104"/>
      <c r="CB857" s="104"/>
      <c r="CC857" s="103"/>
      <c r="CD857" s="103"/>
      <c r="CE857" s="103"/>
      <c r="CF857" s="103"/>
      <c r="CG857" s="103"/>
      <c r="CH857" s="133"/>
      <c r="CI857" s="133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O857" s="1"/>
      <c r="EP857" s="103"/>
      <c r="EQ857" s="103"/>
      <c r="ER857" s="1"/>
      <c r="ES857" s="103"/>
      <c r="ET857" s="1"/>
      <c r="EU857" s="1"/>
      <c r="EV857" s="1"/>
      <c r="EW857" s="105"/>
    </row>
    <row r="858" spans="9:153">
      <c r="I858" s="132"/>
      <c r="J858" s="133"/>
      <c r="K858" s="1"/>
      <c r="L858" s="1"/>
      <c r="Q858" s="1"/>
      <c r="R858" s="1"/>
      <c r="S858" s="103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53"/>
      <c r="AN858" s="103"/>
      <c r="AO858" s="103"/>
      <c r="AP858" s="103"/>
      <c r="AQ858" s="31"/>
      <c r="AR858" s="31"/>
      <c r="AS858" s="31"/>
      <c r="AT858" s="30"/>
      <c r="AU858" s="30"/>
      <c r="AV858" s="103"/>
      <c r="AW858" s="103"/>
      <c r="AX858" s="103"/>
      <c r="AY858" s="103"/>
      <c r="AZ858" s="103"/>
      <c r="BA858" s="103"/>
      <c r="BB858" s="104"/>
      <c r="BC858" s="102"/>
      <c r="BD858" s="102"/>
      <c r="BE858" s="102"/>
      <c r="BF858" s="104"/>
      <c r="BG858" s="152"/>
      <c r="BH858" s="103"/>
      <c r="BI858" s="103"/>
      <c r="BJ858" s="103"/>
      <c r="BK858" s="103"/>
      <c r="BL858" s="103"/>
      <c r="BM858" s="103"/>
      <c r="BN858" s="103"/>
      <c r="BO858" s="103"/>
      <c r="BP858" s="103"/>
      <c r="BQ858" s="103"/>
      <c r="BR858" s="103"/>
      <c r="BS858" s="104"/>
      <c r="BT858" s="104"/>
      <c r="BU858" s="104"/>
      <c r="BV858" s="104"/>
      <c r="BW858" s="104"/>
      <c r="BX858" s="104"/>
      <c r="BY858" s="104"/>
      <c r="BZ858" s="104"/>
      <c r="CA858" s="104"/>
      <c r="CB858" s="104"/>
      <c r="CC858" s="103"/>
      <c r="CD858" s="103"/>
      <c r="CE858" s="103"/>
      <c r="CF858" s="103"/>
      <c r="CG858" s="103"/>
      <c r="CH858" s="133"/>
      <c r="CI858" s="133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O858" s="1"/>
      <c r="EP858" s="103"/>
      <c r="EQ858" s="103"/>
      <c r="ER858" s="1"/>
      <c r="ES858" s="103"/>
      <c r="ET858" s="1"/>
      <c r="EU858" s="1"/>
      <c r="EV858" s="1"/>
      <c r="EW858" s="105"/>
    </row>
    <row r="859" spans="9:153">
      <c r="I859" s="132"/>
      <c r="J859" s="133"/>
      <c r="K859" s="1"/>
      <c r="L859" s="1"/>
      <c r="Q859" s="1"/>
      <c r="R859" s="1"/>
      <c r="S859" s="103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53"/>
      <c r="AN859" s="103"/>
      <c r="AO859" s="103"/>
      <c r="AP859" s="103"/>
      <c r="AQ859" s="31"/>
      <c r="AR859" s="31"/>
      <c r="AS859" s="31"/>
      <c r="AT859" s="30"/>
      <c r="AU859" s="30"/>
      <c r="AV859" s="103"/>
      <c r="AW859" s="103"/>
      <c r="AX859" s="103"/>
      <c r="AY859" s="103"/>
      <c r="AZ859" s="103"/>
      <c r="BA859" s="103"/>
      <c r="BB859" s="104"/>
      <c r="BC859" s="102"/>
      <c r="BD859" s="102"/>
      <c r="BE859" s="102"/>
      <c r="BF859" s="104"/>
      <c r="BG859" s="152"/>
      <c r="BH859" s="103"/>
      <c r="BI859" s="103"/>
      <c r="BJ859" s="103"/>
      <c r="BK859" s="103"/>
      <c r="BL859" s="103"/>
      <c r="BM859" s="103"/>
      <c r="BN859" s="103"/>
      <c r="BO859" s="103"/>
      <c r="BP859" s="103"/>
      <c r="BQ859" s="103"/>
      <c r="BR859" s="103"/>
      <c r="BS859" s="104"/>
      <c r="BT859" s="104"/>
      <c r="BU859" s="104"/>
      <c r="BV859" s="104"/>
      <c r="BW859" s="104"/>
      <c r="BX859" s="104"/>
      <c r="BY859" s="104"/>
      <c r="BZ859" s="104"/>
      <c r="CA859" s="104"/>
      <c r="CB859" s="104"/>
      <c r="CC859" s="103"/>
      <c r="CD859" s="103"/>
      <c r="CE859" s="103"/>
      <c r="CF859" s="103"/>
      <c r="CG859" s="103"/>
      <c r="CH859" s="133"/>
      <c r="CI859" s="133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O859" s="1"/>
      <c r="EP859" s="103"/>
      <c r="EQ859" s="103"/>
      <c r="ER859" s="1"/>
      <c r="ES859" s="103"/>
      <c r="ET859" s="1"/>
      <c r="EU859" s="1"/>
      <c r="EV859" s="1"/>
      <c r="EW859" s="105"/>
    </row>
    <row r="860" spans="9:153">
      <c r="I860" s="132"/>
      <c r="J860" s="133"/>
      <c r="K860" s="1"/>
      <c r="L860" s="1"/>
      <c r="Q860" s="1"/>
      <c r="R860" s="1"/>
      <c r="S860" s="103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53"/>
      <c r="AN860" s="103"/>
      <c r="AO860" s="103"/>
      <c r="AP860" s="103"/>
      <c r="AQ860" s="31"/>
      <c r="AR860" s="31"/>
      <c r="AS860" s="31"/>
      <c r="AT860" s="30"/>
      <c r="AU860" s="30"/>
      <c r="AV860" s="103"/>
      <c r="AW860" s="103"/>
      <c r="AX860" s="103"/>
      <c r="AY860" s="103"/>
      <c r="AZ860" s="103"/>
      <c r="BA860" s="103"/>
      <c r="BB860" s="104"/>
      <c r="BC860" s="102"/>
      <c r="BD860" s="102"/>
      <c r="BE860" s="102"/>
      <c r="BF860" s="104"/>
      <c r="BG860" s="152"/>
      <c r="BH860" s="103"/>
      <c r="BI860" s="103"/>
      <c r="BJ860" s="103"/>
      <c r="BK860" s="103"/>
      <c r="BL860" s="103"/>
      <c r="BM860" s="103"/>
      <c r="BN860" s="103"/>
      <c r="BO860" s="103"/>
      <c r="BP860" s="103"/>
      <c r="BQ860" s="103"/>
      <c r="BR860" s="103"/>
      <c r="BS860" s="104"/>
      <c r="BT860" s="104"/>
      <c r="BU860" s="104"/>
      <c r="BV860" s="104"/>
      <c r="BW860" s="104"/>
      <c r="BX860" s="104"/>
      <c r="BY860" s="104"/>
      <c r="BZ860" s="104"/>
      <c r="CA860" s="104"/>
      <c r="CB860" s="104"/>
      <c r="CC860" s="103"/>
      <c r="CD860" s="103"/>
      <c r="CE860" s="103"/>
      <c r="CF860" s="103"/>
      <c r="CG860" s="103"/>
      <c r="CH860" s="133"/>
      <c r="CI860" s="133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O860" s="1"/>
      <c r="EP860" s="103"/>
      <c r="EQ860" s="103"/>
      <c r="ER860" s="1"/>
      <c r="ES860" s="103"/>
      <c r="ET860" s="1"/>
      <c r="EU860" s="1"/>
      <c r="EV860" s="1"/>
      <c r="EW860" s="105"/>
    </row>
    <row r="861" spans="9:153">
      <c r="I861" s="132"/>
      <c r="J861" s="133"/>
      <c r="K861" s="1"/>
      <c r="L861" s="1"/>
      <c r="Q861" s="1"/>
      <c r="R861" s="1"/>
      <c r="S861" s="103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53"/>
      <c r="AN861" s="103"/>
      <c r="AO861" s="103"/>
      <c r="AP861" s="103"/>
      <c r="AQ861" s="31"/>
      <c r="AR861" s="31"/>
      <c r="AS861" s="31"/>
      <c r="AT861" s="30"/>
      <c r="AU861" s="30"/>
      <c r="AV861" s="103"/>
      <c r="AW861" s="103"/>
      <c r="AX861" s="103"/>
      <c r="AY861" s="103"/>
      <c r="AZ861" s="103"/>
      <c r="BA861" s="103"/>
      <c r="BB861" s="104"/>
      <c r="BC861" s="102"/>
      <c r="BD861" s="102"/>
      <c r="BE861" s="102"/>
      <c r="BF861" s="104"/>
      <c r="BG861" s="152"/>
      <c r="BH861" s="103"/>
      <c r="BI861" s="103"/>
      <c r="BJ861" s="103"/>
      <c r="BK861" s="103"/>
      <c r="BL861" s="103"/>
      <c r="BM861" s="103"/>
      <c r="BN861" s="103"/>
      <c r="BO861" s="103"/>
      <c r="BP861" s="103"/>
      <c r="BQ861" s="103"/>
      <c r="BR861" s="103"/>
      <c r="BS861" s="104"/>
      <c r="BT861" s="104"/>
      <c r="BU861" s="104"/>
      <c r="BV861" s="104"/>
      <c r="BW861" s="104"/>
      <c r="BX861" s="104"/>
      <c r="BY861" s="104"/>
      <c r="BZ861" s="104"/>
      <c r="CA861" s="104"/>
      <c r="CB861" s="104"/>
      <c r="CC861" s="103"/>
      <c r="CD861" s="103"/>
      <c r="CE861" s="103"/>
      <c r="CF861" s="103"/>
      <c r="CG861" s="103"/>
      <c r="CH861" s="133"/>
      <c r="CI861" s="133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O861" s="1"/>
      <c r="EP861" s="103"/>
      <c r="EQ861" s="103"/>
      <c r="ER861" s="1"/>
      <c r="ES861" s="103"/>
      <c r="ET861" s="1"/>
      <c r="EU861" s="1"/>
      <c r="EV861" s="1"/>
      <c r="EW861" s="105"/>
    </row>
    <row r="862" spans="9:153">
      <c r="I862" s="132"/>
      <c r="J862" s="133"/>
      <c r="K862" s="1"/>
      <c r="L862" s="1"/>
      <c r="Q862" s="1"/>
      <c r="R862" s="1"/>
      <c r="S862" s="103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53"/>
      <c r="AN862" s="103"/>
      <c r="AO862" s="103"/>
      <c r="AP862" s="103"/>
      <c r="AQ862" s="31"/>
      <c r="AR862" s="31"/>
      <c r="AS862" s="31"/>
      <c r="AT862" s="30"/>
      <c r="AU862" s="30"/>
      <c r="AV862" s="103"/>
      <c r="AW862" s="103"/>
      <c r="AX862" s="103"/>
      <c r="AY862" s="103"/>
      <c r="AZ862" s="103"/>
      <c r="BA862" s="103"/>
      <c r="BB862" s="104"/>
      <c r="BC862" s="102"/>
      <c r="BD862" s="102"/>
      <c r="BE862" s="102"/>
      <c r="BF862" s="104"/>
      <c r="BG862" s="152"/>
      <c r="BH862" s="103"/>
      <c r="BI862" s="103"/>
      <c r="BJ862" s="103"/>
      <c r="BK862" s="103"/>
      <c r="BL862" s="103"/>
      <c r="BM862" s="103"/>
      <c r="BN862" s="103"/>
      <c r="BO862" s="103"/>
      <c r="BP862" s="103"/>
      <c r="BQ862" s="103"/>
      <c r="BR862" s="103"/>
      <c r="BS862" s="104"/>
      <c r="BT862" s="104"/>
      <c r="BU862" s="104"/>
      <c r="BV862" s="104"/>
      <c r="BW862" s="104"/>
      <c r="BX862" s="104"/>
      <c r="BY862" s="104"/>
      <c r="BZ862" s="104"/>
      <c r="CA862" s="104"/>
      <c r="CB862" s="104"/>
      <c r="CC862" s="103"/>
      <c r="CD862" s="103"/>
      <c r="CE862" s="103"/>
      <c r="CF862" s="103"/>
      <c r="CG862" s="103"/>
      <c r="CH862" s="133"/>
      <c r="CI862" s="133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O862" s="1"/>
      <c r="EP862" s="103"/>
      <c r="EQ862" s="103"/>
      <c r="ER862" s="1"/>
      <c r="ES862" s="103"/>
      <c r="ET862" s="1"/>
      <c r="EU862" s="1"/>
      <c r="EV862" s="1"/>
      <c r="EW862" s="105"/>
    </row>
    <row r="863" spans="9:153">
      <c r="I863" s="132"/>
      <c r="J863" s="133"/>
      <c r="K863" s="1"/>
      <c r="L863" s="1"/>
      <c r="Q863" s="1"/>
      <c r="R863" s="1"/>
      <c r="S863" s="103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53"/>
      <c r="AN863" s="103"/>
      <c r="AO863" s="103"/>
      <c r="AP863" s="103"/>
      <c r="AQ863" s="31"/>
      <c r="AR863" s="31"/>
      <c r="AS863" s="31"/>
      <c r="AT863" s="30"/>
      <c r="AU863" s="30"/>
      <c r="AV863" s="103"/>
      <c r="AW863" s="103"/>
      <c r="AX863" s="103"/>
      <c r="AY863" s="103"/>
      <c r="AZ863" s="103"/>
      <c r="BA863" s="103"/>
      <c r="BB863" s="104"/>
      <c r="BC863" s="102"/>
      <c r="BD863" s="102"/>
      <c r="BE863" s="102"/>
      <c r="BF863" s="104"/>
      <c r="BG863" s="152"/>
      <c r="BH863" s="103"/>
      <c r="BI863" s="103"/>
      <c r="BJ863" s="103"/>
      <c r="BK863" s="103"/>
      <c r="BL863" s="103"/>
      <c r="BM863" s="103"/>
      <c r="BN863" s="103"/>
      <c r="BO863" s="103"/>
      <c r="BP863" s="103"/>
      <c r="BQ863" s="103"/>
      <c r="BR863" s="103"/>
      <c r="BS863" s="104"/>
      <c r="BT863" s="104"/>
      <c r="BU863" s="104"/>
      <c r="BV863" s="104"/>
      <c r="BW863" s="104"/>
      <c r="BX863" s="104"/>
      <c r="BY863" s="104"/>
      <c r="BZ863" s="104"/>
      <c r="CA863" s="104"/>
      <c r="CB863" s="104"/>
      <c r="CC863" s="103"/>
      <c r="CD863" s="103"/>
      <c r="CE863" s="103"/>
      <c r="CF863" s="103"/>
      <c r="CG863" s="103"/>
      <c r="CH863" s="133"/>
      <c r="CI863" s="133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O863" s="1"/>
      <c r="EP863" s="103"/>
      <c r="EQ863" s="103"/>
      <c r="ER863" s="1"/>
      <c r="ES863" s="103"/>
      <c r="ET863" s="1"/>
      <c r="EU863" s="1"/>
      <c r="EV863" s="1"/>
      <c r="EW863" s="105"/>
    </row>
    <row r="864" spans="9:153">
      <c r="I864" s="132"/>
      <c r="J864" s="133"/>
      <c r="K864" s="1"/>
      <c r="L864" s="1"/>
      <c r="Q864" s="1"/>
      <c r="R864" s="1"/>
      <c r="S864" s="103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53"/>
      <c r="AN864" s="103"/>
      <c r="AO864" s="103"/>
      <c r="AP864" s="103"/>
      <c r="AQ864" s="31"/>
      <c r="AR864" s="31"/>
      <c r="AS864" s="31"/>
      <c r="AT864" s="30"/>
      <c r="AU864" s="30"/>
      <c r="AV864" s="103"/>
      <c r="AW864" s="103"/>
      <c r="AX864" s="103"/>
      <c r="AY864" s="103"/>
      <c r="AZ864" s="103"/>
      <c r="BA864" s="103"/>
      <c r="BB864" s="104"/>
      <c r="BC864" s="102"/>
      <c r="BD864" s="102"/>
      <c r="BE864" s="102"/>
      <c r="BF864" s="104"/>
      <c r="BG864" s="152"/>
      <c r="BH864" s="103"/>
      <c r="BI864" s="103"/>
      <c r="BJ864" s="103"/>
      <c r="BK864" s="103"/>
      <c r="BL864" s="103"/>
      <c r="BM864" s="103"/>
      <c r="BN864" s="103"/>
      <c r="BO864" s="103"/>
      <c r="BP864" s="103"/>
      <c r="BQ864" s="103"/>
      <c r="BR864" s="103"/>
      <c r="BS864" s="104"/>
      <c r="BT864" s="104"/>
      <c r="BU864" s="104"/>
      <c r="BV864" s="104"/>
      <c r="BW864" s="104"/>
      <c r="BX864" s="104"/>
      <c r="BY864" s="104"/>
      <c r="BZ864" s="104"/>
      <c r="CA864" s="104"/>
      <c r="CB864" s="104"/>
      <c r="CC864" s="103"/>
      <c r="CD864" s="103"/>
      <c r="CE864" s="103"/>
      <c r="CF864" s="103"/>
      <c r="CG864" s="103"/>
      <c r="CH864" s="133"/>
      <c r="CI864" s="133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O864" s="1"/>
      <c r="EP864" s="103"/>
      <c r="EQ864" s="103"/>
      <c r="ER864" s="1"/>
      <c r="ES864" s="103"/>
      <c r="ET864" s="1"/>
      <c r="EU864" s="1"/>
      <c r="EV864" s="1"/>
      <c r="EW864" s="105"/>
    </row>
    <row r="865" spans="9:153">
      <c r="I865" s="132"/>
      <c r="J865" s="133"/>
      <c r="K865" s="1"/>
      <c r="L865" s="1"/>
      <c r="Q865" s="1"/>
      <c r="R865" s="1"/>
      <c r="S865" s="103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53"/>
      <c r="AN865" s="103"/>
      <c r="AO865" s="103"/>
      <c r="AP865" s="103"/>
      <c r="AQ865" s="31"/>
      <c r="AR865" s="31"/>
      <c r="AS865" s="31"/>
      <c r="AT865" s="30"/>
      <c r="AU865" s="30"/>
      <c r="AV865" s="103"/>
      <c r="AW865" s="103"/>
      <c r="AX865" s="103"/>
      <c r="AY865" s="103"/>
      <c r="AZ865" s="103"/>
      <c r="BA865" s="103"/>
      <c r="BB865" s="104"/>
      <c r="BC865" s="102"/>
      <c r="BD865" s="102"/>
      <c r="BE865" s="102"/>
      <c r="BF865" s="104"/>
      <c r="BG865" s="152"/>
      <c r="BH865" s="103"/>
      <c r="BI865" s="103"/>
      <c r="BJ865" s="103"/>
      <c r="BK865" s="103"/>
      <c r="BL865" s="103"/>
      <c r="BM865" s="103"/>
      <c r="BN865" s="103"/>
      <c r="BO865" s="103"/>
      <c r="BP865" s="103"/>
      <c r="BQ865" s="103"/>
      <c r="BR865" s="103"/>
      <c r="BS865" s="104"/>
      <c r="BT865" s="104"/>
      <c r="BU865" s="104"/>
      <c r="BV865" s="104"/>
      <c r="BW865" s="104"/>
      <c r="BX865" s="104"/>
      <c r="BY865" s="104"/>
      <c r="BZ865" s="104"/>
      <c r="CA865" s="104"/>
      <c r="CB865" s="104"/>
      <c r="CC865" s="103"/>
      <c r="CD865" s="103"/>
      <c r="CE865" s="103"/>
      <c r="CF865" s="103"/>
      <c r="CG865" s="103"/>
      <c r="CH865" s="133"/>
      <c r="CI865" s="133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O865" s="1"/>
      <c r="EP865" s="103"/>
      <c r="EQ865" s="103"/>
      <c r="ER865" s="1"/>
      <c r="ES865" s="103"/>
      <c r="ET865" s="1"/>
      <c r="EU865" s="1"/>
      <c r="EV865" s="1"/>
      <c r="EW865" s="105"/>
    </row>
    <row r="866" spans="9:153">
      <c r="I866" s="132"/>
      <c r="J866" s="133"/>
      <c r="K866" s="1"/>
      <c r="L866" s="1"/>
      <c r="Q866" s="1"/>
      <c r="R866" s="1"/>
      <c r="S866" s="103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53"/>
      <c r="AN866" s="103"/>
      <c r="AO866" s="103"/>
      <c r="AP866" s="103"/>
      <c r="AQ866" s="31"/>
      <c r="AR866" s="31"/>
      <c r="AS866" s="31"/>
      <c r="AT866" s="30"/>
      <c r="AU866" s="30"/>
      <c r="AV866" s="103"/>
      <c r="AW866" s="103"/>
      <c r="AX866" s="103"/>
      <c r="AY866" s="103"/>
      <c r="AZ866" s="103"/>
      <c r="BA866" s="103"/>
      <c r="BB866" s="104"/>
      <c r="BC866" s="102"/>
      <c r="BD866" s="102"/>
      <c r="BE866" s="102"/>
      <c r="BF866" s="104"/>
      <c r="BG866" s="152"/>
      <c r="BH866" s="103"/>
      <c r="BI866" s="103"/>
      <c r="BJ866" s="103"/>
      <c r="BK866" s="103"/>
      <c r="BL866" s="103"/>
      <c r="BM866" s="103"/>
      <c r="BN866" s="103"/>
      <c r="BO866" s="103"/>
      <c r="BP866" s="103"/>
      <c r="BQ866" s="103"/>
      <c r="BR866" s="103"/>
      <c r="BS866" s="104"/>
      <c r="BT866" s="104"/>
      <c r="BU866" s="104"/>
      <c r="BV866" s="104"/>
      <c r="BW866" s="104"/>
      <c r="BX866" s="104"/>
      <c r="BY866" s="104"/>
      <c r="BZ866" s="104"/>
      <c r="CA866" s="104"/>
      <c r="CB866" s="104"/>
      <c r="CC866" s="103"/>
      <c r="CD866" s="103"/>
      <c r="CE866" s="103"/>
      <c r="CF866" s="103"/>
      <c r="CG866" s="103"/>
      <c r="CH866" s="133"/>
      <c r="CI866" s="133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O866" s="1"/>
      <c r="EP866" s="103"/>
      <c r="EQ866" s="103"/>
      <c r="ER866" s="1"/>
      <c r="ES866" s="103"/>
      <c r="ET866" s="1"/>
      <c r="EU866" s="1"/>
      <c r="EV866" s="1"/>
      <c r="EW866" s="105"/>
    </row>
    <row r="867" spans="9:153">
      <c r="I867" s="132"/>
      <c r="J867" s="133"/>
      <c r="K867" s="1"/>
      <c r="L867" s="1"/>
      <c r="Q867" s="1"/>
      <c r="R867" s="1"/>
      <c r="S867" s="103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53"/>
      <c r="AN867" s="103"/>
      <c r="AO867" s="103"/>
      <c r="AP867" s="103"/>
      <c r="AQ867" s="31"/>
      <c r="AR867" s="31"/>
      <c r="AS867" s="31"/>
      <c r="AT867" s="30"/>
      <c r="AU867" s="30"/>
      <c r="AV867" s="103"/>
      <c r="AW867" s="103"/>
      <c r="AX867" s="103"/>
      <c r="AY867" s="103"/>
      <c r="AZ867" s="103"/>
      <c r="BA867" s="103"/>
      <c r="BB867" s="104"/>
      <c r="BC867" s="102"/>
      <c r="BD867" s="102"/>
      <c r="BE867" s="102"/>
      <c r="BF867" s="104"/>
      <c r="BG867" s="152"/>
      <c r="BH867" s="103"/>
      <c r="BI867" s="103"/>
      <c r="BJ867" s="103"/>
      <c r="BK867" s="103"/>
      <c r="BL867" s="103"/>
      <c r="BM867" s="103"/>
      <c r="BN867" s="103"/>
      <c r="BO867" s="103"/>
      <c r="BP867" s="103"/>
      <c r="BQ867" s="103"/>
      <c r="BR867" s="103"/>
      <c r="BS867" s="104"/>
      <c r="BT867" s="104"/>
      <c r="BU867" s="104"/>
      <c r="BV867" s="104"/>
      <c r="BW867" s="104"/>
      <c r="BX867" s="104"/>
      <c r="BY867" s="104"/>
      <c r="BZ867" s="104"/>
      <c r="CA867" s="104"/>
      <c r="CB867" s="104"/>
      <c r="CC867" s="103"/>
      <c r="CD867" s="103"/>
      <c r="CE867" s="103"/>
      <c r="CF867" s="103"/>
      <c r="CG867" s="103"/>
      <c r="CH867" s="133"/>
      <c r="CI867" s="133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O867" s="1"/>
      <c r="EP867" s="103"/>
      <c r="EQ867" s="103"/>
      <c r="ER867" s="1"/>
      <c r="ES867" s="103"/>
      <c r="ET867" s="1"/>
      <c r="EU867" s="1"/>
      <c r="EV867" s="1"/>
      <c r="EW867" s="105"/>
    </row>
    <row r="868" spans="9:153">
      <c r="I868" s="132"/>
      <c r="J868" s="133"/>
      <c r="K868" s="1"/>
      <c r="L868" s="1"/>
      <c r="Q868" s="1"/>
      <c r="R868" s="1"/>
      <c r="S868" s="103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53"/>
      <c r="AN868" s="103"/>
      <c r="AO868" s="103"/>
      <c r="AP868" s="103"/>
      <c r="AQ868" s="31"/>
      <c r="AR868" s="31"/>
      <c r="AS868" s="31"/>
      <c r="AT868" s="30"/>
      <c r="AU868" s="30"/>
      <c r="AV868" s="103"/>
      <c r="AW868" s="103"/>
      <c r="AX868" s="103"/>
      <c r="AY868" s="103"/>
      <c r="AZ868" s="103"/>
      <c r="BA868" s="103"/>
      <c r="BB868" s="104"/>
      <c r="BC868" s="102"/>
      <c r="BD868" s="102"/>
      <c r="BE868" s="102"/>
      <c r="BF868" s="104"/>
      <c r="BG868" s="152"/>
      <c r="BH868" s="103"/>
      <c r="BI868" s="103"/>
      <c r="BJ868" s="103"/>
      <c r="BK868" s="103"/>
      <c r="BL868" s="103"/>
      <c r="BM868" s="103"/>
      <c r="BN868" s="103"/>
      <c r="BO868" s="103"/>
      <c r="BP868" s="103"/>
      <c r="BQ868" s="103"/>
      <c r="BR868" s="103"/>
      <c r="BS868" s="104"/>
      <c r="BT868" s="104"/>
      <c r="BU868" s="104"/>
      <c r="BV868" s="104"/>
      <c r="BW868" s="104"/>
      <c r="BX868" s="104"/>
      <c r="BY868" s="104"/>
      <c r="BZ868" s="104"/>
      <c r="CA868" s="104"/>
      <c r="CB868" s="104"/>
      <c r="CC868" s="103"/>
      <c r="CD868" s="103"/>
      <c r="CE868" s="103"/>
      <c r="CF868" s="103"/>
      <c r="CG868" s="103"/>
      <c r="CH868" s="133"/>
      <c r="CI868" s="133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O868" s="1"/>
      <c r="EP868" s="103"/>
      <c r="EQ868" s="103"/>
      <c r="ER868" s="1"/>
      <c r="ES868" s="103"/>
      <c r="ET868" s="1"/>
      <c r="EU868" s="1"/>
      <c r="EV868" s="1"/>
      <c r="EW868" s="105"/>
    </row>
    <row r="869" spans="9:153">
      <c r="I869" s="132"/>
      <c r="J869" s="133"/>
      <c r="K869" s="1"/>
      <c r="L869" s="1"/>
      <c r="Q869" s="1"/>
      <c r="R869" s="1"/>
      <c r="S869" s="103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53"/>
      <c r="AN869" s="103"/>
      <c r="AO869" s="103"/>
      <c r="AP869" s="103"/>
      <c r="AQ869" s="31"/>
      <c r="AR869" s="31"/>
      <c r="AS869" s="31"/>
      <c r="AT869" s="30"/>
      <c r="AU869" s="30"/>
      <c r="AV869" s="103"/>
      <c r="AW869" s="103"/>
      <c r="AX869" s="103"/>
      <c r="AY869" s="103"/>
      <c r="AZ869" s="103"/>
      <c r="BA869" s="103"/>
      <c r="BB869" s="104"/>
      <c r="BC869" s="102"/>
      <c r="BD869" s="102"/>
      <c r="BE869" s="102"/>
      <c r="BF869" s="104"/>
      <c r="BG869" s="152"/>
      <c r="BH869" s="103"/>
      <c r="BI869" s="103"/>
      <c r="BJ869" s="103"/>
      <c r="BK869" s="103"/>
      <c r="BL869" s="103"/>
      <c r="BM869" s="103"/>
      <c r="BN869" s="103"/>
      <c r="BO869" s="103"/>
      <c r="BP869" s="103"/>
      <c r="BQ869" s="103"/>
      <c r="BR869" s="103"/>
      <c r="BS869" s="104"/>
      <c r="BT869" s="104"/>
      <c r="BU869" s="104"/>
      <c r="BV869" s="104"/>
      <c r="BW869" s="104"/>
      <c r="BX869" s="104"/>
      <c r="BY869" s="104"/>
      <c r="BZ869" s="104"/>
      <c r="CA869" s="104"/>
      <c r="CB869" s="104"/>
      <c r="CC869" s="103"/>
      <c r="CD869" s="103"/>
      <c r="CE869" s="103"/>
      <c r="CF869" s="103"/>
      <c r="CG869" s="103"/>
      <c r="CH869" s="133"/>
      <c r="CI869" s="133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O869" s="1"/>
      <c r="EP869" s="103"/>
      <c r="EQ869" s="103"/>
      <c r="ER869" s="1"/>
      <c r="ES869" s="103"/>
      <c r="ET869" s="1"/>
      <c r="EU869" s="1"/>
      <c r="EV869" s="1"/>
      <c r="EW869" s="105"/>
    </row>
    <row r="870" spans="9:153">
      <c r="I870" s="132"/>
      <c r="J870" s="133"/>
      <c r="K870" s="1"/>
      <c r="L870" s="1"/>
      <c r="Q870" s="1"/>
      <c r="R870" s="1"/>
      <c r="S870" s="103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53"/>
      <c r="AN870" s="103"/>
      <c r="AO870" s="103"/>
      <c r="AP870" s="103"/>
      <c r="AQ870" s="31"/>
      <c r="AR870" s="31"/>
      <c r="AS870" s="31"/>
      <c r="AT870" s="30"/>
      <c r="AU870" s="30"/>
      <c r="AV870" s="103"/>
      <c r="AW870" s="103"/>
      <c r="AX870" s="103"/>
      <c r="AY870" s="103"/>
      <c r="AZ870" s="103"/>
      <c r="BA870" s="103"/>
      <c r="BB870" s="104"/>
      <c r="BC870" s="102"/>
      <c r="BD870" s="102"/>
      <c r="BE870" s="102"/>
      <c r="BF870" s="104"/>
      <c r="BG870" s="152"/>
      <c r="BH870" s="103"/>
      <c r="BI870" s="103"/>
      <c r="BJ870" s="103"/>
      <c r="BK870" s="103"/>
      <c r="BL870" s="103"/>
      <c r="BM870" s="103"/>
      <c r="BN870" s="103"/>
      <c r="BO870" s="103"/>
      <c r="BP870" s="103"/>
      <c r="BQ870" s="103"/>
      <c r="BR870" s="103"/>
      <c r="BS870" s="104"/>
      <c r="BT870" s="104"/>
      <c r="BU870" s="104"/>
      <c r="BV870" s="104"/>
      <c r="BW870" s="104"/>
      <c r="BX870" s="104"/>
      <c r="BY870" s="104"/>
      <c r="BZ870" s="104"/>
      <c r="CA870" s="104"/>
      <c r="CB870" s="104"/>
      <c r="CC870" s="103"/>
      <c r="CD870" s="103"/>
      <c r="CE870" s="103"/>
      <c r="CF870" s="103"/>
      <c r="CG870" s="103"/>
      <c r="CH870" s="133"/>
      <c r="CI870" s="133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O870" s="1"/>
      <c r="EP870" s="103"/>
      <c r="EQ870" s="103"/>
      <c r="ER870" s="1"/>
      <c r="ES870" s="103"/>
      <c r="ET870" s="1"/>
      <c r="EU870" s="1"/>
      <c r="EV870" s="1"/>
      <c r="EW870" s="105"/>
    </row>
    <row r="871" spans="9:153">
      <c r="I871" s="132"/>
      <c r="J871" s="133"/>
      <c r="K871" s="1"/>
      <c r="L871" s="1"/>
      <c r="Q871" s="1"/>
      <c r="R871" s="1"/>
      <c r="S871" s="103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53"/>
      <c r="AN871" s="103"/>
      <c r="AO871" s="103"/>
      <c r="AP871" s="103"/>
      <c r="AQ871" s="31"/>
      <c r="AR871" s="31"/>
      <c r="AS871" s="31"/>
      <c r="AT871" s="30"/>
      <c r="AU871" s="30"/>
      <c r="AV871" s="103"/>
      <c r="AW871" s="103"/>
      <c r="AX871" s="103"/>
      <c r="AY871" s="103"/>
      <c r="AZ871" s="103"/>
      <c r="BA871" s="103"/>
      <c r="BB871" s="104"/>
      <c r="BC871" s="102"/>
      <c r="BD871" s="102"/>
      <c r="BE871" s="102"/>
      <c r="BF871" s="104"/>
      <c r="BG871" s="152"/>
      <c r="BH871" s="103"/>
      <c r="BI871" s="103"/>
      <c r="BJ871" s="103"/>
      <c r="BK871" s="103"/>
      <c r="BL871" s="103"/>
      <c r="BM871" s="103"/>
      <c r="BN871" s="103"/>
      <c r="BO871" s="103"/>
      <c r="BP871" s="103"/>
      <c r="BQ871" s="103"/>
      <c r="BR871" s="103"/>
      <c r="BS871" s="104"/>
      <c r="BT871" s="104"/>
      <c r="BU871" s="104"/>
      <c r="BV871" s="104"/>
      <c r="BW871" s="104"/>
      <c r="BX871" s="104"/>
      <c r="BY871" s="104"/>
      <c r="BZ871" s="104"/>
      <c r="CA871" s="104"/>
      <c r="CB871" s="104"/>
      <c r="CC871" s="103"/>
      <c r="CD871" s="103"/>
      <c r="CE871" s="103"/>
      <c r="CF871" s="103"/>
      <c r="CG871" s="103"/>
      <c r="CH871" s="133"/>
      <c r="CI871" s="133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O871" s="1"/>
      <c r="EP871" s="103"/>
      <c r="EQ871" s="103"/>
      <c r="ER871" s="1"/>
      <c r="ES871" s="103"/>
      <c r="ET871" s="1"/>
      <c r="EU871" s="1"/>
      <c r="EV871" s="1"/>
      <c r="EW871" s="105"/>
    </row>
    <row r="872" spans="9:153">
      <c r="I872" s="132"/>
      <c r="J872" s="133"/>
      <c r="K872" s="1"/>
      <c r="L872" s="1"/>
      <c r="Q872" s="1"/>
      <c r="R872" s="1"/>
      <c r="S872" s="103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53"/>
      <c r="AN872" s="103"/>
      <c r="AO872" s="103"/>
      <c r="AP872" s="103"/>
      <c r="AQ872" s="31"/>
      <c r="AR872" s="31"/>
      <c r="AS872" s="31"/>
      <c r="AT872" s="30"/>
      <c r="AU872" s="30"/>
      <c r="AV872" s="103"/>
      <c r="AW872" s="103"/>
      <c r="AX872" s="103"/>
      <c r="AY872" s="103"/>
      <c r="AZ872" s="103"/>
      <c r="BA872" s="103"/>
      <c r="BB872" s="104"/>
      <c r="BC872" s="102"/>
      <c r="BD872" s="102"/>
      <c r="BE872" s="102"/>
      <c r="BF872" s="104"/>
      <c r="BG872" s="152"/>
      <c r="BH872" s="103"/>
      <c r="BI872" s="103"/>
      <c r="BJ872" s="103"/>
      <c r="BK872" s="103"/>
      <c r="BL872" s="103"/>
      <c r="BM872" s="103"/>
      <c r="BN872" s="103"/>
      <c r="BO872" s="103"/>
      <c r="BP872" s="103"/>
      <c r="BQ872" s="103"/>
      <c r="BR872" s="103"/>
      <c r="BS872" s="104"/>
      <c r="BT872" s="104"/>
      <c r="BU872" s="104"/>
      <c r="BV872" s="104"/>
      <c r="BW872" s="104"/>
      <c r="BX872" s="104"/>
      <c r="BY872" s="104"/>
      <c r="BZ872" s="104"/>
      <c r="CA872" s="104"/>
      <c r="CB872" s="104"/>
      <c r="CC872" s="103"/>
      <c r="CD872" s="103"/>
      <c r="CE872" s="103"/>
      <c r="CF872" s="103"/>
      <c r="CG872" s="103"/>
      <c r="CH872" s="133"/>
      <c r="CI872" s="133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O872" s="1"/>
      <c r="EP872" s="103"/>
      <c r="EQ872" s="103"/>
      <c r="ER872" s="1"/>
      <c r="ES872" s="103"/>
      <c r="ET872" s="1"/>
      <c r="EU872" s="1"/>
      <c r="EV872" s="1"/>
      <c r="EW872" s="105"/>
    </row>
    <row r="873" spans="9:153">
      <c r="I873" s="132"/>
      <c r="J873" s="133"/>
      <c r="K873" s="1"/>
      <c r="L873" s="1"/>
      <c r="Q873" s="1"/>
      <c r="R873" s="1"/>
      <c r="S873" s="103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53"/>
      <c r="AN873" s="103"/>
      <c r="AO873" s="103"/>
      <c r="AP873" s="103"/>
      <c r="AQ873" s="31"/>
      <c r="AR873" s="31"/>
      <c r="AS873" s="31"/>
      <c r="AT873" s="30"/>
      <c r="AU873" s="30"/>
      <c r="AV873" s="103"/>
      <c r="AW873" s="103"/>
      <c r="AX873" s="103"/>
      <c r="AY873" s="103"/>
      <c r="AZ873" s="103"/>
      <c r="BA873" s="103"/>
      <c r="BB873" s="104"/>
      <c r="BC873" s="102"/>
      <c r="BD873" s="102"/>
      <c r="BE873" s="102"/>
      <c r="BF873" s="104"/>
      <c r="BG873" s="152"/>
      <c r="BH873" s="103"/>
      <c r="BI873" s="103"/>
      <c r="BJ873" s="103"/>
      <c r="BK873" s="103"/>
      <c r="BL873" s="103"/>
      <c r="BM873" s="103"/>
      <c r="BN873" s="103"/>
      <c r="BO873" s="103"/>
      <c r="BP873" s="103"/>
      <c r="BQ873" s="103"/>
      <c r="BR873" s="103"/>
      <c r="BS873" s="104"/>
      <c r="BT873" s="104"/>
      <c r="BU873" s="104"/>
      <c r="BV873" s="104"/>
      <c r="BW873" s="104"/>
      <c r="BX873" s="104"/>
      <c r="BY873" s="104"/>
      <c r="BZ873" s="104"/>
      <c r="CA873" s="104"/>
      <c r="CB873" s="104"/>
      <c r="CC873" s="103"/>
      <c r="CD873" s="103"/>
      <c r="CE873" s="103"/>
      <c r="CF873" s="103"/>
      <c r="CG873" s="103"/>
      <c r="CH873" s="133"/>
      <c r="CI873" s="133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O873" s="1"/>
      <c r="EP873" s="103"/>
      <c r="EQ873" s="103"/>
      <c r="ER873" s="1"/>
      <c r="ES873" s="103"/>
      <c r="ET873" s="1"/>
      <c r="EU873" s="1"/>
      <c r="EV873" s="1"/>
      <c r="EW873" s="105"/>
    </row>
    <row r="874" spans="9:153">
      <c r="I874" s="132"/>
      <c r="J874" s="133"/>
      <c r="K874" s="1"/>
      <c r="L874" s="1"/>
      <c r="Q874" s="1"/>
      <c r="R874" s="1"/>
      <c r="S874" s="103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53"/>
      <c r="AN874" s="103"/>
      <c r="AO874" s="103"/>
      <c r="AP874" s="103"/>
      <c r="AQ874" s="31"/>
      <c r="AR874" s="31"/>
      <c r="AS874" s="31"/>
      <c r="AT874" s="30"/>
      <c r="AU874" s="30"/>
      <c r="AV874" s="103"/>
      <c r="AW874" s="103"/>
      <c r="AX874" s="103"/>
      <c r="AY874" s="103"/>
      <c r="AZ874" s="103"/>
      <c r="BA874" s="103"/>
      <c r="BB874" s="104"/>
      <c r="BC874" s="102"/>
      <c r="BD874" s="102"/>
      <c r="BE874" s="102"/>
      <c r="BF874" s="104"/>
      <c r="BG874" s="152"/>
      <c r="BH874" s="103"/>
      <c r="BI874" s="103"/>
      <c r="BJ874" s="103"/>
      <c r="BK874" s="103"/>
      <c r="BL874" s="103"/>
      <c r="BM874" s="103"/>
      <c r="BN874" s="103"/>
      <c r="BO874" s="103"/>
      <c r="BP874" s="103"/>
      <c r="BQ874" s="103"/>
      <c r="BR874" s="103"/>
      <c r="BS874" s="104"/>
      <c r="BT874" s="104"/>
      <c r="BU874" s="104"/>
      <c r="BV874" s="104"/>
      <c r="BW874" s="104"/>
      <c r="BX874" s="104"/>
      <c r="BY874" s="104"/>
      <c r="BZ874" s="104"/>
      <c r="CA874" s="104"/>
      <c r="CB874" s="104"/>
      <c r="CC874" s="103"/>
      <c r="CD874" s="103"/>
      <c r="CE874" s="103"/>
      <c r="CF874" s="103"/>
      <c r="CG874" s="103"/>
      <c r="CH874" s="133"/>
      <c r="CI874" s="133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O874" s="1"/>
      <c r="EP874" s="103"/>
      <c r="EQ874" s="103"/>
      <c r="ER874" s="1"/>
      <c r="ES874" s="103"/>
      <c r="ET874" s="1"/>
      <c r="EU874" s="1"/>
      <c r="EV874" s="1"/>
      <c r="EW874" s="105"/>
    </row>
    <row r="875" spans="9:153">
      <c r="I875" s="132"/>
      <c r="J875" s="133"/>
      <c r="K875" s="1"/>
      <c r="L875" s="1"/>
      <c r="Q875" s="1"/>
      <c r="R875" s="1"/>
      <c r="S875" s="103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53"/>
      <c r="AN875" s="103"/>
      <c r="AO875" s="103"/>
      <c r="AP875" s="103"/>
      <c r="AQ875" s="31"/>
      <c r="AR875" s="31"/>
      <c r="AS875" s="31"/>
      <c r="AT875" s="30"/>
      <c r="AU875" s="30"/>
      <c r="AV875" s="103"/>
      <c r="AW875" s="103"/>
      <c r="AX875" s="103"/>
      <c r="AY875" s="103"/>
      <c r="AZ875" s="103"/>
      <c r="BA875" s="103"/>
      <c r="BB875" s="104"/>
      <c r="BC875" s="102"/>
      <c r="BD875" s="102"/>
      <c r="BE875" s="102"/>
      <c r="BF875" s="104"/>
      <c r="BG875" s="152"/>
      <c r="BH875" s="103"/>
      <c r="BI875" s="103"/>
      <c r="BJ875" s="103"/>
      <c r="BK875" s="103"/>
      <c r="BL875" s="103"/>
      <c r="BM875" s="103"/>
      <c r="BN875" s="103"/>
      <c r="BO875" s="103"/>
      <c r="BP875" s="103"/>
      <c r="BQ875" s="103"/>
      <c r="BR875" s="103"/>
      <c r="BS875" s="104"/>
      <c r="BT875" s="104"/>
      <c r="BU875" s="104"/>
      <c r="BV875" s="104"/>
      <c r="BW875" s="104"/>
      <c r="BX875" s="104"/>
      <c r="BY875" s="104"/>
      <c r="BZ875" s="104"/>
      <c r="CA875" s="104"/>
      <c r="CB875" s="104"/>
      <c r="CC875" s="103"/>
      <c r="CD875" s="103"/>
      <c r="CE875" s="103"/>
      <c r="CF875" s="103"/>
      <c r="CG875" s="103"/>
      <c r="CH875" s="133"/>
      <c r="CI875" s="133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O875" s="1"/>
      <c r="EP875" s="103"/>
      <c r="EQ875" s="103"/>
      <c r="ER875" s="1"/>
      <c r="ES875" s="103"/>
      <c r="ET875" s="1"/>
      <c r="EU875" s="1"/>
      <c r="EV875" s="1"/>
      <c r="EW875" s="105"/>
    </row>
    <row r="876" spans="9:153">
      <c r="I876" s="132"/>
      <c r="J876" s="133"/>
      <c r="K876" s="1"/>
      <c r="L876" s="1"/>
      <c r="Q876" s="1"/>
      <c r="R876" s="1"/>
      <c r="S876" s="103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53"/>
      <c r="AN876" s="103"/>
      <c r="AO876" s="103"/>
      <c r="AP876" s="103"/>
      <c r="AQ876" s="31"/>
      <c r="AR876" s="31"/>
      <c r="AS876" s="31"/>
      <c r="AT876" s="30"/>
      <c r="AU876" s="30"/>
      <c r="AV876" s="103"/>
      <c r="AW876" s="103"/>
      <c r="AX876" s="103"/>
      <c r="AY876" s="103"/>
      <c r="AZ876" s="103"/>
      <c r="BA876" s="103"/>
      <c r="BB876" s="104"/>
      <c r="BC876" s="102"/>
      <c r="BD876" s="102"/>
      <c r="BE876" s="102"/>
      <c r="BF876" s="104"/>
      <c r="BG876" s="152"/>
      <c r="BH876" s="103"/>
      <c r="BI876" s="103"/>
      <c r="BJ876" s="103"/>
      <c r="BK876" s="103"/>
      <c r="BL876" s="103"/>
      <c r="BM876" s="103"/>
      <c r="BN876" s="103"/>
      <c r="BO876" s="103"/>
      <c r="BP876" s="103"/>
      <c r="BQ876" s="103"/>
      <c r="BR876" s="103"/>
      <c r="BS876" s="104"/>
      <c r="BT876" s="104"/>
      <c r="BU876" s="104"/>
      <c r="BV876" s="104"/>
      <c r="BW876" s="104"/>
      <c r="BX876" s="104"/>
      <c r="BY876" s="104"/>
      <c r="BZ876" s="104"/>
      <c r="CA876" s="104"/>
      <c r="CB876" s="104"/>
      <c r="CC876" s="103"/>
      <c r="CD876" s="103"/>
      <c r="CE876" s="103"/>
      <c r="CF876" s="103"/>
      <c r="CG876" s="103"/>
      <c r="CH876" s="133"/>
      <c r="CI876" s="133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O876" s="1"/>
      <c r="EP876" s="103"/>
      <c r="EQ876" s="103"/>
      <c r="ER876" s="1"/>
      <c r="ES876" s="103"/>
      <c r="ET876" s="1"/>
      <c r="EU876" s="1"/>
      <c r="EV876" s="1"/>
      <c r="EW876" s="105"/>
    </row>
    <row r="877" spans="9:153">
      <c r="I877" s="132"/>
      <c r="J877" s="133"/>
      <c r="K877" s="1"/>
      <c r="L877" s="1"/>
      <c r="Q877" s="1"/>
      <c r="R877" s="1"/>
      <c r="S877" s="103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53"/>
      <c r="AN877" s="103"/>
      <c r="AO877" s="103"/>
      <c r="AP877" s="103"/>
      <c r="AQ877" s="31"/>
      <c r="AR877" s="31"/>
      <c r="AS877" s="31"/>
      <c r="AT877" s="30"/>
      <c r="AU877" s="30"/>
      <c r="AV877" s="103"/>
      <c r="AW877" s="103"/>
      <c r="AX877" s="103"/>
      <c r="AY877" s="103"/>
      <c r="AZ877" s="103"/>
      <c r="BA877" s="103"/>
      <c r="BB877" s="104"/>
      <c r="BC877" s="102"/>
      <c r="BD877" s="102"/>
      <c r="BE877" s="102"/>
      <c r="BF877" s="104"/>
      <c r="BG877" s="152"/>
      <c r="BH877" s="103"/>
      <c r="BI877" s="103"/>
      <c r="BJ877" s="103"/>
      <c r="BK877" s="103"/>
      <c r="BL877" s="103"/>
      <c r="BM877" s="103"/>
      <c r="BN877" s="103"/>
      <c r="BO877" s="103"/>
      <c r="BP877" s="103"/>
      <c r="BQ877" s="103"/>
      <c r="BR877" s="103"/>
      <c r="BS877" s="104"/>
      <c r="BT877" s="104"/>
      <c r="BU877" s="104"/>
      <c r="BV877" s="104"/>
      <c r="BW877" s="104"/>
      <c r="BX877" s="104"/>
      <c r="BY877" s="104"/>
      <c r="BZ877" s="104"/>
      <c r="CA877" s="104"/>
      <c r="CB877" s="104"/>
      <c r="CC877" s="103"/>
      <c r="CD877" s="103"/>
      <c r="CE877" s="103"/>
      <c r="CF877" s="103"/>
      <c r="CG877" s="103"/>
      <c r="CH877" s="133"/>
      <c r="CI877" s="133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O877" s="1"/>
      <c r="EP877" s="103"/>
      <c r="EQ877" s="103"/>
      <c r="ER877" s="1"/>
      <c r="ES877" s="103"/>
      <c r="ET877" s="1"/>
      <c r="EU877" s="1"/>
      <c r="EV877" s="1"/>
      <c r="EW877" s="105"/>
    </row>
    <row r="878" spans="9:153">
      <c r="I878" s="132"/>
      <c r="J878" s="133"/>
      <c r="K878" s="1"/>
      <c r="L878" s="1"/>
      <c r="Q878" s="1"/>
      <c r="R878" s="1"/>
      <c r="S878" s="103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53"/>
      <c r="AN878" s="103"/>
      <c r="AO878" s="103"/>
      <c r="AP878" s="103"/>
      <c r="AQ878" s="31"/>
      <c r="AR878" s="31"/>
      <c r="AS878" s="31"/>
      <c r="AT878" s="30"/>
      <c r="AU878" s="30"/>
      <c r="AV878" s="103"/>
      <c r="AW878" s="103"/>
      <c r="AX878" s="103"/>
      <c r="AY878" s="103"/>
      <c r="AZ878" s="103"/>
      <c r="BA878" s="103"/>
      <c r="BB878" s="104"/>
      <c r="BC878" s="102"/>
      <c r="BD878" s="102"/>
      <c r="BE878" s="102"/>
      <c r="BF878" s="104"/>
      <c r="BG878" s="152"/>
      <c r="BH878" s="103"/>
      <c r="BI878" s="103"/>
      <c r="BJ878" s="103"/>
      <c r="BK878" s="103"/>
      <c r="BL878" s="103"/>
      <c r="BM878" s="103"/>
      <c r="BN878" s="103"/>
      <c r="BO878" s="103"/>
      <c r="BP878" s="103"/>
      <c r="BQ878" s="103"/>
      <c r="BR878" s="103"/>
      <c r="BS878" s="104"/>
      <c r="BT878" s="104"/>
      <c r="BU878" s="104"/>
      <c r="BV878" s="104"/>
      <c r="BW878" s="104"/>
      <c r="BX878" s="104"/>
      <c r="BY878" s="104"/>
      <c r="BZ878" s="104"/>
      <c r="CA878" s="104"/>
      <c r="CB878" s="104"/>
      <c r="CC878" s="103"/>
      <c r="CD878" s="103"/>
      <c r="CE878" s="103"/>
      <c r="CF878" s="103"/>
      <c r="CG878" s="103"/>
      <c r="CH878" s="133"/>
      <c r="CI878" s="133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O878" s="1"/>
      <c r="EP878" s="103"/>
      <c r="EQ878" s="103"/>
      <c r="ER878" s="1"/>
      <c r="ES878" s="103"/>
      <c r="ET878" s="1"/>
      <c r="EU878" s="1"/>
      <c r="EV878" s="1"/>
      <c r="EW878" s="105"/>
    </row>
    <row r="879" spans="9:153">
      <c r="I879" s="132"/>
      <c r="J879" s="133"/>
      <c r="K879" s="1"/>
      <c r="L879" s="1"/>
      <c r="Q879" s="1"/>
      <c r="R879" s="1"/>
      <c r="S879" s="103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53"/>
      <c r="AN879" s="103"/>
      <c r="AO879" s="103"/>
      <c r="AP879" s="103"/>
      <c r="AQ879" s="31"/>
      <c r="AR879" s="31"/>
      <c r="AS879" s="31"/>
      <c r="AT879" s="30"/>
      <c r="AU879" s="30"/>
      <c r="AV879" s="103"/>
      <c r="AW879" s="103"/>
      <c r="AX879" s="103"/>
      <c r="AY879" s="103"/>
      <c r="AZ879" s="103"/>
      <c r="BA879" s="103"/>
      <c r="BB879" s="104"/>
      <c r="BC879" s="102"/>
      <c r="BD879" s="102"/>
      <c r="BE879" s="102"/>
      <c r="BF879" s="104"/>
      <c r="BG879" s="152"/>
      <c r="BH879" s="103"/>
      <c r="BI879" s="103"/>
      <c r="BJ879" s="103"/>
      <c r="BK879" s="103"/>
      <c r="BL879" s="103"/>
      <c r="BM879" s="103"/>
      <c r="BN879" s="103"/>
      <c r="BO879" s="103"/>
      <c r="BP879" s="103"/>
      <c r="BQ879" s="103"/>
      <c r="BR879" s="103"/>
      <c r="BS879" s="104"/>
      <c r="BT879" s="104"/>
      <c r="BU879" s="104"/>
      <c r="BV879" s="104"/>
      <c r="BW879" s="104"/>
      <c r="BX879" s="104"/>
      <c r="BY879" s="104"/>
      <c r="BZ879" s="104"/>
      <c r="CA879" s="104"/>
      <c r="CB879" s="104"/>
      <c r="CC879" s="103"/>
      <c r="CD879" s="103"/>
      <c r="CE879" s="103"/>
      <c r="CF879" s="103"/>
      <c r="CG879" s="103"/>
      <c r="CH879" s="133"/>
      <c r="CI879" s="133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O879" s="1"/>
      <c r="EP879" s="103"/>
      <c r="EQ879" s="103"/>
      <c r="ER879" s="1"/>
      <c r="ES879" s="103"/>
      <c r="ET879" s="1"/>
      <c r="EU879" s="1"/>
      <c r="EV879" s="1"/>
      <c r="EW879" s="105"/>
    </row>
    <row r="880" spans="9:153">
      <c r="I880" s="132"/>
      <c r="J880" s="133"/>
      <c r="K880" s="1"/>
      <c r="L880" s="1"/>
      <c r="Q880" s="1"/>
      <c r="R880" s="1"/>
      <c r="S880" s="103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53"/>
      <c r="AN880" s="103"/>
      <c r="AO880" s="103"/>
      <c r="AP880" s="103"/>
      <c r="AQ880" s="31"/>
      <c r="AR880" s="31"/>
      <c r="AS880" s="31"/>
      <c r="AT880" s="30"/>
      <c r="AU880" s="30"/>
      <c r="AV880" s="103"/>
      <c r="AW880" s="103"/>
      <c r="AX880" s="103"/>
      <c r="AY880" s="103"/>
      <c r="AZ880" s="103"/>
      <c r="BA880" s="103"/>
      <c r="BB880" s="104"/>
      <c r="BC880" s="102"/>
      <c r="BD880" s="102"/>
      <c r="BE880" s="102"/>
      <c r="BF880" s="104"/>
      <c r="BG880" s="152"/>
      <c r="BH880" s="103"/>
      <c r="BI880" s="103"/>
      <c r="BJ880" s="103"/>
      <c r="BK880" s="103"/>
      <c r="BL880" s="103"/>
      <c r="BM880" s="103"/>
      <c r="BN880" s="103"/>
      <c r="BO880" s="103"/>
      <c r="BP880" s="103"/>
      <c r="BQ880" s="103"/>
      <c r="BR880" s="103"/>
      <c r="BS880" s="104"/>
      <c r="BT880" s="104"/>
      <c r="BU880" s="104"/>
      <c r="BV880" s="104"/>
      <c r="BW880" s="104"/>
      <c r="BX880" s="104"/>
      <c r="BY880" s="104"/>
      <c r="BZ880" s="104"/>
      <c r="CA880" s="104"/>
      <c r="CB880" s="104"/>
      <c r="CC880" s="103"/>
      <c r="CD880" s="103"/>
      <c r="CE880" s="103"/>
      <c r="CF880" s="103"/>
      <c r="CG880" s="103"/>
      <c r="CH880" s="133"/>
      <c r="CI880" s="133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O880" s="1"/>
      <c r="EP880" s="103"/>
      <c r="EQ880" s="103"/>
      <c r="ER880" s="1"/>
      <c r="ES880" s="103"/>
      <c r="ET880" s="1"/>
      <c r="EU880" s="1"/>
      <c r="EV880" s="1"/>
      <c r="EW880" s="105"/>
    </row>
    <row r="881" spans="9:153">
      <c r="I881" s="132"/>
      <c r="J881" s="133"/>
      <c r="K881" s="1"/>
      <c r="L881" s="1"/>
      <c r="Q881" s="1"/>
      <c r="R881" s="1"/>
      <c r="S881" s="103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53"/>
      <c r="AN881" s="103"/>
      <c r="AO881" s="103"/>
      <c r="AP881" s="103"/>
      <c r="AQ881" s="31"/>
      <c r="AR881" s="31"/>
      <c r="AS881" s="31"/>
      <c r="AT881" s="30"/>
      <c r="AU881" s="30"/>
      <c r="AV881" s="103"/>
      <c r="AW881" s="103"/>
      <c r="AX881" s="103"/>
      <c r="AY881" s="103"/>
      <c r="AZ881" s="103"/>
      <c r="BA881" s="103"/>
      <c r="BB881" s="104"/>
      <c r="BC881" s="102"/>
      <c r="BD881" s="102"/>
      <c r="BE881" s="102"/>
      <c r="BF881" s="104"/>
      <c r="BG881" s="152"/>
      <c r="BH881" s="103"/>
      <c r="BI881" s="103"/>
      <c r="BJ881" s="103"/>
      <c r="BK881" s="103"/>
      <c r="BL881" s="103"/>
      <c r="BM881" s="103"/>
      <c r="BN881" s="103"/>
      <c r="BO881" s="103"/>
      <c r="BP881" s="103"/>
      <c r="BQ881" s="103"/>
      <c r="BR881" s="103"/>
      <c r="BS881" s="104"/>
      <c r="BT881" s="104"/>
      <c r="BU881" s="104"/>
      <c r="BV881" s="104"/>
      <c r="BW881" s="104"/>
      <c r="BX881" s="104"/>
      <c r="BY881" s="104"/>
      <c r="BZ881" s="104"/>
      <c r="CA881" s="104"/>
      <c r="CB881" s="104"/>
      <c r="CC881" s="103"/>
      <c r="CD881" s="103"/>
      <c r="CE881" s="103"/>
      <c r="CF881" s="103"/>
      <c r="CG881" s="103"/>
      <c r="CH881" s="133"/>
      <c r="CI881" s="133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O881" s="1"/>
      <c r="EP881" s="103"/>
      <c r="EQ881" s="103"/>
      <c r="ER881" s="1"/>
      <c r="ES881" s="103"/>
      <c r="ET881" s="1"/>
      <c r="EU881" s="1"/>
      <c r="EV881" s="1"/>
      <c r="EW881" s="105"/>
    </row>
    <row r="882" spans="9:153">
      <c r="I882" s="132"/>
      <c r="J882" s="133"/>
      <c r="K882" s="1"/>
      <c r="L882" s="1"/>
      <c r="Q882" s="1"/>
      <c r="R882" s="1"/>
      <c r="S882" s="103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53"/>
      <c r="AN882" s="103"/>
      <c r="AO882" s="103"/>
      <c r="AP882" s="103"/>
      <c r="AQ882" s="31"/>
      <c r="AR882" s="31"/>
      <c r="AS882" s="31"/>
      <c r="AT882" s="30"/>
      <c r="AU882" s="30"/>
      <c r="AV882" s="103"/>
      <c r="AW882" s="103"/>
      <c r="AX882" s="103"/>
      <c r="AY882" s="103"/>
      <c r="AZ882" s="103"/>
      <c r="BA882" s="103"/>
      <c r="BB882" s="104"/>
      <c r="BC882" s="102"/>
      <c r="BD882" s="102"/>
      <c r="BE882" s="102"/>
      <c r="BF882" s="104"/>
      <c r="BG882" s="152"/>
      <c r="BH882" s="103"/>
      <c r="BI882" s="103"/>
      <c r="BJ882" s="103"/>
      <c r="BK882" s="103"/>
      <c r="BL882" s="103"/>
      <c r="BM882" s="103"/>
      <c r="BN882" s="103"/>
      <c r="BO882" s="103"/>
      <c r="BP882" s="103"/>
      <c r="BQ882" s="103"/>
      <c r="BR882" s="103"/>
      <c r="BS882" s="104"/>
      <c r="BT882" s="104"/>
      <c r="BU882" s="104"/>
      <c r="BV882" s="104"/>
      <c r="BW882" s="104"/>
      <c r="BX882" s="104"/>
      <c r="BY882" s="104"/>
      <c r="BZ882" s="104"/>
      <c r="CA882" s="104"/>
      <c r="CB882" s="104"/>
      <c r="CC882" s="103"/>
      <c r="CD882" s="103"/>
      <c r="CE882" s="103"/>
      <c r="CF882" s="103"/>
      <c r="CG882" s="103"/>
      <c r="CH882" s="133"/>
      <c r="CI882" s="133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O882" s="1"/>
      <c r="EP882" s="103"/>
      <c r="EQ882" s="103"/>
      <c r="ER882" s="1"/>
      <c r="ES882" s="103"/>
      <c r="ET882" s="1"/>
      <c r="EU882" s="1"/>
      <c r="EV882" s="1"/>
      <c r="EW882" s="105"/>
    </row>
    <row r="883" spans="9:153">
      <c r="I883" s="132"/>
      <c r="J883" s="133"/>
      <c r="K883" s="1"/>
      <c r="L883" s="1"/>
      <c r="Q883" s="1"/>
      <c r="R883" s="1"/>
      <c r="S883" s="103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53"/>
      <c r="AN883" s="103"/>
      <c r="AO883" s="103"/>
      <c r="AP883" s="103"/>
      <c r="AQ883" s="31"/>
      <c r="AR883" s="31"/>
      <c r="AS883" s="31"/>
      <c r="AT883" s="30"/>
      <c r="AU883" s="30"/>
      <c r="AV883" s="103"/>
      <c r="AW883" s="103"/>
      <c r="AX883" s="103"/>
      <c r="AY883" s="103"/>
      <c r="AZ883" s="103"/>
      <c r="BA883" s="103"/>
      <c r="BB883" s="104"/>
      <c r="BC883" s="102"/>
      <c r="BD883" s="102"/>
      <c r="BE883" s="102"/>
      <c r="BF883" s="104"/>
      <c r="BG883" s="152"/>
      <c r="BH883" s="103"/>
      <c r="BI883" s="103"/>
      <c r="BJ883" s="103"/>
      <c r="BK883" s="103"/>
      <c r="BL883" s="103"/>
      <c r="BM883" s="103"/>
      <c r="BN883" s="103"/>
      <c r="BO883" s="103"/>
      <c r="BP883" s="103"/>
      <c r="BQ883" s="103"/>
      <c r="BR883" s="103"/>
      <c r="BS883" s="104"/>
      <c r="BT883" s="104"/>
      <c r="BU883" s="104"/>
      <c r="BV883" s="104"/>
      <c r="BW883" s="104"/>
      <c r="BX883" s="104"/>
      <c r="BY883" s="104"/>
      <c r="BZ883" s="104"/>
      <c r="CA883" s="104"/>
      <c r="CB883" s="104"/>
      <c r="CC883" s="103"/>
      <c r="CD883" s="103"/>
      <c r="CE883" s="103"/>
      <c r="CF883" s="103"/>
      <c r="CG883" s="103"/>
      <c r="CH883" s="133"/>
      <c r="CI883" s="133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O883" s="1"/>
      <c r="EP883" s="103"/>
      <c r="EQ883" s="103"/>
      <c r="ER883" s="1"/>
      <c r="ES883" s="103"/>
      <c r="ET883" s="1"/>
      <c r="EU883" s="1"/>
      <c r="EV883" s="1"/>
      <c r="EW883" s="105"/>
    </row>
    <row r="884" spans="9:153">
      <c r="I884" s="132"/>
      <c r="J884" s="133"/>
      <c r="K884" s="1"/>
      <c r="L884" s="1"/>
      <c r="Q884" s="1"/>
      <c r="R884" s="1"/>
      <c r="S884" s="103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53"/>
      <c r="AN884" s="103"/>
      <c r="AO884" s="103"/>
      <c r="AP884" s="103"/>
      <c r="AQ884" s="31"/>
      <c r="AR884" s="31"/>
      <c r="AS884" s="31"/>
      <c r="AT884" s="30"/>
      <c r="AU884" s="30"/>
      <c r="AV884" s="103"/>
      <c r="AW884" s="103"/>
      <c r="AX884" s="103"/>
      <c r="AY884" s="103"/>
      <c r="AZ884" s="103"/>
      <c r="BA884" s="103"/>
      <c r="BB884" s="104"/>
      <c r="BC884" s="102"/>
      <c r="BD884" s="102"/>
      <c r="BE884" s="102"/>
      <c r="BF884" s="104"/>
      <c r="BG884" s="152"/>
      <c r="BH884" s="103"/>
      <c r="BI884" s="103"/>
      <c r="BJ884" s="103"/>
      <c r="BK884" s="103"/>
      <c r="BL884" s="103"/>
      <c r="BM884" s="103"/>
      <c r="BN884" s="103"/>
      <c r="BO884" s="103"/>
      <c r="BP884" s="103"/>
      <c r="BQ884" s="103"/>
      <c r="BR884" s="103"/>
      <c r="BS884" s="104"/>
      <c r="BT884" s="104"/>
      <c r="BU884" s="104"/>
      <c r="BV884" s="104"/>
      <c r="BW884" s="104"/>
      <c r="BX884" s="104"/>
      <c r="BY884" s="104"/>
      <c r="BZ884" s="104"/>
      <c r="CA884" s="104"/>
      <c r="CB884" s="104"/>
      <c r="CC884" s="103"/>
      <c r="CD884" s="103"/>
      <c r="CE884" s="103"/>
      <c r="CF884" s="103"/>
      <c r="CG884" s="103"/>
      <c r="CH884" s="133"/>
      <c r="CI884" s="133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O884" s="1"/>
      <c r="EP884" s="103"/>
      <c r="EQ884" s="103"/>
      <c r="ER884" s="1"/>
      <c r="ES884" s="103"/>
      <c r="ET884" s="1"/>
      <c r="EU884" s="1"/>
      <c r="EV884" s="1"/>
      <c r="EW884" s="105"/>
    </row>
    <row r="885" spans="9:153">
      <c r="I885" s="132"/>
      <c r="J885" s="133"/>
      <c r="K885" s="1"/>
      <c r="L885" s="1"/>
      <c r="Q885" s="1"/>
      <c r="R885" s="1"/>
      <c r="S885" s="103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53"/>
      <c r="AN885" s="103"/>
      <c r="AO885" s="103"/>
      <c r="AP885" s="103"/>
      <c r="AQ885" s="31"/>
      <c r="AR885" s="31"/>
      <c r="AS885" s="31"/>
      <c r="AT885" s="30"/>
      <c r="AU885" s="30"/>
      <c r="AV885" s="103"/>
      <c r="AW885" s="103"/>
      <c r="AX885" s="103"/>
      <c r="AY885" s="103"/>
      <c r="AZ885" s="103"/>
      <c r="BA885" s="103"/>
      <c r="BB885" s="104"/>
      <c r="BC885" s="102"/>
      <c r="BD885" s="102"/>
      <c r="BE885" s="102"/>
      <c r="BF885" s="104"/>
      <c r="BG885" s="152"/>
      <c r="BH885" s="103"/>
      <c r="BI885" s="103"/>
      <c r="BJ885" s="103"/>
      <c r="BK885" s="103"/>
      <c r="BL885" s="103"/>
      <c r="BM885" s="103"/>
      <c r="BN885" s="103"/>
      <c r="BO885" s="103"/>
      <c r="BP885" s="103"/>
      <c r="BQ885" s="103"/>
      <c r="BR885" s="103"/>
      <c r="BS885" s="104"/>
      <c r="BT885" s="104"/>
      <c r="BU885" s="104"/>
      <c r="BV885" s="104"/>
      <c r="BW885" s="104"/>
      <c r="BX885" s="104"/>
      <c r="BY885" s="104"/>
      <c r="BZ885" s="104"/>
      <c r="CA885" s="104"/>
      <c r="CB885" s="104"/>
      <c r="CC885" s="103"/>
      <c r="CD885" s="103"/>
      <c r="CE885" s="103"/>
      <c r="CF885" s="103"/>
      <c r="CG885" s="103"/>
      <c r="CH885" s="133"/>
      <c r="CI885" s="133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O885" s="1"/>
      <c r="EP885" s="103"/>
      <c r="EQ885" s="103"/>
      <c r="ER885" s="1"/>
      <c r="ES885" s="103"/>
      <c r="ET885" s="1"/>
      <c r="EU885" s="1"/>
      <c r="EV885" s="1"/>
      <c r="EW885" s="105"/>
    </row>
    <row r="886" spans="9:153">
      <c r="I886" s="132"/>
      <c r="J886" s="133"/>
      <c r="K886" s="1"/>
      <c r="L886" s="1"/>
      <c r="Q886" s="1"/>
      <c r="R886" s="1"/>
      <c r="S886" s="103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53"/>
      <c r="AN886" s="103"/>
      <c r="AO886" s="103"/>
      <c r="AP886" s="103"/>
      <c r="AQ886" s="31"/>
      <c r="AR886" s="31"/>
      <c r="AS886" s="31"/>
      <c r="AT886" s="30"/>
      <c r="AU886" s="30"/>
      <c r="AV886" s="103"/>
      <c r="AW886" s="103"/>
      <c r="AX886" s="103"/>
      <c r="AY886" s="103"/>
      <c r="AZ886" s="103"/>
      <c r="BA886" s="103"/>
      <c r="BB886" s="104"/>
      <c r="BC886" s="102"/>
      <c r="BD886" s="102"/>
      <c r="BE886" s="102"/>
      <c r="BF886" s="104"/>
      <c r="BG886" s="152"/>
      <c r="BH886" s="103"/>
      <c r="BI886" s="103"/>
      <c r="BJ886" s="103"/>
      <c r="BK886" s="103"/>
      <c r="BL886" s="103"/>
      <c r="BM886" s="103"/>
      <c r="BN886" s="103"/>
      <c r="BO886" s="103"/>
      <c r="BP886" s="103"/>
      <c r="BQ886" s="103"/>
      <c r="BR886" s="103"/>
      <c r="BS886" s="104"/>
      <c r="BT886" s="104"/>
      <c r="BU886" s="104"/>
      <c r="BV886" s="104"/>
      <c r="BW886" s="104"/>
      <c r="BX886" s="104"/>
      <c r="BY886" s="104"/>
      <c r="BZ886" s="104"/>
      <c r="CA886" s="104"/>
      <c r="CB886" s="104"/>
      <c r="CC886" s="103"/>
      <c r="CD886" s="103"/>
      <c r="CE886" s="103"/>
      <c r="CF886" s="103"/>
      <c r="CG886" s="103"/>
      <c r="CH886" s="133"/>
      <c r="CI886" s="133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O886" s="1"/>
      <c r="EP886" s="103"/>
      <c r="EQ886" s="103"/>
      <c r="ER886" s="1"/>
      <c r="ES886" s="103"/>
      <c r="ET886" s="1"/>
      <c r="EU886" s="1"/>
      <c r="EV886" s="1"/>
      <c r="EW886" s="105"/>
    </row>
    <row r="887" spans="9:153">
      <c r="I887" s="132"/>
      <c r="J887" s="133"/>
      <c r="K887" s="1"/>
      <c r="L887" s="1"/>
      <c r="Q887" s="1"/>
      <c r="R887" s="1"/>
      <c r="S887" s="103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53"/>
      <c r="AN887" s="103"/>
      <c r="AO887" s="103"/>
      <c r="AP887" s="103"/>
      <c r="AQ887" s="31"/>
      <c r="AR887" s="31"/>
      <c r="AS887" s="31"/>
      <c r="AT887" s="30"/>
      <c r="AU887" s="30"/>
      <c r="AV887" s="103"/>
      <c r="AW887" s="103"/>
      <c r="AX887" s="103"/>
      <c r="AY887" s="103"/>
      <c r="AZ887" s="103"/>
      <c r="BA887" s="103"/>
      <c r="BB887" s="104"/>
      <c r="BC887" s="102"/>
      <c r="BD887" s="102"/>
      <c r="BE887" s="102"/>
      <c r="BF887" s="104"/>
      <c r="BG887" s="152"/>
      <c r="BH887" s="103"/>
      <c r="BI887" s="103"/>
      <c r="BJ887" s="103"/>
      <c r="BK887" s="103"/>
      <c r="BL887" s="103"/>
      <c r="BM887" s="103"/>
      <c r="BN887" s="103"/>
      <c r="BO887" s="103"/>
      <c r="BP887" s="103"/>
      <c r="BQ887" s="103"/>
      <c r="BR887" s="103"/>
      <c r="BS887" s="104"/>
      <c r="BT887" s="104"/>
      <c r="BU887" s="104"/>
      <c r="BV887" s="104"/>
      <c r="BW887" s="104"/>
      <c r="BX887" s="104"/>
      <c r="BY887" s="104"/>
      <c r="BZ887" s="104"/>
      <c r="CA887" s="104"/>
      <c r="CB887" s="104"/>
      <c r="CC887" s="103"/>
      <c r="CD887" s="103"/>
      <c r="CE887" s="103"/>
      <c r="CF887" s="103"/>
      <c r="CG887" s="103"/>
      <c r="CH887" s="133"/>
      <c r="CI887" s="133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O887" s="1"/>
      <c r="EP887" s="103"/>
      <c r="EQ887" s="103"/>
      <c r="ER887" s="1"/>
      <c r="ES887" s="103"/>
      <c r="ET887" s="1"/>
      <c r="EU887" s="1"/>
      <c r="EV887" s="1"/>
      <c r="EW887" s="105"/>
    </row>
    <row r="888" spans="9:153">
      <c r="I888" s="132"/>
      <c r="J888" s="133"/>
      <c r="K888" s="1"/>
      <c r="L888" s="1"/>
      <c r="Q888" s="1"/>
      <c r="R888" s="1"/>
      <c r="S888" s="103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53"/>
      <c r="AN888" s="103"/>
      <c r="AO888" s="103"/>
      <c r="AP888" s="103"/>
      <c r="AQ888" s="31"/>
      <c r="AR888" s="31"/>
      <c r="AS888" s="31"/>
      <c r="AT888" s="30"/>
      <c r="AU888" s="30"/>
      <c r="AV888" s="103"/>
      <c r="AW888" s="103"/>
      <c r="AX888" s="103"/>
      <c r="AY888" s="103"/>
      <c r="AZ888" s="103"/>
      <c r="BA888" s="103"/>
      <c r="BB888" s="104"/>
      <c r="BC888" s="102"/>
      <c r="BD888" s="102"/>
      <c r="BE888" s="102"/>
      <c r="BF888" s="104"/>
      <c r="BG888" s="152"/>
      <c r="BH888" s="103"/>
      <c r="BI888" s="103"/>
      <c r="BJ888" s="103"/>
      <c r="BK888" s="103"/>
      <c r="BL888" s="103"/>
      <c r="BM888" s="103"/>
      <c r="BN888" s="103"/>
      <c r="BO888" s="103"/>
      <c r="BP888" s="103"/>
      <c r="BQ888" s="103"/>
      <c r="BR888" s="103"/>
      <c r="BS888" s="104"/>
      <c r="BT888" s="104"/>
      <c r="BU888" s="104"/>
      <c r="BV888" s="104"/>
      <c r="BW888" s="104"/>
      <c r="BX888" s="104"/>
      <c r="BY888" s="104"/>
      <c r="BZ888" s="104"/>
      <c r="CA888" s="104"/>
      <c r="CB888" s="104"/>
      <c r="CC888" s="103"/>
      <c r="CD888" s="103"/>
      <c r="CE888" s="103"/>
      <c r="CF888" s="103"/>
      <c r="CG888" s="103"/>
      <c r="CH888" s="133"/>
      <c r="CI888" s="133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O888" s="1"/>
      <c r="EP888" s="103"/>
      <c r="EQ888" s="103"/>
      <c r="ER888" s="1"/>
      <c r="ES888" s="103"/>
      <c r="ET888" s="1"/>
      <c r="EU888" s="1"/>
      <c r="EV888" s="1"/>
      <c r="EW888" s="105"/>
    </row>
    <row r="889" spans="9:153">
      <c r="I889" s="132"/>
      <c r="J889" s="133"/>
      <c r="K889" s="1"/>
      <c r="L889" s="1"/>
      <c r="Q889" s="1"/>
      <c r="R889" s="1"/>
      <c r="S889" s="103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53"/>
      <c r="AN889" s="103"/>
      <c r="AO889" s="103"/>
      <c r="AP889" s="103"/>
      <c r="AQ889" s="31"/>
      <c r="AR889" s="31"/>
      <c r="AS889" s="31"/>
      <c r="AT889" s="30"/>
      <c r="AU889" s="30"/>
      <c r="AV889" s="103"/>
      <c r="AW889" s="103"/>
      <c r="AX889" s="103"/>
      <c r="AY889" s="103"/>
      <c r="AZ889" s="103"/>
      <c r="BA889" s="103"/>
      <c r="BB889" s="104"/>
      <c r="BC889" s="102"/>
      <c r="BD889" s="102"/>
      <c r="BE889" s="102"/>
      <c r="BF889" s="104"/>
      <c r="BG889" s="152"/>
      <c r="BH889" s="103"/>
      <c r="BI889" s="103"/>
      <c r="BJ889" s="103"/>
      <c r="BK889" s="103"/>
      <c r="BL889" s="103"/>
      <c r="BM889" s="103"/>
      <c r="BN889" s="103"/>
      <c r="BO889" s="103"/>
      <c r="BP889" s="103"/>
      <c r="BQ889" s="103"/>
      <c r="BR889" s="103"/>
      <c r="BS889" s="104"/>
      <c r="BT889" s="104"/>
      <c r="BU889" s="104"/>
      <c r="BV889" s="104"/>
      <c r="BW889" s="104"/>
      <c r="BX889" s="104"/>
      <c r="BY889" s="104"/>
      <c r="BZ889" s="104"/>
      <c r="CA889" s="104"/>
      <c r="CB889" s="104"/>
      <c r="CC889" s="103"/>
      <c r="CD889" s="103"/>
      <c r="CE889" s="103"/>
      <c r="CF889" s="103"/>
      <c r="CG889" s="103"/>
      <c r="CH889" s="133"/>
      <c r="CI889" s="133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O889" s="1"/>
      <c r="EP889" s="103"/>
      <c r="EQ889" s="103"/>
      <c r="ER889" s="1"/>
      <c r="ES889" s="103"/>
      <c r="ET889" s="1"/>
      <c r="EU889" s="1"/>
      <c r="EV889" s="1"/>
      <c r="EW889" s="105"/>
    </row>
    <row r="890" spans="9:153">
      <c r="I890" s="132"/>
      <c r="J890" s="133"/>
      <c r="K890" s="1"/>
      <c r="L890" s="1"/>
      <c r="Q890" s="1"/>
      <c r="R890" s="1"/>
      <c r="S890" s="103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53"/>
      <c r="AN890" s="103"/>
      <c r="AO890" s="103"/>
      <c r="AP890" s="103"/>
      <c r="AQ890" s="31"/>
      <c r="AR890" s="31"/>
      <c r="AS890" s="31"/>
      <c r="AT890" s="30"/>
      <c r="AU890" s="30"/>
      <c r="AV890" s="103"/>
      <c r="AW890" s="103"/>
      <c r="AX890" s="103"/>
      <c r="AY890" s="103"/>
      <c r="AZ890" s="103"/>
      <c r="BA890" s="103"/>
      <c r="BB890" s="104"/>
      <c r="BC890" s="102"/>
      <c r="BD890" s="102"/>
      <c r="BE890" s="102"/>
      <c r="BF890" s="104"/>
      <c r="BG890" s="152"/>
      <c r="BH890" s="103"/>
      <c r="BI890" s="103"/>
      <c r="BJ890" s="103"/>
      <c r="BK890" s="103"/>
      <c r="BL890" s="103"/>
      <c r="BM890" s="103"/>
      <c r="BN890" s="103"/>
      <c r="BO890" s="103"/>
      <c r="BP890" s="103"/>
      <c r="BQ890" s="103"/>
      <c r="BR890" s="103"/>
      <c r="BS890" s="104"/>
      <c r="BT890" s="104"/>
      <c r="BU890" s="104"/>
      <c r="BV890" s="104"/>
      <c r="BW890" s="104"/>
      <c r="BX890" s="104"/>
      <c r="BY890" s="104"/>
      <c r="BZ890" s="104"/>
      <c r="CA890" s="104"/>
      <c r="CB890" s="104"/>
      <c r="CC890" s="103"/>
      <c r="CD890" s="103"/>
      <c r="CE890" s="103"/>
      <c r="CF890" s="103"/>
      <c r="CG890" s="103"/>
      <c r="CH890" s="133"/>
      <c r="CI890" s="133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O890" s="1"/>
      <c r="EP890" s="103"/>
      <c r="EQ890" s="103"/>
      <c r="ER890" s="1"/>
      <c r="ES890" s="103"/>
      <c r="ET890" s="1"/>
      <c r="EU890" s="1"/>
      <c r="EV890" s="1"/>
      <c r="EW890" s="105"/>
    </row>
    <row r="891" spans="9:153">
      <c r="I891" s="132"/>
      <c r="J891" s="133"/>
      <c r="K891" s="1"/>
      <c r="L891" s="1"/>
      <c r="Q891" s="1"/>
      <c r="R891" s="1"/>
      <c r="S891" s="103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53"/>
      <c r="AN891" s="103"/>
      <c r="AO891" s="103"/>
      <c r="AP891" s="103"/>
      <c r="AQ891" s="31"/>
      <c r="AR891" s="31"/>
      <c r="AS891" s="31"/>
      <c r="AT891" s="30"/>
      <c r="AU891" s="30"/>
      <c r="AV891" s="103"/>
      <c r="AW891" s="103"/>
      <c r="AX891" s="103"/>
      <c r="AY891" s="103"/>
      <c r="AZ891" s="103"/>
      <c r="BA891" s="103"/>
      <c r="BB891" s="104"/>
      <c r="BC891" s="102"/>
      <c r="BD891" s="102"/>
      <c r="BE891" s="102"/>
      <c r="BF891" s="104"/>
      <c r="BG891" s="152"/>
      <c r="BH891" s="103"/>
      <c r="BI891" s="103"/>
      <c r="BJ891" s="103"/>
      <c r="BK891" s="103"/>
      <c r="BL891" s="103"/>
      <c r="BM891" s="103"/>
      <c r="BN891" s="103"/>
      <c r="BO891" s="103"/>
      <c r="BP891" s="103"/>
      <c r="BQ891" s="103"/>
      <c r="BR891" s="103"/>
      <c r="BS891" s="104"/>
      <c r="BT891" s="104"/>
      <c r="BU891" s="104"/>
      <c r="BV891" s="104"/>
      <c r="BW891" s="104"/>
      <c r="BX891" s="104"/>
      <c r="BY891" s="104"/>
      <c r="BZ891" s="104"/>
      <c r="CA891" s="104"/>
      <c r="CB891" s="104"/>
      <c r="CC891" s="103"/>
      <c r="CD891" s="103"/>
      <c r="CE891" s="103"/>
      <c r="CF891" s="103"/>
      <c r="CG891" s="103"/>
      <c r="CH891" s="133"/>
      <c r="CI891" s="133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O891" s="1"/>
      <c r="EP891" s="103"/>
      <c r="EQ891" s="103"/>
      <c r="ER891" s="1"/>
      <c r="ES891" s="103"/>
      <c r="ET891" s="1"/>
      <c r="EU891" s="1"/>
      <c r="EV891" s="1"/>
      <c r="EW891" s="105"/>
    </row>
    <row r="892" spans="9:153">
      <c r="I892" s="132"/>
      <c r="J892" s="133"/>
      <c r="K892" s="1"/>
      <c r="L892" s="1"/>
      <c r="Q892" s="1"/>
      <c r="R892" s="1"/>
      <c r="S892" s="103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53"/>
      <c r="AN892" s="103"/>
      <c r="AO892" s="103"/>
      <c r="AP892" s="103"/>
      <c r="AQ892" s="31"/>
      <c r="AR892" s="31"/>
      <c r="AS892" s="31"/>
      <c r="AT892" s="30"/>
      <c r="AU892" s="30"/>
      <c r="AV892" s="103"/>
      <c r="AW892" s="103"/>
      <c r="AX892" s="103"/>
      <c r="AY892" s="103"/>
      <c r="AZ892" s="103"/>
      <c r="BA892" s="103"/>
      <c r="BB892" s="104"/>
      <c r="BC892" s="102"/>
      <c r="BD892" s="102"/>
      <c r="BE892" s="102"/>
      <c r="BF892" s="104"/>
      <c r="BG892" s="152"/>
      <c r="BH892" s="103"/>
      <c r="BI892" s="103"/>
      <c r="BJ892" s="103"/>
      <c r="BK892" s="103"/>
      <c r="BL892" s="103"/>
      <c r="BM892" s="103"/>
      <c r="BN892" s="103"/>
      <c r="BO892" s="103"/>
      <c r="BP892" s="103"/>
      <c r="BQ892" s="103"/>
      <c r="BR892" s="103"/>
      <c r="BS892" s="104"/>
      <c r="BT892" s="104"/>
      <c r="BU892" s="104"/>
      <c r="BV892" s="104"/>
      <c r="BW892" s="104"/>
      <c r="BX892" s="104"/>
      <c r="BY892" s="104"/>
      <c r="BZ892" s="104"/>
      <c r="CA892" s="104"/>
      <c r="CB892" s="104"/>
      <c r="CC892" s="103"/>
      <c r="CD892" s="103"/>
      <c r="CE892" s="103"/>
      <c r="CF892" s="103"/>
      <c r="CG892" s="103"/>
      <c r="CH892" s="133"/>
      <c r="CI892" s="133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O892" s="1"/>
      <c r="EP892" s="103"/>
      <c r="EQ892" s="103"/>
      <c r="ER892" s="1"/>
      <c r="ES892" s="103"/>
      <c r="ET892" s="1"/>
      <c r="EU892" s="1"/>
      <c r="EV892" s="1"/>
      <c r="EW892" s="105"/>
    </row>
    <row r="893" spans="9:153">
      <c r="I893" s="132"/>
      <c r="J893" s="133"/>
      <c r="K893" s="1"/>
      <c r="L893" s="1"/>
      <c r="Q893" s="1"/>
      <c r="R893" s="1"/>
      <c r="S893" s="103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53"/>
      <c r="AN893" s="103"/>
      <c r="AO893" s="103"/>
      <c r="AP893" s="103"/>
      <c r="AQ893" s="31"/>
      <c r="AR893" s="31"/>
      <c r="AS893" s="31"/>
      <c r="AT893" s="30"/>
      <c r="AU893" s="30"/>
      <c r="AV893" s="103"/>
      <c r="AW893" s="103"/>
      <c r="AX893" s="103"/>
      <c r="AY893" s="103"/>
      <c r="AZ893" s="103"/>
      <c r="BA893" s="103"/>
      <c r="BB893" s="104"/>
      <c r="BC893" s="102"/>
      <c r="BD893" s="102"/>
      <c r="BE893" s="102"/>
      <c r="BF893" s="104"/>
      <c r="BG893" s="152"/>
      <c r="BH893" s="103"/>
      <c r="BI893" s="103"/>
      <c r="BJ893" s="103"/>
      <c r="BK893" s="103"/>
      <c r="BL893" s="103"/>
      <c r="BM893" s="103"/>
      <c r="BN893" s="103"/>
      <c r="BO893" s="103"/>
      <c r="BP893" s="103"/>
      <c r="BQ893" s="103"/>
      <c r="BR893" s="103"/>
      <c r="BS893" s="104"/>
      <c r="BT893" s="104"/>
      <c r="BU893" s="104"/>
      <c r="BV893" s="104"/>
      <c r="BW893" s="104"/>
      <c r="BX893" s="104"/>
      <c r="BY893" s="104"/>
      <c r="BZ893" s="104"/>
      <c r="CA893" s="104"/>
      <c r="CB893" s="104"/>
      <c r="CC893" s="103"/>
      <c r="CD893" s="103"/>
      <c r="CE893" s="103"/>
      <c r="CF893" s="103"/>
      <c r="CG893" s="103"/>
      <c r="CH893" s="133"/>
      <c r="CI893" s="133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O893" s="1"/>
      <c r="EP893" s="103"/>
      <c r="EQ893" s="103"/>
      <c r="ER893" s="1"/>
      <c r="ES893" s="103"/>
      <c r="ET893" s="1"/>
      <c r="EU893" s="1"/>
      <c r="EV893" s="1"/>
      <c r="EW893" s="105"/>
    </row>
    <row r="894" spans="9:153">
      <c r="I894" s="132"/>
      <c r="J894" s="133"/>
      <c r="K894" s="1"/>
      <c r="L894" s="1"/>
      <c r="Q894" s="1"/>
      <c r="R894" s="1"/>
      <c r="S894" s="103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53"/>
      <c r="AN894" s="103"/>
      <c r="AO894" s="103"/>
      <c r="AP894" s="103"/>
      <c r="AQ894" s="31"/>
      <c r="AR894" s="31"/>
      <c r="AS894" s="31"/>
      <c r="AT894" s="30"/>
      <c r="AU894" s="30"/>
      <c r="AV894" s="103"/>
      <c r="AW894" s="103"/>
      <c r="AX894" s="103"/>
      <c r="AY894" s="103"/>
      <c r="AZ894" s="103"/>
      <c r="BA894" s="103"/>
      <c r="BB894" s="104"/>
      <c r="BC894" s="102"/>
      <c r="BD894" s="102"/>
      <c r="BE894" s="102"/>
      <c r="BF894" s="104"/>
      <c r="BG894" s="152"/>
      <c r="BH894" s="103"/>
      <c r="BI894" s="103"/>
      <c r="BJ894" s="103"/>
      <c r="BK894" s="103"/>
      <c r="BL894" s="103"/>
      <c r="BM894" s="103"/>
      <c r="BN894" s="103"/>
      <c r="BO894" s="103"/>
      <c r="BP894" s="103"/>
      <c r="BQ894" s="103"/>
      <c r="BR894" s="103"/>
      <c r="BS894" s="104"/>
      <c r="BT894" s="104"/>
      <c r="BU894" s="104"/>
      <c r="BV894" s="104"/>
      <c r="BW894" s="104"/>
      <c r="BX894" s="104"/>
      <c r="BY894" s="104"/>
      <c r="BZ894" s="104"/>
      <c r="CA894" s="104"/>
      <c r="CB894" s="104"/>
      <c r="CC894" s="103"/>
      <c r="CD894" s="103"/>
      <c r="CE894" s="103"/>
      <c r="CF894" s="103"/>
      <c r="CG894" s="103"/>
      <c r="CH894" s="133"/>
      <c r="CI894" s="133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O894" s="1"/>
      <c r="EP894" s="103"/>
      <c r="EQ894" s="103"/>
      <c r="ER894" s="1"/>
      <c r="ES894" s="103"/>
      <c r="ET894" s="1"/>
      <c r="EU894" s="1"/>
      <c r="EV894" s="1"/>
      <c r="EW894" s="105"/>
    </row>
    <row r="895" spans="9:153">
      <c r="I895" s="132"/>
      <c r="J895" s="133"/>
      <c r="K895" s="1"/>
      <c r="L895" s="1"/>
      <c r="Q895" s="1"/>
      <c r="R895" s="1"/>
      <c r="S895" s="103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53"/>
      <c r="AN895" s="103"/>
      <c r="AO895" s="103"/>
      <c r="AP895" s="103"/>
      <c r="AQ895" s="31"/>
      <c r="AR895" s="31"/>
      <c r="AS895" s="31"/>
      <c r="AT895" s="30"/>
      <c r="AU895" s="30"/>
      <c r="AV895" s="103"/>
      <c r="AW895" s="103"/>
      <c r="AX895" s="103"/>
      <c r="AY895" s="103"/>
      <c r="AZ895" s="103"/>
      <c r="BA895" s="103"/>
      <c r="BB895" s="104"/>
      <c r="BC895" s="102"/>
      <c r="BD895" s="102"/>
      <c r="BE895" s="102"/>
      <c r="BF895" s="104"/>
      <c r="BG895" s="152"/>
      <c r="BH895" s="103"/>
      <c r="BI895" s="103"/>
      <c r="BJ895" s="103"/>
      <c r="BK895" s="103"/>
      <c r="BL895" s="103"/>
      <c r="BM895" s="103"/>
      <c r="BN895" s="103"/>
      <c r="BO895" s="103"/>
      <c r="BP895" s="103"/>
      <c r="BQ895" s="103"/>
      <c r="BR895" s="103"/>
      <c r="BS895" s="104"/>
      <c r="BT895" s="104"/>
      <c r="BU895" s="104"/>
      <c r="BV895" s="104"/>
      <c r="BW895" s="104"/>
      <c r="BX895" s="104"/>
      <c r="BY895" s="104"/>
      <c r="BZ895" s="104"/>
      <c r="CA895" s="104"/>
      <c r="CB895" s="104"/>
      <c r="CC895" s="103"/>
      <c r="CD895" s="103"/>
      <c r="CE895" s="103"/>
      <c r="CF895" s="103"/>
      <c r="CG895" s="103"/>
      <c r="CH895" s="133"/>
      <c r="CI895" s="133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O895" s="1"/>
      <c r="EP895" s="103"/>
      <c r="EQ895" s="103"/>
      <c r="ER895" s="1"/>
      <c r="ES895" s="103"/>
      <c r="ET895" s="1"/>
      <c r="EU895" s="1"/>
      <c r="EV895" s="1"/>
      <c r="EW895" s="105"/>
    </row>
    <row r="896" spans="9:153">
      <c r="I896" s="132"/>
      <c r="J896" s="133"/>
      <c r="K896" s="1"/>
      <c r="L896" s="1"/>
      <c r="Q896" s="1"/>
      <c r="R896" s="1"/>
      <c r="S896" s="103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53"/>
      <c r="AN896" s="103"/>
      <c r="AO896" s="103"/>
      <c r="AP896" s="103"/>
      <c r="AQ896" s="31"/>
      <c r="AR896" s="31"/>
      <c r="AS896" s="31"/>
      <c r="AT896" s="30"/>
      <c r="AU896" s="30"/>
      <c r="AV896" s="103"/>
      <c r="AW896" s="103"/>
      <c r="AX896" s="103"/>
      <c r="AY896" s="103"/>
      <c r="AZ896" s="103"/>
      <c r="BA896" s="103"/>
      <c r="BB896" s="104"/>
      <c r="BC896" s="102"/>
      <c r="BD896" s="102"/>
      <c r="BE896" s="102"/>
      <c r="BF896" s="104"/>
      <c r="BG896" s="152"/>
      <c r="BH896" s="103"/>
      <c r="BI896" s="103"/>
      <c r="BJ896" s="103"/>
      <c r="BK896" s="103"/>
      <c r="BL896" s="103"/>
      <c r="BM896" s="103"/>
      <c r="BN896" s="103"/>
      <c r="BO896" s="103"/>
      <c r="BP896" s="103"/>
      <c r="BQ896" s="103"/>
      <c r="BR896" s="103"/>
      <c r="BS896" s="104"/>
      <c r="BT896" s="104"/>
      <c r="BU896" s="104"/>
      <c r="BV896" s="104"/>
      <c r="BW896" s="104"/>
      <c r="BX896" s="104"/>
      <c r="BY896" s="104"/>
      <c r="BZ896" s="104"/>
      <c r="CA896" s="104"/>
      <c r="CB896" s="104"/>
      <c r="CC896" s="103"/>
      <c r="CD896" s="103"/>
      <c r="CE896" s="103"/>
      <c r="CF896" s="103"/>
      <c r="CG896" s="103"/>
      <c r="CH896" s="133"/>
      <c r="CI896" s="133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O896" s="1"/>
      <c r="EP896" s="103"/>
      <c r="EQ896" s="103"/>
      <c r="ER896" s="1"/>
      <c r="ES896" s="103"/>
      <c r="ET896" s="1"/>
      <c r="EU896" s="1"/>
      <c r="EV896" s="1"/>
      <c r="EW896" s="105"/>
    </row>
    <row r="897" spans="9:153">
      <c r="I897" s="132"/>
      <c r="J897" s="133"/>
      <c r="K897" s="1"/>
      <c r="L897" s="1"/>
      <c r="Q897" s="1"/>
      <c r="R897" s="1"/>
      <c r="S897" s="103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53"/>
      <c r="AN897" s="103"/>
      <c r="AO897" s="103"/>
      <c r="AP897" s="103"/>
      <c r="AQ897" s="31"/>
      <c r="AR897" s="31"/>
      <c r="AS897" s="31"/>
      <c r="AT897" s="30"/>
      <c r="AU897" s="30"/>
      <c r="AV897" s="103"/>
      <c r="AW897" s="103"/>
      <c r="AX897" s="103"/>
      <c r="AY897" s="103"/>
      <c r="AZ897" s="103"/>
      <c r="BA897" s="103"/>
      <c r="BB897" s="104"/>
      <c r="BC897" s="102"/>
      <c r="BD897" s="102"/>
      <c r="BE897" s="102"/>
      <c r="BF897" s="104"/>
      <c r="BG897" s="152"/>
      <c r="BH897" s="103"/>
      <c r="BI897" s="103"/>
      <c r="BJ897" s="103"/>
      <c r="BK897" s="103"/>
      <c r="BL897" s="103"/>
      <c r="BM897" s="103"/>
      <c r="BN897" s="103"/>
      <c r="BO897" s="103"/>
      <c r="BP897" s="103"/>
      <c r="BQ897" s="103"/>
      <c r="BR897" s="103"/>
      <c r="BS897" s="104"/>
      <c r="BT897" s="104"/>
      <c r="BU897" s="104"/>
      <c r="BV897" s="104"/>
      <c r="BW897" s="104"/>
      <c r="BX897" s="104"/>
      <c r="BY897" s="104"/>
      <c r="BZ897" s="104"/>
      <c r="CA897" s="104"/>
      <c r="CB897" s="104"/>
      <c r="CC897" s="103"/>
      <c r="CD897" s="103"/>
      <c r="CE897" s="103"/>
      <c r="CF897" s="103"/>
      <c r="CG897" s="103"/>
      <c r="CH897" s="133"/>
      <c r="CI897" s="133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O897" s="1"/>
      <c r="EP897" s="103"/>
      <c r="EQ897" s="103"/>
      <c r="ER897" s="1"/>
      <c r="ES897" s="103"/>
      <c r="ET897" s="1"/>
      <c r="EU897" s="1"/>
      <c r="EV897" s="1"/>
      <c r="EW897" s="105"/>
    </row>
    <row r="898" spans="9:153">
      <c r="I898" s="132"/>
      <c r="J898" s="133"/>
      <c r="K898" s="1"/>
      <c r="L898" s="1"/>
      <c r="Q898" s="1"/>
      <c r="R898" s="1"/>
      <c r="S898" s="103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53"/>
      <c r="AN898" s="103"/>
      <c r="AO898" s="103"/>
      <c r="AP898" s="103"/>
      <c r="AQ898" s="31"/>
      <c r="AR898" s="31"/>
      <c r="AS898" s="31"/>
      <c r="AT898" s="30"/>
      <c r="AU898" s="30"/>
      <c r="AV898" s="103"/>
      <c r="AW898" s="103"/>
      <c r="AX898" s="103"/>
      <c r="AY898" s="103"/>
      <c r="AZ898" s="103"/>
      <c r="BA898" s="103"/>
      <c r="BB898" s="104"/>
      <c r="BC898" s="102"/>
      <c r="BD898" s="102"/>
      <c r="BE898" s="102"/>
      <c r="BF898" s="104"/>
      <c r="BG898" s="152"/>
      <c r="BH898" s="103"/>
      <c r="BI898" s="103"/>
      <c r="BJ898" s="103"/>
      <c r="BK898" s="103"/>
      <c r="BL898" s="103"/>
      <c r="BM898" s="103"/>
      <c r="BN898" s="103"/>
      <c r="BO898" s="103"/>
      <c r="BP898" s="103"/>
      <c r="BQ898" s="103"/>
      <c r="BR898" s="103"/>
      <c r="BS898" s="104"/>
      <c r="BT898" s="104"/>
      <c r="BU898" s="104"/>
      <c r="BV898" s="104"/>
      <c r="BW898" s="104"/>
      <c r="BX898" s="104"/>
      <c r="BY898" s="104"/>
      <c r="BZ898" s="104"/>
      <c r="CA898" s="104"/>
      <c r="CB898" s="104"/>
      <c r="CC898" s="103"/>
      <c r="CD898" s="103"/>
      <c r="CE898" s="103"/>
      <c r="CF898" s="103"/>
      <c r="CG898" s="103"/>
      <c r="CH898" s="133"/>
      <c r="CI898" s="133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O898" s="1"/>
      <c r="EP898" s="103"/>
      <c r="EQ898" s="103"/>
      <c r="ER898" s="1"/>
      <c r="ES898" s="103"/>
      <c r="ET898" s="1"/>
      <c r="EU898" s="1"/>
      <c r="EV898" s="1"/>
      <c r="EW898" s="105"/>
    </row>
    <row r="899" spans="9:153">
      <c r="I899" s="132"/>
      <c r="J899" s="133"/>
      <c r="K899" s="1"/>
      <c r="L899" s="1"/>
      <c r="Q899" s="1"/>
      <c r="R899" s="1"/>
      <c r="S899" s="103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53"/>
      <c r="AN899" s="103"/>
      <c r="AO899" s="103"/>
      <c r="AP899" s="103"/>
      <c r="AQ899" s="31"/>
      <c r="AR899" s="31"/>
      <c r="AS899" s="31"/>
      <c r="AT899" s="30"/>
      <c r="AU899" s="30"/>
      <c r="AV899" s="103"/>
      <c r="AW899" s="103"/>
      <c r="AX899" s="103"/>
      <c r="AY899" s="103"/>
      <c r="AZ899" s="103"/>
      <c r="BA899" s="103"/>
      <c r="BB899" s="104"/>
      <c r="BC899" s="102"/>
      <c r="BD899" s="102"/>
      <c r="BE899" s="102"/>
      <c r="BF899" s="104"/>
      <c r="BG899" s="152"/>
      <c r="BH899" s="103"/>
      <c r="BI899" s="103"/>
      <c r="BJ899" s="103"/>
      <c r="BK899" s="103"/>
      <c r="BL899" s="103"/>
      <c r="BM899" s="103"/>
      <c r="BN899" s="103"/>
      <c r="BO899" s="103"/>
      <c r="BP899" s="103"/>
      <c r="BQ899" s="103"/>
      <c r="BR899" s="103"/>
      <c r="BS899" s="104"/>
      <c r="BT899" s="104"/>
      <c r="BU899" s="104"/>
      <c r="BV899" s="104"/>
      <c r="BW899" s="104"/>
      <c r="BX899" s="104"/>
      <c r="BY899" s="104"/>
      <c r="BZ899" s="104"/>
      <c r="CA899" s="104"/>
      <c r="CB899" s="104"/>
      <c r="CC899" s="103"/>
      <c r="CD899" s="103"/>
      <c r="CE899" s="103"/>
      <c r="CF899" s="103"/>
      <c r="CG899" s="103"/>
      <c r="CH899" s="133"/>
      <c r="CI899" s="133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O899" s="1"/>
      <c r="EP899" s="103"/>
      <c r="EQ899" s="103"/>
      <c r="ER899" s="1"/>
      <c r="ES899" s="103"/>
      <c r="ET899" s="1"/>
      <c r="EU899" s="1"/>
      <c r="EV899" s="1"/>
      <c r="EW899" s="105"/>
    </row>
    <row r="900" spans="9:153">
      <c r="I900" s="132"/>
      <c r="J900" s="133"/>
      <c r="K900" s="1"/>
      <c r="L900" s="1"/>
      <c r="Q900" s="1"/>
      <c r="R900" s="1"/>
      <c r="S900" s="103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53"/>
      <c r="AN900" s="103"/>
      <c r="AO900" s="103"/>
      <c r="AP900" s="103"/>
      <c r="AQ900" s="31"/>
      <c r="AR900" s="31"/>
      <c r="AS900" s="31"/>
      <c r="AT900" s="30"/>
      <c r="AU900" s="30"/>
      <c r="AV900" s="103"/>
      <c r="AW900" s="103"/>
      <c r="AX900" s="103"/>
      <c r="AY900" s="103"/>
      <c r="AZ900" s="103"/>
      <c r="BA900" s="103"/>
      <c r="BB900" s="104"/>
      <c r="BC900" s="102"/>
      <c r="BD900" s="102"/>
      <c r="BE900" s="102"/>
      <c r="BF900" s="104"/>
      <c r="BG900" s="152"/>
      <c r="BH900" s="103"/>
      <c r="BI900" s="103"/>
      <c r="BJ900" s="103"/>
      <c r="BK900" s="103"/>
      <c r="BL900" s="103"/>
      <c r="BM900" s="103"/>
      <c r="BN900" s="103"/>
      <c r="BO900" s="103"/>
      <c r="BP900" s="103"/>
      <c r="BQ900" s="103"/>
      <c r="BR900" s="103"/>
      <c r="BS900" s="104"/>
      <c r="BT900" s="104"/>
      <c r="BU900" s="104"/>
      <c r="BV900" s="104"/>
      <c r="BW900" s="104"/>
      <c r="BX900" s="104"/>
      <c r="BY900" s="104"/>
      <c r="BZ900" s="104"/>
      <c r="CA900" s="104"/>
      <c r="CB900" s="104"/>
      <c r="CC900" s="103"/>
      <c r="CD900" s="103"/>
      <c r="CE900" s="103"/>
      <c r="CF900" s="103"/>
      <c r="CG900" s="103"/>
      <c r="CH900" s="133"/>
      <c r="CI900" s="133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O900" s="1"/>
      <c r="EP900" s="103"/>
      <c r="EQ900" s="103"/>
      <c r="ER900" s="1"/>
      <c r="ES900" s="103"/>
      <c r="ET900" s="1"/>
      <c r="EU900" s="1"/>
      <c r="EV900" s="1"/>
      <c r="EW900" s="105"/>
    </row>
    <row r="901" spans="9:153">
      <c r="I901" s="132"/>
      <c r="J901" s="133"/>
      <c r="K901" s="1"/>
      <c r="L901" s="1"/>
      <c r="Q901" s="1"/>
      <c r="R901" s="1"/>
      <c r="S901" s="103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53"/>
      <c r="AN901" s="103"/>
      <c r="AO901" s="103"/>
      <c r="AP901" s="103"/>
      <c r="AQ901" s="31"/>
      <c r="AR901" s="31"/>
      <c r="AS901" s="31"/>
      <c r="AT901" s="30"/>
      <c r="AU901" s="30"/>
      <c r="AV901" s="103"/>
      <c r="AW901" s="103"/>
      <c r="AX901" s="103"/>
      <c r="AY901" s="103"/>
      <c r="AZ901" s="103"/>
      <c r="BA901" s="103"/>
      <c r="BB901" s="104"/>
      <c r="BC901" s="102"/>
      <c r="BD901" s="102"/>
      <c r="BE901" s="102"/>
      <c r="BF901" s="104"/>
      <c r="BG901" s="152"/>
      <c r="BH901" s="103"/>
      <c r="BI901" s="103"/>
      <c r="BJ901" s="103"/>
      <c r="BK901" s="103"/>
      <c r="BL901" s="103"/>
      <c r="BM901" s="103"/>
      <c r="BN901" s="103"/>
      <c r="BO901" s="103"/>
      <c r="BP901" s="103"/>
      <c r="BQ901" s="103"/>
      <c r="BR901" s="103"/>
      <c r="BS901" s="104"/>
      <c r="BT901" s="104"/>
      <c r="BU901" s="104"/>
      <c r="BV901" s="104"/>
      <c r="BW901" s="104"/>
      <c r="BX901" s="104"/>
      <c r="BY901" s="104"/>
      <c r="BZ901" s="104"/>
      <c r="CA901" s="104"/>
      <c r="CB901" s="104"/>
      <c r="CC901" s="103"/>
      <c r="CD901" s="103"/>
      <c r="CE901" s="103"/>
      <c r="CF901" s="103"/>
      <c r="CG901" s="103"/>
      <c r="CH901" s="133"/>
      <c r="CI901" s="133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O901" s="1"/>
      <c r="EP901" s="103"/>
      <c r="EQ901" s="103"/>
      <c r="ER901" s="1"/>
      <c r="ES901" s="103"/>
      <c r="ET901" s="1"/>
      <c r="EU901" s="1"/>
      <c r="EV901" s="1"/>
      <c r="EW901" s="105"/>
    </row>
    <row r="902" spans="9:153">
      <c r="I902" s="132"/>
      <c r="J902" s="133"/>
      <c r="K902" s="1"/>
      <c r="L902" s="1"/>
      <c r="Q902" s="1"/>
      <c r="R902" s="1"/>
      <c r="S902" s="103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53"/>
      <c r="AN902" s="103"/>
      <c r="AO902" s="103"/>
      <c r="AP902" s="103"/>
      <c r="AQ902" s="31"/>
      <c r="AR902" s="31"/>
      <c r="AS902" s="31"/>
      <c r="AT902" s="30"/>
      <c r="AU902" s="30"/>
      <c r="AV902" s="103"/>
      <c r="AW902" s="103"/>
      <c r="AX902" s="103"/>
      <c r="AY902" s="103"/>
      <c r="AZ902" s="103"/>
      <c r="BA902" s="103"/>
      <c r="BB902" s="104"/>
      <c r="BC902" s="102"/>
      <c r="BD902" s="102"/>
      <c r="BE902" s="102"/>
      <c r="BF902" s="104"/>
      <c r="BG902" s="152"/>
      <c r="BH902" s="103"/>
      <c r="BI902" s="103"/>
      <c r="BJ902" s="103"/>
      <c r="BK902" s="103"/>
      <c r="BL902" s="103"/>
      <c r="BM902" s="103"/>
      <c r="BN902" s="103"/>
      <c r="BO902" s="103"/>
      <c r="BP902" s="103"/>
      <c r="BQ902" s="103"/>
      <c r="BR902" s="103"/>
      <c r="BS902" s="104"/>
      <c r="BT902" s="104"/>
      <c r="BU902" s="104"/>
      <c r="BV902" s="104"/>
      <c r="BW902" s="104"/>
      <c r="BX902" s="104"/>
      <c r="BY902" s="104"/>
      <c r="BZ902" s="104"/>
      <c r="CA902" s="104"/>
      <c r="CB902" s="104"/>
      <c r="CC902" s="103"/>
      <c r="CD902" s="103"/>
      <c r="CE902" s="103"/>
      <c r="CF902" s="103"/>
      <c r="CG902" s="103"/>
      <c r="CH902" s="133"/>
      <c r="CI902" s="133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O902" s="1"/>
      <c r="EP902" s="103"/>
      <c r="EQ902" s="103"/>
      <c r="ER902" s="1"/>
      <c r="ES902" s="103"/>
      <c r="ET902" s="1"/>
      <c r="EU902" s="1"/>
      <c r="EV902" s="1"/>
      <c r="EW902" s="105"/>
    </row>
    <row r="903" spans="9:153">
      <c r="I903" s="132"/>
      <c r="J903" s="133"/>
      <c r="K903" s="1"/>
      <c r="L903" s="1"/>
      <c r="Q903" s="1"/>
      <c r="R903" s="1"/>
      <c r="S903" s="103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53"/>
      <c r="AN903" s="103"/>
      <c r="AO903" s="103"/>
      <c r="AP903" s="103"/>
      <c r="AQ903" s="31"/>
      <c r="AR903" s="31"/>
      <c r="AS903" s="31"/>
      <c r="AT903" s="30"/>
      <c r="AU903" s="30"/>
      <c r="AV903" s="103"/>
      <c r="AW903" s="103"/>
      <c r="AX903" s="103"/>
      <c r="AY903" s="103"/>
      <c r="AZ903" s="103"/>
      <c r="BA903" s="103"/>
      <c r="BB903" s="104"/>
      <c r="BC903" s="102"/>
      <c r="BD903" s="102"/>
      <c r="BE903" s="102"/>
      <c r="BF903" s="104"/>
      <c r="BG903" s="152"/>
      <c r="BH903" s="103"/>
      <c r="BI903" s="103"/>
      <c r="BJ903" s="103"/>
      <c r="BK903" s="103"/>
      <c r="BL903" s="103"/>
      <c r="BM903" s="103"/>
      <c r="BN903" s="103"/>
      <c r="BO903" s="103"/>
      <c r="BP903" s="103"/>
      <c r="BQ903" s="103"/>
      <c r="BR903" s="103"/>
      <c r="BS903" s="104"/>
      <c r="BT903" s="104"/>
      <c r="BU903" s="104"/>
      <c r="BV903" s="104"/>
      <c r="BW903" s="104"/>
      <c r="BX903" s="104"/>
      <c r="BY903" s="104"/>
      <c r="BZ903" s="104"/>
      <c r="CA903" s="104"/>
      <c r="CB903" s="104"/>
      <c r="CC903" s="103"/>
      <c r="CD903" s="103"/>
      <c r="CE903" s="103"/>
      <c r="CF903" s="103"/>
      <c r="CG903" s="103"/>
      <c r="CH903" s="133"/>
      <c r="CI903" s="133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O903" s="1"/>
      <c r="EP903" s="103"/>
      <c r="EQ903" s="103"/>
      <c r="ER903" s="1"/>
      <c r="ES903" s="103"/>
      <c r="ET903" s="1"/>
      <c r="EU903" s="1"/>
      <c r="EV903" s="1"/>
      <c r="EW903" s="105"/>
    </row>
    <row r="904" spans="9:153">
      <c r="I904" s="132"/>
      <c r="J904" s="133"/>
      <c r="K904" s="1"/>
      <c r="L904" s="1"/>
      <c r="Q904" s="1"/>
      <c r="R904" s="1"/>
      <c r="S904" s="103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53"/>
      <c r="AN904" s="103"/>
      <c r="AO904" s="103"/>
      <c r="AP904" s="103"/>
      <c r="AQ904" s="31"/>
      <c r="AR904" s="31"/>
      <c r="AS904" s="31"/>
      <c r="AT904" s="30"/>
      <c r="AU904" s="30"/>
      <c r="AV904" s="103"/>
      <c r="AW904" s="103"/>
      <c r="AX904" s="103"/>
      <c r="AY904" s="103"/>
      <c r="AZ904" s="103"/>
      <c r="BA904" s="103"/>
      <c r="BB904" s="104"/>
      <c r="BC904" s="102"/>
      <c r="BD904" s="102"/>
      <c r="BE904" s="102"/>
      <c r="BF904" s="104"/>
      <c r="BG904" s="152"/>
      <c r="BH904" s="103"/>
      <c r="BI904" s="103"/>
      <c r="BJ904" s="103"/>
      <c r="BK904" s="103"/>
      <c r="BL904" s="103"/>
      <c r="BM904" s="103"/>
      <c r="BN904" s="103"/>
      <c r="BO904" s="103"/>
      <c r="BP904" s="103"/>
      <c r="BQ904" s="103"/>
      <c r="BR904" s="103"/>
      <c r="BS904" s="104"/>
      <c r="BT904" s="104"/>
      <c r="BU904" s="104"/>
      <c r="BV904" s="104"/>
      <c r="BW904" s="104"/>
      <c r="BX904" s="104"/>
      <c r="BY904" s="104"/>
      <c r="BZ904" s="104"/>
      <c r="CA904" s="104"/>
      <c r="CB904" s="104"/>
      <c r="CC904" s="103"/>
      <c r="CD904" s="103"/>
      <c r="CE904" s="103"/>
      <c r="CF904" s="103"/>
      <c r="CG904" s="103"/>
      <c r="CH904" s="133"/>
      <c r="CI904" s="133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O904" s="1"/>
      <c r="EP904" s="103"/>
      <c r="EQ904" s="103"/>
      <c r="ER904" s="1"/>
      <c r="ES904" s="103"/>
      <c r="ET904" s="1"/>
      <c r="EU904" s="1"/>
      <c r="EV904" s="1"/>
      <c r="EW904" s="105"/>
    </row>
    <row r="905" spans="9:153">
      <c r="I905" s="132"/>
      <c r="J905" s="133"/>
      <c r="K905" s="1"/>
      <c r="L905" s="1"/>
      <c r="Q905" s="1"/>
      <c r="R905" s="1"/>
      <c r="S905" s="103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53"/>
      <c r="AN905" s="103"/>
      <c r="AO905" s="103"/>
      <c r="AP905" s="103"/>
      <c r="AQ905" s="31"/>
      <c r="AR905" s="31"/>
      <c r="AS905" s="31"/>
      <c r="AT905" s="30"/>
      <c r="AU905" s="30"/>
      <c r="AV905" s="103"/>
      <c r="AW905" s="103"/>
      <c r="AX905" s="103"/>
      <c r="AY905" s="103"/>
      <c r="AZ905" s="103"/>
      <c r="BA905" s="103"/>
      <c r="BB905" s="104"/>
      <c r="BC905" s="102"/>
      <c r="BD905" s="102"/>
      <c r="BE905" s="102"/>
      <c r="BF905" s="104"/>
      <c r="BG905" s="152"/>
      <c r="BH905" s="103"/>
      <c r="BI905" s="103"/>
      <c r="BJ905" s="103"/>
      <c r="BK905" s="103"/>
      <c r="BL905" s="103"/>
      <c r="BM905" s="103"/>
      <c r="BN905" s="103"/>
      <c r="BO905" s="103"/>
      <c r="BP905" s="103"/>
      <c r="BQ905" s="103"/>
      <c r="BR905" s="103"/>
      <c r="BS905" s="104"/>
      <c r="BT905" s="104"/>
      <c r="BU905" s="104"/>
      <c r="BV905" s="104"/>
      <c r="BW905" s="104"/>
      <c r="BX905" s="104"/>
      <c r="BY905" s="104"/>
      <c r="BZ905" s="104"/>
      <c r="CA905" s="104"/>
      <c r="CB905" s="104"/>
      <c r="CC905" s="103"/>
      <c r="CD905" s="103"/>
      <c r="CE905" s="103"/>
      <c r="CF905" s="103"/>
      <c r="CG905" s="103"/>
      <c r="CH905" s="133"/>
      <c r="CI905" s="133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O905" s="1"/>
      <c r="EP905" s="103"/>
      <c r="EQ905" s="103"/>
      <c r="ER905" s="1"/>
      <c r="ES905" s="103"/>
      <c r="ET905" s="1"/>
      <c r="EU905" s="1"/>
      <c r="EV905" s="1"/>
      <c r="EW905" s="105"/>
    </row>
    <row r="906" spans="9:153">
      <c r="I906" s="132"/>
      <c r="J906" s="133"/>
      <c r="K906" s="1"/>
      <c r="L906" s="1"/>
      <c r="Q906" s="1"/>
      <c r="R906" s="1"/>
      <c r="S906" s="103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53"/>
      <c r="AN906" s="103"/>
      <c r="AO906" s="103"/>
      <c r="AP906" s="103"/>
      <c r="AQ906" s="31"/>
      <c r="AR906" s="31"/>
      <c r="AS906" s="31"/>
      <c r="AT906" s="30"/>
      <c r="AU906" s="30"/>
      <c r="AV906" s="103"/>
      <c r="AW906" s="103"/>
      <c r="AX906" s="103"/>
      <c r="AY906" s="103"/>
      <c r="AZ906" s="103"/>
      <c r="BA906" s="103"/>
      <c r="BB906" s="104"/>
      <c r="BC906" s="102"/>
      <c r="BD906" s="102"/>
      <c r="BE906" s="102"/>
      <c r="BF906" s="104"/>
      <c r="BG906" s="152"/>
      <c r="BH906" s="103"/>
      <c r="BI906" s="103"/>
      <c r="BJ906" s="103"/>
      <c r="BK906" s="103"/>
      <c r="BL906" s="103"/>
      <c r="BM906" s="103"/>
      <c r="BN906" s="103"/>
      <c r="BO906" s="103"/>
      <c r="BP906" s="103"/>
      <c r="BQ906" s="103"/>
      <c r="BR906" s="103"/>
      <c r="BS906" s="104"/>
      <c r="BT906" s="104"/>
      <c r="BU906" s="104"/>
      <c r="BV906" s="104"/>
      <c r="BW906" s="104"/>
      <c r="BX906" s="104"/>
      <c r="BY906" s="104"/>
      <c r="BZ906" s="104"/>
      <c r="CA906" s="104"/>
      <c r="CB906" s="104"/>
      <c r="CC906" s="103"/>
      <c r="CD906" s="103"/>
      <c r="CE906" s="103"/>
      <c r="CF906" s="103"/>
      <c r="CG906" s="103"/>
      <c r="CH906" s="133"/>
      <c r="CI906" s="133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O906" s="1"/>
      <c r="EP906" s="103"/>
      <c r="EQ906" s="103"/>
      <c r="ER906" s="1"/>
      <c r="ES906" s="103"/>
      <c r="ET906" s="1"/>
      <c r="EU906" s="1"/>
      <c r="EV906" s="1"/>
      <c r="EW906" s="105"/>
    </row>
    <row r="907" spans="9:153">
      <c r="I907" s="132"/>
      <c r="J907" s="133"/>
      <c r="K907" s="1"/>
      <c r="L907" s="1"/>
      <c r="Q907" s="1"/>
      <c r="R907" s="1"/>
      <c r="S907" s="103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53"/>
      <c r="AN907" s="103"/>
      <c r="AO907" s="103"/>
      <c r="AP907" s="103"/>
      <c r="AQ907" s="31"/>
      <c r="AR907" s="31"/>
      <c r="AS907" s="31"/>
      <c r="AT907" s="30"/>
      <c r="AU907" s="30"/>
      <c r="AV907" s="103"/>
      <c r="AW907" s="103"/>
      <c r="AX907" s="103"/>
      <c r="AY907" s="103"/>
      <c r="AZ907" s="103"/>
      <c r="BA907" s="103"/>
      <c r="BB907" s="104"/>
      <c r="BC907" s="102"/>
      <c r="BD907" s="102"/>
      <c r="BE907" s="102"/>
      <c r="BF907" s="104"/>
      <c r="BG907" s="152"/>
      <c r="BH907" s="103"/>
      <c r="BI907" s="103"/>
      <c r="BJ907" s="103"/>
      <c r="BK907" s="103"/>
      <c r="BL907" s="103"/>
      <c r="BM907" s="103"/>
      <c r="BN907" s="103"/>
      <c r="BO907" s="103"/>
      <c r="BP907" s="103"/>
      <c r="BQ907" s="103"/>
      <c r="BR907" s="103"/>
      <c r="BS907" s="104"/>
      <c r="BT907" s="104"/>
      <c r="BU907" s="104"/>
      <c r="BV907" s="104"/>
      <c r="BW907" s="104"/>
      <c r="BX907" s="104"/>
      <c r="BY907" s="104"/>
      <c r="BZ907" s="104"/>
      <c r="CA907" s="104"/>
      <c r="CB907" s="104"/>
      <c r="CC907" s="103"/>
      <c r="CD907" s="103"/>
      <c r="CE907" s="103"/>
      <c r="CF907" s="103"/>
      <c r="CG907" s="103"/>
      <c r="CH907" s="133"/>
      <c r="CI907" s="133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O907" s="1"/>
      <c r="EP907" s="103"/>
      <c r="EQ907" s="103"/>
      <c r="ER907" s="1"/>
      <c r="ES907" s="103"/>
      <c r="ET907" s="1"/>
      <c r="EU907" s="1"/>
      <c r="EV907" s="1"/>
      <c r="EW907" s="105"/>
    </row>
    <row r="908" spans="9:153">
      <c r="I908" s="132"/>
      <c r="J908" s="133"/>
      <c r="K908" s="1"/>
      <c r="L908" s="1"/>
      <c r="Q908" s="1"/>
      <c r="R908" s="1"/>
      <c r="S908" s="103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53"/>
      <c r="AN908" s="103"/>
      <c r="AO908" s="103"/>
      <c r="AP908" s="103"/>
      <c r="AQ908" s="31"/>
      <c r="AR908" s="31"/>
      <c r="AS908" s="31"/>
      <c r="AT908" s="30"/>
      <c r="AU908" s="30"/>
      <c r="AV908" s="103"/>
      <c r="AW908" s="103"/>
      <c r="AX908" s="103"/>
      <c r="AY908" s="103"/>
      <c r="AZ908" s="103"/>
      <c r="BA908" s="103"/>
      <c r="BB908" s="104"/>
      <c r="BC908" s="102"/>
      <c r="BD908" s="102"/>
      <c r="BE908" s="102"/>
      <c r="BF908" s="104"/>
      <c r="BG908" s="152"/>
      <c r="BH908" s="103"/>
      <c r="BI908" s="103"/>
      <c r="BJ908" s="103"/>
      <c r="BK908" s="103"/>
      <c r="BL908" s="103"/>
      <c r="BM908" s="103"/>
      <c r="BN908" s="103"/>
      <c r="BO908" s="103"/>
      <c r="BP908" s="103"/>
      <c r="BQ908" s="103"/>
      <c r="BR908" s="103"/>
      <c r="BS908" s="104"/>
      <c r="BT908" s="104"/>
      <c r="BU908" s="104"/>
      <c r="BV908" s="104"/>
      <c r="BW908" s="104"/>
      <c r="BX908" s="104"/>
      <c r="BY908" s="104"/>
      <c r="BZ908" s="104"/>
      <c r="CA908" s="104"/>
      <c r="CB908" s="104"/>
      <c r="CC908" s="103"/>
      <c r="CD908" s="103"/>
      <c r="CE908" s="103"/>
      <c r="CF908" s="103"/>
      <c r="CG908" s="103"/>
      <c r="CH908" s="133"/>
      <c r="CI908" s="133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O908" s="1"/>
      <c r="EP908" s="103"/>
      <c r="EQ908" s="103"/>
      <c r="ER908" s="1"/>
      <c r="ES908" s="103"/>
      <c r="ET908" s="1"/>
      <c r="EU908" s="1"/>
      <c r="EV908" s="1"/>
      <c r="EW908" s="105"/>
    </row>
    <row r="909" spans="9:153">
      <c r="I909" s="132"/>
      <c r="J909" s="133"/>
      <c r="K909" s="1"/>
      <c r="L909" s="1"/>
      <c r="Q909" s="1"/>
      <c r="R909" s="1"/>
      <c r="S909" s="103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53"/>
      <c r="AN909" s="103"/>
      <c r="AO909" s="103"/>
      <c r="AP909" s="103"/>
      <c r="AQ909" s="31"/>
      <c r="AR909" s="31"/>
      <c r="AS909" s="31"/>
      <c r="AT909" s="30"/>
      <c r="AU909" s="30"/>
      <c r="AV909" s="103"/>
      <c r="AW909" s="103"/>
      <c r="AX909" s="103"/>
      <c r="AY909" s="103"/>
      <c r="AZ909" s="103"/>
      <c r="BA909" s="103"/>
      <c r="BB909" s="104"/>
      <c r="BC909" s="102"/>
      <c r="BD909" s="102"/>
      <c r="BE909" s="102"/>
      <c r="BF909" s="104"/>
      <c r="BG909" s="152"/>
      <c r="BH909" s="103"/>
      <c r="BI909" s="103"/>
      <c r="BJ909" s="103"/>
      <c r="BK909" s="103"/>
      <c r="BL909" s="103"/>
      <c r="BM909" s="103"/>
      <c r="BN909" s="103"/>
      <c r="BO909" s="103"/>
      <c r="BP909" s="103"/>
      <c r="BQ909" s="103"/>
      <c r="BR909" s="103"/>
      <c r="BS909" s="104"/>
      <c r="BT909" s="104"/>
      <c r="BU909" s="104"/>
      <c r="BV909" s="104"/>
      <c r="BW909" s="104"/>
      <c r="BX909" s="104"/>
      <c r="BY909" s="104"/>
      <c r="BZ909" s="104"/>
      <c r="CA909" s="104"/>
      <c r="CB909" s="104"/>
      <c r="CC909" s="103"/>
      <c r="CD909" s="103"/>
      <c r="CE909" s="103"/>
      <c r="CF909" s="103"/>
      <c r="CG909" s="103"/>
      <c r="CH909" s="133"/>
      <c r="CI909" s="133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O909" s="1"/>
      <c r="EP909" s="103"/>
      <c r="EQ909" s="103"/>
      <c r="ER909" s="1"/>
      <c r="ES909" s="103"/>
      <c r="ET909" s="1"/>
      <c r="EU909" s="1"/>
      <c r="EV909" s="1"/>
      <c r="EW909" s="105"/>
    </row>
    <row r="910" spans="9:153">
      <c r="I910" s="132"/>
      <c r="J910" s="133"/>
      <c r="K910" s="1"/>
      <c r="L910" s="1"/>
      <c r="Q910" s="1"/>
      <c r="R910" s="1"/>
      <c r="S910" s="103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53"/>
      <c r="AN910" s="103"/>
      <c r="AO910" s="103"/>
      <c r="AP910" s="103"/>
      <c r="AQ910" s="31"/>
      <c r="AR910" s="31"/>
      <c r="AS910" s="31"/>
      <c r="AT910" s="30"/>
      <c r="AU910" s="30"/>
      <c r="AV910" s="103"/>
      <c r="AW910" s="103"/>
      <c r="AX910" s="103"/>
      <c r="AY910" s="103"/>
      <c r="AZ910" s="103"/>
      <c r="BA910" s="103"/>
      <c r="BB910" s="104"/>
      <c r="BC910" s="102"/>
      <c r="BD910" s="102"/>
      <c r="BE910" s="102"/>
      <c r="BF910" s="104"/>
      <c r="BG910" s="152"/>
      <c r="BH910" s="103"/>
      <c r="BI910" s="103"/>
      <c r="BJ910" s="103"/>
      <c r="BK910" s="103"/>
      <c r="BL910" s="103"/>
      <c r="BM910" s="103"/>
      <c r="BN910" s="103"/>
      <c r="BO910" s="103"/>
      <c r="BP910" s="103"/>
      <c r="BQ910" s="103"/>
      <c r="BR910" s="103"/>
      <c r="BS910" s="104"/>
      <c r="BT910" s="104"/>
      <c r="BU910" s="104"/>
      <c r="BV910" s="104"/>
      <c r="BW910" s="104"/>
      <c r="BX910" s="104"/>
      <c r="BY910" s="104"/>
      <c r="BZ910" s="104"/>
      <c r="CA910" s="104"/>
      <c r="CB910" s="104"/>
      <c r="CC910" s="103"/>
      <c r="CD910" s="103"/>
      <c r="CE910" s="103"/>
      <c r="CF910" s="103"/>
      <c r="CG910" s="103"/>
      <c r="CH910" s="133"/>
      <c r="CI910" s="133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O910" s="1"/>
      <c r="EP910" s="103"/>
      <c r="EQ910" s="103"/>
      <c r="ER910" s="1"/>
      <c r="ES910" s="103"/>
      <c r="ET910" s="1"/>
      <c r="EU910" s="1"/>
      <c r="EV910" s="1"/>
      <c r="EW910" s="105"/>
    </row>
    <row r="911" spans="9:153">
      <c r="I911" s="132"/>
      <c r="J911" s="133"/>
      <c r="K911" s="1"/>
      <c r="L911" s="1"/>
      <c r="Q911" s="1"/>
      <c r="R911" s="1"/>
      <c r="S911" s="103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53"/>
      <c r="AN911" s="103"/>
      <c r="AO911" s="103"/>
      <c r="AP911" s="103"/>
      <c r="AQ911" s="31"/>
      <c r="AR911" s="31"/>
      <c r="AS911" s="31"/>
      <c r="AT911" s="30"/>
      <c r="AU911" s="30"/>
      <c r="AV911" s="103"/>
      <c r="AW911" s="103"/>
      <c r="AX911" s="103"/>
      <c r="AY911" s="103"/>
      <c r="AZ911" s="103"/>
      <c r="BA911" s="103"/>
      <c r="BB911" s="104"/>
      <c r="BC911" s="102"/>
      <c r="BD911" s="102"/>
      <c r="BE911" s="102"/>
      <c r="BF911" s="104"/>
      <c r="BG911" s="152"/>
      <c r="BH911" s="103"/>
      <c r="BI911" s="103"/>
      <c r="BJ911" s="103"/>
      <c r="BK911" s="103"/>
      <c r="BL911" s="103"/>
      <c r="BM911" s="103"/>
      <c r="BN911" s="103"/>
      <c r="BO911" s="103"/>
      <c r="BP911" s="103"/>
      <c r="BQ911" s="103"/>
      <c r="BR911" s="103"/>
      <c r="BS911" s="104"/>
      <c r="BT911" s="104"/>
      <c r="BU911" s="104"/>
      <c r="BV911" s="104"/>
      <c r="BW911" s="104"/>
      <c r="BX911" s="104"/>
      <c r="BY911" s="104"/>
      <c r="BZ911" s="104"/>
      <c r="CA911" s="104"/>
      <c r="CB911" s="104"/>
      <c r="CC911" s="103"/>
      <c r="CD911" s="103"/>
      <c r="CE911" s="103"/>
      <c r="CF911" s="103"/>
      <c r="CG911" s="103"/>
      <c r="CH911" s="133"/>
      <c r="CI911" s="133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O911" s="1"/>
      <c r="EP911" s="103"/>
      <c r="EQ911" s="103"/>
      <c r="ER911" s="1"/>
      <c r="ES911" s="103"/>
      <c r="ET911" s="1"/>
      <c r="EU911" s="1"/>
      <c r="EV911" s="1"/>
      <c r="EW911" s="105"/>
    </row>
    <row r="912" spans="9:153">
      <c r="I912" s="132"/>
      <c r="J912" s="133"/>
      <c r="K912" s="1"/>
      <c r="L912" s="1"/>
      <c r="Q912" s="1"/>
      <c r="R912" s="1"/>
      <c r="S912" s="103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53"/>
      <c r="AN912" s="103"/>
      <c r="AO912" s="103"/>
      <c r="AP912" s="103"/>
      <c r="AQ912" s="31"/>
      <c r="AR912" s="31"/>
      <c r="AS912" s="31"/>
      <c r="AT912" s="30"/>
      <c r="AU912" s="30"/>
      <c r="AV912" s="103"/>
      <c r="AW912" s="103"/>
      <c r="AX912" s="103"/>
      <c r="AY912" s="103"/>
      <c r="AZ912" s="103"/>
      <c r="BA912" s="103"/>
      <c r="BB912" s="104"/>
      <c r="BC912" s="102"/>
      <c r="BD912" s="102"/>
      <c r="BE912" s="102"/>
      <c r="BF912" s="104"/>
      <c r="BG912" s="152"/>
      <c r="BH912" s="103"/>
      <c r="BI912" s="103"/>
      <c r="BJ912" s="103"/>
      <c r="BK912" s="103"/>
      <c r="BL912" s="103"/>
      <c r="BM912" s="103"/>
      <c r="BN912" s="103"/>
      <c r="BO912" s="103"/>
      <c r="BP912" s="103"/>
      <c r="BQ912" s="103"/>
      <c r="BR912" s="103"/>
      <c r="BS912" s="104"/>
      <c r="BT912" s="104"/>
      <c r="BU912" s="104"/>
      <c r="BV912" s="104"/>
      <c r="BW912" s="104"/>
      <c r="BX912" s="104"/>
      <c r="BY912" s="104"/>
      <c r="BZ912" s="104"/>
      <c r="CA912" s="104"/>
      <c r="CB912" s="104"/>
      <c r="CC912" s="103"/>
      <c r="CD912" s="103"/>
      <c r="CE912" s="103"/>
      <c r="CF912" s="103"/>
      <c r="CG912" s="103"/>
      <c r="CH912" s="133"/>
      <c r="CI912" s="133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O912" s="1"/>
      <c r="EP912" s="103"/>
      <c r="EQ912" s="103"/>
      <c r="ER912" s="1"/>
      <c r="ES912" s="103"/>
      <c r="ET912" s="1"/>
      <c r="EU912" s="1"/>
      <c r="EV912" s="1"/>
      <c r="EW912" s="105"/>
    </row>
    <row r="913" spans="9:153">
      <c r="I913" s="132"/>
      <c r="J913" s="133"/>
      <c r="K913" s="1"/>
      <c r="L913" s="1"/>
      <c r="Q913" s="1"/>
      <c r="R913" s="1"/>
      <c r="S913" s="103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53"/>
      <c r="AN913" s="103"/>
      <c r="AO913" s="103"/>
      <c r="AP913" s="103"/>
      <c r="AQ913" s="31"/>
      <c r="AR913" s="31"/>
      <c r="AS913" s="31"/>
      <c r="AT913" s="30"/>
      <c r="AU913" s="30"/>
      <c r="AV913" s="103"/>
      <c r="AW913" s="103"/>
      <c r="AX913" s="103"/>
      <c r="AY913" s="103"/>
      <c r="AZ913" s="103"/>
      <c r="BA913" s="103"/>
      <c r="BB913" s="104"/>
      <c r="BC913" s="102"/>
      <c r="BD913" s="102"/>
      <c r="BE913" s="102"/>
      <c r="BF913" s="104"/>
      <c r="BG913" s="152"/>
      <c r="BH913" s="103"/>
      <c r="BI913" s="103"/>
      <c r="BJ913" s="103"/>
      <c r="BK913" s="103"/>
      <c r="BL913" s="103"/>
      <c r="BM913" s="103"/>
      <c r="BN913" s="103"/>
      <c r="BO913" s="103"/>
      <c r="BP913" s="103"/>
      <c r="BQ913" s="103"/>
      <c r="BR913" s="103"/>
      <c r="BS913" s="104"/>
      <c r="BT913" s="104"/>
      <c r="BU913" s="104"/>
      <c r="BV913" s="104"/>
      <c r="BW913" s="104"/>
      <c r="BX913" s="104"/>
      <c r="BY913" s="104"/>
      <c r="BZ913" s="104"/>
      <c r="CA913" s="104"/>
      <c r="CB913" s="104"/>
      <c r="CC913" s="103"/>
      <c r="CD913" s="103"/>
      <c r="CE913" s="103"/>
      <c r="CF913" s="103"/>
      <c r="CG913" s="103"/>
      <c r="CH913" s="133"/>
      <c r="CI913" s="133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O913" s="1"/>
      <c r="EP913" s="103"/>
      <c r="EQ913" s="103"/>
      <c r="ER913" s="1"/>
      <c r="ES913" s="103"/>
      <c r="ET913" s="1"/>
      <c r="EU913" s="1"/>
      <c r="EV913" s="1"/>
      <c r="EW913" s="105"/>
    </row>
    <row r="914" spans="9:153">
      <c r="I914" s="132"/>
      <c r="J914" s="133"/>
      <c r="K914" s="1"/>
      <c r="L914" s="1"/>
      <c r="Q914" s="1"/>
      <c r="R914" s="1"/>
      <c r="S914" s="103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53"/>
      <c r="AN914" s="103"/>
      <c r="AO914" s="103"/>
      <c r="AP914" s="103"/>
      <c r="AQ914" s="31"/>
      <c r="AR914" s="31"/>
      <c r="AS914" s="31"/>
      <c r="AT914" s="30"/>
      <c r="AU914" s="30"/>
      <c r="AV914" s="103"/>
      <c r="AW914" s="103"/>
      <c r="AX914" s="103"/>
      <c r="AY914" s="103"/>
      <c r="AZ914" s="103"/>
      <c r="BA914" s="103"/>
      <c r="BB914" s="104"/>
      <c r="BC914" s="102"/>
      <c r="BD914" s="102"/>
      <c r="BE914" s="102"/>
      <c r="BF914" s="104"/>
      <c r="BG914" s="152"/>
      <c r="BH914" s="103"/>
      <c r="BI914" s="103"/>
      <c r="BJ914" s="103"/>
      <c r="BK914" s="103"/>
      <c r="BL914" s="103"/>
      <c r="BM914" s="103"/>
      <c r="BN914" s="103"/>
      <c r="BO914" s="103"/>
      <c r="BP914" s="103"/>
      <c r="BQ914" s="103"/>
      <c r="BR914" s="103"/>
      <c r="BS914" s="104"/>
      <c r="BT914" s="104"/>
      <c r="BU914" s="104"/>
      <c r="BV914" s="104"/>
      <c r="BW914" s="104"/>
      <c r="BX914" s="104"/>
      <c r="BY914" s="104"/>
      <c r="BZ914" s="104"/>
      <c r="CA914" s="104"/>
      <c r="CB914" s="104"/>
      <c r="CC914" s="103"/>
      <c r="CD914" s="103"/>
      <c r="CE914" s="103"/>
      <c r="CF914" s="103"/>
      <c r="CG914" s="103"/>
      <c r="CH914" s="133"/>
      <c r="CI914" s="133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O914" s="1"/>
      <c r="EP914" s="103"/>
      <c r="EQ914" s="103"/>
      <c r="ER914" s="1"/>
      <c r="ES914" s="103"/>
      <c r="ET914" s="1"/>
      <c r="EU914" s="1"/>
      <c r="EV914" s="1"/>
      <c r="EW914" s="105"/>
    </row>
    <row r="915" spans="9:153">
      <c r="I915" s="132"/>
      <c r="J915" s="133"/>
      <c r="K915" s="1"/>
      <c r="L915" s="1"/>
      <c r="Q915" s="1"/>
      <c r="R915" s="1"/>
      <c r="S915" s="103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53"/>
      <c r="AN915" s="103"/>
      <c r="AO915" s="103"/>
      <c r="AP915" s="103"/>
      <c r="AQ915" s="31"/>
      <c r="AR915" s="31"/>
      <c r="AS915" s="31"/>
      <c r="AT915" s="30"/>
      <c r="AU915" s="30"/>
      <c r="AV915" s="103"/>
      <c r="AW915" s="103"/>
      <c r="AX915" s="103"/>
      <c r="AY915" s="103"/>
      <c r="AZ915" s="103"/>
      <c r="BA915" s="103"/>
      <c r="BB915" s="104"/>
      <c r="BC915" s="102"/>
      <c r="BD915" s="102"/>
      <c r="BE915" s="102"/>
      <c r="BF915" s="104"/>
      <c r="BG915" s="152"/>
      <c r="BH915" s="103"/>
      <c r="BI915" s="103"/>
      <c r="BJ915" s="103"/>
      <c r="BK915" s="103"/>
      <c r="BL915" s="103"/>
      <c r="BM915" s="103"/>
      <c r="BN915" s="103"/>
      <c r="BO915" s="103"/>
      <c r="BP915" s="103"/>
      <c r="BQ915" s="103"/>
      <c r="BR915" s="103"/>
      <c r="BS915" s="104"/>
      <c r="BT915" s="104"/>
      <c r="BU915" s="104"/>
      <c r="BV915" s="104"/>
      <c r="BW915" s="104"/>
      <c r="BX915" s="104"/>
      <c r="BY915" s="104"/>
      <c r="BZ915" s="104"/>
      <c r="CA915" s="104"/>
      <c r="CB915" s="104"/>
      <c r="CC915" s="103"/>
      <c r="CD915" s="103"/>
      <c r="CE915" s="103"/>
      <c r="CF915" s="103"/>
      <c r="CG915" s="103"/>
      <c r="CH915" s="133"/>
      <c r="CI915" s="133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O915" s="1"/>
      <c r="EP915" s="103"/>
      <c r="EQ915" s="103"/>
      <c r="ER915" s="1"/>
      <c r="ES915" s="103"/>
      <c r="ET915" s="1"/>
      <c r="EU915" s="1"/>
      <c r="EV915" s="1"/>
      <c r="EW915" s="105"/>
    </row>
    <row r="916" spans="9:153">
      <c r="I916" s="132"/>
      <c r="J916" s="133"/>
      <c r="K916" s="1"/>
      <c r="L916" s="1"/>
      <c r="Q916" s="1"/>
      <c r="R916" s="1"/>
      <c r="S916" s="103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53"/>
      <c r="AN916" s="103"/>
      <c r="AO916" s="103"/>
      <c r="AP916" s="103"/>
      <c r="AQ916" s="31"/>
      <c r="AR916" s="31"/>
      <c r="AS916" s="31"/>
      <c r="AT916" s="30"/>
      <c r="AU916" s="30"/>
      <c r="AV916" s="103"/>
      <c r="AW916" s="103"/>
      <c r="AX916" s="103"/>
      <c r="AY916" s="103"/>
      <c r="AZ916" s="103"/>
      <c r="BA916" s="103"/>
      <c r="BB916" s="104"/>
      <c r="BC916" s="102"/>
      <c r="BD916" s="102"/>
      <c r="BE916" s="102"/>
      <c r="BF916" s="104"/>
      <c r="BG916" s="152"/>
      <c r="BH916" s="103"/>
      <c r="BI916" s="103"/>
      <c r="BJ916" s="103"/>
      <c r="BK916" s="103"/>
      <c r="BL916" s="103"/>
      <c r="BM916" s="103"/>
      <c r="BN916" s="103"/>
      <c r="BO916" s="103"/>
      <c r="BP916" s="103"/>
      <c r="BQ916" s="103"/>
      <c r="BR916" s="103"/>
      <c r="BS916" s="104"/>
      <c r="BT916" s="104"/>
      <c r="BU916" s="104"/>
      <c r="BV916" s="104"/>
      <c r="BW916" s="104"/>
      <c r="BX916" s="104"/>
      <c r="BY916" s="104"/>
      <c r="BZ916" s="104"/>
      <c r="CA916" s="104"/>
      <c r="CB916" s="104"/>
      <c r="CC916" s="103"/>
      <c r="CD916" s="103"/>
      <c r="CE916" s="103"/>
      <c r="CF916" s="103"/>
      <c r="CG916" s="103"/>
      <c r="CH916" s="133"/>
      <c r="CI916" s="133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O916" s="1"/>
      <c r="EP916" s="103"/>
      <c r="EQ916" s="103"/>
      <c r="ER916" s="1"/>
      <c r="ES916" s="103"/>
      <c r="ET916" s="1"/>
      <c r="EU916" s="1"/>
      <c r="EV916" s="1"/>
      <c r="EW916" s="105"/>
    </row>
    <row r="917" spans="9:153">
      <c r="I917" s="132"/>
      <c r="J917" s="133"/>
      <c r="K917" s="1"/>
      <c r="L917" s="1"/>
      <c r="Q917" s="1"/>
      <c r="R917" s="1"/>
      <c r="S917" s="103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53"/>
      <c r="AN917" s="103"/>
      <c r="AO917" s="103"/>
      <c r="AP917" s="103"/>
      <c r="AQ917" s="31"/>
      <c r="AR917" s="31"/>
      <c r="AS917" s="31"/>
      <c r="AT917" s="30"/>
      <c r="AU917" s="30"/>
      <c r="AV917" s="103"/>
      <c r="AW917" s="103"/>
      <c r="AX917" s="103"/>
      <c r="AY917" s="103"/>
      <c r="AZ917" s="103"/>
      <c r="BA917" s="103"/>
      <c r="BB917" s="104"/>
      <c r="BC917" s="102"/>
      <c r="BD917" s="102"/>
      <c r="BE917" s="102"/>
      <c r="BF917" s="104"/>
      <c r="BG917" s="152"/>
      <c r="BH917" s="103"/>
      <c r="BI917" s="103"/>
      <c r="BJ917" s="103"/>
      <c r="BK917" s="103"/>
      <c r="BL917" s="103"/>
      <c r="BM917" s="103"/>
      <c r="BN917" s="103"/>
      <c r="BO917" s="103"/>
      <c r="BP917" s="103"/>
      <c r="BQ917" s="103"/>
      <c r="BR917" s="103"/>
      <c r="BS917" s="104"/>
      <c r="BT917" s="104"/>
      <c r="BU917" s="104"/>
      <c r="BV917" s="104"/>
      <c r="BW917" s="104"/>
      <c r="BX917" s="104"/>
      <c r="BY917" s="104"/>
      <c r="BZ917" s="104"/>
      <c r="CA917" s="104"/>
      <c r="CB917" s="104"/>
      <c r="CC917" s="103"/>
      <c r="CD917" s="103"/>
      <c r="CE917" s="103"/>
      <c r="CF917" s="103"/>
      <c r="CG917" s="103"/>
      <c r="CH917" s="133"/>
      <c r="CI917" s="133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O917" s="1"/>
      <c r="EP917" s="103"/>
      <c r="EQ917" s="103"/>
      <c r="ER917" s="1"/>
      <c r="ES917" s="103"/>
      <c r="ET917" s="1"/>
      <c r="EU917" s="1"/>
      <c r="EV917" s="1"/>
      <c r="EW917" s="105"/>
    </row>
    <row r="918" spans="9:153">
      <c r="I918" s="132"/>
      <c r="J918" s="133"/>
      <c r="K918" s="1"/>
      <c r="L918" s="1"/>
      <c r="Q918" s="1"/>
      <c r="R918" s="1"/>
      <c r="S918" s="103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53"/>
      <c r="AN918" s="103"/>
      <c r="AO918" s="103"/>
      <c r="AP918" s="103"/>
      <c r="AQ918" s="31"/>
      <c r="AR918" s="31"/>
      <c r="AS918" s="31"/>
      <c r="AT918" s="30"/>
      <c r="AU918" s="30"/>
      <c r="AV918" s="103"/>
      <c r="AW918" s="103"/>
      <c r="AX918" s="103"/>
      <c r="AY918" s="103"/>
      <c r="AZ918" s="103"/>
      <c r="BA918" s="103"/>
      <c r="BB918" s="104"/>
      <c r="BC918" s="102"/>
      <c r="BD918" s="102"/>
      <c r="BE918" s="102"/>
      <c r="BF918" s="104"/>
      <c r="BG918" s="152"/>
      <c r="BH918" s="103"/>
      <c r="BI918" s="103"/>
      <c r="BJ918" s="103"/>
      <c r="BK918" s="103"/>
      <c r="BL918" s="103"/>
      <c r="BM918" s="103"/>
      <c r="BN918" s="103"/>
      <c r="BO918" s="103"/>
      <c r="BP918" s="103"/>
      <c r="BQ918" s="103"/>
      <c r="BR918" s="103"/>
      <c r="BS918" s="104"/>
      <c r="BT918" s="104"/>
      <c r="BU918" s="104"/>
      <c r="BV918" s="104"/>
      <c r="BW918" s="104"/>
      <c r="BX918" s="104"/>
      <c r="BY918" s="104"/>
      <c r="BZ918" s="104"/>
      <c r="CA918" s="104"/>
      <c r="CB918" s="104"/>
      <c r="CC918" s="103"/>
      <c r="CD918" s="103"/>
      <c r="CE918" s="103"/>
      <c r="CF918" s="103"/>
      <c r="CG918" s="103"/>
      <c r="CH918" s="133"/>
      <c r="CI918" s="133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O918" s="1"/>
      <c r="EP918" s="103"/>
      <c r="EQ918" s="103"/>
      <c r="ER918" s="1"/>
      <c r="ES918" s="103"/>
      <c r="ET918" s="1"/>
      <c r="EU918" s="1"/>
      <c r="EV918" s="1"/>
      <c r="EW918" s="105"/>
    </row>
    <row r="919" spans="9:153">
      <c r="I919" s="132"/>
      <c r="J919" s="133"/>
      <c r="K919" s="1"/>
      <c r="L919" s="1"/>
      <c r="Q919" s="1"/>
      <c r="R919" s="1"/>
      <c r="S919" s="103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53"/>
      <c r="AN919" s="103"/>
      <c r="AO919" s="103"/>
      <c r="AP919" s="103"/>
      <c r="AQ919" s="31"/>
      <c r="AR919" s="31"/>
      <c r="AS919" s="31"/>
      <c r="AT919" s="30"/>
      <c r="AU919" s="30"/>
      <c r="AV919" s="103"/>
      <c r="AW919" s="103"/>
      <c r="AX919" s="103"/>
      <c r="AY919" s="103"/>
      <c r="AZ919" s="103"/>
      <c r="BA919" s="103"/>
      <c r="BB919" s="104"/>
      <c r="BC919" s="102"/>
      <c r="BD919" s="102"/>
      <c r="BE919" s="102"/>
      <c r="BF919" s="104"/>
      <c r="BG919" s="152"/>
      <c r="BH919" s="103"/>
      <c r="BI919" s="103"/>
      <c r="BJ919" s="103"/>
      <c r="BK919" s="103"/>
      <c r="BL919" s="103"/>
      <c r="BM919" s="103"/>
      <c r="BN919" s="103"/>
      <c r="BO919" s="103"/>
      <c r="BP919" s="103"/>
      <c r="BQ919" s="103"/>
      <c r="BR919" s="103"/>
      <c r="BS919" s="104"/>
      <c r="BT919" s="104"/>
      <c r="BU919" s="104"/>
      <c r="BV919" s="104"/>
      <c r="BW919" s="104"/>
      <c r="BX919" s="104"/>
      <c r="BY919" s="104"/>
      <c r="BZ919" s="104"/>
      <c r="CA919" s="104"/>
      <c r="CB919" s="104"/>
      <c r="CC919" s="103"/>
      <c r="CD919" s="103"/>
      <c r="CE919" s="103"/>
      <c r="CF919" s="103"/>
      <c r="CG919" s="103"/>
      <c r="CH919" s="133"/>
      <c r="CI919" s="133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O919" s="1"/>
      <c r="EP919" s="103"/>
      <c r="EQ919" s="103"/>
      <c r="ER919" s="1"/>
      <c r="ES919" s="103"/>
      <c r="ET919" s="1"/>
      <c r="EU919" s="1"/>
      <c r="EV919" s="1"/>
      <c r="EW919" s="105"/>
    </row>
    <row r="920" spans="9:153">
      <c r="I920" s="132"/>
      <c r="J920" s="133"/>
      <c r="K920" s="1"/>
      <c r="L920" s="1"/>
      <c r="Q920" s="1"/>
      <c r="R920" s="1"/>
      <c r="S920" s="103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53"/>
      <c r="AN920" s="103"/>
      <c r="AO920" s="103"/>
      <c r="AP920" s="103"/>
      <c r="AQ920" s="31"/>
      <c r="AR920" s="31"/>
      <c r="AS920" s="31"/>
      <c r="AT920" s="30"/>
      <c r="AU920" s="30"/>
      <c r="AV920" s="103"/>
      <c r="AW920" s="103"/>
      <c r="AX920" s="103"/>
      <c r="AY920" s="103"/>
      <c r="AZ920" s="103"/>
      <c r="BA920" s="103"/>
      <c r="BB920" s="104"/>
      <c r="BC920" s="102"/>
      <c r="BD920" s="102"/>
      <c r="BE920" s="102"/>
      <c r="BF920" s="104"/>
      <c r="BG920" s="152"/>
      <c r="BH920" s="103"/>
      <c r="BI920" s="103"/>
      <c r="BJ920" s="103"/>
      <c r="BK920" s="103"/>
      <c r="BL920" s="103"/>
      <c r="BM920" s="103"/>
      <c r="BN920" s="103"/>
      <c r="BO920" s="103"/>
      <c r="BP920" s="103"/>
      <c r="BQ920" s="103"/>
      <c r="BR920" s="103"/>
      <c r="BS920" s="104"/>
      <c r="BT920" s="104"/>
      <c r="BU920" s="104"/>
      <c r="BV920" s="104"/>
      <c r="BW920" s="104"/>
      <c r="BX920" s="104"/>
      <c r="BY920" s="104"/>
      <c r="BZ920" s="104"/>
      <c r="CA920" s="104"/>
      <c r="CB920" s="104"/>
      <c r="CC920" s="103"/>
      <c r="CD920" s="103"/>
      <c r="CE920" s="103"/>
      <c r="CF920" s="103"/>
      <c r="CG920" s="103"/>
      <c r="CH920" s="133"/>
      <c r="CI920" s="133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O920" s="1"/>
      <c r="EP920" s="103"/>
      <c r="EQ920" s="103"/>
      <c r="ER920" s="1"/>
      <c r="ES920" s="103"/>
      <c r="ET920" s="1"/>
      <c r="EU920" s="1"/>
      <c r="EV920" s="1"/>
      <c r="EW920" s="105"/>
    </row>
    <row r="921" spans="9:153">
      <c r="I921" s="132"/>
      <c r="J921" s="133"/>
      <c r="K921" s="1"/>
      <c r="L921" s="1"/>
      <c r="Q921" s="1"/>
      <c r="R921" s="1"/>
      <c r="S921" s="103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53"/>
      <c r="AN921" s="103"/>
      <c r="AO921" s="103"/>
      <c r="AP921" s="103"/>
      <c r="AQ921" s="31"/>
      <c r="AR921" s="31"/>
      <c r="AS921" s="31"/>
      <c r="AT921" s="30"/>
      <c r="AU921" s="30"/>
      <c r="AV921" s="103"/>
      <c r="AW921" s="103"/>
      <c r="AX921" s="103"/>
      <c r="AY921" s="103"/>
      <c r="AZ921" s="103"/>
      <c r="BA921" s="103"/>
      <c r="BB921" s="104"/>
      <c r="BC921" s="102"/>
      <c r="BD921" s="102"/>
      <c r="BE921" s="102"/>
      <c r="BF921" s="104"/>
      <c r="BG921" s="152"/>
      <c r="BH921" s="103"/>
      <c r="BI921" s="103"/>
      <c r="BJ921" s="103"/>
      <c r="BK921" s="103"/>
      <c r="BL921" s="103"/>
      <c r="BM921" s="103"/>
      <c r="BN921" s="103"/>
      <c r="BO921" s="103"/>
      <c r="BP921" s="103"/>
      <c r="BQ921" s="103"/>
      <c r="BR921" s="103"/>
      <c r="BS921" s="104"/>
      <c r="BT921" s="104"/>
      <c r="BU921" s="104"/>
      <c r="BV921" s="104"/>
      <c r="BW921" s="104"/>
      <c r="BX921" s="104"/>
      <c r="BY921" s="104"/>
      <c r="BZ921" s="104"/>
      <c r="CA921" s="104"/>
      <c r="CB921" s="104"/>
      <c r="CC921" s="103"/>
      <c r="CD921" s="103"/>
      <c r="CE921" s="103"/>
      <c r="CF921" s="103"/>
      <c r="CG921" s="103"/>
      <c r="CH921" s="133"/>
      <c r="CI921" s="133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O921" s="1"/>
      <c r="EP921" s="103"/>
      <c r="EQ921" s="103"/>
      <c r="ER921" s="1"/>
      <c r="ES921" s="103"/>
      <c r="ET921" s="1"/>
      <c r="EU921" s="1"/>
      <c r="EV921" s="1"/>
      <c r="EW921" s="105"/>
    </row>
    <row r="922" spans="9:153">
      <c r="I922" s="132"/>
      <c r="J922" s="133"/>
      <c r="K922" s="1"/>
      <c r="L922" s="1"/>
      <c r="Q922" s="1"/>
      <c r="R922" s="1"/>
      <c r="S922" s="103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53"/>
      <c r="AN922" s="103"/>
      <c r="AO922" s="103"/>
      <c r="AP922" s="103"/>
      <c r="AQ922" s="31"/>
      <c r="AR922" s="31"/>
      <c r="AS922" s="31"/>
      <c r="AT922" s="30"/>
      <c r="AU922" s="30"/>
      <c r="AV922" s="103"/>
      <c r="AW922" s="103"/>
      <c r="AX922" s="103"/>
      <c r="AY922" s="103"/>
      <c r="AZ922" s="103"/>
      <c r="BA922" s="103"/>
      <c r="BB922" s="104"/>
      <c r="BC922" s="102"/>
      <c r="BD922" s="102"/>
      <c r="BE922" s="102"/>
      <c r="BF922" s="104"/>
      <c r="BG922" s="152"/>
      <c r="BH922" s="103"/>
      <c r="BI922" s="103"/>
      <c r="BJ922" s="103"/>
      <c r="BK922" s="103"/>
      <c r="BL922" s="103"/>
      <c r="BM922" s="103"/>
      <c r="BN922" s="103"/>
      <c r="BO922" s="103"/>
      <c r="BP922" s="103"/>
      <c r="BQ922" s="103"/>
      <c r="BR922" s="103"/>
      <c r="BS922" s="104"/>
      <c r="BT922" s="104"/>
      <c r="BU922" s="104"/>
      <c r="BV922" s="104"/>
      <c r="BW922" s="104"/>
      <c r="BX922" s="104"/>
      <c r="BY922" s="104"/>
      <c r="BZ922" s="104"/>
      <c r="CA922" s="104"/>
      <c r="CB922" s="104"/>
      <c r="CC922" s="103"/>
      <c r="CD922" s="103"/>
      <c r="CE922" s="103"/>
      <c r="CF922" s="103"/>
      <c r="CG922" s="103"/>
      <c r="CH922" s="133"/>
      <c r="CI922" s="133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O922" s="1"/>
      <c r="EP922" s="103"/>
      <c r="EQ922" s="103"/>
      <c r="ER922" s="1"/>
      <c r="ES922" s="103"/>
      <c r="ET922" s="1"/>
      <c r="EU922" s="1"/>
      <c r="EV922" s="1"/>
      <c r="EW922" s="105"/>
    </row>
    <row r="923" spans="9:153">
      <c r="I923" s="132"/>
      <c r="J923" s="133"/>
      <c r="K923" s="1"/>
      <c r="L923" s="1"/>
      <c r="Q923" s="1"/>
      <c r="R923" s="1"/>
      <c r="S923" s="103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53"/>
      <c r="AN923" s="103"/>
      <c r="AO923" s="103"/>
      <c r="AP923" s="103"/>
      <c r="AQ923" s="31"/>
      <c r="AR923" s="31"/>
      <c r="AS923" s="31"/>
      <c r="AT923" s="30"/>
      <c r="AU923" s="30"/>
      <c r="AV923" s="103"/>
      <c r="AW923" s="103"/>
      <c r="AX923" s="103"/>
      <c r="AY923" s="103"/>
      <c r="AZ923" s="103"/>
      <c r="BA923" s="103"/>
      <c r="BB923" s="104"/>
      <c r="BC923" s="102"/>
      <c r="BD923" s="102"/>
      <c r="BE923" s="102"/>
      <c r="BF923" s="104"/>
      <c r="BG923" s="152"/>
      <c r="BH923" s="103"/>
      <c r="BI923" s="103"/>
      <c r="BJ923" s="103"/>
      <c r="BK923" s="103"/>
      <c r="BL923" s="103"/>
      <c r="BM923" s="103"/>
      <c r="BN923" s="103"/>
      <c r="BO923" s="103"/>
      <c r="BP923" s="103"/>
      <c r="BQ923" s="103"/>
      <c r="BR923" s="103"/>
      <c r="BS923" s="104"/>
      <c r="BT923" s="104"/>
      <c r="BU923" s="104"/>
      <c r="BV923" s="104"/>
      <c r="BW923" s="104"/>
      <c r="BX923" s="104"/>
      <c r="BY923" s="104"/>
      <c r="BZ923" s="104"/>
      <c r="CA923" s="104"/>
      <c r="CB923" s="104"/>
      <c r="CC923" s="103"/>
      <c r="CD923" s="103"/>
      <c r="CE923" s="103"/>
      <c r="CF923" s="103"/>
      <c r="CG923" s="103"/>
      <c r="CH923" s="133"/>
      <c r="CI923" s="133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O923" s="1"/>
      <c r="EP923" s="103"/>
      <c r="EQ923" s="103"/>
      <c r="ER923" s="1"/>
      <c r="ES923" s="103"/>
      <c r="ET923" s="1"/>
      <c r="EU923" s="1"/>
      <c r="EV923" s="1"/>
      <c r="EW923" s="105"/>
    </row>
    <row r="924" spans="9:153">
      <c r="I924" s="132"/>
      <c r="J924" s="133"/>
      <c r="K924" s="1"/>
      <c r="L924" s="1"/>
      <c r="Q924" s="1"/>
      <c r="R924" s="1"/>
      <c r="S924" s="103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53"/>
      <c r="AN924" s="103"/>
      <c r="AO924" s="103"/>
      <c r="AP924" s="103"/>
      <c r="AQ924" s="31"/>
      <c r="AR924" s="31"/>
      <c r="AS924" s="31"/>
      <c r="AT924" s="30"/>
      <c r="AU924" s="30"/>
      <c r="AV924" s="103"/>
      <c r="AW924" s="103"/>
      <c r="AX924" s="103"/>
      <c r="AY924" s="103"/>
      <c r="AZ924" s="103"/>
      <c r="BA924" s="103"/>
      <c r="BB924" s="104"/>
      <c r="BC924" s="102"/>
      <c r="BD924" s="102"/>
      <c r="BE924" s="102"/>
      <c r="BF924" s="104"/>
      <c r="BG924" s="152"/>
      <c r="BH924" s="103"/>
      <c r="BI924" s="103"/>
      <c r="BJ924" s="103"/>
      <c r="BK924" s="103"/>
      <c r="BL924" s="103"/>
      <c r="BM924" s="103"/>
      <c r="BN924" s="103"/>
      <c r="BO924" s="103"/>
      <c r="BP924" s="103"/>
      <c r="BQ924" s="103"/>
      <c r="BR924" s="103"/>
      <c r="BS924" s="104"/>
      <c r="BT924" s="104"/>
      <c r="BU924" s="104"/>
      <c r="BV924" s="104"/>
      <c r="BW924" s="104"/>
      <c r="BX924" s="104"/>
      <c r="BY924" s="104"/>
      <c r="BZ924" s="104"/>
      <c r="CA924" s="104"/>
      <c r="CB924" s="104"/>
      <c r="CC924" s="103"/>
      <c r="CD924" s="103"/>
      <c r="CE924" s="103"/>
      <c r="CF924" s="103"/>
      <c r="CG924" s="103"/>
      <c r="CH924" s="133"/>
      <c r="CI924" s="133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O924" s="1"/>
      <c r="EP924" s="103"/>
      <c r="EQ924" s="103"/>
      <c r="ER924" s="1"/>
      <c r="ES924" s="103"/>
      <c r="ET924" s="1"/>
      <c r="EU924" s="1"/>
      <c r="EV924" s="1"/>
      <c r="EW924" s="105"/>
    </row>
    <row r="925" spans="9:153">
      <c r="I925" s="132"/>
      <c r="J925" s="133"/>
      <c r="K925" s="1"/>
      <c r="L925" s="1"/>
      <c r="Q925" s="1"/>
      <c r="R925" s="1"/>
      <c r="S925" s="103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53"/>
      <c r="AN925" s="103"/>
      <c r="AO925" s="103"/>
      <c r="AP925" s="103"/>
      <c r="AQ925" s="31"/>
      <c r="AR925" s="31"/>
      <c r="AS925" s="31"/>
      <c r="AT925" s="30"/>
      <c r="AU925" s="30"/>
      <c r="AV925" s="103"/>
      <c r="AW925" s="103"/>
      <c r="AX925" s="103"/>
      <c r="AY925" s="103"/>
      <c r="AZ925" s="103"/>
      <c r="BA925" s="103"/>
      <c r="BB925" s="104"/>
      <c r="BC925" s="102"/>
      <c r="BD925" s="102"/>
      <c r="BE925" s="102"/>
      <c r="BF925" s="104"/>
      <c r="BG925" s="152"/>
      <c r="BH925" s="103"/>
      <c r="BI925" s="103"/>
      <c r="BJ925" s="103"/>
      <c r="BK925" s="103"/>
      <c r="BL925" s="103"/>
      <c r="BM925" s="103"/>
      <c r="BN925" s="103"/>
      <c r="BO925" s="103"/>
      <c r="BP925" s="103"/>
      <c r="BQ925" s="103"/>
      <c r="BR925" s="103"/>
      <c r="BS925" s="104"/>
      <c r="BT925" s="104"/>
      <c r="BU925" s="104"/>
      <c r="BV925" s="104"/>
      <c r="BW925" s="104"/>
      <c r="BX925" s="104"/>
      <c r="BY925" s="104"/>
      <c r="BZ925" s="104"/>
      <c r="CA925" s="104"/>
      <c r="CB925" s="104"/>
      <c r="CC925" s="103"/>
      <c r="CD925" s="103"/>
      <c r="CE925" s="103"/>
      <c r="CF925" s="103"/>
      <c r="CG925" s="103"/>
      <c r="CH925" s="133"/>
      <c r="CI925" s="133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O925" s="1"/>
      <c r="EP925" s="103"/>
      <c r="EQ925" s="103"/>
      <c r="ER925" s="1"/>
      <c r="ES925" s="103"/>
      <c r="ET925" s="1"/>
      <c r="EU925" s="1"/>
      <c r="EV925" s="1"/>
      <c r="EW925" s="105"/>
    </row>
    <row r="926" spans="9:153">
      <c r="I926" s="132"/>
      <c r="J926" s="133"/>
      <c r="K926" s="1"/>
      <c r="L926" s="1"/>
      <c r="Q926" s="1"/>
      <c r="R926" s="1"/>
      <c r="S926" s="103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53"/>
      <c r="AN926" s="103"/>
      <c r="AO926" s="103"/>
      <c r="AP926" s="103"/>
      <c r="AQ926" s="31"/>
      <c r="AR926" s="31"/>
      <c r="AS926" s="31"/>
      <c r="AT926" s="30"/>
      <c r="AU926" s="30"/>
      <c r="AV926" s="103"/>
      <c r="AW926" s="103"/>
      <c r="AX926" s="103"/>
      <c r="AY926" s="103"/>
      <c r="AZ926" s="103"/>
      <c r="BA926" s="103"/>
      <c r="BB926" s="104"/>
      <c r="BC926" s="102"/>
      <c r="BD926" s="102"/>
      <c r="BE926" s="102"/>
      <c r="BF926" s="104"/>
      <c r="BG926" s="152"/>
      <c r="BH926" s="103"/>
      <c r="BI926" s="103"/>
      <c r="BJ926" s="103"/>
      <c r="BK926" s="103"/>
      <c r="BL926" s="103"/>
      <c r="BM926" s="103"/>
      <c r="BN926" s="103"/>
      <c r="BO926" s="103"/>
      <c r="BP926" s="103"/>
      <c r="BQ926" s="103"/>
      <c r="BR926" s="103"/>
      <c r="BS926" s="104"/>
      <c r="BT926" s="104"/>
      <c r="BU926" s="104"/>
      <c r="BV926" s="104"/>
      <c r="BW926" s="104"/>
      <c r="BX926" s="104"/>
      <c r="BY926" s="104"/>
      <c r="BZ926" s="104"/>
      <c r="CA926" s="104"/>
      <c r="CB926" s="104"/>
      <c r="CC926" s="103"/>
      <c r="CD926" s="103"/>
      <c r="CE926" s="103"/>
      <c r="CF926" s="103"/>
      <c r="CG926" s="103"/>
      <c r="CH926" s="133"/>
      <c r="CI926" s="133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O926" s="1"/>
      <c r="EP926" s="103"/>
      <c r="EQ926" s="103"/>
      <c r="ER926" s="1"/>
      <c r="ES926" s="103"/>
      <c r="ET926" s="1"/>
      <c r="EU926" s="1"/>
      <c r="EV926" s="1"/>
      <c r="EW926" s="105"/>
    </row>
    <row r="927" spans="9:153">
      <c r="I927" s="132"/>
      <c r="J927" s="133"/>
      <c r="K927" s="1"/>
      <c r="L927" s="1"/>
      <c r="Q927" s="1"/>
      <c r="R927" s="1"/>
      <c r="S927" s="103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53"/>
      <c r="AN927" s="103"/>
      <c r="AO927" s="103"/>
      <c r="AP927" s="103"/>
      <c r="AQ927" s="31"/>
      <c r="AR927" s="31"/>
      <c r="AS927" s="31"/>
      <c r="AT927" s="30"/>
      <c r="AU927" s="30"/>
      <c r="AV927" s="103"/>
      <c r="AW927" s="103"/>
      <c r="AX927" s="103"/>
      <c r="AY927" s="103"/>
      <c r="AZ927" s="103"/>
      <c r="BA927" s="103"/>
      <c r="BB927" s="104"/>
      <c r="BC927" s="102"/>
      <c r="BD927" s="102"/>
      <c r="BE927" s="102"/>
      <c r="BF927" s="104"/>
      <c r="BG927" s="152"/>
      <c r="BH927" s="103"/>
      <c r="BI927" s="103"/>
      <c r="BJ927" s="103"/>
      <c r="BK927" s="103"/>
      <c r="BL927" s="103"/>
      <c r="BM927" s="103"/>
      <c r="BN927" s="103"/>
      <c r="BO927" s="103"/>
      <c r="BP927" s="103"/>
      <c r="BQ927" s="103"/>
      <c r="BR927" s="103"/>
      <c r="BS927" s="104"/>
      <c r="BT927" s="104"/>
      <c r="BU927" s="104"/>
      <c r="BV927" s="104"/>
      <c r="BW927" s="104"/>
      <c r="BX927" s="104"/>
      <c r="BY927" s="104"/>
      <c r="BZ927" s="104"/>
      <c r="CA927" s="104"/>
      <c r="CB927" s="104"/>
      <c r="CC927" s="103"/>
      <c r="CD927" s="103"/>
      <c r="CE927" s="103"/>
      <c r="CF927" s="103"/>
      <c r="CG927" s="103"/>
      <c r="CH927" s="133"/>
      <c r="CI927" s="133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O927" s="1"/>
      <c r="EP927" s="103"/>
      <c r="EQ927" s="103"/>
      <c r="ER927" s="1"/>
      <c r="ES927" s="103"/>
      <c r="ET927" s="1"/>
      <c r="EU927" s="1"/>
      <c r="EV927" s="1"/>
      <c r="EW927" s="105"/>
    </row>
    <row r="928" spans="9:153">
      <c r="I928" s="132"/>
      <c r="J928" s="133"/>
      <c r="K928" s="1"/>
      <c r="L928" s="1"/>
      <c r="Q928" s="1"/>
      <c r="R928" s="1"/>
      <c r="S928" s="103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53"/>
      <c r="AN928" s="103"/>
      <c r="AO928" s="103"/>
      <c r="AP928" s="103"/>
      <c r="AQ928" s="31"/>
      <c r="AR928" s="31"/>
      <c r="AS928" s="31"/>
      <c r="AT928" s="30"/>
      <c r="AU928" s="30"/>
      <c r="AV928" s="103"/>
      <c r="AW928" s="103"/>
      <c r="AX928" s="103"/>
      <c r="AY928" s="103"/>
      <c r="AZ928" s="103"/>
      <c r="BA928" s="103"/>
      <c r="BB928" s="104"/>
      <c r="BC928" s="102"/>
      <c r="BD928" s="102"/>
      <c r="BE928" s="102"/>
      <c r="BF928" s="104"/>
      <c r="BG928" s="152"/>
      <c r="BH928" s="103"/>
      <c r="BI928" s="103"/>
      <c r="BJ928" s="103"/>
      <c r="BK928" s="103"/>
      <c r="BL928" s="103"/>
      <c r="BM928" s="103"/>
      <c r="BN928" s="103"/>
      <c r="BO928" s="103"/>
      <c r="BP928" s="103"/>
      <c r="BQ928" s="103"/>
      <c r="BR928" s="103"/>
      <c r="BS928" s="104"/>
      <c r="BT928" s="104"/>
      <c r="BU928" s="104"/>
      <c r="BV928" s="104"/>
      <c r="BW928" s="104"/>
      <c r="BX928" s="104"/>
      <c r="BY928" s="104"/>
      <c r="BZ928" s="104"/>
      <c r="CA928" s="104"/>
      <c r="CB928" s="104"/>
      <c r="CC928" s="103"/>
      <c r="CD928" s="103"/>
      <c r="CE928" s="103"/>
      <c r="CF928" s="103"/>
      <c r="CG928" s="103"/>
      <c r="CH928" s="133"/>
      <c r="CI928" s="133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O928" s="1"/>
      <c r="EP928" s="103"/>
      <c r="EQ928" s="103"/>
      <c r="ER928" s="1"/>
      <c r="ES928" s="103"/>
      <c r="ET928" s="1"/>
      <c r="EU928" s="1"/>
      <c r="EV928" s="1"/>
      <c r="EW928" s="105"/>
    </row>
    <row r="929" spans="9:153">
      <c r="I929" s="132"/>
      <c r="J929" s="133"/>
      <c r="K929" s="1"/>
      <c r="L929" s="1"/>
      <c r="Q929" s="1"/>
      <c r="R929" s="1"/>
      <c r="S929" s="103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53"/>
      <c r="AN929" s="103"/>
      <c r="AO929" s="103"/>
      <c r="AP929" s="103"/>
      <c r="AQ929" s="31"/>
      <c r="AR929" s="31"/>
      <c r="AS929" s="31"/>
      <c r="AT929" s="30"/>
      <c r="AU929" s="30"/>
      <c r="AV929" s="103"/>
      <c r="AW929" s="103"/>
      <c r="AX929" s="103"/>
      <c r="AY929" s="103"/>
      <c r="AZ929" s="103"/>
      <c r="BA929" s="103"/>
      <c r="BB929" s="104"/>
      <c r="BC929" s="102"/>
      <c r="BD929" s="102"/>
      <c r="BE929" s="102"/>
      <c r="BF929" s="104"/>
      <c r="BG929" s="152"/>
      <c r="BH929" s="103"/>
      <c r="BI929" s="103"/>
      <c r="BJ929" s="103"/>
      <c r="BK929" s="103"/>
      <c r="BL929" s="103"/>
      <c r="BM929" s="103"/>
      <c r="BN929" s="103"/>
      <c r="BO929" s="103"/>
      <c r="BP929" s="103"/>
      <c r="BQ929" s="103"/>
      <c r="BR929" s="103"/>
      <c r="BS929" s="104"/>
      <c r="BT929" s="104"/>
      <c r="BU929" s="104"/>
      <c r="BV929" s="104"/>
      <c r="BW929" s="104"/>
      <c r="BX929" s="104"/>
      <c r="BY929" s="104"/>
      <c r="BZ929" s="104"/>
      <c r="CA929" s="104"/>
      <c r="CB929" s="104"/>
      <c r="CC929" s="103"/>
      <c r="CD929" s="103"/>
      <c r="CE929" s="103"/>
      <c r="CF929" s="103"/>
      <c r="CG929" s="103"/>
      <c r="CH929" s="133"/>
      <c r="CI929" s="133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O929" s="1"/>
      <c r="EP929" s="103"/>
      <c r="EQ929" s="103"/>
      <c r="ER929" s="1"/>
      <c r="ES929" s="103"/>
      <c r="ET929" s="1"/>
      <c r="EU929" s="1"/>
      <c r="EV929" s="1"/>
      <c r="EW929" s="105"/>
    </row>
    <row r="930" spans="9:153">
      <c r="I930" s="132"/>
      <c r="J930" s="133"/>
      <c r="K930" s="1"/>
      <c r="L930" s="1"/>
      <c r="Q930" s="1"/>
      <c r="R930" s="1"/>
      <c r="S930" s="103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53"/>
      <c r="AN930" s="103"/>
      <c r="AO930" s="103"/>
      <c r="AP930" s="103"/>
      <c r="AQ930" s="31"/>
      <c r="AR930" s="31"/>
      <c r="AS930" s="31"/>
      <c r="AT930" s="30"/>
      <c r="AU930" s="30"/>
      <c r="AV930" s="103"/>
      <c r="AW930" s="103"/>
      <c r="AX930" s="103"/>
      <c r="AY930" s="103"/>
      <c r="AZ930" s="103"/>
      <c r="BA930" s="103"/>
      <c r="BB930" s="104"/>
      <c r="BC930" s="102"/>
      <c r="BD930" s="102"/>
      <c r="BE930" s="102"/>
      <c r="BF930" s="104"/>
      <c r="BG930" s="152"/>
      <c r="BH930" s="103"/>
      <c r="BI930" s="103"/>
      <c r="BJ930" s="103"/>
      <c r="BK930" s="103"/>
      <c r="BL930" s="103"/>
      <c r="BM930" s="103"/>
      <c r="BN930" s="103"/>
      <c r="BO930" s="103"/>
      <c r="BP930" s="103"/>
      <c r="BQ930" s="103"/>
      <c r="BR930" s="103"/>
      <c r="BS930" s="104"/>
      <c r="BT930" s="104"/>
      <c r="BU930" s="104"/>
      <c r="BV930" s="104"/>
      <c r="BW930" s="104"/>
      <c r="BX930" s="104"/>
      <c r="BY930" s="104"/>
      <c r="BZ930" s="104"/>
      <c r="CA930" s="104"/>
      <c r="CB930" s="104"/>
      <c r="CC930" s="103"/>
      <c r="CD930" s="103"/>
      <c r="CE930" s="103"/>
      <c r="CF930" s="103"/>
      <c r="CG930" s="103"/>
      <c r="CH930" s="133"/>
      <c r="CI930" s="133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O930" s="1"/>
      <c r="EP930" s="103"/>
      <c r="EQ930" s="103"/>
      <c r="ER930" s="1"/>
      <c r="ES930" s="103"/>
      <c r="ET930" s="1"/>
      <c r="EU930" s="1"/>
      <c r="EV930" s="1"/>
      <c r="EW930" s="105"/>
    </row>
    <row r="931" spans="9:153">
      <c r="I931" s="132"/>
      <c r="J931" s="133"/>
      <c r="K931" s="1"/>
      <c r="L931" s="1"/>
      <c r="Q931" s="1"/>
      <c r="R931" s="1"/>
      <c r="S931" s="103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53"/>
      <c r="AN931" s="103"/>
      <c r="AO931" s="103"/>
      <c r="AP931" s="103"/>
      <c r="AQ931" s="31"/>
      <c r="AR931" s="31"/>
      <c r="AS931" s="31"/>
      <c r="AT931" s="30"/>
      <c r="AU931" s="30"/>
      <c r="AV931" s="103"/>
      <c r="AW931" s="103"/>
      <c r="AX931" s="103"/>
      <c r="AY931" s="103"/>
      <c r="AZ931" s="103"/>
      <c r="BA931" s="103"/>
      <c r="BB931" s="104"/>
      <c r="BC931" s="102"/>
      <c r="BD931" s="102"/>
      <c r="BE931" s="102"/>
      <c r="BF931" s="104"/>
      <c r="BG931" s="152"/>
      <c r="BH931" s="103"/>
      <c r="BI931" s="103"/>
      <c r="BJ931" s="103"/>
      <c r="BK931" s="103"/>
      <c r="BL931" s="103"/>
      <c r="BM931" s="103"/>
      <c r="BN931" s="103"/>
      <c r="BO931" s="103"/>
      <c r="BP931" s="103"/>
      <c r="BQ931" s="103"/>
      <c r="BR931" s="103"/>
      <c r="BS931" s="104"/>
      <c r="BT931" s="104"/>
      <c r="BU931" s="104"/>
      <c r="BV931" s="104"/>
      <c r="BW931" s="104"/>
      <c r="BX931" s="104"/>
      <c r="BY931" s="104"/>
      <c r="BZ931" s="104"/>
      <c r="CA931" s="104"/>
      <c r="CB931" s="104"/>
      <c r="CC931" s="103"/>
      <c r="CD931" s="103"/>
      <c r="CE931" s="103"/>
      <c r="CF931" s="103"/>
      <c r="CG931" s="103"/>
      <c r="CH931" s="133"/>
      <c r="CI931" s="133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O931" s="1"/>
      <c r="EP931" s="103"/>
      <c r="EQ931" s="103"/>
      <c r="ER931" s="1"/>
      <c r="ES931" s="103"/>
      <c r="ET931" s="1"/>
      <c r="EU931" s="1"/>
      <c r="EV931" s="1"/>
      <c r="EW931" s="105"/>
    </row>
    <row r="932" spans="9:153">
      <c r="I932" s="132"/>
      <c r="J932" s="133"/>
      <c r="K932" s="1"/>
      <c r="L932" s="1"/>
      <c r="Q932" s="1"/>
      <c r="R932" s="1"/>
      <c r="S932" s="103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53"/>
      <c r="AN932" s="103"/>
      <c r="AO932" s="103"/>
      <c r="AP932" s="103"/>
      <c r="AQ932" s="31"/>
      <c r="AR932" s="31"/>
      <c r="AS932" s="31"/>
      <c r="AT932" s="30"/>
      <c r="AU932" s="30"/>
      <c r="AV932" s="103"/>
      <c r="AW932" s="103"/>
      <c r="AX932" s="103"/>
      <c r="AY932" s="103"/>
      <c r="AZ932" s="103"/>
      <c r="BA932" s="103"/>
      <c r="BB932" s="104"/>
      <c r="BC932" s="102"/>
      <c r="BD932" s="102"/>
      <c r="BE932" s="102"/>
      <c r="BF932" s="104"/>
      <c r="BG932" s="152"/>
      <c r="BH932" s="103"/>
      <c r="BI932" s="103"/>
      <c r="BJ932" s="103"/>
      <c r="BK932" s="103"/>
      <c r="BL932" s="103"/>
      <c r="BM932" s="103"/>
      <c r="BN932" s="103"/>
      <c r="BO932" s="103"/>
      <c r="BP932" s="103"/>
      <c r="BQ932" s="103"/>
      <c r="BR932" s="103"/>
      <c r="BS932" s="104"/>
      <c r="BT932" s="104"/>
      <c r="BU932" s="104"/>
      <c r="BV932" s="104"/>
      <c r="BW932" s="104"/>
      <c r="BX932" s="104"/>
      <c r="BY932" s="104"/>
      <c r="BZ932" s="104"/>
      <c r="CA932" s="104"/>
      <c r="CB932" s="104"/>
      <c r="CC932" s="103"/>
      <c r="CD932" s="103"/>
      <c r="CE932" s="103"/>
      <c r="CF932" s="103"/>
      <c r="CG932" s="103"/>
      <c r="CH932" s="133"/>
      <c r="CI932" s="133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O932" s="1"/>
      <c r="EP932" s="103"/>
      <c r="EQ932" s="103"/>
      <c r="ER932" s="1"/>
      <c r="ES932" s="103"/>
      <c r="ET932" s="1"/>
      <c r="EU932" s="1"/>
      <c r="EV932" s="1"/>
      <c r="EW932" s="105"/>
    </row>
    <row r="933" spans="9:153">
      <c r="I933" s="132"/>
      <c r="J933" s="133"/>
      <c r="K933" s="1"/>
      <c r="L933" s="1"/>
      <c r="Q933" s="1"/>
      <c r="R933" s="1"/>
      <c r="S933" s="103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53"/>
      <c r="AN933" s="103"/>
      <c r="AO933" s="103"/>
      <c r="AP933" s="103"/>
      <c r="AQ933" s="31"/>
      <c r="AR933" s="31"/>
      <c r="AS933" s="31"/>
      <c r="AT933" s="30"/>
      <c r="AU933" s="30"/>
      <c r="AV933" s="103"/>
      <c r="AW933" s="103"/>
      <c r="AX933" s="103"/>
      <c r="AY933" s="103"/>
      <c r="AZ933" s="103"/>
      <c r="BA933" s="103"/>
      <c r="BB933" s="104"/>
      <c r="BC933" s="102"/>
      <c r="BD933" s="102"/>
      <c r="BE933" s="102"/>
      <c r="BF933" s="104"/>
      <c r="BG933" s="152"/>
      <c r="BH933" s="103"/>
      <c r="BI933" s="103"/>
      <c r="BJ933" s="103"/>
      <c r="BK933" s="103"/>
      <c r="BL933" s="103"/>
      <c r="BM933" s="103"/>
      <c r="BN933" s="103"/>
      <c r="BO933" s="103"/>
      <c r="BP933" s="103"/>
      <c r="BQ933" s="103"/>
      <c r="BR933" s="103"/>
      <c r="BS933" s="104"/>
      <c r="BT933" s="104"/>
      <c r="BU933" s="104"/>
      <c r="BV933" s="104"/>
      <c r="BW933" s="104"/>
      <c r="BX933" s="104"/>
      <c r="BY933" s="104"/>
      <c r="BZ933" s="104"/>
      <c r="CA933" s="104"/>
      <c r="CB933" s="104"/>
      <c r="CC933" s="103"/>
      <c r="CD933" s="103"/>
      <c r="CE933" s="103"/>
      <c r="CF933" s="103"/>
      <c r="CG933" s="103"/>
      <c r="CH933" s="133"/>
      <c r="CI933" s="133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O933" s="1"/>
      <c r="EP933" s="103"/>
      <c r="EQ933" s="103"/>
      <c r="ER933" s="1"/>
      <c r="ES933" s="103"/>
      <c r="ET933" s="1"/>
      <c r="EU933" s="1"/>
      <c r="EV933" s="1"/>
      <c r="EW933" s="105"/>
    </row>
    <row r="934" spans="9:153">
      <c r="I934" s="132"/>
      <c r="J934" s="133"/>
      <c r="K934" s="1"/>
      <c r="L934" s="1"/>
      <c r="Q934" s="1"/>
      <c r="R934" s="1"/>
      <c r="S934" s="103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53"/>
      <c r="AN934" s="103"/>
      <c r="AO934" s="103"/>
      <c r="AP934" s="103"/>
      <c r="AQ934" s="31"/>
      <c r="AR934" s="31"/>
      <c r="AS934" s="31"/>
      <c r="AT934" s="30"/>
      <c r="AU934" s="30"/>
      <c r="AV934" s="103"/>
      <c r="AW934" s="103"/>
      <c r="AX934" s="103"/>
      <c r="AY934" s="103"/>
      <c r="AZ934" s="103"/>
      <c r="BA934" s="103"/>
      <c r="BB934" s="104"/>
      <c r="BC934" s="102"/>
      <c r="BD934" s="102"/>
      <c r="BE934" s="102"/>
      <c r="BF934" s="104"/>
      <c r="BG934" s="152"/>
      <c r="BH934" s="103"/>
      <c r="BI934" s="103"/>
      <c r="BJ934" s="103"/>
      <c r="BK934" s="103"/>
      <c r="BL934" s="103"/>
      <c r="BM934" s="103"/>
      <c r="BN934" s="103"/>
      <c r="BO934" s="103"/>
      <c r="BP934" s="103"/>
      <c r="BQ934" s="103"/>
      <c r="BR934" s="103"/>
      <c r="BS934" s="104"/>
      <c r="BT934" s="104"/>
      <c r="BU934" s="104"/>
      <c r="BV934" s="104"/>
      <c r="BW934" s="104"/>
      <c r="BX934" s="104"/>
      <c r="BY934" s="104"/>
      <c r="BZ934" s="104"/>
      <c r="CA934" s="104"/>
      <c r="CB934" s="104"/>
      <c r="CC934" s="103"/>
      <c r="CD934" s="103"/>
      <c r="CE934" s="103"/>
      <c r="CF934" s="103"/>
      <c r="CG934" s="103"/>
      <c r="CH934" s="133"/>
      <c r="CI934" s="133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O934" s="1"/>
      <c r="EP934" s="103"/>
      <c r="EQ934" s="103"/>
      <c r="ER934" s="1"/>
      <c r="ES934" s="103"/>
      <c r="ET934" s="1"/>
      <c r="EU934" s="1"/>
      <c r="EV934" s="1"/>
      <c r="EW934" s="105"/>
    </row>
    <row r="935" spans="9:153">
      <c r="I935" s="132"/>
      <c r="J935" s="133"/>
      <c r="K935" s="1"/>
      <c r="L935" s="1"/>
      <c r="Q935" s="1"/>
      <c r="R935" s="1"/>
      <c r="S935" s="103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53"/>
      <c r="AN935" s="103"/>
      <c r="AO935" s="103"/>
      <c r="AP935" s="103"/>
      <c r="AQ935" s="31"/>
      <c r="AR935" s="31"/>
      <c r="AS935" s="31"/>
      <c r="AT935" s="30"/>
      <c r="AU935" s="30"/>
      <c r="AV935" s="103"/>
      <c r="AW935" s="103"/>
      <c r="AX935" s="103"/>
      <c r="AY935" s="103"/>
      <c r="AZ935" s="103"/>
      <c r="BA935" s="103"/>
      <c r="BB935" s="104"/>
      <c r="BC935" s="102"/>
      <c r="BD935" s="102"/>
      <c r="BE935" s="102"/>
      <c r="BF935" s="104"/>
      <c r="BG935" s="152"/>
      <c r="BH935" s="103"/>
      <c r="BI935" s="103"/>
      <c r="BJ935" s="103"/>
      <c r="BK935" s="103"/>
      <c r="BL935" s="103"/>
      <c r="BM935" s="103"/>
      <c r="BN935" s="103"/>
      <c r="BO935" s="103"/>
      <c r="BP935" s="103"/>
      <c r="BQ935" s="103"/>
      <c r="BR935" s="103"/>
      <c r="BS935" s="104"/>
      <c r="BT935" s="104"/>
      <c r="BU935" s="104"/>
      <c r="BV935" s="104"/>
      <c r="BW935" s="104"/>
      <c r="BX935" s="104"/>
      <c r="BY935" s="104"/>
      <c r="BZ935" s="104"/>
      <c r="CA935" s="104"/>
      <c r="CB935" s="104"/>
      <c r="CC935" s="103"/>
      <c r="CD935" s="103"/>
      <c r="CE935" s="103"/>
      <c r="CF935" s="103"/>
      <c r="CG935" s="103"/>
      <c r="CH935" s="133"/>
      <c r="CI935" s="133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O935" s="1"/>
      <c r="EP935" s="103"/>
      <c r="EQ935" s="103"/>
      <c r="ER935" s="1"/>
      <c r="ES935" s="103"/>
      <c r="ET935" s="1"/>
      <c r="EU935" s="1"/>
      <c r="EV935" s="1"/>
      <c r="EW935" s="105"/>
    </row>
    <row r="936" spans="9:153">
      <c r="I936" s="132"/>
      <c r="J936" s="133"/>
      <c r="K936" s="1"/>
      <c r="L936" s="1"/>
      <c r="Q936" s="1"/>
      <c r="R936" s="1"/>
      <c r="S936" s="103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53"/>
      <c r="AN936" s="103"/>
      <c r="AO936" s="103"/>
      <c r="AP936" s="103"/>
      <c r="AQ936" s="31"/>
      <c r="AR936" s="31"/>
      <c r="AS936" s="31"/>
      <c r="AT936" s="30"/>
      <c r="AU936" s="30"/>
      <c r="AV936" s="103"/>
      <c r="AW936" s="103"/>
      <c r="AX936" s="103"/>
      <c r="AY936" s="103"/>
      <c r="AZ936" s="103"/>
      <c r="BA936" s="103"/>
      <c r="BB936" s="104"/>
      <c r="BC936" s="102"/>
      <c r="BD936" s="102"/>
      <c r="BE936" s="102"/>
      <c r="BF936" s="104"/>
      <c r="BG936" s="152"/>
      <c r="BH936" s="103"/>
      <c r="BI936" s="103"/>
      <c r="BJ936" s="103"/>
      <c r="BK936" s="103"/>
      <c r="BL936" s="103"/>
      <c r="BM936" s="103"/>
      <c r="BN936" s="103"/>
      <c r="BO936" s="103"/>
      <c r="BP936" s="103"/>
      <c r="BQ936" s="103"/>
      <c r="BR936" s="103"/>
      <c r="BS936" s="104"/>
      <c r="BT936" s="104"/>
      <c r="BU936" s="104"/>
      <c r="BV936" s="104"/>
      <c r="BW936" s="104"/>
      <c r="BX936" s="104"/>
      <c r="BY936" s="104"/>
      <c r="BZ936" s="104"/>
      <c r="CA936" s="104"/>
      <c r="CB936" s="104"/>
      <c r="CC936" s="103"/>
      <c r="CD936" s="103"/>
      <c r="CE936" s="103"/>
      <c r="CF936" s="103"/>
      <c r="CG936" s="103"/>
      <c r="CH936" s="133"/>
      <c r="CI936" s="133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O936" s="1"/>
      <c r="EP936" s="103"/>
      <c r="EQ936" s="103"/>
      <c r="ER936" s="1"/>
      <c r="ES936" s="103"/>
      <c r="ET936" s="1"/>
      <c r="EU936" s="1"/>
      <c r="EV936" s="1"/>
      <c r="EW936" s="105"/>
    </row>
    <row r="937" spans="9:153">
      <c r="I937" s="132"/>
      <c r="J937" s="133"/>
      <c r="K937" s="1"/>
      <c r="L937" s="1"/>
      <c r="Q937" s="1"/>
      <c r="R937" s="1"/>
      <c r="S937" s="103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53"/>
      <c r="AN937" s="103"/>
      <c r="AO937" s="103"/>
      <c r="AP937" s="103"/>
      <c r="AQ937" s="31"/>
      <c r="AR937" s="31"/>
      <c r="AS937" s="31"/>
      <c r="AT937" s="30"/>
      <c r="AU937" s="30"/>
      <c r="AV937" s="103"/>
      <c r="AW937" s="103"/>
      <c r="AX937" s="103"/>
      <c r="AY937" s="103"/>
      <c r="AZ937" s="103"/>
      <c r="BA937" s="103"/>
      <c r="BB937" s="104"/>
      <c r="BC937" s="102"/>
      <c r="BD937" s="102"/>
      <c r="BE937" s="102"/>
      <c r="BF937" s="104"/>
      <c r="BG937" s="152"/>
      <c r="BH937" s="103"/>
      <c r="BI937" s="103"/>
      <c r="BJ937" s="103"/>
      <c r="BK937" s="103"/>
      <c r="BL937" s="103"/>
      <c r="BM937" s="103"/>
      <c r="BN937" s="103"/>
      <c r="BO937" s="103"/>
      <c r="BP937" s="103"/>
      <c r="BQ937" s="103"/>
      <c r="BR937" s="103"/>
      <c r="BS937" s="104"/>
      <c r="BT937" s="104"/>
      <c r="BU937" s="104"/>
      <c r="BV937" s="104"/>
      <c r="BW937" s="104"/>
      <c r="BX937" s="104"/>
      <c r="BY937" s="104"/>
      <c r="BZ937" s="104"/>
      <c r="CA937" s="104"/>
      <c r="CB937" s="104"/>
      <c r="CC937" s="103"/>
      <c r="CD937" s="103"/>
      <c r="CE937" s="103"/>
      <c r="CF937" s="103"/>
      <c r="CG937" s="103"/>
      <c r="CH937" s="133"/>
      <c r="CI937" s="133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O937" s="1"/>
      <c r="EP937" s="103"/>
      <c r="EQ937" s="103"/>
      <c r="ER937" s="1"/>
      <c r="ES937" s="103"/>
      <c r="ET937" s="1"/>
      <c r="EU937" s="1"/>
      <c r="EV937" s="1"/>
      <c r="EW937" s="105"/>
    </row>
    <row r="938" spans="9:153">
      <c r="I938" s="132"/>
      <c r="J938" s="133"/>
      <c r="K938" s="1"/>
      <c r="L938" s="1"/>
      <c r="Q938" s="1"/>
      <c r="R938" s="1"/>
      <c r="S938" s="103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53"/>
      <c r="AN938" s="103"/>
      <c r="AO938" s="103"/>
      <c r="AP938" s="103"/>
      <c r="AQ938" s="31"/>
      <c r="AR938" s="31"/>
      <c r="AS938" s="31"/>
      <c r="AT938" s="30"/>
      <c r="AU938" s="30"/>
      <c r="AV938" s="103"/>
      <c r="AW938" s="103"/>
      <c r="AX938" s="103"/>
      <c r="AY938" s="103"/>
      <c r="AZ938" s="103"/>
      <c r="BA938" s="103"/>
      <c r="BB938" s="104"/>
      <c r="BC938" s="102"/>
      <c r="BD938" s="102"/>
      <c r="BE938" s="102"/>
      <c r="BF938" s="104"/>
      <c r="BG938" s="152"/>
      <c r="BH938" s="103"/>
      <c r="BI938" s="103"/>
      <c r="BJ938" s="103"/>
      <c r="BK938" s="103"/>
      <c r="BL938" s="103"/>
      <c r="BM938" s="103"/>
      <c r="BN938" s="103"/>
      <c r="BO938" s="103"/>
      <c r="BP938" s="103"/>
      <c r="BQ938" s="103"/>
      <c r="BR938" s="103"/>
      <c r="BS938" s="104"/>
      <c r="BT938" s="104"/>
      <c r="BU938" s="104"/>
      <c r="BV938" s="104"/>
      <c r="BW938" s="104"/>
      <c r="BX938" s="104"/>
      <c r="BY938" s="104"/>
      <c r="BZ938" s="104"/>
      <c r="CA938" s="104"/>
      <c r="CB938" s="104"/>
      <c r="CC938" s="103"/>
      <c r="CD938" s="103"/>
      <c r="CE938" s="103"/>
      <c r="CF938" s="103"/>
      <c r="CG938" s="103"/>
      <c r="CH938" s="133"/>
      <c r="CI938" s="133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O938" s="1"/>
      <c r="EP938" s="103"/>
      <c r="EQ938" s="103"/>
      <c r="ER938" s="1"/>
      <c r="ES938" s="103"/>
      <c r="ET938" s="1"/>
      <c r="EU938" s="1"/>
      <c r="EV938" s="1"/>
      <c r="EW938" s="105"/>
    </row>
    <row r="939" spans="9:153">
      <c r="I939" s="132"/>
      <c r="J939" s="133"/>
      <c r="K939" s="1"/>
      <c r="L939" s="1"/>
      <c r="Q939" s="1"/>
      <c r="R939" s="1"/>
      <c r="S939" s="103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53"/>
      <c r="AN939" s="103"/>
      <c r="AO939" s="103"/>
      <c r="AP939" s="103"/>
      <c r="AQ939" s="31"/>
      <c r="AR939" s="31"/>
      <c r="AS939" s="31"/>
      <c r="AT939" s="30"/>
      <c r="AU939" s="30"/>
      <c r="AV939" s="103"/>
      <c r="AW939" s="103"/>
      <c r="AX939" s="103"/>
      <c r="AY939" s="103"/>
      <c r="AZ939" s="103"/>
      <c r="BA939" s="103"/>
      <c r="BB939" s="104"/>
      <c r="BC939" s="102"/>
      <c r="BD939" s="102"/>
      <c r="BE939" s="102"/>
      <c r="BF939" s="104"/>
      <c r="BG939" s="152"/>
      <c r="BH939" s="103"/>
      <c r="BI939" s="103"/>
      <c r="BJ939" s="103"/>
      <c r="BK939" s="103"/>
      <c r="BL939" s="103"/>
      <c r="BM939" s="103"/>
      <c r="BN939" s="103"/>
      <c r="BO939" s="103"/>
      <c r="BP939" s="103"/>
      <c r="BQ939" s="103"/>
      <c r="BR939" s="103"/>
      <c r="BS939" s="104"/>
      <c r="BT939" s="104"/>
      <c r="BU939" s="104"/>
      <c r="BV939" s="104"/>
      <c r="BW939" s="104"/>
      <c r="BX939" s="104"/>
      <c r="BY939" s="104"/>
      <c r="BZ939" s="104"/>
      <c r="CA939" s="104"/>
      <c r="CB939" s="104"/>
      <c r="CC939" s="103"/>
      <c r="CD939" s="103"/>
      <c r="CE939" s="103"/>
      <c r="CF939" s="103"/>
      <c r="CG939" s="103"/>
      <c r="CH939" s="133"/>
      <c r="CI939" s="133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O939" s="1"/>
      <c r="EP939" s="103"/>
      <c r="EQ939" s="103"/>
      <c r="ER939" s="1"/>
      <c r="ES939" s="103"/>
      <c r="ET939" s="1"/>
      <c r="EU939" s="1"/>
      <c r="EV939" s="1"/>
      <c r="EW939" s="105"/>
    </row>
    <row r="940" spans="9:153">
      <c r="I940" s="132"/>
      <c r="J940" s="133"/>
      <c r="K940" s="1"/>
      <c r="L940" s="1"/>
      <c r="Q940" s="1"/>
      <c r="R940" s="1"/>
      <c r="S940" s="103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53"/>
      <c r="AN940" s="103"/>
      <c r="AO940" s="103"/>
      <c r="AP940" s="103"/>
      <c r="AQ940" s="31"/>
      <c r="AR940" s="31"/>
      <c r="AS940" s="31"/>
      <c r="AT940" s="30"/>
      <c r="AU940" s="30"/>
      <c r="AV940" s="103"/>
      <c r="AW940" s="103"/>
      <c r="AX940" s="103"/>
      <c r="AY940" s="103"/>
      <c r="AZ940" s="103"/>
      <c r="BA940" s="103"/>
      <c r="BB940" s="104"/>
      <c r="BC940" s="102"/>
      <c r="BD940" s="102"/>
      <c r="BE940" s="102"/>
      <c r="BF940" s="104"/>
      <c r="BG940" s="152"/>
      <c r="BH940" s="103"/>
      <c r="BI940" s="103"/>
      <c r="BJ940" s="103"/>
      <c r="BK940" s="103"/>
      <c r="BL940" s="103"/>
      <c r="BM940" s="103"/>
      <c r="BN940" s="103"/>
      <c r="BO940" s="103"/>
      <c r="BP940" s="103"/>
      <c r="BQ940" s="103"/>
      <c r="BR940" s="103"/>
      <c r="BS940" s="104"/>
      <c r="BT940" s="104"/>
      <c r="BU940" s="104"/>
      <c r="BV940" s="104"/>
      <c r="BW940" s="104"/>
      <c r="BX940" s="104"/>
      <c r="BY940" s="104"/>
      <c r="BZ940" s="104"/>
      <c r="CA940" s="104"/>
      <c r="CB940" s="104"/>
      <c r="CC940" s="103"/>
      <c r="CD940" s="103"/>
      <c r="CE940" s="103"/>
      <c r="CF940" s="103"/>
      <c r="CG940" s="103"/>
      <c r="CH940" s="133"/>
      <c r="CI940" s="133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O940" s="1"/>
      <c r="EP940" s="103"/>
      <c r="EQ940" s="103"/>
      <c r="ER940" s="1"/>
      <c r="ES940" s="103"/>
      <c r="ET940" s="1"/>
      <c r="EU940" s="1"/>
      <c r="EV940" s="1"/>
      <c r="EW940" s="105"/>
    </row>
    <row r="941" spans="9:153">
      <c r="I941" s="132"/>
      <c r="J941" s="133"/>
      <c r="K941" s="1"/>
      <c r="L941" s="1"/>
      <c r="Q941" s="1"/>
      <c r="R941" s="1"/>
      <c r="S941" s="103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53"/>
      <c r="AN941" s="103"/>
      <c r="AO941" s="103"/>
      <c r="AP941" s="103"/>
      <c r="AQ941" s="31"/>
      <c r="AR941" s="31"/>
      <c r="AS941" s="31"/>
      <c r="AT941" s="30"/>
      <c r="AU941" s="30"/>
      <c r="AV941" s="103"/>
      <c r="AW941" s="103"/>
      <c r="AX941" s="103"/>
      <c r="AY941" s="103"/>
      <c r="AZ941" s="103"/>
      <c r="BA941" s="103"/>
      <c r="BB941" s="104"/>
      <c r="BC941" s="102"/>
      <c r="BD941" s="102"/>
      <c r="BE941" s="102"/>
      <c r="BF941" s="104"/>
      <c r="BG941" s="152"/>
      <c r="BH941" s="103"/>
      <c r="BI941" s="103"/>
      <c r="BJ941" s="103"/>
      <c r="BK941" s="103"/>
      <c r="BL941" s="103"/>
      <c r="BM941" s="103"/>
      <c r="BN941" s="103"/>
      <c r="BO941" s="103"/>
      <c r="BP941" s="103"/>
      <c r="BQ941" s="103"/>
      <c r="BR941" s="103"/>
      <c r="BS941" s="104"/>
      <c r="BT941" s="104"/>
      <c r="BU941" s="104"/>
      <c r="BV941" s="104"/>
      <c r="BW941" s="104"/>
      <c r="BX941" s="104"/>
      <c r="BY941" s="104"/>
      <c r="BZ941" s="104"/>
      <c r="CA941" s="104"/>
      <c r="CB941" s="104"/>
      <c r="CC941" s="103"/>
      <c r="CD941" s="103"/>
      <c r="CE941" s="103"/>
      <c r="CF941" s="103"/>
      <c r="CG941" s="103"/>
      <c r="CH941" s="133"/>
      <c r="CI941" s="133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O941" s="1"/>
      <c r="EP941" s="103"/>
      <c r="EQ941" s="103"/>
      <c r="ER941" s="1"/>
      <c r="ES941" s="103"/>
      <c r="ET941" s="1"/>
      <c r="EU941" s="1"/>
      <c r="EV941" s="1"/>
      <c r="EW941" s="105"/>
    </row>
    <row r="942" spans="9:153">
      <c r="I942" s="132"/>
      <c r="J942" s="133"/>
      <c r="K942" s="1"/>
      <c r="L942" s="1"/>
      <c r="Q942" s="1"/>
      <c r="R942" s="1"/>
      <c r="S942" s="103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53"/>
      <c r="AN942" s="103"/>
      <c r="AO942" s="103"/>
      <c r="AP942" s="103"/>
      <c r="AQ942" s="31"/>
      <c r="AR942" s="31"/>
      <c r="AS942" s="31"/>
      <c r="AT942" s="30"/>
      <c r="AU942" s="30"/>
      <c r="AV942" s="103"/>
      <c r="AW942" s="103"/>
      <c r="AX942" s="103"/>
      <c r="AY942" s="103"/>
      <c r="AZ942" s="103"/>
      <c r="BA942" s="103"/>
      <c r="BB942" s="104"/>
      <c r="BC942" s="102"/>
      <c r="BD942" s="102"/>
      <c r="BE942" s="102"/>
      <c r="BF942" s="104"/>
      <c r="BG942" s="152"/>
      <c r="BH942" s="103"/>
      <c r="BI942" s="103"/>
      <c r="BJ942" s="103"/>
      <c r="BK942" s="103"/>
      <c r="BL942" s="103"/>
      <c r="BM942" s="103"/>
      <c r="BN942" s="103"/>
      <c r="BO942" s="103"/>
      <c r="BP942" s="103"/>
      <c r="BQ942" s="103"/>
      <c r="BR942" s="103"/>
      <c r="BS942" s="104"/>
      <c r="BT942" s="104"/>
      <c r="BU942" s="104"/>
      <c r="BV942" s="104"/>
      <c r="BW942" s="104"/>
      <c r="BX942" s="104"/>
      <c r="BY942" s="104"/>
      <c r="BZ942" s="104"/>
      <c r="CA942" s="104"/>
      <c r="CB942" s="104"/>
      <c r="CC942" s="103"/>
      <c r="CD942" s="103"/>
      <c r="CE942" s="103"/>
      <c r="CF942" s="103"/>
      <c r="CG942" s="103"/>
      <c r="CH942" s="133"/>
      <c r="CI942" s="133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O942" s="1"/>
      <c r="EP942" s="103"/>
      <c r="EQ942" s="103"/>
      <c r="ER942" s="1"/>
      <c r="ES942" s="103"/>
      <c r="ET942" s="1"/>
      <c r="EU942" s="1"/>
      <c r="EV942" s="1"/>
      <c r="EW942" s="105"/>
    </row>
    <row r="943" spans="9:153">
      <c r="I943" s="132"/>
      <c r="J943" s="133"/>
      <c r="K943" s="1"/>
      <c r="L943" s="1"/>
      <c r="Q943" s="1"/>
      <c r="R943" s="1"/>
      <c r="S943" s="103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53"/>
      <c r="AN943" s="103"/>
      <c r="AO943" s="103"/>
      <c r="AP943" s="103"/>
      <c r="AQ943" s="31"/>
      <c r="AR943" s="31"/>
      <c r="AS943" s="31"/>
      <c r="AT943" s="30"/>
      <c r="AU943" s="30"/>
      <c r="AV943" s="103"/>
      <c r="AW943" s="103"/>
      <c r="AX943" s="103"/>
      <c r="AY943" s="103"/>
      <c r="AZ943" s="103"/>
      <c r="BA943" s="103"/>
      <c r="BB943" s="104"/>
      <c r="BC943" s="102"/>
      <c r="BD943" s="102"/>
      <c r="BE943" s="102"/>
      <c r="BF943" s="104"/>
      <c r="BG943" s="152"/>
      <c r="BH943" s="103"/>
      <c r="BI943" s="103"/>
      <c r="BJ943" s="103"/>
      <c r="BK943" s="103"/>
      <c r="BL943" s="103"/>
      <c r="BM943" s="103"/>
      <c r="BN943" s="103"/>
      <c r="BO943" s="103"/>
      <c r="BP943" s="103"/>
      <c r="BQ943" s="103"/>
      <c r="BR943" s="103"/>
      <c r="BS943" s="104"/>
      <c r="BT943" s="104"/>
      <c r="BU943" s="104"/>
      <c r="BV943" s="104"/>
      <c r="BW943" s="104"/>
      <c r="BX943" s="104"/>
      <c r="BY943" s="104"/>
      <c r="BZ943" s="104"/>
      <c r="CA943" s="104"/>
      <c r="CB943" s="104"/>
      <c r="CC943" s="103"/>
      <c r="CD943" s="103"/>
      <c r="CE943" s="103"/>
      <c r="CF943" s="103"/>
      <c r="CG943" s="103"/>
      <c r="CH943" s="133"/>
      <c r="CI943" s="133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O943" s="1"/>
      <c r="EP943" s="103"/>
      <c r="EQ943" s="103"/>
      <c r="ER943" s="1"/>
      <c r="ES943" s="103"/>
      <c r="ET943" s="1"/>
      <c r="EU943" s="1"/>
      <c r="EV943" s="1"/>
      <c r="EW943" s="105"/>
    </row>
    <row r="944" spans="9:153">
      <c r="I944" s="132"/>
      <c r="J944" s="133"/>
      <c r="K944" s="1"/>
      <c r="L944" s="1"/>
      <c r="Q944" s="1"/>
      <c r="R944" s="1"/>
      <c r="S944" s="103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53"/>
      <c r="AN944" s="103"/>
      <c r="AO944" s="103"/>
      <c r="AP944" s="103"/>
      <c r="AQ944" s="31"/>
      <c r="AR944" s="31"/>
      <c r="AS944" s="31"/>
      <c r="AT944" s="30"/>
      <c r="AU944" s="30"/>
      <c r="AV944" s="103"/>
      <c r="AW944" s="103"/>
      <c r="AX944" s="103"/>
      <c r="AY944" s="103"/>
      <c r="AZ944" s="103"/>
      <c r="BA944" s="103"/>
      <c r="BB944" s="104"/>
      <c r="BC944" s="102"/>
      <c r="BD944" s="102"/>
      <c r="BE944" s="102"/>
      <c r="BF944" s="104"/>
      <c r="BG944" s="152"/>
      <c r="BH944" s="103"/>
      <c r="BI944" s="103"/>
      <c r="BJ944" s="103"/>
      <c r="BK944" s="103"/>
      <c r="BL944" s="103"/>
      <c r="BM944" s="103"/>
      <c r="BN944" s="103"/>
      <c r="BO944" s="103"/>
      <c r="BP944" s="103"/>
      <c r="BQ944" s="103"/>
      <c r="BR944" s="103"/>
      <c r="BS944" s="104"/>
      <c r="BT944" s="104"/>
      <c r="BU944" s="104"/>
      <c r="BV944" s="104"/>
      <c r="BW944" s="104"/>
      <c r="BX944" s="104"/>
      <c r="BY944" s="104"/>
      <c r="BZ944" s="104"/>
      <c r="CA944" s="104"/>
      <c r="CB944" s="104"/>
      <c r="CC944" s="103"/>
      <c r="CD944" s="103"/>
      <c r="CE944" s="103"/>
      <c r="CF944" s="103"/>
      <c r="CG944" s="103"/>
      <c r="CH944" s="133"/>
      <c r="CI944" s="133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O944" s="1"/>
      <c r="EP944" s="103"/>
      <c r="EQ944" s="103"/>
      <c r="ER944" s="1"/>
      <c r="ES944" s="103"/>
      <c r="ET944" s="1"/>
      <c r="EU944" s="1"/>
      <c r="EV944" s="1"/>
      <c r="EW944" s="105"/>
    </row>
    <row r="945" spans="9:153">
      <c r="I945" s="132"/>
      <c r="J945" s="133"/>
      <c r="K945" s="1"/>
      <c r="L945" s="1"/>
      <c r="Q945" s="1"/>
      <c r="R945" s="1"/>
      <c r="S945" s="103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53"/>
      <c r="AN945" s="103"/>
      <c r="AO945" s="103"/>
      <c r="AP945" s="103"/>
      <c r="AQ945" s="31"/>
      <c r="AR945" s="31"/>
      <c r="AS945" s="31"/>
      <c r="AT945" s="30"/>
      <c r="AU945" s="30"/>
      <c r="AV945" s="103"/>
      <c r="AW945" s="103"/>
      <c r="AX945" s="103"/>
      <c r="AY945" s="103"/>
      <c r="AZ945" s="103"/>
      <c r="BA945" s="103"/>
      <c r="BB945" s="104"/>
      <c r="BC945" s="102"/>
      <c r="BD945" s="102"/>
      <c r="BE945" s="102"/>
      <c r="BF945" s="104"/>
      <c r="BG945" s="152"/>
      <c r="BH945" s="103"/>
      <c r="BI945" s="103"/>
      <c r="BJ945" s="103"/>
      <c r="BK945" s="103"/>
      <c r="BL945" s="103"/>
      <c r="BM945" s="103"/>
      <c r="BN945" s="103"/>
      <c r="BO945" s="103"/>
      <c r="BP945" s="103"/>
      <c r="BQ945" s="103"/>
      <c r="BR945" s="103"/>
      <c r="BS945" s="104"/>
      <c r="BT945" s="104"/>
      <c r="BU945" s="104"/>
      <c r="BV945" s="104"/>
      <c r="BW945" s="104"/>
      <c r="BX945" s="104"/>
      <c r="BY945" s="104"/>
      <c r="BZ945" s="104"/>
      <c r="CA945" s="104"/>
      <c r="CB945" s="104"/>
      <c r="CC945" s="103"/>
      <c r="CD945" s="103"/>
      <c r="CE945" s="103"/>
      <c r="CF945" s="103"/>
      <c r="CG945" s="103"/>
      <c r="CH945" s="133"/>
      <c r="CI945" s="133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O945" s="1"/>
      <c r="EP945" s="103"/>
      <c r="EQ945" s="103"/>
      <c r="ER945" s="1"/>
      <c r="ES945" s="103"/>
      <c r="ET945" s="1"/>
      <c r="EU945" s="1"/>
      <c r="EV945" s="1"/>
      <c r="EW945" s="105"/>
    </row>
    <row r="946" spans="9:153">
      <c r="I946" s="132"/>
      <c r="J946" s="133"/>
      <c r="K946" s="1"/>
      <c r="L946" s="1"/>
      <c r="Q946" s="1"/>
      <c r="R946" s="1"/>
      <c r="S946" s="103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53"/>
      <c r="AN946" s="103"/>
      <c r="AO946" s="103"/>
      <c r="AP946" s="103"/>
      <c r="AQ946" s="31"/>
      <c r="AR946" s="31"/>
      <c r="AS946" s="31"/>
      <c r="AT946" s="30"/>
      <c r="AU946" s="30"/>
      <c r="AV946" s="103"/>
      <c r="AW946" s="103"/>
      <c r="AX946" s="103"/>
      <c r="AY946" s="103"/>
      <c r="AZ946" s="103"/>
      <c r="BA946" s="103"/>
      <c r="BB946" s="104"/>
      <c r="BC946" s="102"/>
      <c r="BD946" s="102"/>
      <c r="BE946" s="102"/>
      <c r="BF946" s="104"/>
      <c r="BG946" s="152"/>
      <c r="BH946" s="103"/>
      <c r="BI946" s="103"/>
      <c r="BJ946" s="103"/>
      <c r="BK946" s="103"/>
      <c r="BL946" s="103"/>
      <c r="BM946" s="103"/>
      <c r="BN946" s="103"/>
      <c r="BO946" s="103"/>
      <c r="BP946" s="103"/>
      <c r="BQ946" s="103"/>
      <c r="BR946" s="103"/>
      <c r="BS946" s="104"/>
      <c r="BT946" s="104"/>
      <c r="BU946" s="104"/>
      <c r="BV946" s="104"/>
      <c r="BW946" s="104"/>
      <c r="BX946" s="104"/>
      <c r="BY946" s="104"/>
      <c r="BZ946" s="104"/>
      <c r="CA946" s="104"/>
      <c r="CB946" s="104"/>
      <c r="CC946" s="103"/>
      <c r="CD946" s="103"/>
      <c r="CE946" s="103"/>
      <c r="CF946" s="103"/>
      <c r="CG946" s="103"/>
      <c r="CH946" s="133"/>
      <c r="CI946" s="133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O946" s="1"/>
      <c r="EP946" s="103"/>
      <c r="EQ946" s="103"/>
      <c r="ER946" s="1"/>
      <c r="ES946" s="103"/>
      <c r="ET946" s="1"/>
      <c r="EU946" s="1"/>
      <c r="EV946" s="1"/>
      <c r="EW946" s="105"/>
    </row>
    <row r="947" spans="9:153">
      <c r="I947" s="132"/>
      <c r="J947" s="133"/>
      <c r="K947" s="1"/>
      <c r="L947" s="1"/>
      <c r="Q947" s="1"/>
      <c r="R947" s="1"/>
      <c r="S947" s="103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53"/>
      <c r="AN947" s="103"/>
      <c r="AO947" s="103"/>
      <c r="AP947" s="103"/>
      <c r="AQ947" s="31"/>
      <c r="AR947" s="31"/>
      <c r="AS947" s="31"/>
      <c r="AT947" s="30"/>
      <c r="AU947" s="30"/>
      <c r="AV947" s="103"/>
      <c r="AW947" s="103"/>
      <c r="AX947" s="103"/>
      <c r="AY947" s="103"/>
      <c r="AZ947" s="103"/>
      <c r="BA947" s="103"/>
      <c r="BB947" s="104"/>
      <c r="BC947" s="102"/>
      <c r="BD947" s="102"/>
      <c r="BE947" s="102"/>
      <c r="BF947" s="104"/>
      <c r="BG947" s="152"/>
      <c r="BH947" s="103"/>
      <c r="BI947" s="103"/>
      <c r="BJ947" s="103"/>
      <c r="BK947" s="103"/>
      <c r="BL947" s="103"/>
      <c r="BM947" s="103"/>
      <c r="BN947" s="103"/>
      <c r="BO947" s="103"/>
      <c r="BP947" s="103"/>
      <c r="BQ947" s="103"/>
      <c r="BR947" s="103"/>
      <c r="BS947" s="104"/>
      <c r="BT947" s="104"/>
      <c r="BU947" s="104"/>
      <c r="BV947" s="104"/>
      <c r="BW947" s="104"/>
      <c r="BX947" s="104"/>
      <c r="BY947" s="104"/>
      <c r="BZ947" s="104"/>
      <c r="CA947" s="104"/>
      <c r="CB947" s="104"/>
      <c r="CC947" s="103"/>
      <c r="CD947" s="103"/>
      <c r="CE947" s="103"/>
      <c r="CF947" s="103"/>
      <c r="CG947" s="103"/>
      <c r="CH947" s="133"/>
      <c r="CI947" s="133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O947" s="1"/>
      <c r="EP947" s="103"/>
      <c r="EQ947" s="103"/>
      <c r="ER947" s="1"/>
      <c r="ES947" s="103"/>
      <c r="ET947" s="1"/>
      <c r="EU947" s="1"/>
      <c r="EV947" s="1"/>
      <c r="EW947" s="105"/>
    </row>
    <row r="948" spans="9:153">
      <c r="I948" s="132"/>
      <c r="J948" s="133"/>
      <c r="K948" s="1"/>
      <c r="L948" s="1"/>
      <c r="Q948" s="1"/>
      <c r="R948" s="1"/>
      <c r="S948" s="103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53"/>
      <c r="AN948" s="103"/>
      <c r="AO948" s="103"/>
      <c r="AP948" s="103"/>
      <c r="AQ948" s="31"/>
      <c r="AR948" s="31"/>
      <c r="AS948" s="31"/>
      <c r="AT948" s="30"/>
      <c r="AU948" s="30"/>
      <c r="AV948" s="103"/>
      <c r="AW948" s="103"/>
      <c r="AX948" s="103"/>
      <c r="AY948" s="103"/>
      <c r="AZ948" s="103"/>
      <c r="BA948" s="103"/>
      <c r="BB948" s="104"/>
      <c r="BC948" s="102"/>
      <c r="BD948" s="102"/>
      <c r="BE948" s="102"/>
      <c r="BF948" s="104"/>
      <c r="BG948" s="152"/>
      <c r="BH948" s="103"/>
      <c r="BI948" s="103"/>
      <c r="BJ948" s="103"/>
      <c r="BK948" s="103"/>
      <c r="BL948" s="103"/>
      <c r="BM948" s="103"/>
      <c r="BN948" s="103"/>
      <c r="BO948" s="103"/>
      <c r="BP948" s="103"/>
      <c r="BQ948" s="103"/>
      <c r="BR948" s="103"/>
      <c r="BS948" s="104"/>
      <c r="BT948" s="104"/>
      <c r="BU948" s="104"/>
      <c r="BV948" s="104"/>
      <c r="BW948" s="104"/>
      <c r="BX948" s="104"/>
      <c r="BY948" s="104"/>
      <c r="BZ948" s="104"/>
      <c r="CA948" s="104"/>
      <c r="CB948" s="104"/>
      <c r="CC948" s="103"/>
      <c r="CD948" s="103"/>
      <c r="CE948" s="103"/>
      <c r="CF948" s="103"/>
      <c r="CG948" s="103"/>
      <c r="CH948" s="133"/>
      <c r="CI948" s="133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O948" s="1"/>
      <c r="EP948" s="103"/>
      <c r="EQ948" s="103"/>
      <c r="ER948" s="1"/>
      <c r="ES948" s="103"/>
      <c r="ET948" s="1"/>
      <c r="EU948" s="1"/>
      <c r="EV948" s="1"/>
      <c r="EW948" s="105"/>
    </row>
    <row r="949" spans="9:153">
      <c r="I949" s="132"/>
      <c r="J949" s="133"/>
      <c r="K949" s="1"/>
      <c r="L949" s="1"/>
      <c r="Q949" s="1"/>
      <c r="R949" s="1"/>
      <c r="S949" s="103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53"/>
      <c r="AN949" s="103"/>
      <c r="AO949" s="103"/>
      <c r="AP949" s="103"/>
      <c r="AQ949" s="31"/>
      <c r="AR949" s="31"/>
      <c r="AS949" s="31"/>
      <c r="AT949" s="30"/>
      <c r="AU949" s="30"/>
      <c r="AV949" s="103"/>
      <c r="AW949" s="103"/>
      <c r="AX949" s="103"/>
      <c r="AY949" s="103"/>
      <c r="AZ949" s="103"/>
      <c r="BA949" s="103"/>
      <c r="BB949" s="104"/>
      <c r="BC949" s="102"/>
      <c r="BD949" s="102"/>
      <c r="BE949" s="102"/>
      <c r="BF949" s="104"/>
      <c r="BG949" s="152"/>
      <c r="BH949" s="103"/>
      <c r="BI949" s="103"/>
      <c r="BJ949" s="103"/>
      <c r="BK949" s="103"/>
      <c r="BL949" s="103"/>
      <c r="BM949" s="103"/>
      <c r="BN949" s="103"/>
      <c r="BO949" s="103"/>
      <c r="BP949" s="103"/>
      <c r="BQ949" s="103"/>
      <c r="BR949" s="103"/>
      <c r="BS949" s="104"/>
      <c r="BT949" s="104"/>
      <c r="BU949" s="104"/>
      <c r="BV949" s="104"/>
      <c r="BW949" s="104"/>
      <c r="BX949" s="104"/>
      <c r="BY949" s="104"/>
      <c r="BZ949" s="104"/>
      <c r="CA949" s="104"/>
      <c r="CB949" s="104"/>
      <c r="CC949" s="103"/>
      <c r="CD949" s="103"/>
      <c r="CE949" s="103"/>
      <c r="CF949" s="103"/>
      <c r="CG949" s="103"/>
      <c r="CH949" s="133"/>
      <c r="CI949" s="133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O949" s="1"/>
      <c r="EP949" s="103"/>
      <c r="EQ949" s="103"/>
      <c r="ER949" s="1"/>
      <c r="ES949" s="103"/>
      <c r="ET949" s="1"/>
      <c r="EU949" s="1"/>
      <c r="EV949" s="1"/>
      <c r="EW949" s="105"/>
    </row>
    <row r="950" spans="9:153">
      <c r="I950" s="132"/>
      <c r="J950" s="133"/>
      <c r="K950" s="1"/>
      <c r="L950" s="1"/>
      <c r="Q950" s="1"/>
      <c r="R950" s="1"/>
      <c r="S950" s="103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53"/>
      <c r="AN950" s="103"/>
      <c r="AO950" s="103"/>
      <c r="AP950" s="103"/>
      <c r="AQ950" s="31"/>
      <c r="AR950" s="31"/>
      <c r="AS950" s="31"/>
      <c r="AT950" s="30"/>
      <c r="AU950" s="30"/>
      <c r="AV950" s="103"/>
      <c r="AW950" s="103"/>
      <c r="AX950" s="103"/>
      <c r="AY950" s="103"/>
      <c r="AZ950" s="103"/>
      <c r="BA950" s="103"/>
      <c r="BB950" s="104"/>
      <c r="BC950" s="102"/>
      <c r="BD950" s="102"/>
      <c r="BE950" s="102"/>
      <c r="BF950" s="104"/>
      <c r="BG950" s="152"/>
      <c r="BH950" s="103"/>
      <c r="BI950" s="103"/>
      <c r="BJ950" s="103"/>
      <c r="BK950" s="103"/>
      <c r="BL950" s="103"/>
      <c r="BM950" s="103"/>
      <c r="BN950" s="103"/>
      <c r="BO950" s="103"/>
      <c r="BP950" s="103"/>
      <c r="BQ950" s="103"/>
      <c r="BR950" s="103"/>
      <c r="BS950" s="104"/>
      <c r="BT950" s="104"/>
      <c r="BU950" s="104"/>
      <c r="BV950" s="104"/>
      <c r="BW950" s="104"/>
      <c r="BX950" s="104"/>
      <c r="BY950" s="104"/>
      <c r="BZ950" s="104"/>
      <c r="CA950" s="104"/>
      <c r="CB950" s="104"/>
      <c r="CC950" s="103"/>
      <c r="CD950" s="103"/>
      <c r="CE950" s="103"/>
      <c r="CF950" s="103"/>
      <c r="CG950" s="103"/>
      <c r="CH950" s="133"/>
      <c r="CI950" s="133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O950" s="1"/>
      <c r="EP950" s="103"/>
      <c r="EQ950" s="103"/>
      <c r="ER950" s="1"/>
      <c r="ES950" s="103"/>
      <c r="ET950" s="1"/>
      <c r="EU950" s="1"/>
      <c r="EV950" s="1"/>
      <c r="EW950" s="105"/>
    </row>
    <row r="951" spans="9:153">
      <c r="I951" s="132"/>
      <c r="J951" s="133"/>
      <c r="K951" s="1"/>
      <c r="L951" s="1"/>
      <c r="Q951" s="1"/>
      <c r="R951" s="1"/>
      <c r="S951" s="103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53"/>
      <c r="AN951" s="103"/>
      <c r="AO951" s="103"/>
      <c r="AP951" s="103"/>
      <c r="AQ951" s="31"/>
      <c r="AR951" s="31"/>
      <c r="AS951" s="31"/>
      <c r="AT951" s="30"/>
      <c r="AU951" s="30"/>
      <c r="AV951" s="103"/>
      <c r="AW951" s="103"/>
      <c r="AX951" s="103"/>
      <c r="AY951" s="103"/>
      <c r="AZ951" s="103"/>
      <c r="BA951" s="103"/>
      <c r="BB951" s="104"/>
      <c r="BC951" s="102"/>
      <c r="BD951" s="102"/>
      <c r="BE951" s="102"/>
      <c r="BF951" s="104"/>
      <c r="BG951" s="152"/>
      <c r="BH951" s="103"/>
      <c r="BI951" s="103"/>
      <c r="BJ951" s="103"/>
      <c r="BK951" s="103"/>
      <c r="BL951" s="103"/>
      <c r="BM951" s="103"/>
      <c r="BN951" s="103"/>
      <c r="BO951" s="103"/>
      <c r="BP951" s="103"/>
      <c r="BQ951" s="103"/>
      <c r="BR951" s="103"/>
      <c r="BS951" s="104"/>
      <c r="BT951" s="104"/>
      <c r="BU951" s="104"/>
      <c r="BV951" s="104"/>
      <c r="BW951" s="104"/>
      <c r="BX951" s="104"/>
      <c r="BY951" s="104"/>
      <c r="BZ951" s="104"/>
      <c r="CA951" s="104"/>
      <c r="CB951" s="104"/>
      <c r="CC951" s="103"/>
      <c r="CD951" s="103"/>
      <c r="CE951" s="103"/>
      <c r="CF951" s="103"/>
      <c r="CG951" s="103"/>
      <c r="CH951" s="133"/>
      <c r="CI951" s="133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O951" s="1"/>
      <c r="EP951" s="103"/>
      <c r="EQ951" s="103"/>
      <c r="ER951" s="1"/>
      <c r="ES951" s="103"/>
      <c r="ET951" s="1"/>
      <c r="EU951" s="1"/>
      <c r="EV951" s="1"/>
      <c r="EW951" s="105"/>
    </row>
    <row r="952" spans="9:153">
      <c r="I952" s="132"/>
      <c r="J952" s="133"/>
      <c r="K952" s="1"/>
      <c r="L952" s="1"/>
      <c r="Q952" s="1"/>
      <c r="R952" s="1"/>
      <c r="S952" s="103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53"/>
      <c r="AN952" s="103"/>
      <c r="AO952" s="103"/>
      <c r="AP952" s="103"/>
      <c r="AQ952" s="31"/>
      <c r="AR952" s="31"/>
      <c r="AS952" s="31"/>
      <c r="AT952" s="30"/>
      <c r="AU952" s="30"/>
      <c r="AV952" s="103"/>
      <c r="AW952" s="103"/>
      <c r="AX952" s="103"/>
      <c r="AY952" s="103"/>
      <c r="AZ952" s="103"/>
      <c r="BA952" s="103"/>
      <c r="BB952" s="104"/>
      <c r="BC952" s="102"/>
      <c r="BD952" s="102"/>
      <c r="BE952" s="102"/>
      <c r="BF952" s="104"/>
      <c r="BG952" s="152"/>
      <c r="BH952" s="103"/>
      <c r="BI952" s="103"/>
      <c r="BJ952" s="103"/>
      <c r="BK952" s="103"/>
      <c r="BL952" s="103"/>
      <c r="BM952" s="103"/>
      <c r="BN952" s="103"/>
      <c r="BO952" s="103"/>
      <c r="BP952" s="103"/>
      <c r="BQ952" s="103"/>
      <c r="BR952" s="103"/>
      <c r="BS952" s="104"/>
      <c r="BT952" s="104"/>
      <c r="BU952" s="104"/>
      <c r="BV952" s="104"/>
      <c r="BW952" s="104"/>
      <c r="BX952" s="104"/>
      <c r="BY952" s="104"/>
      <c r="BZ952" s="104"/>
      <c r="CA952" s="104"/>
      <c r="CB952" s="104"/>
      <c r="CC952" s="103"/>
      <c r="CD952" s="103"/>
      <c r="CE952" s="103"/>
      <c r="CF952" s="103"/>
      <c r="CG952" s="103"/>
      <c r="CH952" s="133"/>
      <c r="CI952" s="133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O952" s="1"/>
      <c r="EP952" s="103"/>
      <c r="EQ952" s="103"/>
      <c r="ER952" s="1"/>
      <c r="ES952" s="103"/>
      <c r="ET952" s="1"/>
      <c r="EU952" s="1"/>
      <c r="EV952" s="1"/>
      <c r="EW952" s="105"/>
    </row>
    <row r="953" spans="9:153">
      <c r="I953" s="132"/>
      <c r="J953" s="133"/>
      <c r="K953" s="1"/>
      <c r="L953" s="1"/>
      <c r="Q953" s="1"/>
      <c r="R953" s="1"/>
      <c r="S953" s="103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53"/>
      <c r="AN953" s="103"/>
      <c r="AO953" s="103"/>
      <c r="AP953" s="103"/>
      <c r="AQ953" s="31"/>
      <c r="AR953" s="31"/>
      <c r="AS953" s="31"/>
      <c r="AT953" s="30"/>
      <c r="AU953" s="30"/>
      <c r="AV953" s="103"/>
      <c r="AW953" s="103"/>
      <c r="AX953" s="103"/>
      <c r="AY953" s="103"/>
      <c r="AZ953" s="103"/>
      <c r="BA953" s="103"/>
      <c r="BB953" s="104"/>
      <c r="BC953" s="102"/>
      <c r="BD953" s="102"/>
      <c r="BE953" s="102"/>
      <c r="BF953" s="104"/>
      <c r="BG953" s="152"/>
      <c r="BH953" s="103"/>
      <c r="BI953" s="103"/>
      <c r="BJ953" s="103"/>
      <c r="BK953" s="103"/>
      <c r="BL953" s="103"/>
      <c r="BM953" s="103"/>
      <c r="BN953" s="103"/>
      <c r="BO953" s="103"/>
      <c r="BP953" s="103"/>
      <c r="BQ953" s="103"/>
      <c r="BR953" s="103"/>
      <c r="BS953" s="104"/>
      <c r="BT953" s="104"/>
      <c r="BU953" s="104"/>
      <c r="BV953" s="104"/>
      <c r="BW953" s="104"/>
      <c r="BX953" s="104"/>
      <c r="BY953" s="104"/>
      <c r="BZ953" s="104"/>
      <c r="CA953" s="104"/>
      <c r="CB953" s="104"/>
      <c r="CC953" s="103"/>
      <c r="CD953" s="103"/>
      <c r="CE953" s="103"/>
      <c r="CF953" s="103"/>
      <c r="CG953" s="103"/>
      <c r="CH953" s="133"/>
      <c r="CI953" s="133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O953" s="1"/>
      <c r="EP953" s="103"/>
      <c r="EQ953" s="103"/>
      <c r="ER953" s="1"/>
      <c r="ES953" s="103"/>
      <c r="ET953" s="1"/>
      <c r="EU953" s="1"/>
      <c r="EV953" s="1"/>
      <c r="EW953" s="105"/>
    </row>
    <row r="954" spans="9:153">
      <c r="I954" s="132"/>
      <c r="J954" s="133"/>
      <c r="K954" s="1"/>
      <c r="L954" s="1"/>
      <c r="Q954" s="1"/>
      <c r="R954" s="1"/>
      <c r="S954" s="103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53"/>
      <c r="AN954" s="103"/>
      <c r="AO954" s="103"/>
      <c r="AP954" s="103"/>
      <c r="AQ954" s="31"/>
      <c r="AR954" s="31"/>
      <c r="AS954" s="31"/>
      <c r="AT954" s="30"/>
      <c r="AU954" s="30"/>
      <c r="AV954" s="103"/>
      <c r="AW954" s="103"/>
      <c r="AX954" s="103"/>
      <c r="AY954" s="103"/>
      <c r="AZ954" s="103"/>
      <c r="BA954" s="103"/>
      <c r="BB954" s="104"/>
      <c r="BC954" s="102"/>
      <c r="BD954" s="102"/>
      <c r="BE954" s="102"/>
      <c r="BF954" s="104"/>
      <c r="BG954" s="152"/>
      <c r="BH954" s="103"/>
      <c r="BI954" s="103"/>
      <c r="BJ954" s="103"/>
      <c r="BK954" s="103"/>
      <c r="BL954" s="103"/>
      <c r="BM954" s="103"/>
      <c r="BN954" s="103"/>
      <c r="BO954" s="103"/>
      <c r="BP954" s="103"/>
      <c r="BQ954" s="103"/>
      <c r="BR954" s="103"/>
      <c r="BS954" s="104"/>
      <c r="BT954" s="104"/>
      <c r="BU954" s="104"/>
      <c r="BV954" s="104"/>
      <c r="BW954" s="104"/>
      <c r="BX954" s="104"/>
      <c r="BY954" s="104"/>
      <c r="BZ954" s="104"/>
      <c r="CA954" s="104"/>
      <c r="CB954" s="104"/>
      <c r="CC954" s="103"/>
      <c r="CD954" s="103"/>
      <c r="CE954" s="103"/>
      <c r="CF954" s="103"/>
      <c r="CG954" s="103"/>
      <c r="CH954" s="133"/>
      <c r="CI954" s="133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O954" s="1"/>
      <c r="EP954" s="103"/>
      <c r="EQ954" s="103"/>
      <c r="ER954" s="1"/>
      <c r="ES954" s="103"/>
      <c r="ET954" s="1"/>
      <c r="EU954" s="1"/>
      <c r="EV954" s="1"/>
      <c r="EW954" s="105"/>
    </row>
    <row r="955" spans="9:153">
      <c r="I955" s="132"/>
      <c r="J955" s="133"/>
      <c r="K955" s="1"/>
      <c r="L955" s="1"/>
      <c r="Q955" s="1"/>
      <c r="R955" s="1"/>
      <c r="S955" s="103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53"/>
      <c r="AN955" s="103"/>
      <c r="AO955" s="103"/>
      <c r="AP955" s="103"/>
      <c r="AQ955" s="31"/>
      <c r="AR955" s="31"/>
      <c r="AS955" s="31"/>
      <c r="AT955" s="30"/>
      <c r="AU955" s="30"/>
      <c r="AV955" s="103"/>
      <c r="AW955" s="103"/>
      <c r="AX955" s="103"/>
      <c r="AY955" s="103"/>
      <c r="AZ955" s="103"/>
      <c r="BA955" s="103"/>
      <c r="BB955" s="104"/>
      <c r="BC955" s="102"/>
      <c r="BD955" s="102"/>
      <c r="BE955" s="102"/>
      <c r="BF955" s="104"/>
      <c r="BG955" s="152"/>
      <c r="BH955" s="103"/>
      <c r="BI955" s="103"/>
      <c r="BJ955" s="103"/>
      <c r="BK955" s="103"/>
      <c r="BL955" s="103"/>
      <c r="BM955" s="103"/>
      <c r="BN955" s="103"/>
      <c r="BO955" s="103"/>
      <c r="BP955" s="103"/>
      <c r="BQ955" s="103"/>
      <c r="BR955" s="103"/>
      <c r="BS955" s="104"/>
      <c r="BT955" s="104"/>
      <c r="BU955" s="104"/>
      <c r="BV955" s="104"/>
      <c r="BW955" s="104"/>
      <c r="BX955" s="104"/>
      <c r="BY955" s="104"/>
      <c r="BZ955" s="104"/>
      <c r="CA955" s="104"/>
      <c r="CB955" s="104"/>
      <c r="CC955" s="103"/>
      <c r="CD955" s="103"/>
      <c r="CE955" s="103"/>
      <c r="CF955" s="103"/>
      <c r="CG955" s="103"/>
      <c r="CH955" s="133"/>
      <c r="CI955" s="133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O955" s="1"/>
      <c r="EP955" s="103"/>
      <c r="EQ955" s="103"/>
      <c r="ER955" s="1"/>
      <c r="ES955" s="103"/>
      <c r="ET955" s="1"/>
      <c r="EU955" s="1"/>
      <c r="EV955" s="1"/>
      <c r="EW955" s="105"/>
    </row>
    <row r="956" spans="9:153">
      <c r="I956" s="132"/>
      <c r="J956" s="133"/>
      <c r="K956" s="1"/>
      <c r="L956" s="1"/>
      <c r="Q956" s="1"/>
      <c r="R956" s="1"/>
      <c r="S956" s="103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53"/>
      <c r="AN956" s="103"/>
      <c r="AO956" s="103"/>
      <c r="AP956" s="103"/>
      <c r="AQ956" s="31"/>
      <c r="AR956" s="31"/>
      <c r="AS956" s="31"/>
      <c r="AT956" s="30"/>
      <c r="AU956" s="30"/>
      <c r="AV956" s="103"/>
      <c r="AW956" s="103"/>
      <c r="AX956" s="103"/>
      <c r="AY956" s="103"/>
      <c r="AZ956" s="103"/>
      <c r="BA956" s="103"/>
      <c r="BB956" s="104"/>
      <c r="BC956" s="102"/>
      <c r="BD956" s="102"/>
      <c r="BE956" s="102"/>
      <c r="BF956" s="104"/>
      <c r="BG956" s="152"/>
      <c r="BH956" s="103"/>
      <c r="BI956" s="103"/>
      <c r="BJ956" s="103"/>
      <c r="BK956" s="103"/>
      <c r="BL956" s="103"/>
      <c r="BM956" s="103"/>
      <c r="BN956" s="103"/>
      <c r="BO956" s="103"/>
      <c r="BP956" s="103"/>
      <c r="BQ956" s="103"/>
      <c r="BR956" s="103"/>
      <c r="BS956" s="104"/>
      <c r="BT956" s="104"/>
      <c r="BU956" s="104"/>
      <c r="BV956" s="104"/>
      <c r="BW956" s="104"/>
      <c r="BX956" s="104"/>
      <c r="BY956" s="104"/>
      <c r="BZ956" s="104"/>
      <c r="CA956" s="104"/>
      <c r="CB956" s="104"/>
      <c r="CC956" s="103"/>
      <c r="CD956" s="103"/>
      <c r="CE956" s="103"/>
      <c r="CF956" s="103"/>
      <c r="CG956" s="103"/>
      <c r="CH956" s="133"/>
      <c r="CI956" s="133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O956" s="1"/>
      <c r="EP956" s="103"/>
      <c r="EQ956" s="103"/>
      <c r="ER956" s="1"/>
      <c r="ES956" s="103"/>
      <c r="ET956" s="1"/>
      <c r="EU956" s="1"/>
      <c r="EV956" s="1"/>
      <c r="EW956" s="105"/>
    </row>
    <row r="957" spans="9:153">
      <c r="I957" s="132"/>
      <c r="J957" s="133"/>
      <c r="K957" s="1"/>
      <c r="L957" s="1"/>
      <c r="Q957" s="1"/>
      <c r="R957" s="1"/>
      <c r="S957" s="103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53"/>
      <c r="AN957" s="103"/>
      <c r="AO957" s="103"/>
      <c r="AP957" s="103"/>
      <c r="AQ957" s="31"/>
      <c r="AR957" s="31"/>
      <c r="AS957" s="31"/>
      <c r="AT957" s="30"/>
      <c r="AU957" s="30"/>
      <c r="AV957" s="103"/>
      <c r="AW957" s="103"/>
      <c r="AX957" s="103"/>
      <c r="AY957" s="103"/>
      <c r="AZ957" s="103"/>
      <c r="BA957" s="103"/>
      <c r="BB957" s="104"/>
      <c r="BC957" s="102"/>
      <c r="BD957" s="102"/>
      <c r="BE957" s="102"/>
      <c r="BF957" s="104"/>
      <c r="BG957" s="152"/>
      <c r="BH957" s="103"/>
      <c r="BI957" s="103"/>
      <c r="BJ957" s="103"/>
      <c r="BK957" s="103"/>
      <c r="BL957" s="103"/>
      <c r="BM957" s="103"/>
      <c r="BN957" s="103"/>
      <c r="BO957" s="103"/>
      <c r="BP957" s="103"/>
      <c r="BQ957" s="103"/>
      <c r="BR957" s="103"/>
      <c r="BS957" s="104"/>
      <c r="BT957" s="104"/>
      <c r="BU957" s="104"/>
      <c r="BV957" s="104"/>
      <c r="BW957" s="104"/>
      <c r="BX957" s="104"/>
      <c r="BY957" s="104"/>
      <c r="BZ957" s="104"/>
      <c r="CA957" s="104"/>
      <c r="CB957" s="104"/>
      <c r="CC957" s="103"/>
      <c r="CD957" s="103"/>
      <c r="CE957" s="103"/>
      <c r="CF957" s="103"/>
      <c r="CG957" s="103"/>
      <c r="CH957" s="133"/>
      <c r="CI957" s="133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O957" s="1"/>
      <c r="EP957" s="103"/>
      <c r="EQ957" s="103"/>
      <c r="ER957" s="1"/>
      <c r="ES957" s="103"/>
      <c r="ET957" s="1"/>
      <c r="EU957" s="1"/>
      <c r="EV957" s="1"/>
      <c r="EW957" s="105"/>
    </row>
    <row r="958" spans="9:153">
      <c r="I958" s="132"/>
      <c r="J958" s="133"/>
      <c r="K958" s="1"/>
      <c r="L958" s="1"/>
      <c r="Q958" s="1"/>
      <c r="R958" s="1"/>
      <c r="S958" s="103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53"/>
      <c r="AN958" s="103"/>
      <c r="AO958" s="103"/>
      <c r="AP958" s="103"/>
      <c r="AQ958" s="31"/>
      <c r="AR958" s="31"/>
      <c r="AS958" s="31"/>
      <c r="AT958" s="30"/>
      <c r="AU958" s="30"/>
      <c r="AV958" s="103"/>
      <c r="AW958" s="103"/>
      <c r="AX958" s="103"/>
      <c r="AY958" s="103"/>
      <c r="AZ958" s="103"/>
      <c r="BA958" s="103"/>
      <c r="BB958" s="104"/>
      <c r="BC958" s="102"/>
      <c r="BD958" s="102"/>
      <c r="BE958" s="102"/>
      <c r="BF958" s="104"/>
      <c r="BG958" s="152"/>
      <c r="BH958" s="103"/>
      <c r="BI958" s="103"/>
      <c r="BJ958" s="103"/>
      <c r="BK958" s="103"/>
      <c r="BL958" s="103"/>
      <c r="BM958" s="103"/>
      <c r="BN958" s="103"/>
      <c r="BO958" s="103"/>
      <c r="BP958" s="103"/>
      <c r="BQ958" s="103"/>
      <c r="BR958" s="103"/>
      <c r="BS958" s="104"/>
      <c r="BT958" s="104"/>
      <c r="BU958" s="104"/>
      <c r="BV958" s="104"/>
      <c r="BW958" s="104"/>
      <c r="BX958" s="104"/>
      <c r="BY958" s="104"/>
      <c r="BZ958" s="104"/>
      <c r="CA958" s="104"/>
      <c r="CB958" s="104"/>
      <c r="CC958" s="103"/>
      <c r="CD958" s="103"/>
      <c r="CE958" s="103"/>
      <c r="CF958" s="103"/>
      <c r="CG958" s="103"/>
      <c r="CH958" s="133"/>
      <c r="CI958" s="133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O958" s="1"/>
      <c r="EP958" s="103"/>
      <c r="EQ958" s="103"/>
      <c r="ER958" s="1"/>
      <c r="ES958" s="103"/>
      <c r="ET958" s="1"/>
      <c r="EU958" s="1"/>
      <c r="EV958" s="1"/>
      <c r="EW958" s="105"/>
    </row>
    <row r="959" spans="9:153">
      <c r="I959" s="132"/>
      <c r="J959" s="133"/>
      <c r="K959" s="1"/>
      <c r="L959" s="1"/>
      <c r="Q959" s="1"/>
      <c r="R959" s="1"/>
      <c r="S959" s="103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53"/>
      <c r="AN959" s="103"/>
      <c r="AO959" s="103"/>
      <c r="AP959" s="103"/>
      <c r="AQ959" s="31"/>
      <c r="AR959" s="31"/>
      <c r="AS959" s="31"/>
      <c r="AT959" s="30"/>
      <c r="AU959" s="30"/>
      <c r="AV959" s="103"/>
      <c r="AW959" s="103"/>
      <c r="AX959" s="103"/>
      <c r="AY959" s="103"/>
      <c r="AZ959" s="103"/>
      <c r="BA959" s="103"/>
      <c r="BB959" s="104"/>
      <c r="BC959" s="102"/>
      <c r="BD959" s="102"/>
      <c r="BE959" s="102"/>
      <c r="BF959" s="104"/>
      <c r="BG959" s="152"/>
      <c r="BH959" s="103"/>
      <c r="BI959" s="103"/>
      <c r="BJ959" s="103"/>
      <c r="BK959" s="103"/>
      <c r="BL959" s="103"/>
      <c r="BM959" s="103"/>
      <c r="BN959" s="103"/>
      <c r="BO959" s="103"/>
      <c r="BP959" s="103"/>
      <c r="BQ959" s="103"/>
      <c r="BR959" s="103"/>
      <c r="BS959" s="104"/>
      <c r="BT959" s="104"/>
      <c r="BU959" s="104"/>
      <c r="BV959" s="104"/>
      <c r="BW959" s="104"/>
      <c r="BX959" s="104"/>
      <c r="BY959" s="104"/>
      <c r="BZ959" s="104"/>
      <c r="CA959" s="104"/>
      <c r="CB959" s="104"/>
      <c r="CC959" s="103"/>
      <c r="CD959" s="103"/>
      <c r="CE959" s="103"/>
      <c r="CF959" s="103"/>
      <c r="CG959" s="103"/>
      <c r="CH959" s="133"/>
      <c r="CI959" s="133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O959" s="1"/>
      <c r="EP959" s="103"/>
      <c r="EQ959" s="103"/>
      <c r="ER959" s="1"/>
      <c r="ES959" s="103"/>
      <c r="ET959" s="1"/>
      <c r="EU959" s="1"/>
      <c r="EV959" s="1"/>
      <c r="EW959" s="105"/>
    </row>
    <row r="960" spans="9:153">
      <c r="I960" s="132"/>
      <c r="J960" s="133"/>
      <c r="K960" s="1"/>
      <c r="L960" s="1"/>
      <c r="Q960" s="1"/>
      <c r="R960" s="1"/>
      <c r="S960" s="103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53"/>
      <c r="AN960" s="103"/>
      <c r="AO960" s="103"/>
      <c r="AP960" s="103"/>
      <c r="AQ960" s="31"/>
      <c r="AR960" s="31"/>
      <c r="AS960" s="31"/>
      <c r="AT960" s="30"/>
      <c r="AU960" s="30"/>
      <c r="AV960" s="103"/>
      <c r="AW960" s="103"/>
      <c r="AX960" s="103"/>
      <c r="AY960" s="103"/>
      <c r="AZ960" s="103"/>
      <c r="BA960" s="103"/>
      <c r="BB960" s="104"/>
      <c r="BC960" s="102"/>
      <c r="BD960" s="102"/>
      <c r="BE960" s="102"/>
      <c r="BF960" s="104"/>
      <c r="BG960" s="152"/>
      <c r="BH960" s="103"/>
      <c r="BI960" s="103"/>
      <c r="BJ960" s="103"/>
      <c r="BK960" s="103"/>
      <c r="BL960" s="103"/>
      <c r="BM960" s="103"/>
      <c r="BN960" s="103"/>
      <c r="BO960" s="103"/>
      <c r="BP960" s="103"/>
      <c r="BQ960" s="103"/>
      <c r="BR960" s="103"/>
      <c r="BS960" s="104"/>
      <c r="BT960" s="104"/>
      <c r="BU960" s="104"/>
      <c r="BV960" s="104"/>
      <c r="BW960" s="104"/>
      <c r="BX960" s="104"/>
      <c r="BY960" s="104"/>
      <c r="BZ960" s="104"/>
      <c r="CA960" s="104"/>
      <c r="CB960" s="104"/>
      <c r="CC960" s="103"/>
      <c r="CD960" s="103"/>
      <c r="CE960" s="103"/>
      <c r="CF960" s="103"/>
      <c r="CG960" s="103"/>
      <c r="CH960" s="133"/>
      <c r="CI960" s="133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O960" s="1"/>
      <c r="EP960" s="103"/>
      <c r="EQ960" s="103"/>
      <c r="ER960" s="1"/>
      <c r="ES960" s="103"/>
      <c r="ET960" s="1"/>
      <c r="EU960" s="1"/>
      <c r="EV960" s="1"/>
      <c r="EW960" s="105"/>
    </row>
    <row r="961" spans="9:153">
      <c r="I961" s="132"/>
      <c r="J961" s="133"/>
      <c r="K961" s="1"/>
      <c r="L961" s="1"/>
      <c r="Q961" s="1"/>
      <c r="R961" s="1"/>
      <c r="S961" s="103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53"/>
      <c r="AN961" s="103"/>
      <c r="AO961" s="103"/>
      <c r="AP961" s="103"/>
      <c r="AQ961" s="31"/>
      <c r="AR961" s="31"/>
      <c r="AS961" s="31"/>
      <c r="AT961" s="30"/>
      <c r="AU961" s="30"/>
      <c r="AV961" s="103"/>
      <c r="AW961" s="103"/>
      <c r="AX961" s="103"/>
      <c r="AY961" s="103"/>
      <c r="AZ961" s="103"/>
      <c r="BA961" s="103"/>
      <c r="BB961" s="104"/>
      <c r="BC961" s="102"/>
      <c r="BD961" s="102"/>
      <c r="BE961" s="102"/>
      <c r="BF961" s="104"/>
      <c r="BG961" s="152"/>
      <c r="BH961" s="103"/>
      <c r="BI961" s="103"/>
      <c r="BJ961" s="103"/>
      <c r="BK961" s="103"/>
      <c r="BL961" s="103"/>
      <c r="BM961" s="103"/>
      <c r="BN961" s="103"/>
      <c r="BO961" s="103"/>
      <c r="BP961" s="103"/>
      <c r="BQ961" s="103"/>
      <c r="BR961" s="103"/>
      <c r="BS961" s="104"/>
      <c r="BT961" s="104"/>
      <c r="BU961" s="104"/>
      <c r="BV961" s="104"/>
      <c r="BW961" s="104"/>
      <c r="BX961" s="104"/>
      <c r="BY961" s="104"/>
      <c r="BZ961" s="104"/>
      <c r="CA961" s="104"/>
      <c r="CB961" s="104"/>
      <c r="CC961" s="103"/>
      <c r="CD961" s="103"/>
      <c r="CE961" s="103"/>
      <c r="CF961" s="103"/>
      <c r="CG961" s="103"/>
      <c r="CH961" s="133"/>
      <c r="CI961" s="133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O961" s="1"/>
      <c r="EP961" s="103"/>
      <c r="EQ961" s="103"/>
      <c r="ER961" s="1"/>
      <c r="ES961" s="103"/>
      <c r="ET961" s="1"/>
      <c r="EU961" s="1"/>
      <c r="EV961" s="1"/>
      <c r="EW961" s="105"/>
    </row>
    <row r="962" spans="9:153">
      <c r="I962" s="132"/>
      <c r="J962" s="133"/>
      <c r="K962" s="1"/>
      <c r="L962" s="1"/>
      <c r="Q962" s="1"/>
      <c r="R962" s="1"/>
      <c r="S962" s="103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53"/>
      <c r="AN962" s="103"/>
      <c r="AO962" s="103"/>
      <c r="AP962" s="103"/>
      <c r="AQ962" s="31"/>
      <c r="AR962" s="31"/>
      <c r="AS962" s="31"/>
      <c r="AT962" s="30"/>
      <c r="AU962" s="30"/>
      <c r="AV962" s="103"/>
      <c r="AW962" s="103"/>
      <c r="AX962" s="103"/>
      <c r="AY962" s="103"/>
      <c r="AZ962" s="103"/>
      <c r="BA962" s="103"/>
      <c r="BB962" s="104"/>
      <c r="BC962" s="102"/>
      <c r="BD962" s="102"/>
      <c r="BE962" s="102"/>
      <c r="BF962" s="104"/>
      <c r="BG962" s="152"/>
      <c r="BH962" s="103"/>
      <c r="BI962" s="103"/>
      <c r="BJ962" s="103"/>
      <c r="BK962" s="103"/>
      <c r="BL962" s="103"/>
      <c r="BM962" s="103"/>
      <c r="BN962" s="103"/>
      <c r="BO962" s="103"/>
      <c r="BP962" s="103"/>
      <c r="BQ962" s="103"/>
      <c r="BR962" s="103"/>
      <c r="BS962" s="104"/>
      <c r="BT962" s="104"/>
      <c r="BU962" s="104"/>
      <c r="BV962" s="104"/>
      <c r="BW962" s="104"/>
      <c r="BX962" s="104"/>
      <c r="BY962" s="104"/>
      <c r="BZ962" s="104"/>
      <c r="CA962" s="104"/>
      <c r="CB962" s="104"/>
      <c r="CC962" s="103"/>
      <c r="CD962" s="103"/>
      <c r="CE962" s="103"/>
      <c r="CF962" s="103"/>
      <c r="CG962" s="103"/>
      <c r="CH962" s="133"/>
      <c r="CI962" s="133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O962" s="1"/>
      <c r="EP962" s="103"/>
      <c r="EQ962" s="103"/>
      <c r="ER962" s="1"/>
      <c r="ES962" s="103"/>
      <c r="ET962" s="1"/>
      <c r="EU962" s="1"/>
      <c r="EV962" s="1"/>
      <c r="EW962" s="105"/>
    </row>
    <row r="963" spans="9:153">
      <c r="I963" s="132"/>
      <c r="J963" s="133"/>
      <c r="K963" s="1"/>
      <c r="L963" s="1"/>
      <c r="Q963" s="1"/>
      <c r="R963" s="1"/>
      <c r="S963" s="103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53"/>
      <c r="AN963" s="103"/>
      <c r="AO963" s="103"/>
      <c r="AP963" s="103"/>
      <c r="AQ963" s="31"/>
      <c r="AR963" s="31"/>
      <c r="AS963" s="31"/>
      <c r="AT963" s="30"/>
      <c r="AU963" s="30"/>
      <c r="AV963" s="103"/>
      <c r="AW963" s="103"/>
      <c r="AX963" s="103"/>
      <c r="AY963" s="103"/>
      <c r="AZ963" s="103"/>
      <c r="BA963" s="103"/>
      <c r="BB963" s="104"/>
      <c r="BC963" s="102"/>
      <c r="BD963" s="102"/>
      <c r="BE963" s="102"/>
      <c r="BF963" s="104"/>
      <c r="BG963" s="152"/>
      <c r="BH963" s="103"/>
      <c r="BI963" s="103"/>
      <c r="BJ963" s="103"/>
      <c r="BK963" s="103"/>
      <c r="BL963" s="103"/>
      <c r="BM963" s="103"/>
      <c r="BN963" s="103"/>
      <c r="BO963" s="103"/>
      <c r="BP963" s="103"/>
      <c r="BQ963" s="103"/>
      <c r="BR963" s="103"/>
      <c r="BS963" s="104"/>
      <c r="BT963" s="104"/>
      <c r="BU963" s="104"/>
      <c r="BV963" s="104"/>
      <c r="BW963" s="104"/>
      <c r="BX963" s="104"/>
      <c r="BY963" s="104"/>
      <c r="BZ963" s="104"/>
      <c r="CA963" s="104"/>
      <c r="CB963" s="104"/>
      <c r="CC963" s="103"/>
      <c r="CD963" s="103"/>
      <c r="CE963" s="103"/>
      <c r="CF963" s="103"/>
      <c r="CG963" s="103"/>
      <c r="CH963" s="133"/>
      <c r="CI963" s="133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O963" s="1"/>
      <c r="EP963" s="103"/>
      <c r="EQ963" s="103"/>
      <c r="ER963" s="1"/>
      <c r="ES963" s="103"/>
      <c r="ET963" s="1"/>
      <c r="EU963" s="1"/>
      <c r="EV963" s="1"/>
      <c r="EW963" s="105"/>
    </row>
    <row r="964" spans="9:153">
      <c r="I964" s="132"/>
      <c r="J964" s="133"/>
      <c r="K964" s="1"/>
      <c r="L964" s="1"/>
      <c r="Q964" s="1"/>
      <c r="R964" s="1"/>
      <c r="S964" s="103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53"/>
      <c r="AN964" s="103"/>
      <c r="AO964" s="103"/>
      <c r="AP964" s="103"/>
      <c r="AQ964" s="31"/>
      <c r="AR964" s="31"/>
      <c r="AS964" s="31"/>
      <c r="AT964" s="30"/>
      <c r="AU964" s="30"/>
      <c r="AV964" s="103"/>
      <c r="AW964" s="103"/>
      <c r="AX964" s="103"/>
      <c r="AY964" s="103"/>
      <c r="AZ964" s="103"/>
      <c r="BA964" s="103"/>
      <c r="BB964" s="104"/>
      <c r="BC964" s="102"/>
      <c r="BD964" s="102"/>
      <c r="BE964" s="102"/>
      <c r="BF964" s="104"/>
      <c r="BG964" s="152"/>
      <c r="BH964" s="103"/>
      <c r="BI964" s="103"/>
      <c r="BJ964" s="103"/>
      <c r="BK964" s="103"/>
      <c r="BL964" s="103"/>
      <c r="BM964" s="103"/>
      <c r="BN964" s="103"/>
      <c r="BO964" s="103"/>
      <c r="BP964" s="103"/>
      <c r="BQ964" s="103"/>
      <c r="BR964" s="103"/>
      <c r="BS964" s="104"/>
      <c r="BT964" s="104"/>
      <c r="BU964" s="104"/>
      <c r="BV964" s="104"/>
      <c r="BW964" s="104"/>
      <c r="BX964" s="104"/>
      <c r="BY964" s="104"/>
      <c r="BZ964" s="104"/>
      <c r="CA964" s="104"/>
      <c r="CB964" s="104"/>
      <c r="CC964" s="103"/>
      <c r="CD964" s="103"/>
      <c r="CE964" s="103"/>
      <c r="CF964" s="103"/>
      <c r="CG964" s="103"/>
      <c r="CH964" s="133"/>
      <c r="CI964" s="133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O964" s="1"/>
      <c r="EP964" s="103"/>
      <c r="EQ964" s="103"/>
      <c r="ER964" s="1"/>
      <c r="ES964" s="103"/>
      <c r="ET964" s="1"/>
      <c r="EU964" s="1"/>
      <c r="EV964" s="1"/>
      <c r="EW964" s="105"/>
    </row>
    <row r="965" spans="9:153">
      <c r="I965" s="132"/>
      <c r="J965" s="133"/>
      <c r="K965" s="1"/>
      <c r="L965" s="1"/>
      <c r="Q965" s="1"/>
      <c r="R965" s="1"/>
      <c r="S965" s="103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53"/>
      <c r="AN965" s="103"/>
      <c r="AO965" s="103"/>
      <c r="AP965" s="103"/>
      <c r="AQ965" s="31"/>
      <c r="AR965" s="31"/>
      <c r="AS965" s="31"/>
      <c r="AT965" s="30"/>
      <c r="AU965" s="30"/>
      <c r="AV965" s="103"/>
      <c r="AW965" s="103"/>
      <c r="AX965" s="103"/>
      <c r="AY965" s="103"/>
      <c r="AZ965" s="103"/>
      <c r="BA965" s="103"/>
      <c r="BB965" s="104"/>
      <c r="BC965" s="102"/>
      <c r="BD965" s="102"/>
      <c r="BE965" s="102"/>
      <c r="BF965" s="104"/>
      <c r="BG965" s="152"/>
      <c r="BH965" s="103"/>
      <c r="BI965" s="103"/>
      <c r="BJ965" s="103"/>
      <c r="BK965" s="103"/>
      <c r="BL965" s="103"/>
      <c r="BM965" s="103"/>
      <c r="BN965" s="103"/>
      <c r="BO965" s="103"/>
      <c r="BP965" s="103"/>
      <c r="BQ965" s="103"/>
      <c r="BR965" s="103"/>
      <c r="BS965" s="104"/>
      <c r="BT965" s="104"/>
      <c r="BU965" s="104"/>
      <c r="BV965" s="104"/>
      <c r="BW965" s="104"/>
      <c r="BX965" s="104"/>
      <c r="BY965" s="104"/>
      <c r="BZ965" s="104"/>
      <c r="CA965" s="104"/>
      <c r="CB965" s="104"/>
      <c r="CC965" s="103"/>
      <c r="CD965" s="103"/>
      <c r="CE965" s="103"/>
      <c r="CF965" s="103"/>
      <c r="CG965" s="103"/>
      <c r="CH965" s="133"/>
      <c r="CI965" s="133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O965" s="1"/>
      <c r="EP965" s="103"/>
      <c r="EQ965" s="103"/>
      <c r="ER965" s="1"/>
      <c r="ES965" s="103"/>
      <c r="ET965" s="1"/>
      <c r="EU965" s="1"/>
      <c r="EV965" s="1"/>
      <c r="EW965" s="105"/>
    </row>
    <row r="966" spans="9:153">
      <c r="I966" s="132"/>
      <c r="J966" s="133"/>
      <c r="K966" s="1"/>
      <c r="L966" s="1"/>
      <c r="Q966" s="1"/>
      <c r="R966" s="1"/>
      <c r="S966" s="103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53"/>
      <c r="AN966" s="103"/>
      <c r="AO966" s="103"/>
      <c r="AP966" s="103"/>
      <c r="AQ966" s="31"/>
      <c r="AR966" s="31"/>
      <c r="AS966" s="31"/>
      <c r="AT966" s="30"/>
      <c r="AU966" s="30"/>
      <c r="AV966" s="103"/>
      <c r="AW966" s="103"/>
      <c r="AX966" s="103"/>
      <c r="AY966" s="103"/>
      <c r="AZ966" s="103"/>
      <c r="BA966" s="103"/>
      <c r="BB966" s="104"/>
      <c r="BC966" s="102"/>
      <c r="BD966" s="102"/>
      <c r="BE966" s="102"/>
      <c r="BF966" s="104"/>
      <c r="BG966" s="152"/>
      <c r="BH966" s="103"/>
      <c r="BI966" s="103"/>
      <c r="BJ966" s="103"/>
      <c r="BK966" s="103"/>
      <c r="BL966" s="103"/>
      <c r="BM966" s="103"/>
      <c r="BN966" s="103"/>
      <c r="BO966" s="103"/>
      <c r="BP966" s="103"/>
      <c r="BQ966" s="103"/>
      <c r="BR966" s="103"/>
      <c r="BS966" s="104"/>
      <c r="BT966" s="104"/>
      <c r="BU966" s="104"/>
      <c r="BV966" s="104"/>
      <c r="BW966" s="104"/>
      <c r="BX966" s="104"/>
      <c r="BY966" s="104"/>
      <c r="BZ966" s="104"/>
      <c r="CA966" s="104"/>
      <c r="CB966" s="104"/>
      <c r="CC966" s="103"/>
      <c r="CD966" s="103"/>
      <c r="CE966" s="103"/>
      <c r="CF966" s="103"/>
      <c r="CG966" s="103"/>
      <c r="CH966" s="133"/>
      <c r="CI966" s="133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O966" s="1"/>
      <c r="EP966" s="103"/>
      <c r="EQ966" s="103"/>
      <c r="ER966" s="1"/>
      <c r="ES966" s="103"/>
      <c r="ET966" s="1"/>
      <c r="EU966" s="1"/>
      <c r="EV966" s="1"/>
      <c r="EW966" s="105"/>
    </row>
    <row r="967" spans="9:153">
      <c r="I967" s="132"/>
      <c r="J967" s="133"/>
      <c r="K967" s="1"/>
      <c r="L967" s="1"/>
      <c r="Q967" s="1"/>
      <c r="R967" s="1"/>
      <c r="S967" s="103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53"/>
      <c r="AN967" s="103"/>
      <c r="AO967" s="103"/>
      <c r="AP967" s="103"/>
      <c r="AQ967" s="31"/>
      <c r="AR967" s="31"/>
      <c r="AS967" s="31"/>
      <c r="AT967" s="30"/>
      <c r="AU967" s="30"/>
      <c r="AV967" s="103"/>
      <c r="AW967" s="103"/>
      <c r="AX967" s="103"/>
      <c r="AY967" s="103"/>
      <c r="AZ967" s="103"/>
      <c r="BA967" s="103"/>
      <c r="BB967" s="104"/>
      <c r="BC967" s="102"/>
      <c r="BD967" s="102"/>
      <c r="BE967" s="102"/>
      <c r="BF967" s="104"/>
      <c r="BG967" s="152"/>
      <c r="BH967" s="103"/>
      <c r="BI967" s="103"/>
      <c r="BJ967" s="103"/>
      <c r="BK967" s="103"/>
      <c r="BL967" s="103"/>
      <c r="BM967" s="103"/>
      <c r="BN967" s="103"/>
      <c r="BO967" s="103"/>
      <c r="BP967" s="103"/>
      <c r="BQ967" s="103"/>
      <c r="BR967" s="103"/>
      <c r="BS967" s="104"/>
      <c r="BT967" s="104"/>
      <c r="BU967" s="104"/>
      <c r="BV967" s="104"/>
      <c r="BW967" s="104"/>
      <c r="BX967" s="104"/>
      <c r="BY967" s="104"/>
      <c r="BZ967" s="104"/>
      <c r="CA967" s="104"/>
      <c r="CB967" s="104"/>
      <c r="CC967" s="103"/>
      <c r="CD967" s="103"/>
      <c r="CE967" s="103"/>
      <c r="CF967" s="103"/>
      <c r="CG967" s="103"/>
      <c r="CH967" s="133"/>
      <c r="CI967" s="133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O967" s="1"/>
      <c r="EP967" s="103"/>
      <c r="EQ967" s="103"/>
      <c r="ER967" s="1"/>
      <c r="ES967" s="103"/>
      <c r="ET967" s="1"/>
      <c r="EU967" s="1"/>
      <c r="EV967" s="1"/>
      <c r="EW967" s="105"/>
    </row>
    <row r="968" spans="9:153">
      <c r="I968" s="132"/>
      <c r="J968" s="133"/>
      <c r="K968" s="1"/>
      <c r="L968" s="1"/>
      <c r="Q968" s="1"/>
      <c r="R968" s="1"/>
      <c r="S968" s="103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53"/>
      <c r="AN968" s="103"/>
      <c r="AO968" s="103"/>
      <c r="AP968" s="103"/>
      <c r="AQ968" s="31"/>
      <c r="AR968" s="31"/>
      <c r="AS968" s="31"/>
      <c r="AT968" s="30"/>
      <c r="AU968" s="30"/>
      <c r="AV968" s="103"/>
      <c r="AW968" s="103"/>
      <c r="AX968" s="103"/>
      <c r="AY968" s="103"/>
      <c r="AZ968" s="103"/>
      <c r="BA968" s="103"/>
      <c r="BB968" s="104"/>
      <c r="BC968" s="102"/>
      <c r="BD968" s="102"/>
      <c r="BE968" s="102"/>
      <c r="BF968" s="104"/>
      <c r="BG968" s="152"/>
      <c r="BH968" s="103"/>
      <c r="BI968" s="103"/>
      <c r="BJ968" s="103"/>
      <c r="BK968" s="103"/>
      <c r="BL968" s="103"/>
      <c r="BM968" s="103"/>
      <c r="BN968" s="103"/>
      <c r="BO968" s="103"/>
      <c r="BP968" s="103"/>
      <c r="BQ968" s="103"/>
      <c r="BR968" s="103"/>
      <c r="BS968" s="104"/>
      <c r="BT968" s="104"/>
      <c r="BU968" s="104"/>
      <c r="BV968" s="104"/>
      <c r="BW968" s="104"/>
      <c r="BX968" s="104"/>
      <c r="BY968" s="104"/>
      <c r="BZ968" s="104"/>
      <c r="CA968" s="104"/>
      <c r="CB968" s="104"/>
      <c r="CC968" s="103"/>
      <c r="CD968" s="103"/>
      <c r="CE968" s="103"/>
      <c r="CF968" s="103"/>
      <c r="CG968" s="103"/>
      <c r="CH968" s="133"/>
      <c r="CI968" s="133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O968" s="1"/>
      <c r="EP968" s="103"/>
      <c r="EQ968" s="103"/>
      <c r="ER968" s="1"/>
      <c r="ES968" s="103"/>
      <c r="ET968" s="1"/>
      <c r="EU968" s="1"/>
      <c r="EV968" s="1"/>
      <c r="EW968" s="105"/>
    </row>
    <row r="969" spans="9:153">
      <c r="I969" s="132"/>
      <c r="J969" s="133"/>
      <c r="K969" s="1"/>
      <c r="L969" s="1"/>
      <c r="Q969" s="1"/>
      <c r="R969" s="1"/>
      <c r="S969" s="103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53"/>
      <c r="AN969" s="103"/>
      <c r="AO969" s="103"/>
      <c r="AP969" s="103"/>
      <c r="AQ969" s="31"/>
      <c r="AR969" s="31"/>
      <c r="AS969" s="31"/>
      <c r="AT969" s="30"/>
      <c r="AU969" s="30"/>
      <c r="AV969" s="103"/>
      <c r="AW969" s="103"/>
      <c r="AX969" s="103"/>
      <c r="AY969" s="103"/>
      <c r="AZ969" s="103"/>
      <c r="BA969" s="103"/>
      <c r="BB969" s="104"/>
      <c r="BC969" s="102"/>
      <c r="BD969" s="102"/>
      <c r="BE969" s="102"/>
      <c r="BF969" s="104"/>
      <c r="BG969" s="152"/>
      <c r="BH969" s="103"/>
      <c r="BI969" s="103"/>
      <c r="BJ969" s="103"/>
      <c r="BK969" s="103"/>
      <c r="BL969" s="103"/>
      <c r="BM969" s="103"/>
      <c r="BN969" s="103"/>
      <c r="BO969" s="103"/>
      <c r="BP969" s="103"/>
      <c r="BQ969" s="103"/>
      <c r="BR969" s="103"/>
      <c r="BS969" s="104"/>
      <c r="BT969" s="104"/>
      <c r="BU969" s="104"/>
      <c r="BV969" s="104"/>
      <c r="BW969" s="104"/>
      <c r="BX969" s="104"/>
      <c r="BY969" s="104"/>
      <c r="BZ969" s="104"/>
      <c r="CA969" s="104"/>
      <c r="CB969" s="104"/>
      <c r="CC969" s="103"/>
      <c r="CD969" s="103"/>
      <c r="CE969" s="103"/>
      <c r="CF969" s="103"/>
      <c r="CG969" s="103"/>
      <c r="CH969" s="133"/>
      <c r="CI969" s="133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O969" s="1"/>
      <c r="EP969" s="103"/>
      <c r="EQ969" s="103"/>
      <c r="ER969" s="1"/>
      <c r="ES969" s="103"/>
      <c r="ET969" s="1"/>
      <c r="EU969" s="1"/>
      <c r="EV969" s="1"/>
      <c r="EW969" s="105"/>
    </row>
    <row r="970" spans="9:153">
      <c r="I970" s="132"/>
      <c r="J970" s="133"/>
      <c r="K970" s="1"/>
      <c r="L970" s="1"/>
      <c r="Q970" s="1"/>
      <c r="R970" s="1"/>
      <c r="S970" s="103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53"/>
      <c r="AN970" s="103"/>
      <c r="AO970" s="103"/>
      <c r="AP970" s="103"/>
      <c r="AQ970" s="31"/>
      <c r="AR970" s="31"/>
      <c r="AS970" s="31"/>
      <c r="AT970" s="30"/>
      <c r="AU970" s="30"/>
      <c r="AV970" s="103"/>
      <c r="AW970" s="103"/>
      <c r="AX970" s="103"/>
      <c r="AY970" s="103"/>
      <c r="AZ970" s="103"/>
      <c r="BA970" s="103"/>
      <c r="BB970" s="104"/>
      <c r="BC970" s="102"/>
      <c r="BD970" s="102"/>
      <c r="BE970" s="102"/>
      <c r="BF970" s="104"/>
      <c r="BG970" s="152"/>
      <c r="BH970" s="103"/>
      <c r="BI970" s="103"/>
      <c r="BJ970" s="103"/>
      <c r="BK970" s="103"/>
      <c r="BL970" s="103"/>
      <c r="BM970" s="103"/>
      <c r="BN970" s="103"/>
      <c r="BO970" s="103"/>
      <c r="BP970" s="103"/>
      <c r="BQ970" s="103"/>
      <c r="BR970" s="103"/>
      <c r="BS970" s="104"/>
      <c r="BT970" s="104"/>
      <c r="BU970" s="104"/>
      <c r="BV970" s="104"/>
      <c r="BW970" s="104"/>
      <c r="BX970" s="104"/>
      <c r="BY970" s="104"/>
      <c r="BZ970" s="104"/>
      <c r="CA970" s="104"/>
      <c r="CB970" s="104"/>
      <c r="CC970" s="103"/>
      <c r="CD970" s="103"/>
      <c r="CE970" s="103"/>
      <c r="CF970" s="103"/>
      <c r="CG970" s="103"/>
      <c r="CH970" s="133"/>
      <c r="CI970" s="133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O970" s="1"/>
      <c r="EP970" s="103"/>
      <c r="EQ970" s="103"/>
      <c r="ER970" s="1"/>
      <c r="ES970" s="103"/>
      <c r="ET970" s="1"/>
      <c r="EU970" s="1"/>
      <c r="EV970" s="1"/>
      <c r="EW970" s="105"/>
    </row>
    <row r="971" spans="9:153">
      <c r="I971" s="132"/>
      <c r="J971" s="133"/>
      <c r="K971" s="1"/>
      <c r="L971" s="1"/>
      <c r="Q971" s="1"/>
      <c r="R971" s="1"/>
      <c r="S971" s="103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53"/>
      <c r="AN971" s="103"/>
      <c r="AO971" s="103"/>
      <c r="AP971" s="103"/>
      <c r="AQ971" s="31"/>
      <c r="AR971" s="31"/>
      <c r="AS971" s="31"/>
      <c r="AT971" s="30"/>
      <c r="AU971" s="30"/>
      <c r="AV971" s="103"/>
      <c r="AW971" s="103"/>
      <c r="AX971" s="103"/>
      <c r="AY971" s="103"/>
      <c r="AZ971" s="103"/>
      <c r="BA971" s="103"/>
      <c r="BB971" s="104"/>
      <c r="BC971" s="102"/>
      <c r="BD971" s="102"/>
      <c r="BE971" s="102"/>
      <c r="BF971" s="104"/>
      <c r="BG971" s="152"/>
      <c r="BH971" s="103"/>
      <c r="BI971" s="103"/>
      <c r="BJ971" s="103"/>
      <c r="BK971" s="103"/>
      <c r="BL971" s="103"/>
      <c r="BM971" s="103"/>
      <c r="BN971" s="103"/>
      <c r="BO971" s="103"/>
      <c r="BP971" s="103"/>
      <c r="BQ971" s="103"/>
      <c r="BR971" s="103"/>
      <c r="BS971" s="104"/>
      <c r="BT971" s="104"/>
      <c r="BU971" s="104"/>
      <c r="BV971" s="104"/>
      <c r="BW971" s="104"/>
      <c r="BX971" s="104"/>
      <c r="BY971" s="104"/>
      <c r="BZ971" s="104"/>
      <c r="CA971" s="104"/>
      <c r="CB971" s="104"/>
      <c r="CC971" s="103"/>
      <c r="CD971" s="103"/>
      <c r="CE971" s="103"/>
      <c r="CF971" s="103"/>
      <c r="CG971" s="103"/>
      <c r="CH971" s="133"/>
      <c r="CI971" s="133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O971" s="1"/>
      <c r="EP971" s="103"/>
      <c r="EQ971" s="103"/>
      <c r="ER971" s="1"/>
      <c r="ES971" s="103"/>
      <c r="ET971" s="1"/>
      <c r="EU971" s="1"/>
      <c r="EV971" s="1"/>
      <c r="EW971" s="105"/>
    </row>
    <row r="972" spans="9:153">
      <c r="I972" s="132"/>
      <c r="J972" s="133"/>
      <c r="K972" s="1"/>
      <c r="L972" s="1"/>
      <c r="Q972" s="1"/>
      <c r="R972" s="1"/>
      <c r="S972" s="103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53"/>
      <c r="AN972" s="103"/>
      <c r="AO972" s="103"/>
      <c r="AP972" s="103"/>
      <c r="AQ972" s="31"/>
      <c r="AR972" s="31"/>
      <c r="AS972" s="31"/>
      <c r="AT972" s="30"/>
      <c r="AU972" s="30"/>
      <c r="AV972" s="103"/>
      <c r="AW972" s="103"/>
      <c r="AX972" s="103"/>
      <c r="AY972" s="103"/>
      <c r="AZ972" s="103"/>
      <c r="BA972" s="103"/>
      <c r="BB972" s="104"/>
      <c r="BC972" s="102"/>
      <c r="BD972" s="102"/>
      <c r="BE972" s="102"/>
      <c r="BF972" s="104"/>
      <c r="BG972" s="152"/>
      <c r="BH972" s="103"/>
      <c r="BI972" s="103"/>
      <c r="BJ972" s="103"/>
      <c r="BK972" s="103"/>
      <c r="BL972" s="103"/>
      <c r="BM972" s="103"/>
      <c r="BN972" s="103"/>
      <c r="BO972" s="103"/>
      <c r="BP972" s="103"/>
      <c r="BQ972" s="103"/>
      <c r="BR972" s="103"/>
      <c r="BS972" s="104"/>
      <c r="BT972" s="104"/>
      <c r="BU972" s="104"/>
      <c r="BV972" s="104"/>
      <c r="BW972" s="104"/>
      <c r="BX972" s="104"/>
      <c r="BY972" s="104"/>
      <c r="BZ972" s="104"/>
      <c r="CA972" s="104"/>
      <c r="CB972" s="104"/>
      <c r="CC972" s="103"/>
      <c r="CD972" s="103"/>
      <c r="CE972" s="103"/>
      <c r="CF972" s="103"/>
      <c r="CG972" s="103"/>
      <c r="CH972" s="133"/>
      <c r="CI972" s="133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O972" s="1"/>
      <c r="EP972" s="103"/>
      <c r="EQ972" s="103"/>
      <c r="ER972" s="1"/>
      <c r="ES972" s="103"/>
      <c r="ET972" s="1"/>
      <c r="EU972" s="1"/>
      <c r="EV972" s="1"/>
      <c r="EW972" s="105"/>
    </row>
    <row r="973" spans="9:153">
      <c r="I973" s="132"/>
      <c r="J973" s="133"/>
      <c r="K973" s="1"/>
      <c r="L973" s="1"/>
      <c r="Q973" s="1"/>
      <c r="R973" s="1"/>
      <c r="S973" s="103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53"/>
      <c r="AN973" s="103"/>
      <c r="AO973" s="103"/>
      <c r="AP973" s="103"/>
      <c r="AQ973" s="31"/>
      <c r="AR973" s="31"/>
      <c r="AS973" s="31"/>
      <c r="AT973" s="30"/>
      <c r="AU973" s="30"/>
      <c r="AV973" s="103"/>
      <c r="AW973" s="103"/>
      <c r="AX973" s="103"/>
      <c r="AY973" s="103"/>
      <c r="AZ973" s="103"/>
      <c r="BA973" s="103"/>
      <c r="BB973" s="104"/>
      <c r="BC973" s="102"/>
      <c r="BD973" s="102"/>
      <c r="BE973" s="102"/>
      <c r="BF973" s="104"/>
      <c r="BG973" s="152"/>
      <c r="BH973" s="103"/>
      <c r="BI973" s="103"/>
      <c r="BJ973" s="103"/>
      <c r="BK973" s="103"/>
      <c r="BL973" s="103"/>
      <c r="BM973" s="103"/>
      <c r="BN973" s="103"/>
      <c r="BO973" s="103"/>
      <c r="BP973" s="103"/>
      <c r="BQ973" s="103"/>
      <c r="BR973" s="103"/>
      <c r="BS973" s="104"/>
      <c r="BT973" s="104"/>
      <c r="BU973" s="104"/>
      <c r="BV973" s="104"/>
      <c r="BW973" s="104"/>
      <c r="BX973" s="104"/>
      <c r="BY973" s="104"/>
      <c r="BZ973" s="104"/>
      <c r="CA973" s="104"/>
      <c r="CB973" s="104"/>
      <c r="CC973" s="103"/>
      <c r="CD973" s="103"/>
      <c r="CE973" s="103"/>
      <c r="CF973" s="103"/>
      <c r="CG973" s="103"/>
      <c r="CH973" s="133"/>
      <c r="CI973" s="133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O973" s="1"/>
      <c r="EP973" s="103"/>
      <c r="EQ973" s="103"/>
      <c r="ER973" s="1"/>
      <c r="ES973" s="103"/>
      <c r="ET973" s="1"/>
      <c r="EU973" s="1"/>
      <c r="EV973" s="1"/>
      <c r="EW973" s="105"/>
    </row>
    <row r="974" spans="9:153">
      <c r="I974" s="132"/>
      <c r="J974" s="133"/>
      <c r="K974" s="1"/>
      <c r="L974" s="1"/>
      <c r="Q974" s="1"/>
      <c r="R974" s="1"/>
      <c r="S974" s="103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53"/>
      <c r="AN974" s="103"/>
      <c r="AO974" s="103"/>
      <c r="AP974" s="103"/>
      <c r="AQ974" s="31"/>
      <c r="AR974" s="31"/>
      <c r="AS974" s="31"/>
      <c r="AT974" s="30"/>
      <c r="AU974" s="30"/>
      <c r="AV974" s="103"/>
      <c r="AW974" s="103"/>
      <c r="AX974" s="103"/>
      <c r="AY974" s="103"/>
      <c r="AZ974" s="103"/>
      <c r="BA974" s="103"/>
      <c r="BB974" s="104"/>
      <c r="BC974" s="102"/>
      <c r="BD974" s="102"/>
      <c r="BE974" s="102"/>
      <c r="BF974" s="104"/>
      <c r="BG974" s="152"/>
      <c r="BH974" s="103"/>
      <c r="BI974" s="103"/>
      <c r="BJ974" s="103"/>
      <c r="BK974" s="103"/>
      <c r="BL974" s="103"/>
      <c r="BM974" s="103"/>
      <c r="BN974" s="103"/>
      <c r="BO974" s="103"/>
      <c r="BP974" s="103"/>
      <c r="BQ974" s="103"/>
      <c r="BR974" s="103"/>
      <c r="BS974" s="104"/>
      <c r="BT974" s="104"/>
      <c r="BU974" s="104"/>
      <c r="BV974" s="104"/>
      <c r="BW974" s="104"/>
      <c r="BX974" s="104"/>
      <c r="BY974" s="104"/>
      <c r="BZ974" s="104"/>
      <c r="CA974" s="104"/>
      <c r="CB974" s="104"/>
      <c r="CC974" s="103"/>
      <c r="CD974" s="103"/>
      <c r="CE974" s="103"/>
      <c r="CF974" s="103"/>
      <c r="CG974" s="103"/>
      <c r="CH974" s="133"/>
      <c r="CI974" s="133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O974" s="1"/>
      <c r="EP974" s="103"/>
      <c r="EQ974" s="103"/>
      <c r="ER974" s="1"/>
      <c r="ES974" s="103"/>
      <c r="ET974" s="1"/>
      <c r="EU974" s="1"/>
      <c r="EV974" s="1"/>
      <c r="EW974" s="105"/>
    </row>
    <row r="975" spans="9:153">
      <c r="I975" s="132"/>
      <c r="J975" s="133"/>
      <c r="K975" s="1"/>
      <c r="L975" s="1"/>
      <c r="Q975" s="1"/>
      <c r="R975" s="1"/>
      <c r="S975" s="103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53"/>
      <c r="AN975" s="103"/>
      <c r="AO975" s="103"/>
      <c r="AP975" s="103"/>
      <c r="AQ975" s="31"/>
      <c r="AR975" s="31"/>
      <c r="AS975" s="31"/>
      <c r="AT975" s="30"/>
      <c r="AU975" s="30"/>
      <c r="AV975" s="103"/>
      <c r="AW975" s="103"/>
      <c r="AX975" s="103"/>
      <c r="AY975" s="103"/>
      <c r="AZ975" s="103"/>
      <c r="BA975" s="103"/>
      <c r="BB975" s="104"/>
      <c r="BC975" s="102"/>
      <c r="BD975" s="102"/>
      <c r="BE975" s="102"/>
      <c r="BF975" s="104"/>
      <c r="BG975" s="152"/>
      <c r="BH975" s="103"/>
      <c r="BI975" s="103"/>
      <c r="BJ975" s="103"/>
      <c r="BK975" s="103"/>
      <c r="BL975" s="103"/>
      <c r="BM975" s="103"/>
      <c r="BN975" s="103"/>
      <c r="BO975" s="103"/>
      <c r="BP975" s="103"/>
      <c r="BQ975" s="103"/>
      <c r="BR975" s="103"/>
      <c r="BS975" s="104"/>
      <c r="BT975" s="104"/>
      <c r="BU975" s="104"/>
      <c r="BV975" s="104"/>
      <c r="BW975" s="104"/>
      <c r="BX975" s="104"/>
      <c r="BY975" s="104"/>
      <c r="BZ975" s="104"/>
      <c r="CA975" s="104"/>
      <c r="CB975" s="104"/>
      <c r="CC975" s="103"/>
      <c r="CD975" s="103"/>
      <c r="CE975" s="103"/>
      <c r="CF975" s="103"/>
      <c r="CG975" s="103"/>
      <c r="CH975" s="133"/>
      <c r="CI975" s="133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O975" s="1"/>
      <c r="EP975" s="103"/>
      <c r="EQ975" s="103"/>
      <c r="ER975" s="1"/>
      <c r="ES975" s="103"/>
      <c r="ET975" s="1"/>
      <c r="EU975" s="1"/>
      <c r="EV975" s="1"/>
      <c r="EW975" s="105"/>
    </row>
    <row r="976" spans="9:153">
      <c r="I976" s="132"/>
      <c r="J976" s="133"/>
      <c r="K976" s="1"/>
      <c r="L976" s="1"/>
      <c r="Q976" s="1"/>
      <c r="R976" s="1"/>
      <c r="S976" s="103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53"/>
      <c r="AN976" s="103"/>
      <c r="AO976" s="103"/>
      <c r="AP976" s="103"/>
      <c r="AQ976" s="31"/>
      <c r="AR976" s="31"/>
      <c r="AS976" s="31"/>
      <c r="AT976" s="30"/>
      <c r="AU976" s="30"/>
      <c r="AV976" s="103"/>
      <c r="AW976" s="103"/>
      <c r="AX976" s="103"/>
      <c r="AY976" s="103"/>
      <c r="AZ976" s="103"/>
      <c r="BA976" s="103"/>
      <c r="BB976" s="104"/>
      <c r="BC976" s="102"/>
      <c r="BD976" s="102"/>
      <c r="BE976" s="102"/>
      <c r="BF976" s="104"/>
      <c r="BG976" s="152"/>
      <c r="BH976" s="103"/>
      <c r="BI976" s="103"/>
      <c r="BJ976" s="103"/>
      <c r="BK976" s="103"/>
      <c r="BL976" s="103"/>
      <c r="BM976" s="103"/>
      <c r="BN976" s="103"/>
      <c r="BO976" s="103"/>
      <c r="BP976" s="103"/>
      <c r="BQ976" s="103"/>
      <c r="BR976" s="103"/>
      <c r="BS976" s="104"/>
      <c r="BT976" s="104"/>
      <c r="BU976" s="104"/>
      <c r="BV976" s="104"/>
      <c r="BW976" s="104"/>
      <c r="BX976" s="104"/>
      <c r="BY976" s="104"/>
      <c r="BZ976" s="104"/>
      <c r="CA976" s="104"/>
      <c r="CB976" s="104"/>
      <c r="CC976" s="103"/>
      <c r="CD976" s="103"/>
      <c r="CE976" s="103"/>
      <c r="CF976" s="103"/>
      <c r="CG976" s="103"/>
      <c r="CH976" s="133"/>
      <c r="CI976" s="133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O976" s="1"/>
      <c r="EP976" s="103"/>
      <c r="EQ976" s="103"/>
      <c r="ER976" s="1"/>
      <c r="ES976" s="103"/>
      <c r="ET976" s="1"/>
      <c r="EU976" s="1"/>
      <c r="EV976" s="1"/>
      <c r="EW976" s="105"/>
    </row>
    <row r="977" spans="9:153">
      <c r="I977" s="132"/>
      <c r="J977" s="133"/>
      <c r="K977" s="1"/>
      <c r="L977" s="1"/>
      <c r="Q977" s="1"/>
      <c r="R977" s="1"/>
      <c r="S977" s="103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53"/>
      <c r="AN977" s="103"/>
      <c r="AO977" s="103"/>
      <c r="AP977" s="103"/>
      <c r="AQ977" s="31"/>
      <c r="AR977" s="31"/>
      <c r="AS977" s="31"/>
      <c r="AT977" s="30"/>
      <c r="AU977" s="30"/>
      <c r="AV977" s="103"/>
      <c r="AW977" s="103"/>
      <c r="AX977" s="103"/>
      <c r="AY977" s="103"/>
      <c r="AZ977" s="103"/>
      <c r="BA977" s="103"/>
      <c r="BB977" s="104"/>
      <c r="BC977" s="102"/>
      <c r="BD977" s="102"/>
      <c r="BE977" s="102"/>
      <c r="BF977" s="104"/>
      <c r="BG977" s="152"/>
      <c r="BH977" s="103"/>
      <c r="BI977" s="103"/>
      <c r="BJ977" s="103"/>
      <c r="BK977" s="103"/>
      <c r="BL977" s="103"/>
      <c r="BM977" s="103"/>
      <c r="BN977" s="103"/>
      <c r="BO977" s="103"/>
      <c r="BP977" s="103"/>
      <c r="BQ977" s="103"/>
      <c r="BR977" s="103"/>
      <c r="BS977" s="104"/>
      <c r="BT977" s="104"/>
      <c r="BU977" s="104"/>
      <c r="BV977" s="104"/>
      <c r="BW977" s="104"/>
      <c r="BX977" s="104"/>
      <c r="BY977" s="104"/>
      <c r="BZ977" s="104"/>
      <c r="CA977" s="104"/>
      <c r="CB977" s="104"/>
      <c r="CC977" s="103"/>
      <c r="CD977" s="103"/>
      <c r="CE977" s="103"/>
      <c r="CF977" s="103"/>
      <c r="CG977" s="103"/>
      <c r="CH977" s="133"/>
      <c r="CI977" s="133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O977" s="1"/>
      <c r="EP977" s="103"/>
      <c r="EQ977" s="103"/>
      <c r="ER977" s="1"/>
      <c r="ES977" s="103"/>
      <c r="ET977" s="1"/>
      <c r="EU977" s="1"/>
      <c r="EV977" s="1"/>
      <c r="EW977" s="105"/>
    </row>
    <row r="978" spans="9:153">
      <c r="I978" s="132"/>
      <c r="J978" s="133"/>
      <c r="K978" s="1"/>
      <c r="L978" s="1"/>
      <c r="Q978" s="1"/>
      <c r="R978" s="1"/>
      <c r="S978" s="103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53"/>
      <c r="AN978" s="103"/>
      <c r="AO978" s="103"/>
      <c r="AP978" s="103"/>
      <c r="AQ978" s="31"/>
      <c r="AR978" s="31"/>
      <c r="AS978" s="31"/>
      <c r="AT978" s="30"/>
      <c r="AU978" s="30"/>
      <c r="AV978" s="103"/>
      <c r="AW978" s="103"/>
      <c r="AX978" s="103"/>
      <c r="AY978" s="103"/>
      <c r="AZ978" s="103"/>
      <c r="BA978" s="103"/>
      <c r="BB978" s="104"/>
      <c r="BC978" s="102"/>
      <c r="BD978" s="102"/>
      <c r="BE978" s="102"/>
      <c r="BF978" s="104"/>
      <c r="BG978" s="152"/>
      <c r="BH978" s="103"/>
      <c r="BI978" s="103"/>
      <c r="BJ978" s="103"/>
      <c r="BK978" s="103"/>
      <c r="BL978" s="103"/>
      <c r="BM978" s="103"/>
      <c r="BN978" s="103"/>
      <c r="BO978" s="103"/>
      <c r="BP978" s="103"/>
      <c r="BQ978" s="103"/>
      <c r="BR978" s="103"/>
      <c r="BS978" s="104"/>
      <c r="BT978" s="104"/>
      <c r="BU978" s="104"/>
      <c r="BV978" s="104"/>
      <c r="BW978" s="104"/>
      <c r="BX978" s="104"/>
      <c r="BY978" s="104"/>
      <c r="BZ978" s="104"/>
      <c r="CA978" s="104"/>
      <c r="CB978" s="104"/>
      <c r="CC978" s="103"/>
      <c r="CD978" s="103"/>
      <c r="CE978" s="103"/>
      <c r="CF978" s="103"/>
      <c r="CG978" s="103"/>
      <c r="CH978" s="133"/>
      <c r="CI978" s="133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O978" s="1"/>
      <c r="EP978" s="103"/>
      <c r="EQ978" s="103"/>
      <c r="ER978" s="1"/>
      <c r="ES978" s="103"/>
      <c r="ET978" s="1"/>
      <c r="EU978" s="1"/>
      <c r="EV978" s="1"/>
      <c r="EW978" s="105"/>
    </row>
    <row r="979" spans="9:153">
      <c r="I979" s="132"/>
      <c r="J979" s="133"/>
      <c r="K979" s="1"/>
      <c r="L979" s="1"/>
      <c r="Q979" s="1"/>
      <c r="R979" s="1"/>
      <c r="S979" s="103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53"/>
      <c r="AN979" s="103"/>
      <c r="AO979" s="103"/>
      <c r="AP979" s="103"/>
      <c r="AQ979" s="31"/>
      <c r="AR979" s="31"/>
      <c r="AS979" s="31"/>
      <c r="AT979" s="30"/>
      <c r="AU979" s="30"/>
      <c r="AV979" s="103"/>
      <c r="AW979" s="103"/>
      <c r="AX979" s="103"/>
      <c r="AY979" s="103"/>
      <c r="AZ979" s="103"/>
      <c r="BA979" s="103"/>
      <c r="BB979" s="104"/>
      <c r="BC979" s="102"/>
      <c r="BD979" s="102"/>
      <c r="BE979" s="102"/>
      <c r="BF979" s="104"/>
      <c r="BG979" s="152"/>
      <c r="BH979" s="103"/>
      <c r="BI979" s="103"/>
      <c r="BJ979" s="103"/>
      <c r="BK979" s="103"/>
      <c r="BL979" s="103"/>
      <c r="BM979" s="103"/>
      <c r="BN979" s="103"/>
      <c r="BO979" s="103"/>
      <c r="BP979" s="103"/>
      <c r="BQ979" s="103"/>
      <c r="BR979" s="103"/>
      <c r="BS979" s="104"/>
      <c r="BT979" s="104"/>
      <c r="BU979" s="104"/>
      <c r="BV979" s="104"/>
      <c r="BW979" s="104"/>
      <c r="BX979" s="104"/>
      <c r="BY979" s="104"/>
      <c r="BZ979" s="104"/>
      <c r="CA979" s="104"/>
      <c r="CB979" s="104"/>
      <c r="CC979" s="103"/>
      <c r="CD979" s="103"/>
      <c r="CE979" s="103"/>
      <c r="CF979" s="103"/>
      <c r="CG979" s="103"/>
      <c r="CH979" s="133"/>
      <c r="CI979" s="133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O979" s="1"/>
      <c r="EP979" s="103"/>
      <c r="EQ979" s="103"/>
      <c r="ER979" s="1"/>
      <c r="ES979" s="103"/>
      <c r="ET979" s="1"/>
      <c r="EU979" s="1"/>
      <c r="EV979" s="1"/>
      <c r="EW979" s="105"/>
    </row>
    <row r="980" spans="9:153">
      <c r="I980" s="132"/>
      <c r="J980" s="133"/>
      <c r="K980" s="1"/>
      <c r="L980" s="1"/>
      <c r="Q980" s="1"/>
      <c r="R980" s="1"/>
      <c r="S980" s="103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53"/>
      <c r="AN980" s="103"/>
      <c r="AO980" s="103"/>
      <c r="AP980" s="103"/>
      <c r="AQ980" s="31"/>
      <c r="AR980" s="31"/>
      <c r="AS980" s="31"/>
      <c r="AT980" s="30"/>
      <c r="AU980" s="30"/>
      <c r="AV980" s="103"/>
      <c r="AW980" s="103"/>
      <c r="AX980" s="103"/>
      <c r="AY980" s="103"/>
      <c r="AZ980" s="103"/>
      <c r="BA980" s="103"/>
      <c r="BB980" s="104"/>
      <c r="BC980" s="102"/>
      <c r="BD980" s="102"/>
      <c r="BE980" s="102"/>
      <c r="BF980" s="104"/>
      <c r="BG980" s="152"/>
      <c r="BH980" s="103"/>
      <c r="BI980" s="103"/>
      <c r="BJ980" s="103"/>
      <c r="BK980" s="103"/>
      <c r="BL980" s="103"/>
      <c r="BM980" s="103"/>
      <c r="BN980" s="103"/>
      <c r="BO980" s="103"/>
      <c r="BP980" s="103"/>
      <c r="BQ980" s="103"/>
      <c r="BR980" s="103"/>
      <c r="BS980" s="104"/>
      <c r="BT980" s="104"/>
      <c r="BU980" s="104"/>
      <c r="BV980" s="104"/>
      <c r="BW980" s="104"/>
      <c r="BX980" s="104"/>
      <c r="BY980" s="104"/>
      <c r="BZ980" s="104"/>
      <c r="CA980" s="104"/>
      <c r="CB980" s="104"/>
      <c r="CC980" s="103"/>
      <c r="CD980" s="103"/>
      <c r="CE980" s="103"/>
      <c r="CF980" s="103"/>
      <c r="CG980" s="103"/>
      <c r="CH980" s="133"/>
      <c r="CI980" s="133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O980" s="1"/>
      <c r="EP980" s="103"/>
      <c r="EQ980" s="103"/>
      <c r="ER980" s="1"/>
      <c r="ES980" s="103"/>
      <c r="ET980" s="1"/>
      <c r="EU980" s="1"/>
      <c r="EV980" s="1"/>
      <c r="EW980" s="105"/>
    </row>
    <row r="981" spans="9:153">
      <c r="I981" s="132"/>
      <c r="J981" s="133"/>
      <c r="K981" s="1"/>
      <c r="L981" s="1"/>
      <c r="Q981" s="1"/>
      <c r="R981" s="1"/>
      <c r="S981" s="103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53"/>
      <c r="AN981" s="103"/>
      <c r="AO981" s="103"/>
      <c r="AP981" s="103"/>
      <c r="AQ981" s="31"/>
      <c r="AR981" s="31"/>
      <c r="AS981" s="31"/>
      <c r="AT981" s="30"/>
      <c r="AU981" s="30"/>
      <c r="AV981" s="103"/>
      <c r="AW981" s="103"/>
      <c r="AX981" s="103"/>
      <c r="AY981" s="103"/>
      <c r="AZ981" s="103"/>
      <c r="BA981" s="103"/>
      <c r="BB981" s="104"/>
      <c r="BC981" s="102"/>
      <c r="BD981" s="102"/>
      <c r="BE981" s="102"/>
      <c r="BF981" s="104"/>
      <c r="BG981" s="152"/>
      <c r="BH981" s="103"/>
      <c r="BI981" s="103"/>
      <c r="BJ981" s="103"/>
      <c r="BK981" s="103"/>
      <c r="BL981" s="103"/>
      <c r="BM981" s="103"/>
      <c r="BN981" s="103"/>
      <c r="BO981" s="103"/>
      <c r="BP981" s="103"/>
      <c r="BQ981" s="103"/>
      <c r="BR981" s="103"/>
      <c r="BS981" s="104"/>
      <c r="BT981" s="104"/>
      <c r="BU981" s="104"/>
      <c r="BV981" s="104"/>
      <c r="BW981" s="104"/>
      <c r="BX981" s="104"/>
      <c r="BY981" s="104"/>
      <c r="BZ981" s="104"/>
      <c r="CA981" s="104"/>
      <c r="CB981" s="104"/>
      <c r="CC981" s="103"/>
      <c r="CD981" s="103"/>
      <c r="CE981" s="103"/>
      <c r="CF981" s="103"/>
      <c r="CG981" s="103"/>
      <c r="CH981" s="133"/>
      <c r="CI981" s="133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O981" s="1"/>
      <c r="EP981" s="103"/>
      <c r="EQ981" s="103"/>
      <c r="ER981" s="1"/>
      <c r="ES981" s="103"/>
      <c r="ET981" s="1"/>
      <c r="EU981" s="1"/>
      <c r="EV981" s="1"/>
      <c r="EW981" s="105"/>
    </row>
    <row r="982" spans="9:153">
      <c r="I982" s="132"/>
      <c r="J982" s="133"/>
      <c r="K982" s="1"/>
      <c r="L982" s="1"/>
      <c r="Q982" s="1"/>
      <c r="R982" s="1"/>
      <c r="S982" s="103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53"/>
      <c r="AN982" s="103"/>
      <c r="AO982" s="103"/>
      <c r="AP982" s="103"/>
      <c r="AQ982" s="31"/>
      <c r="AR982" s="31"/>
      <c r="AS982" s="31"/>
      <c r="AT982" s="30"/>
      <c r="AU982" s="30"/>
      <c r="AV982" s="103"/>
      <c r="AW982" s="103"/>
      <c r="AX982" s="103"/>
      <c r="AY982" s="103"/>
      <c r="AZ982" s="103"/>
      <c r="BA982" s="103"/>
      <c r="BB982" s="104"/>
      <c r="BC982" s="102"/>
      <c r="BD982" s="102"/>
      <c r="BE982" s="102"/>
      <c r="BF982" s="104"/>
      <c r="BG982" s="152"/>
      <c r="BH982" s="103"/>
      <c r="BI982" s="103"/>
      <c r="BJ982" s="103"/>
      <c r="BK982" s="103"/>
      <c r="BL982" s="103"/>
      <c r="BM982" s="103"/>
      <c r="BN982" s="103"/>
      <c r="BO982" s="103"/>
      <c r="BP982" s="103"/>
      <c r="BQ982" s="103"/>
      <c r="BR982" s="103"/>
      <c r="BS982" s="104"/>
      <c r="BT982" s="104"/>
      <c r="BU982" s="104"/>
      <c r="BV982" s="104"/>
      <c r="BW982" s="104"/>
      <c r="BX982" s="104"/>
      <c r="BY982" s="104"/>
      <c r="BZ982" s="104"/>
      <c r="CA982" s="104"/>
      <c r="CB982" s="104"/>
      <c r="CC982" s="103"/>
      <c r="CD982" s="103"/>
      <c r="CE982" s="103"/>
      <c r="CF982" s="103"/>
      <c r="CG982" s="103"/>
      <c r="CH982" s="133"/>
      <c r="CI982" s="133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O982" s="1"/>
      <c r="EP982" s="103"/>
      <c r="EQ982" s="103"/>
      <c r="ER982" s="1"/>
      <c r="ES982" s="103"/>
      <c r="ET982" s="1"/>
      <c r="EU982" s="1"/>
      <c r="EV982" s="1"/>
      <c r="EW982" s="105"/>
    </row>
    <row r="983" spans="9:153">
      <c r="I983" s="132"/>
      <c r="J983" s="133"/>
      <c r="K983" s="1"/>
      <c r="L983" s="1"/>
      <c r="Q983" s="1"/>
      <c r="R983" s="1"/>
      <c r="S983" s="103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53"/>
      <c r="AN983" s="103"/>
      <c r="AO983" s="103"/>
      <c r="AP983" s="103"/>
      <c r="AQ983" s="31"/>
      <c r="AR983" s="31"/>
      <c r="AS983" s="31"/>
      <c r="AT983" s="30"/>
      <c r="AU983" s="30"/>
      <c r="AV983" s="103"/>
      <c r="AW983" s="103"/>
      <c r="AX983" s="103"/>
      <c r="AY983" s="103"/>
      <c r="AZ983" s="103"/>
      <c r="BA983" s="103"/>
      <c r="BB983" s="104"/>
      <c r="BC983" s="102"/>
      <c r="BD983" s="102"/>
      <c r="BE983" s="102"/>
      <c r="BF983" s="104"/>
      <c r="BG983" s="152"/>
      <c r="BH983" s="103"/>
      <c r="BI983" s="103"/>
      <c r="BJ983" s="103"/>
      <c r="BK983" s="103"/>
      <c r="BL983" s="103"/>
      <c r="BM983" s="103"/>
      <c r="BN983" s="103"/>
      <c r="BO983" s="103"/>
      <c r="BP983" s="103"/>
      <c r="BQ983" s="103"/>
      <c r="BR983" s="103"/>
      <c r="BS983" s="104"/>
      <c r="BT983" s="104"/>
      <c r="BU983" s="104"/>
      <c r="BV983" s="104"/>
      <c r="BW983" s="104"/>
      <c r="BX983" s="104"/>
      <c r="BY983" s="104"/>
      <c r="BZ983" s="104"/>
      <c r="CA983" s="104"/>
      <c r="CB983" s="104"/>
      <c r="CC983" s="103"/>
      <c r="CD983" s="103"/>
      <c r="CE983" s="103"/>
      <c r="CF983" s="103"/>
      <c r="CG983" s="103"/>
      <c r="CH983" s="133"/>
      <c r="CI983" s="133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O983" s="1"/>
      <c r="EP983" s="103"/>
      <c r="EQ983" s="103"/>
      <c r="ER983" s="1"/>
      <c r="ES983" s="103"/>
      <c r="ET983" s="1"/>
      <c r="EU983" s="1"/>
      <c r="EV983" s="1"/>
      <c r="EW983" s="105"/>
    </row>
    <row r="984" spans="9:153">
      <c r="I984" s="132"/>
      <c r="J984" s="133"/>
      <c r="K984" s="1"/>
      <c r="L984" s="1"/>
      <c r="Q984" s="1"/>
      <c r="R984" s="1"/>
      <c r="S984" s="103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53"/>
      <c r="AN984" s="103"/>
      <c r="AO984" s="103"/>
      <c r="AP984" s="103"/>
      <c r="AQ984" s="31"/>
      <c r="AR984" s="31"/>
      <c r="AS984" s="31"/>
      <c r="AT984" s="30"/>
      <c r="AU984" s="30"/>
      <c r="AV984" s="103"/>
      <c r="AW984" s="103"/>
      <c r="AX984" s="103"/>
      <c r="AY984" s="103"/>
      <c r="AZ984" s="103"/>
      <c r="BA984" s="103"/>
      <c r="BB984" s="104"/>
      <c r="BC984" s="102"/>
      <c r="BD984" s="102"/>
      <c r="BE984" s="102"/>
      <c r="BF984" s="104"/>
      <c r="BG984" s="152"/>
      <c r="BH984" s="103"/>
      <c r="BI984" s="103"/>
      <c r="BJ984" s="103"/>
      <c r="BK984" s="103"/>
      <c r="BL984" s="103"/>
      <c r="BM984" s="103"/>
      <c r="BN984" s="103"/>
      <c r="BO984" s="103"/>
      <c r="BP984" s="103"/>
      <c r="BQ984" s="103"/>
      <c r="BR984" s="103"/>
      <c r="BS984" s="104"/>
      <c r="BT984" s="104"/>
      <c r="BU984" s="104"/>
      <c r="BV984" s="104"/>
      <c r="BW984" s="104"/>
      <c r="BX984" s="104"/>
      <c r="BY984" s="104"/>
      <c r="BZ984" s="104"/>
      <c r="CA984" s="104"/>
      <c r="CB984" s="104"/>
      <c r="CC984" s="103"/>
      <c r="CD984" s="103"/>
      <c r="CE984" s="103"/>
      <c r="CF984" s="103"/>
      <c r="CG984" s="103"/>
      <c r="CH984" s="133"/>
      <c r="CI984" s="133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O984" s="1"/>
      <c r="EP984" s="103"/>
      <c r="EQ984" s="103"/>
      <c r="ER984" s="1"/>
      <c r="ES984" s="103"/>
      <c r="ET984" s="1"/>
      <c r="EU984" s="1"/>
      <c r="EV984" s="1"/>
      <c r="EW984" s="105"/>
    </row>
    <row r="985" spans="9:153">
      <c r="I985" s="132"/>
      <c r="J985" s="133"/>
      <c r="K985" s="1"/>
      <c r="L985" s="1"/>
      <c r="Q985" s="1"/>
      <c r="R985" s="1"/>
      <c r="S985" s="103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53"/>
      <c r="AN985" s="103"/>
      <c r="AO985" s="103"/>
      <c r="AP985" s="103"/>
      <c r="AQ985" s="31"/>
      <c r="AR985" s="31"/>
      <c r="AS985" s="31"/>
      <c r="AT985" s="30"/>
      <c r="AU985" s="30"/>
      <c r="AV985" s="103"/>
      <c r="AW985" s="103"/>
      <c r="AX985" s="103"/>
      <c r="AY985" s="103"/>
      <c r="AZ985" s="103"/>
      <c r="BA985" s="103"/>
      <c r="BB985" s="104"/>
      <c r="BC985" s="102"/>
      <c r="BD985" s="102"/>
      <c r="BE985" s="102"/>
      <c r="BF985" s="104"/>
      <c r="BG985" s="152"/>
      <c r="BH985" s="103"/>
      <c r="BI985" s="103"/>
      <c r="BJ985" s="103"/>
      <c r="BK985" s="103"/>
      <c r="BL985" s="103"/>
      <c r="BM985" s="103"/>
      <c r="BN985" s="103"/>
      <c r="BO985" s="103"/>
      <c r="BP985" s="103"/>
      <c r="BQ985" s="103"/>
      <c r="BR985" s="103"/>
      <c r="BS985" s="104"/>
      <c r="BT985" s="104"/>
      <c r="BU985" s="104"/>
      <c r="BV985" s="104"/>
      <c r="BW985" s="104"/>
      <c r="BX985" s="104"/>
      <c r="BY985" s="104"/>
      <c r="BZ985" s="104"/>
      <c r="CA985" s="104"/>
      <c r="CB985" s="104"/>
      <c r="CC985" s="103"/>
      <c r="CD985" s="103"/>
      <c r="CE985" s="103"/>
      <c r="CF985" s="103"/>
      <c r="CG985" s="103"/>
      <c r="CH985" s="133"/>
      <c r="CI985" s="133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O985" s="1"/>
      <c r="EP985" s="103"/>
      <c r="EQ985" s="103"/>
      <c r="ER985" s="1"/>
      <c r="ES985" s="103"/>
      <c r="ET985" s="1"/>
      <c r="EU985" s="1"/>
      <c r="EV985" s="1"/>
      <c r="EW985" s="105"/>
    </row>
    <row r="986" spans="9:153">
      <c r="I986" s="132"/>
      <c r="J986" s="133"/>
      <c r="K986" s="1"/>
      <c r="L986" s="1"/>
      <c r="Q986" s="1"/>
      <c r="R986" s="1"/>
      <c r="S986" s="103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53"/>
      <c r="AN986" s="103"/>
      <c r="AO986" s="103"/>
      <c r="AP986" s="103"/>
      <c r="AQ986" s="31"/>
      <c r="AR986" s="31"/>
      <c r="AS986" s="31"/>
      <c r="AT986" s="30"/>
      <c r="AU986" s="30"/>
      <c r="AV986" s="103"/>
      <c r="AW986" s="103"/>
      <c r="AX986" s="103"/>
      <c r="AY986" s="103"/>
      <c r="AZ986" s="103"/>
      <c r="BA986" s="103"/>
      <c r="BB986" s="104"/>
      <c r="BC986" s="102"/>
      <c r="BD986" s="102"/>
      <c r="BE986" s="102"/>
      <c r="BF986" s="104"/>
      <c r="BG986" s="152"/>
      <c r="BH986" s="103"/>
      <c r="BI986" s="103"/>
      <c r="BJ986" s="103"/>
      <c r="BK986" s="103"/>
      <c r="BL986" s="103"/>
      <c r="BM986" s="103"/>
      <c r="BN986" s="103"/>
      <c r="BO986" s="103"/>
      <c r="BP986" s="103"/>
      <c r="BQ986" s="103"/>
      <c r="BR986" s="103"/>
      <c r="BS986" s="104"/>
      <c r="BT986" s="104"/>
      <c r="BU986" s="104"/>
      <c r="BV986" s="104"/>
      <c r="BW986" s="104"/>
      <c r="BX986" s="104"/>
      <c r="BY986" s="104"/>
      <c r="BZ986" s="104"/>
      <c r="CA986" s="104"/>
      <c r="CB986" s="104"/>
      <c r="CC986" s="103"/>
      <c r="CD986" s="103"/>
      <c r="CE986" s="103"/>
      <c r="CF986" s="103"/>
      <c r="CG986" s="103"/>
      <c r="CH986" s="133"/>
      <c r="CI986" s="133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O986" s="1"/>
      <c r="EP986" s="103"/>
      <c r="EQ986" s="103"/>
      <c r="ER986" s="1"/>
      <c r="ES986" s="103"/>
      <c r="ET986" s="1"/>
      <c r="EU986" s="1"/>
      <c r="EV986" s="1"/>
      <c r="EW986" s="105"/>
    </row>
    <row r="987" spans="9:153">
      <c r="I987" s="132"/>
      <c r="J987" s="133"/>
      <c r="K987" s="1"/>
      <c r="L987" s="1"/>
      <c r="Q987" s="1"/>
      <c r="R987" s="1"/>
      <c r="S987" s="103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53"/>
      <c r="AN987" s="103"/>
      <c r="AO987" s="103"/>
      <c r="AP987" s="103"/>
      <c r="AQ987" s="31"/>
      <c r="AR987" s="31"/>
      <c r="AS987" s="31"/>
      <c r="AT987" s="30"/>
      <c r="AU987" s="30"/>
      <c r="AV987" s="103"/>
      <c r="AW987" s="103"/>
      <c r="AX987" s="103"/>
      <c r="AY987" s="103"/>
      <c r="AZ987" s="103"/>
      <c r="BA987" s="103"/>
      <c r="BB987" s="104"/>
      <c r="BC987" s="102"/>
      <c r="BD987" s="102"/>
      <c r="BE987" s="102"/>
      <c r="BF987" s="104"/>
      <c r="BG987" s="152"/>
      <c r="BH987" s="103"/>
      <c r="BI987" s="103"/>
      <c r="BJ987" s="103"/>
      <c r="BK987" s="103"/>
      <c r="BL987" s="103"/>
      <c r="BM987" s="103"/>
      <c r="BN987" s="103"/>
      <c r="BO987" s="103"/>
      <c r="BP987" s="103"/>
      <c r="BQ987" s="103"/>
      <c r="BR987" s="103"/>
      <c r="BS987" s="104"/>
      <c r="BT987" s="104"/>
      <c r="BU987" s="104"/>
      <c r="BV987" s="104"/>
      <c r="BW987" s="104"/>
      <c r="BX987" s="104"/>
      <c r="BY987" s="104"/>
      <c r="BZ987" s="104"/>
      <c r="CA987" s="104"/>
      <c r="CB987" s="104"/>
      <c r="CC987" s="103"/>
      <c r="CD987" s="103"/>
      <c r="CE987" s="103"/>
      <c r="CF987" s="103"/>
      <c r="CG987" s="103"/>
      <c r="CH987" s="133"/>
      <c r="CI987" s="133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O987" s="1"/>
      <c r="EP987" s="103"/>
      <c r="EQ987" s="103"/>
      <c r="ER987" s="1"/>
      <c r="ES987" s="103"/>
      <c r="ET987" s="1"/>
      <c r="EU987" s="1"/>
      <c r="EV987" s="1"/>
      <c r="EW987" s="105"/>
    </row>
    <row r="988" spans="9:153">
      <c r="I988" s="132"/>
      <c r="J988" s="133"/>
      <c r="K988" s="1"/>
      <c r="L988" s="1"/>
      <c r="Q988" s="1"/>
      <c r="R988" s="1"/>
      <c r="S988" s="103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53"/>
      <c r="AN988" s="103"/>
      <c r="AO988" s="103"/>
      <c r="AP988" s="103"/>
      <c r="AQ988" s="31"/>
      <c r="AR988" s="31"/>
      <c r="AS988" s="31"/>
      <c r="AT988" s="30"/>
      <c r="AU988" s="30"/>
      <c r="AV988" s="103"/>
      <c r="AW988" s="103"/>
      <c r="AX988" s="103"/>
      <c r="AY988" s="103"/>
      <c r="AZ988" s="103"/>
      <c r="BA988" s="103"/>
      <c r="BB988" s="104"/>
      <c r="BC988" s="102"/>
      <c r="BD988" s="102"/>
      <c r="BE988" s="102"/>
      <c r="BF988" s="104"/>
      <c r="BG988" s="152"/>
      <c r="BH988" s="103"/>
      <c r="BI988" s="103"/>
      <c r="BJ988" s="103"/>
      <c r="BK988" s="103"/>
      <c r="BL988" s="103"/>
      <c r="BM988" s="103"/>
      <c r="BN988" s="103"/>
      <c r="BO988" s="103"/>
      <c r="BP988" s="103"/>
      <c r="BQ988" s="103"/>
      <c r="BR988" s="103"/>
      <c r="BS988" s="104"/>
      <c r="BT988" s="104"/>
      <c r="BU988" s="104"/>
      <c r="BV988" s="104"/>
      <c r="BW988" s="104"/>
      <c r="BX988" s="104"/>
      <c r="BY988" s="104"/>
      <c r="BZ988" s="104"/>
      <c r="CA988" s="104"/>
      <c r="CB988" s="104"/>
      <c r="CC988" s="103"/>
      <c r="CD988" s="103"/>
      <c r="CE988" s="103"/>
      <c r="CF988" s="103"/>
      <c r="CG988" s="103"/>
      <c r="CH988" s="133"/>
      <c r="CI988" s="133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O988" s="1"/>
      <c r="EP988" s="103"/>
      <c r="EQ988" s="103"/>
      <c r="ER988" s="1"/>
      <c r="ES988" s="103"/>
      <c r="ET988" s="1"/>
      <c r="EU988" s="1"/>
      <c r="EV988" s="1"/>
      <c r="EW988" s="105"/>
    </row>
    <row r="989" spans="9:153">
      <c r="I989" s="132"/>
      <c r="J989" s="133"/>
      <c r="K989" s="1"/>
      <c r="L989" s="1"/>
      <c r="Q989" s="1"/>
      <c r="R989" s="1"/>
      <c r="S989" s="103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53"/>
      <c r="AN989" s="103"/>
      <c r="AO989" s="103"/>
      <c r="AP989" s="103"/>
      <c r="AQ989" s="31"/>
      <c r="AR989" s="31"/>
      <c r="AS989" s="31"/>
      <c r="AT989" s="30"/>
      <c r="AU989" s="30"/>
      <c r="AV989" s="103"/>
      <c r="AW989" s="103"/>
      <c r="AX989" s="103"/>
      <c r="AY989" s="103"/>
      <c r="AZ989" s="103"/>
      <c r="BA989" s="103"/>
      <c r="BB989" s="104"/>
      <c r="BC989" s="102"/>
      <c r="BD989" s="102"/>
      <c r="BE989" s="102"/>
      <c r="BF989" s="104"/>
      <c r="BG989" s="152"/>
      <c r="BH989" s="103"/>
      <c r="BI989" s="103"/>
      <c r="BJ989" s="103"/>
      <c r="BK989" s="103"/>
      <c r="BL989" s="103"/>
      <c r="BM989" s="103"/>
      <c r="BN989" s="103"/>
      <c r="BO989" s="103"/>
      <c r="BP989" s="103"/>
      <c r="BQ989" s="103"/>
      <c r="BR989" s="103"/>
      <c r="BS989" s="104"/>
      <c r="BT989" s="104"/>
      <c r="BU989" s="104"/>
      <c r="BV989" s="104"/>
      <c r="BW989" s="104"/>
      <c r="BX989" s="104"/>
      <c r="BY989" s="104"/>
      <c r="BZ989" s="104"/>
      <c r="CA989" s="104"/>
      <c r="CB989" s="104"/>
      <c r="CC989" s="103"/>
      <c r="CD989" s="103"/>
      <c r="CE989" s="103"/>
      <c r="CF989" s="103"/>
      <c r="CG989" s="103"/>
      <c r="CH989" s="133"/>
      <c r="CI989" s="133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O989" s="1"/>
      <c r="EP989" s="103"/>
      <c r="EQ989" s="103"/>
      <c r="ER989" s="1"/>
      <c r="ES989" s="103"/>
      <c r="ET989" s="1"/>
      <c r="EU989" s="1"/>
      <c r="EV989" s="1"/>
      <c r="EW989" s="105"/>
    </row>
    <row r="990" spans="9:153">
      <c r="I990" s="132"/>
      <c r="J990" s="133"/>
      <c r="K990" s="1"/>
      <c r="L990" s="1"/>
      <c r="Q990" s="1"/>
      <c r="R990" s="1"/>
      <c r="S990" s="103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53"/>
      <c r="AN990" s="103"/>
      <c r="AO990" s="103"/>
      <c r="AP990" s="103"/>
      <c r="AQ990" s="31"/>
      <c r="AR990" s="31"/>
      <c r="AS990" s="31"/>
      <c r="AT990" s="30"/>
      <c r="AU990" s="30"/>
      <c r="AV990" s="103"/>
      <c r="AW990" s="103"/>
      <c r="AX990" s="103"/>
      <c r="AY990" s="103"/>
      <c r="AZ990" s="103"/>
      <c r="BA990" s="103"/>
      <c r="BB990" s="104"/>
      <c r="BC990" s="102"/>
      <c r="BD990" s="102"/>
      <c r="BE990" s="102"/>
      <c r="BF990" s="104"/>
      <c r="BG990" s="152"/>
      <c r="BH990" s="103"/>
      <c r="BI990" s="103"/>
      <c r="BJ990" s="103"/>
      <c r="BK990" s="103"/>
      <c r="BL990" s="103"/>
      <c r="BM990" s="103"/>
      <c r="BN990" s="103"/>
      <c r="BO990" s="103"/>
      <c r="BP990" s="103"/>
      <c r="BQ990" s="103"/>
      <c r="BR990" s="103"/>
      <c r="BS990" s="104"/>
      <c r="BT990" s="104"/>
      <c r="BU990" s="104"/>
      <c r="BV990" s="104"/>
      <c r="BW990" s="104"/>
      <c r="BX990" s="104"/>
      <c r="BY990" s="104"/>
      <c r="BZ990" s="104"/>
      <c r="CA990" s="104"/>
      <c r="CB990" s="104"/>
      <c r="CC990" s="103"/>
      <c r="CD990" s="103"/>
      <c r="CE990" s="103"/>
      <c r="CF990" s="103"/>
      <c r="CG990" s="103"/>
      <c r="CH990" s="133"/>
      <c r="CI990" s="133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O990" s="1"/>
      <c r="EP990" s="103"/>
      <c r="EQ990" s="103"/>
      <c r="ER990" s="1"/>
      <c r="ES990" s="103"/>
      <c r="ET990" s="1"/>
      <c r="EU990" s="1"/>
      <c r="EV990" s="1"/>
      <c r="EW990" s="105"/>
    </row>
    <row r="991" spans="9:153">
      <c r="I991" s="132"/>
      <c r="J991" s="133"/>
      <c r="K991" s="1"/>
      <c r="L991" s="1"/>
      <c r="Q991" s="1"/>
      <c r="R991" s="1"/>
      <c r="S991" s="103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53"/>
      <c r="AN991" s="103"/>
      <c r="AO991" s="103"/>
      <c r="AP991" s="103"/>
      <c r="AQ991" s="31"/>
      <c r="AR991" s="31"/>
      <c r="AS991" s="31"/>
      <c r="AT991" s="30"/>
      <c r="AU991" s="30"/>
      <c r="AV991" s="103"/>
      <c r="AW991" s="103"/>
      <c r="AX991" s="103"/>
      <c r="AY991" s="103"/>
      <c r="AZ991" s="103"/>
      <c r="BA991" s="103"/>
      <c r="BB991" s="104"/>
      <c r="BC991" s="102"/>
      <c r="BD991" s="102"/>
      <c r="BE991" s="102"/>
      <c r="BF991" s="104"/>
      <c r="BG991" s="152"/>
      <c r="BH991" s="103"/>
      <c r="BI991" s="103"/>
      <c r="BJ991" s="103"/>
      <c r="BK991" s="103"/>
      <c r="BL991" s="103"/>
      <c r="BM991" s="103"/>
      <c r="BN991" s="103"/>
      <c r="BO991" s="103"/>
      <c r="BP991" s="103"/>
      <c r="BQ991" s="103"/>
      <c r="BR991" s="103"/>
      <c r="BS991" s="104"/>
      <c r="BT991" s="104"/>
      <c r="BU991" s="104"/>
      <c r="BV991" s="104"/>
      <c r="BW991" s="104"/>
      <c r="BX991" s="104"/>
      <c r="BY991" s="104"/>
      <c r="BZ991" s="104"/>
      <c r="CA991" s="104"/>
      <c r="CB991" s="104"/>
      <c r="CC991" s="103"/>
      <c r="CD991" s="103"/>
      <c r="CE991" s="103"/>
      <c r="CF991" s="103"/>
      <c r="CG991" s="103"/>
      <c r="CH991" s="133"/>
      <c r="CI991" s="133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O991" s="1"/>
      <c r="EP991" s="103"/>
      <c r="EQ991" s="103"/>
      <c r="ER991" s="1"/>
      <c r="ES991" s="103"/>
      <c r="ET991" s="1"/>
      <c r="EU991" s="1"/>
      <c r="EV991" s="1"/>
      <c r="EW991" s="105"/>
    </row>
    <row r="992" spans="9:153">
      <c r="I992" s="132"/>
      <c r="J992" s="133"/>
      <c r="K992" s="1"/>
      <c r="L992" s="1"/>
      <c r="Q992" s="1"/>
      <c r="R992" s="1"/>
      <c r="S992" s="103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53"/>
      <c r="AN992" s="103"/>
      <c r="AO992" s="103"/>
      <c r="AP992" s="103"/>
      <c r="AQ992" s="31"/>
      <c r="AR992" s="31"/>
      <c r="AS992" s="31"/>
      <c r="AT992" s="30"/>
      <c r="AU992" s="30"/>
      <c r="AV992" s="103"/>
      <c r="AW992" s="103"/>
      <c r="AX992" s="103"/>
      <c r="AY992" s="103"/>
      <c r="AZ992" s="103"/>
      <c r="BA992" s="103"/>
      <c r="BB992" s="104"/>
      <c r="BC992" s="102"/>
      <c r="BD992" s="102"/>
      <c r="BE992" s="102"/>
      <c r="BF992" s="104"/>
      <c r="BG992" s="152"/>
      <c r="BH992" s="103"/>
      <c r="BI992" s="103"/>
      <c r="BJ992" s="103"/>
      <c r="BK992" s="103"/>
      <c r="BL992" s="103"/>
      <c r="BM992" s="103"/>
      <c r="BN992" s="103"/>
      <c r="BO992" s="103"/>
      <c r="BP992" s="103"/>
      <c r="BQ992" s="103"/>
      <c r="BR992" s="103"/>
      <c r="BS992" s="104"/>
      <c r="BT992" s="104"/>
      <c r="BU992" s="104"/>
      <c r="BV992" s="104"/>
      <c r="BW992" s="104"/>
      <c r="BX992" s="104"/>
      <c r="BY992" s="104"/>
      <c r="BZ992" s="104"/>
      <c r="CA992" s="104"/>
      <c r="CB992" s="104"/>
      <c r="CC992" s="103"/>
      <c r="CD992" s="103"/>
      <c r="CE992" s="103"/>
      <c r="CF992" s="103"/>
      <c r="CG992" s="103"/>
      <c r="CH992" s="133"/>
      <c r="CI992" s="133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O992" s="1"/>
      <c r="EP992" s="103"/>
      <c r="EQ992" s="103"/>
      <c r="ER992" s="1"/>
      <c r="ES992" s="103"/>
      <c r="ET992" s="1"/>
      <c r="EU992" s="1"/>
      <c r="EV992" s="1"/>
      <c r="EW992" s="105"/>
    </row>
    <row r="993" spans="9:153">
      <c r="I993" s="132"/>
      <c r="J993" s="133"/>
      <c r="K993" s="1"/>
      <c r="L993" s="1"/>
      <c r="Q993" s="1"/>
      <c r="R993" s="1"/>
      <c r="S993" s="103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53"/>
      <c r="AN993" s="103"/>
      <c r="AO993" s="103"/>
      <c r="AP993" s="103"/>
      <c r="AQ993" s="31"/>
      <c r="AR993" s="31"/>
      <c r="AS993" s="31"/>
      <c r="AT993" s="30"/>
      <c r="AU993" s="30"/>
      <c r="AV993" s="103"/>
      <c r="AW993" s="103"/>
      <c r="AX993" s="103"/>
      <c r="AY993" s="103"/>
      <c r="AZ993" s="103"/>
      <c r="BA993" s="103"/>
      <c r="BB993" s="104"/>
      <c r="BC993" s="102"/>
      <c r="BD993" s="102"/>
      <c r="BE993" s="102"/>
      <c r="BF993" s="104"/>
      <c r="BG993" s="152"/>
      <c r="BH993" s="103"/>
      <c r="BI993" s="103"/>
      <c r="BJ993" s="103"/>
      <c r="BK993" s="103"/>
      <c r="BL993" s="103"/>
      <c r="BM993" s="103"/>
      <c r="BN993" s="103"/>
      <c r="BO993" s="103"/>
      <c r="BP993" s="103"/>
      <c r="BQ993" s="103"/>
      <c r="BR993" s="103"/>
      <c r="BS993" s="104"/>
      <c r="BT993" s="104"/>
      <c r="BU993" s="104"/>
      <c r="BV993" s="104"/>
      <c r="BW993" s="104"/>
      <c r="BX993" s="104"/>
      <c r="BY993" s="104"/>
      <c r="BZ993" s="104"/>
      <c r="CA993" s="104"/>
      <c r="CB993" s="104"/>
      <c r="CC993" s="103"/>
      <c r="CD993" s="103"/>
      <c r="CE993" s="103"/>
      <c r="CF993" s="103"/>
      <c r="CG993" s="103"/>
      <c r="CH993" s="133"/>
      <c r="CI993" s="133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O993" s="1"/>
      <c r="EP993" s="103"/>
      <c r="EQ993" s="103"/>
      <c r="ER993" s="1"/>
      <c r="ES993" s="103"/>
      <c r="ET993" s="1"/>
      <c r="EU993" s="1"/>
      <c r="EV993" s="1"/>
      <c r="EW993" s="105"/>
    </row>
    <row r="994" spans="9:153">
      <c r="I994" s="132"/>
      <c r="J994" s="133"/>
      <c r="K994" s="1"/>
      <c r="L994" s="1"/>
      <c r="Q994" s="1"/>
      <c r="R994" s="1"/>
      <c r="S994" s="103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53"/>
      <c r="AN994" s="103"/>
      <c r="AO994" s="103"/>
      <c r="AP994" s="103"/>
      <c r="AQ994" s="31"/>
      <c r="AR994" s="31"/>
      <c r="AS994" s="31"/>
      <c r="AT994" s="30"/>
      <c r="AU994" s="30"/>
      <c r="AV994" s="103"/>
      <c r="AW994" s="103"/>
      <c r="AX994" s="103"/>
      <c r="AY994" s="103"/>
      <c r="AZ994" s="103"/>
      <c r="BA994" s="103"/>
      <c r="BB994" s="104"/>
      <c r="BC994" s="102"/>
      <c r="BD994" s="102"/>
      <c r="BE994" s="102"/>
      <c r="BF994" s="104"/>
      <c r="BG994" s="152"/>
      <c r="BH994" s="103"/>
      <c r="BI994" s="103"/>
      <c r="BJ994" s="103"/>
      <c r="BK994" s="103"/>
      <c r="BL994" s="103"/>
      <c r="BM994" s="103"/>
      <c r="BN994" s="103"/>
      <c r="BO994" s="103"/>
      <c r="BP994" s="103"/>
      <c r="BQ994" s="103"/>
      <c r="BR994" s="103"/>
      <c r="BS994" s="104"/>
      <c r="BT994" s="104"/>
      <c r="BU994" s="104"/>
      <c r="BV994" s="104"/>
      <c r="BW994" s="104"/>
      <c r="BX994" s="104"/>
      <c r="BY994" s="104"/>
      <c r="BZ994" s="104"/>
      <c r="CA994" s="104"/>
      <c r="CB994" s="104"/>
      <c r="CC994" s="103"/>
      <c r="CD994" s="103"/>
      <c r="CE994" s="103"/>
      <c r="CF994" s="103"/>
      <c r="CG994" s="103"/>
      <c r="CH994" s="133"/>
      <c r="CI994" s="133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O994" s="1"/>
      <c r="EP994" s="103"/>
      <c r="EQ994" s="103"/>
      <c r="ER994" s="1"/>
      <c r="ES994" s="103"/>
      <c r="ET994" s="1"/>
      <c r="EU994" s="1"/>
      <c r="EV994" s="1"/>
      <c r="EW994" s="105"/>
    </row>
    <row r="995" spans="9:153">
      <c r="I995" s="132"/>
      <c r="J995" s="133"/>
      <c r="K995" s="1"/>
      <c r="L995" s="1"/>
      <c r="Q995" s="1"/>
      <c r="R995" s="1"/>
      <c r="S995" s="103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53"/>
      <c r="AN995" s="103"/>
      <c r="AO995" s="103"/>
      <c r="AP995" s="103"/>
      <c r="AQ995" s="31"/>
      <c r="AR995" s="31"/>
      <c r="AS995" s="31"/>
      <c r="AT995" s="30"/>
      <c r="AU995" s="30"/>
      <c r="AV995" s="103"/>
      <c r="AW995" s="103"/>
      <c r="AX995" s="103"/>
      <c r="AY995" s="103"/>
      <c r="AZ995" s="103"/>
      <c r="BA995" s="103"/>
      <c r="BB995" s="104"/>
      <c r="BC995" s="102"/>
      <c r="BD995" s="102"/>
      <c r="BE995" s="102"/>
      <c r="BF995" s="104"/>
      <c r="BG995" s="152"/>
      <c r="BH995" s="103"/>
      <c r="BI995" s="103"/>
      <c r="BJ995" s="103"/>
      <c r="BK995" s="103"/>
      <c r="BL995" s="103"/>
      <c r="BM995" s="103"/>
      <c r="BN995" s="103"/>
      <c r="BO995" s="103"/>
      <c r="BP995" s="103"/>
      <c r="BQ995" s="103"/>
      <c r="BR995" s="103"/>
      <c r="BS995" s="104"/>
      <c r="BT995" s="104"/>
      <c r="BU995" s="104"/>
      <c r="BV995" s="104"/>
      <c r="BW995" s="104"/>
      <c r="BX995" s="104"/>
      <c r="BY995" s="104"/>
      <c r="BZ995" s="104"/>
      <c r="CA995" s="104"/>
      <c r="CB995" s="104"/>
      <c r="CC995" s="103"/>
      <c r="CD995" s="103"/>
      <c r="CE995" s="103"/>
      <c r="CF995" s="103"/>
      <c r="CG995" s="103"/>
      <c r="CH995" s="133"/>
      <c r="CI995" s="133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O995" s="1"/>
      <c r="EP995" s="103"/>
      <c r="EQ995" s="103"/>
      <c r="ER995" s="1"/>
      <c r="ES995" s="103"/>
      <c r="ET995" s="1"/>
      <c r="EU995" s="1"/>
      <c r="EV995" s="1"/>
      <c r="EW995" s="105"/>
    </row>
    <row r="996" spans="9:153">
      <c r="I996" s="132"/>
      <c r="J996" s="133"/>
      <c r="K996" s="1"/>
      <c r="L996" s="1"/>
      <c r="Q996" s="1"/>
      <c r="R996" s="1"/>
      <c r="S996" s="103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53"/>
      <c r="AN996" s="103"/>
      <c r="AO996" s="103"/>
      <c r="AP996" s="103"/>
      <c r="AQ996" s="31"/>
      <c r="AR996" s="31"/>
      <c r="AS996" s="31"/>
      <c r="AT996" s="30"/>
      <c r="AU996" s="30"/>
      <c r="AV996" s="103"/>
      <c r="AW996" s="103"/>
      <c r="AX996" s="103"/>
      <c r="AY996" s="103"/>
      <c r="AZ996" s="103"/>
      <c r="BA996" s="103"/>
      <c r="BB996" s="104"/>
      <c r="BC996" s="102"/>
      <c r="BD996" s="102"/>
      <c r="BE996" s="102"/>
      <c r="BF996" s="104"/>
      <c r="BG996" s="152"/>
      <c r="BH996" s="103"/>
      <c r="BI996" s="103"/>
      <c r="BJ996" s="103"/>
      <c r="BK996" s="103"/>
      <c r="BL996" s="103"/>
      <c r="BM996" s="103"/>
      <c r="BN996" s="103"/>
      <c r="BO996" s="103"/>
      <c r="BP996" s="103"/>
      <c r="BQ996" s="103"/>
      <c r="BR996" s="103"/>
      <c r="BS996" s="104"/>
      <c r="BT996" s="104"/>
      <c r="BU996" s="104"/>
      <c r="BV996" s="104"/>
      <c r="BW996" s="104"/>
      <c r="BX996" s="104"/>
      <c r="BY996" s="104"/>
      <c r="BZ996" s="104"/>
      <c r="CA996" s="104"/>
      <c r="CB996" s="104"/>
      <c r="CC996" s="103"/>
      <c r="CD996" s="103"/>
      <c r="CE996" s="103"/>
      <c r="CF996" s="103"/>
      <c r="CG996" s="103"/>
      <c r="CH996" s="133"/>
      <c r="CI996" s="133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O996" s="1"/>
      <c r="EP996" s="103"/>
      <c r="EQ996" s="103"/>
      <c r="ER996" s="1"/>
      <c r="ES996" s="103"/>
      <c r="ET996" s="1"/>
      <c r="EU996" s="1"/>
      <c r="EV996" s="1"/>
      <c r="EW996" s="105"/>
    </row>
    <row r="997" spans="9:153">
      <c r="I997" s="132"/>
      <c r="J997" s="133"/>
      <c r="K997" s="1"/>
      <c r="L997" s="1"/>
      <c r="Q997" s="1"/>
      <c r="R997" s="1"/>
      <c r="S997" s="103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53"/>
      <c r="AN997" s="103"/>
      <c r="AO997" s="103"/>
      <c r="AP997" s="103"/>
      <c r="AQ997" s="31"/>
      <c r="AR997" s="31"/>
      <c r="AS997" s="31"/>
      <c r="AT997" s="30"/>
      <c r="AU997" s="30"/>
      <c r="AV997" s="103"/>
      <c r="AW997" s="103"/>
      <c r="AX997" s="103"/>
      <c r="AY997" s="103"/>
      <c r="AZ997" s="103"/>
      <c r="BA997" s="103"/>
      <c r="BB997" s="104"/>
      <c r="BC997" s="102"/>
      <c r="BD997" s="102"/>
      <c r="BE997" s="102"/>
      <c r="BF997" s="104"/>
      <c r="BG997" s="152"/>
      <c r="BH997" s="103"/>
      <c r="BI997" s="103"/>
      <c r="BJ997" s="103"/>
      <c r="BK997" s="103"/>
      <c r="BL997" s="103"/>
      <c r="BM997" s="103"/>
      <c r="BN997" s="103"/>
      <c r="BO997" s="103"/>
      <c r="BP997" s="103"/>
      <c r="BQ997" s="103"/>
      <c r="BR997" s="103"/>
      <c r="BS997" s="104"/>
      <c r="BT997" s="104"/>
      <c r="BU997" s="104"/>
      <c r="BV997" s="104"/>
      <c r="BW997" s="104"/>
      <c r="BX997" s="104"/>
      <c r="BY997" s="104"/>
      <c r="BZ997" s="104"/>
      <c r="CA997" s="104"/>
      <c r="CB997" s="104"/>
      <c r="CC997" s="103"/>
      <c r="CD997" s="103"/>
      <c r="CE997" s="103"/>
      <c r="CF997" s="103"/>
      <c r="CG997" s="103"/>
      <c r="CH997" s="133"/>
      <c r="CI997" s="133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O997" s="1"/>
      <c r="EP997" s="103"/>
      <c r="EQ997" s="103"/>
      <c r="ER997" s="1"/>
      <c r="ES997" s="103"/>
      <c r="ET997" s="1"/>
      <c r="EU997" s="1"/>
      <c r="EV997" s="1"/>
      <c r="EW997" s="105"/>
    </row>
    <row r="998" spans="9:153">
      <c r="I998" s="132"/>
      <c r="J998" s="133"/>
      <c r="K998" s="1"/>
      <c r="L998" s="1"/>
      <c r="Q998" s="1"/>
      <c r="R998" s="1"/>
      <c r="S998" s="103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53"/>
      <c r="AN998" s="103"/>
      <c r="AO998" s="103"/>
      <c r="AP998" s="103"/>
      <c r="AQ998" s="31"/>
      <c r="AR998" s="31"/>
      <c r="AS998" s="31"/>
      <c r="AT998" s="30"/>
      <c r="AU998" s="30"/>
      <c r="AV998" s="103"/>
      <c r="AW998" s="103"/>
      <c r="AX998" s="103"/>
      <c r="AY998" s="103"/>
      <c r="AZ998" s="103"/>
      <c r="BA998" s="103"/>
      <c r="BB998" s="104"/>
      <c r="BC998" s="102"/>
      <c r="BD998" s="102"/>
      <c r="BE998" s="102"/>
      <c r="BF998" s="104"/>
      <c r="BG998" s="152"/>
      <c r="BH998" s="103"/>
      <c r="BI998" s="103"/>
      <c r="BJ998" s="103"/>
      <c r="BK998" s="103"/>
      <c r="BL998" s="103"/>
      <c r="BM998" s="103"/>
      <c r="BN998" s="103"/>
      <c r="BO998" s="103"/>
      <c r="BP998" s="103"/>
      <c r="BQ998" s="103"/>
      <c r="BR998" s="103"/>
      <c r="BS998" s="104"/>
      <c r="BT998" s="104"/>
      <c r="BU998" s="104"/>
      <c r="BV998" s="104"/>
      <c r="BW998" s="104"/>
      <c r="BX998" s="104"/>
      <c r="BY998" s="104"/>
      <c r="BZ998" s="104"/>
      <c r="CA998" s="104"/>
      <c r="CB998" s="104"/>
      <c r="CC998" s="103"/>
      <c r="CD998" s="103"/>
      <c r="CE998" s="103"/>
      <c r="CF998" s="103"/>
      <c r="CG998" s="103"/>
      <c r="CH998" s="133"/>
      <c r="CI998" s="133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O998" s="1"/>
      <c r="EP998" s="103"/>
      <c r="EQ998" s="103"/>
      <c r="ER998" s="1"/>
      <c r="ES998" s="103"/>
      <c r="ET998" s="1"/>
      <c r="EU998" s="1"/>
      <c r="EV998" s="1"/>
      <c r="EW998" s="105"/>
    </row>
    <row r="999" spans="9:153">
      <c r="I999" s="132"/>
      <c r="J999" s="133"/>
      <c r="K999" s="1"/>
      <c r="L999" s="1"/>
      <c r="Q999" s="1"/>
      <c r="R999" s="1"/>
      <c r="S999" s="103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53"/>
      <c r="AN999" s="103"/>
      <c r="AO999" s="103"/>
      <c r="AP999" s="103"/>
      <c r="AQ999" s="31"/>
      <c r="AR999" s="31"/>
      <c r="AS999" s="31"/>
      <c r="AT999" s="30"/>
      <c r="AU999" s="30"/>
      <c r="AV999" s="103"/>
      <c r="AW999" s="103"/>
      <c r="AX999" s="103"/>
      <c r="AY999" s="103"/>
      <c r="AZ999" s="103"/>
      <c r="BA999" s="103"/>
      <c r="BB999" s="104"/>
      <c r="BC999" s="102"/>
      <c r="BD999" s="102"/>
      <c r="BE999" s="102"/>
      <c r="BF999" s="104"/>
      <c r="BG999" s="152"/>
      <c r="BH999" s="103"/>
      <c r="BI999" s="103"/>
      <c r="BJ999" s="103"/>
      <c r="BK999" s="103"/>
      <c r="BL999" s="103"/>
      <c r="BM999" s="103"/>
      <c r="BN999" s="103"/>
      <c r="BO999" s="103"/>
      <c r="BP999" s="103"/>
      <c r="BQ999" s="103"/>
      <c r="BR999" s="103"/>
      <c r="BS999" s="104"/>
      <c r="BT999" s="104"/>
      <c r="BU999" s="104"/>
      <c r="BV999" s="104"/>
      <c r="BW999" s="104"/>
      <c r="BX999" s="104"/>
      <c r="BY999" s="104"/>
      <c r="BZ999" s="104"/>
      <c r="CA999" s="104"/>
      <c r="CB999" s="104"/>
      <c r="CC999" s="103"/>
      <c r="CD999" s="103"/>
      <c r="CE999" s="103"/>
      <c r="CF999" s="103"/>
      <c r="CG999" s="103"/>
      <c r="CH999" s="133"/>
      <c r="CI999" s="133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O999" s="1"/>
      <c r="EP999" s="103"/>
      <c r="EQ999" s="103"/>
      <c r="ER999" s="1"/>
      <c r="ES999" s="103"/>
      <c r="ET999" s="1"/>
      <c r="EU999" s="1"/>
      <c r="EV999" s="1"/>
      <c r="EW999" s="105"/>
    </row>
    <row r="1000" spans="9:153">
      <c r="I1000" s="132"/>
      <c r="J1000" s="133"/>
      <c r="K1000" s="1"/>
      <c r="L1000" s="1"/>
      <c r="Q1000" s="1"/>
      <c r="R1000" s="1"/>
      <c r="S1000" s="103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53"/>
      <c r="AN1000" s="103"/>
      <c r="AO1000" s="103"/>
      <c r="AP1000" s="103"/>
      <c r="AQ1000" s="31"/>
      <c r="AR1000" s="31"/>
      <c r="AS1000" s="31"/>
      <c r="AT1000" s="30"/>
      <c r="AU1000" s="30"/>
      <c r="AV1000" s="103"/>
      <c r="AW1000" s="103"/>
      <c r="AX1000" s="103"/>
      <c r="AY1000" s="103"/>
      <c r="AZ1000" s="103"/>
      <c r="BA1000" s="103"/>
      <c r="BB1000" s="104"/>
      <c r="BC1000" s="102"/>
      <c r="BD1000" s="102"/>
      <c r="BE1000" s="102"/>
      <c r="BF1000" s="104"/>
      <c r="BG1000" s="152"/>
      <c r="BH1000" s="103"/>
      <c r="BI1000" s="103"/>
      <c r="BJ1000" s="103"/>
      <c r="BK1000" s="103"/>
      <c r="BL1000" s="103"/>
      <c r="BM1000" s="103"/>
      <c r="BN1000" s="103"/>
      <c r="BO1000" s="103"/>
      <c r="BP1000" s="103"/>
      <c r="BQ1000" s="103"/>
      <c r="BR1000" s="103"/>
      <c r="BS1000" s="104"/>
      <c r="BT1000" s="104"/>
      <c r="BU1000" s="104"/>
      <c r="BV1000" s="104"/>
      <c r="BW1000" s="104"/>
      <c r="BX1000" s="104"/>
      <c r="BY1000" s="104"/>
      <c r="BZ1000" s="104"/>
      <c r="CA1000" s="104"/>
      <c r="CB1000" s="104"/>
      <c r="CC1000" s="103"/>
      <c r="CD1000" s="103"/>
      <c r="CE1000" s="103"/>
      <c r="CF1000" s="103"/>
      <c r="CG1000" s="103"/>
      <c r="CH1000" s="133"/>
      <c r="CI1000" s="133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O1000" s="1"/>
      <c r="EP1000" s="103"/>
      <c r="EQ1000" s="103"/>
      <c r="ER1000" s="1"/>
      <c r="ES1000" s="103"/>
      <c r="ET1000" s="1"/>
      <c r="EU1000" s="1"/>
      <c r="EV1000" s="1"/>
      <c r="EW1000" s="105"/>
    </row>
    <row r="1001" spans="9:153">
      <c r="I1001" s="132"/>
      <c r="J1001" s="133"/>
      <c r="K1001" s="1"/>
      <c r="L1001" s="1"/>
      <c r="Q1001" s="1"/>
      <c r="R1001" s="1"/>
      <c r="S1001" s="103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53"/>
      <c r="AN1001" s="103"/>
      <c r="AO1001" s="103"/>
      <c r="AP1001" s="103"/>
      <c r="AQ1001" s="31"/>
      <c r="AR1001" s="31"/>
      <c r="AS1001" s="31"/>
      <c r="AT1001" s="30"/>
      <c r="AU1001" s="30"/>
      <c r="AV1001" s="103"/>
      <c r="AW1001" s="103"/>
      <c r="AX1001" s="103"/>
      <c r="AY1001" s="103"/>
      <c r="AZ1001" s="103"/>
      <c r="BA1001" s="103"/>
      <c r="BB1001" s="104"/>
      <c r="BC1001" s="102"/>
      <c r="BD1001" s="102"/>
      <c r="BE1001" s="102"/>
      <c r="BF1001" s="104"/>
      <c r="BG1001" s="152"/>
      <c r="BH1001" s="103"/>
      <c r="BI1001" s="103"/>
      <c r="BJ1001" s="103"/>
      <c r="BK1001" s="103"/>
      <c r="BL1001" s="103"/>
      <c r="BM1001" s="103"/>
      <c r="BN1001" s="103"/>
      <c r="BO1001" s="103"/>
      <c r="BP1001" s="103"/>
      <c r="BQ1001" s="103"/>
      <c r="BR1001" s="103"/>
      <c r="BS1001" s="104"/>
      <c r="BT1001" s="104"/>
      <c r="BU1001" s="104"/>
      <c r="BV1001" s="104"/>
      <c r="BW1001" s="104"/>
      <c r="BX1001" s="104"/>
      <c r="BY1001" s="104"/>
      <c r="BZ1001" s="104"/>
      <c r="CA1001" s="104"/>
      <c r="CB1001" s="104"/>
      <c r="CC1001" s="103"/>
      <c r="CD1001" s="103"/>
      <c r="CE1001" s="103"/>
      <c r="CF1001" s="103"/>
      <c r="CG1001" s="103"/>
      <c r="CH1001" s="133"/>
      <c r="CI1001" s="133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O1001" s="1"/>
      <c r="EP1001" s="103"/>
      <c r="EQ1001" s="103"/>
      <c r="ER1001" s="1"/>
      <c r="ES1001" s="103"/>
      <c r="ET1001" s="1"/>
      <c r="EU1001" s="1"/>
      <c r="EV1001" s="1"/>
      <c r="EW1001" s="105"/>
    </row>
    <row r="1002" spans="9:153">
      <c r="I1002" s="132"/>
      <c r="J1002" s="133"/>
      <c r="K1002" s="1"/>
      <c r="L1002" s="1"/>
      <c r="Q1002" s="1"/>
      <c r="R1002" s="1"/>
      <c r="S1002" s="103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53"/>
      <c r="AN1002" s="103"/>
      <c r="AO1002" s="103"/>
      <c r="AP1002" s="103"/>
      <c r="AQ1002" s="31"/>
      <c r="AR1002" s="31"/>
      <c r="AS1002" s="31"/>
      <c r="AT1002" s="30"/>
      <c r="AU1002" s="30"/>
      <c r="AV1002" s="103"/>
      <c r="AW1002" s="103"/>
      <c r="AX1002" s="103"/>
      <c r="AY1002" s="103"/>
      <c r="AZ1002" s="103"/>
      <c r="BA1002" s="103"/>
      <c r="BB1002" s="104"/>
      <c r="BC1002" s="102"/>
      <c r="BD1002" s="102"/>
      <c r="BE1002" s="102"/>
      <c r="BF1002" s="104"/>
      <c r="BG1002" s="152"/>
      <c r="BH1002" s="103"/>
      <c r="BI1002" s="103"/>
      <c r="BJ1002" s="103"/>
      <c r="BK1002" s="103"/>
      <c r="BL1002" s="103"/>
      <c r="BM1002" s="103"/>
      <c r="BN1002" s="103"/>
      <c r="BO1002" s="103"/>
      <c r="BP1002" s="103"/>
      <c r="BQ1002" s="103"/>
      <c r="BR1002" s="103"/>
      <c r="BS1002" s="104"/>
      <c r="BT1002" s="104"/>
      <c r="BU1002" s="104"/>
      <c r="BV1002" s="104"/>
      <c r="BW1002" s="104"/>
      <c r="BX1002" s="104"/>
      <c r="BY1002" s="104"/>
      <c r="BZ1002" s="104"/>
      <c r="CA1002" s="104"/>
      <c r="CB1002" s="104"/>
      <c r="CC1002" s="103"/>
      <c r="CD1002" s="103"/>
      <c r="CE1002" s="103"/>
      <c r="CF1002" s="103"/>
      <c r="CG1002" s="103"/>
      <c r="CH1002" s="133"/>
      <c r="CI1002" s="133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O1002" s="1"/>
      <c r="EP1002" s="103"/>
      <c r="EQ1002" s="103"/>
      <c r="ER1002" s="1"/>
      <c r="ES1002" s="103"/>
      <c r="ET1002" s="1"/>
      <c r="EU1002" s="1"/>
      <c r="EV1002" s="1"/>
      <c r="EW1002" s="105"/>
    </row>
    <row r="1003" spans="9:153">
      <c r="I1003" s="132"/>
      <c r="J1003" s="133"/>
      <c r="K1003" s="1"/>
      <c r="L1003" s="1"/>
      <c r="Q1003" s="1"/>
      <c r="R1003" s="1"/>
      <c r="S1003" s="103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53"/>
      <c r="AN1003" s="103"/>
      <c r="AO1003" s="103"/>
      <c r="AP1003" s="103"/>
      <c r="AQ1003" s="31"/>
      <c r="AR1003" s="31"/>
      <c r="AS1003" s="31"/>
      <c r="AT1003" s="30"/>
      <c r="AU1003" s="30"/>
      <c r="AV1003" s="103"/>
      <c r="AW1003" s="103"/>
      <c r="AX1003" s="103"/>
      <c r="AY1003" s="103"/>
      <c r="AZ1003" s="103"/>
      <c r="BA1003" s="103"/>
      <c r="BB1003" s="104"/>
      <c r="BC1003" s="102"/>
      <c r="BD1003" s="102"/>
      <c r="BE1003" s="102"/>
      <c r="BF1003" s="104"/>
      <c r="BG1003" s="152"/>
      <c r="BH1003" s="103"/>
      <c r="BI1003" s="103"/>
      <c r="BJ1003" s="103"/>
      <c r="BK1003" s="103"/>
      <c r="BL1003" s="103"/>
      <c r="BM1003" s="103"/>
      <c r="BN1003" s="103"/>
      <c r="BO1003" s="103"/>
      <c r="BP1003" s="103"/>
      <c r="BQ1003" s="103"/>
      <c r="BR1003" s="103"/>
      <c r="BS1003" s="104"/>
      <c r="BT1003" s="104"/>
      <c r="BU1003" s="104"/>
      <c r="BV1003" s="104"/>
      <c r="BW1003" s="104"/>
      <c r="BX1003" s="104"/>
      <c r="BY1003" s="104"/>
      <c r="BZ1003" s="104"/>
      <c r="CA1003" s="104"/>
      <c r="CB1003" s="104"/>
      <c r="CC1003" s="103"/>
      <c r="CD1003" s="103"/>
      <c r="CE1003" s="103"/>
      <c r="CF1003" s="103"/>
      <c r="CG1003" s="103"/>
      <c r="CH1003" s="133"/>
      <c r="CI1003" s="133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O1003" s="1"/>
      <c r="EP1003" s="103"/>
      <c r="EQ1003" s="103"/>
      <c r="ER1003" s="1"/>
      <c r="ES1003" s="103"/>
      <c r="ET1003" s="1"/>
      <c r="EU1003" s="1"/>
      <c r="EV1003" s="1"/>
      <c r="EW1003" s="105"/>
    </row>
    <row r="1004" spans="9:153">
      <c r="I1004" s="132"/>
      <c r="J1004" s="133"/>
      <c r="K1004" s="1"/>
      <c r="L1004" s="1"/>
      <c r="Q1004" s="1"/>
      <c r="R1004" s="1"/>
      <c r="S1004" s="103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53"/>
      <c r="AN1004" s="103"/>
      <c r="AO1004" s="103"/>
      <c r="AP1004" s="103"/>
      <c r="AQ1004" s="31"/>
      <c r="AR1004" s="31"/>
      <c r="AS1004" s="31"/>
      <c r="AT1004" s="30"/>
      <c r="AU1004" s="30"/>
      <c r="AV1004" s="103"/>
      <c r="AW1004" s="103"/>
      <c r="AX1004" s="103"/>
      <c r="AY1004" s="103"/>
      <c r="AZ1004" s="103"/>
      <c r="BA1004" s="103"/>
      <c r="BB1004" s="104"/>
      <c r="BC1004" s="102"/>
      <c r="BD1004" s="102"/>
      <c r="BE1004" s="102"/>
      <c r="BF1004" s="104"/>
      <c r="BG1004" s="152"/>
      <c r="BH1004" s="103"/>
      <c r="BI1004" s="103"/>
      <c r="BJ1004" s="103"/>
      <c r="BK1004" s="103"/>
      <c r="BL1004" s="103"/>
      <c r="BM1004" s="103"/>
      <c r="BN1004" s="103"/>
      <c r="BO1004" s="103"/>
      <c r="BP1004" s="103"/>
      <c r="BQ1004" s="103"/>
      <c r="BR1004" s="103"/>
      <c r="BS1004" s="104"/>
      <c r="BT1004" s="104"/>
      <c r="BU1004" s="104"/>
      <c r="BV1004" s="104"/>
      <c r="BW1004" s="104"/>
      <c r="BX1004" s="104"/>
      <c r="BY1004" s="104"/>
      <c r="BZ1004" s="104"/>
      <c r="CA1004" s="104"/>
      <c r="CB1004" s="104"/>
      <c r="CC1004" s="103"/>
      <c r="CD1004" s="103"/>
      <c r="CE1004" s="103"/>
      <c r="CF1004" s="103"/>
      <c r="CG1004" s="103"/>
      <c r="CH1004" s="133"/>
      <c r="CI1004" s="133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O1004" s="1"/>
      <c r="EP1004" s="103"/>
      <c r="EQ1004" s="103"/>
      <c r="ER1004" s="1"/>
      <c r="ES1004" s="103"/>
      <c r="ET1004" s="1"/>
      <c r="EU1004" s="1"/>
      <c r="EV1004" s="1"/>
      <c r="EW1004" s="105"/>
    </row>
    <row r="1005" spans="9:153">
      <c r="I1005" s="132"/>
      <c r="J1005" s="133"/>
      <c r="K1005" s="1"/>
      <c r="L1005" s="1"/>
      <c r="Q1005" s="1"/>
      <c r="R1005" s="1"/>
      <c r="S1005" s="103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53"/>
      <c r="AN1005" s="103"/>
      <c r="AO1005" s="103"/>
      <c r="AP1005" s="103"/>
      <c r="AQ1005" s="31"/>
      <c r="AR1005" s="31"/>
      <c r="AS1005" s="31"/>
      <c r="AT1005" s="30"/>
      <c r="AU1005" s="30"/>
      <c r="AV1005" s="103"/>
      <c r="AW1005" s="103"/>
      <c r="AX1005" s="103"/>
      <c r="AY1005" s="103"/>
      <c r="AZ1005" s="103"/>
      <c r="BA1005" s="103"/>
      <c r="BB1005" s="104"/>
      <c r="BC1005" s="102"/>
      <c r="BD1005" s="102"/>
      <c r="BE1005" s="102"/>
      <c r="BF1005" s="104"/>
      <c r="BG1005" s="152"/>
      <c r="BH1005" s="103"/>
      <c r="BI1005" s="103"/>
      <c r="BJ1005" s="103"/>
      <c r="BK1005" s="103"/>
      <c r="BL1005" s="103"/>
      <c r="BM1005" s="103"/>
      <c r="BN1005" s="103"/>
      <c r="BO1005" s="103"/>
      <c r="BP1005" s="103"/>
      <c r="BQ1005" s="103"/>
      <c r="BR1005" s="103"/>
      <c r="BS1005" s="104"/>
      <c r="BT1005" s="104"/>
      <c r="BU1005" s="104"/>
      <c r="BV1005" s="104"/>
      <c r="BW1005" s="104"/>
      <c r="BX1005" s="104"/>
      <c r="BY1005" s="104"/>
      <c r="BZ1005" s="104"/>
      <c r="CA1005" s="104"/>
      <c r="CB1005" s="104"/>
      <c r="CC1005" s="103"/>
      <c r="CD1005" s="103"/>
      <c r="CE1005" s="103"/>
      <c r="CF1005" s="103"/>
      <c r="CG1005" s="103"/>
      <c r="CH1005" s="133"/>
      <c r="CI1005" s="133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O1005" s="1"/>
      <c r="EP1005" s="103"/>
      <c r="EQ1005" s="103"/>
      <c r="ER1005" s="1"/>
      <c r="ES1005" s="103"/>
      <c r="ET1005" s="1"/>
      <c r="EU1005" s="1"/>
      <c r="EV1005" s="1"/>
      <c r="EW1005" s="105"/>
    </row>
    <row r="1006" spans="9:153">
      <c r="I1006" s="132"/>
      <c r="J1006" s="133"/>
      <c r="K1006" s="1"/>
      <c r="L1006" s="1"/>
      <c r="Q1006" s="1"/>
      <c r="R1006" s="1"/>
      <c r="S1006" s="103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53"/>
      <c r="AN1006" s="103"/>
      <c r="AO1006" s="103"/>
      <c r="AP1006" s="103"/>
      <c r="AQ1006" s="31"/>
      <c r="AR1006" s="31"/>
      <c r="AS1006" s="31"/>
      <c r="AT1006" s="30"/>
      <c r="AU1006" s="30"/>
      <c r="AV1006" s="103"/>
      <c r="AW1006" s="103"/>
      <c r="AX1006" s="103"/>
      <c r="AY1006" s="103"/>
      <c r="AZ1006" s="103"/>
      <c r="BA1006" s="103"/>
      <c r="BB1006" s="104"/>
      <c r="BC1006" s="102"/>
      <c r="BD1006" s="102"/>
      <c r="BE1006" s="102"/>
      <c r="BF1006" s="104"/>
      <c r="BG1006" s="152"/>
      <c r="BH1006" s="103"/>
      <c r="BI1006" s="103"/>
      <c r="BJ1006" s="103"/>
      <c r="BK1006" s="103"/>
      <c r="BL1006" s="103"/>
      <c r="BM1006" s="103"/>
      <c r="BN1006" s="103"/>
      <c r="BO1006" s="103"/>
      <c r="BP1006" s="103"/>
      <c r="BQ1006" s="103"/>
      <c r="BR1006" s="103"/>
      <c r="BS1006" s="104"/>
      <c r="BT1006" s="104"/>
      <c r="BU1006" s="104"/>
      <c r="BV1006" s="104"/>
      <c r="BW1006" s="104"/>
      <c r="BX1006" s="104"/>
      <c r="BY1006" s="104"/>
      <c r="BZ1006" s="104"/>
      <c r="CA1006" s="104"/>
      <c r="CB1006" s="104"/>
      <c r="CC1006" s="103"/>
      <c r="CD1006" s="103"/>
      <c r="CE1006" s="103"/>
      <c r="CF1006" s="103"/>
      <c r="CG1006" s="103"/>
      <c r="CH1006" s="133"/>
      <c r="CI1006" s="133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O1006" s="1"/>
      <c r="EP1006" s="103"/>
      <c r="EQ1006" s="103"/>
      <c r="ER1006" s="1"/>
      <c r="ES1006" s="103"/>
      <c r="ET1006" s="1"/>
      <c r="EU1006" s="1"/>
      <c r="EV1006" s="1"/>
      <c r="EW1006" s="105"/>
    </row>
    <row r="1007" spans="9:153">
      <c r="I1007" s="132"/>
      <c r="J1007" s="133"/>
      <c r="K1007" s="1"/>
      <c r="L1007" s="1"/>
      <c r="Q1007" s="1"/>
      <c r="R1007" s="1"/>
      <c r="S1007" s="103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53"/>
      <c r="AN1007" s="103"/>
      <c r="AO1007" s="103"/>
      <c r="AP1007" s="103"/>
      <c r="AQ1007" s="31"/>
      <c r="AR1007" s="31"/>
      <c r="AS1007" s="31"/>
      <c r="AT1007" s="30"/>
      <c r="AU1007" s="30"/>
      <c r="AV1007" s="103"/>
      <c r="AW1007" s="103"/>
      <c r="AX1007" s="103"/>
      <c r="AY1007" s="103"/>
      <c r="AZ1007" s="103"/>
      <c r="BA1007" s="103"/>
      <c r="BB1007" s="104"/>
      <c r="BC1007" s="102"/>
      <c r="BD1007" s="102"/>
      <c r="BE1007" s="102"/>
      <c r="BF1007" s="104"/>
      <c r="BG1007" s="152"/>
      <c r="BH1007" s="103"/>
      <c r="BI1007" s="103"/>
      <c r="BJ1007" s="103"/>
      <c r="BK1007" s="103"/>
      <c r="BL1007" s="103"/>
      <c r="BM1007" s="103"/>
      <c r="BN1007" s="103"/>
      <c r="BO1007" s="103"/>
      <c r="BP1007" s="103"/>
      <c r="BQ1007" s="103"/>
      <c r="BR1007" s="103"/>
      <c r="BS1007" s="104"/>
      <c r="BT1007" s="104"/>
      <c r="BU1007" s="104"/>
      <c r="BV1007" s="104"/>
      <c r="BW1007" s="104"/>
      <c r="BX1007" s="104"/>
      <c r="BY1007" s="104"/>
      <c r="BZ1007" s="104"/>
      <c r="CA1007" s="104"/>
      <c r="CB1007" s="104"/>
      <c r="CC1007" s="103"/>
      <c r="CD1007" s="103"/>
      <c r="CE1007" s="103"/>
      <c r="CF1007" s="103"/>
      <c r="CG1007" s="103"/>
      <c r="CH1007" s="133"/>
      <c r="CI1007" s="133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O1007" s="1"/>
      <c r="EP1007" s="103"/>
      <c r="EQ1007" s="103"/>
      <c r="ER1007" s="1"/>
      <c r="ES1007" s="103"/>
      <c r="ET1007" s="1"/>
      <c r="EU1007" s="1"/>
      <c r="EV1007" s="1"/>
      <c r="EW1007" s="105"/>
    </row>
    <row r="1008" spans="9:153">
      <c r="I1008" s="132"/>
      <c r="J1008" s="133"/>
      <c r="K1008" s="1"/>
      <c r="L1008" s="1"/>
      <c r="Q1008" s="1"/>
      <c r="R1008" s="1"/>
      <c r="S1008" s="103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53"/>
      <c r="AN1008" s="103"/>
      <c r="AO1008" s="103"/>
      <c r="AP1008" s="103"/>
      <c r="AQ1008" s="31"/>
      <c r="AR1008" s="31"/>
      <c r="AS1008" s="31"/>
      <c r="AT1008" s="30"/>
      <c r="AU1008" s="30"/>
      <c r="AV1008" s="103"/>
      <c r="AW1008" s="103"/>
      <c r="AX1008" s="103"/>
      <c r="AY1008" s="103"/>
      <c r="AZ1008" s="103"/>
      <c r="BA1008" s="103"/>
      <c r="BB1008" s="104"/>
      <c r="BC1008" s="102"/>
      <c r="BD1008" s="102"/>
      <c r="BE1008" s="102"/>
      <c r="BF1008" s="104"/>
      <c r="BG1008" s="152"/>
      <c r="BH1008" s="103"/>
      <c r="BI1008" s="103"/>
      <c r="BJ1008" s="103"/>
      <c r="BK1008" s="103"/>
      <c r="BL1008" s="103"/>
      <c r="BM1008" s="103"/>
      <c r="BN1008" s="103"/>
      <c r="BO1008" s="103"/>
      <c r="BP1008" s="103"/>
      <c r="BQ1008" s="103"/>
      <c r="BR1008" s="103"/>
      <c r="BS1008" s="104"/>
      <c r="BT1008" s="104"/>
      <c r="BU1008" s="104"/>
      <c r="BV1008" s="104"/>
      <c r="BW1008" s="104"/>
      <c r="BX1008" s="104"/>
      <c r="BY1008" s="104"/>
      <c r="BZ1008" s="104"/>
      <c r="CA1008" s="104"/>
      <c r="CB1008" s="104"/>
      <c r="CC1008" s="103"/>
      <c r="CD1008" s="103"/>
      <c r="CE1008" s="103"/>
      <c r="CF1008" s="103"/>
      <c r="CG1008" s="103"/>
      <c r="CH1008" s="133"/>
      <c r="CI1008" s="133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O1008" s="1"/>
      <c r="EP1008" s="103"/>
      <c r="EQ1008" s="103"/>
      <c r="ER1008" s="1"/>
      <c r="ES1008" s="103"/>
      <c r="ET1008" s="1"/>
      <c r="EU1008" s="1"/>
      <c r="EV1008" s="1"/>
      <c r="EW1008" s="105"/>
    </row>
    <row r="1009" spans="9:153">
      <c r="I1009" s="132"/>
      <c r="J1009" s="133"/>
      <c r="K1009" s="1"/>
      <c r="L1009" s="1"/>
      <c r="Q1009" s="1"/>
      <c r="R1009" s="1"/>
      <c r="S1009" s="103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53"/>
      <c r="AN1009" s="103"/>
      <c r="AO1009" s="103"/>
      <c r="AP1009" s="103"/>
      <c r="AQ1009" s="31"/>
      <c r="AR1009" s="31"/>
      <c r="AS1009" s="31"/>
      <c r="AT1009" s="30"/>
      <c r="AU1009" s="30"/>
      <c r="AV1009" s="103"/>
      <c r="AW1009" s="103"/>
      <c r="AX1009" s="103"/>
      <c r="AY1009" s="103"/>
      <c r="AZ1009" s="103"/>
      <c r="BA1009" s="103"/>
      <c r="BB1009" s="104"/>
      <c r="BC1009" s="102"/>
      <c r="BD1009" s="102"/>
      <c r="BE1009" s="102"/>
      <c r="BF1009" s="104"/>
      <c r="BG1009" s="152"/>
      <c r="BH1009" s="103"/>
      <c r="BI1009" s="103"/>
      <c r="BJ1009" s="103"/>
      <c r="BK1009" s="103"/>
      <c r="BL1009" s="103"/>
      <c r="BM1009" s="103"/>
      <c r="BN1009" s="103"/>
      <c r="BO1009" s="103"/>
      <c r="BP1009" s="103"/>
      <c r="BQ1009" s="103"/>
      <c r="BR1009" s="103"/>
      <c r="BS1009" s="104"/>
      <c r="BT1009" s="104"/>
      <c r="BU1009" s="104"/>
      <c r="BV1009" s="104"/>
      <c r="BW1009" s="104"/>
      <c r="BX1009" s="104"/>
      <c r="BY1009" s="104"/>
      <c r="BZ1009" s="104"/>
      <c r="CA1009" s="104"/>
      <c r="CB1009" s="104"/>
      <c r="CC1009" s="103"/>
      <c r="CD1009" s="103"/>
      <c r="CE1009" s="103"/>
      <c r="CF1009" s="103"/>
      <c r="CG1009" s="103"/>
      <c r="CH1009" s="133"/>
      <c r="CI1009" s="133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O1009" s="1"/>
      <c r="EP1009" s="103"/>
      <c r="EQ1009" s="103"/>
      <c r="ER1009" s="1"/>
      <c r="ES1009" s="103"/>
      <c r="ET1009" s="1"/>
      <c r="EU1009" s="1"/>
      <c r="EV1009" s="1"/>
      <c r="EW1009" s="105"/>
    </row>
    <row r="1010" spans="9:153">
      <c r="I1010" s="132"/>
      <c r="J1010" s="133"/>
      <c r="K1010" s="1"/>
      <c r="L1010" s="1"/>
      <c r="Q1010" s="1"/>
      <c r="R1010" s="1"/>
      <c r="S1010" s="103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53"/>
      <c r="AN1010" s="103"/>
      <c r="AO1010" s="103"/>
      <c r="AP1010" s="103"/>
      <c r="AQ1010" s="31"/>
      <c r="AR1010" s="31"/>
      <c r="AS1010" s="31"/>
      <c r="AT1010" s="30"/>
      <c r="AU1010" s="30"/>
      <c r="AV1010" s="103"/>
      <c r="AW1010" s="103"/>
      <c r="AX1010" s="103"/>
      <c r="AY1010" s="103"/>
      <c r="AZ1010" s="103"/>
      <c r="BA1010" s="103"/>
      <c r="BB1010" s="104"/>
      <c r="BC1010" s="102"/>
      <c r="BD1010" s="102"/>
      <c r="BE1010" s="102"/>
      <c r="BF1010" s="104"/>
      <c r="BG1010" s="152"/>
      <c r="BH1010" s="103"/>
      <c r="BI1010" s="103"/>
      <c r="BJ1010" s="103"/>
      <c r="BK1010" s="103"/>
      <c r="BL1010" s="103"/>
      <c r="BM1010" s="103"/>
      <c r="BN1010" s="103"/>
      <c r="BO1010" s="103"/>
      <c r="BP1010" s="103"/>
      <c r="BQ1010" s="103"/>
      <c r="BR1010" s="103"/>
      <c r="BS1010" s="104"/>
      <c r="BT1010" s="104"/>
      <c r="BU1010" s="104"/>
      <c r="BV1010" s="104"/>
      <c r="BW1010" s="104"/>
      <c r="BX1010" s="104"/>
      <c r="BY1010" s="104"/>
      <c r="BZ1010" s="104"/>
      <c r="CA1010" s="104"/>
      <c r="CB1010" s="104"/>
      <c r="CC1010" s="103"/>
      <c r="CD1010" s="103"/>
      <c r="CE1010" s="103"/>
      <c r="CF1010" s="103"/>
      <c r="CG1010" s="103"/>
      <c r="CH1010" s="133"/>
      <c r="CI1010" s="133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O1010" s="1"/>
      <c r="EP1010" s="103"/>
      <c r="EQ1010" s="103"/>
      <c r="ER1010" s="1"/>
      <c r="ES1010" s="103"/>
      <c r="ET1010" s="1"/>
      <c r="EU1010" s="1"/>
      <c r="EV1010" s="1"/>
      <c r="EW1010" s="105"/>
    </row>
    <row r="1011" spans="9:153">
      <c r="I1011" s="132"/>
      <c r="J1011" s="133"/>
      <c r="K1011" s="1"/>
      <c r="L1011" s="1"/>
      <c r="Q1011" s="1"/>
      <c r="R1011" s="1"/>
      <c r="S1011" s="103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53"/>
      <c r="AN1011" s="103"/>
      <c r="AO1011" s="103"/>
      <c r="AP1011" s="103"/>
      <c r="AQ1011" s="31"/>
      <c r="AR1011" s="31"/>
      <c r="AS1011" s="31"/>
      <c r="AT1011" s="30"/>
      <c r="AU1011" s="30"/>
      <c r="AV1011" s="103"/>
      <c r="AW1011" s="103"/>
      <c r="AX1011" s="103"/>
      <c r="AY1011" s="103"/>
      <c r="AZ1011" s="103"/>
      <c r="BA1011" s="103"/>
      <c r="BB1011" s="104"/>
      <c r="BC1011" s="102"/>
      <c r="BD1011" s="102"/>
      <c r="BE1011" s="102"/>
      <c r="BF1011" s="104"/>
      <c r="BG1011" s="152"/>
      <c r="BH1011" s="103"/>
      <c r="BI1011" s="103"/>
      <c r="BJ1011" s="103"/>
      <c r="BK1011" s="103"/>
      <c r="BL1011" s="103"/>
      <c r="BM1011" s="103"/>
      <c r="BN1011" s="103"/>
      <c r="BO1011" s="103"/>
      <c r="BP1011" s="103"/>
      <c r="BQ1011" s="103"/>
      <c r="BR1011" s="103"/>
      <c r="BS1011" s="104"/>
      <c r="BT1011" s="104"/>
      <c r="BU1011" s="104"/>
      <c r="BV1011" s="104"/>
      <c r="BW1011" s="104"/>
      <c r="BX1011" s="104"/>
      <c r="BY1011" s="104"/>
      <c r="BZ1011" s="104"/>
      <c r="CA1011" s="104"/>
      <c r="CB1011" s="104"/>
      <c r="CC1011" s="103"/>
      <c r="CD1011" s="103"/>
      <c r="CE1011" s="103"/>
      <c r="CF1011" s="103"/>
      <c r="CG1011" s="103"/>
      <c r="CH1011" s="133"/>
      <c r="CI1011" s="133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O1011" s="1"/>
      <c r="EP1011" s="103"/>
      <c r="EQ1011" s="103"/>
      <c r="ER1011" s="1"/>
      <c r="ES1011" s="103"/>
      <c r="ET1011" s="1"/>
      <c r="EU1011" s="1"/>
      <c r="EV1011" s="1"/>
      <c r="EW1011" s="105"/>
    </row>
    <row r="1012" spans="9:153">
      <c r="I1012" s="132"/>
      <c r="J1012" s="133"/>
      <c r="K1012" s="1"/>
      <c r="L1012" s="1"/>
      <c r="Q1012" s="1"/>
      <c r="R1012" s="1"/>
      <c r="S1012" s="103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53"/>
      <c r="AN1012" s="103"/>
      <c r="AO1012" s="103"/>
      <c r="AP1012" s="103"/>
      <c r="AQ1012" s="31"/>
      <c r="AR1012" s="31"/>
      <c r="AS1012" s="31"/>
      <c r="AT1012" s="30"/>
      <c r="AU1012" s="30"/>
      <c r="AV1012" s="103"/>
      <c r="AW1012" s="103"/>
      <c r="AX1012" s="103"/>
      <c r="AY1012" s="103"/>
      <c r="AZ1012" s="103"/>
      <c r="BA1012" s="103"/>
      <c r="BB1012" s="104"/>
      <c r="BC1012" s="102"/>
      <c r="BD1012" s="102"/>
      <c r="BE1012" s="102"/>
      <c r="BF1012" s="104"/>
      <c r="BG1012" s="152"/>
      <c r="BH1012" s="103"/>
      <c r="BI1012" s="103"/>
      <c r="BJ1012" s="103"/>
      <c r="BK1012" s="103"/>
      <c r="BL1012" s="103"/>
      <c r="BM1012" s="103"/>
      <c r="BN1012" s="103"/>
      <c r="BO1012" s="103"/>
      <c r="BP1012" s="103"/>
      <c r="BQ1012" s="103"/>
      <c r="BR1012" s="103"/>
      <c r="BS1012" s="104"/>
      <c r="BT1012" s="104"/>
      <c r="BU1012" s="104"/>
      <c r="BV1012" s="104"/>
      <c r="BW1012" s="104"/>
      <c r="BX1012" s="104"/>
      <c r="BY1012" s="104"/>
      <c r="BZ1012" s="104"/>
      <c r="CA1012" s="104"/>
      <c r="CB1012" s="104"/>
      <c r="CC1012" s="103"/>
      <c r="CD1012" s="103"/>
      <c r="CE1012" s="103"/>
      <c r="CF1012" s="103"/>
      <c r="CG1012" s="103"/>
      <c r="CH1012" s="133"/>
      <c r="CI1012" s="133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O1012" s="1"/>
      <c r="EP1012" s="103"/>
      <c r="EQ1012" s="103"/>
      <c r="ER1012" s="1"/>
      <c r="ES1012" s="103"/>
      <c r="ET1012" s="1"/>
      <c r="EU1012" s="1"/>
      <c r="EV1012" s="1"/>
      <c r="EW1012" s="105"/>
    </row>
    <row r="1013" spans="9:153">
      <c r="I1013" s="132"/>
      <c r="J1013" s="133"/>
      <c r="K1013" s="1"/>
      <c r="L1013" s="1"/>
      <c r="Q1013" s="1"/>
      <c r="R1013" s="1"/>
      <c r="S1013" s="103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53"/>
      <c r="AN1013" s="103"/>
      <c r="AO1013" s="103"/>
      <c r="AP1013" s="103"/>
      <c r="AQ1013" s="31"/>
      <c r="AR1013" s="31"/>
      <c r="AS1013" s="31"/>
      <c r="AT1013" s="30"/>
      <c r="AU1013" s="30"/>
      <c r="AV1013" s="103"/>
      <c r="AW1013" s="103"/>
      <c r="AX1013" s="103"/>
      <c r="AY1013" s="103"/>
      <c r="AZ1013" s="103"/>
      <c r="BA1013" s="103"/>
      <c r="BB1013" s="104"/>
      <c r="BC1013" s="102"/>
      <c r="BD1013" s="102"/>
      <c r="BE1013" s="102"/>
      <c r="BF1013" s="104"/>
      <c r="BG1013" s="152"/>
      <c r="BH1013" s="103"/>
      <c r="BI1013" s="103"/>
      <c r="BJ1013" s="103"/>
      <c r="BK1013" s="103"/>
      <c r="BL1013" s="103"/>
      <c r="BM1013" s="103"/>
      <c r="BN1013" s="103"/>
      <c r="BO1013" s="103"/>
      <c r="BP1013" s="103"/>
      <c r="BQ1013" s="103"/>
      <c r="BR1013" s="103"/>
      <c r="BS1013" s="104"/>
      <c r="BT1013" s="104"/>
      <c r="BU1013" s="104"/>
      <c r="BV1013" s="104"/>
      <c r="BW1013" s="104"/>
      <c r="BX1013" s="104"/>
      <c r="BY1013" s="104"/>
      <c r="BZ1013" s="104"/>
      <c r="CA1013" s="104"/>
      <c r="CB1013" s="104"/>
      <c r="CC1013" s="103"/>
      <c r="CD1013" s="103"/>
      <c r="CE1013" s="103"/>
      <c r="CF1013" s="103"/>
      <c r="CG1013" s="103"/>
      <c r="CH1013" s="133"/>
      <c r="CI1013" s="133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O1013" s="1"/>
      <c r="EP1013" s="103"/>
      <c r="EQ1013" s="103"/>
      <c r="ER1013" s="1"/>
      <c r="ES1013" s="103"/>
      <c r="ET1013" s="1"/>
      <c r="EU1013" s="1"/>
      <c r="EV1013" s="1"/>
      <c r="EW1013" s="105"/>
    </row>
    <row r="1014" spans="9:153">
      <c r="I1014" s="132"/>
      <c r="J1014" s="133"/>
      <c r="K1014" s="1"/>
      <c r="L1014" s="1"/>
      <c r="Q1014" s="1"/>
      <c r="R1014" s="1"/>
      <c r="S1014" s="103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53"/>
      <c r="AN1014" s="103"/>
      <c r="AO1014" s="103"/>
      <c r="AP1014" s="103"/>
      <c r="AQ1014" s="31"/>
      <c r="AR1014" s="31"/>
      <c r="AS1014" s="31"/>
      <c r="AT1014" s="30"/>
      <c r="AU1014" s="30"/>
      <c r="AV1014" s="103"/>
      <c r="AW1014" s="103"/>
      <c r="AX1014" s="103"/>
      <c r="AY1014" s="103"/>
      <c r="AZ1014" s="103"/>
      <c r="BA1014" s="103"/>
      <c r="BB1014" s="104"/>
      <c r="BC1014" s="102"/>
      <c r="BD1014" s="102"/>
      <c r="BE1014" s="102"/>
      <c r="BF1014" s="104"/>
      <c r="BG1014" s="152"/>
      <c r="BH1014" s="103"/>
      <c r="BI1014" s="103"/>
      <c r="BJ1014" s="103"/>
      <c r="BK1014" s="103"/>
      <c r="BL1014" s="103"/>
      <c r="BM1014" s="103"/>
      <c r="BN1014" s="103"/>
      <c r="BO1014" s="103"/>
      <c r="BP1014" s="103"/>
      <c r="BQ1014" s="103"/>
      <c r="BR1014" s="103"/>
      <c r="BS1014" s="104"/>
      <c r="BT1014" s="104"/>
      <c r="BU1014" s="104"/>
      <c r="BV1014" s="104"/>
      <c r="BW1014" s="104"/>
      <c r="BX1014" s="104"/>
      <c r="BY1014" s="104"/>
      <c r="BZ1014" s="104"/>
      <c r="CA1014" s="104"/>
      <c r="CB1014" s="104"/>
      <c r="CC1014" s="103"/>
      <c r="CD1014" s="103"/>
      <c r="CE1014" s="103"/>
      <c r="CF1014" s="103"/>
      <c r="CG1014" s="103"/>
      <c r="CH1014" s="133"/>
      <c r="CI1014" s="133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O1014" s="1"/>
      <c r="EP1014" s="103"/>
      <c r="EQ1014" s="103"/>
      <c r="ER1014" s="1"/>
      <c r="ES1014" s="103"/>
      <c r="ET1014" s="1"/>
      <c r="EU1014" s="1"/>
      <c r="EV1014" s="1"/>
      <c r="EW1014" s="105"/>
    </row>
    <row r="1015" spans="9:153">
      <c r="I1015" s="132"/>
      <c r="J1015" s="133"/>
      <c r="K1015" s="1"/>
      <c r="L1015" s="1"/>
      <c r="Q1015" s="1"/>
      <c r="R1015" s="1"/>
      <c r="S1015" s="103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53"/>
      <c r="AN1015" s="103"/>
      <c r="AO1015" s="103"/>
      <c r="AP1015" s="103"/>
      <c r="AQ1015" s="31"/>
      <c r="AR1015" s="31"/>
      <c r="AS1015" s="31"/>
      <c r="AT1015" s="30"/>
      <c r="AU1015" s="30"/>
      <c r="AV1015" s="103"/>
      <c r="AW1015" s="103"/>
      <c r="AX1015" s="103"/>
      <c r="AY1015" s="103"/>
      <c r="AZ1015" s="103"/>
      <c r="BA1015" s="103"/>
      <c r="BB1015" s="104"/>
      <c r="BC1015" s="102"/>
      <c r="BD1015" s="102"/>
      <c r="BE1015" s="102"/>
      <c r="BF1015" s="104"/>
      <c r="BG1015" s="152"/>
      <c r="BH1015" s="103"/>
      <c r="BI1015" s="103"/>
      <c r="BJ1015" s="103"/>
      <c r="BK1015" s="103"/>
      <c r="BL1015" s="103"/>
      <c r="BM1015" s="103"/>
      <c r="BN1015" s="103"/>
      <c r="BO1015" s="103"/>
      <c r="BP1015" s="103"/>
      <c r="BQ1015" s="103"/>
      <c r="BR1015" s="103"/>
      <c r="BS1015" s="104"/>
      <c r="BT1015" s="104"/>
      <c r="BU1015" s="104"/>
      <c r="BV1015" s="104"/>
      <c r="BW1015" s="104"/>
      <c r="BX1015" s="104"/>
      <c r="BY1015" s="104"/>
      <c r="BZ1015" s="104"/>
      <c r="CA1015" s="104"/>
      <c r="CB1015" s="104"/>
      <c r="CC1015" s="103"/>
      <c r="CD1015" s="103"/>
      <c r="CE1015" s="103"/>
      <c r="CF1015" s="103"/>
      <c r="CG1015" s="103"/>
      <c r="CH1015" s="133"/>
      <c r="CI1015" s="133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O1015" s="1"/>
      <c r="EP1015" s="103"/>
      <c r="EQ1015" s="103"/>
      <c r="ER1015" s="1"/>
      <c r="ES1015" s="103"/>
      <c r="ET1015" s="1"/>
      <c r="EU1015" s="1"/>
      <c r="EV1015" s="1"/>
      <c r="EW1015" s="105"/>
    </row>
    <row r="1016" spans="9:153">
      <c r="I1016" s="132"/>
      <c r="J1016" s="133"/>
      <c r="K1016" s="1"/>
      <c r="L1016" s="1"/>
      <c r="Q1016" s="1"/>
      <c r="R1016" s="1"/>
      <c r="S1016" s="103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53"/>
      <c r="AN1016" s="103"/>
      <c r="AO1016" s="103"/>
      <c r="AP1016" s="103"/>
      <c r="AQ1016" s="31"/>
      <c r="AR1016" s="31"/>
      <c r="AS1016" s="31"/>
      <c r="AT1016" s="30"/>
      <c r="AU1016" s="30"/>
      <c r="AV1016" s="103"/>
      <c r="AW1016" s="103"/>
      <c r="AX1016" s="103"/>
      <c r="AY1016" s="103"/>
      <c r="AZ1016" s="103"/>
      <c r="BA1016" s="103"/>
      <c r="BB1016" s="104"/>
      <c r="BC1016" s="102"/>
      <c r="BD1016" s="102"/>
      <c r="BE1016" s="102"/>
      <c r="BF1016" s="104"/>
      <c r="BG1016" s="152"/>
      <c r="BH1016" s="103"/>
      <c r="BI1016" s="103"/>
      <c r="BJ1016" s="103"/>
      <c r="BK1016" s="103"/>
      <c r="BL1016" s="103"/>
      <c r="BM1016" s="103"/>
      <c r="BN1016" s="103"/>
      <c r="BO1016" s="103"/>
      <c r="BP1016" s="103"/>
      <c r="BQ1016" s="103"/>
      <c r="BR1016" s="103"/>
      <c r="BS1016" s="104"/>
      <c r="BT1016" s="104"/>
      <c r="BU1016" s="104"/>
      <c r="BV1016" s="104"/>
      <c r="BW1016" s="104"/>
      <c r="BX1016" s="104"/>
      <c r="BY1016" s="104"/>
      <c r="BZ1016" s="104"/>
      <c r="CA1016" s="104"/>
      <c r="CB1016" s="104"/>
      <c r="CC1016" s="103"/>
      <c r="CD1016" s="103"/>
      <c r="CE1016" s="103"/>
      <c r="CF1016" s="103"/>
      <c r="CG1016" s="103"/>
      <c r="CH1016" s="133"/>
      <c r="CI1016" s="133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O1016" s="1"/>
      <c r="EP1016" s="103"/>
      <c r="EQ1016" s="103"/>
      <c r="ER1016" s="1"/>
      <c r="ES1016" s="103"/>
      <c r="ET1016" s="1"/>
      <c r="EU1016" s="1"/>
      <c r="EV1016" s="1"/>
      <c r="EW1016" s="105"/>
    </row>
    <row r="1017" spans="9:153">
      <c r="I1017" s="132"/>
      <c r="J1017" s="133"/>
      <c r="K1017" s="1"/>
      <c r="L1017" s="1"/>
      <c r="Q1017" s="1"/>
      <c r="R1017" s="1"/>
      <c r="S1017" s="103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53"/>
      <c r="AN1017" s="103"/>
      <c r="AO1017" s="103"/>
      <c r="AP1017" s="103"/>
      <c r="AQ1017" s="31"/>
      <c r="AR1017" s="31"/>
      <c r="AS1017" s="31"/>
      <c r="AT1017" s="30"/>
      <c r="AU1017" s="30"/>
      <c r="AV1017" s="103"/>
      <c r="AW1017" s="103"/>
      <c r="AX1017" s="103"/>
      <c r="AY1017" s="103"/>
      <c r="AZ1017" s="103"/>
      <c r="BA1017" s="103"/>
      <c r="BB1017" s="104"/>
      <c r="BC1017" s="102"/>
      <c r="BD1017" s="102"/>
      <c r="BE1017" s="102"/>
      <c r="BF1017" s="104"/>
      <c r="BG1017" s="152"/>
      <c r="BH1017" s="103"/>
      <c r="BI1017" s="103"/>
      <c r="BJ1017" s="103"/>
      <c r="BK1017" s="103"/>
      <c r="BL1017" s="103"/>
      <c r="BM1017" s="103"/>
      <c r="BN1017" s="103"/>
      <c r="BO1017" s="103"/>
      <c r="BP1017" s="103"/>
      <c r="BQ1017" s="103"/>
      <c r="BR1017" s="103"/>
      <c r="BS1017" s="104"/>
      <c r="BT1017" s="104"/>
      <c r="BU1017" s="104"/>
      <c r="BV1017" s="104"/>
      <c r="BW1017" s="104"/>
      <c r="BX1017" s="104"/>
      <c r="BY1017" s="104"/>
      <c r="BZ1017" s="104"/>
      <c r="CA1017" s="104"/>
      <c r="CB1017" s="104"/>
      <c r="CC1017" s="103"/>
      <c r="CD1017" s="103"/>
      <c r="CE1017" s="103"/>
      <c r="CF1017" s="103"/>
      <c r="CG1017" s="103"/>
      <c r="CH1017" s="133"/>
      <c r="CI1017" s="133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O1017" s="1"/>
      <c r="EP1017" s="103"/>
      <c r="EQ1017" s="103"/>
      <c r="ER1017" s="1"/>
      <c r="ES1017" s="103"/>
      <c r="ET1017" s="1"/>
      <c r="EU1017" s="1"/>
      <c r="EV1017" s="1"/>
      <c r="EW1017" s="105"/>
    </row>
    <row r="1018" spans="9:153">
      <c r="I1018" s="132"/>
      <c r="J1018" s="133"/>
      <c r="K1018" s="1"/>
      <c r="L1018" s="1"/>
      <c r="Q1018" s="1"/>
      <c r="R1018" s="1"/>
      <c r="S1018" s="103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53"/>
      <c r="AN1018" s="103"/>
      <c r="AO1018" s="103"/>
      <c r="AP1018" s="103"/>
      <c r="AQ1018" s="31"/>
      <c r="AR1018" s="31"/>
      <c r="AS1018" s="31"/>
      <c r="AT1018" s="30"/>
      <c r="AU1018" s="30"/>
      <c r="AV1018" s="103"/>
      <c r="AW1018" s="103"/>
      <c r="AX1018" s="103"/>
      <c r="AY1018" s="103"/>
      <c r="AZ1018" s="103"/>
      <c r="BA1018" s="103"/>
      <c r="BB1018" s="104"/>
      <c r="BC1018" s="102"/>
      <c r="BD1018" s="102"/>
      <c r="BE1018" s="102"/>
      <c r="BF1018" s="104"/>
      <c r="BG1018" s="152"/>
      <c r="BH1018" s="103"/>
      <c r="BI1018" s="103"/>
      <c r="BJ1018" s="103"/>
      <c r="BK1018" s="103"/>
      <c r="BL1018" s="103"/>
      <c r="BM1018" s="103"/>
      <c r="BN1018" s="103"/>
      <c r="BO1018" s="103"/>
      <c r="BP1018" s="103"/>
      <c r="BQ1018" s="103"/>
      <c r="BR1018" s="103"/>
      <c r="BS1018" s="104"/>
      <c r="BT1018" s="104"/>
      <c r="BU1018" s="104"/>
      <c r="BV1018" s="104"/>
      <c r="BW1018" s="104"/>
      <c r="BX1018" s="104"/>
      <c r="BY1018" s="104"/>
      <c r="BZ1018" s="104"/>
      <c r="CA1018" s="104"/>
      <c r="CB1018" s="104"/>
      <c r="CC1018" s="103"/>
      <c r="CD1018" s="103"/>
      <c r="CE1018" s="103"/>
      <c r="CF1018" s="103"/>
      <c r="CG1018" s="103"/>
      <c r="CH1018" s="133"/>
      <c r="CI1018" s="133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O1018" s="1"/>
      <c r="EP1018" s="103"/>
      <c r="EQ1018" s="103"/>
      <c r="ER1018" s="1"/>
      <c r="ES1018" s="103"/>
      <c r="ET1018" s="1"/>
      <c r="EU1018" s="1"/>
      <c r="EV1018" s="1"/>
      <c r="EW1018" s="105"/>
    </row>
    <row r="1019" spans="9:153">
      <c r="I1019" s="132"/>
      <c r="J1019" s="133"/>
      <c r="K1019" s="1"/>
      <c r="L1019" s="1"/>
      <c r="Q1019" s="1"/>
      <c r="R1019" s="1"/>
      <c r="S1019" s="103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53"/>
      <c r="AN1019" s="103"/>
      <c r="AO1019" s="103"/>
      <c r="AP1019" s="103"/>
      <c r="AQ1019" s="31"/>
      <c r="AR1019" s="31"/>
      <c r="AS1019" s="31"/>
      <c r="AT1019" s="30"/>
      <c r="AU1019" s="30"/>
      <c r="AV1019" s="103"/>
      <c r="AW1019" s="103"/>
      <c r="AX1019" s="103"/>
      <c r="AY1019" s="103"/>
      <c r="AZ1019" s="103"/>
      <c r="BA1019" s="103"/>
      <c r="BB1019" s="104"/>
      <c r="BC1019" s="102"/>
      <c r="BD1019" s="102"/>
      <c r="BE1019" s="102"/>
      <c r="BF1019" s="104"/>
      <c r="BG1019" s="152"/>
      <c r="BH1019" s="103"/>
      <c r="BI1019" s="103"/>
      <c r="BJ1019" s="103"/>
      <c r="BK1019" s="103"/>
      <c r="BL1019" s="103"/>
      <c r="BM1019" s="103"/>
      <c r="BN1019" s="103"/>
      <c r="BO1019" s="103"/>
      <c r="BP1019" s="103"/>
      <c r="BQ1019" s="103"/>
      <c r="BR1019" s="103"/>
      <c r="BS1019" s="104"/>
      <c r="BT1019" s="104"/>
      <c r="BU1019" s="104"/>
      <c r="BV1019" s="104"/>
      <c r="BW1019" s="104"/>
      <c r="BX1019" s="104"/>
      <c r="BY1019" s="104"/>
      <c r="BZ1019" s="104"/>
      <c r="CA1019" s="104"/>
      <c r="CB1019" s="104"/>
      <c r="CC1019" s="103"/>
      <c r="CD1019" s="103"/>
      <c r="CE1019" s="103"/>
      <c r="CF1019" s="103"/>
      <c r="CG1019" s="103"/>
      <c r="CH1019" s="133"/>
      <c r="CI1019" s="133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O1019" s="1"/>
      <c r="EP1019" s="103"/>
      <c r="EQ1019" s="103"/>
      <c r="ER1019" s="1"/>
      <c r="ES1019" s="103"/>
      <c r="ET1019" s="1"/>
      <c r="EU1019" s="1"/>
      <c r="EV1019" s="1"/>
      <c r="EW1019" s="105"/>
    </row>
    <row r="1020" spans="9:153">
      <c r="I1020" s="132"/>
      <c r="J1020" s="133"/>
      <c r="K1020" s="1"/>
      <c r="L1020" s="1"/>
      <c r="Q1020" s="1"/>
      <c r="R1020" s="1"/>
      <c r="S1020" s="103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53"/>
      <c r="AN1020" s="103"/>
      <c r="AO1020" s="103"/>
      <c r="AP1020" s="103"/>
      <c r="AQ1020" s="31"/>
      <c r="AR1020" s="31"/>
      <c r="AS1020" s="31"/>
      <c r="AT1020" s="30"/>
      <c r="AU1020" s="30"/>
      <c r="AV1020" s="103"/>
      <c r="AW1020" s="103"/>
      <c r="AX1020" s="103"/>
      <c r="AY1020" s="103"/>
      <c r="AZ1020" s="103"/>
      <c r="BA1020" s="103"/>
      <c r="BB1020" s="104"/>
      <c r="BC1020" s="102"/>
      <c r="BD1020" s="102"/>
      <c r="BE1020" s="102"/>
      <c r="BF1020" s="104"/>
      <c r="BG1020" s="152"/>
      <c r="BH1020" s="103"/>
      <c r="BI1020" s="103"/>
      <c r="BJ1020" s="103"/>
      <c r="BK1020" s="103"/>
      <c r="BL1020" s="103"/>
      <c r="BM1020" s="103"/>
      <c r="BN1020" s="103"/>
      <c r="BO1020" s="103"/>
      <c r="BP1020" s="103"/>
      <c r="BQ1020" s="103"/>
      <c r="BR1020" s="103"/>
      <c r="BS1020" s="104"/>
      <c r="BT1020" s="104"/>
      <c r="BU1020" s="104"/>
      <c r="BV1020" s="104"/>
      <c r="BW1020" s="104"/>
      <c r="BX1020" s="104"/>
      <c r="BY1020" s="104"/>
      <c r="BZ1020" s="104"/>
      <c r="CA1020" s="104"/>
      <c r="CB1020" s="104"/>
      <c r="CC1020" s="103"/>
      <c r="CD1020" s="103"/>
      <c r="CE1020" s="103"/>
      <c r="CF1020" s="103"/>
      <c r="CG1020" s="103"/>
      <c r="CH1020" s="133"/>
      <c r="CI1020" s="133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O1020" s="1"/>
      <c r="EP1020" s="103"/>
      <c r="EQ1020" s="103"/>
      <c r="ER1020" s="1"/>
      <c r="ES1020" s="103"/>
      <c r="ET1020" s="1"/>
      <c r="EU1020" s="1"/>
      <c r="EV1020" s="1"/>
      <c r="EW1020" s="105"/>
    </row>
    <row r="1021" spans="9:153">
      <c r="I1021" s="132"/>
      <c r="J1021" s="133"/>
      <c r="K1021" s="1"/>
      <c r="L1021" s="1"/>
      <c r="Q1021" s="1"/>
      <c r="R1021" s="1"/>
      <c r="S1021" s="103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53"/>
      <c r="AN1021" s="103"/>
      <c r="AO1021" s="103"/>
      <c r="AP1021" s="103"/>
      <c r="AQ1021" s="31"/>
      <c r="AR1021" s="31"/>
      <c r="AS1021" s="31"/>
      <c r="AT1021" s="30"/>
      <c r="AU1021" s="30"/>
      <c r="AV1021" s="103"/>
      <c r="AW1021" s="103"/>
      <c r="AX1021" s="103"/>
      <c r="AY1021" s="103"/>
      <c r="AZ1021" s="103"/>
      <c r="BA1021" s="103"/>
      <c r="BB1021" s="104"/>
      <c r="BC1021" s="102"/>
      <c r="BD1021" s="102"/>
      <c r="BE1021" s="102"/>
      <c r="BF1021" s="104"/>
      <c r="BG1021" s="152"/>
      <c r="BH1021" s="103"/>
      <c r="BI1021" s="103"/>
      <c r="BJ1021" s="103"/>
      <c r="BK1021" s="103"/>
      <c r="BL1021" s="103"/>
      <c r="BM1021" s="103"/>
      <c r="BN1021" s="103"/>
      <c r="BO1021" s="103"/>
      <c r="BP1021" s="103"/>
      <c r="BQ1021" s="103"/>
      <c r="BR1021" s="103"/>
      <c r="BS1021" s="104"/>
      <c r="BT1021" s="104"/>
      <c r="BU1021" s="104"/>
      <c r="BV1021" s="104"/>
      <c r="BW1021" s="104"/>
      <c r="BX1021" s="104"/>
      <c r="BY1021" s="104"/>
      <c r="BZ1021" s="104"/>
      <c r="CA1021" s="104"/>
      <c r="CB1021" s="104"/>
      <c r="CC1021" s="103"/>
      <c r="CD1021" s="103"/>
      <c r="CE1021" s="103"/>
      <c r="CF1021" s="103"/>
      <c r="CG1021" s="103"/>
      <c r="CH1021" s="133"/>
      <c r="CI1021" s="133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O1021" s="1"/>
      <c r="EP1021" s="103"/>
      <c r="EQ1021" s="103"/>
      <c r="ER1021" s="1"/>
      <c r="ES1021" s="103"/>
      <c r="ET1021" s="1"/>
      <c r="EU1021" s="1"/>
      <c r="EV1021" s="1"/>
      <c r="EW1021" s="105"/>
    </row>
    <row r="1022" spans="9:153">
      <c r="I1022" s="132"/>
      <c r="J1022" s="133"/>
      <c r="K1022" s="1"/>
      <c r="L1022" s="1"/>
      <c r="Q1022" s="1"/>
      <c r="R1022" s="1"/>
      <c r="S1022" s="103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53"/>
      <c r="AN1022" s="103"/>
      <c r="AO1022" s="103"/>
      <c r="AP1022" s="103"/>
      <c r="AQ1022" s="31"/>
      <c r="AR1022" s="31"/>
      <c r="AS1022" s="31"/>
      <c r="AT1022" s="30"/>
      <c r="AU1022" s="30"/>
      <c r="AV1022" s="103"/>
      <c r="AW1022" s="103"/>
      <c r="AX1022" s="103"/>
      <c r="AY1022" s="103"/>
      <c r="AZ1022" s="103"/>
      <c r="BA1022" s="103"/>
      <c r="BB1022" s="104"/>
      <c r="BC1022" s="102"/>
      <c r="BD1022" s="102"/>
      <c r="BE1022" s="102"/>
      <c r="BF1022" s="104"/>
      <c r="BG1022" s="152"/>
      <c r="BH1022" s="103"/>
      <c r="BI1022" s="103"/>
      <c r="BJ1022" s="103"/>
      <c r="BK1022" s="103"/>
      <c r="BL1022" s="103"/>
      <c r="BM1022" s="103"/>
      <c r="BN1022" s="103"/>
      <c r="BO1022" s="103"/>
      <c r="BP1022" s="103"/>
      <c r="BQ1022" s="103"/>
      <c r="BR1022" s="103"/>
      <c r="BS1022" s="104"/>
      <c r="BT1022" s="104"/>
      <c r="BU1022" s="104"/>
      <c r="BV1022" s="104"/>
      <c r="BW1022" s="104"/>
      <c r="BX1022" s="104"/>
      <c r="BY1022" s="104"/>
      <c r="BZ1022" s="104"/>
      <c r="CA1022" s="104"/>
      <c r="CB1022" s="104"/>
      <c r="CC1022" s="103"/>
      <c r="CD1022" s="103"/>
      <c r="CE1022" s="103"/>
      <c r="CF1022" s="103"/>
      <c r="CG1022" s="103"/>
      <c r="CH1022" s="133"/>
      <c r="CI1022" s="133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O1022" s="1"/>
      <c r="EP1022" s="103"/>
      <c r="EQ1022" s="103"/>
      <c r="ER1022" s="1"/>
      <c r="ES1022" s="103"/>
      <c r="ET1022" s="1"/>
      <c r="EU1022" s="1"/>
      <c r="EV1022" s="1"/>
      <c r="EW1022" s="105"/>
    </row>
    <row r="1023" spans="9:153">
      <c r="I1023" s="132"/>
      <c r="J1023" s="133"/>
      <c r="K1023" s="1"/>
      <c r="L1023" s="1"/>
      <c r="Q1023" s="1"/>
      <c r="R1023" s="1"/>
      <c r="S1023" s="103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53"/>
      <c r="AN1023" s="103"/>
      <c r="AO1023" s="103"/>
      <c r="AP1023" s="103"/>
      <c r="AQ1023" s="31"/>
      <c r="AR1023" s="31"/>
      <c r="AS1023" s="31"/>
      <c r="AT1023" s="30"/>
      <c r="AU1023" s="30"/>
      <c r="AV1023" s="103"/>
      <c r="AW1023" s="103"/>
      <c r="AX1023" s="103"/>
      <c r="AY1023" s="103"/>
      <c r="AZ1023" s="103"/>
      <c r="BA1023" s="103"/>
      <c r="BB1023" s="104"/>
      <c r="BC1023" s="102"/>
      <c r="BD1023" s="102"/>
      <c r="BE1023" s="102"/>
      <c r="BF1023" s="104"/>
      <c r="BG1023" s="152"/>
      <c r="BH1023" s="103"/>
      <c r="BI1023" s="103"/>
      <c r="BJ1023" s="103"/>
      <c r="BK1023" s="103"/>
      <c r="BL1023" s="103"/>
      <c r="BM1023" s="103"/>
      <c r="BN1023" s="103"/>
      <c r="BO1023" s="103"/>
      <c r="BP1023" s="103"/>
      <c r="BQ1023" s="103"/>
      <c r="BR1023" s="103"/>
      <c r="BS1023" s="104"/>
      <c r="BT1023" s="104"/>
      <c r="BU1023" s="104"/>
      <c r="BV1023" s="104"/>
      <c r="BW1023" s="104"/>
      <c r="BX1023" s="104"/>
      <c r="BY1023" s="104"/>
      <c r="BZ1023" s="104"/>
      <c r="CA1023" s="104"/>
      <c r="CB1023" s="104"/>
      <c r="CC1023" s="103"/>
      <c r="CD1023" s="103"/>
      <c r="CE1023" s="103"/>
      <c r="CF1023" s="103"/>
      <c r="CG1023" s="103"/>
      <c r="CH1023" s="133"/>
      <c r="CI1023" s="133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O1023" s="1"/>
      <c r="EP1023" s="103"/>
      <c r="EQ1023" s="103"/>
      <c r="ER1023" s="1"/>
      <c r="ES1023" s="103"/>
      <c r="ET1023" s="1"/>
      <c r="EU1023" s="1"/>
      <c r="EV1023" s="1"/>
      <c r="EW1023" s="105"/>
    </row>
    <row r="1024" spans="9:153">
      <c r="I1024" s="132"/>
      <c r="J1024" s="133"/>
      <c r="K1024" s="1"/>
      <c r="L1024" s="1"/>
      <c r="Q1024" s="1"/>
      <c r="R1024" s="1"/>
      <c r="S1024" s="103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53"/>
      <c r="AN1024" s="103"/>
      <c r="AO1024" s="103"/>
      <c r="AP1024" s="103"/>
      <c r="AQ1024" s="31"/>
      <c r="AR1024" s="31"/>
      <c r="AS1024" s="31"/>
      <c r="AT1024" s="30"/>
      <c r="AU1024" s="30"/>
      <c r="AV1024" s="103"/>
      <c r="AW1024" s="103"/>
      <c r="AX1024" s="103"/>
      <c r="AY1024" s="103"/>
      <c r="AZ1024" s="103"/>
      <c r="BA1024" s="103"/>
      <c r="BB1024" s="104"/>
      <c r="BC1024" s="102"/>
      <c r="BD1024" s="102"/>
      <c r="BE1024" s="102"/>
      <c r="BF1024" s="104"/>
      <c r="BG1024" s="152"/>
      <c r="BH1024" s="103"/>
      <c r="BI1024" s="103"/>
      <c r="BJ1024" s="103"/>
      <c r="BK1024" s="103"/>
      <c r="BL1024" s="103"/>
      <c r="BM1024" s="103"/>
      <c r="BN1024" s="103"/>
      <c r="BO1024" s="103"/>
      <c r="BP1024" s="103"/>
      <c r="BQ1024" s="103"/>
      <c r="BR1024" s="103"/>
      <c r="BS1024" s="104"/>
      <c r="BT1024" s="104"/>
      <c r="BU1024" s="104"/>
      <c r="BV1024" s="104"/>
      <c r="BW1024" s="104"/>
      <c r="BX1024" s="104"/>
      <c r="BY1024" s="104"/>
      <c r="BZ1024" s="104"/>
      <c r="CA1024" s="104"/>
      <c r="CB1024" s="104"/>
      <c r="CC1024" s="103"/>
      <c r="CD1024" s="103"/>
      <c r="CE1024" s="103"/>
      <c r="CF1024" s="103"/>
      <c r="CG1024" s="103"/>
      <c r="CH1024" s="133"/>
      <c r="CI1024" s="133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O1024" s="1"/>
      <c r="EP1024" s="103"/>
      <c r="EQ1024" s="103"/>
      <c r="ER1024" s="1"/>
      <c r="ES1024" s="103"/>
      <c r="ET1024" s="1"/>
      <c r="EU1024" s="1"/>
      <c r="EV1024" s="1"/>
      <c r="EW1024" s="105"/>
    </row>
    <row r="1025" spans="9:153">
      <c r="I1025" s="132"/>
      <c r="J1025" s="133"/>
      <c r="K1025" s="1"/>
      <c r="L1025" s="1"/>
      <c r="Q1025" s="1"/>
      <c r="R1025" s="1"/>
      <c r="S1025" s="103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53"/>
      <c r="AN1025" s="103"/>
      <c r="AO1025" s="103"/>
      <c r="AP1025" s="103"/>
      <c r="AQ1025" s="31"/>
      <c r="AR1025" s="31"/>
      <c r="AS1025" s="31"/>
      <c r="AT1025" s="30"/>
      <c r="AU1025" s="30"/>
      <c r="AV1025" s="103"/>
      <c r="AW1025" s="103"/>
      <c r="AX1025" s="103"/>
      <c r="AY1025" s="103"/>
      <c r="AZ1025" s="103"/>
      <c r="BA1025" s="103"/>
      <c r="BB1025" s="104"/>
      <c r="BC1025" s="102"/>
      <c r="BD1025" s="102"/>
      <c r="BE1025" s="102"/>
      <c r="BF1025" s="104"/>
      <c r="BG1025" s="152"/>
      <c r="BH1025" s="103"/>
      <c r="BI1025" s="103"/>
      <c r="BJ1025" s="103"/>
      <c r="BK1025" s="103"/>
      <c r="BL1025" s="103"/>
      <c r="BM1025" s="103"/>
      <c r="BN1025" s="103"/>
      <c r="BO1025" s="103"/>
      <c r="BP1025" s="103"/>
      <c r="BQ1025" s="103"/>
      <c r="BR1025" s="103"/>
      <c r="BS1025" s="104"/>
      <c r="BT1025" s="104"/>
      <c r="BU1025" s="104"/>
      <c r="BV1025" s="104"/>
      <c r="BW1025" s="104"/>
      <c r="BX1025" s="104"/>
      <c r="BY1025" s="104"/>
      <c r="BZ1025" s="104"/>
      <c r="CA1025" s="104"/>
      <c r="CB1025" s="104"/>
      <c r="CC1025" s="103"/>
      <c r="CD1025" s="103"/>
      <c r="CE1025" s="103"/>
      <c r="CF1025" s="103"/>
      <c r="CG1025" s="103"/>
      <c r="CH1025" s="133"/>
      <c r="CI1025" s="133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O1025" s="1"/>
      <c r="EP1025" s="103"/>
      <c r="EQ1025" s="103"/>
      <c r="ER1025" s="1"/>
      <c r="ES1025" s="103"/>
      <c r="ET1025" s="1"/>
      <c r="EU1025" s="1"/>
      <c r="EV1025" s="1"/>
      <c r="EW1025" s="105"/>
    </row>
    <row r="1026" spans="9:153">
      <c r="I1026" s="132"/>
      <c r="J1026" s="133"/>
      <c r="K1026" s="1"/>
      <c r="L1026" s="1"/>
      <c r="Q1026" s="1"/>
      <c r="R1026" s="1"/>
      <c r="S1026" s="103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53"/>
      <c r="AN1026" s="103"/>
      <c r="AO1026" s="103"/>
      <c r="AP1026" s="103"/>
      <c r="AQ1026" s="31"/>
      <c r="AR1026" s="31"/>
      <c r="AS1026" s="31"/>
      <c r="AT1026" s="30"/>
      <c r="AU1026" s="30"/>
      <c r="AV1026" s="103"/>
      <c r="AW1026" s="103"/>
      <c r="AX1026" s="103"/>
      <c r="AY1026" s="103"/>
      <c r="AZ1026" s="103"/>
      <c r="BA1026" s="103"/>
      <c r="BB1026" s="104"/>
      <c r="BC1026" s="102"/>
      <c r="BD1026" s="102"/>
      <c r="BE1026" s="102"/>
      <c r="BF1026" s="104"/>
      <c r="BG1026" s="152"/>
      <c r="BH1026" s="103"/>
      <c r="BI1026" s="103"/>
      <c r="BJ1026" s="103"/>
      <c r="BK1026" s="103"/>
      <c r="BL1026" s="103"/>
      <c r="BM1026" s="103"/>
      <c r="BN1026" s="103"/>
      <c r="BO1026" s="103"/>
      <c r="BP1026" s="103"/>
      <c r="BQ1026" s="103"/>
      <c r="BR1026" s="103"/>
      <c r="BS1026" s="104"/>
      <c r="BT1026" s="104"/>
      <c r="BU1026" s="104"/>
      <c r="BV1026" s="104"/>
      <c r="BW1026" s="104"/>
      <c r="BX1026" s="104"/>
      <c r="BY1026" s="104"/>
      <c r="BZ1026" s="104"/>
      <c r="CA1026" s="104"/>
      <c r="CB1026" s="104"/>
      <c r="CC1026" s="103"/>
      <c r="CD1026" s="103"/>
      <c r="CE1026" s="103"/>
      <c r="CF1026" s="103"/>
      <c r="CG1026" s="103"/>
      <c r="CH1026" s="133"/>
      <c r="CI1026" s="133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O1026" s="1"/>
      <c r="EP1026" s="103"/>
      <c r="EQ1026" s="103"/>
      <c r="ER1026" s="1"/>
      <c r="ES1026" s="103"/>
      <c r="ET1026" s="1"/>
      <c r="EU1026" s="1"/>
      <c r="EV1026" s="1"/>
      <c r="EW1026" s="105"/>
    </row>
    <row r="1027" spans="9:153">
      <c r="I1027" s="132"/>
      <c r="J1027" s="133"/>
      <c r="K1027" s="1"/>
      <c r="L1027" s="1"/>
      <c r="Q1027" s="1"/>
      <c r="R1027" s="1"/>
      <c r="S1027" s="103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53"/>
      <c r="AN1027" s="103"/>
      <c r="AO1027" s="103"/>
      <c r="AP1027" s="103"/>
      <c r="AQ1027" s="31"/>
      <c r="AR1027" s="31"/>
      <c r="AS1027" s="31"/>
      <c r="AT1027" s="30"/>
      <c r="AU1027" s="30"/>
      <c r="AV1027" s="103"/>
      <c r="AW1027" s="103"/>
      <c r="AX1027" s="103"/>
      <c r="AY1027" s="103"/>
      <c r="AZ1027" s="103"/>
      <c r="BA1027" s="103"/>
      <c r="BB1027" s="104"/>
      <c r="BC1027" s="102"/>
      <c r="BD1027" s="102"/>
      <c r="BE1027" s="102"/>
      <c r="BF1027" s="104"/>
      <c r="BG1027" s="152"/>
      <c r="BH1027" s="103"/>
      <c r="BI1027" s="103"/>
      <c r="BJ1027" s="103"/>
      <c r="BK1027" s="103"/>
      <c r="BL1027" s="103"/>
      <c r="BM1027" s="103"/>
      <c r="BN1027" s="103"/>
      <c r="BO1027" s="103"/>
      <c r="BP1027" s="103"/>
      <c r="BQ1027" s="103"/>
      <c r="BR1027" s="103"/>
      <c r="BS1027" s="104"/>
      <c r="BT1027" s="104"/>
      <c r="BU1027" s="104"/>
      <c r="BV1027" s="104"/>
      <c r="BW1027" s="104"/>
      <c r="BX1027" s="104"/>
      <c r="BY1027" s="104"/>
      <c r="BZ1027" s="104"/>
      <c r="CA1027" s="104"/>
      <c r="CB1027" s="104"/>
      <c r="CC1027" s="103"/>
      <c r="CD1027" s="103"/>
      <c r="CE1027" s="103"/>
      <c r="CF1027" s="103"/>
      <c r="CG1027" s="103"/>
      <c r="CH1027" s="133"/>
      <c r="CI1027" s="133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O1027" s="1"/>
      <c r="EP1027" s="103"/>
      <c r="EQ1027" s="103"/>
      <c r="ER1027" s="1"/>
      <c r="ES1027" s="103"/>
      <c r="ET1027" s="1"/>
      <c r="EU1027" s="1"/>
      <c r="EV1027" s="1"/>
      <c r="EW1027" s="105"/>
    </row>
    <row r="1028" spans="9:153">
      <c r="I1028" s="132"/>
      <c r="J1028" s="133"/>
      <c r="K1028" s="1"/>
      <c r="L1028" s="1"/>
      <c r="Q1028" s="1"/>
      <c r="R1028" s="1"/>
      <c r="S1028" s="103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53"/>
      <c r="AN1028" s="103"/>
      <c r="AO1028" s="103"/>
      <c r="AP1028" s="103"/>
      <c r="AQ1028" s="31"/>
      <c r="AR1028" s="31"/>
      <c r="AS1028" s="31"/>
      <c r="AT1028" s="30"/>
      <c r="AU1028" s="30"/>
      <c r="AV1028" s="103"/>
      <c r="AW1028" s="103"/>
      <c r="AX1028" s="103"/>
      <c r="AY1028" s="103"/>
      <c r="AZ1028" s="103"/>
      <c r="BA1028" s="103"/>
      <c r="BB1028" s="104"/>
      <c r="BC1028" s="102"/>
      <c r="BD1028" s="102"/>
      <c r="BE1028" s="102"/>
      <c r="BF1028" s="104"/>
      <c r="BG1028" s="152"/>
      <c r="BH1028" s="103"/>
      <c r="BI1028" s="103"/>
      <c r="BJ1028" s="103"/>
      <c r="BK1028" s="103"/>
      <c r="BL1028" s="103"/>
      <c r="BM1028" s="103"/>
      <c r="BN1028" s="103"/>
      <c r="BO1028" s="103"/>
      <c r="BP1028" s="103"/>
      <c r="BQ1028" s="103"/>
      <c r="BR1028" s="103"/>
      <c r="BS1028" s="104"/>
      <c r="BT1028" s="104"/>
      <c r="BU1028" s="104"/>
      <c r="BV1028" s="104"/>
      <c r="BW1028" s="104"/>
      <c r="BX1028" s="104"/>
      <c r="BY1028" s="104"/>
      <c r="BZ1028" s="104"/>
      <c r="CA1028" s="104"/>
      <c r="CB1028" s="104"/>
      <c r="CC1028" s="103"/>
      <c r="CD1028" s="103"/>
      <c r="CE1028" s="103"/>
      <c r="CF1028" s="103"/>
      <c r="CG1028" s="103"/>
      <c r="CH1028" s="133"/>
      <c r="CI1028" s="133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O1028" s="1"/>
      <c r="EP1028" s="103"/>
      <c r="EQ1028" s="103"/>
      <c r="ER1028" s="1"/>
      <c r="ES1028" s="103"/>
      <c r="ET1028" s="1"/>
      <c r="EU1028" s="1"/>
      <c r="EV1028" s="1"/>
      <c r="EW1028" s="105"/>
    </row>
    <row r="1029" spans="9:153">
      <c r="I1029" s="132"/>
      <c r="J1029" s="133"/>
      <c r="K1029" s="1"/>
      <c r="L1029" s="1"/>
      <c r="Q1029" s="1"/>
      <c r="R1029" s="1"/>
      <c r="S1029" s="103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53"/>
      <c r="AN1029" s="103"/>
      <c r="AO1029" s="103"/>
      <c r="AP1029" s="103"/>
      <c r="AQ1029" s="31"/>
      <c r="AR1029" s="31"/>
      <c r="AS1029" s="31"/>
      <c r="AT1029" s="30"/>
      <c r="AU1029" s="30"/>
      <c r="AV1029" s="103"/>
      <c r="AW1029" s="103"/>
      <c r="AX1029" s="103"/>
      <c r="AY1029" s="103"/>
      <c r="AZ1029" s="103"/>
      <c r="BA1029" s="103"/>
      <c r="BB1029" s="104"/>
      <c r="BC1029" s="102"/>
      <c r="BD1029" s="102"/>
      <c r="BE1029" s="102"/>
      <c r="BF1029" s="104"/>
      <c r="BG1029" s="152"/>
      <c r="BH1029" s="103"/>
      <c r="BI1029" s="103"/>
      <c r="BJ1029" s="103"/>
      <c r="BK1029" s="103"/>
      <c r="BL1029" s="103"/>
      <c r="BM1029" s="103"/>
      <c r="BN1029" s="103"/>
      <c r="BO1029" s="103"/>
      <c r="BP1029" s="103"/>
      <c r="BQ1029" s="103"/>
      <c r="BR1029" s="103"/>
      <c r="BS1029" s="104"/>
      <c r="BT1029" s="104"/>
      <c r="BU1029" s="104"/>
      <c r="BV1029" s="104"/>
      <c r="BW1029" s="104"/>
      <c r="BX1029" s="104"/>
      <c r="BY1029" s="104"/>
      <c r="BZ1029" s="104"/>
      <c r="CA1029" s="104"/>
      <c r="CB1029" s="104"/>
      <c r="CC1029" s="103"/>
      <c r="CD1029" s="103"/>
      <c r="CE1029" s="103"/>
      <c r="CF1029" s="103"/>
      <c r="CG1029" s="103"/>
      <c r="CH1029" s="133"/>
      <c r="CI1029" s="133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O1029" s="1"/>
      <c r="EP1029" s="103"/>
      <c r="EQ1029" s="103"/>
      <c r="ER1029" s="1"/>
      <c r="ES1029" s="103"/>
      <c r="ET1029" s="1"/>
      <c r="EU1029" s="1"/>
      <c r="EV1029" s="1"/>
      <c r="EW1029" s="105"/>
    </row>
    <row r="1030" spans="9:153">
      <c r="I1030" s="132"/>
      <c r="J1030" s="133"/>
      <c r="K1030" s="1"/>
      <c r="L1030" s="1"/>
      <c r="Q1030" s="1"/>
      <c r="R1030" s="1"/>
      <c r="S1030" s="103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53"/>
      <c r="AN1030" s="103"/>
      <c r="AO1030" s="103"/>
      <c r="AP1030" s="103"/>
      <c r="AQ1030" s="31"/>
      <c r="AR1030" s="31"/>
      <c r="AS1030" s="31"/>
      <c r="AT1030" s="30"/>
      <c r="AU1030" s="30"/>
      <c r="AV1030" s="103"/>
      <c r="AW1030" s="103"/>
      <c r="AX1030" s="103"/>
      <c r="AY1030" s="103"/>
      <c r="AZ1030" s="103"/>
      <c r="BA1030" s="103"/>
      <c r="BB1030" s="104"/>
      <c r="BC1030" s="102"/>
      <c r="BD1030" s="102"/>
      <c r="BE1030" s="102"/>
      <c r="BF1030" s="104"/>
      <c r="BG1030" s="152"/>
      <c r="BH1030" s="103"/>
      <c r="BI1030" s="103"/>
      <c r="BJ1030" s="103"/>
      <c r="BK1030" s="103"/>
      <c r="BL1030" s="103"/>
      <c r="BM1030" s="103"/>
      <c r="BN1030" s="103"/>
      <c r="BO1030" s="103"/>
      <c r="BP1030" s="103"/>
      <c r="BQ1030" s="103"/>
      <c r="BR1030" s="103"/>
      <c r="BS1030" s="104"/>
      <c r="BT1030" s="104"/>
      <c r="BU1030" s="104"/>
      <c r="BV1030" s="104"/>
      <c r="BW1030" s="104"/>
      <c r="BX1030" s="104"/>
      <c r="BY1030" s="104"/>
      <c r="BZ1030" s="104"/>
      <c r="CA1030" s="104"/>
      <c r="CB1030" s="104"/>
      <c r="CC1030" s="103"/>
      <c r="CD1030" s="103"/>
      <c r="CE1030" s="103"/>
      <c r="CF1030" s="103"/>
      <c r="CG1030" s="103"/>
      <c r="CH1030" s="133"/>
      <c r="CI1030" s="133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O1030" s="1"/>
      <c r="EP1030" s="103"/>
      <c r="EQ1030" s="103"/>
      <c r="ER1030" s="1"/>
      <c r="ES1030" s="103"/>
      <c r="ET1030" s="1"/>
      <c r="EU1030" s="1"/>
      <c r="EV1030" s="1"/>
      <c r="EW1030" s="105"/>
    </row>
    <row r="1031" spans="9:153">
      <c r="I1031" s="132"/>
      <c r="J1031" s="133"/>
      <c r="K1031" s="1"/>
      <c r="L1031" s="1"/>
      <c r="Q1031" s="1"/>
      <c r="R1031" s="1"/>
      <c r="S1031" s="103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53"/>
      <c r="AN1031" s="103"/>
      <c r="AO1031" s="103"/>
      <c r="AP1031" s="103"/>
      <c r="AQ1031" s="31"/>
      <c r="AR1031" s="31"/>
      <c r="AS1031" s="31"/>
      <c r="AT1031" s="30"/>
      <c r="AU1031" s="30"/>
      <c r="AV1031" s="103"/>
      <c r="AW1031" s="103"/>
      <c r="AX1031" s="103"/>
      <c r="AY1031" s="103"/>
      <c r="AZ1031" s="103"/>
      <c r="BA1031" s="103"/>
      <c r="BB1031" s="104"/>
      <c r="BC1031" s="102"/>
      <c r="BD1031" s="102"/>
      <c r="BE1031" s="102"/>
      <c r="BF1031" s="104"/>
      <c r="BG1031" s="152"/>
      <c r="BH1031" s="103"/>
      <c r="BI1031" s="103"/>
      <c r="BJ1031" s="103"/>
      <c r="BK1031" s="103"/>
      <c r="BL1031" s="103"/>
      <c r="BM1031" s="103"/>
      <c r="BN1031" s="103"/>
      <c r="BO1031" s="103"/>
      <c r="BP1031" s="103"/>
      <c r="BQ1031" s="103"/>
      <c r="BR1031" s="103"/>
      <c r="BS1031" s="104"/>
      <c r="BT1031" s="104"/>
      <c r="BU1031" s="104"/>
      <c r="BV1031" s="104"/>
      <c r="BW1031" s="104"/>
      <c r="BX1031" s="104"/>
      <c r="BY1031" s="104"/>
      <c r="BZ1031" s="104"/>
      <c r="CA1031" s="104"/>
      <c r="CB1031" s="104"/>
      <c r="CC1031" s="103"/>
      <c r="CD1031" s="103"/>
      <c r="CE1031" s="103"/>
      <c r="CF1031" s="103"/>
      <c r="CG1031" s="103"/>
      <c r="CH1031" s="133"/>
      <c r="CI1031" s="133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O1031" s="1"/>
      <c r="EP1031" s="103"/>
      <c r="EQ1031" s="103"/>
      <c r="ER1031" s="1"/>
      <c r="ES1031" s="103"/>
      <c r="ET1031" s="1"/>
      <c r="EU1031" s="1"/>
      <c r="EV1031" s="1"/>
      <c r="EW1031" s="105"/>
    </row>
    <row r="1032" spans="9:153">
      <c r="I1032" s="132"/>
      <c r="J1032" s="133"/>
      <c r="K1032" s="1"/>
      <c r="L1032" s="1"/>
      <c r="Q1032" s="1"/>
      <c r="R1032" s="1"/>
      <c r="S1032" s="103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53"/>
      <c r="AN1032" s="103"/>
      <c r="AO1032" s="103"/>
      <c r="AP1032" s="103"/>
      <c r="AQ1032" s="31"/>
      <c r="AR1032" s="31"/>
      <c r="AS1032" s="31"/>
      <c r="AT1032" s="30"/>
      <c r="AU1032" s="30"/>
      <c r="AV1032" s="103"/>
      <c r="AW1032" s="103"/>
      <c r="AX1032" s="103"/>
      <c r="AY1032" s="103"/>
      <c r="AZ1032" s="103"/>
      <c r="BA1032" s="103"/>
      <c r="BB1032" s="104"/>
      <c r="BC1032" s="102"/>
      <c r="BD1032" s="102"/>
      <c r="BE1032" s="102"/>
      <c r="BF1032" s="104"/>
      <c r="BG1032" s="152"/>
      <c r="BH1032" s="103"/>
      <c r="BI1032" s="103"/>
      <c r="BJ1032" s="103"/>
      <c r="BK1032" s="103"/>
      <c r="BL1032" s="103"/>
      <c r="BM1032" s="103"/>
      <c r="BN1032" s="103"/>
      <c r="BO1032" s="103"/>
      <c r="BP1032" s="103"/>
      <c r="BQ1032" s="103"/>
      <c r="BR1032" s="103"/>
      <c r="BS1032" s="104"/>
      <c r="BT1032" s="104"/>
      <c r="BU1032" s="104"/>
      <c r="BV1032" s="104"/>
      <c r="BW1032" s="104"/>
      <c r="BX1032" s="104"/>
      <c r="BY1032" s="104"/>
      <c r="BZ1032" s="104"/>
      <c r="CA1032" s="104"/>
      <c r="CB1032" s="104"/>
      <c r="CC1032" s="103"/>
      <c r="CD1032" s="103"/>
      <c r="CE1032" s="103"/>
      <c r="CF1032" s="103"/>
      <c r="CG1032" s="103"/>
      <c r="CH1032" s="133"/>
      <c r="CI1032" s="133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O1032" s="1"/>
      <c r="EP1032" s="103"/>
      <c r="EQ1032" s="103"/>
      <c r="ER1032" s="1"/>
      <c r="ES1032" s="103"/>
      <c r="ET1032" s="1"/>
      <c r="EU1032" s="1"/>
      <c r="EV1032" s="1"/>
      <c r="EW1032" s="105"/>
    </row>
    <row r="1033" spans="9:153">
      <c r="I1033" s="132"/>
      <c r="J1033" s="133"/>
      <c r="K1033" s="1"/>
      <c r="L1033" s="1"/>
      <c r="Q1033" s="1"/>
      <c r="R1033" s="1"/>
      <c r="S1033" s="103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53"/>
      <c r="AN1033" s="103"/>
      <c r="AO1033" s="103"/>
      <c r="AP1033" s="103"/>
      <c r="AQ1033" s="31"/>
      <c r="AR1033" s="31"/>
      <c r="AS1033" s="31"/>
      <c r="AT1033" s="30"/>
      <c r="AU1033" s="30"/>
      <c r="AV1033" s="103"/>
      <c r="AW1033" s="103"/>
      <c r="AX1033" s="103"/>
      <c r="AY1033" s="103"/>
      <c r="AZ1033" s="103"/>
      <c r="BA1033" s="103"/>
      <c r="BB1033" s="104"/>
      <c r="BC1033" s="102"/>
      <c r="BD1033" s="102"/>
      <c r="BE1033" s="102"/>
      <c r="BF1033" s="104"/>
      <c r="BG1033" s="152"/>
      <c r="BH1033" s="103"/>
      <c r="BI1033" s="103"/>
      <c r="BJ1033" s="103"/>
      <c r="BK1033" s="103"/>
      <c r="BL1033" s="103"/>
      <c r="BM1033" s="103"/>
      <c r="BN1033" s="103"/>
      <c r="BO1033" s="103"/>
      <c r="BP1033" s="103"/>
      <c r="BQ1033" s="103"/>
      <c r="BR1033" s="103"/>
      <c r="BS1033" s="104"/>
      <c r="BT1033" s="104"/>
      <c r="BU1033" s="104"/>
      <c r="BV1033" s="104"/>
      <c r="BW1033" s="104"/>
      <c r="BX1033" s="104"/>
      <c r="BY1033" s="104"/>
      <c r="BZ1033" s="104"/>
      <c r="CA1033" s="104"/>
      <c r="CB1033" s="104"/>
      <c r="CC1033" s="103"/>
      <c r="CD1033" s="103"/>
      <c r="CE1033" s="103"/>
      <c r="CF1033" s="103"/>
      <c r="CG1033" s="103"/>
      <c r="CH1033" s="133"/>
      <c r="CI1033" s="133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O1033" s="1"/>
      <c r="EP1033" s="103"/>
      <c r="EQ1033" s="103"/>
      <c r="ER1033" s="1"/>
      <c r="ES1033" s="103"/>
      <c r="ET1033" s="1"/>
      <c r="EU1033" s="1"/>
      <c r="EV1033" s="1"/>
      <c r="EW1033" s="105"/>
    </row>
    <row r="1034" spans="9:153">
      <c r="I1034" s="132"/>
      <c r="J1034" s="133"/>
      <c r="K1034" s="1"/>
      <c r="L1034" s="1"/>
      <c r="Q1034" s="1"/>
      <c r="R1034" s="1"/>
      <c r="S1034" s="103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53"/>
      <c r="AN1034" s="103"/>
      <c r="AO1034" s="103"/>
      <c r="AP1034" s="103"/>
      <c r="AQ1034" s="31"/>
      <c r="AR1034" s="31"/>
      <c r="AS1034" s="31"/>
      <c r="AT1034" s="30"/>
      <c r="AU1034" s="30"/>
      <c r="AV1034" s="103"/>
      <c r="AW1034" s="103"/>
      <c r="AX1034" s="103"/>
      <c r="AY1034" s="103"/>
      <c r="AZ1034" s="103"/>
      <c r="BA1034" s="103"/>
      <c r="BB1034" s="104"/>
      <c r="BC1034" s="102"/>
      <c r="BD1034" s="102"/>
      <c r="BE1034" s="102"/>
      <c r="BF1034" s="104"/>
      <c r="BG1034" s="152"/>
      <c r="BH1034" s="103"/>
      <c r="BI1034" s="103"/>
      <c r="BJ1034" s="103"/>
      <c r="BK1034" s="103"/>
      <c r="BL1034" s="103"/>
      <c r="BM1034" s="103"/>
      <c r="BN1034" s="103"/>
      <c r="BO1034" s="103"/>
      <c r="BP1034" s="103"/>
      <c r="BQ1034" s="103"/>
      <c r="BR1034" s="103"/>
      <c r="BS1034" s="104"/>
      <c r="BT1034" s="104"/>
      <c r="BU1034" s="104"/>
      <c r="BV1034" s="104"/>
      <c r="BW1034" s="104"/>
      <c r="BX1034" s="104"/>
      <c r="BY1034" s="104"/>
      <c r="BZ1034" s="104"/>
      <c r="CA1034" s="104"/>
      <c r="CB1034" s="104"/>
      <c r="CC1034" s="103"/>
      <c r="CD1034" s="103"/>
      <c r="CE1034" s="103"/>
      <c r="CF1034" s="103"/>
      <c r="CG1034" s="103"/>
      <c r="CH1034" s="133"/>
      <c r="CI1034" s="133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O1034" s="1"/>
      <c r="EP1034" s="103"/>
      <c r="EQ1034" s="103"/>
      <c r="ER1034" s="1"/>
      <c r="ES1034" s="103"/>
      <c r="ET1034" s="1"/>
      <c r="EU1034" s="1"/>
      <c r="EV1034" s="1"/>
      <c r="EW1034" s="105"/>
    </row>
    <row r="1035" spans="9:153">
      <c r="I1035" s="132"/>
      <c r="J1035" s="133"/>
      <c r="K1035" s="1"/>
      <c r="L1035" s="1"/>
      <c r="Q1035" s="1"/>
      <c r="R1035" s="1"/>
      <c r="S1035" s="103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53"/>
      <c r="AN1035" s="103"/>
      <c r="AO1035" s="103"/>
      <c r="AP1035" s="103"/>
      <c r="AQ1035" s="31"/>
      <c r="AR1035" s="31"/>
      <c r="AS1035" s="31"/>
      <c r="AT1035" s="30"/>
      <c r="AU1035" s="30"/>
      <c r="AV1035" s="103"/>
      <c r="AW1035" s="103"/>
      <c r="AX1035" s="103"/>
      <c r="AY1035" s="103"/>
      <c r="AZ1035" s="103"/>
      <c r="BA1035" s="103"/>
      <c r="BB1035" s="104"/>
      <c r="BC1035" s="102"/>
      <c r="BD1035" s="102"/>
      <c r="BE1035" s="102"/>
      <c r="BF1035" s="104"/>
      <c r="BG1035" s="152"/>
      <c r="BH1035" s="103"/>
      <c r="BI1035" s="103"/>
      <c r="BJ1035" s="103"/>
      <c r="BK1035" s="103"/>
      <c r="BL1035" s="103"/>
      <c r="BM1035" s="103"/>
      <c r="BN1035" s="103"/>
      <c r="BO1035" s="103"/>
      <c r="BP1035" s="103"/>
      <c r="BQ1035" s="103"/>
      <c r="BR1035" s="103"/>
      <c r="BS1035" s="104"/>
      <c r="BT1035" s="104"/>
      <c r="BU1035" s="104"/>
      <c r="BV1035" s="104"/>
      <c r="BW1035" s="104"/>
      <c r="BX1035" s="104"/>
      <c r="BY1035" s="104"/>
      <c r="BZ1035" s="104"/>
      <c r="CA1035" s="104"/>
      <c r="CB1035" s="104"/>
      <c r="CC1035" s="103"/>
      <c r="CD1035" s="103"/>
      <c r="CE1035" s="103"/>
      <c r="CF1035" s="103"/>
      <c r="CG1035" s="103"/>
      <c r="CH1035" s="133"/>
      <c r="CI1035" s="133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O1035" s="1"/>
      <c r="EP1035" s="103"/>
      <c r="EQ1035" s="103"/>
      <c r="ER1035" s="1"/>
      <c r="ES1035" s="103"/>
      <c r="ET1035" s="1"/>
      <c r="EU1035" s="1"/>
      <c r="EV1035" s="1"/>
      <c r="EW1035" s="105"/>
    </row>
    <row r="1036" spans="9:153">
      <c r="I1036" s="132"/>
      <c r="J1036" s="133"/>
      <c r="K1036" s="1"/>
      <c r="L1036" s="1"/>
      <c r="Q1036" s="1"/>
      <c r="R1036" s="1"/>
      <c r="S1036" s="103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53"/>
      <c r="AN1036" s="103"/>
      <c r="AO1036" s="103"/>
      <c r="AP1036" s="103"/>
      <c r="AQ1036" s="31"/>
      <c r="AR1036" s="31"/>
      <c r="AS1036" s="31"/>
      <c r="AT1036" s="30"/>
      <c r="AU1036" s="30"/>
      <c r="AV1036" s="103"/>
      <c r="AW1036" s="103"/>
      <c r="AX1036" s="103"/>
      <c r="AY1036" s="103"/>
      <c r="AZ1036" s="103"/>
      <c r="BA1036" s="103"/>
      <c r="BB1036" s="104"/>
      <c r="BC1036" s="102"/>
      <c r="BD1036" s="102"/>
      <c r="BE1036" s="102"/>
      <c r="BF1036" s="104"/>
      <c r="BG1036" s="152"/>
      <c r="BH1036" s="103"/>
      <c r="BI1036" s="103"/>
      <c r="BJ1036" s="103"/>
      <c r="BK1036" s="103"/>
      <c r="BL1036" s="103"/>
      <c r="BM1036" s="103"/>
      <c r="BN1036" s="103"/>
      <c r="BO1036" s="103"/>
      <c r="BP1036" s="103"/>
      <c r="BQ1036" s="103"/>
      <c r="BR1036" s="103"/>
      <c r="BS1036" s="104"/>
      <c r="BT1036" s="104"/>
      <c r="BU1036" s="104"/>
      <c r="BV1036" s="104"/>
      <c r="BW1036" s="104"/>
      <c r="BX1036" s="104"/>
      <c r="BY1036" s="104"/>
      <c r="BZ1036" s="104"/>
      <c r="CA1036" s="104"/>
      <c r="CB1036" s="104"/>
      <c r="CC1036" s="103"/>
      <c r="CD1036" s="103"/>
      <c r="CE1036" s="103"/>
      <c r="CF1036" s="103"/>
      <c r="CG1036" s="103"/>
      <c r="CH1036" s="133"/>
      <c r="CI1036" s="133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O1036" s="1"/>
      <c r="EP1036" s="103"/>
      <c r="EQ1036" s="103"/>
      <c r="ER1036" s="1"/>
      <c r="ES1036" s="103"/>
      <c r="ET1036" s="1"/>
      <c r="EU1036" s="1"/>
      <c r="EV1036" s="1"/>
      <c r="EW1036" s="105"/>
    </row>
    <row r="1037" spans="9:153">
      <c r="I1037" s="132"/>
      <c r="J1037" s="133"/>
      <c r="K1037" s="1"/>
      <c r="L1037" s="1"/>
      <c r="Q1037" s="1"/>
      <c r="R1037" s="1"/>
      <c r="S1037" s="103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53"/>
      <c r="AN1037" s="103"/>
      <c r="AO1037" s="103"/>
      <c r="AP1037" s="103"/>
      <c r="AQ1037" s="31"/>
      <c r="AR1037" s="31"/>
      <c r="AS1037" s="31"/>
      <c r="AT1037" s="30"/>
      <c r="AU1037" s="30"/>
      <c r="AV1037" s="103"/>
      <c r="AW1037" s="103"/>
      <c r="AX1037" s="103"/>
      <c r="AY1037" s="103"/>
      <c r="AZ1037" s="103"/>
      <c r="BA1037" s="103"/>
      <c r="BB1037" s="104"/>
      <c r="BC1037" s="102"/>
      <c r="BD1037" s="102"/>
      <c r="BE1037" s="102"/>
      <c r="BF1037" s="104"/>
      <c r="BG1037" s="152"/>
      <c r="BH1037" s="103"/>
      <c r="BI1037" s="103"/>
      <c r="BJ1037" s="103"/>
      <c r="BK1037" s="103"/>
      <c r="BL1037" s="103"/>
      <c r="BM1037" s="103"/>
      <c r="BN1037" s="103"/>
      <c r="BO1037" s="103"/>
      <c r="BP1037" s="103"/>
      <c r="BQ1037" s="103"/>
      <c r="BR1037" s="103"/>
      <c r="BS1037" s="104"/>
      <c r="BT1037" s="104"/>
      <c r="BU1037" s="104"/>
      <c r="BV1037" s="104"/>
      <c r="BW1037" s="104"/>
      <c r="BX1037" s="104"/>
      <c r="BY1037" s="104"/>
      <c r="BZ1037" s="104"/>
      <c r="CA1037" s="104"/>
      <c r="CB1037" s="104"/>
      <c r="CC1037" s="103"/>
      <c r="CD1037" s="103"/>
      <c r="CE1037" s="103"/>
      <c r="CF1037" s="103"/>
      <c r="CG1037" s="103"/>
      <c r="CH1037" s="133"/>
      <c r="CI1037" s="133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O1037" s="1"/>
      <c r="EP1037" s="103"/>
      <c r="EQ1037" s="103"/>
      <c r="ER1037" s="1"/>
      <c r="ES1037" s="103"/>
      <c r="ET1037" s="1"/>
      <c r="EU1037" s="1"/>
      <c r="EV1037" s="1"/>
      <c r="EW1037" s="105"/>
    </row>
    <row r="1038" spans="9:153">
      <c r="I1038" s="132"/>
      <c r="J1038" s="133"/>
      <c r="K1038" s="1"/>
      <c r="L1038" s="1"/>
      <c r="Q1038" s="1"/>
      <c r="R1038" s="1"/>
      <c r="S1038" s="103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53"/>
      <c r="AN1038" s="103"/>
      <c r="AO1038" s="103"/>
      <c r="AP1038" s="103"/>
      <c r="AQ1038" s="31"/>
      <c r="AR1038" s="31"/>
      <c r="AS1038" s="31"/>
      <c r="AT1038" s="30"/>
      <c r="AU1038" s="30"/>
      <c r="AV1038" s="103"/>
      <c r="AW1038" s="103"/>
      <c r="AX1038" s="103"/>
      <c r="AY1038" s="103"/>
      <c r="AZ1038" s="103"/>
      <c r="BA1038" s="103"/>
      <c r="BB1038" s="104"/>
      <c r="BC1038" s="102"/>
      <c r="BD1038" s="102"/>
      <c r="BE1038" s="102"/>
      <c r="BF1038" s="104"/>
      <c r="BG1038" s="152"/>
      <c r="BH1038" s="103"/>
      <c r="BI1038" s="103"/>
      <c r="BJ1038" s="103"/>
      <c r="BK1038" s="103"/>
      <c r="BL1038" s="103"/>
      <c r="BM1038" s="103"/>
      <c r="BN1038" s="103"/>
      <c r="BO1038" s="103"/>
      <c r="BP1038" s="103"/>
      <c r="BQ1038" s="103"/>
      <c r="BR1038" s="103"/>
      <c r="BS1038" s="104"/>
      <c r="BT1038" s="104"/>
      <c r="BU1038" s="104"/>
      <c r="BV1038" s="104"/>
      <c r="BW1038" s="104"/>
      <c r="BX1038" s="104"/>
      <c r="BY1038" s="104"/>
      <c r="BZ1038" s="104"/>
      <c r="CA1038" s="104"/>
      <c r="CB1038" s="104"/>
      <c r="CC1038" s="103"/>
      <c r="CD1038" s="103"/>
      <c r="CE1038" s="103"/>
      <c r="CF1038" s="103"/>
      <c r="CG1038" s="103"/>
      <c r="CH1038" s="133"/>
      <c r="CI1038" s="133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O1038" s="1"/>
      <c r="EP1038" s="103"/>
      <c r="EQ1038" s="103"/>
      <c r="ER1038" s="1"/>
      <c r="ES1038" s="103"/>
      <c r="ET1038" s="1"/>
      <c r="EU1038" s="1"/>
      <c r="EV1038" s="1"/>
      <c r="EW1038" s="105"/>
    </row>
    <row r="1039" spans="9:153">
      <c r="I1039" s="132"/>
      <c r="J1039" s="133"/>
      <c r="K1039" s="1"/>
      <c r="L1039" s="1"/>
      <c r="Q1039" s="1"/>
      <c r="R1039" s="1"/>
      <c r="S1039" s="103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53"/>
      <c r="AN1039" s="103"/>
      <c r="AO1039" s="103"/>
      <c r="AP1039" s="103"/>
      <c r="AQ1039" s="31"/>
      <c r="AR1039" s="31"/>
      <c r="AS1039" s="31"/>
      <c r="AT1039" s="30"/>
      <c r="AU1039" s="30"/>
      <c r="AV1039" s="103"/>
      <c r="AW1039" s="103"/>
      <c r="AX1039" s="103"/>
      <c r="AY1039" s="103"/>
      <c r="AZ1039" s="103"/>
      <c r="BA1039" s="103"/>
      <c r="BB1039" s="104"/>
      <c r="BC1039" s="102"/>
      <c r="BD1039" s="102"/>
      <c r="BE1039" s="102"/>
      <c r="BF1039" s="104"/>
      <c r="BG1039" s="152"/>
      <c r="BH1039" s="103"/>
      <c r="BI1039" s="103"/>
      <c r="BJ1039" s="103"/>
      <c r="BK1039" s="103"/>
      <c r="BL1039" s="103"/>
      <c r="BM1039" s="103"/>
      <c r="BN1039" s="103"/>
      <c r="BO1039" s="103"/>
      <c r="BP1039" s="103"/>
      <c r="BQ1039" s="103"/>
      <c r="BR1039" s="103"/>
      <c r="BS1039" s="104"/>
      <c r="BT1039" s="104"/>
      <c r="BU1039" s="104"/>
      <c r="BV1039" s="104"/>
      <c r="BW1039" s="104"/>
      <c r="BX1039" s="104"/>
      <c r="BY1039" s="104"/>
      <c r="BZ1039" s="104"/>
      <c r="CA1039" s="104"/>
      <c r="CB1039" s="104"/>
      <c r="CC1039" s="103"/>
      <c r="CD1039" s="103"/>
      <c r="CE1039" s="103"/>
      <c r="CF1039" s="103"/>
      <c r="CG1039" s="103"/>
      <c r="CH1039" s="133"/>
      <c r="CI1039" s="133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O1039" s="1"/>
      <c r="EP1039" s="103"/>
      <c r="EQ1039" s="103"/>
      <c r="ER1039" s="1"/>
      <c r="ES1039" s="103"/>
      <c r="ET1039" s="1"/>
      <c r="EU1039" s="1"/>
      <c r="EV1039" s="1"/>
      <c r="EW1039" s="105"/>
    </row>
    <row r="1040" spans="9:153">
      <c r="I1040" s="132"/>
      <c r="J1040" s="133"/>
      <c r="K1040" s="1"/>
      <c r="L1040" s="1"/>
      <c r="Q1040" s="1"/>
      <c r="R1040" s="1"/>
      <c r="S1040" s="103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53"/>
      <c r="AN1040" s="103"/>
      <c r="AO1040" s="103"/>
      <c r="AP1040" s="103"/>
      <c r="AQ1040" s="31"/>
      <c r="AR1040" s="31"/>
      <c r="AS1040" s="31"/>
      <c r="AT1040" s="30"/>
      <c r="AU1040" s="30"/>
      <c r="AV1040" s="103"/>
      <c r="AW1040" s="103"/>
      <c r="AX1040" s="103"/>
      <c r="AY1040" s="103"/>
      <c r="AZ1040" s="103"/>
      <c r="BA1040" s="103"/>
      <c r="BB1040" s="104"/>
      <c r="BC1040" s="102"/>
      <c r="BD1040" s="102"/>
      <c r="BE1040" s="102"/>
      <c r="BF1040" s="104"/>
      <c r="BG1040" s="152"/>
      <c r="BH1040" s="103"/>
      <c r="BI1040" s="103"/>
      <c r="BJ1040" s="103"/>
      <c r="BK1040" s="103"/>
      <c r="BL1040" s="103"/>
      <c r="BM1040" s="103"/>
      <c r="BN1040" s="103"/>
      <c r="BO1040" s="103"/>
      <c r="BP1040" s="103"/>
      <c r="BQ1040" s="103"/>
      <c r="BR1040" s="103"/>
      <c r="BS1040" s="104"/>
      <c r="BT1040" s="104"/>
      <c r="BU1040" s="104"/>
      <c r="BV1040" s="104"/>
      <c r="BW1040" s="104"/>
      <c r="BX1040" s="104"/>
      <c r="BY1040" s="104"/>
      <c r="BZ1040" s="104"/>
      <c r="CA1040" s="104"/>
      <c r="CB1040" s="104"/>
      <c r="CC1040" s="103"/>
      <c r="CD1040" s="103"/>
      <c r="CE1040" s="103"/>
      <c r="CF1040" s="103"/>
      <c r="CG1040" s="103"/>
      <c r="CH1040" s="133"/>
      <c r="CI1040" s="133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O1040" s="1"/>
      <c r="EP1040" s="103"/>
      <c r="EQ1040" s="103"/>
      <c r="ER1040" s="1"/>
      <c r="ES1040" s="103"/>
      <c r="ET1040" s="1"/>
      <c r="EU1040" s="1"/>
      <c r="EV1040" s="1"/>
      <c r="EW1040" s="105"/>
    </row>
    <row r="1041" spans="9:153">
      <c r="I1041" s="132"/>
      <c r="J1041" s="133"/>
      <c r="K1041" s="1"/>
      <c r="L1041" s="1"/>
      <c r="Q1041" s="1"/>
      <c r="R1041" s="1"/>
      <c r="S1041" s="103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53"/>
      <c r="AN1041" s="103"/>
      <c r="AO1041" s="103"/>
      <c r="AP1041" s="103"/>
      <c r="AQ1041" s="31"/>
      <c r="AR1041" s="31"/>
      <c r="AS1041" s="31"/>
      <c r="AT1041" s="30"/>
      <c r="AU1041" s="30"/>
      <c r="AV1041" s="103"/>
      <c r="AW1041" s="103"/>
      <c r="AX1041" s="103"/>
      <c r="AY1041" s="103"/>
      <c r="AZ1041" s="103"/>
      <c r="BA1041" s="103"/>
      <c r="BB1041" s="104"/>
      <c r="BC1041" s="102"/>
      <c r="BD1041" s="102"/>
      <c r="BE1041" s="102"/>
      <c r="BF1041" s="104"/>
      <c r="BG1041" s="152"/>
      <c r="BH1041" s="103"/>
      <c r="BI1041" s="103"/>
      <c r="BJ1041" s="103"/>
      <c r="BK1041" s="103"/>
      <c r="BL1041" s="103"/>
      <c r="BM1041" s="103"/>
      <c r="BN1041" s="103"/>
      <c r="BO1041" s="103"/>
      <c r="BP1041" s="103"/>
      <c r="BQ1041" s="103"/>
      <c r="BR1041" s="103"/>
      <c r="BS1041" s="104"/>
      <c r="BT1041" s="104"/>
      <c r="BU1041" s="104"/>
      <c r="BV1041" s="104"/>
      <c r="BW1041" s="104"/>
      <c r="BX1041" s="104"/>
      <c r="BY1041" s="104"/>
      <c r="BZ1041" s="104"/>
      <c r="CA1041" s="104"/>
      <c r="CB1041" s="104"/>
      <c r="CC1041" s="103"/>
      <c r="CD1041" s="103"/>
      <c r="CE1041" s="103"/>
      <c r="CF1041" s="103"/>
      <c r="CG1041" s="103"/>
      <c r="CH1041" s="133"/>
      <c r="CI1041" s="133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O1041" s="1"/>
      <c r="EP1041" s="103"/>
      <c r="EQ1041" s="103"/>
      <c r="ER1041" s="1"/>
      <c r="ES1041" s="103"/>
      <c r="ET1041" s="1"/>
      <c r="EU1041" s="1"/>
      <c r="EV1041" s="1"/>
      <c r="EW1041" s="105"/>
    </row>
    <row r="1042" spans="9:153">
      <c r="I1042" s="132"/>
      <c r="J1042" s="133"/>
      <c r="K1042" s="1"/>
      <c r="L1042" s="1"/>
      <c r="Q1042" s="1"/>
      <c r="R1042" s="1"/>
      <c r="S1042" s="103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53"/>
      <c r="AN1042" s="103"/>
      <c r="AO1042" s="103"/>
      <c r="AP1042" s="103"/>
      <c r="AQ1042" s="31"/>
      <c r="AR1042" s="31"/>
      <c r="AS1042" s="31"/>
      <c r="AT1042" s="30"/>
      <c r="AU1042" s="30"/>
      <c r="AV1042" s="103"/>
      <c r="AW1042" s="103"/>
      <c r="AX1042" s="103"/>
      <c r="AY1042" s="103"/>
      <c r="AZ1042" s="103"/>
      <c r="BA1042" s="103"/>
      <c r="BB1042" s="104"/>
      <c r="BC1042" s="102"/>
      <c r="BD1042" s="102"/>
      <c r="BE1042" s="102"/>
      <c r="BF1042" s="104"/>
      <c r="BG1042" s="152"/>
      <c r="BH1042" s="103"/>
      <c r="BI1042" s="103"/>
      <c r="BJ1042" s="103"/>
      <c r="BK1042" s="103"/>
      <c r="BL1042" s="103"/>
      <c r="BM1042" s="103"/>
      <c r="BN1042" s="103"/>
      <c r="BO1042" s="103"/>
      <c r="BP1042" s="103"/>
      <c r="BQ1042" s="103"/>
      <c r="BR1042" s="103"/>
      <c r="BS1042" s="104"/>
      <c r="BT1042" s="104"/>
      <c r="BU1042" s="104"/>
      <c r="BV1042" s="104"/>
      <c r="BW1042" s="104"/>
      <c r="BX1042" s="104"/>
      <c r="BY1042" s="104"/>
      <c r="BZ1042" s="104"/>
      <c r="CA1042" s="104"/>
      <c r="CB1042" s="104"/>
      <c r="CC1042" s="103"/>
      <c r="CD1042" s="103"/>
      <c r="CE1042" s="103"/>
      <c r="CF1042" s="103"/>
      <c r="CG1042" s="103"/>
      <c r="CH1042" s="133"/>
      <c r="CI1042" s="133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O1042" s="1"/>
      <c r="EP1042" s="103"/>
      <c r="EQ1042" s="103"/>
      <c r="ER1042" s="1"/>
      <c r="ES1042" s="103"/>
      <c r="ET1042" s="1"/>
      <c r="EU1042" s="1"/>
      <c r="EV1042" s="1"/>
      <c r="EW1042" s="105"/>
    </row>
    <row r="1043" spans="9:153">
      <c r="I1043" s="132"/>
      <c r="J1043" s="133"/>
      <c r="K1043" s="1"/>
      <c r="L1043" s="1"/>
      <c r="Q1043" s="1"/>
      <c r="R1043" s="1"/>
      <c r="S1043" s="103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53"/>
      <c r="AN1043" s="103"/>
      <c r="AO1043" s="103"/>
      <c r="AP1043" s="103"/>
      <c r="AQ1043" s="31"/>
      <c r="AR1043" s="31"/>
      <c r="AS1043" s="31"/>
      <c r="AT1043" s="30"/>
      <c r="AU1043" s="30"/>
      <c r="AV1043" s="103"/>
      <c r="AW1043" s="103"/>
      <c r="AX1043" s="103"/>
      <c r="AY1043" s="103"/>
      <c r="AZ1043" s="103"/>
      <c r="BA1043" s="103"/>
      <c r="BB1043" s="104"/>
      <c r="BC1043" s="102"/>
      <c r="BD1043" s="102"/>
      <c r="BE1043" s="102"/>
      <c r="BF1043" s="104"/>
      <c r="BG1043" s="152"/>
      <c r="BH1043" s="103"/>
      <c r="BI1043" s="103"/>
      <c r="BJ1043" s="103"/>
      <c r="BK1043" s="103"/>
      <c r="BL1043" s="103"/>
      <c r="BM1043" s="103"/>
      <c r="BN1043" s="103"/>
      <c r="BO1043" s="103"/>
      <c r="BP1043" s="103"/>
      <c r="BQ1043" s="103"/>
      <c r="BR1043" s="103"/>
      <c r="BS1043" s="104"/>
      <c r="BT1043" s="104"/>
      <c r="BU1043" s="104"/>
      <c r="BV1043" s="104"/>
      <c r="BW1043" s="104"/>
      <c r="BX1043" s="104"/>
      <c r="BY1043" s="104"/>
      <c r="BZ1043" s="104"/>
      <c r="CA1043" s="104"/>
      <c r="CB1043" s="104"/>
      <c r="CC1043" s="103"/>
      <c r="CD1043" s="103"/>
      <c r="CE1043" s="103"/>
      <c r="CF1043" s="103"/>
      <c r="CG1043" s="103"/>
      <c r="CH1043" s="133"/>
      <c r="CI1043" s="133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O1043" s="1"/>
      <c r="EP1043" s="103"/>
      <c r="EQ1043" s="103"/>
      <c r="ER1043" s="1"/>
      <c r="ES1043" s="103"/>
      <c r="ET1043" s="1"/>
      <c r="EU1043" s="1"/>
      <c r="EV1043" s="1"/>
      <c r="EW1043" s="105"/>
    </row>
    <row r="1044" spans="9:153">
      <c r="I1044" s="132"/>
      <c r="J1044" s="133"/>
      <c r="K1044" s="1"/>
      <c r="L1044" s="1"/>
      <c r="Q1044" s="1"/>
      <c r="R1044" s="1"/>
      <c r="S1044" s="103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53"/>
      <c r="AN1044" s="103"/>
      <c r="AO1044" s="103"/>
      <c r="AP1044" s="103"/>
      <c r="AQ1044" s="31"/>
      <c r="AR1044" s="31"/>
      <c r="AS1044" s="31"/>
      <c r="AT1044" s="30"/>
      <c r="AU1044" s="30"/>
      <c r="AV1044" s="103"/>
      <c r="AW1044" s="103"/>
      <c r="AX1044" s="103"/>
      <c r="AY1044" s="103"/>
      <c r="AZ1044" s="103"/>
      <c r="BA1044" s="103"/>
      <c r="BB1044" s="104"/>
      <c r="BC1044" s="102"/>
      <c r="BD1044" s="102"/>
      <c r="BE1044" s="102"/>
      <c r="BF1044" s="104"/>
      <c r="BG1044" s="152"/>
      <c r="BH1044" s="103"/>
      <c r="BI1044" s="103"/>
      <c r="BJ1044" s="103"/>
      <c r="BK1044" s="103"/>
      <c r="BL1044" s="103"/>
      <c r="BM1044" s="103"/>
      <c r="BN1044" s="103"/>
      <c r="BO1044" s="103"/>
      <c r="BP1044" s="103"/>
      <c r="BQ1044" s="103"/>
      <c r="BR1044" s="103"/>
      <c r="BS1044" s="104"/>
      <c r="BT1044" s="104"/>
      <c r="BU1044" s="104"/>
      <c r="BV1044" s="104"/>
      <c r="BW1044" s="104"/>
      <c r="BX1044" s="104"/>
      <c r="BY1044" s="104"/>
      <c r="BZ1044" s="104"/>
      <c r="CA1044" s="104"/>
      <c r="CB1044" s="104"/>
      <c r="CC1044" s="103"/>
      <c r="CD1044" s="103"/>
      <c r="CE1044" s="103"/>
      <c r="CF1044" s="103"/>
      <c r="CG1044" s="103"/>
      <c r="CH1044" s="133"/>
      <c r="CI1044" s="133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O1044" s="1"/>
      <c r="EP1044" s="103"/>
      <c r="EQ1044" s="103"/>
      <c r="ER1044" s="1"/>
      <c r="ES1044" s="103"/>
      <c r="ET1044" s="1"/>
      <c r="EU1044" s="1"/>
      <c r="EV1044" s="1"/>
      <c r="EW1044" s="105"/>
    </row>
    <row r="1045" spans="9:153">
      <c r="I1045" s="132"/>
      <c r="J1045" s="133"/>
      <c r="K1045" s="1"/>
      <c r="L1045" s="1"/>
      <c r="Q1045" s="1"/>
      <c r="R1045" s="1"/>
      <c r="S1045" s="103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53"/>
      <c r="AN1045" s="103"/>
      <c r="AO1045" s="103"/>
      <c r="AP1045" s="103"/>
      <c r="AQ1045" s="31"/>
      <c r="AR1045" s="31"/>
      <c r="AS1045" s="31"/>
      <c r="AT1045" s="30"/>
      <c r="AU1045" s="30"/>
      <c r="AV1045" s="103"/>
      <c r="AW1045" s="103"/>
      <c r="AX1045" s="103"/>
      <c r="AY1045" s="103"/>
      <c r="AZ1045" s="103"/>
      <c r="BA1045" s="103"/>
      <c r="BB1045" s="104"/>
      <c r="BC1045" s="102"/>
      <c r="BD1045" s="102"/>
      <c r="BE1045" s="102"/>
      <c r="BF1045" s="104"/>
      <c r="BG1045" s="152"/>
      <c r="BH1045" s="103"/>
      <c r="BI1045" s="103"/>
      <c r="BJ1045" s="103"/>
      <c r="BK1045" s="103"/>
      <c r="BL1045" s="103"/>
      <c r="BM1045" s="103"/>
      <c r="BN1045" s="103"/>
      <c r="BO1045" s="103"/>
      <c r="BP1045" s="103"/>
      <c r="BQ1045" s="103"/>
      <c r="BR1045" s="103"/>
      <c r="BS1045" s="104"/>
      <c r="BT1045" s="104"/>
      <c r="BU1045" s="104"/>
      <c r="BV1045" s="104"/>
      <c r="BW1045" s="104"/>
      <c r="BX1045" s="104"/>
      <c r="BY1045" s="104"/>
      <c r="BZ1045" s="104"/>
      <c r="CA1045" s="104"/>
      <c r="CB1045" s="104"/>
      <c r="CC1045" s="103"/>
      <c r="CD1045" s="103"/>
      <c r="CE1045" s="103"/>
      <c r="CF1045" s="103"/>
      <c r="CG1045" s="103"/>
      <c r="CH1045" s="133"/>
      <c r="CI1045" s="133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O1045" s="1"/>
      <c r="EP1045" s="103"/>
      <c r="EQ1045" s="103"/>
      <c r="ER1045" s="1"/>
      <c r="ES1045" s="103"/>
      <c r="ET1045" s="1"/>
      <c r="EU1045" s="1"/>
      <c r="EV1045" s="1"/>
      <c r="EW1045" s="105"/>
    </row>
    <row r="1046" spans="9:153">
      <c r="I1046" s="132"/>
      <c r="J1046" s="133"/>
      <c r="K1046" s="1"/>
      <c r="L1046" s="1"/>
      <c r="Q1046" s="1"/>
      <c r="R1046" s="1"/>
      <c r="S1046" s="103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53"/>
      <c r="AN1046" s="103"/>
      <c r="AO1046" s="103"/>
      <c r="AP1046" s="103"/>
      <c r="AQ1046" s="31"/>
      <c r="AR1046" s="31"/>
      <c r="AS1046" s="31"/>
      <c r="AT1046" s="30"/>
      <c r="AU1046" s="30"/>
      <c r="AV1046" s="103"/>
      <c r="AW1046" s="103"/>
      <c r="AX1046" s="103"/>
      <c r="AY1046" s="103"/>
      <c r="AZ1046" s="103"/>
      <c r="BA1046" s="103"/>
      <c r="BB1046" s="104"/>
      <c r="BC1046" s="102"/>
      <c r="BD1046" s="102"/>
      <c r="BE1046" s="102"/>
      <c r="BF1046" s="104"/>
      <c r="BG1046" s="152"/>
      <c r="BH1046" s="103"/>
      <c r="BI1046" s="103"/>
      <c r="BJ1046" s="103"/>
      <c r="BK1046" s="103"/>
      <c r="BL1046" s="103"/>
      <c r="BM1046" s="103"/>
      <c r="BN1046" s="103"/>
      <c r="BO1046" s="103"/>
      <c r="BP1046" s="103"/>
      <c r="BQ1046" s="103"/>
      <c r="BR1046" s="103"/>
      <c r="BS1046" s="104"/>
      <c r="BT1046" s="104"/>
      <c r="BU1046" s="104"/>
      <c r="BV1046" s="104"/>
      <c r="BW1046" s="104"/>
      <c r="BX1046" s="104"/>
      <c r="BY1046" s="104"/>
      <c r="BZ1046" s="104"/>
      <c r="CA1046" s="104"/>
      <c r="CB1046" s="104"/>
      <c r="CC1046" s="103"/>
      <c r="CD1046" s="103"/>
      <c r="CE1046" s="103"/>
      <c r="CF1046" s="103"/>
      <c r="CG1046" s="103"/>
      <c r="CH1046" s="133"/>
      <c r="CI1046" s="133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O1046" s="1"/>
      <c r="EP1046" s="103"/>
      <c r="EQ1046" s="103"/>
      <c r="ER1046" s="1"/>
      <c r="ES1046" s="103"/>
      <c r="ET1046" s="1"/>
      <c r="EU1046" s="1"/>
      <c r="EV1046" s="1"/>
      <c r="EW1046" s="105"/>
    </row>
    <row r="1047" spans="9:153">
      <c r="I1047" s="132"/>
      <c r="J1047" s="133"/>
      <c r="K1047" s="1"/>
      <c r="L1047" s="1"/>
      <c r="Q1047" s="1"/>
      <c r="R1047" s="1"/>
      <c r="S1047" s="103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53"/>
      <c r="AN1047" s="103"/>
      <c r="AO1047" s="103"/>
      <c r="AP1047" s="103"/>
      <c r="AQ1047" s="31"/>
      <c r="AR1047" s="31"/>
      <c r="AS1047" s="31"/>
      <c r="AT1047" s="30"/>
      <c r="AU1047" s="30"/>
      <c r="AV1047" s="103"/>
      <c r="AW1047" s="103"/>
      <c r="AX1047" s="103"/>
      <c r="AY1047" s="103"/>
      <c r="AZ1047" s="103"/>
      <c r="BA1047" s="103"/>
      <c r="BB1047" s="104"/>
      <c r="BC1047" s="102"/>
      <c r="BD1047" s="102"/>
      <c r="BE1047" s="102"/>
      <c r="BF1047" s="104"/>
      <c r="BG1047" s="152"/>
      <c r="BH1047" s="103"/>
      <c r="BI1047" s="103"/>
      <c r="BJ1047" s="103"/>
      <c r="BK1047" s="103"/>
      <c r="BL1047" s="103"/>
      <c r="BM1047" s="103"/>
      <c r="BN1047" s="103"/>
      <c r="BO1047" s="103"/>
      <c r="BP1047" s="103"/>
      <c r="BQ1047" s="103"/>
      <c r="BR1047" s="103"/>
      <c r="BS1047" s="104"/>
      <c r="BT1047" s="104"/>
      <c r="BU1047" s="104"/>
      <c r="BV1047" s="104"/>
      <c r="BW1047" s="104"/>
      <c r="BX1047" s="104"/>
      <c r="BY1047" s="104"/>
      <c r="BZ1047" s="104"/>
      <c r="CA1047" s="104"/>
      <c r="CB1047" s="104"/>
      <c r="CC1047" s="103"/>
      <c r="CD1047" s="103"/>
      <c r="CE1047" s="103"/>
      <c r="CF1047" s="103"/>
      <c r="CG1047" s="103"/>
      <c r="CH1047" s="133"/>
      <c r="CI1047" s="133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O1047" s="1"/>
      <c r="EP1047" s="103"/>
      <c r="EQ1047" s="103"/>
      <c r="ER1047" s="1"/>
      <c r="ES1047" s="103"/>
      <c r="ET1047" s="1"/>
      <c r="EU1047" s="1"/>
      <c r="EV1047" s="1"/>
      <c r="EW1047" s="105"/>
    </row>
    <row r="1048" spans="9:153">
      <c r="I1048" s="132"/>
      <c r="J1048" s="133"/>
      <c r="K1048" s="1"/>
      <c r="L1048" s="1"/>
      <c r="Q1048" s="1"/>
      <c r="R1048" s="1"/>
      <c r="S1048" s="103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53"/>
      <c r="AN1048" s="103"/>
      <c r="AO1048" s="103"/>
      <c r="AP1048" s="103"/>
      <c r="AQ1048" s="31"/>
      <c r="AR1048" s="31"/>
      <c r="AS1048" s="31"/>
      <c r="AT1048" s="30"/>
      <c r="AU1048" s="30"/>
      <c r="AV1048" s="103"/>
      <c r="AW1048" s="103"/>
      <c r="AX1048" s="103"/>
      <c r="AY1048" s="103"/>
      <c r="AZ1048" s="103"/>
      <c r="BA1048" s="103"/>
      <c r="BB1048" s="104"/>
      <c r="BC1048" s="102"/>
      <c r="BD1048" s="102"/>
      <c r="BE1048" s="102"/>
      <c r="BF1048" s="104"/>
      <c r="BG1048" s="152"/>
      <c r="BH1048" s="103"/>
      <c r="BI1048" s="103"/>
      <c r="BJ1048" s="103"/>
      <c r="BK1048" s="103"/>
      <c r="BL1048" s="103"/>
      <c r="BM1048" s="103"/>
      <c r="BN1048" s="103"/>
      <c r="BO1048" s="103"/>
      <c r="BP1048" s="103"/>
      <c r="BQ1048" s="103"/>
      <c r="BR1048" s="103"/>
      <c r="BS1048" s="104"/>
      <c r="BT1048" s="104"/>
      <c r="BU1048" s="104"/>
      <c r="BV1048" s="104"/>
      <c r="BW1048" s="104"/>
      <c r="BX1048" s="104"/>
      <c r="BY1048" s="104"/>
      <c r="BZ1048" s="104"/>
      <c r="CA1048" s="104"/>
      <c r="CB1048" s="104"/>
      <c r="CC1048" s="103"/>
      <c r="CD1048" s="103"/>
      <c r="CE1048" s="103"/>
      <c r="CF1048" s="103"/>
      <c r="CG1048" s="103"/>
      <c r="CH1048" s="133"/>
      <c r="CI1048" s="133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O1048" s="1"/>
      <c r="EP1048" s="103"/>
      <c r="EQ1048" s="103"/>
      <c r="ER1048" s="1"/>
      <c r="ES1048" s="103"/>
      <c r="ET1048" s="1"/>
      <c r="EU1048" s="1"/>
      <c r="EV1048" s="1"/>
      <c r="EW1048" s="105"/>
    </row>
    <row r="1049" spans="9:153">
      <c r="I1049" s="132"/>
      <c r="J1049" s="133"/>
      <c r="K1049" s="1"/>
      <c r="L1049" s="1"/>
      <c r="Q1049" s="1"/>
      <c r="R1049" s="1"/>
      <c r="S1049" s="103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53"/>
      <c r="AN1049" s="103"/>
      <c r="AO1049" s="103"/>
      <c r="AP1049" s="103"/>
      <c r="AQ1049" s="31"/>
      <c r="AR1049" s="31"/>
      <c r="AS1049" s="31"/>
      <c r="AT1049" s="30"/>
      <c r="AU1049" s="30"/>
      <c r="AV1049" s="103"/>
      <c r="AW1049" s="103"/>
      <c r="AX1049" s="103"/>
      <c r="AY1049" s="103"/>
      <c r="AZ1049" s="103"/>
      <c r="BA1049" s="103"/>
      <c r="BB1049" s="104"/>
      <c r="BC1049" s="102"/>
      <c r="BD1049" s="102"/>
      <c r="BE1049" s="102"/>
      <c r="BF1049" s="104"/>
      <c r="BG1049" s="152"/>
      <c r="BH1049" s="103"/>
      <c r="BI1049" s="103"/>
      <c r="BJ1049" s="103"/>
      <c r="BK1049" s="103"/>
      <c r="BL1049" s="103"/>
      <c r="BM1049" s="103"/>
      <c r="BN1049" s="103"/>
      <c r="BO1049" s="103"/>
      <c r="BP1049" s="103"/>
      <c r="BQ1049" s="103"/>
      <c r="BR1049" s="103"/>
      <c r="BS1049" s="104"/>
      <c r="BT1049" s="104"/>
      <c r="BU1049" s="104"/>
      <c r="BV1049" s="104"/>
      <c r="BW1049" s="104"/>
      <c r="BX1049" s="104"/>
      <c r="BY1049" s="104"/>
      <c r="BZ1049" s="104"/>
      <c r="CA1049" s="104"/>
      <c r="CB1049" s="104"/>
      <c r="CC1049" s="103"/>
      <c r="CD1049" s="103"/>
      <c r="CE1049" s="103"/>
      <c r="CF1049" s="103"/>
      <c r="CG1049" s="103"/>
      <c r="CH1049" s="133"/>
      <c r="CI1049" s="133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O1049" s="1"/>
      <c r="EP1049" s="103"/>
      <c r="EQ1049" s="103"/>
      <c r="ER1049" s="1"/>
      <c r="ES1049" s="103"/>
      <c r="ET1049" s="1"/>
      <c r="EU1049" s="1"/>
      <c r="EV1049" s="1"/>
      <c r="EW1049" s="105"/>
    </row>
    <row r="1050" spans="9:153">
      <c r="I1050" s="132"/>
      <c r="J1050" s="133"/>
      <c r="K1050" s="1"/>
      <c r="L1050" s="1"/>
      <c r="Q1050" s="1"/>
      <c r="R1050" s="1"/>
      <c r="S1050" s="103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53"/>
      <c r="AN1050" s="103"/>
      <c r="AO1050" s="103"/>
      <c r="AP1050" s="103"/>
      <c r="AQ1050" s="31"/>
      <c r="AR1050" s="31"/>
      <c r="AS1050" s="31"/>
      <c r="AT1050" s="30"/>
      <c r="AU1050" s="30"/>
      <c r="AV1050" s="103"/>
      <c r="AW1050" s="103"/>
      <c r="AX1050" s="103"/>
      <c r="AY1050" s="103"/>
      <c r="AZ1050" s="103"/>
      <c r="BA1050" s="103"/>
      <c r="BB1050" s="104"/>
      <c r="BC1050" s="102"/>
      <c r="BD1050" s="102"/>
      <c r="BE1050" s="102"/>
      <c r="BF1050" s="104"/>
      <c r="BG1050" s="152"/>
      <c r="BH1050" s="103"/>
      <c r="BI1050" s="103"/>
      <c r="BJ1050" s="103"/>
      <c r="BK1050" s="103"/>
      <c r="BL1050" s="103"/>
      <c r="BM1050" s="103"/>
      <c r="BN1050" s="103"/>
      <c r="BO1050" s="103"/>
      <c r="BP1050" s="103"/>
      <c r="BQ1050" s="103"/>
      <c r="BR1050" s="103"/>
      <c r="BS1050" s="104"/>
      <c r="BT1050" s="104"/>
      <c r="BU1050" s="104"/>
      <c r="BV1050" s="104"/>
      <c r="BW1050" s="104"/>
      <c r="BX1050" s="104"/>
      <c r="BY1050" s="104"/>
      <c r="BZ1050" s="104"/>
      <c r="CA1050" s="104"/>
      <c r="CB1050" s="104"/>
      <c r="CC1050" s="103"/>
      <c r="CD1050" s="103"/>
      <c r="CE1050" s="103"/>
      <c r="CF1050" s="103"/>
      <c r="CG1050" s="103"/>
      <c r="CH1050" s="133"/>
      <c r="CI1050" s="133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O1050" s="1"/>
      <c r="EP1050" s="103"/>
      <c r="EQ1050" s="103"/>
      <c r="ER1050" s="1"/>
      <c r="ES1050" s="103"/>
      <c r="ET1050" s="1"/>
      <c r="EU1050" s="1"/>
      <c r="EV1050" s="1"/>
      <c r="EW1050" s="105"/>
    </row>
    <row r="1051" spans="9:153">
      <c r="I1051" s="132"/>
      <c r="J1051" s="133"/>
      <c r="K1051" s="1"/>
      <c r="L1051" s="1"/>
      <c r="Q1051" s="1"/>
      <c r="R1051" s="1"/>
      <c r="S1051" s="103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53"/>
      <c r="AN1051" s="103"/>
      <c r="AO1051" s="103"/>
      <c r="AP1051" s="103"/>
      <c r="AQ1051" s="31"/>
      <c r="AR1051" s="31"/>
      <c r="AS1051" s="31"/>
      <c r="AT1051" s="30"/>
      <c r="AU1051" s="30"/>
      <c r="AV1051" s="103"/>
      <c r="AW1051" s="103"/>
      <c r="AX1051" s="103"/>
      <c r="AY1051" s="103"/>
      <c r="AZ1051" s="103"/>
      <c r="BA1051" s="103"/>
      <c r="BB1051" s="104"/>
      <c r="BC1051" s="102"/>
      <c r="BD1051" s="102"/>
      <c r="BE1051" s="102"/>
      <c r="BF1051" s="104"/>
      <c r="BG1051" s="152"/>
      <c r="BH1051" s="103"/>
      <c r="BI1051" s="103"/>
      <c r="BJ1051" s="103"/>
      <c r="BK1051" s="103"/>
      <c r="BL1051" s="103"/>
      <c r="BM1051" s="103"/>
      <c r="BN1051" s="103"/>
      <c r="BO1051" s="103"/>
      <c r="BP1051" s="103"/>
      <c r="BQ1051" s="103"/>
      <c r="BR1051" s="103"/>
      <c r="BS1051" s="104"/>
      <c r="BT1051" s="104"/>
      <c r="BU1051" s="104"/>
      <c r="BV1051" s="104"/>
      <c r="BW1051" s="104"/>
      <c r="BX1051" s="104"/>
      <c r="BY1051" s="104"/>
      <c r="BZ1051" s="104"/>
      <c r="CA1051" s="104"/>
      <c r="CB1051" s="104"/>
      <c r="CC1051" s="103"/>
      <c r="CD1051" s="103"/>
      <c r="CE1051" s="103"/>
      <c r="CF1051" s="103"/>
      <c r="CG1051" s="103"/>
      <c r="CH1051" s="133"/>
      <c r="CI1051" s="133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O1051" s="1"/>
      <c r="EP1051" s="103"/>
      <c r="EQ1051" s="103"/>
      <c r="ER1051" s="1"/>
      <c r="ES1051" s="103"/>
      <c r="ET1051" s="1"/>
      <c r="EU1051" s="1"/>
      <c r="EV1051" s="1"/>
      <c r="EW1051" s="105"/>
    </row>
    <row r="1052" spans="9:153">
      <c r="I1052" s="132"/>
      <c r="J1052" s="133"/>
      <c r="K1052" s="1"/>
      <c r="L1052" s="1"/>
      <c r="Q1052" s="1"/>
      <c r="R1052" s="1"/>
      <c r="S1052" s="103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53"/>
      <c r="AN1052" s="103"/>
      <c r="AO1052" s="103"/>
      <c r="AP1052" s="103"/>
      <c r="AQ1052" s="31"/>
      <c r="AR1052" s="31"/>
      <c r="AS1052" s="31"/>
      <c r="AT1052" s="30"/>
      <c r="AU1052" s="30"/>
      <c r="AV1052" s="103"/>
      <c r="AW1052" s="103"/>
      <c r="AX1052" s="103"/>
      <c r="AY1052" s="103"/>
      <c r="AZ1052" s="103"/>
      <c r="BA1052" s="103"/>
      <c r="BB1052" s="104"/>
      <c r="BC1052" s="102"/>
      <c r="BD1052" s="102"/>
      <c r="BE1052" s="102"/>
      <c r="BF1052" s="104"/>
      <c r="BG1052" s="152"/>
      <c r="BH1052" s="103"/>
      <c r="BI1052" s="103"/>
      <c r="BJ1052" s="103"/>
      <c r="BK1052" s="103"/>
      <c r="BL1052" s="103"/>
      <c r="BM1052" s="103"/>
      <c r="BN1052" s="103"/>
      <c r="BO1052" s="103"/>
      <c r="BP1052" s="103"/>
      <c r="BQ1052" s="103"/>
      <c r="BR1052" s="103"/>
      <c r="BS1052" s="104"/>
      <c r="BT1052" s="104"/>
      <c r="BU1052" s="104"/>
      <c r="BV1052" s="104"/>
      <c r="BW1052" s="104"/>
      <c r="BX1052" s="104"/>
      <c r="BY1052" s="104"/>
      <c r="BZ1052" s="104"/>
      <c r="CA1052" s="104"/>
      <c r="CB1052" s="104"/>
      <c r="CC1052" s="103"/>
      <c r="CD1052" s="103"/>
      <c r="CE1052" s="103"/>
      <c r="CF1052" s="103"/>
      <c r="CG1052" s="103"/>
      <c r="CH1052" s="133"/>
      <c r="CI1052" s="133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O1052" s="1"/>
      <c r="EP1052" s="103"/>
      <c r="EQ1052" s="103"/>
      <c r="ER1052" s="1"/>
      <c r="ES1052" s="103"/>
      <c r="ET1052" s="1"/>
      <c r="EU1052" s="1"/>
      <c r="EV1052" s="1"/>
      <c r="EW1052" s="105"/>
    </row>
    <row r="1053" spans="9:153">
      <c r="I1053" s="132"/>
      <c r="J1053" s="133"/>
      <c r="K1053" s="1"/>
      <c r="L1053" s="1"/>
      <c r="Q1053" s="1"/>
      <c r="R1053" s="1"/>
      <c r="S1053" s="103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53"/>
      <c r="AN1053" s="103"/>
      <c r="AO1053" s="103"/>
      <c r="AP1053" s="103"/>
      <c r="AQ1053" s="31"/>
      <c r="AR1053" s="31"/>
      <c r="AS1053" s="31"/>
      <c r="AT1053" s="30"/>
      <c r="AU1053" s="30"/>
      <c r="AV1053" s="103"/>
      <c r="AW1053" s="103"/>
      <c r="AX1053" s="103"/>
      <c r="AY1053" s="103"/>
      <c r="AZ1053" s="103"/>
      <c r="BA1053" s="103"/>
      <c r="BB1053" s="104"/>
      <c r="BC1053" s="102"/>
      <c r="BD1053" s="102"/>
      <c r="BE1053" s="102"/>
      <c r="BF1053" s="104"/>
      <c r="BG1053" s="152"/>
      <c r="BH1053" s="103"/>
      <c r="BI1053" s="103"/>
      <c r="BJ1053" s="103"/>
      <c r="BK1053" s="103"/>
      <c r="BL1053" s="103"/>
      <c r="BM1053" s="103"/>
      <c r="BN1053" s="103"/>
      <c r="BO1053" s="103"/>
      <c r="BP1053" s="103"/>
      <c r="BQ1053" s="103"/>
      <c r="BR1053" s="103"/>
      <c r="BS1053" s="104"/>
      <c r="BT1053" s="104"/>
      <c r="BU1053" s="104"/>
      <c r="BV1053" s="104"/>
      <c r="BW1053" s="104"/>
      <c r="BX1053" s="104"/>
      <c r="BY1053" s="104"/>
      <c r="BZ1053" s="104"/>
      <c r="CA1053" s="104"/>
      <c r="CB1053" s="104"/>
      <c r="CC1053" s="103"/>
      <c r="CD1053" s="103"/>
      <c r="CE1053" s="103"/>
      <c r="CF1053" s="103"/>
      <c r="CG1053" s="103"/>
      <c r="CH1053" s="133"/>
      <c r="CI1053" s="133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O1053" s="1"/>
      <c r="EP1053" s="103"/>
      <c r="EQ1053" s="103"/>
      <c r="ER1053" s="1"/>
      <c r="ES1053" s="103"/>
      <c r="ET1053" s="1"/>
      <c r="EU1053" s="1"/>
      <c r="EV1053" s="1"/>
      <c r="EW1053" s="105"/>
    </row>
    <row r="1054" spans="9:153">
      <c r="I1054" s="132"/>
      <c r="J1054" s="133"/>
      <c r="K1054" s="1"/>
      <c r="L1054" s="1"/>
      <c r="Q1054" s="1"/>
      <c r="R1054" s="1"/>
      <c r="S1054" s="103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53"/>
      <c r="AN1054" s="103"/>
      <c r="AO1054" s="103"/>
      <c r="AP1054" s="103"/>
      <c r="AQ1054" s="31"/>
      <c r="AR1054" s="31"/>
      <c r="AS1054" s="31"/>
      <c r="AT1054" s="30"/>
      <c r="AU1054" s="30"/>
      <c r="AV1054" s="103"/>
      <c r="AW1054" s="103"/>
      <c r="AX1054" s="103"/>
      <c r="AY1054" s="103"/>
      <c r="AZ1054" s="103"/>
      <c r="BA1054" s="103"/>
      <c r="BB1054" s="104"/>
      <c r="BC1054" s="102"/>
      <c r="BD1054" s="102"/>
      <c r="BE1054" s="102"/>
      <c r="BF1054" s="104"/>
      <c r="BG1054" s="152"/>
      <c r="BH1054" s="103"/>
      <c r="BI1054" s="103"/>
      <c r="BJ1054" s="103"/>
      <c r="BK1054" s="103"/>
      <c r="BL1054" s="103"/>
      <c r="BM1054" s="103"/>
      <c r="BN1054" s="103"/>
      <c r="BO1054" s="103"/>
      <c r="BP1054" s="103"/>
      <c r="BQ1054" s="103"/>
      <c r="BR1054" s="103"/>
      <c r="BS1054" s="104"/>
      <c r="BT1054" s="104"/>
      <c r="BU1054" s="104"/>
      <c r="BV1054" s="104"/>
      <c r="BW1054" s="104"/>
      <c r="BX1054" s="104"/>
      <c r="BY1054" s="104"/>
      <c r="BZ1054" s="104"/>
      <c r="CA1054" s="104"/>
      <c r="CB1054" s="104"/>
      <c r="CC1054" s="103"/>
      <c r="CD1054" s="103"/>
      <c r="CE1054" s="103"/>
      <c r="CF1054" s="103"/>
      <c r="CG1054" s="103"/>
      <c r="CH1054" s="133"/>
      <c r="CI1054" s="133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O1054" s="1"/>
      <c r="EP1054" s="103"/>
      <c r="EQ1054" s="103"/>
      <c r="ER1054" s="1"/>
      <c r="ES1054" s="103"/>
      <c r="ET1054" s="1"/>
      <c r="EU1054" s="1"/>
      <c r="EV1054" s="1"/>
      <c r="EW1054" s="105"/>
    </row>
    <row r="1055" spans="9:153">
      <c r="I1055" s="132"/>
      <c r="J1055" s="133"/>
      <c r="K1055" s="1"/>
      <c r="L1055" s="1"/>
      <c r="Q1055" s="1"/>
      <c r="R1055" s="1"/>
      <c r="S1055" s="103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53"/>
      <c r="AN1055" s="103"/>
      <c r="AO1055" s="103"/>
      <c r="AP1055" s="103"/>
      <c r="AQ1055" s="31"/>
      <c r="AR1055" s="31"/>
      <c r="AS1055" s="31"/>
      <c r="AT1055" s="30"/>
      <c r="AU1055" s="30"/>
      <c r="AV1055" s="103"/>
      <c r="AW1055" s="103"/>
      <c r="AX1055" s="103"/>
      <c r="AY1055" s="103"/>
      <c r="AZ1055" s="103"/>
      <c r="BA1055" s="103"/>
      <c r="BB1055" s="104"/>
      <c r="BC1055" s="102"/>
      <c r="BD1055" s="102"/>
      <c r="BE1055" s="102"/>
      <c r="BF1055" s="104"/>
      <c r="BG1055" s="152"/>
      <c r="BH1055" s="103"/>
      <c r="BI1055" s="103"/>
      <c r="BJ1055" s="103"/>
      <c r="BK1055" s="103"/>
      <c r="BL1055" s="103"/>
      <c r="BM1055" s="103"/>
      <c r="BN1055" s="103"/>
      <c r="BO1055" s="103"/>
      <c r="BP1055" s="103"/>
      <c r="BQ1055" s="103"/>
      <c r="BR1055" s="103"/>
      <c r="BS1055" s="104"/>
      <c r="BT1055" s="104"/>
      <c r="BU1055" s="104"/>
      <c r="BV1055" s="104"/>
      <c r="BW1055" s="104"/>
      <c r="BX1055" s="104"/>
      <c r="BY1055" s="104"/>
      <c r="BZ1055" s="104"/>
      <c r="CA1055" s="104"/>
      <c r="CB1055" s="104"/>
      <c r="CC1055" s="103"/>
      <c r="CD1055" s="103"/>
      <c r="CE1055" s="103"/>
      <c r="CF1055" s="103"/>
      <c r="CG1055" s="103"/>
      <c r="CH1055" s="133"/>
      <c r="CI1055" s="133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O1055" s="1"/>
      <c r="EP1055" s="103"/>
      <c r="EQ1055" s="103"/>
      <c r="ER1055" s="1"/>
      <c r="ES1055" s="103"/>
      <c r="ET1055" s="1"/>
      <c r="EU1055" s="1"/>
      <c r="EV1055" s="1"/>
      <c r="EW1055" s="105"/>
    </row>
    <row r="1056" spans="9:153">
      <c r="I1056" s="132"/>
      <c r="J1056" s="133"/>
      <c r="K1056" s="1"/>
      <c r="L1056" s="1"/>
      <c r="Q1056" s="1"/>
      <c r="R1056" s="1"/>
      <c r="S1056" s="103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53"/>
      <c r="AN1056" s="103"/>
      <c r="AO1056" s="103"/>
      <c r="AP1056" s="103"/>
      <c r="AQ1056" s="31"/>
      <c r="AR1056" s="31"/>
      <c r="AS1056" s="31"/>
      <c r="AT1056" s="30"/>
      <c r="AU1056" s="30"/>
      <c r="AV1056" s="103"/>
      <c r="AW1056" s="103"/>
      <c r="AX1056" s="103"/>
      <c r="AY1056" s="103"/>
      <c r="AZ1056" s="103"/>
      <c r="BA1056" s="103"/>
      <c r="BB1056" s="104"/>
      <c r="BC1056" s="102"/>
      <c r="BD1056" s="102"/>
      <c r="BE1056" s="102"/>
      <c r="BF1056" s="104"/>
      <c r="BG1056" s="152"/>
      <c r="BH1056" s="103"/>
      <c r="BI1056" s="103"/>
      <c r="BJ1056" s="103"/>
      <c r="BK1056" s="103"/>
      <c r="BL1056" s="103"/>
      <c r="BM1056" s="103"/>
      <c r="BN1056" s="103"/>
      <c r="BO1056" s="103"/>
      <c r="BP1056" s="103"/>
      <c r="BQ1056" s="103"/>
      <c r="BR1056" s="103"/>
      <c r="BS1056" s="104"/>
      <c r="BT1056" s="104"/>
      <c r="BU1056" s="104"/>
      <c r="BV1056" s="104"/>
      <c r="BW1056" s="104"/>
      <c r="BX1056" s="104"/>
      <c r="BY1056" s="104"/>
      <c r="BZ1056" s="104"/>
      <c r="CA1056" s="104"/>
      <c r="CB1056" s="104"/>
      <c r="CC1056" s="103"/>
      <c r="CD1056" s="103"/>
      <c r="CE1056" s="103"/>
      <c r="CF1056" s="103"/>
      <c r="CG1056" s="103"/>
      <c r="CH1056" s="133"/>
      <c r="CI1056" s="133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O1056" s="1"/>
      <c r="EP1056" s="103"/>
      <c r="EQ1056" s="103"/>
      <c r="ER1056" s="1"/>
      <c r="ES1056" s="103"/>
      <c r="ET1056" s="1"/>
      <c r="EU1056" s="1"/>
      <c r="EV1056" s="1"/>
      <c r="EW1056" s="105"/>
    </row>
    <row r="1057" spans="9:153">
      <c r="I1057" s="132"/>
      <c r="J1057" s="133"/>
      <c r="K1057" s="1"/>
      <c r="L1057" s="1"/>
      <c r="Q1057" s="1"/>
      <c r="R1057" s="1"/>
      <c r="S1057" s="103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53"/>
      <c r="AN1057" s="103"/>
      <c r="AO1057" s="103"/>
      <c r="AP1057" s="103"/>
      <c r="AQ1057" s="31"/>
      <c r="AR1057" s="31"/>
      <c r="AS1057" s="31"/>
      <c r="AT1057" s="30"/>
      <c r="AU1057" s="30"/>
      <c r="AV1057" s="103"/>
      <c r="AW1057" s="103"/>
      <c r="AX1057" s="103"/>
      <c r="AY1057" s="103"/>
      <c r="AZ1057" s="103"/>
      <c r="BA1057" s="103"/>
      <c r="BB1057" s="104"/>
      <c r="BC1057" s="102"/>
      <c r="BD1057" s="102"/>
      <c r="BE1057" s="102"/>
      <c r="BF1057" s="104"/>
      <c r="BG1057" s="152"/>
      <c r="BH1057" s="103"/>
      <c r="BI1057" s="103"/>
      <c r="BJ1057" s="103"/>
      <c r="BK1057" s="103"/>
      <c r="BL1057" s="103"/>
      <c r="BM1057" s="103"/>
      <c r="BN1057" s="103"/>
      <c r="BO1057" s="103"/>
      <c r="BP1057" s="103"/>
      <c r="BQ1057" s="103"/>
      <c r="BR1057" s="103"/>
      <c r="BS1057" s="104"/>
      <c r="BT1057" s="104"/>
      <c r="BU1057" s="104"/>
      <c r="BV1057" s="104"/>
      <c r="BW1057" s="104"/>
      <c r="BX1057" s="104"/>
      <c r="BY1057" s="104"/>
      <c r="BZ1057" s="104"/>
      <c r="CA1057" s="104"/>
      <c r="CB1057" s="104"/>
      <c r="CC1057" s="103"/>
      <c r="CD1057" s="103"/>
      <c r="CE1057" s="103"/>
      <c r="CF1057" s="103"/>
      <c r="CG1057" s="103"/>
      <c r="CH1057" s="133"/>
      <c r="CI1057" s="133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O1057" s="1"/>
      <c r="EP1057" s="103"/>
      <c r="EQ1057" s="103"/>
      <c r="ER1057" s="1"/>
      <c r="ES1057" s="103"/>
      <c r="ET1057" s="1"/>
      <c r="EU1057" s="1"/>
      <c r="EV1057" s="1"/>
      <c r="EW1057" s="105"/>
    </row>
    <row r="1058" spans="9:153">
      <c r="I1058" s="132"/>
      <c r="J1058" s="133"/>
      <c r="K1058" s="1"/>
      <c r="L1058" s="1"/>
      <c r="Q1058" s="1"/>
      <c r="R1058" s="1"/>
      <c r="S1058" s="103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53"/>
      <c r="AN1058" s="103"/>
      <c r="AO1058" s="103"/>
      <c r="AP1058" s="103"/>
      <c r="AQ1058" s="31"/>
      <c r="AR1058" s="31"/>
      <c r="AS1058" s="31"/>
      <c r="AT1058" s="30"/>
      <c r="AU1058" s="30"/>
      <c r="AV1058" s="103"/>
      <c r="AW1058" s="103"/>
      <c r="AX1058" s="103"/>
      <c r="AY1058" s="103"/>
      <c r="AZ1058" s="103"/>
      <c r="BA1058" s="103"/>
      <c r="BB1058" s="104"/>
      <c r="BC1058" s="102"/>
      <c r="BD1058" s="102"/>
      <c r="BE1058" s="102"/>
      <c r="BF1058" s="104"/>
      <c r="BG1058" s="152"/>
      <c r="BH1058" s="103"/>
      <c r="BI1058" s="103"/>
      <c r="BJ1058" s="103"/>
      <c r="BK1058" s="103"/>
      <c r="BL1058" s="103"/>
      <c r="BM1058" s="103"/>
      <c r="BN1058" s="103"/>
      <c r="BO1058" s="103"/>
      <c r="BP1058" s="103"/>
      <c r="BQ1058" s="103"/>
      <c r="BR1058" s="103"/>
      <c r="BS1058" s="104"/>
      <c r="BT1058" s="104"/>
      <c r="BU1058" s="104"/>
      <c r="BV1058" s="104"/>
      <c r="BW1058" s="104"/>
      <c r="BX1058" s="104"/>
      <c r="BY1058" s="104"/>
      <c r="BZ1058" s="104"/>
      <c r="CA1058" s="104"/>
      <c r="CB1058" s="104"/>
      <c r="CC1058" s="103"/>
      <c r="CD1058" s="103"/>
      <c r="CE1058" s="103"/>
      <c r="CF1058" s="103"/>
      <c r="CG1058" s="103"/>
      <c r="CH1058" s="133"/>
      <c r="CI1058" s="133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O1058" s="1"/>
      <c r="EP1058" s="103"/>
      <c r="EQ1058" s="103"/>
      <c r="ER1058" s="1"/>
      <c r="ES1058" s="103"/>
      <c r="ET1058" s="1"/>
      <c r="EU1058" s="1"/>
      <c r="EV1058" s="1"/>
      <c r="EW1058" s="105"/>
    </row>
    <row r="1059" spans="9:153">
      <c r="I1059" s="132"/>
      <c r="J1059" s="133"/>
      <c r="K1059" s="1"/>
      <c r="L1059" s="1"/>
      <c r="Q1059" s="1"/>
      <c r="R1059" s="1"/>
      <c r="S1059" s="103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53"/>
      <c r="AN1059" s="103"/>
      <c r="AO1059" s="103"/>
      <c r="AP1059" s="103"/>
      <c r="AQ1059" s="31"/>
      <c r="AR1059" s="31"/>
      <c r="AS1059" s="31"/>
      <c r="AT1059" s="30"/>
      <c r="AU1059" s="30"/>
      <c r="AV1059" s="103"/>
      <c r="AW1059" s="103"/>
      <c r="AX1059" s="103"/>
      <c r="AY1059" s="103"/>
      <c r="AZ1059" s="103"/>
      <c r="BA1059" s="103"/>
      <c r="BB1059" s="104"/>
      <c r="BC1059" s="102"/>
      <c r="BD1059" s="102"/>
      <c r="BE1059" s="102"/>
      <c r="BF1059" s="104"/>
      <c r="BG1059" s="152"/>
      <c r="BH1059" s="103"/>
      <c r="BI1059" s="103"/>
      <c r="BJ1059" s="103"/>
      <c r="BK1059" s="103"/>
      <c r="BL1059" s="103"/>
      <c r="BM1059" s="103"/>
      <c r="BN1059" s="103"/>
      <c r="BO1059" s="103"/>
      <c r="BP1059" s="103"/>
      <c r="BQ1059" s="103"/>
      <c r="BR1059" s="103"/>
      <c r="BS1059" s="104"/>
      <c r="BT1059" s="104"/>
      <c r="BU1059" s="104"/>
      <c r="BV1059" s="104"/>
      <c r="BW1059" s="104"/>
      <c r="BX1059" s="104"/>
      <c r="BY1059" s="104"/>
      <c r="BZ1059" s="104"/>
      <c r="CA1059" s="104"/>
      <c r="CB1059" s="104"/>
      <c r="CC1059" s="103"/>
      <c r="CD1059" s="103"/>
      <c r="CE1059" s="103"/>
      <c r="CF1059" s="103"/>
      <c r="CG1059" s="103"/>
      <c r="CH1059" s="133"/>
      <c r="CI1059" s="133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O1059" s="1"/>
      <c r="EP1059" s="103"/>
      <c r="EQ1059" s="103"/>
      <c r="ER1059" s="1"/>
      <c r="ES1059" s="103"/>
      <c r="ET1059" s="1"/>
      <c r="EU1059" s="1"/>
      <c r="EV1059" s="1"/>
      <c r="EW1059" s="105"/>
    </row>
    <row r="1060" spans="9:153">
      <c r="I1060" s="132"/>
      <c r="J1060" s="133"/>
      <c r="K1060" s="1"/>
      <c r="L1060" s="1"/>
      <c r="Q1060" s="1"/>
      <c r="R1060" s="1"/>
      <c r="S1060" s="103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53"/>
      <c r="AN1060" s="103"/>
      <c r="AO1060" s="103"/>
      <c r="AP1060" s="103"/>
      <c r="AQ1060" s="31"/>
      <c r="AR1060" s="31"/>
      <c r="AS1060" s="31"/>
      <c r="AT1060" s="30"/>
      <c r="AU1060" s="30"/>
      <c r="AV1060" s="103"/>
      <c r="AW1060" s="103"/>
      <c r="AX1060" s="103"/>
      <c r="AY1060" s="103"/>
      <c r="AZ1060" s="103"/>
      <c r="BA1060" s="103"/>
      <c r="BB1060" s="104"/>
      <c r="BC1060" s="102"/>
      <c r="BD1060" s="102"/>
      <c r="BE1060" s="102"/>
      <c r="BF1060" s="104"/>
      <c r="BG1060" s="152"/>
      <c r="BH1060" s="103"/>
      <c r="BI1060" s="103"/>
      <c r="BJ1060" s="103"/>
      <c r="BK1060" s="103"/>
      <c r="BL1060" s="103"/>
      <c r="BM1060" s="103"/>
      <c r="BN1060" s="103"/>
      <c r="BO1060" s="103"/>
      <c r="BP1060" s="103"/>
      <c r="BQ1060" s="103"/>
      <c r="BR1060" s="103"/>
      <c r="BS1060" s="104"/>
      <c r="BT1060" s="104"/>
      <c r="BU1060" s="104"/>
      <c r="BV1060" s="104"/>
      <c r="BW1060" s="104"/>
      <c r="BX1060" s="104"/>
      <c r="BY1060" s="104"/>
      <c r="BZ1060" s="104"/>
      <c r="CA1060" s="104"/>
      <c r="CB1060" s="104"/>
      <c r="CC1060" s="103"/>
      <c r="CD1060" s="103"/>
      <c r="CE1060" s="103"/>
      <c r="CF1060" s="103"/>
      <c r="CG1060" s="103"/>
      <c r="CH1060" s="133"/>
      <c r="CI1060" s="133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O1060" s="1"/>
      <c r="EP1060" s="103"/>
      <c r="EQ1060" s="103"/>
      <c r="ER1060" s="1"/>
      <c r="ES1060" s="103"/>
      <c r="ET1060" s="1"/>
      <c r="EU1060" s="1"/>
      <c r="EV1060" s="1"/>
      <c r="EW1060" s="105"/>
    </row>
    <row r="1061" spans="9:153">
      <c r="I1061" s="132"/>
      <c r="J1061" s="133"/>
      <c r="K1061" s="1"/>
      <c r="L1061" s="1"/>
      <c r="Q1061" s="1"/>
      <c r="R1061" s="1"/>
      <c r="S1061" s="103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53"/>
      <c r="AN1061" s="103"/>
      <c r="AO1061" s="103"/>
      <c r="AP1061" s="103"/>
      <c r="AQ1061" s="31"/>
      <c r="AR1061" s="31"/>
      <c r="AS1061" s="31"/>
      <c r="AT1061" s="30"/>
      <c r="AU1061" s="30"/>
      <c r="AV1061" s="103"/>
      <c r="AW1061" s="103"/>
      <c r="AX1061" s="103"/>
      <c r="AY1061" s="103"/>
      <c r="AZ1061" s="103"/>
      <c r="BA1061" s="103"/>
      <c r="BB1061" s="104"/>
      <c r="BC1061" s="102"/>
      <c r="BD1061" s="102"/>
      <c r="BE1061" s="102"/>
      <c r="BF1061" s="104"/>
      <c r="BG1061" s="152"/>
      <c r="BH1061" s="103"/>
      <c r="BI1061" s="103"/>
      <c r="BJ1061" s="103"/>
      <c r="BK1061" s="103"/>
      <c r="BL1061" s="103"/>
      <c r="BM1061" s="103"/>
      <c r="BN1061" s="103"/>
      <c r="BO1061" s="103"/>
      <c r="BP1061" s="103"/>
      <c r="BQ1061" s="103"/>
      <c r="BR1061" s="103"/>
      <c r="BS1061" s="104"/>
      <c r="BT1061" s="104"/>
      <c r="BU1061" s="104"/>
      <c r="BV1061" s="104"/>
      <c r="BW1061" s="104"/>
      <c r="BX1061" s="104"/>
      <c r="BY1061" s="104"/>
      <c r="BZ1061" s="104"/>
      <c r="CA1061" s="104"/>
      <c r="CB1061" s="104"/>
      <c r="CC1061" s="103"/>
      <c r="CD1061" s="103"/>
      <c r="CE1061" s="103"/>
      <c r="CF1061" s="103"/>
      <c r="CG1061" s="103"/>
      <c r="CH1061" s="133"/>
      <c r="CI1061" s="133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O1061" s="1"/>
      <c r="EP1061" s="103"/>
      <c r="EQ1061" s="103"/>
      <c r="ER1061" s="1"/>
      <c r="ES1061" s="103"/>
      <c r="ET1061" s="1"/>
      <c r="EU1061" s="1"/>
      <c r="EV1061" s="1"/>
      <c r="EW1061" s="105"/>
    </row>
    <row r="1062" spans="9:153">
      <c r="I1062" s="132"/>
      <c r="J1062" s="133"/>
      <c r="K1062" s="1"/>
      <c r="L1062" s="1"/>
      <c r="Q1062" s="1"/>
      <c r="R1062" s="1"/>
      <c r="S1062" s="103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53"/>
      <c r="AN1062" s="103"/>
      <c r="AO1062" s="103"/>
      <c r="AP1062" s="103"/>
      <c r="AQ1062" s="31"/>
      <c r="AR1062" s="31"/>
      <c r="AS1062" s="31"/>
      <c r="AT1062" s="30"/>
      <c r="AU1062" s="30"/>
      <c r="AV1062" s="103"/>
      <c r="AW1062" s="103"/>
      <c r="AX1062" s="103"/>
      <c r="AY1062" s="103"/>
      <c r="AZ1062" s="103"/>
      <c r="BA1062" s="103"/>
      <c r="BB1062" s="104"/>
      <c r="BC1062" s="102"/>
      <c r="BD1062" s="102"/>
      <c r="BE1062" s="102"/>
      <c r="BF1062" s="104"/>
      <c r="BG1062" s="152"/>
      <c r="BH1062" s="103"/>
      <c r="BI1062" s="103"/>
      <c r="BJ1062" s="103"/>
      <c r="BK1062" s="103"/>
      <c r="BL1062" s="103"/>
      <c r="BM1062" s="103"/>
      <c r="BN1062" s="103"/>
      <c r="BO1062" s="103"/>
      <c r="BP1062" s="103"/>
      <c r="BQ1062" s="103"/>
      <c r="BR1062" s="103"/>
      <c r="BS1062" s="104"/>
      <c r="BT1062" s="104"/>
      <c r="BU1062" s="104"/>
      <c r="BV1062" s="104"/>
      <c r="BW1062" s="104"/>
      <c r="BX1062" s="104"/>
      <c r="BY1062" s="104"/>
      <c r="BZ1062" s="104"/>
      <c r="CA1062" s="104"/>
      <c r="CB1062" s="104"/>
      <c r="CC1062" s="103"/>
      <c r="CD1062" s="103"/>
      <c r="CE1062" s="103"/>
      <c r="CF1062" s="103"/>
      <c r="CG1062" s="103"/>
      <c r="CH1062" s="133"/>
      <c r="CI1062" s="133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O1062" s="1"/>
      <c r="EP1062" s="103"/>
      <c r="EQ1062" s="103"/>
      <c r="ER1062" s="1"/>
      <c r="ES1062" s="103"/>
      <c r="ET1062" s="1"/>
      <c r="EU1062" s="1"/>
      <c r="EV1062" s="1"/>
      <c r="EW1062" s="105"/>
    </row>
    <row r="1063" spans="9:153">
      <c r="I1063" s="132"/>
      <c r="J1063" s="133"/>
      <c r="K1063" s="1"/>
      <c r="L1063" s="1"/>
      <c r="Q1063" s="1"/>
      <c r="R1063" s="1"/>
      <c r="S1063" s="103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53"/>
      <c r="AN1063" s="103"/>
      <c r="AO1063" s="103"/>
      <c r="AP1063" s="103"/>
      <c r="AQ1063" s="31"/>
      <c r="AR1063" s="31"/>
      <c r="AS1063" s="31"/>
      <c r="AT1063" s="30"/>
      <c r="AU1063" s="30"/>
      <c r="AV1063" s="103"/>
      <c r="AW1063" s="103"/>
      <c r="AX1063" s="103"/>
      <c r="AY1063" s="103"/>
      <c r="AZ1063" s="103"/>
      <c r="BA1063" s="103"/>
      <c r="BB1063" s="104"/>
      <c r="BC1063" s="102"/>
      <c r="BD1063" s="102"/>
      <c r="BE1063" s="102"/>
      <c r="BF1063" s="104"/>
      <c r="BG1063" s="152"/>
      <c r="BH1063" s="103"/>
      <c r="BI1063" s="103"/>
      <c r="BJ1063" s="103"/>
      <c r="BK1063" s="103"/>
      <c r="BL1063" s="103"/>
      <c r="BM1063" s="103"/>
      <c r="BN1063" s="103"/>
      <c r="BO1063" s="103"/>
      <c r="BP1063" s="103"/>
      <c r="BQ1063" s="103"/>
      <c r="BR1063" s="103"/>
      <c r="BS1063" s="104"/>
      <c r="BT1063" s="104"/>
      <c r="BU1063" s="104"/>
      <c r="BV1063" s="104"/>
      <c r="BW1063" s="104"/>
      <c r="BX1063" s="104"/>
      <c r="BY1063" s="104"/>
      <c r="BZ1063" s="104"/>
      <c r="CA1063" s="104"/>
      <c r="CB1063" s="104"/>
      <c r="CC1063" s="103"/>
      <c r="CD1063" s="103"/>
      <c r="CE1063" s="103"/>
      <c r="CF1063" s="103"/>
      <c r="CG1063" s="103"/>
      <c r="CH1063" s="133"/>
      <c r="CI1063" s="133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O1063" s="1"/>
      <c r="EP1063" s="103"/>
      <c r="EQ1063" s="103"/>
      <c r="ER1063" s="1"/>
      <c r="ES1063" s="103"/>
      <c r="ET1063" s="1"/>
      <c r="EU1063" s="1"/>
      <c r="EV1063" s="1"/>
      <c r="EW1063" s="105"/>
    </row>
    <row r="1064" spans="9:153">
      <c r="I1064" s="132"/>
      <c r="J1064" s="133"/>
      <c r="K1064" s="1"/>
      <c r="L1064" s="1"/>
      <c r="Q1064" s="1"/>
      <c r="R1064" s="1"/>
      <c r="S1064" s="103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53"/>
      <c r="AN1064" s="103"/>
      <c r="AO1064" s="103"/>
      <c r="AP1064" s="103"/>
      <c r="AQ1064" s="31"/>
      <c r="AR1064" s="31"/>
      <c r="AS1064" s="31"/>
      <c r="AT1064" s="30"/>
      <c r="AU1064" s="30"/>
      <c r="AV1064" s="103"/>
      <c r="AW1064" s="103"/>
      <c r="AX1064" s="103"/>
      <c r="AY1064" s="103"/>
      <c r="AZ1064" s="103"/>
      <c r="BA1064" s="103"/>
      <c r="BB1064" s="104"/>
      <c r="BC1064" s="102"/>
      <c r="BD1064" s="102"/>
      <c r="BE1064" s="102"/>
      <c r="BF1064" s="104"/>
      <c r="BG1064" s="152"/>
      <c r="BH1064" s="103"/>
      <c r="BI1064" s="103"/>
      <c r="BJ1064" s="103"/>
      <c r="BK1064" s="103"/>
      <c r="BL1064" s="103"/>
      <c r="BM1064" s="103"/>
      <c r="BN1064" s="103"/>
      <c r="BO1064" s="103"/>
      <c r="BP1064" s="103"/>
      <c r="BQ1064" s="103"/>
      <c r="BR1064" s="103"/>
      <c r="BS1064" s="104"/>
      <c r="BT1064" s="104"/>
      <c r="BU1064" s="104"/>
      <c r="BV1064" s="104"/>
      <c r="BW1064" s="104"/>
      <c r="BX1064" s="104"/>
      <c r="BY1064" s="104"/>
      <c r="BZ1064" s="104"/>
      <c r="CA1064" s="104"/>
      <c r="CB1064" s="104"/>
      <c r="CC1064" s="103"/>
      <c r="CD1064" s="103"/>
      <c r="CE1064" s="103"/>
      <c r="CF1064" s="103"/>
      <c r="CG1064" s="103"/>
      <c r="CH1064" s="133"/>
      <c r="CI1064" s="133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O1064" s="1"/>
      <c r="EP1064" s="103"/>
      <c r="EQ1064" s="103"/>
      <c r="ER1064" s="1"/>
      <c r="ES1064" s="103"/>
      <c r="ET1064" s="1"/>
      <c r="EU1064" s="1"/>
      <c r="EV1064" s="1"/>
      <c r="EW1064" s="105"/>
    </row>
    <row r="1065" spans="9:153">
      <c r="I1065" s="132"/>
      <c r="J1065" s="133"/>
      <c r="K1065" s="1"/>
      <c r="L1065" s="1"/>
      <c r="Q1065" s="1"/>
      <c r="R1065" s="1"/>
      <c r="S1065" s="103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53"/>
      <c r="AN1065" s="103"/>
      <c r="AO1065" s="103"/>
      <c r="AP1065" s="103"/>
      <c r="AQ1065" s="31"/>
      <c r="AR1065" s="31"/>
      <c r="AS1065" s="31"/>
      <c r="AT1065" s="30"/>
      <c r="AU1065" s="30"/>
      <c r="AV1065" s="103"/>
      <c r="AW1065" s="103"/>
      <c r="AX1065" s="103"/>
      <c r="AY1065" s="103"/>
      <c r="AZ1065" s="103"/>
      <c r="BA1065" s="103"/>
      <c r="BB1065" s="104"/>
      <c r="BC1065" s="102"/>
      <c r="BD1065" s="102"/>
      <c r="BE1065" s="102"/>
      <c r="BF1065" s="104"/>
      <c r="BG1065" s="152"/>
      <c r="BH1065" s="103"/>
      <c r="BI1065" s="103"/>
      <c r="BJ1065" s="103"/>
      <c r="BK1065" s="103"/>
      <c r="BL1065" s="103"/>
      <c r="BM1065" s="103"/>
      <c r="BN1065" s="103"/>
      <c r="BO1065" s="103"/>
      <c r="BP1065" s="103"/>
      <c r="BQ1065" s="103"/>
      <c r="BR1065" s="103"/>
      <c r="BS1065" s="104"/>
      <c r="BT1065" s="104"/>
      <c r="BU1065" s="104"/>
      <c r="BV1065" s="104"/>
      <c r="BW1065" s="104"/>
      <c r="BX1065" s="104"/>
      <c r="BY1065" s="104"/>
      <c r="BZ1065" s="104"/>
      <c r="CA1065" s="104"/>
      <c r="CB1065" s="104"/>
      <c r="CC1065" s="103"/>
      <c r="CD1065" s="103"/>
      <c r="CE1065" s="103"/>
      <c r="CF1065" s="103"/>
      <c r="CG1065" s="103"/>
      <c r="CH1065" s="133"/>
      <c r="CI1065" s="133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O1065" s="1"/>
      <c r="EP1065" s="103"/>
      <c r="EQ1065" s="103"/>
      <c r="ER1065" s="1"/>
      <c r="ES1065" s="103"/>
      <c r="ET1065" s="1"/>
      <c r="EU1065" s="1"/>
      <c r="EV1065" s="1"/>
      <c r="EW1065" s="105"/>
    </row>
    <row r="1066" spans="9:153">
      <c r="I1066" s="132"/>
      <c r="J1066" s="133"/>
      <c r="K1066" s="1"/>
      <c r="L1066" s="1"/>
      <c r="Q1066" s="1"/>
      <c r="R1066" s="1"/>
      <c r="S1066" s="103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53"/>
      <c r="AN1066" s="103"/>
      <c r="AO1066" s="103"/>
      <c r="AP1066" s="103"/>
      <c r="AQ1066" s="31"/>
      <c r="AR1066" s="31"/>
      <c r="AS1066" s="31"/>
      <c r="AT1066" s="30"/>
      <c r="AU1066" s="30"/>
      <c r="AV1066" s="103"/>
      <c r="AW1066" s="103"/>
      <c r="AX1066" s="103"/>
      <c r="AY1066" s="103"/>
      <c r="AZ1066" s="103"/>
      <c r="BA1066" s="103"/>
      <c r="BB1066" s="104"/>
      <c r="BC1066" s="102"/>
      <c r="BD1066" s="102"/>
      <c r="BE1066" s="102"/>
      <c r="BF1066" s="104"/>
      <c r="BG1066" s="152"/>
      <c r="BH1066" s="103"/>
      <c r="BI1066" s="103"/>
      <c r="BJ1066" s="103"/>
      <c r="BK1066" s="103"/>
      <c r="BL1066" s="103"/>
      <c r="BM1066" s="103"/>
      <c r="BN1066" s="103"/>
      <c r="BO1066" s="103"/>
      <c r="BP1066" s="103"/>
      <c r="BQ1066" s="103"/>
      <c r="BR1066" s="103"/>
      <c r="BS1066" s="104"/>
      <c r="BT1066" s="104"/>
      <c r="BU1066" s="104"/>
      <c r="BV1066" s="104"/>
      <c r="BW1066" s="104"/>
      <c r="BX1066" s="104"/>
      <c r="BY1066" s="104"/>
      <c r="BZ1066" s="104"/>
      <c r="CA1066" s="104"/>
      <c r="CB1066" s="104"/>
      <c r="CC1066" s="103"/>
      <c r="CD1066" s="103"/>
      <c r="CE1066" s="103"/>
      <c r="CF1066" s="103"/>
      <c r="CG1066" s="103"/>
      <c r="CH1066" s="133"/>
      <c r="CI1066" s="133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O1066" s="1"/>
      <c r="EP1066" s="103"/>
      <c r="EQ1066" s="103"/>
      <c r="ER1066" s="1"/>
      <c r="ES1066" s="103"/>
      <c r="ET1066" s="1"/>
      <c r="EU1066" s="1"/>
      <c r="EV1066" s="1"/>
      <c r="EW1066" s="105"/>
    </row>
    <row r="1067" spans="9:153">
      <c r="I1067" s="132"/>
      <c r="J1067" s="133"/>
      <c r="K1067" s="1"/>
      <c r="L1067" s="1"/>
      <c r="Q1067" s="1"/>
      <c r="R1067" s="1"/>
      <c r="S1067" s="103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53"/>
      <c r="AN1067" s="103"/>
      <c r="AO1067" s="103"/>
      <c r="AP1067" s="103"/>
      <c r="AQ1067" s="31"/>
      <c r="AR1067" s="31"/>
      <c r="AS1067" s="31"/>
      <c r="AT1067" s="30"/>
      <c r="AU1067" s="30"/>
      <c r="AV1067" s="103"/>
      <c r="AW1067" s="103"/>
      <c r="AX1067" s="103"/>
      <c r="AY1067" s="103"/>
      <c r="AZ1067" s="103"/>
      <c r="BA1067" s="103"/>
      <c r="BB1067" s="104"/>
      <c r="BC1067" s="102"/>
      <c r="BD1067" s="102"/>
      <c r="BE1067" s="102"/>
      <c r="BF1067" s="104"/>
      <c r="BG1067" s="152"/>
      <c r="BH1067" s="103"/>
      <c r="BI1067" s="103"/>
      <c r="BJ1067" s="103"/>
      <c r="BK1067" s="103"/>
      <c r="BL1067" s="103"/>
      <c r="BM1067" s="103"/>
      <c r="BN1067" s="103"/>
      <c r="BO1067" s="103"/>
      <c r="BP1067" s="103"/>
      <c r="BQ1067" s="103"/>
      <c r="BR1067" s="103"/>
      <c r="BS1067" s="104"/>
      <c r="BT1067" s="104"/>
      <c r="BU1067" s="104"/>
      <c r="BV1067" s="104"/>
      <c r="BW1067" s="104"/>
      <c r="BX1067" s="104"/>
      <c r="BY1067" s="104"/>
      <c r="BZ1067" s="104"/>
      <c r="CA1067" s="104"/>
      <c r="CB1067" s="104"/>
      <c r="CC1067" s="103"/>
      <c r="CD1067" s="103"/>
      <c r="CE1067" s="103"/>
      <c r="CF1067" s="103"/>
      <c r="CG1067" s="103"/>
      <c r="CH1067" s="133"/>
      <c r="CI1067" s="133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O1067" s="1"/>
      <c r="EP1067" s="103"/>
      <c r="EQ1067" s="103"/>
      <c r="ER1067" s="1"/>
      <c r="ES1067" s="103"/>
      <c r="ET1067" s="1"/>
      <c r="EU1067" s="1"/>
      <c r="EV1067" s="1"/>
      <c r="EW1067" s="105"/>
    </row>
    <row r="1068" spans="9:153">
      <c r="I1068" s="132"/>
      <c r="J1068" s="133"/>
      <c r="K1068" s="1"/>
      <c r="L1068" s="1"/>
      <c r="Q1068" s="1"/>
      <c r="R1068" s="1"/>
      <c r="S1068" s="103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53"/>
      <c r="AN1068" s="103"/>
      <c r="AO1068" s="103"/>
      <c r="AP1068" s="103"/>
      <c r="AQ1068" s="31"/>
      <c r="AR1068" s="31"/>
      <c r="AS1068" s="31"/>
      <c r="AT1068" s="30"/>
      <c r="AU1068" s="30"/>
      <c r="AV1068" s="103"/>
      <c r="AW1068" s="103"/>
      <c r="AX1068" s="103"/>
      <c r="AY1068" s="103"/>
      <c r="AZ1068" s="103"/>
      <c r="BA1068" s="103"/>
      <c r="BB1068" s="104"/>
      <c r="BC1068" s="102"/>
      <c r="BD1068" s="102"/>
      <c r="BE1068" s="102"/>
      <c r="BF1068" s="104"/>
      <c r="BG1068" s="152"/>
      <c r="BH1068" s="103"/>
      <c r="BI1068" s="103"/>
      <c r="BJ1068" s="103"/>
      <c r="BK1068" s="103"/>
      <c r="BL1068" s="103"/>
      <c r="BM1068" s="103"/>
      <c r="BN1068" s="103"/>
      <c r="BO1068" s="103"/>
      <c r="BP1068" s="103"/>
      <c r="BQ1068" s="103"/>
      <c r="BR1068" s="103"/>
      <c r="BS1068" s="104"/>
      <c r="BT1068" s="104"/>
      <c r="BU1068" s="104"/>
      <c r="BV1068" s="104"/>
      <c r="BW1068" s="104"/>
      <c r="BX1068" s="104"/>
      <c r="BY1068" s="104"/>
      <c r="BZ1068" s="104"/>
      <c r="CA1068" s="104"/>
      <c r="CB1068" s="104"/>
      <c r="CC1068" s="103"/>
      <c r="CD1068" s="103"/>
      <c r="CE1068" s="103"/>
      <c r="CF1068" s="103"/>
      <c r="CG1068" s="103"/>
      <c r="CH1068" s="133"/>
      <c r="CI1068" s="133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O1068" s="1"/>
      <c r="EP1068" s="103"/>
      <c r="EQ1068" s="103"/>
      <c r="ER1068" s="1"/>
      <c r="ES1068" s="103"/>
      <c r="ET1068" s="1"/>
      <c r="EU1068" s="1"/>
      <c r="EV1068" s="1"/>
      <c r="EW1068" s="105"/>
    </row>
    <row r="1069" spans="9:153">
      <c r="I1069" s="132"/>
      <c r="J1069" s="133"/>
      <c r="K1069" s="1"/>
      <c r="L1069" s="1"/>
      <c r="Q1069" s="1"/>
      <c r="R1069" s="1"/>
      <c r="S1069" s="103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53"/>
      <c r="AN1069" s="103"/>
      <c r="AO1069" s="103"/>
      <c r="AP1069" s="103"/>
      <c r="AQ1069" s="31"/>
      <c r="AR1069" s="31"/>
      <c r="AS1069" s="31"/>
      <c r="AT1069" s="30"/>
      <c r="AU1069" s="30"/>
      <c r="AV1069" s="103"/>
      <c r="AW1069" s="103"/>
      <c r="AX1069" s="103"/>
      <c r="AY1069" s="103"/>
      <c r="AZ1069" s="103"/>
      <c r="BA1069" s="103"/>
      <c r="BB1069" s="104"/>
      <c r="BC1069" s="102"/>
      <c r="BD1069" s="102"/>
      <c r="BE1069" s="102"/>
      <c r="BF1069" s="104"/>
      <c r="BG1069" s="152"/>
      <c r="BH1069" s="103"/>
      <c r="BI1069" s="103"/>
      <c r="BJ1069" s="103"/>
      <c r="BK1069" s="103"/>
      <c r="BL1069" s="103"/>
      <c r="BM1069" s="103"/>
      <c r="BN1069" s="103"/>
      <c r="BO1069" s="103"/>
      <c r="BP1069" s="103"/>
      <c r="BQ1069" s="103"/>
      <c r="BR1069" s="103"/>
      <c r="BS1069" s="104"/>
      <c r="BT1069" s="104"/>
      <c r="BU1069" s="104"/>
      <c r="BV1069" s="104"/>
      <c r="BW1069" s="104"/>
      <c r="BX1069" s="104"/>
      <c r="BY1069" s="104"/>
      <c r="BZ1069" s="104"/>
      <c r="CA1069" s="104"/>
      <c r="CB1069" s="104"/>
      <c r="CC1069" s="103"/>
      <c r="CD1069" s="103"/>
      <c r="CE1069" s="103"/>
      <c r="CF1069" s="103"/>
      <c r="CG1069" s="103"/>
      <c r="CH1069" s="133"/>
      <c r="CI1069" s="133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O1069" s="1"/>
      <c r="EP1069" s="103"/>
      <c r="EQ1069" s="103"/>
      <c r="ER1069" s="1"/>
      <c r="ES1069" s="103"/>
      <c r="ET1069" s="1"/>
      <c r="EU1069" s="1"/>
      <c r="EV1069" s="1"/>
      <c r="EW1069" s="105"/>
    </row>
    <row r="1070" spans="9:153">
      <c r="I1070" s="132"/>
      <c r="J1070" s="133"/>
      <c r="K1070" s="1"/>
      <c r="L1070" s="1"/>
      <c r="Q1070" s="1"/>
      <c r="R1070" s="1"/>
      <c r="S1070" s="103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53"/>
      <c r="AN1070" s="103"/>
      <c r="AO1070" s="103"/>
      <c r="AP1070" s="103"/>
      <c r="AQ1070" s="31"/>
      <c r="AR1070" s="31"/>
      <c r="AS1070" s="31"/>
      <c r="AT1070" s="30"/>
      <c r="AU1070" s="30"/>
      <c r="AV1070" s="103"/>
      <c r="AW1070" s="103"/>
      <c r="AX1070" s="103"/>
      <c r="AY1070" s="103"/>
      <c r="AZ1070" s="103"/>
      <c r="BA1070" s="103"/>
      <c r="BB1070" s="104"/>
      <c r="BC1070" s="102"/>
      <c r="BD1070" s="102"/>
      <c r="BE1070" s="102"/>
      <c r="BF1070" s="104"/>
      <c r="BG1070" s="152"/>
      <c r="BH1070" s="103"/>
      <c r="BI1070" s="103"/>
      <c r="BJ1070" s="103"/>
      <c r="BK1070" s="103"/>
      <c r="BL1070" s="103"/>
      <c r="BM1070" s="103"/>
      <c r="BN1070" s="103"/>
      <c r="BO1070" s="103"/>
      <c r="BP1070" s="103"/>
      <c r="BQ1070" s="103"/>
      <c r="BR1070" s="103"/>
      <c r="BS1070" s="104"/>
      <c r="BT1070" s="104"/>
      <c r="BU1070" s="104"/>
      <c r="BV1070" s="104"/>
      <c r="BW1070" s="104"/>
      <c r="BX1070" s="104"/>
      <c r="BY1070" s="104"/>
      <c r="BZ1070" s="104"/>
      <c r="CA1070" s="104"/>
      <c r="CB1070" s="104"/>
      <c r="CC1070" s="103"/>
      <c r="CD1070" s="103"/>
      <c r="CE1070" s="103"/>
      <c r="CF1070" s="103"/>
      <c r="CG1070" s="103"/>
      <c r="CH1070" s="133"/>
      <c r="CI1070" s="133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O1070" s="1"/>
      <c r="EP1070" s="103"/>
      <c r="EQ1070" s="103"/>
      <c r="ER1070" s="1"/>
      <c r="ES1070" s="103"/>
      <c r="ET1070" s="1"/>
      <c r="EU1070" s="1"/>
      <c r="EV1070" s="1"/>
      <c r="EW1070" s="105"/>
    </row>
    <row r="1071" spans="9:153">
      <c r="I1071" s="132"/>
      <c r="J1071" s="133"/>
      <c r="K1071" s="1"/>
      <c r="L1071" s="1"/>
      <c r="Q1071" s="1"/>
      <c r="R1071" s="1"/>
      <c r="S1071" s="103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53"/>
      <c r="AN1071" s="103"/>
      <c r="AO1071" s="103"/>
      <c r="AP1071" s="103"/>
      <c r="AQ1071" s="31"/>
      <c r="AR1071" s="31"/>
      <c r="AS1071" s="31"/>
      <c r="AT1071" s="30"/>
      <c r="AU1071" s="30"/>
      <c r="AV1071" s="103"/>
      <c r="AW1071" s="103"/>
      <c r="AX1071" s="103"/>
      <c r="AY1071" s="103"/>
      <c r="AZ1071" s="103"/>
      <c r="BA1071" s="103"/>
      <c r="BB1071" s="104"/>
      <c r="BC1071" s="102"/>
      <c r="BD1071" s="102"/>
      <c r="BE1071" s="102"/>
      <c r="BF1071" s="104"/>
      <c r="BG1071" s="152"/>
      <c r="BH1071" s="103"/>
      <c r="BI1071" s="103"/>
      <c r="BJ1071" s="103"/>
      <c r="BK1071" s="103"/>
      <c r="BL1071" s="103"/>
      <c r="BM1071" s="103"/>
      <c r="BN1071" s="103"/>
      <c r="BO1071" s="103"/>
      <c r="BP1071" s="103"/>
      <c r="BQ1071" s="103"/>
      <c r="BR1071" s="103"/>
      <c r="BS1071" s="104"/>
      <c r="BT1071" s="104"/>
      <c r="BU1071" s="104"/>
      <c r="BV1071" s="104"/>
      <c r="BW1071" s="104"/>
      <c r="BX1071" s="104"/>
      <c r="BY1071" s="104"/>
      <c r="BZ1071" s="104"/>
      <c r="CA1071" s="104"/>
      <c r="CB1071" s="104"/>
      <c r="CC1071" s="103"/>
      <c r="CD1071" s="103"/>
      <c r="CE1071" s="103"/>
      <c r="CF1071" s="103"/>
      <c r="CG1071" s="103"/>
      <c r="CH1071" s="133"/>
      <c r="CI1071" s="133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O1071" s="1"/>
      <c r="EP1071" s="103"/>
      <c r="EQ1071" s="103"/>
      <c r="ER1071" s="1"/>
      <c r="ES1071" s="103"/>
      <c r="ET1071" s="1"/>
      <c r="EU1071" s="1"/>
      <c r="EV1071" s="1"/>
      <c r="EW1071" s="105"/>
    </row>
    <row r="1072" spans="9:153">
      <c r="I1072" s="132"/>
      <c r="J1072" s="133"/>
      <c r="K1072" s="1"/>
      <c r="L1072" s="1"/>
      <c r="Q1072" s="1"/>
      <c r="R1072" s="1"/>
      <c r="S1072" s="103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53"/>
      <c r="AN1072" s="103"/>
      <c r="AO1072" s="103"/>
      <c r="AP1072" s="103"/>
      <c r="AQ1072" s="31"/>
      <c r="AR1072" s="31"/>
      <c r="AS1072" s="31"/>
      <c r="AT1072" s="30"/>
      <c r="AU1072" s="30"/>
      <c r="AV1072" s="103"/>
      <c r="AW1072" s="103"/>
      <c r="AX1072" s="103"/>
      <c r="AY1072" s="103"/>
      <c r="AZ1072" s="103"/>
      <c r="BA1072" s="103"/>
      <c r="BB1072" s="104"/>
      <c r="BC1072" s="102"/>
      <c r="BD1072" s="102"/>
      <c r="BE1072" s="102"/>
      <c r="BF1072" s="104"/>
      <c r="BG1072" s="152"/>
      <c r="BH1072" s="103"/>
      <c r="BI1072" s="103"/>
      <c r="BJ1072" s="103"/>
      <c r="BK1072" s="103"/>
      <c r="BL1072" s="103"/>
      <c r="BM1072" s="103"/>
      <c r="BN1072" s="103"/>
      <c r="BO1072" s="103"/>
      <c r="BP1072" s="103"/>
      <c r="BQ1072" s="103"/>
      <c r="BR1072" s="103"/>
      <c r="BS1072" s="104"/>
      <c r="BT1072" s="104"/>
      <c r="BU1072" s="104"/>
      <c r="BV1072" s="104"/>
      <c r="BW1072" s="104"/>
      <c r="BX1072" s="104"/>
      <c r="BY1072" s="104"/>
      <c r="BZ1072" s="104"/>
      <c r="CA1072" s="104"/>
      <c r="CB1072" s="104"/>
      <c r="CC1072" s="103"/>
      <c r="CD1072" s="103"/>
      <c r="CE1072" s="103"/>
      <c r="CF1072" s="103"/>
      <c r="CG1072" s="103"/>
      <c r="CH1072" s="133"/>
      <c r="CI1072" s="133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O1072" s="1"/>
      <c r="EP1072" s="103"/>
      <c r="EQ1072" s="103"/>
      <c r="ER1072" s="1"/>
      <c r="ES1072" s="103"/>
      <c r="ET1072" s="1"/>
      <c r="EU1072" s="1"/>
      <c r="EV1072" s="1"/>
      <c r="EW1072" s="105"/>
    </row>
    <row r="1073" spans="9:153">
      <c r="I1073" s="132"/>
      <c r="J1073" s="133"/>
      <c r="K1073" s="1"/>
      <c r="L1073" s="1"/>
      <c r="Q1073" s="1"/>
      <c r="R1073" s="1"/>
      <c r="S1073" s="103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53"/>
      <c r="AN1073" s="103"/>
      <c r="AO1073" s="103"/>
      <c r="AP1073" s="103"/>
      <c r="AQ1073" s="31"/>
      <c r="AR1073" s="31"/>
      <c r="AS1073" s="31"/>
      <c r="AT1073" s="30"/>
      <c r="AU1073" s="30"/>
      <c r="AV1073" s="103"/>
      <c r="AW1073" s="103"/>
      <c r="AX1073" s="103"/>
      <c r="AY1073" s="103"/>
      <c r="AZ1073" s="103"/>
      <c r="BA1073" s="103"/>
      <c r="BB1073" s="104"/>
      <c r="BC1073" s="102"/>
      <c r="BD1073" s="102"/>
      <c r="BE1073" s="102"/>
      <c r="BF1073" s="104"/>
      <c r="BG1073" s="152"/>
      <c r="BH1073" s="103"/>
      <c r="BI1073" s="103"/>
      <c r="BJ1073" s="103"/>
      <c r="BK1073" s="103"/>
      <c r="BL1073" s="103"/>
      <c r="BM1073" s="103"/>
      <c r="BN1073" s="103"/>
      <c r="BO1073" s="103"/>
      <c r="BP1073" s="103"/>
      <c r="BQ1073" s="103"/>
      <c r="BR1073" s="103"/>
      <c r="BS1073" s="104"/>
      <c r="BT1073" s="104"/>
      <c r="BU1073" s="104"/>
      <c r="BV1073" s="104"/>
      <c r="BW1073" s="104"/>
      <c r="BX1073" s="104"/>
      <c r="BY1073" s="104"/>
      <c r="BZ1073" s="104"/>
      <c r="CA1073" s="104"/>
      <c r="CB1073" s="104"/>
      <c r="CC1073" s="103"/>
      <c r="CD1073" s="103"/>
      <c r="CE1073" s="103"/>
      <c r="CF1073" s="103"/>
      <c r="CG1073" s="103"/>
      <c r="CH1073" s="133"/>
      <c r="CI1073" s="133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O1073" s="1"/>
      <c r="EP1073" s="103"/>
      <c r="EQ1073" s="103"/>
      <c r="ER1073" s="1"/>
      <c r="ES1073" s="103"/>
      <c r="ET1073" s="1"/>
      <c r="EU1073" s="1"/>
      <c r="EV1073" s="1"/>
      <c r="EW1073" s="105"/>
    </row>
    <row r="1074" spans="9:153">
      <c r="I1074" s="132"/>
      <c r="J1074" s="133"/>
      <c r="K1074" s="1"/>
      <c r="L1074" s="1"/>
      <c r="Q1074" s="1"/>
      <c r="R1074" s="1"/>
      <c r="S1074" s="103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53"/>
      <c r="AN1074" s="103"/>
      <c r="AO1074" s="103"/>
      <c r="AP1074" s="103"/>
      <c r="AQ1074" s="31"/>
      <c r="AR1074" s="31"/>
      <c r="AS1074" s="31"/>
      <c r="AT1074" s="30"/>
      <c r="AU1074" s="30"/>
      <c r="AV1074" s="103"/>
      <c r="AW1074" s="103"/>
      <c r="AX1074" s="103"/>
      <c r="AY1074" s="103"/>
      <c r="AZ1074" s="103"/>
      <c r="BA1074" s="103"/>
      <c r="BB1074" s="104"/>
      <c r="BC1074" s="102"/>
      <c r="BD1074" s="102"/>
      <c r="BE1074" s="102"/>
      <c r="BF1074" s="104"/>
      <c r="BG1074" s="152"/>
      <c r="BH1074" s="103"/>
      <c r="BI1074" s="103"/>
      <c r="BJ1074" s="103"/>
      <c r="BK1074" s="103"/>
      <c r="BL1074" s="103"/>
      <c r="BM1074" s="103"/>
      <c r="BN1074" s="103"/>
      <c r="BO1074" s="103"/>
      <c r="BP1074" s="103"/>
      <c r="BQ1074" s="103"/>
      <c r="BR1074" s="103"/>
      <c r="BS1074" s="104"/>
      <c r="BT1074" s="104"/>
      <c r="BU1074" s="104"/>
      <c r="BV1074" s="104"/>
      <c r="BW1074" s="104"/>
      <c r="BX1074" s="104"/>
      <c r="BY1074" s="104"/>
      <c r="BZ1074" s="104"/>
      <c r="CA1074" s="104"/>
      <c r="CB1074" s="104"/>
      <c r="CC1074" s="103"/>
      <c r="CD1074" s="103"/>
      <c r="CE1074" s="103"/>
      <c r="CF1074" s="103"/>
      <c r="CG1074" s="103"/>
      <c r="CH1074" s="133"/>
      <c r="CI1074" s="133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O1074" s="1"/>
      <c r="EP1074" s="103"/>
      <c r="EQ1074" s="103"/>
      <c r="ER1074" s="1"/>
      <c r="ES1074" s="103"/>
      <c r="ET1074" s="1"/>
      <c r="EU1074" s="1"/>
      <c r="EV1074" s="1"/>
      <c r="EW1074" s="105"/>
    </row>
    <row r="1075" spans="9:153">
      <c r="I1075" s="132"/>
      <c r="J1075" s="133"/>
      <c r="K1075" s="1"/>
      <c r="L1075" s="1"/>
      <c r="Q1075" s="1"/>
      <c r="R1075" s="1"/>
      <c r="S1075" s="103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53"/>
      <c r="AN1075" s="103"/>
      <c r="AO1075" s="103"/>
      <c r="AP1075" s="103"/>
      <c r="AQ1075" s="31"/>
      <c r="AR1075" s="31"/>
      <c r="AS1075" s="31"/>
      <c r="AT1075" s="30"/>
      <c r="AU1075" s="30"/>
      <c r="AV1075" s="103"/>
      <c r="AW1075" s="103"/>
      <c r="AX1075" s="103"/>
      <c r="AY1075" s="103"/>
      <c r="AZ1075" s="103"/>
      <c r="BA1075" s="103"/>
      <c r="BB1075" s="104"/>
      <c r="BC1075" s="102"/>
      <c r="BD1075" s="102"/>
      <c r="BE1075" s="102"/>
      <c r="BF1075" s="104"/>
      <c r="BG1075" s="152"/>
      <c r="BH1075" s="103"/>
      <c r="BI1075" s="103"/>
      <c r="BJ1075" s="103"/>
      <c r="BK1075" s="103"/>
      <c r="BL1075" s="103"/>
      <c r="BM1075" s="103"/>
      <c r="BN1075" s="103"/>
      <c r="BO1075" s="103"/>
      <c r="BP1075" s="103"/>
      <c r="BQ1075" s="103"/>
      <c r="BR1075" s="103"/>
      <c r="BS1075" s="104"/>
      <c r="BT1075" s="104"/>
      <c r="BU1075" s="104"/>
      <c r="BV1075" s="104"/>
      <c r="BW1075" s="104"/>
      <c r="BX1075" s="104"/>
      <c r="BY1075" s="104"/>
      <c r="BZ1075" s="104"/>
      <c r="CA1075" s="104"/>
      <c r="CB1075" s="104"/>
      <c r="CC1075" s="103"/>
      <c r="CD1075" s="103"/>
      <c r="CE1075" s="103"/>
      <c r="CF1075" s="103"/>
      <c r="CG1075" s="103"/>
      <c r="CH1075" s="133"/>
      <c r="CI1075" s="133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O1075" s="1"/>
      <c r="EP1075" s="103"/>
      <c r="EQ1075" s="103"/>
      <c r="ER1075" s="1"/>
      <c r="ES1075" s="103"/>
      <c r="ET1075" s="1"/>
      <c r="EU1075" s="1"/>
      <c r="EV1075" s="1"/>
      <c r="EW1075" s="105"/>
    </row>
    <row r="1076" spans="9:153">
      <c r="I1076" s="132"/>
      <c r="J1076" s="133"/>
      <c r="K1076" s="1"/>
      <c r="L1076" s="1"/>
      <c r="Q1076" s="1"/>
      <c r="R1076" s="1"/>
      <c r="S1076" s="103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53"/>
      <c r="AN1076" s="103"/>
      <c r="AO1076" s="103"/>
      <c r="AP1076" s="103"/>
      <c r="AQ1076" s="31"/>
      <c r="AR1076" s="31"/>
      <c r="AS1076" s="31"/>
      <c r="AT1076" s="30"/>
      <c r="AU1076" s="30"/>
      <c r="AV1076" s="103"/>
      <c r="AW1076" s="103"/>
      <c r="AX1076" s="103"/>
      <c r="AY1076" s="103"/>
      <c r="AZ1076" s="103"/>
      <c r="BA1076" s="103"/>
      <c r="BB1076" s="104"/>
      <c r="BC1076" s="102"/>
      <c r="BD1076" s="102"/>
      <c r="BE1076" s="102"/>
      <c r="BF1076" s="104"/>
      <c r="BG1076" s="152"/>
      <c r="BH1076" s="103"/>
      <c r="BI1076" s="103"/>
      <c r="BJ1076" s="103"/>
      <c r="BK1076" s="103"/>
      <c r="BL1076" s="103"/>
      <c r="BM1076" s="103"/>
      <c r="BN1076" s="103"/>
      <c r="BO1076" s="103"/>
      <c r="BP1076" s="103"/>
      <c r="BQ1076" s="103"/>
      <c r="BR1076" s="103"/>
      <c r="BS1076" s="104"/>
      <c r="BT1076" s="104"/>
      <c r="BU1076" s="104"/>
      <c r="BV1076" s="104"/>
      <c r="BW1076" s="104"/>
      <c r="BX1076" s="104"/>
      <c r="BY1076" s="104"/>
      <c r="BZ1076" s="104"/>
      <c r="CA1076" s="104"/>
      <c r="CB1076" s="104"/>
      <c r="CC1076" s="103"/>
      <c r="CD1076" s="103"/>
      <c r="CE1076" s="103"/>
      <c r="CF1076" s="103"/>
      <c r="CG1076" s="103"/>
      <c r="CH1076" s="133"/>
      <c r="CI1076" s="133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O1076" s="1"/>
      <c r="EP1076" s="103"/>
      <c r="EQ1076" s="103"/>
      <c r="ER1076" s="1"/>
      <c r="ES1076" s="103"/>
      <c r="ET1076" s="1"/>
      <c r="EU1076" s="1"/>
      <c r="EV1076" s="1"/>
      <c r="EW1076" s="105"/>
    </row>
    <row r="1077" spans="9:153">
      <c r="I1077" s="132"/>
      <c r="J1077" s="133"/>
      <c r="K1077" s="1"/>
      <c r="L1077" s="1"/>
      <c r="Q1077" s="1"/>
      <c r="R1077" s="1"/>
      <c r="S1077" s="103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53"/>
      <c r="AN1077" s="103"/>
      <c r="AO1077" s="103"/>
      <c r="AP1077" s="103"/>
      <c r="AQ1077" s="31"/>
      <c r="AR1077" s="31"/>
      <c r="AS1077" s="31"/>
      <c r="AT1077" s="30"/>
      <c r="AU1077" s="30"/>
      <c r="AV1077" s="103"/>
      <c r="AW1077" s="103"/>
      <c r="AX1077" s="103"/>
      <c r="AY1077" s="103"/>
      <c r="AZ1077" s="103"/>
      <c r="BA1077" s="103"/>
      <c r="BB1077" s="104"/>
      <c r="BC1077" s="102"/>
      <c r="BD1077" s="102"/>
      <c r="BE1077" s="102"/>
      <c r="BF1077" s="104"/>
      <c r="BG1077" s="152"/>
      <c r="BH1077" s="103"/>
      <c r="BI1077" s="103"/>
      <c r="BJ1077" s="103"/>
      <c r="BK1077" s="103"/>
      <c r="BL1077" s="103"/>
      <c r="BM1077" s="103"/>
      <c r="BN1077" s="103"/>
      <c r="BO1077" s="103"/>
      <c r="BP1077" s="103"/>
      <c r="BQ1077" s="103"/>
      <c r="BR1077" s="103"/>
      <c r="BS1077" s="104"/>
      <c r="BT1077" s="104"/>
      <c r="BU1077" s="104"/>
      <c r="BV1077" s="104"/>
      <c r="BW1077" s="104"/>
      <c r="BX1077" s="104"/>
      <c r="BY1077" s="104"/>
      <c r="BZ1077" s="104"/>
      <c r="CA1077" s="104"/>
      <c r="CB1077" s="104"/>
      <c r="CC1077" s="103"/>
      <c r="CD1077" s="103"/>
      <c r="CE1077" s="103"/>
      <c r="CF1077" s="103"/>
      <c r="CG1077" s="103"/>
      <c r="CH1077" s="133"/>
      <c r="CI1077" s="133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O1077" s="1"/>
      <c r="EP1077" s="103"/>
      <c r="EQ1077" s="103"/>
      <c r="ER1077" s="1"/>
      <c r="ES1077" s="103"/>
      <c r="ET1077" s="1"/>
      <c r="EU1077" s="1"/>
      <c r="EV1077" s="1"/>
      <c r="EW1077" s="105"/>
    </row>
    <row r="1078" spans="9:153">
      <c r="I1078" s="132"/>
      <c r="J1078" s="133"/>
      <c r="K1078" s="1"/>
      <c r="L1078" s="1"/>
      <c r="Q1078" s="1"/>
      <c r="R1078" s="1"/>
      <c r="S1078" s="103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53"/>
      <c r="AN1078" s="103"/>
      <c r="AO1078" s="103"/>
      <c r="AP1078" s="103"/>
      <c r="AQ1078" s="31"/>
      <c r="AR1078" s="31"/>
      <c r="AS1078" s="31"/>
      <c r="AT1078" s="30"/>
      <c r="AU1078" s="30"/>
      <c r="AV1078" s="103"/>
      <c r="AW1078" s="103"/>
      <c r="AX1078" s="103"/>
      <c r="AY1078" s="103"/>
      <c r="AZ1078" s="103"/>
      <c r="BA1078" s="103"/>
      <c r="BB1078" s="104"/>
      <c r="BC1078" s="102"/>
      <c r="BD1078" s="102"/>
      <c r="BE1078" s="102"/>
      <c r="BF1078" s="104"/>
      <c r="BG1078" s="152"/>
      <c r="BH1078" s="103"/>
      <c r="BI1078" s="103"/>
      <c r="BJ1078" s="103"/>
      <c r="BK1078" s="103"/>
      <c r="BL1078" s="103"/>
      <c r="BM1078" s="103"/>
      <c r="BN1078" s="103"/>
      <c r="BO1078" s="103"/>
      <c r="BP1078" s="103"/>
      <c r="BQ1078" s="103"/>
      <c r="BR1078" s="103"/>
      <c r="BS1078" s="104"/>
      <c r="BT1078" s="104"/>
      <c r="BU1078" s="104"/>
      <c r="BV1078" s="104"/>
      <c r="BW1078" s="104"/>
      <c r="BX1078" s="104"/>
      <c r="BY1078" s="104"/>
      <c r="BZ1078" s="104"/>
      <c r="CA1078" s="104"/>
      <c r="CB1078" s="104"/>
      <c r="CC1078" s="103"/>
      <c r="CD1078" s="103"/>
      <c r="CE1078" s="103"/>
      <c r="CF1078" s="103"/>
      <c r="CG1078" s="103"/>
      <c r="CH1078" s="133"/>
      <c r="CI1078" s="133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O1078" s="1"/>
      <c r="EP1078" s="103"/>
      <c r="EQ1078" s="103"/>
      <c r="ER1078" s="1"/>
      <c r="ES1078" s="103"/>
      <c r="ET1078" s="1"/>
      <c r="EU1078" s="1"/>
      <c r="EV1078" s="1"/>
      <c r="EW1078" s="105"/>
    </row>
    <row r="1079" spans="9:153">
      <c r="I1079" s="132"/>
      <c r="J1079" s="133"/>
      <c r="K1079" s="1"/>
      <c r="L1079" s="1"/>
      <c r="Q1079" s="1"/>
      <c r="R1079" s="1"/>
      <c r="S1079" s="103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53"/>
      <c r="AN1079" s="103"/>
      <c r="AO1079" s="103"/>
      <c r="AP1079" s="103"/>
      <c r="AQ1079" s="31"/>
      <c r="AR1079" s="31"/>
      <c r="AS1079" s="31"/>
      <c r="AT1079" s="30"/>
      <c r="AU1079" s="30"/>
      <c r="AV1079" s="103"/>
      <c r="AW1079" s="103"/>
      <c r="AX1079" s="103"/>
      <c r="AY1079" s="103"/>
      <c r="AZ1079" s="103"/>
      <c r="BA1079" s="103"/>
      <c r="BB1079" s="104"/>
      <c r="BC1079" s="102"/>
      <c r="BD1079" s="102"/>
      <c r="BE1079" s="102"/>
      <c r="BF1079" s="104"/>
      <c r="BG1079" s="152"/>
      <c r="BH1079" s="103"/>
      <c r="BI1079" s="103"/>
      <c r="BJ1079" s="103"/>
      <c r="BK1079" s="103"/>
      <c r="BL1079" s="103"/>
      <c r="BM1079" s="103"/>
      <c r="BN1079" s="103"/>
      <c r="BO1079" s="103"/>
      <c r="BP1079" s="103"/>
      <c r="BQ1079" s="103"/>
      <c r="BR1079" s="103"/>
      <c r="BS1079" s="104"/>
      <c r="BT1079" s="104"/>
      <c r="BU1079" s="104"/>
      <c r="BV1079" s="104"/>
      <c r="BW1079" s="104"/>
      <c r="BX1079" s="104"/>
      <c r="BY1079" s="104"/>
      <c r="BZ1079" s="104"/>
      <c r="CA1079" s="104"/>
      <c r="CB1079" s="104"/>
      <c r="CC1079" s="103"/>
      <c r="CD1079" s="103"/>
      <c r="CE1079" s="103"/>
      <c r="CF1079" s="103"/>
      <c r="CG1079" s="103"/>
      <c r="CH1079" s="133"/>
      <c r="CI1079" s="133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O1079" s="1"/>
      <c r="EP1079" s="103"/>
      <c r="EQ1079" s="103"/>
      <c r="ER1079" s="1"/>
      <c r="ES1079" s="103"/>
      <c r="ET1079" s="1"/>
      <c r="EU1079" s="1"/>
      <c r="EV1079" s="1"/>
      <c r="EW1079" s="105"/>
    </row>
    <row r="1080" spans="9:153">
      <c r="I1080" s="132"/>
      <c r="J1080" s="133"/>
      <c r="K1080" s="1"/>
      <c r="L1080" s="1"/>
      <c r="Q1080" s="1"/>
      <c r="R1080" s="1"/>
      <c r="S1080" s="103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53"/>
      <c r="AN1080" s="103"/>
      <c r="AO1080" s="103"/>
      <c r="AP1080" s="103"/>
      <c r="AQ1080" s="31"/>
      <c r="AR1080" s="31"/>
      <c r="AS1080" s="31"/>
      <c r="AT1080" s="30"/>
      <c r="AU1080" s="30"/>
      <c r="AV1080" s="103"/>
      <c r="AW1080" s="103"/>
      <c r="AX1080" s="103"/>
      <c r="AY1080" s="103"/>
      <c r="AZ1080" s="103"/>
      <c r="BA1080" s="103"/>
      <c r="BB1080" s="104"/>
      <c r="BC1080" s="102"/>
      <c r="BD1080" s="102"/>
      <c r="BE1080" s="102"/>
      <c r="BF1080" s="104"/>
      <c r="BG1080" s="152"/>
      <c r="BH1080" s="103"/>
      <c r="BI1080" s="103"/>
      <c r="BJ1080" s="103"/>
      <c r="BK1080" s="103"/>
      <c r="BL1080" s="103"/>
      <c r="BM1080" s="103"/>
      <c r="BN1080" s="103"/>
      <c r="BO1080" s="103"/>
      <c r="BP1080" s="103"/>
      <c r="BQ1080" s="103"/>
      <c r="BR1080" s="103"/>
      <c r="BS1080" s="104"/>
      <c r="BT1080" s="104"/>
      <c r="BU1080" s="104"/>
      <c r="BV1080" s="104"/>
      <c r="BW1080" s="104"/>
      <c r="BX1080" s="104"/>
      <c r="BY1080" s="104"/>
      <c r="BZ1080" s="104"/>
      <c r="CA1080" s="104"/>
      <c r="CB1080" s="104"/>
      <c r="CC1080" s="103"/>
      <c r="CD1080" s="103"/>
      <c r="CE1080" s="103"/>
      <c r="CF1080" s="103"/>
      <c r="CG1080" s="103"/>
      <c r="CH1080" s="133"/>
      <c r="CI1080" s="133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O1080" s="1"/>
      <c r="EP1080" s="103"/>
      <c r="EQ1080" s="103"/>
      <c r="ER1080" s="1"/>
      <c r="ES1080" s="103"/>
      <c r="ET1080" s="1"/>
      <c r="EU1080" s="1"/>
      <c r="EV1080" s="1"/>
      <c r="EW1080" s="105"/>
    </row>
    <row r="1081" spans="9:153">
      <c r="I1081" s="132"/>
      <c r="J1081" s="133"/>
      <c r="K1081" s="1"/>
      <c r="L1081" s="1"/>
      <c r="Q1081" s="1"/>
      <c r="R1081" s="1"/>
      <c r="S1081" s="103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53"/>
      <c r="AN1081" s="103"/>
      <c r="AO1081" s="103"/>
      <c r="AP1081" s="103"/>
      <c r="AQ1081" s="31"/>
      <c r="AR1081" s="31"/>
      <c r="AS1081" s="31"/>
      <c r="AT1081" s="30"/>
      <c r="AU1081" s="30"/>
      <c r="AV1081" s="103"/>
      <c r="AW1081" s="103"/>
      <c r="AX1081" s="103"/>
      <c r="AY1081" s="103"/>
      <c r="AZ1081" s="103"/>
      <c r="BA1081" s="103"/>
      <c r="BB1081" s="104"/>
      <c r="BC1081" s="102"/>
      <c r="BD1081" s="102"/>
      <c r="BE1081" s="102"/>
      <c r="BF1081" s="104"/>
      <c r="BG1081" s="152"/>
      <c r="BH1081" s="103"/>
      <c r="BI1081" s="103"/>
      <c r="BJ1081" s="103"/>
      <c r="BK1081" s="103"/>
      <c r="BL1081" s="103"/>
      <c r="BM1081" s="103"/>
      <c r="BN1081" s="103"/>
      <c r="BO1081" s="103"/>
      <c r="BP1081" s="103"/>
      <c r="BQ1081" s="103"/>
      <c r="BR1081" s="103"/>
      <c r="BS1081" s="104"/>
      <c r="BT1081" s="104"/>
      <c r="BU1081" s="104"/>
      <c r="BV1081" s="104"/>
      <c r="BW1081" s="104"/>
      <c r="BX1081" s="104"/>
      <c r="BY1081" s="104"/>
      <c r="BZ1081" s="104"/>
      <c r="CA1081" s="104"/>
      <c r="CB1081" s="104"/>
      <c r="CC1081" s="103"/>
      <c r="CD1081" s="103"/>
      <c r="CE1081" s="103"/>
      <c r="CF1081" s="103"/>
      <c r="CG1081" s="103"/>
      <c r="CH1081" s="133"/>
      <c r="CI1081" s="133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O1081" s="1"/>
      <c r="EP1081" s="103"/>
      <c r="EQ1081" s="103"/>
      <c r="ER1081" s="1"/>
      <c r="ES1081" s="103"/>
      <c r="ET1081" s="1"/>
      <c r="EU1081" s="1"/>
      <c r="EV1081" s="1"/>
      <c r="EW1081" s="105"/>
    </row>
    <row r="1082" spans="9:153">
      <c r="I1082" s="132"/>
      <c r="J1082" s="133"/>
      <c r="K1082" s="1"/>
      <c r="L1082" s="1"/>
      <c r="Q1082" s="1"/>
      <c r="R1082" s="1"/>
      <c r="S1082" s="103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53"/>
      <c r="AN1082" s="103"/>
      <c r="AO1082" s="103"/>
      <c r="AP1082" s="103"/>
      <c r="AQ1082" s="31"/>
      <c r="AR1082" s="31"/>
      <c r="AS1082" s="31"/>
      <c r="AT1082" s="30"/>
      <c r="AU1082" s="30"/>
      <c r="AV1082" s="103"/>
      <c r="AW1082" s="103"/>
      <c r="AX1082" s="103"/>
      <c r="AY1082" s="103"/>
      <c r="AZ1082" s="103"/>
      <c r="BA1082" s="103"/>
      <c r="BB1082" s="104"/>
      <c r="BC1082" s="102"/>
      <c r="BD1082" s="102"/>
      <c r="BE1082" s="102"/>
      <c r="BF1082" s="104"/>
      <c r="BG1082" s="152"/>
      <c r="BH1082" s="103"/>
      <c r="BI1082" s="103"/>
      <c r="BJ1082" s="103"/>
      <c r="BK1082" s="103"/>
      <c r="BL1082" s="103"/>
      <c r="BM1082" s="103"/>
      <c r="BN1082" s="103"/>
      <c r="BO1082" s="103"/>
      <c r="BP1082" s="103"/>
      <c r="BQ1082" s="103"/>
      <c r="BR1082" s="103"/>
      <c r="BS1082" s="104"/>
      <c r="BT1082" s="104"/>
      <c r="BU1082" s="104"/>
      <c r="BV1082" s="104"/>
      <c r="BW1082" s="104"/>
      <c r="BX1082" s="104"/>
      <c r="BY1082" s="104"/>
      <c r="BZ1082" s="104"/>
      <c r="CA1082" s="104"/>
      <c r="CB1082" s="104"/>
      <c r="CC1082" s="103"/>
      <c r="CD1082" s="103"/>
      <c r="CE1082" s="103"/>
      <c r="CF1082" s="103"/>
      <c r="CG1082" s="103"/>
      <c r="CH1082" s="133"/>
      <c r="CI1082" s="133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O1082" s="1"/>
      <c r="EP1082" s="103"/>
      <c r="EQ1082" s="103"/>
      <c r="ER1082" s="1"/>
      <c r="ES1082" s="103"/>
      <c r="ET1082" s="1"/>
      <c r="EU1082" s="1"/>
      <c r="EV1082" s="1"/>
      <c r="EW1082" s="105"/>
    </row>
    <row r="1083" spans="9:153">
      <c r="I1083" s="132"/>
      <c r="J1083" s="133"/>
      <c r="K1083" s="1"/>
      <c r="L1083" s="1"/>
      <c r="Q1083" s="1"/>
      <c r="R1083" s="1"/>
      <c r="S1083" s="103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53"/>
      <c r="AN1083" s="103"/>
      <c r="AO1083" s="103"/>
      <c r="AP1083" s="103"/>
      <c r="AQ1083" s="31"/>
      <c r="AR1083" s="31"/>
      <c r="AS1083" s="31"/>
      <c r="AT1083" s="30"/>
      <c r="AU1083" s="30"/>
      <c r="AV1083" s="103"/>
      <c r="AW1083" s="103"/>
      <c r="AX1083" s="103"/>
      <c r="AY1083" s="103"/>
      <c r="AZ1083" s="103"/>
      <c r="BA1083" s="103"/>
      <c r="BB1083" s="104"/>
      <c r="BC1083" s="102"/>
      <c r="BD1083" s="102"/>
      <c r="BE1083" s="102"/>
      <c r="BF1083" s="104"/>
      <c r="BG1083" s="152"/>
      <c r="BH1083" s="103"/>
      <c r="BI1083" s="103"/>
      <c r="BJ1083" s="103"/>
      <c r="BK1083" s="103"/>
      <c r="BL1083" s="103"/>
      <c r="BM1083" s="103"/>
      <c r="BN1083" s="103"/>
      <c r="BO1083" s="103"/>
      <c r="BP1083" s="103"/>
      <c r="BQ1083" s="103"/>
      <c r="BR1083" s="103"/>
      <c r="BS1083" s="104"/>
      <c r="BT1083" s="104"/>
      <c r="BU1083" s="104"/>
      <c r="BV1083" s="104"/>
      <c r="BW1083" s="104"/>
      <c r="BX1083" s="104"/>
      <c r="BY1083" s="104"/>
      <c r="BZ1083" s="104"/>
      <c r="CA1083" s="104"/>
      <c r="CB1083" s="104"/>
      <c r="CC1083" s="103"/>
      <c r="CD1083" s="103"/>
      <c r="CE1083" s="103"/>
      <c r="CF1083" s="103"/>
      <c r="CG1083" s="103"/>
      <c r="CH1083" s="133"/>
      <c r="CI1083" s="133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O1083" s="1"/>
      <c r="EP1083" s="103"/>
      <c r="EQ1083" s="103"/>
      <c r="ER1083" s="1"/>
      <c r="ES1083" s="103"/>
      <c r="ET1083" s="1"/>
      <c r="EU1083" s="1"/>
      <c r="EV1083" s="1"/>
      <c r="EW1083" s="105"/>
    </row>
    <row r="1084" spans="9:153">
      <c r="I1084" s="132"/>
      <c r="J1084" s="133"/>
      <c r="K1084" s="1"/>
      <c r="L1084" s="1"/>
      <c r="Q1084" s="1"/>
      <c r="R1084" s="1"/>
      <c r="S1084" s="103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53"/>
      <c r="AN1084" s="103"/>
      <c r="AO1084" s="103"/>
      <c r="AP1084" s="103"/>
      <c r="AQ1084" s="31"/>
      <c r="AR1084" s="31"/>
      <c r="AS1084" s="31"/>
      <c r="AT1084" s="30"/>
      <c r="AU1084" s="30"/>
      <c r="AV1084" s="103"/>
      <c r="AW1084" s="103"/>
      <c r="AX1084" s="103"/>
      <c r="AY1084" s="103"/>
      <c r="AZ1084" s="103"/>
      <c r="BA1084" s="103"/>
      <c r="BB1084" s="104"/>
      <c r="BC1084" s="102"/>
      <c r="BD1084" s="102"/>
      <c r="BE1084" s="102"/>
      <c r="BF1084" s="104"/>
      <c r="BG1084" s="152"/>
      <c r="BH1084" s="103"/>
      <c r="BI1084" s="103"/>
      <c r="BJ1084" s="103"/>
      <c r="BK1084" s="103"/>
      <c r="BL1084" s="103"/>
      <c r="BM1084" s="103"/>
      <c r="BN1084" s="103"/>
      <c r="BO1084" s="103"/>
      <c r="BP1084" s="103"/>
      <c r="BQ1084" s="103"/>
      <c r="BR1084" s="103"/>
      <c r="BS1084" s="104"/>
      <c r="BT1084" s="104"/>
      <c r="BU1084" s="104"/>
      <c r="BV1084" s="104"/>
      <c r="BW1084" s="104"/>
      <c r="BX1084" s="104"/>
      <c r="BY1084" s="104"/>
      <c r="BZ1084" s="104"/>
      <c r="CA1084" s="104"/>
      <c r="CB1084" s="104"/>
      <c r="CC1084" s="103"/>
      <c r="CD1084" s="103"/>
      <c r="CE1084" s="103"/>
      <c r="CF1084" s="103"/>
      <c r="CG1084" s="103"/>
      <c r="CH1084" s="133"/>
      <c r="CI1084" s="133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O1084" s="1"/>
      <c r="EP1084" s="103"/>
      <c r="EQ1084" s="103"/>
      <c r="ER1084" s="1"/>
      <c r="ES1084" s="103"/>
      <c r="ET1084" s="1"/>
      <c r="EU1084" s="1"/>
      <c r="EV1084" s="1"/>
      <c r="EW1084" s="105"/>
    </row>
    <row r="1085" spans="9:153">
      <c r="AM1085" s="53"/>
      <c r="ET1085" s="1"/>
      <c r="EU1085" s="1"/>
      <c r="EV1085" s="1"/>
    </row>
    <row r="1086" spans="9:153">
      <c r="AM1086" s="53"/>
    </row>
    <row r="1087" spans="9:153">
      <c r="AM1087" s="53"/>
    </row>
    <row r="1088" spans="9:153">
      <c r="AM1088" s="53"/>
    </row>
    <row r="1089" spans="39:39">
      <c r="AM1089" s="53"/>
    </row>
    <row r="1090" spans="39:39">
      <c r="AM1090" s="53"/>
    </row>
    <row r="1091" spans="39:39">
      <c r="AM1091" s="53"/>
    </row>
    <row r="1092" spans="39:39">
      <c r="AM1092" s="53"/>
    </row>
    <row r="1093" spans="39:39">
      <c r="AM1093" s="53"/>
    </row>
    <row r="1094" spans="39:39">
      <c r="AM1094" s="53"/>
    </row>
    <row r="1095" spans="39:39">
      <c r="AM1095" s="53"/>
    </row>
    <row r="1096" spans="39:39">
      <c r="AM1096" s="53"/>
    </row>
    <row r="1097" spans="39:39">
      <c r="AM1097" s="53"/>
    </row>
    <row r="1098" spans="39:39">
      <c r="AM1098" s="53"/>
    </row>
    <row r="1099" spans="39:39">
      <c r="AM1099" s="53"/>
    </row>
    <row r="1100" spans="39:39">
      <c r="AM1100" s="53"/>
    </row>
    <row r="1101" spans="39:39">
      <c r="AM1101" s="53"/>
    </row>
    <row r="1102" spans="39:39">
      <c r="AM1102" s="53"/>
    </row>
    <row r="1103" spans="39:39">
      <c r="AM1103" s="53"/>
    </row>
    <row r="1104" spans="39:39">
      <c r="AM1104" s="53"/>
    </row>
    <row r="1105" spans="39:39">
      <c r="AM1105" s="53"/>
    </row>
    <row r="1106" spans="39:39">
      <c r="AM1106" s="53"/>
    </row>
    <row r="1107" spans="39:39">
      <c r="AM1107" s="53"/>
    </row>
    <row r="1108" spans="39:39">
      <c r="AM1108" s="53"/>
    </row>
    <row r="1109" spans="39:39">
      <c r="AM1109" s="53"/>
    </row>
    <row r="1110" spans="39:39">
      <c r="AM1110" s="53"/>
    </row>
    <row r="1111" spans="39:39">
      <c r="AM1111" s="53"/>
    </row>
    <row r="1112" spans="39:39">
      <c r="AM1112" s="53"/>
    </row>
    <row r="1113" spans="39:39">
      <c r="AM1113" s="53"/>
    </row>
    <row r="1114" spans="39:39">
      <c r="AM1114" s="53"/>
    </row>
    <row r="1115" spans="39:39">
      <c r="AM1115" s="53"/>
    </row>
    <row r="1116" spans="39:39">
      <c r="AM1116" s="53"/>
    </row>
    <row r="1117" spans="39:39">
      <c r="AM1117" s="53"/>
    </row>
    <row r="1118" spans="39:39">
      <c r="AM1118" s="53"/>
    </row>
    <row r="1119" spans="39:39">
      <c r="AM1119" s="53"/>
    </row>
    <row r="1120" spans="39:39">
      <c r="AM1120" s="53"/>
    </row>
    <row r="1121" spans="39:39">
      <c r="AM1121" s="53"/>
    </row>
    <row r="1122" spans="39:39">
      <c r="AM1122" s="53"/>
    </row>
    <row r="1123" spans="39:39">
      <c r="AM1123" s="53"/>
    </row>
    <row r="1124" spans="39:39">
      <c r="AM1124" s="53"/>
    </row>
    <row r="1125" spans="39:39">
      <c r="AM1125" s="53"/>
    </row>
    <row r="1126" spans="39:39">
      <c r="AM1126" s="53"/>
    </row>
    <row r="1127" spans="39:39">
      <c r="AM1127" s="53"/>
    </row>
    <row r="1128" spans="39:39">
      <c r="AM1128" s="53"/>
    </row>
    <row r="1129" spans="39:39">
      <c r="AM1129" s="53"/>
    </row>
    <row r="1130" spans="39:39">
      <c r="AM1130" s="53"/>
    </row>
    <row r="1131" spans="39:39">
      <c r="AM1131" s="53"/>
    </row>
    <row r="1132" spans="39:39">
      <c r="AM1132" s="53"/>
    </row>
    <row r="1133" spans="39:39">
      <c r="AM1133" s="53"/>
    </row>
    <row r="1134" spans="39:39">
      <c r="AM1134" s="53"/>
    </row>
    <row r="1135" spans="39:39">
      <c r="AM1135" s="53"/>
    </row>
    <row r="1136" spans="39:39">
      <c r="AM1136" s="53"/>
    </row>
    <row r="1137" spans="39:39">
      <c r="AM1137" s="53"/>
    </row>
    <row r="1138" spans="39:39">
      <c r="AM1138" s="53"/>
    </row>
    <row r="1139" spans="39:39">
      <c r="AM1139" s="53"/>
    </row>
    <row r="1140" spans="39:39">
      <c r="AM1140" s="53"/>
    </row>
    <row r="1141" spans="39:39">
      <c r="AM1141" s="53"/>
    </row>
    <row r="1142" spans="39:39">
      <c r="AM1142" s="53"/>
    </row>
    <row r="1143" spans="39:39">
      <c r="AM1143" s="53"/>
    </row>
    <row r="1144" spans="39:39">
      <c r="AM1144" s="53"/>
    </row>
    <row r="1145" spans="39:39">
      <c r="AM1145" s="53"/>
    </row>
    <row r="1146" spans="39:39">
      <c r="AM1146" s="53"/>
    </row>
    <row r="1147" spans="39:39">
      <c r="AM1147" s="53"/>
    </row>
    <row r="1148" spans="39:39">
      <c r="AM1148" s="53"/>
    </row>
    <row r="1149" spans="39:39">
      <c r="AM1149" s="53"/>
    </row>
    <row r="1150" spans="39:39">
      <c r="AM1150" s="53"/>
    </row>
    <row r="1151" spans="39:39">
      <c r="AM1151" s="53"/>
    </row>
    <row r="1152" spans="39:39">
      <c r="AM1152" s="53"/>
    </row>
    <row r="1153" spans="39:39">
      <c r="AM1153" s="53"/>
    </row>
    <row r="1154" spans="39:39">
      <c r="AM1154" s="53"/>
    </row>
    <row r="1155" spans="39:39">
      <c r="AM1155" s="53"/>
    </row>
    <row r="1156" spans="39:39">
      <c r="AM1156" s="53"/>
    </row>
    <row r="1157" spans="39:39">
      <c r="AM1157" s="53"/>
    </row>
    <row r="1158" spans="39:39">
      <c r="AM1158" s="53"/>
    </row>
    <row r="1159" spans="39:39">
      <c r="AM1159" s="53"/>
    </row>
    <row r="1160" spans="39:39">
      <c r="AM1160" s="53"/>
    </row>
    <row r="1161" spans="39:39">
      <c r="AM1161" s="53"/>
    </row>
    <row r="1162" spans="39:39">
      <c r="AM1162" s="53"/>
    </row>
    <row r="1163" spans="39:39">
      <c r="AM1163" s="53"/>
    </row>
    <row r="1164" spans="39:39">
      <c r="AM1164" s="53"/>
    </row>
    <row r="1165" spans="39:39">
      <c r="AM1165" s="53"/>
    </row>
    <row r="1166" spans="39:39">
      <c r="AM1166" s="53"/>
    </row>
    <row r="1167" spans="39:39">
      <c r="AM1167" s="53"/>
    </row>
    <row r="1168" spans="39:39">
      <c r="AM1168" s="53"/>
    </row>
    <row r="1169" spans="39:39">
      <c r="AM1169" s="53"/>
    </row>
    <row r="1170" spans="39:39">
      <c r="AM1170" s="53"/>
    </row>
    <row r="1171" spans="39:39">
      <c r="AM1171" s="53"/>
    </row>
    <row r="1172" spans="39:39">
      <c r="AM1172" s="53"/>
    </row>
    <row r="1173" spans="39:39">
      <c r="AM1173" s="53"/>
    </row>
    <row r="1174" spans="39:39">
      <c r="AM1174" s="53"/>
    </row>
    <row r="1175" spans="39:39">
      <c r="AM1175" s="53"/>
    </row>
    <row r="1176" spans="39:39">
      <c r="AM1176" s="53"/>
    </row>
    <row r="1177" spans="39:39">
      <c r="AM1177" s="53"/>
    </row>
    <row r="1178" spans="39:39">
      <c r="AM1178" s="53"/>
    </row>
    <row r="1179" spans="39:39">
      <c r="AM1179" s="53"/>
    </row>
    <row r="1180" spans="39:39">
      <c r="AM1180" s="53"/>
    </row>
    <row r="1181" spans="39:39">
      <c r="AM1181" s="53"/>
    </row>
    <row r="1182" spans="39:39">
      <c r="AM1182" s="53"/>
    </row>
    <row r="1183" spans="39:39">
      <c r="AM1183" s="53"/>
    </row>
    <row r="1184" spans="39:39">
      <c r="AM1184" s="53"/>
    </row>
    <row r="1185" spans="39:39">
      <c r="AM1185" s="53"/>
    </row>
    <row r="1186" spans="39:39">
      <c r="AM1186" s="53"/>
    </row>
    <row r="1187" spans="39:39">
      <c r="AM1187" s="53"/>
    </row>
    <row r="1188" spans="39:39">
      <c r="AM1188" s="53"/>
    </row>
    <row r="1189" spans="39:39">
      <c r="AM1189" s="53"/>
    </row>
    <row r="1190" spans="39:39">
      <c r="AM1190" s="53"/>
    </row>
    <row r="1191" spans="39:39">
      <c r="AM1191" s="53"/>
    </row>
    <row r="1192" spans="39:39">
      <c r="AM1192" s="53"/>
    </row>
    <row r="1193" spans="39:39">
      <c r="AM1193" s="53"/>
    </row>
    <row r="1194" spans="39:39">
      <c r="AM1194" s="53"/>
    </row>
    <row r="1195" spans="39:39">
      <c r="AM1195" s="53"/>
    </row>
    <row r="1196" spans="39:39">
      <c r="AM1196" s="53"/>
    </row>
    <row r="1197" spans="39:39">
      <c r="AM1197" s="53"/>
    </row>
    <row r="1198" spans="39:39">
      <c r="AM1198" s="53"/>
    </row>
    <row r="1199" spans="39:39">
      <c r="AM1199" s="53"/>
    </row>
    <row r="1200" spans="39:39">
      <c r="AM1200" s="53"/>
    </row>
    <row r="1201" spans="39:39">
      <c r="AM1201" s="53"/>
    </row>
    <row r="1202" spans="39:39">
      <c r="AM1202" s="53"/>
    </row>
    <row r="1203" spans="39:39">
      <c r="AM1203" s="53"/>
    </row>
    <row r="1204" spans="39:39">
      <c r="AM1204" s="53"/>
    </row>
    <row r="1205" spans="39:39">
      <c r="AM1205" s="53"/>
    </row>
    <row r="1206" spans="39:39">
      <c r="AM1206" s="53"/>
    </row>
    <row r="1207" spans="39:39">
      <c r="AM1207" s="53"/>
    </row>
    <row r="1208" spans="39:39">
      <c r="AM1208" s="53"/>
    </row>
    <row r="1209" spans="39:39">
      <c r="AM1209" s="53"/>
    </row>
    <row r="1210" spans="39:39">
      <c r="AM1210" s="53"/>
    </row>
    <row r="1211" spans="39:39">
      <c r="AM1211" s="53"/>
    </row>
    <row r="1212" spans="39:39">
      <c r="AM1212" s="53"/>
    </row>
    <row r="1213" spans="39:39">
      <c r="AM1213" s="53"/>
    </row>
    <row r="1214" spans="39:39">
      <c r="AM1214" s="53"/>
    </row>
    <row r="1215" spans="39:39">
      <c r="AM1215" s="53"/>
    </row>
    <row r="1216" spans="39:39">
      <c r="AM1216" s="53"/>
    </row>
    <row r="1217" spans="39:39">
      <c r="AM1217" s="53"/>
    </row>
    <row r="1218" spans="39:39">
      <c r="AM1218" s="53"/>
    </row>
    <row r="1219" spans="39:39">
      <c r="AM1219" s="53"/>
    </row>
    <row r="1220" spans="39:39">
      <c r="AM1220" s="53"/>
    </row>
    <row r="1221" spans="39:39">
      <c r="AM1221" s="53"/>
    </row>
    <row r="1222" spans="39:39">
      <c r="AM1222" s="53"/>
    </row>
    <row r="1223" spans="39:39">
      <c r="AM1223" s="53"/>
    </row>
    <row r="1224" spans="39:39">
      <c r="AM1224" s="53"/>
    </row>
    <row r="1225" spans="39:39">
      <c r="AM1225" s="53"/>
    </row>
    <row r="1226" spans="39:39">
      <c r="AM1226" s="53"/>
    </row>
    <row r="1227" spans="39:39">
      <c r="AM1227" s="53"/>
    </row>
    <row r="1228" spans="39:39">
      <c r="AM1228" s="53"/>
    </row>
    <row r="1229" spans="39:39">
      <c r="AM1229" s="53"/>
    </row>
    <row r="1230" spans="39:39">
      <c r="AM1230" s="53"/>
    </row>
    <row r="1231" spans="39:39">
      <c r="AM1231" s="53"/>
    </row>
    <row r="1232" spans="39:39">
      <c r="AM1232" s="53"/>
    </row>
    <row r="1233" spans="39:39">
      <c r="AM1233" s="53"/>
    </row>
    <row r="1234" spans="39:39">
      <c r="AM1234" s="53"/>
    </row>
    <row r="1235" spans="39:39">
      <c r="AM1235" s="53"/>
    </row>
    <row r="1236" spans="39:39">
      <c r="AM1236" s="53"/>
    </row>
    <row r="1237" spans="39:39">
      <c r="AM1237" s="53"/>
    </row>
    <row r="1238" spans="39:39">
      <c r="AM1238" s="53"/>
    </row>
    <row r="1239" spans="39:39">
      <c r="AM1239" s="53"/>
    </row>
    <row r="1240" spans="39:39">
      <c r="AM1240" s="53"/>
    </row>
    <row r="1241" spans="39:39">
      <c r="AM1241" s="53"/>
    </row>
    <row r="1242" spans="39:39">
      <c r="AM1242" s="53"/>
    </row>
    <row r="1243" spans="39:39">
      <c r="AM1243" s="53"/>
    </row>
    <row r="1244" spans="39:39">
      <c r="AM1244" s="53"/>
    </row>
    <row r="1245" spans="39:39">
      <c r="AM1245" s="53"/>
    </row>
    <row r="1246" spans="39:39">
      <c r="AM1246" s="53"/>
    </row>
    <row r="1247" spans="39:39">
      <c r="AM1247" s="53"/>
    </row>
    <row r="1248" spans="39:39">
      <c r="AM1248" s="53"/>
    </row>
    <row r="1249" spans="39:39">
      <c r="AM1249" s="53"/>
    </row>
    <row r="1250" spans="39:39">
      <c r="AM1250" s="53"/>
    </row>
    <row r="1251" spans="39:39">
      <c r="AM1251" s="53"/>
    </row>
    <row r="1252" spans="39:39">
      <c r="AM1252" s="53"/>
    </row>
    <row r="1253" spans="39:39">
      <c r="AM1253" s="53"/>
    </row>
    <row r="1254" spans="39:39">
      <c r="AM1254" s="53"/>
    </row>
    <row r="1255" spans="39:39">
      <c r="AM1255" s="53"/>
    </row>
    <row r="1256" spans="39:39">
      <c r="AM1256" s="53"/>
    </row>
    <row r="1257" spans="39:39">
      <c r="AM1257" s="53"/>
    </row>
    <row r="1258" spans="39:39">
      <c r="AM1258" s="53"/>
    </row>
    <row r="1259" spans="39:39">
      <c r="AM1259" s="53"/>
    </row>
    <row r="1260" spans="39:39">
      <c r="AM1260" s="53"/>
    </row>
    <row r="1261" spans="39:39">
      <c r="AM1261" s="53"/>
    </row>
    <row r="1262" spans="39:39">
      <c r="AM1262" s="53"/>
    </row>
    <row r="1263" spans="39:39">
      <c r="AM1263" s="53"/>
    </row>
    <row r="1264" spans="39:39">
      <c r="AM1264" s="53"/>
    </row>
    <row r="1265" spans="39:39">
      <c r="AM1265" s="53"/>
    </row>
    <row r="1266" spans="39:39">
      <c r="AM1266" s="53"/>
    </row>
    <row r="1267" spans="39:39">
      <c r="AM1267" s="53"/>
    </row>
    <row r="1268" spans="39:39">
      <c r="AM1268" s="53"/>
    </row>
    <row r="1269" spans="39:39">
      <c r="AM1269" s="53"/>
    </row>
    <row r="1270" spans="39:39">
      <c r="AM1270" s="53"/>
    </row>
    <row r="1271" spans="39:39">
      <c r="AM1271" s="53"/>
    </row>
    <row r="1272" spans="39:39">
      <c r="AM1272" s="53"/>
    </row>
    <row r="1273" spans="39:39">
      <c r="AM1273" s="53"/>
    </row>
    <row r="1274" spans="39:39">
      <c r="AM1274" s="53"/>
    </row>
    <row r="1275" spans="39:39">
      <c r="AM1275" s="53"/>
    </row>
    <row r="1276" spans="39:39">
      <c r="AM1276" s="53"/>
    </row>
    <row r="1277" spans="39:39">
      <c r="AM1277" s="53"/>
    </row>
    <row r="1278" spans="39:39">
      <c r="AM1278" s="53"/>
    </row>
    <row r="1279" spans="39:39">
      <c r="AM1279" s="53"/>
    </row>
    <row r="1280" spans="39:39">
      <c r="AM1280" s="53"/>
    </row>
    <row r="1281" spans="39:39">
      <c r="AM1281" s="53"/>
    </row>
    <row r="1282" spans="39:39">
      <c r="AM1282" s="53"/>
    </row>
    <row r="1283" spans="39:39">
      <c r="AM1283" s="53"/>
    </row>
    <row r="1284" spans="39:39">
      <c r="AM1284" s="53"/>
    </row>
    <row r="1285" spans="39:39">
      <c r="AM1285" s="53"/>
    </row>
    <row r="1286" spans="39:39">
      <c r="AM1286" s="53"/>
    </row>
    <row r="1287" spans="39:39">
      <c r="AM1287" s="53"/>
    </row>
    <row r="1288" spans="39:39">
      <c r="AM1288" s="53"/>
    </row>
    <row r="1289" spans="39:39">
      <c r="AM1289" s="53"/>
    </row>
    <row r="1290" spans="39:39">
      <c r="AM1290" s="53"/>
    </row>
    <row r="1291" spans="39:39">
      <c r="AM1291" s="53"/>
    </row>
    <row r="1292" spans="39:39">
      <c r="AM1292" s="53"/>
    </row>
    <row r="1293" spans="39:39">
      <c r="AM1293" s="53"/>
    </row>
    <row r="1294" spans="39:39">
      <c r="AM1294" s="53"/>
    </row>
    <row r="1295" spans="39:39">
      <c r="AM1295" s="53"/>
    </row>
    <row r="1296" spans="39:39">
      <c r="AM1296" s="53"/>
    </row>
    <row r="1297" spans="39:39">
      <c r="AM1297" s="53"/>
    </row>
    <row r="1298" spans="39:39">
      <c r="AM1298" s="53"/>
    </row>
    <row r="1299" spans="39:39">
      <c r="AM1299" s="53"/>
    </row>
    <row r="1300" spans="39:39">
      <c r="AM1300" s="53"/>
    </row>
    <row r="1301" spans="39:39">
      <c r="AM1301" s="53"/>
    </row>
    <row r="1302" spans="39:39">
      <c r="AM1302" s="53"/>
    </row>
    <row r="1303" spans="39:39">
      <c r="AM1303" s="53"/>
    </row>
    <row r="1304" spans="39:39">
      <c r="AM1304" s="53"/>
    </row>
    <row r="1305" spans="39:39">
      <c r="AM1305" s="53"/>
    </row>
    <row r="1306" spans="39:39">
      <c r="AM1306" s="53"/>
    </row>
    <row r="1307" spans="39:39">
      <c r="AM1307" s="53"/>
    </row>
    <row r="1308" spans="39:39">
      <c r="AM1308" s="53"/>
    </row>
    <row r="1309" spans="39:39">
      <c r="AM1309" s="53"/>
    </row>
    <row r="1310" spans="39:39">
      <c r="AM1310" s="53"/>
    </row>
    <row r="1311" spans="39:39">
      <c r="AM1311" s="53"/>
    </row>
    <row r="1312" spans="39:39">
      <c r="AM1312" s="53"/>
    </row>
    <row r="1313" spans="39:39">
      <c r="AM1313" s="53"/>
    </row>
    <row r="1314" spans="39:39">
      <c r="AM1314" s="53"/>
    </row>
    <row r="1315" spans="39:39">
      <c r="AM1315" s="53"/>
    </row>
    <row r="1316" spans="39:39">
      <c r="AM1316" s="53"/>
    </row>
    <row r="1317" spans="39:39">
      <c r="AM1317" s="53"/>
    </row>
    <row r="1318" spans="39:39">
      <c r="AM1318" s="53"/>
    </row>
    <row r="1319" spans="39:39">
      <c r="AM1319" s="53"/>
    </row>
    <row r="1320" spans="39:39">
      <c r="AM1320" s="53"/>
    </row>
    <row r="1321" spans="39:39">
      <c r="AM1321" s="53"/>
    </row>
    <row r="1322" spans="39:39">
      <c r="AM1322" s="53"/>
    </row>
    <row r="1323" spans="39:39">
      <c r="AM1323" s="53"/>
    </row>
    <row r="1324" spans="39:39">
      <c r="AM1324" s="53"/>
    </row>
    <row r="1325" spans="39:39">
      <c r="AM1325" s="53"/>
    </row>
    <row r="1326" spans="39:39">
      <c r="AM1326" s="53"/>
    </row>
    <row r="1327" spans="39:39">
      <c r="AM1327" s="53"/>
    </row>
    <row r="1328" spans="39:39">
      <c r="AM1328" s="53"/>
    </row>
    <row r="1329" spans="39:39">
      <c r="AM1329" s="53"/>
    </row>
    <row r="1330" spans="39:39">
      <c r="AM1330" s="53"/>
    </row>
    <row r="1331" spans="39:39">
      <c r="AM1331" s="53"/>
    </row>
    <row r="1332" spans="39:39">
      <c r="AM1332" s="53"/>
    </row>
    <row r="1333" spans="39:39">
      <c r="AM1333" s="53"/>
    </row>
    <row r="1334" spans="39:39">
      <c r="AM1334" s="53"/>
    </row>
    <row r="1335" spans="39:39">
      <c r="AM1335" s="53"/>
    </row>
    <row r="1336" spans="39:39">
      <c r="AM1336" s="53"/>
    </row>
    <row r="1337" spans="39:39">
      <c r="AM1337" s="53"/>
    </row>
    <row r="1338" spans="39:39">
      <c r="AM1338" s="53"/>
    </row>
    <row r="1339" spans="39:39">
      <c r="AM1339" s="53"/>
    </row>
    <row r="1340" spans="39:39">
      <c r="AM1340" s="53"/>
    </row>
    <row r="1341" spans="39:39">
      <c r="AM1341" s="53"/>
    </row>
    <row r="1342" spans="39:39">
      <c r="AM1342" s="53"/>
    </row>
    <row r="1343" spans="39:39">
      <c r="AM1343" s="53"/>
    </row>
    <row r="1344" spans="39:39">
      <c r="AM1344" s="53"/>
    </row>
    <row r="1345" spans="39:39">
      <c r="AM1345" s="53"/>
    </row>
    <row r="1346" spans="39:39">
      <c r="AM1346" s="53"/>
    </row>
    <row r="1347" spans="39:39">
      <c r="AM1347" s="53"/>
    </row>
    <row r="1348" spans="39:39">
      <c r="AM1348" s="53"/>
    </row>
    <row r="1349" spans="39:39">
      <c r="AM1349" s="53"/>
    </row>
    <row r="1350" spans="39:39">
      <c r="AM1350" s="53"/>
    </row>
    <row r="1351" spans="39:39">
      <c r="AM1351" s="53"/>
    </row>
    <row r="1352" spans="39:39">
      <c r="AM1352" s="53"/>
    </row>
    <row r="1353" spans="39:39">
      <c r="AM1353" s="53"/>
    </row>
    <row r="1354" spans="39:39">
      <c r="AM1354" s="53"/>
    </row>
    <row r="1355" spans="39:39">
      <c r="AM1355" s="53"/>
    </row>
    <row r="1356" spans="39:39">
      <c r="AM1356" s="53"/>
    </row>
    <row r="1357" spans="39:39">
      <c r="AM1357" s="53"/>
    </row>
    <row r="1358" spans="39:39">
      <c r="AM1358" s="53"/>
    </row>
    <row r="1359" spans="39:39">
      <c r="AM1359" s="53"/>
    </row>
    <row r="1360" spans="39:39">
      <c r="AM1360" s="53"/>
    </row>
    <row r="1361" spans="39:39">
      <c r="AM1361" s="53"/>
    </row>
    <row r="1362" spans="39:39">
      <c r="AM1362" s="53"/>
    </row>
    <row r="1363" spans="39:39">
      <c r="AM1363" s="53"/>
    </row>
    <row r="1364" spans="39:39">
      <c r="AM1364" s="53"/>
    </row>
    <row r="1365" spans="39:39">
      <c r="AM1365" s="53"/>
    </row>
    <row r="1366" spans="39:39">
      <c r="AM1366" s="53"/>
    </row>
    <row r="1367" spans="39:39">
      <c r="AM1367" s="53"/>
    </row>
    <row r="1368" spans="39:39">
      <c r="AM1368" s="53"/>
    </row>
    <row r="1369" spans="39:39">
      <c r="AM1369" s="53"/>
    </row>
    <row r="1370" spans="39:39">
      <c r="AM1370" s="53"/>
    </row>
    <row r="1371" spans="39:39">
      <c r="AM1371" s="53"/>
    </row>
    <row r="1372" spans="39:39">
      <c r="AM1372" s="53"/>
    </row>
    <row r="1373" spans="39:39">
      <c r="AM1373" s="53"/>
    </row>
    <row r="1374" spans="39:39">
      <c r="AM1374" s="53"/>
    </row>
    <row r="1375" spans="39:39">
      <c r="AM1375" s="53"/>
    </row>
    <row r="1376" spans="39:39">
      <c r="AM1376" s="53"/>
    </row>
    <row r="1377" spans="39:39">
      <c r="AM1377" s="53"/>
    </row>
    <row r="1378" spans="39:39">
      <c r="AM1378" s="53"/>
    </row>
    <row r="1379" spans="39:39">
      <c r="AM1379" s="53"/>
    </row>
    <row r="1380" spans="39:39">
      <c r="AM1380" s="53"/>
    </row>
    <row r="1381" spans="39:39">
      <c r="AM1381" s="53"/>
    </row>
    <row r="1382" spans="39:39">
      <c r="AM1382" s="53"/>
    </row>
    <row r="1383" spans="39:39">
      <c r="AM1383" s="53"/>
    </row>
    <row r="1384" spans="39:39">
      <c r="AM1384" s="53"/>
    </row>
    <row r="1385" spans="39:39">
      <c r="AM1385" s="53"/>
    </row>
    <row r="1386" spans="39:39">
      <c r="AM1386" s="53"/>
    </row>
    <row r="1387" spans="39:39">
      <c r="AM1387" s="53"/>
    </row>
    <row r="1388" spans="39:39">
      <c r="AM1388" s="53"/>
    </row>
    <row r="1389" spans="39:39">
      <c r="AM1389" s="53"/>
    </row>
    <row r="1390" spans="39:39">
      <c r="AM1390" s="53"/>
    </row>
    <row r="1391" spans="39:39">
      <c r="AM1391" s="53"/>
    </row>
    <row r="1392" spans="39:39">
      <c r="AM1392" s="53"/>
    </row>
    <row r="1393" spans="39:39">
      <c r="AM1393" s="53"/>
    </row>
    <row r="1394" spans="39:39">
      <c r="AM1394" s="53"/>
    </row>
    <row r="1395" spans="39:39">
      <c r="AM1395" s="53"/>
    </row>
    <row r="1396" spans="39:39">
      <c r="AM1396" s="53"/>
    </row>
    <row r="1397" spans="39:39">
      <c r="AM1397" s="53"/>
    </row>
    <row r="1398" spans="39:39">
      <c r="AM1398" s="53"/>
    </row>
    <row r="1399" spans="39:39">
      <c r="AM1399" s="53"/>
    </row>
    <row r="1400" spans="39:39">
      <c r="AM1400" s="53"/>
    </row>
    <row r="1401" spans="39:39">
      <c r="AM1401" s="53"/>
    </row>
    <row r="1402" spans="39:39">
      <c r="AM1402" s="53"/>
    </row>
    <row r="1403" spans="39:39">
      <c r="AM1403" s="53"/>
    </row>
    <row r="1404" spans="39:39">
      <c r="AM1404" s="53"/>
    </row>
    <row r="1405" spans="39:39">
      <c r="AM1405" s="53"/>
    </row>
    <row r="1406" spans="39:39">
      <c r="AM1406" s="53"/>
    </row>
    <row r="1407" spans="39:39">
      <c r="AM1407" s="53"/>
    </row>
    <row r="1408" spans="39:39">
      <c r="AM1408" s="53"/>
    </row>
    <row r="1409" spans="39:39">
      <c r="AM1409" s="53"/>
    </row>
    <row r="1410" spans="39:39">
      <c r="AM1410" s="53"/>
    </row>
    <row r="1411" spans="39:39">
      <c r="AM1411" s="53"/>
    </row>
    <row r="1412" spans="39:39">
      <c r="AM1412" s="53"/>
    </row>
    <row r="1413" spans="39:39">
      <c r="AM1413" s="53"/>
    </row>
    <row r="1414" spans="39:39">
      <c r="AM1414" s="53"/>
    </row>
    <row r="1415" spans="39:39">
      <c r="AM1415" s="53"/>
    </row>
    <row r="1416" spans="39:39">
      <c r="AM1416" s="53"/>
    </row>
    <row r="1417" spans="39:39">
      <c r="AM1417" s="53"/>
    </row>
    <row r="1418" spans="39:39">
      <c r="AM1418" s="53"/>
    </row>
    <row r="1419" spans="39:39">
      <c r="AM1419" s="53"/>
    </row>
    <row r="1420" spans="39:39">
      <c r="AM1420" s="53"/>
    </row>
    <row r="1421" spans="39:39">
      <c r="AM1421" s="53"/>
    </row>
    <row r="1422" spans="39:39">
      <c r="AM1422" s="53"/>
    </row>
    <row r="1423" spans="39:39">
      <c r="AM1423" s="53"/>
    </row>
    <row r="1424" spans="39:39">
      <c r="AM1424" s="53"/>
    </row>
    <row r="1425" spans="39:39">
      <c r="AM1425" s="53"/>
    </row>
    <row r="1426" spans="39:39">
      <c r="AM1426" s="53"/>
    </row>
    <row r="1427" spans="39:39">
      <c r="AM1427" s="53"/>
    </row>
    <row r="1428" spans="39:39">
      <c r="AM1428" s="53"/>
    </row>
    <row r="1429" spans="39:39">
      <c r="AM1429" s="53"/>
    </row>
    <row r="1430" spans="39:39">
      <c r="AM1430" s="53"/>
    </row>
    <row r="1431" spans="39:39">
      <c r="AM1431" s="53"/>
    </row>
    <row r="1432" spans="39:39">
      <c r="AM1432" s="53"/>
    </row>
    <row r="1433" spans="39:39">
      <c r="AM1433" s="53"/>
    </row>
    <row r="1434" spans="39:39">
      <c r="AM1434" s="53"/>
    </row>
    <row r="1435" spans="39:39">
      <c r="AM1435" s="53"/>
    </row>
    <row r="1436" spans="39:39">
      <c r="AM1436" s="53"/>
    </row>
    <row r="1437" spans="39:39">
      <c r="AM1437" s="53"/>
    </row>
    <row r="1438" spans="39:39">
      <c r="AM1438" s="53"/>
    </row>
    <row r="1439" spans="39:39">
      <c r="AM1439" s="53"/>
    </row>
    <row r="1440" spans="39:39">
      <c r="AM1440" s="53"/>
    </row>
    <row r="1441" spans="39:39">
      <c r="AM1441" s="53"/>
    </row>
    <row r="1442" spans="39:39">
      <c r="AM1442" s="53"/>
    </row>
    <row r="1443" spans="39:39">
      <c r="AM1443" s="53"/>
    </row>
    <row r="1444" spans="39:39">
      <c r="AM1444" s="53"/>
    </row>
    <row r="1445" spans="39:39">
      <c r="AM1445" s="53"/>
    </row>
    <row r="1446" spans="39:39">
      <c r="AM1446" s="53"/>
    </row>
    <row r="1447" spans="39:39">
      <c r="AM1447" s="53"/>
    </row>
    <row r="1448" spans="39:39">
      <c r="AM1448" s="53"/>
    </row>
    <row r="1449" spans="39:39">
      <c r="AM1449" s="53"/>
    </row>
    <row r="1450" spans="39:39">
      <c r="AM1450" s="53"/>
    </row>
    <row r="1451" spans="39:39">
      <c r="AM1451" s="53"/>
    </row>
    <row r="1452" spans="39:39">
      <c r="AM1452" s="53"/>
    </row>
    <row r="1453" spans="39:39">
      <c r="AM1453" s="53"/>
    </row>
    <row r="1454" spans="39:39">
      <c r="AM1454" s="53"/>
    </row>
    <row r="1455" spans="39:39">
      <c r="AM1455" s="53"/>
    </row>
    <row r="1456" spans="39:39">
      <c r="AM1456" s="53"/>
    </row>
    <row r="1457" spans="39:39">
      <c r="AM1457" s="53"/>
    </row>
    <row r="1458" spans="39:39">
      <c r="AM1458" s="53"/>
    </row>
    <row r="1459" spans="39:39">
      <c r="AM1459" s="53"/>
    </row>
    <row r="1460" spans="39:39">
      <c r="AM1460" s="53"/>
    </row>
    <row r="1461" spans="39:39">
      <c r="AM1461" s="53"/>
    </row>
    <row r="1462" spans="39:39">
      <c r="AM1462" s="53"/>
    </row>
    <row r="1463" spans="39:39">
      <c r="AM1463" s="53"/>
    </row>
    <row r="1464" spans="39:39">
      <c r="AM1464" s="53"/>
    </row>
    <row r="1465" spans="39:39">
      <c r="AM1465" s="53"/>
    </row>
    <row r="1466" spans="39:39">
      <c r="AM1466" s="53"/>
    </row>
    <row r="1467" spans="39:39">
      <c r="AM1467" s="53"/>
    </row>
    <row r="1468" spans="39:39">
      <c r="AM1468" s="53"/>
    </row>
    <row r="1469" spans="39:39">
      <c r="AM1469" s="53"/>
    </row>
    <row r="1470" spans="39:39">
      <c r="AM1470" s="53"/>
    </row>
    <row r="1471" spans="39:39">
      <c r="AM1471" s="53"/>
    </row>
    <row r="1472" spans="39:39">
      <c r="AM1472" s="53"/>
    </row>
    <row r="1473" spans="39:39">
      <c r="AM1473" s="53"/>
    </row>
    <row r="1474" spans="39:39">
      <c r="AM1474" s="53"/>
    </row>
    <row r="1475" spans="39:39">
      <c r="AM1475" s="53"/>
    </row>
    <row r="1476" spans="39:39">
      <c r="AM1476" s="53"/>
    </row>
    <row r="1477" spans="39:39">
      <c r="AM1477" s="53"/>
    </row>
    <row r="1478" spans="39:39">
      <c r="AM1478" s="53"/>
    </row>
    <row r="1479" spans="39:39">
      <c r="AM1479" s="53"/>
    </row>
    <row r="1480" spans="39:39">
      <c r="AM1480" s="53"/>
    </row>
    <row r="1481" spans="39:39">
      <c r="AM1481" s="53"/>
    </row>
    <row r="1482" spans="39:39">
      <c r="AM1482" s="53"/>
    </row>
    <row r="1483" spans="39:39">
      <c r="AM1483" s="53"/>
    </row>
    <row r="1484" spans="39:39">
      <c r="AM1484" s="53"/>
    </row>
    <row r="1485" spans="39:39">
      <c r="AM1485" s="53"/>
    </row>
    <row r="1486" spans="39:39">
      <c r="AM1486" s="53"/>
    </row>
    <row r="1487" spans="39:39">
      <c r="AM1487" s="53"/>
    </row>
    <row r="1488" spans="39:39">
      <c r="AM1488" s="53"/>
    </row>
    <row r="1489" spans="39:39">
      <c r="AM1489" s="53"/>
    </row>
    <row r="1490" spans="39:39">
      <c r="AM1490" s="53"/>
    </row>
    <row r="1491" spans="39:39">
      <c r="AM1491" s="53"/>
    </row>
    <row r="1492" spans="39:39">
      <c r="AM1492" s="53"/>
    </row>
    <row r="1493" spans="39:39">
      <c r="AM1493" s="53"/>
    </row>
    <row r="1494" spans="39:39">
      <c r="AM1494" s="53"/>
    </row>
    <row r="1495" spans="39:39">
      <c r="AM1495" s="53"/>
    </row>
    <row r="1496" spans="39:39">
      <c r="AM1496" s="53"/>
    </row>
    <row r="1497" spans="39:39">
      <c r="AM1497" s="53"/>
    </row>
    <row r="1498" spans="39:39">
      <c r="AM1498" s="53"/>
    </row>
    <row r="1499" spans="39:39">
      <c r="AM1499" s="53"/>
    </row>
    <row r="1500" spans="39:39">
      <c r="AM1500" s="53"/>
    </row>
    <row r="1501" spans="39:39">
      <c r="AM1501" s="53"/>
    </row>
    <row r="1502" spans="39:39">
      <c r="AM1502" s="53"/>
    </row>
    <row r="1503" spans="39:39">
      <c r="AM1503" s="53"/>
    </row>
    <row r="1504" spans="39:39">
      <c r="AM1504" s="53"/>
    </row>
    <row r="1505" spans="39:39">
      <c r="AM1505" s="53"/>
    </row>
    <row r="1506" spans="39:39">
      <c r="AM1506" s="53"/>
    </row>
    <row r="1507" spans="39:39">
      <c r="AM1507" s="53"/>
    </row>
    <row r="1508" spans="39:39">
      <c r="AM1508" s="53"/>
    </row>
    <row r="1509" spans="39:39">
      <c r="AM1509" s="53"/>
    </row>
    <row r="1510" spans="39:39">
      <c r="AM1510" s="53"/>
    </row>
    <row r="1511" spans="39:39">
      <c r="AM1511" s="53"/>
    </row>
    <row r="1512" spans="39:39">
      <c r="AM1512" s="53"/>
    </row>
    <row r="1513" spans="39:39">
      <c r="AM1513" s="53"/>
    </row>
    <row r="1514" spans="39:39">
      <c r="AM1514" s="53"/>
    </row>
    <row r="1515" spans="39:39">
      <c r="AM1515" s="53"/>
    </row>
    <row r="1516" spans="39:39">
      <c r="AM1516" s="53"/>
    </row>
    <row r="1517" spans="39:39">
      <c r="AM1517" s="53"/>
    </row>
    <row r="1518" spans="39:39">
      <c r="AM1518" s="53"/>
    </row>
    <row r="1519" spans="39:39">
      <c r="AM1519" s="53"/>
    </row>
    <row r="1520" spans="39:39">
      <c r="AM1520" s="53"/>
    </row>
    <row r="1521" spans="39:39">
      <c r="AM1521" s="53"/>
    </row>
    <row r="1522" spans="39:39">
      <c r="AM1522" s="53"/>
    </row>
    <row r="1523" spans="39:39">
      <c r="AM1523" s="53"/>
    </row>
    <row r="1524" spans="39:39">
      <c r="AM1524" s="53"/>
    </row>
    <row r="1525" spans="39:39">
      <c r="AM1525" s="53"/>
    </row>
    <row r="1526" spans="39:39">
      <c r="AM1526" s="53"/>
    </row>
    <row r="1527" spans="39:39">
      <c r="AM1527" s="53"/>
    </row>
    <row r="1528" spans="39:39">
      <c r="AM1528" s="53"/>
    </row>
    <row r="1529" spans="39:39">
      <c r="AM1529" s="53"/>
    </row>
    <row r="1530" spans="39:39">
      <c r="AM1530" s="53"/>
    </row>
    <row r="1531" spans="39:39">
      <c r="AM1531" s="53"/>
    </row>
    <row r="1532" spans="39:39">
      <c r="AM1532" s="53"/>
    </row>
    <row r="1533" spans="39:39">
      <c r="AM1533" s="53"/>
    </row>
    <row r="1534" spans="39:39">
      <c r="AM1534" s="53"/>
    </row>
    <row r="1535" spans="39:39">
      <c r="AM1535" s="53"/>
    </row>
    <row r="1536" spans="39:39">
      <c r="AM1536" s="53"/>
    </row>
    <row r="1537" spans="39:39">
      <c r="AM1537" s="53"/>
    </row>
    <row r="1538" spans="39:39">
      <c r="AM1538" s="53"/>
    </row>
    <row r="1539" spans="39:39">
      <c r="AM1539" s="53"/>
    </row>
    <row r="1540" spans="39:39">
      <c r="AM1540" s="53"/>
    </row>
    <row r="1541" spans="39:39">
      <c r="AM1541" s="53"/>
    </row>
    <row r="1542" spans="39:39">
      <c r="AM1542" s="53"/>
    </row>
    <row r="1543" spans="39:39">
      <c r="AM1543" s="53"/>
    </row>
    <row r="1544" spans="39:39">
      <c r="AM1544" s="53"/>
    </row>
    <row r="1545" spans="39:39">
      <c r="AM1545" s="53"/>
    </row>
    <row r="1546" spans="39:39">
      <c r="AM1546" s="53"/>
    </row>
    <row r="1547" spans="39:39">
      <c r="AM1547" s="53"/>
    </row>
    <row r="1548" spans="39:39">
      <c r="AM1548" s="53"/>
    </row>
    <row r="1549" spans="39:39">
      <c r="AM1549" s="53"/>
    </row>
    <row r="1550" spans="39:39">
      <c r="AM1550" s="53"/>
    </row>
    <row r="1551" spans="39:39">
      <c r="AM1551" s="53"/>
    </row>
    <row r="1552" spans="39:39">
      <c r="AM1552" s="53"/>
    </row>
    <row r="1553" spans="39:39">
      <c r="AM1553" s="53"/>
    </row>
    <row r="1554" spans="39:39">
      <c r="AM1554" s="53"/>
    </row>
    <row r="1555" spans="39:39">
      <c r="AM1555" s="53"/>
    </row>
    <row r="1556" spans="39:39">
      <c r="AM1556" s="53"/>
    </row>
    <row r="1557" spans="39:39">
      <c r="AM1557" s="53"/>
    </row>
    <row r="1558" spans="39:39">
      <c r="AM1558" s="53"/>
    </row>
    <row r="1559" spans="39:39">
      <c r="AM1559" s="53"/>
    </row>
    <row r="1560" spans="39:39">
      <c r="AM1560" s="53"/>
    </row>
    <row r="1561" spans="39:39">
      <c r="AM1561" s="53"/>
    </row>
    <row r="1562" spans="39:39">
      <c r="AM1562" s="53"/>
    </row>
    <row r="1563" spans="39:39">
      <c r="AM1563" s="53"/>
    </row>
    <row r="1564" spans="39:39">
      <c r="AM1564" s="53"/>
    </row>
    <row r="1565" spans="39:39">
      <c r="AM1565" s="53"/>
    </row>
    <row r="1566" spans="39:39">
      <c r="AM1566" s="53"/>
    </row>
    <row r="1567" spans="39:39">
      <c r="AM1567" s="53"/>
    </row>
    <row r="1568" spans="39:39">
      <c r="AM1568" s="53"/>
    </row>
    <row r="1569" spans="39:39">
      <c r="AM1569" s="53"/>
    </row>
    <row r="1570" spans="39:39">
      <c r="AM1570" s="53"/>
    </row>
    <row r="1571" spans="39:39">
      <c r="AM1571" s="53"/>
    </row>
    <row r="1572" spans="39:39">
      <c r="AM1572" s="53"/>
    </row>
    <row r="1573" spans="39:39">
      <c r="AM1573" s="53"/>
    </row>
    <row r="1574" spans="39:39">
      <c r="AM1574" s="53"/>
    </row>
    <row r="1575" spans="39:39">
      <c r="AM1575" s="53"/>
    </row>
    <row r="1576" spans="39:39">
      <c r="AM1576" s="53"/>
    </row>
    <row r="1577" spans="39:39">
      <c r="AM1577" s="53"/>
    </row>
    <row r="1578" spans="39:39">
      <c r="AM1578" s="53"/>
    </row>
    <row r="1579" spans="39:39">
      <c r="AM1579" s="53"/>
    </row>
    <row r="1580" spans="39:39">
      <c r="AM1580" s="53"/>
    </row>
    <row r="1581" spans="39:39">
      <c r="AM1581" s="53"/>
    </row>
    <row r="1582" spans="39:39">
      <c r="AM1582" s="53"/>
    </row>
    <row r="1583" spans="39:39">
      <c r="AM1583" s="53"/>
    </row>
    <row r="1584" spans="39:39">
      <c r="AM1584" s="53"/>
    </row>
    <row r="1585" spans="39:39">
      <c r="AM1585" s="53"/>
    </row>
    <row r="1586" spans="39:39">
      <c r="AM1586" s="53"/>
    </row>
    <row r="1587" spans="39:39">
      <c r="AM1587" s="53"/>
    </row>
    <row r="1588" spans="39:39">
      <c r="AM1588" s="53"/>
    </row>
    <row r="1589" spans="39:39">
      <c r="AM1589" s="53"/>
    </row>
    <row r="1590" spans="39:39">
      <c r="AM1590" s="53"/>
    </row>
    <row r="1591" spans="39:39">
      <c r="AM1591" s="53"/>
    </row>
    <row r="1592" spans="39:39">
      <c r="AM1592" s="53"/>
    </row>
    <row r="1593" spans="39:39">
      <c r="AM1593" s="53"/>
    </row>
    <row r="1594" spans="39:39">
      <c r="AM1594" s="53"/>
    </row>
    <row r="1595" spans="39:39">
      <c r="AM1595" s="53"/>
    </row>
    <row r="1596" spans="39:39">
      <c r="AM1596" s="53"/>
    </row>
    <row r="1597" spans="39:39">
      <c r="AM1597" s="53"/>
    </row>
    <row r="1598" spans="39:39">
      <c r="AM1598" s="53"/>
    </row>
    <row r="1599" spans="39:39">
      <c r="AM1599" s="53"/>
    </row>
    <row r="1600" spans="39:39">
      <c r="AM1600" s="53"/>
    </row>
    <row r="1601" spans="39:39">
      <c r="AM1601" s="53"/>
    </row>
    <row r="1602" spans="39:39">
      <c r="AM1602" s="53"/>
    </row>
    <row r="1603" spans="39:39">
      <c r="AM1603" s="53"/>
    </row>
    <row r="1604" spans="39:39">
      <c r="AM1604" s="53"/>
    </row>
    <row r="1605" spans="39:39">
      <c r="AM1605" s="53"/>
    </row>
    <row r="1606" spans="39:39">
      <c r="AM1606" s="53"/>
    </row>
    <row r="1607" spans="39:39">
      <c r="AM1607" s="53"/>
    </row>
    <row r="1608" spans="39:39">
      <c r="AM1608" s="53"/>
    </row>
    <row r="1609" spans="39:39">
      <c r="AM1609" s="53"/>
    </row>
    <row r="1610" spans="39:39">
      <c r="AM1610" s="53"/>
    </row>
    <row r="1611" spans="39:39">
      <c r="AM1611" s="53"/>
    </row>
    <row r="1612" spans="39:39">
      <c r="AM1612" s="53"/>
    </row>
    <row r="1613" spans="39:39">
      <c r="AM1613" s="53"/>
    </row>
    <row r="1614" spans="39:39">
      <c r="AM1614" s="53"/>
    </row>
    <row r="1615" spans="39:39">
      <c r="AM1615" s="53"/>
    </row>
    <row r="1616" spans="39:39">
      <c r="AM1616" s="53"/>
    </row>
    <row r="1617" spans="39:39">
      <c r="AM1617" s="53"/>
    </row>
    <row r="1618" spans="39:39">
      <c r="AM1618" s="53"/>
    </row>
    <row r="1619" spans="39:39">
      <c r="AM1619" s="53"/>
    </row>
    <row r="1620" spans="39:39">
      <c r="AM1620" s="53"/>
    </row>
    <row r="1621" spans="39:39">
      <c r="AM1621" s="53"/>
    </row>
    <row r="1622" spans="39:39">
      <c r="AM1622" s="53"/>
    </row>
    <row r="1623" spans="39:39">
      <c r="AM1623" s="53"/>
    </row>
    <row r="1624" spans="39:39">
      <c r="AM1624" s="53"/>
    </row>
    <row r="1625" spans="39:39">
      <c r="AM1625" s="53"/>
    </row>
    <row r="1626" spans="39:39">
      <c r="AM1626" s="53"/>
    </row>
    <row r="1627" spans="39:39">
      <c r="AM1627" s="53"/>
    </row>
    <row r="1628" spans="39:39">
      <c r="AM1628" s="53"/>
    </row>
    <row r="1629" spans="39:39">
      <c r="AM1629" s="53"/>
    </row>
    <row r="1630" spans="39:39">
      <c r="AM1630" s="53"/>
    </row>
    <row r="1631" spans="39:39">
      <c r="AM1631" s="53"/>
    </row>
    <row r="1632" spans="39:39">
      <c r="AM1632" s="53"/>
    </row>
    <row r="1633" spans="39:39">
      <c r="AM1633" s="53"/>
    </row>
    <row r="1634" spans="39:39">
      <c r="AM1634" s="53"/>
    </row>
    <row r="1635" spans="39:39">
      <c r="AM1635" s="53"/>
    </row>
    <row r="1636" spans="39:39">
      <c r="AM1636" s="53"/>
    </row>
    <row r="1637" spans="39:39">
      <c r="AM1637" s="53"/>
    </row>
    <row r="1638" spans="39:39">
      <c r="AM1638" s="53"/>
    </row>
    <row r="1639" spans="39:39">
      <c r="AM1639" s="53"/>
    </row>
    <row r="1640" spans="39:39">
      <c r="AM1640" s="53"/>
    </row>
    <row r="1641" spans="39:39">
      <c r="AM1641" s="53"/>
    </row>
    <row r="1642" spans="39:39">
      <c r="AM1642" s="53"/>
    </row>
    <row r="1643" spans="39:39">
      <c r="AM1643" s="53"/>
    </row>
    <row r="1644" spans="39:39">
      <c r="AM1644" s="53"/>
    </row>
    <row r="1645" spans="39:39">
      <c r="AM1645" s="53"/>
    </row>
    <row r="1646" spans="39:39">
      <c r="AM1646" s="53"/>
    </row>
    <row r="1647" spans="39:39">
      <c r="AM1647" s="53"/>
    </row>
    <row r="1648" spans="39:39">
      <c r="AM1648" s="53"/>
    </row>
    <row r="1649" spans="39:39">
      <c r="AM1649" s="53"/>
    </row>
    <row r="1650" spans="39:39">
      <c r="AM1650" s="53"/>
    </row>
    <row r="1651" spans="39:39">
      <c r="AM1651" s="53"/>
    </row>
    <row r="1652" spans="39:39">
      <c r="AM1652" s="53"/>
    </row>
    <row r="1653" spans="39:39">
      <c r="AM1653" s="53"/>
    </row>
    <row r="1654" spans="39:39">
      <c r="AM1654" s="53"/>
    </row>
    <row r="1655" spans="39:39">
      <c r="AM1655" s="53"/>
    </row>
    <row r="1656" spans="39:39">
      <c r="AM1656" s="53"/>
    </row>
    <row r="1657" spans="39:39">
      <c r="AM1657" s="53"/>
    </row>
    <row r="1658" spans="39:39">
      <c r="AM1658" s="53"/>
    </row>
    <row r="1659" spans="39:39">
      <c r="AM1659" s="53"/>
    </row>
    <row r="1660" spans="39:39">
      <c r="AM1660" s="53"/>
    </row>
    <row r="1661" spans="39:39">
      <c r="AM1661" s="53"/>
    </row>
    <row r="1662" spans="39:39">
      <c r="AM1662" s="53"/>
    </row>
    <row r="1663" spans="39:39">
      <c r="AM1663" s="53"/>
    </row>
    <row r="1664" spans="39:39">
      <c r="AM1664" s="53"/>
    </row>
    <row r="1665" spans="39:39">
      <c r="AM1665" s="53"/>
    </row>
    <row r="1666" spans="39:39">
      <c r="AM1666" s="53"/>
    </row>
    <row r="1667" spans="39:39">
      <c r="AM1667" s="53"/>
    </row>
    <row r="1668" spans="39:39">
      <c r="AM1668" s="53"/>
    </row>
    <row r="1669" spans="39:39">
      <c r="AM1669" s="53"/>
    </row>
    <row r="1670" spans="39:39">
      <c r="AM1670" s="53"/>
    </row>
    <row r="1671" spans="39:39">
      <c r="AM1671" s="53"/>
    </row>
    <row r="1672" spans="39:39">
      <c r="AM1672" s="53"/>
    </row>
    <row r="1673" spans="39:39">
      <c r="AM1673" s="53"/>
    </row>
    <row r="1674" spans="39:39">
      <c r="AM1674" s="53"/>
    </row>
    <row r="1675" spans="39:39">
      <c r="AM1675" s="53"/>
    </row>
    <row r="1676" spans="39:39">
      <c r="AM1676" s="53"/>
    </row>
    <row r="1677" spans="39:39">
      <c r="AM1677" s="53"/>
    </row>
    <row r="1678" spans="39:39">
      <c r="AM1678" s="53"/>
    </row>
    <row r="1679" spans="39:39">
      <c r="AM1679" s="53"/>
    </row>
    <row r="1680" spans="39:39">
      <c r="AM1680" s="53"/>
    </row>
    <row r="1681" spans="39:39">
      <c r="AM1681" s="53"/>
    </row>
    <row r="1682" spans="39:39">
      <c r="AM1682" s="53"/>
    </row>
    <row r="1683" spans="39:39">
      <c r="AM1683" s="53"/>
    </row>
    <row r="1684" spans="39:39">
      <c r="AM1684" s="53"/>
    </row>
    <row r="1685" spans="39:39">
      <c r="AM1685" s="53"/>
    </row>
    <row r="1686" spans="39:39">
      <c r="AM1686" s="53"/>
    </row>
    <row r="1687" spans="39:39">
      <c r="AM1687" s="53"/>
    </row>
    <row r="1688" spans="39:39">
      <c r="AM1688" s="53"/>
    </row>
    <row r="1689" spans="39:39">
      <c r="AM1689" s="53"/>
    </row>
    <row r="1690" spans="39:39">
      <c r="AM1690" s="53"/>
    </row>
    <row r="1691" spans="39:39">
      <c r="AM1691" s="53"/>
    </row>
    <row r="1692" spans="39:39">
      <c r="AM1692" s="53"/>
    </row>
    <row r="1693" spans="39:39">
      <c r="AM1693" s="53"/>
    </row>
    <row r="1694" spans="39:39">
      <c r="AM1694" s="53"/>
    </row>
    <row r="1695" spans="39:39">
      <c r="AM1695" s="53"/>
    </row>
    <row r="1696" spans="39:39">
      <c r="AM1696" s="53"/>
    </row>
    <row r="1697" spans="39:39">
      <c r="AM1697" s="53"/>
    </row>
    <row r="1698" spans="39:39">
      <c r="AM1698" s="53"/>
    </row>
    <row r="1699" spans="39:39">
      <c r="AM1699" s="53"/>
    </row>
    <row r="1700" spans="39:39">
      <c r="AM1700" s="53"/>
    </row>
    <row r="1701" spans="39:39">
      <c r="AM1701" s="53"/>
    </row>
    <row r="1702" spans="39:39">
      <c r="AM1702" s="53"/>
    </row>
    <row r="1703" spans="39:39">
      <c r="AM1703" s="53"/>
    </row>
    <row r="1704" spans="39:39">
      <c r="AM1704" s="53"/>
    </row>
    <row r="1705" spans="39:39">
      <c r="AM1705" s="53"/>
    </row>
    <row r="1706" spans="39:39">
      <c r="AM1706" s="53"/>
    </row>
    <row r="1707" spans="39:39">
      <c r="AM1707" s="53"/>
    </row>
    <row r="1708" spans="39:39">
      <c r="AM1708" s="53"/>
    </row>
    <row r="1709" spans="39:39">
      <c r="AM1709" s="53"/>
    </row>
    <row r="1710" spans="39:39">
      <c r="AM1710" s="53"/>
    </row>
    <row r="1711" spans="39:39">
      <c r="AM1711" s="53"/>
    </row>
    <row r="1712" spans="39:39">
      <c r="AM1712" s="53"/>
    </row>
    <row r="1713" spans="39:39">
      <c r="AM1713" s="53"/>
    </row>
    <row r="1714" spans="39:39">
      <c r="AM1714" s="53"/>
    </row>
    <row r="1715" spans="39:39">
      <c r="AM1715" s="53"/>
    </row>
    <row r="1716" spans="39:39">
      <c r="AM1716" s="53"/>
    </row>
    <row r="1717" spans="39:39">
      <c r="AM1717" s="53"/>
    </row>
    <row r="1718" spans="39:39">
      <c r="AM1718" s="53"/>
    </row>
    <row r="1719" spans="39:39">
      <c r="AM1719" s="53"/>
    </row>
    <row r="1720" spans="39:39">
      <c r="AM1720" s="53"/>
    </row>
    <row r="1721" spans="39:39">
      <c r="AM1721" s="53"/>
    </row>
    <row r="1722" spans="39:39">
      <c r="AM1722" s="53"/>
    </row>
    <row r="1723" spans="39:39">
      <c r="AM1723" s="53"/>
    </row>
    <row r="1724" spans="39:39">
      <c r="AM1724" s="53"/>
    </row>
    <row r="1725" spans="39:39">
      <c r="AM1725" s="53"/>
    </row>
    <row r="1726" spans="39:39">
      <c r="AM1726" s="53"/>
    </row>
    <row r="1727" spans="39:39">
      <c r="AM1727" s="53"/>
    </row>
    <row r="1728" spans="39:39">
      <c r="AM1728" s="53"/>
    </row>
    <row r="1729" spans="39:39">
      <c r="AM1729" s="53"/>
    </row>
    <row r="1730" spans="39:39">
      <c r="AM1730" s="53"/>
    </row>
    <row r="1731" spans="39:39">
      <c r="AM1731" s="53"/>
    </row>
    <row r="1732" spans="39:39">
      <c r="AM1732" s="53"/>
    </row>
    <row r="1733" spans="39:39">
      <c r="AM1733" s="53"/>
    </row>
    <row r="1734" spans="39:39">
      <c r="AM1734" s="53"/>
    </row>
    <row r="1735" spans="39:39">
      <c r="AM1735" s="53"/>
    </row>
    <row r="1736" spans="39:39">
      <c r="AM1736" s="53"/>
    </row>
    <row r="1737" spans="39:39">
      <c r="AM1737" s="53"/>
    </row>
    <row r="1738" spans="39:39">
      <c r="AM1738" s="53"/>
    </row>
    <row r="1739" spans="39:39">
      <c r="AM1739" s="53"/>
    </row>
    <row r="1740" spans="39:39">
      <c r="AM1740" s="53"/>
    </row>
    <row r="1741" spans="39:39">
      <c r="AM1741" s="53"/>
    </row>
    <row r="1742" spans="39:39">
      <c r="AM1742" s="53"/>
    </row>
    <row r="1743" spans="39:39">
      <c r="AM1743" s="53"/>
    </row>
    <row r="1744" spans="39:39">
      <c r="AM1744" s="53"/>
    </row>
    <row r="1745" spans="39:39">
      <c r="AM1745" s="53"/>
    </row>
    <row r="1746" spans="39:39">
      <c r="AM1746" s="53"/>
    </row>
    <row r="1747" spans="39:39">
      <c r="AM1747" s="53"/>
    </row>
    <row r="1748" spans="39:39">
      <c r="AM1748" s="53"/>
    </row>
    <row r="1749" spans="39:39">
      <c r="AM1749" s="53"/>
    </row>
    <row r="1750" spans="39:39">
      <c r="AM1750" s="53"/>
    </row>
    <row r="1751" spans="39:39">
      <c r="AM1751" s="53"/>
    </row>
    <row r="1752" spans="39:39">
      <c r="AM1752" s="53"/>
    </row>
    <row r="1753" spans="39:39">
      <c r="AM1753" s="53"/>
    </row>
    <row r="1754" spans="39:39">
      <c r="AM1754" s="53"/>
    </row>
    <row r="1755" spans="39:39">
      <c r="AM1755" s="53"/>
    </row>
    <row r="1756" spans="39:39">
      <c r="AM1756" s="53"/>
    </row>
    <row r="1757" spans="39:39">
      <c r="AM1757" s="53"/>
    </row>
    <row r="1758" spans="39:39">
      <c r="AM1758" s="53"/>
    </row>
    <row r="1759" spans="39:39">
      <c r="AM1759" s="53"/>
    </row>
    <row r="1760" spans="39:39">
      <c r="AM1760" s="53"/>
    </row>
    <row r="1761" spans="39:116">
      <c r="AM1761" s="53"/>
      <c r="AT1761" s="43"/>
      <c r="AV1761" s="53"/>
      <c r="CH1761" s="43"/>
      <c r="DD1761" s="53"/>
      <c r="DE1761" s="51"/>
      <c r="DJ1761" s="52"/>
      <c r="DK1761" s="52"/>
      <c r="DL1761" s="52"/>
    </row>
    <row r="1762" spans="39:116">
      <c r="AM1762" s="53"/>
      <c r="AT1762" s="43"/>
      <c r="AV1762" s="53"/>
      <c r="CH1762" s="43"/>
      <c r="DD1762" s="53"/>
      <c r="DE1762" s="51"/>
      <c r="DJ1762" s="52"/>
      <c r="DK1762" s="52"/>
      <c r="DL1762" s="52"/>
    </row>
    <row r="1763" spans="39:116">
      <c r="AM1763" s="53"/>
      <c r="AT1763" s="43"/>
      <c r="AV1763" s="53"/>
      <c r="CH1763" s="43"/>
      <c r="DD1763" s="53"/>
      <c r="DE1763" s="51"/>
      <c r="DJ1763" s="52"/>
      <c r="DK1763" s="52"/>
      <c r="DL1763" s="52"/>
    </row>
    <row r="1764" spans="39:116">
      <c r="AM1764" s="53"/>
      <c r="AT1764" s="43"/>
      <c r="AV1764" s="53"/>
      <c r="CH1764" s="43"/>
      <c r="DD1764" s="53"/>
      <c r="DE1764" s="51"/>
      <c r="DJ1764" s="52"/>
      <c r="DK1764" s="52"/>
      <c r="DL1764" s="52"/>
    </row>
    <row r="1765" spans="39:116">
      <c r="AM1765" s="53"/>
      <c r="AT1765" s="43"/>
      <c r="AV1765" s="53"/>
      <c r="CH1765" s="43"/>
      <c r="DD1765" s="53"/>
      <c r="DE1765" s="51"/>
      <c r="DJ1765" s="52"/>
      <c r="DK1765" s="52"/>
      <c r="DL1765" s="52"/>
    </row>
    <row r="1766" spans="39:116">
      <c r="AM1766" s="53"/>
      <c r="AT1766" s="43"/>
      <c r="AV1766" s="53"/>
      <c r="CH1766" s="43"/>
      <c r="DD1766" s="53"/>
      <c r="DE1766" s="51"/>
      <c r="DJ1766" s="52"/>
      <c r="DK1766" s="52"/>
      <c r="DL1766" s="52"/>
    </row>
    <row r="1767" spans="39:116">
      <c r="AM1767" s="53"/>
      <c r="AT1767" s="43"/>
      <c r="AV1767" s="53"/>
      <c r="CH1767" s="43"/>
      <c r="DD1767" s="53"/>
      <c r="DE1767" s="51"/>
      <c r="DJ1767" s="52"/>
      <c r="DK1767" s="52"/>
      <c r="DL1767" s="52"/>
    </row>
    <row r="1768" spans="39:116">
      <c r="AM1768" s="53"/>
      <c r="AT1768" s="43"/>
      <c r="AV1768" s="53"/>
      <c r="CH1768" s="43"/>
      <c r="DD1768" s="53"/>
      <c r="DE1768" s="51"/>
      <c r="DJ1768" s="52"/>
      <c r="DK1768" s="52"/>
      <c r="DL1768" s="52"/>
    </row>
    <row r="1769" spans="39:116">
      <c r="AM1769" s="53"/>
      <c r="AT1769" s="43"/>
      <c r="AV1769" s="53"/>
      <c r="CH1769" s="43"/>
      <c r="DD1769" s="53"/>
      <c r="DE1769" s="51"/>
      <c r="DJ1769" s="52"/>
      <c r="DK1769" s="52"/>
      <c r="DL1769" s="52"/>
    </row>
    <row r="1770" spans="39:116">
      <c r="AM1770" s="53"/>
      <c r="AT1770" s="43"/>
      <c r="AV1770" s="53"/>
      <c r="CH1770" s="43"/>
      <c r="DD1770" s="53"/>
      <c r="DE1770" s="51"/>
      <c r="DJ1770" s="52"/>
      <c r="DK1770" s="52"/>
      <c r="DL1770" s="52"/>
    </row>
    <row r="1771" spans="39:116">
      <c r="AM1771" s="53"/>
      <c r="AT1771" s="43"/>
      <c r="AV1771" s="53"/>
      <c r="CH1771" s="43"/>
      <c r="DD1771" s="53"/>
      <c r="DE1771" s="51"/>
      <c r="DJ1771" s="52"/>
      <c r="DK1771" s="52"/>
      <c r="DL1771" s="52"/>
    </row>
    <row r="1772" spans="39:116">
      <c r="AM1772" s="53"/>
      <c r="AT1772" s="43"/>
      <c r="AV1772" s="53"/>
      <c r="CH1772" s="43"/>
      <c r="DD1772" s="53"/>
      <c r="DE1772" s="51"/>
      <c r="DJ1772" s="52"/>
      <c r="DK1772" s="52"/>
      <c r="DL1772" s="52"/>
    </row>
    <row r="1773" spans="39:116">
      <c r="AM1773" s="53"/>
      <c r="AT1773" s="43"/>
      <c r="AV1773" s="53"/>
      <c r="CH1773" s="43"/>
      <c r="DD1773" s="53"/>
      <c r="DE1773" s="51"/>
      <c r="DJ1773" s="52"/>
      <c r="DK1773" s="52"/>
      <c r="DL1773" s="52"/>
    </row>
    <row r="1774" spans="39:116">
      <c r="AM1774" s="53"/>
      <c r="AT1774" s="43"/>
      <c r="AV1774" s="53"/>
      <c r="CH1774" s="43"/>
      <c r="DD1774" s="53"/>
      <c r="DE1774" s="51"/>
      <c r="DJ1774" s="52"/>
      <c r="DK1774" s="52"/>
      <c r="DL1774" s="52"/>
    </row>
    <row r="1775" spans="39:116">
      <c r="AM1775" s="53"/>
      <c r="AT1775" s="43"/>
      <c r="AV1775" s="53"/>
      <c r="CH1775" s="43"/>
      <c r="DD1775" s="53"/>
      <c r="DE1775" s="51"/>
      <c r="DJ1775" s="52"/>
      <c r="DK1775" s="52"/>
      <c r="DL1775" s="52"/>
    </row>
    <row r="1776" spans="39:116">
      <c r="AM1776" s="53"/>
      <c r="AT1776" s="43"/>
      <c r="AV1776" s="53"/>
      <c r="CH1776" s="43"/>
      <c r="DD1776" s="53"/>
      <c r="DE1776" s="51"/>
      <c r="DJ1776" s="52"/>
      <c r="DK1776" s="52"/>
      <c r="DL1776" s="52"/>
    </row>
    <row r="1777" spans="39:116">
      <c r="AM1777" s="53"/>
      <c r="AT1777" s="43"/>
      <c r="AV1777" s="53"/>
      <c r="CH1777" s="43"/>
      <c r="DD1777" s="53"/>
      <c r="DE1777" s="51"/>
      <c r="DJ1777" s="52"/>
      <c r="DK1777" s="52"/>
      <c r="DL1777" s="52"/>
    </row>
    <row r="1778" spans="39:116">
      <c r="AM1778" s="53"/>
      <c r="AT1778" s="43"/>
      <c r="AV1778" s="53"/>
      <c r="CH1778" s="43"/>
      <c r="DD1778" s="53"/>
      <c r="DE1778" s="51"/>
      <c r="DJ1778" s="52"/>
      <c r="DK1778" s="52"/>
      <c r="DL1778" s="52"/>
    </row>
    <row r="1779" spans="39:116">
      <c r="AM1779" s="53"/>
      <c r="AT1779" s="43"/>
      <c r="AV1779" s="53"/>
      <c r="CH1779" s="43"/>
      <c r="DD1779" s="53"/>
      <c r="DE1779" s="51"/>
      <c r="DJ1779" s="52"/>
      <c r="DK1779" s="52"/>
      <c r="DL1779" s="52"/>
    </row>
    <row r="1780" spans="39:116">
      <c r="AM1780" s="53"/>
      <c r="AT1780" s="43"/>
      <c r="AV1780" s="53"/>
      <c r="CH1780" s="43"/>
      <c r="DD1780" s="53"/>
      <c r="DE1780" s="51"/>
      <c r="DJ1780" s="52"/>
      <c r="DK1780" s="52"/>
      <c r="DL1780" s="52"/>
    </row>
    <row r="1781" spans="39:116">
      <c r="AM1781" s="53"/>
      <c r="AT1781" s="43"/>
      <c r="AV1781" s="53"/>
      <c r="CH1781" s="43"/>
      <c r="DD1781" s="53"/>
      <c r="DE1781" s="51"/>
      <c r="DJ1781" s="52"/>
      <c r="DK1781" s="52"/>
      <c r="DL1781" s="52"/>
    </row>
    <row r="1782" spans="39:116">
      <c r="AM1782" s="53"/>
      <c r="AT1782" s="43"/>
      <c r="AV1782" s="53"/>
      <c r="CH1782" s="43"/>
      <c r="DD1782" s="53"/>
      <c r="DE1782" s="51"/>
      <c r="DJ1782" s="52"/>
      <c r="DK1782" s="52"/>
      <c r="DL1782" s="52"/>
    </row>
    <row r="1783" spans="39:116">
      <c r="AM1783" s="53"/>
      <c r="AT1783" s="43"/>
      <c r="AV1783" s="53"/>
      <c r="CH1783" s="43"/>
      <c r="DD1783" s="53"/>
      <c r="DE1783" s="51"/>
      <c r="DJ1783" s="52"/>
      <c r="DK1783" s="52"/>
      <c r="DL1783" s="52"/>
    </row>
    <row r="1784" spans="39:116">
      <c r="AM1784" s="53"/>
      <c r="AT1784" s="43"/>
      <c r="AV1784" s="53"/>
      <c r="CH1784" s="43"/>
      <c r="DD1784" s="53"/>
      <c r="DE1784" s="51"/>
      <c r="DJ1784" s="52"/>
      <c r="DK1784" s="52"/>
      <c r="DL1784" s="52"/>
    </row>
    <row r="1785" spans="39:116">
      <c r="AM1785" s="53"/>
      <c r="AT1785" s="43"/>
      <c r="AV1785" s="53"/>
      <c r="CH1785" s="43"/>
      <c r="DD1785" s="53"/>
      <c r="DE1785" s="51"/>
      <c r="DJ1785" s="52"/>
      <c r="DK1785" s="52"/>
      <c r="DL1785" s="52"/>
    </row>
    <row r="1786" spans="39:116">
      <c r="AM1786" s="53"/>
      <c r="AT1786" s="43"/>
      <c r="AV1786" s="53"/>
      <c r="CH1786" s="43"/>
      <c r="DD1786" s="53"/>
      <c r="DE1786" s="51"/>
      <c r="DJ1786" s="52"/>
      <c r="DK1786" s="52"/>
      <c r="DL1786" s="52"/>
    </row>
    <row r="1787" spans="39:116">
      <c r="AM1787" s="53"/>
      <c r="AT1787" s="43"/>
      <c r="AV1787" s="53"/>
      <c r="CH1787" s="43"/>
      <c r="DD1787" s="53"/>
      <c r="DE1787" s="51"/>
      <c r="DJ1787" s="52"/>
      <c r="DK1787" s="52"/>
      <c r="DL1787" s="52"/>
    </row>
    <row r="1788" spans="39:116">
      <c r="AM1788" s="53"/>
      <c r="AT1788" s="43"/>
      <c r="AV1788" s="53"/>
      <c r="CH1788" s="43"/>
      <c r="DD1788" s="53"/>
      <c r="DE1788" s="51"/>
      <c r="DJ1788" s="52"/>
      <c r="DK1788" s="52"/>
      <c r="DL1788" s="52"/>
    </row>
    <row r="1789" spans="39:116">
      <c r="AM1789" s="53"/>
      <c r="AT1789" s="43"/>
      <c r="AV1789" s="53"/>
      <c r="CH1789" s="43"/>
      <c r="DD1789" s="53"/>
      <c r="DE1789" s="51"/>
      <c r="DJ1789" s="52"/>
      <c r="DK1789" s="52"/>
      <c r="DL1789" s="52"/>
    </row>
    <row r="1790" spans="39:116">
      <c r="AM1790" s="53"/>
      <c r="AT1790" s="43"/>
      <c r="AV1790" s="53"/>
      <c r="CH1790" s="43"/>
      <c r="DD1790" s="53"/>
      <c r="DE1790" s="51"/>
      <c r="DJ1790" s="52"/>
      <c r="DK1790" s="52"/>
      <c r="DL1790" s="52"/>
    </row>
    <row r="1791" spans="39:116">
      <c r="AM1791" s="53"/>
      <c r="AT1791" s="43"/>
      <c r="AV1791" s="53"/>
      <c r="CH1791" s="43"/>
      <c r="DD1791" s="53"/>
      <c r="DE1791" s="51"/>
      <c r="DJ1791" s="52"/>
      <c r="DK1791" s="52"/>
      <c r="DL1791" s="52"/>
    </row>
    <row r="1792" spans="39:116">
      <c r="AM1792" s="53"/>
      <c r="AT1792" s="43"/>
      <c r="AV1792" s="53"/>
      <c r="CH1792" s="43"/>
      <c r="DD1792" s="53"/>
      <c r="DE1792" s="51"/>
      <c r="DJ1792" s="52"/>
      <c r="DK1792" s="52"/>
      <c r="DL1792" s="52"/>
    </row>
    <row r="1793" spans="39:116">
      <c r="AM1793" s="53"/>
      <c r="AT1793" s="43"/>
      <c r="AV1793" s="53"/>
      <c r="CH1793" s="43"/>
      <c r="DD1793" s="53"/>
      <c r="DE1793" s="51"/>
      <c r="DJ1793" s="52"/>
      <c r="DK1793" s="52"/>
      <c r="DL1793" s="52"/>
    </row>
    <row r="1794" spans="39:116">
      <c r="AM1794" s="53"/>
      <c r="AT1794" s="43"/>
      <c r="AV1794" s="53"/>
      <c r="CH1794" s="43"/>
      <c r="DD1794" s="53"/>
      <c r="DE1794" s="51"/>
      <c r="DJ1794" s="52"/>
      <c r="DK1794" s="52"/>
      <c r="DL1794" s="52"/>
    </row>
    <row r="1795" spans="39:116">
      <c r="AM1795" s="53"/>
      <c r="AT1795" s="43"/>
      <c r="AV1795" s="53"/>
      <c r="CH1795" s="43"/>
      <c r="DD1795" s="53"/>
      <c r="DE1795" s="51"/>
      <c r="DJ1795" s="52"/>
      <c r="DK1795" s="52"/>
      <c r="DL1795" s="52"/>
    </row>
    <row r="1796" spans="39:116">
      <c r="AM1796" s="53"/>
      <c r="AT1796" s="43"/>
      <c r="AV1796" s="53"/>
      <c r="CH1796" s="43"/>
      <c r="DD1796" s="53"/>
      <c r="DE1796" s="51"/>
      <c r="DJ1796" s="52"/>
      <c r="DK1796" s="52"/>
      <c r="DL1796" s="52"/>
    </row>
    <row r="1797" spans="39:116">
      <c r="AM1797" s="53"/>
      <c r="AT1797" s="43"/>
      <c r="AV1797" s="53"/>
      <c r="CH1797" s="43"/>
      <c r="DD1797" s="53"/>
      <c r="DE1797" s="51"/>
      <c r="DJ1797" s="52"/>
      <c r="DK1797" s="52"/>
      <c r="DL1797" s="52"/>
    </row>
    <row r="1798" spans="39:116">
      <c r="AM1798" s="53"/>
      <c r="AT1798" s="43"/>
      <c r="AV1798" s="53"/>
      <c r="CH1798" s="43"/>
      <c r="DD1798" s="53"/>
      <c r="DE1798" s="51"/>
      <c r="DJ1798" s="52"/>
      <c r="DK1798" s="52"/>
      <c r="DL1798" s="52"/>
    </row>
    <row r="1799" spans="39:116">
      <c r="AM1799" s="53"/>
      <c r="AT1799" s="43"/>
      <c r="AV1799" s="53"/>
      <c r="CH1799" s="43"/>
      <c r="DD1799" s="53"/>
      <c r="DE1799" s="51"/>
      <c r="DJ1799" s="52"/>
      <c r="DK1799" s="52"/>
      <c r="DL1799" s="52"/>
    </row>
    <row r="1800" spans="39:116">
      <c r="AM1800" s="53"/>
      <c r="AT1800" s="43"/>
      <c r="AV1800" s="53"/>
      <c r="CH1800" s="43"/>
      <c r="DD1800" s="53"/>
      <c r="DE1800" s="51"/>
      <c r="DJ1800" s="52"/>
      <c r="DK1800" s="52"/>
      <c r="DL1800" s="52"/>
    </row>
    <row r="1801" spans="39:116">
      <c r="AM1801" s="53"/>
      <c r="AT1801" s="43"/>
      <c r="AV1801" s="53"/>
      <c r="CH1801" s="43"/>
      <c r="DD1801" s="53"/>
      <c r="DE1801" s="51"/>
      <c r="DJ1801" s="52"/>
      <c r="DK1801" s="52"/>
      <c r="DL1801" s="52"/>
    </row>
    <row r="1802" spans="39:116">
      <c r="AM1802" s="53"/>
      <c r="AT1802" s="43"/>
      <c r="AV1802" s="53"/>
      <c r="CH1802" s="43"/>
      <c r="DD1802" s="53"/>
      <c r="DE1802" s="51"/>
      <c r="DJ1802" s="52"/>
      <c r="DK1802" s="52"/>
      <c r="DL1802" s="52"/>
    </row>
    <row r="1803" spans="39:116">
      <c r="AM1803" s="53"/>
      <c r="AT1803" s="43"/>
      <c r="AV1803" s="53"/>
      <c r="CH1803" s="43"/>
      <c r="DD1803" s="53"/>
      <c r="DE1803" s="51"/>
      <c r="DJ1803" s="52"/>
      <c r="DK1803" s="52"/>
      <c r="DL1803" s="52"/>
    </row>
    <row r="1804" spans="39:116">
      <c r="AM1804" s="53"/>
      <c r="AT1804" s="43"/>
      <c r="AV1804" s="53"/>
      <c r="CH1804" s="43"/>
      <c r="DD1804" s="53"/>
      <c r="DE1804" s="51"/>
      <c r="DJ1804" s="52"/>
      <c r="DK1804" s="52"/>
      <c r="DL1804" s="52"/>
    </row>
    <row r="1805" spans="39:116">
      <c r="AM1805" s="53"/>
      <c r="AT1805" s="43"/>
      <c r="AV1805" s="53"/>
      <c r="CH1805" s="43"/>
      <c r="DD1805" s="53"/>
      <c r="DE1805" s="51"/>
      <c r="DJ1805" s="52"/>
      <c r="DK1805" s="52"/>
      <c r="DL1805" s="52"/>
    </row>
    <row r="1806" spans="39:116">
      <c r="AM1806" s="53"/>
      <c r="AT1806" s="43"/>
      <c r="AV1806" s="53"/>
      <c r="CH1806" s="43"/>
      <c r="DD1806" s="53"/>
      <c r="DE1806" s="51"/>
      <c r="DJ1806" s="52"/>
      <c r="DK1806" s="52"/>
      <c r="DL1806" s="52"/>
    </row>
    <row r="1807" spans="39:116">
      <c r="AM1807" s="53"/>
      <c r="AT1807" s="43"/>
      <c r="AV1807" s="53"/>
      <c r="CH1807" s="43"/>
      <c r="DD1807" s="53"/>
      <c r="DE1807" s="51"/>
      <c r="DJ1807" s="52"/>
      <c r="DK1807" s="52"/>
      <c r="DL1807" s="52"/>
    </row>
    <row r="1808" spans="39:116">
      <c r="AM1808" s="53"/>
      <c r="AT1808" s="43"/>
      <c r="AV1808" s="53"/>
      <c r="CH1808" s="43"/>
      <c r="DD1808" s="53"/>
      <c r="DE1808" s="51"/>
      <c r="DJ1808" s="52"/>
      <c r="DK1808" s="52"/>
      <c r="DL1808" s="52"/>
    </row>
    <row r="1809" spans="39:116">
      <c r="AM1809" s="53"/>
      <c r="AT1809" s="43"/>
      <c r="AV1809" s="53"/>
      <c r="CH1809" s="43"/>
      <c r="DD1809" s="53"/>
      <c r="DE1809" s="51"/>
      <c r="DJ1809" s="52"/>
      <c r="DK1809" s="52"/>
      <c r="DL1809" s="52"/>
    </row>
    <row r="1810" spans="39:116">
      <c r="AM1810" s="53"/>
      <c r="AT1810" s="43"/>
      <c r="AV1810" s="53"/>
      <c r="CH1810" s="43"/>
      <c r="DD1810" s="53"/>
      <c r="DE1810" s="51"/>
      <c r="DJ1810" s="52"/>
      <c r="DK1810" s="52"/>
      <c r="DL1810" s="52"/>
    </row>
    <row r="1811" spans="39:116">
      <c r="AM1811" s="53"/>
      <c r="AT1811" s="43"/>
      <c r="AV1811" s="53"/>
      <c r="CH1811" s="43"/>
      <c r="DD1811" s="53"/>
      <c r="DE1811" s="51"/>
      <c r="DJ1811" s="52"/>
      <c r="DK1811" s="52"/>
      <c r="DL1811" s="52"/>
    </row>
    <row r="1812" spans="39:116">
      <c r="AM1812" s="53"/>
      <c r="AT1812" s="43"/>
      <c r="AV1812" s="53"/>
      <c r="CH1812" s="43"/>
      <c r="DD1812" s="53"/>
      <c r="DE1812" s="51"/>
      <c r="DJ1812" s="52"/>
      <c r="DK1812" s="52"/>
      <c r="DL1812" s="52"/>
    </row>
    <row r="1813" spans="39:116">
      <c r="AM1813" s="53"/>
      <c r="AT1813" s="43"/>
      <c r="AV1813" s="53"/>
      <c r="CH1813" s="43"/>
      <c r="DD1813" s="53"/>
      <c r="DE1813" s="51"/>
      <c r="DJ1813" s="52"/>
      <c r="DK1813" s="52"/>
      <c r="DL1813" s="52"/>
    </row>
    <row r="1814" spans="39:116">
      <c r="AM1814" s="53"/>
      <c r="AT1814" s="43"/>
      <c r="AV1814" s="53"/>
      <c r="CH1814" s="43"/>
      <c r="DD1814" s="53"/>
      <c r="DE1814" s="51"/>
      <c r="DJ1814" s="52"/>
      <c r="DK1814" s="52"/>
      <c r="DL1814" s="52"/>
    </row>
    <row r="1815" spans="39:116">
      <c r="AM1815" s="53"/>
      <c r="AT1815" s="43"/>
      <c r="AV1815" s="53"/>
      <c r="CH1815" s="43"/>
      <c r="DD1815" s="53"/>
      <c r="DE1815" s="51"/>
      <c r="DJ1815" s="52"/>
      <c r="DK1815" s="52"/>
      <c r="DL1815" s="52"/>
    </row>
    <row r="1816" spans="39:116">
      <c r="AM1816" s="53"/>
      <c r="AT1816" s="43"/>
      <c r="AV1816" s="53"/>
      <c r="CH1816" s="43"/>
      <c r="DD1816" s="53"/>
      <c r="DE1816" s="51"/>
      <c r="DJ1816" s="52"/>
      <c r="DK1816" s="52"/>
      <c r="DL1816" s="52"/>
    </row>
    <row r="1817" spans="39:116">
      <c r="AM1817" s="53"/>
      <c r="AT1817" s="43"/>
      <c r="AV1817" s="53"/>
      <c r="CH1817" s="43"/>
      <c r="DD1817" s="53"/>
      <c r="DE1817" s="51"/>
      <c r="DJ1817" s="52"/>
      <c r="DK1817" s="52"/>
      <c r="DL1817" s="52"/>
    </row>
    <row r="1818" spans="39:116">
      <c r="AM1818" s="53"/>
      <c r="AT1818" s="43"/>
      <c r="AV1818" s="53"/>
      <c r="CH1818" s="43"/>
      <c r="DD1818" s="53"/>
      <c r="DE1818" s="51"/>
      <c r="DJ1818" s="52"/>
      <c r="DK1818" s="52"/>
      <c r="DL1818" s="52"/>
    </row>
    <row r="1819" spans="39:116">
      <c r="AM1819" s="53"/>
      <c r="AT1819" s="43"/>
      <c r="AV1819" s="53"/>
      <c r="CH1819" s="43"/>
      <c r="DD1819" s="53"/>
      <c r="DE1819" s="51"/>
      <c r="DJ1819" s="52"/>
      <c r="DK1819" s="52"/>
      <c r="DL1819" s="52"/>
    </row>
    <row r="1820" spans="39:116">
      <c r="AM1820" s="53"/>
      <c r="AT1820" s="43"/>
      <c r="AV1820" s="53"/>
      <c r="CH1820" s="43"/>
      <c r="DD1820" s="53"/>
      <c r="DE1820" s="51"/>
      <c r="DJ1820" s="52"/>
      <c r="DK1820" s="52"/>
      <c r="DL1820" s="52"/>
    </row>
    <row r="1821" spans="39:116">
      <c r="AM1821" s="53"/>
      <c r="AT1821" s="43"/>
      <c r="AV1821" s="53"/>
      <c r="CH1821" s="43"/>
      <c r="DD1821" s="53"/>
      <c r="DE1821" s="51"/>
      <c r="DJ1821" s="52"/>
      <c r="DK1821" s="52"/>
      <c r="DL1821" s="52"/>
    </row>
    <row r="1822" spans="39:116">
      <c r="AM1822" s="53"/>
      <c r="AT1822" s="43"/>
      <c r="AV1822" s="53"/>
      <c r="CH1822" s="43"/>
      <c r="DD1822" s="53"/>
      <c r="DE1822" s="51"/>
      <c r="DJ1822" s="52"/>
      <c r="DK1822" s="52"/>
      <c r="DL1822" s="52"/>
    </row>
    <row r="1823" spans="39:116">
      <c r="AM1823" s="53"/>
      <c r="AT1823" s="43"/>
      <c r="AV1823" s="53"/>
      <c r="CH1823" s="43"/>
      <c r="DD1823" s="53"/>
      <c r="DE1823" s="51"/>
      <c r="DJ1823" s="52"/>
      <c r="DK1823" s="52"/>
      <c r="DL1823" s="52"/>
    </row>
    <row r="1824" spans="39:116">
      <c r="AM1824" s="53"/>
      <c r="AT1824" s="43"/>
      <c r="AV1824" s="53"/>
      <c r="CH1824" s="43"/>
      <c r="DD1824" s="53"/>
      <c r="DE1824" s="51"/>
      <c r="DJ1824" s="52"/>
      <c r="DK1824" s="52"/>
      <c r="DL1824" s="52"/>
    </row>
    <row r="1825" spans="39:116">
      <c r="AM1825" s="53"/>
      <c r="AT1825" s="43"/>
      <c r="AV1825" s="53"/>
      <c r="CH1825" s="43"/>
      <c r="DD1825" s="53"/>
      <c r="DE1825" s="51"/>
      <c r="DJ1825" s="52"/>
      <c r="DK1825" s="52"/>
      <c r="DL1825" s="52"/>
    </row>
    <row r="1826" spans="39:116">
      <c r="AM1826" s="53"/>
      <c r="AT1826" s="43"/>
      <c r="AV1826" s="53"/>
      <c r="CH1826" s="43"/>
      <c r="DD1826" s="53"/>
      <c r="DE1826" s="51"/>
      <c r="DJ1826" s="52"/>
      <c r="DK1826" s="52"/>
      <c r="DL1826" s="52"/>
    </row>
    <row r="1827" spans="39:116">
      <c r="AM1827" s="53"/>
      <c r="AT1827" s="43"/>
      <c r="AV1827" s="53"/>
      <c r="CH1827" s="43"/>
      <c r="DD1827" s="53"/>
      <c r="DE1827" s="51"/>
      <c r="DJ1827" s="52"/>
      <c r="DK1827" s="52"/>
      <c r="DL1827" s="52"/>
    </row>
    <row r="1828" spans="39:116">
      <c r="AM1828" s="53"/>
      <c r="AT1828" s="43"/>
      <c r="AV1828" s="53"/>
      <c r="CH1828" s="43"/>
      <c r="DD1828" s="53"/>
      <c r="DE1828" s="51"/>
      <c r="DJ1828" s="52"/>
      <c r="DK1828" s="52"/>
      <c r="DL1828" s="52"/>
    </row>
    <row r="1829" spans="39:116">
      <c r="AM1829" s="53"/>
      <c r="AT1829" s="43"/>
      <c r="AV1829" s="53"/>
      <c r="CH1829" s="43"/>
      <c r="DD1829" s="53"/>
      <c r="DE1829" s="51"/>
      <c r="DJ1829" s="52"/>
      <c r="DK1829" s="52"/>
      <c r="DL1829" s="52"/>
    </row>
    <row r="1830" spans="39:116">
      <c r="AM1830" s="53"/>
      <c r="AT1830" s="43"/>
      <c r="AV1830" s="53"/>
      <c r="CH1830" s="43"/>
      <c r="DD1830" s="53"/>
      <c r="DE1830" s="51"/>
      <c r="DJ1830" s="52"/>
      <c r="DK1830" s="52"/>
      <c r="DL1830" s="52"/>
    </row>
    <row r="1831" spans="39:116">
      <c r="AM1831" s="53"/>
      <c r="AT1831" s="43"/>
      <c r="AV1831" s="53"/>
      <c r="CH1831" s="43"/>
      <c r="DD1831" s="53"/>
      <c r="DE1831" s="51"/>
      <c r="DJ1831" s="52"/>
      <c r="DK1831" s="52"/>
      <c r="DL1831" s="52"/>
    </row>
    <row r="1832" spans="39:116">
      <c r="AM1832" s="53"/>
      <c r="AT1832" s="43"/>
      <c r="AV1832" s="53"/>
      <c r="CH1832" s="43"/>
      <c r="DD1832" s="53"/>
      <c r="DE1832" s="51"/>
      <c r="DJ1832" s="52"/>
      <c r="DK1832" s="52"/>
      <c r="DL1832" s="52"/>
    </row>
    <row r="1833" spans="39:116">
      <c r="AM1833" s="53"/>
      <c r="AT1833" s="43"/>
      <c r="AV1833" s="53"/>
      <c r="CH1833" s="43"/>
      <c r="DD1833" s="53"/>
      <c r="DE1833" s="51"/>
      <c r="DJ1833" s="52"/>
      <c r="DK1833" s="52"/>
      <c r="DL1833" s="52"/>
    </row>
    <row r="1834" spans="39:116">
      <c r="AM1834" s="53"/>
      <c r="AT1834" s="43"/>
      <c r="AV1834" s="53"/>
      <c r="CH1834" s="43"/>
      <c r="DD1834" s="53"/>
      <c r="DE1834" s="51"/>
      <c r="DJ1834" s="52"/>
      <c r="DK1834" s="52"/>
      <c r="DL1834" s="52"/>
    </row>
    <row r="1835" spans="39:116">
      <c r="AM1835" s="53"/>
      <c r="AT1835" s="43"/>
      <c r="AV1835" s="53"/>
      <c r="CH1835" s="43"/>
      <c r="DD1835" s="53"/>
      <c r="DE1835" s="51"/>
      <c r="DJ1835" s="52"/>
      <c r="DK1835" s="52"/>
      <c r="DL1835" s="52"/>
    </row>
    <row r="1836" spans="39:116">
      <c r="AM1836" s="53"/>
      <c r="AT1836" s="43"/>
      <c r="AV1836" s="53"/>
      <c r="CH1836" s="43"/>
      <c r="DD1836" s="53"/>
      <c r="DE1836" s="51"/>
      <c r="DJ1836" s="52"/>
      <c r="DK1836" s="52"/>
      <c r="DL1836" s="52"/>
    </row>
    <row r="1837" spans="39:116">
      <c r="AM1837" s="53"/>
      <c r="AT1837" s="43"/>
      <c r="AV1837" s="53"/>
      <c r="CH1837" s="43"/>
      <c r="DD1837" s="53"/>
      <c r="DE1837" s="51"/>
      <c r="DJ1837" s="52"/>
      <c r="DK1837" s="52"/>
      <c r="DL1837" s="52"/>
    </row>
    <row r="1838" spans="39:116">
      <c r="AM1838" s="53"/>
      <c r="AT1838" s="43"/>
      <c r="AV1838" s="53"/>
      <c r="CH1838" s="43"/>
      <c r="DD1838" s="53"/>
      <c r="DE1838" s="51"/>
      <c r="DJ1838" s="52"/>
      <c r="DK1838" s="52"/>
      <c r="DL1838" s="52"/>
    </row>
    <row r="1839" spans="39:116">
      <c r="AM1839" s="53"/>
      <c r="AT1839" s="43"/>
      <c r="AV1839" s="53"/>
      <c r="CH1839" s="43"/>
      <c r="DD1839" s="53"/>
      <c r="DE1839" s="51"/>
      <c r="DJ1839" s="52"/>
      <c r="DK1839" s="52"/>
      <c r="DL1839" s="52"/>
    </row>
    <row r="1840" spans="39:116">
      <c r="AM1840" s="53"/>
      <c r="AT1840" s="43"/>
      <c r="AV1840" s="53"/>
      <c r="CH1840" s="43"/>
      <c r="DD1840" s="53"/>
      <c r="DE1840" s="51"/>
      <c r="DJ1840" s="52"/>
      <c r="DK1840" s="52"/>
      <c r="DL1840" s="52"/>
    </row>
    <row r="1841" spans="39:116">
      <c r="AM1841" s="53"/>
      <c r="AT1841" s="43"/>
      <c r="AV1841" s="53"/>
      <c r="CH1841" s="43"/>
      <c r="DD1841" s="53"/>
      <c r="DE1841" s="51"/>
      <c r="DJ1841" s="52"/>
      <c r="DK1841" s="52"/>
      <c r="DL1841" s="52"/>
    </row>
    <row r="1842" spans="39:116">
      <c r="AM1842" s="53"/>
      <c r="AT1842" s="43"/>
      <c r="AV1842" s="53"/>
      <c r="CH1842" s="43"/>
      <c r="DD1842" s="53"/>
      <c r="DE1842" s="51"/>
      <c r="DJ1842" s="52"/>
      <c r="DK1842" s="52"/>
      <c r="DL1842" s="52"/>
    </row>
    <row r="1843" spans="39:116">
      <c r="AM1843" s="53"/>
      <c r="AT1843" s="43"/>
      <c r="AV1843" s="53"/>
      <c r="CH1843" s="43"/>
      <c r="DD1843" s="53"/>
      <c r="DE1843" s="51"/>
      <c r="DJ1843" s="52"/>
      <c r="DK1843" s="52"/>
      <c r="DL1843" s="52"/>
    </row>
    <row r="1844" spans="39:116">
      <c r="AM1844" s="53"/>
      <c r="AT1844" s="43"/>
      <c r="AV1844" s="53"/>
      <c r="CH1844" s="43"/>
      <c r="DD1844" s="53"/>
      <c r="DE1844" s="51"/>
      <c r="DJ1844" s="52"/>
      <c r="DK1844" s="52"/>
      <c r="DL1844" s="52"/>
    </row>
    <row r="1845" spans="39:116">
      <c r="AM1845" s="53"/>
      <c r="AT1845" s="43"/>
      <c r="AV1845" s="53"/>
      <c r="CH1845" s="43"/>
      <c r="DD1845" s="53"/>
      <c r="DE1845" s="51"/>
      <c r="DJ1845" s="52"/>
      <c r="DK1845" s="52"/>
      <c r="DL1845" s="52"/>
    </row>
    <row r="1846" spans="39:116">
      <c r="AM1846" s="53"/>
      <c r="AT1846" s="43"/>
      <c r="AV1846" s="53"/>
      <c r="CH1846" s="43"/>
      <c r="DD1846" s="53"/>
      <c r="DE1846" s="51"/>
      <c r="DJ1846" s="52"/>
      <c r="DK1846" s="52"/>
      <c r="DL1846" s="52"/>
    </row>
    <row r="1847" spans="39:116">
      <c r="AM1847" s="53"/>
      <c r="AT1847" s="43"/>
      <c r="AV1847" s="53"/>
      <c r="CH1847" s="43"/>
      <c r="DD1847" s="53"/>
      <c r="DE1847" s="51"/>
      <c r="DJ1847" s="52"/>
      <c r="DK1847" s="52"/>
      <c r="DL1847" s="52"/>
    </row>
    <row r="1848" spans="39:116">
      <c r="AM1848" s="53"/>
      <c r="AT1848" s="43"/>
      <c r="AV1848" s="53"/>
      <c r="CH1848" s="43"/>
      <c r="DD1848" s="53"/>
      <c r="DE1848" s="51"/>
      <c r="DJ1848" s="52"/>
      <c r="DK1848" s="52"/>
      <c r="DL1848" s="52"/>
    </row>
    <row r="1849" spans="39:116">
      <c r="AM1849" s="53"/>
      <c r="AT1849" s="43"/>
      <c r="AV1849" s="53"/>
      <c r="CH1849" s="43"/>
      <c r="DD1849" s="53"/>
      <c r="DE1849" s="51"/>
      <c r="DJ1849" s="52"/>
      <c r="DK1849" s="52"/>
      <c r="DL1849" s="52"/>
    </row>
    <row r="1850" spans="39:116">
      <c r="AM1850" s="53"/>
      <c r="AT1850" s="43"/>
      <c r="AV1850" s="53"/>
      <c r="CH1850" s="43"/>
      <c r="DD1850" s="53"/>
      <c r="DE1850" s="51"/>
      <c r="DJ1850" s="52"/>
      <c r="DK1850" s="52"/>
      <c r="DL1850" s="52"/>
    </row>
    <row r="1851" spans="39:116">
      <c r="AM1851" s="53"/>
      <c r="AT1851" s="43"/>
      <c r="AV1851" s="53"/>
      <c r="CH1851" s="43"/>
      <c r="DD1851" s="53"/>
      <c r="DE1851" s="51"/>
      <c r="DJ1851" s="52"/>
      <c r="DK1851" s="52"/>
      <c r="DL1851" s="52"/>
    </row>
    <row r="1852" spans="39:116">
      <c r="AM1852" s="53"/>
      <c r="AT1852" s="43"/>
      <c r="AV1852" s="53"/>
      <c r="CH1852" s="43"/>
      <c r="DD1852" s="53"/>
      <c r="DE1852" s="51"/>
      <c r="DJ1852" s="52"/>
      <c r="DK1852" s="52"/>
      <c r="DL1852" s="52"/>
    </row>
    <row r="1853" spans="39:116">
      <c r="AM1853" s="53"/>
      <c r="AT1853" s="43"/>
      <c r="AV1853" s="53"/>
      <c r="CH1853" s="43"/>
      <c r="DD1853" s="53"/>
      <c r="DE1853" s="51"/>
      <c r="DJ1853" s="52"/>
      <c r="DK1853" s="52"/>
      <c r="DL1853" s="52"/>
    </row>
    <row r="1854" spans="39:116">
      <c r="AM1854" s="53"/>
      <c r="AT1854" s="43"/>
      <c r="AV1854" s="53"/>
      <c r="CH1854" s="43"/>
      <c r="DD1854" s="53"/>
      <c r="DE1854" s="51"/>
      <c r="DJ1854" s="52"/>
      <c r="DK1854" s="52"/>
      <c r="DL1854" s="52"/>
    </row>
    <row r="1855" spans="39:116">
      <c r="AM1855" s="53"/>
      <c r="AT1855" s="43"/>
      <c r="AV1855" s="53"/>
      <c r="CH1855" s="43"/>
      <c r="DD1855" s="53"/>
      <c r="DE1855" s="51"/>
      <c r="DJ1855" s="52"/>
      <c r="DK1855" s="52"/>
      <c r="DL1855" s="52"/>
    </row>
    <row r="1856" spans="39:116">
      <c r="AM1856" s="53"/>
      <c r="AT1856" s="43"/>
      <c r="AV1856" s="53"/>
      <c r="CH1856" s="43"/>
      <c r="DD1856" s="53"/>
      <c r="DE1856" s="51"/>
      <c r="DJ1856" s="52"/>
      <c r="DK1856" s="52"/>
      <c r="DL1856" s="52"/>
    </row>
    <row r="1857" spans="39:116">
      <c r="AM1857" s="53"/>
      <c r="AT1857" s="43"/>
      <c r="AV1857" s="53"/>
      <c r="CH1857" s="43"/>
      <c r="DD1857" s="53"/>
      <c r="DE1857" s="51"/>
      <c r="DJ1857" s="52"/>
      <c r="DK1857" s="52"/>
      <c r="DL1857" s="52"/>
    </row>
    <row r="1858" spans="39:116">
      <c r="AM1858" s="53"/>
      <c r="AT1858" s="43"/>
      <c r="AV1858" s="53"/>
      <c r="CH1858" s="43"/>
      <c r="DD1858" s="53"/>
      <c r="DE1858" s="51"/>
      <c r="DJ1858" s="52"/>
      <c r="DK1858" s="52"/>
      <c r="DL1858" s="52"/>
    </row>
    <row r="1859" spans="39:116">
      <c r="AM1859" s="53"/>
      <c r="AT1859" s="43"/>
      <c r="AV1859" s="53"/>
      <c r="CH1859" s="43"/>
      <c r="DD1859" s="53"/>
      <c r="DE1859" s="51"/>
      <c r="DJ1859" s="52"/>
      <c r="DK1859" s="52"/>
      <c r="DL1859" s="52"/>
    </row>
    <row r="1860" spans="39:116">
      <c r="AM1860" s="53"/>
      <c r="AT1860" s="43"/>
      <c r="AV1860" s="53"/>
      <c r="CH1860" s="43"/>
      <c r="DD1860" s="53"/>
      <c r="DE1860" s="51"/>
      <c r="DJ1860" s="52"/>
      <c r="DK1860" s="52"/>
      <c r="DL1860" s="52"/>
    </row>
    <row r="1861" spans="39:116">
      <c r="AM1861" s="53"/>
      <c r="AT1861" s="43"/>
      <c r="AV1861" s="53"/>
      <c r="CH1861" s="43"/>
      <c r="DD1861" s="53"/>
      <c r="DE1861" s="51"/>
      <c r="DJ1861" s="52"/>
      <c r="DK1861" s="52"/>
      <c r="DL1861" s="52"/>
    </row>
    <row r="1862" spans="39:116">
      <c r="AM1862" s="53"/>
      <c r="AT1862" s="43"/>
      <c r="AV1862" s="53"/>
      <c r="CH1862" s="43"/>
      <c r="DD1862" s="53"/>
      <c r="DE1862" s="51"/>
      <c r="DJ1862" s="52"/>
      <c r="DK1862" s="52"/>
      <c r="DL1862" s="52"/>
    </row>
    <row r="1863" spans="39:116">
      <c r="AM1863" s="53"/>
      <c r="AT1863" s="43"/>
      <c r="AV1863" s="53"/>
      <c r="CH1863" s="43"/>
      <c r="DD1863" s="53"/>
      <c r="DE1863" s="51"/>
      <c r="DJ1863" s="52"/>
      <c r="DK1863" s="52"/>
      <c r="DL1863" s="52"/>
    </row>
    <row r="1864" spans="39:116">
      <c r="AM1864" s="53"/>
      <c r="AT1864" s="43"/>
      <c r="AV1864" s="53"/>
      <c r="CH1864" s="43"/>
      <c r="DD1864" s="53"/>
      <c r="DE1864" s="51"/>
      <c r="DJ1864" s="52"/>
      <c r="DK1864" s="52"/>
      <c r="DL1864" s="52"/>
    </row>
    <row r="1865" spans="39:116">
      <c r="AM1865" s="53"/>
      <c r="AT1865" s="43"/>
      <c r="AV1865" s="53"/>
      <c r="CH1865" s="43"/>
      <c r="DD1865" s="53"/>
      <c r="DE1865" s="51"/>
      <c r="DJ1865" s="52"/>
      <c r="DK1865" s="52"/>
      <c r="DL1865" s="52"/>
    </row>
    <row r="1866" spans="39:116">
      <c r="AM1866" s="53"/>
      <c r="AT1866" s="43"/>
      <c r="AV1866" s="53"/>
      <c r="CH1866" s="43"/>
      <c r="DD1866" s="53"/>
      <c r="DE1866" s="51"/>
      <c r="DJ1866" s="52"/>
      <c r="DK1866" s="52"/>
      <c r="DL1866" s="52"/>
    </row>
    <row r="1867" spans="39:116">
      <c r="AM1867" s="53"/>
      <c r="AT1867" s="43"/>
      <c r="AV1867" s="53"/>
      <c r="CH1867" s="43"/>
      <c r="DD1867" s="53"/>
      <c r="DE1867" s="51"/>
      <c r="DJ1867" s="52"/>
      <c r="DK1867" s="52"/>
      <c r="DL1867" s="52"/>
    </row>
    <row r="1868" spans="39:116">
      <c r="AM1868" s="53"/>
      <c r="AT1868" s="43"/>
      <c r="AV1868" s="53"/>
      <c r="CH1868" s="43"/>
      <c r="DD1868" s="53"/>
      <c r="DE1868" s="51"/>
      <c r="DJ1868" s="52"/>
      <c r="DK1868" s="52"/>
      <c r="DL1868" s="52"/>
    </row>
    <row r="1869" spans="39:116">
      <c r="AM1869" s="53"/>
      <c r="AT1869" s="43"/>
      <c r="AV1869" s="53"/>
      <c r="CH1869" s="43"/>
      <c r="DD1869" s="53"/>
      <c r="DE1869" s="51"/>
      <c r="DJ1869" s="52"/>
      <c r="DK1869" s="52"/>
      <c r="DL1869" s="52"/>
    </row>
    <row r="1870" spans="39:116">
      <c r="AM1870" s="53"/>
      <c r="AT1870" s="43"/>
      <c r="AV1870" s="53"/>
      <c r="CH1870" s="43"/>
      <c r="DD1870" s="53"/>
      <c r="DE1870" s="51"/>
      <c r="DJ1870" s="52"/>
      <c r="DK1870" s="52"/>
      <c r="DL1870" s="52"/>
    </row>
    <row r="1871" spans="39:116">
      <c r="AM1871" s="53"/>
      <c r="AT1871" s="43"/>
      <c r="AV1871" s="53"/>
      <c r="CH1871" s="43"/>
      <c r="DD1871" s="53"/>
      <c r="DE1871" s="51"/>
      <c r="DJ1871" s="52"/>
      <c r="DK1871" s="52"/>
      <c r="DL1871" s="52"/>
    </row>
    <row r="1872" spans="39:116">
      <c r="AM1872" s="53"/>
      <c r="AT1872" s="43"/>
      <c r="AV1872" s="53"/>
      <c r="CH1872" s="43"/>
      <c r="DD1872" s="53"/>
      <c r="DE1872" s="51"/>
      <c r="DJ1872" s="52"/>
      <c r="DK1872" s="52"/>
      <c r="DL1872" s="52"/>
    </row>
    <row r="1873" spans="39:116">
      <c r="AM1873" s="53"/>
      <c r="AT1873" s="43"/>
      <c r="AV1873" s="53"/>
      <c r="CH1873" s="43"/>
      <c r="DD1873" s="53"/>
      <c r="DE1873" s="51"/>
      <c r="DJ1873" s="52"/>
      <c r="DK1873" s="52"/>
      <c r="DL1873" s="52"/>
    </row>
    <row r="1874" spans="39:116">
      <c r="AM1874" s="53"/>
      <c r="AT1874" s="43"/>
      <c r="AV1874" s="53"/>
      <c r="CH1874" s="43"/>
      <c r="DD1874" s="53"/>
      <c r="DE1874" s="51"/>
      <c r="DJ1874" s="52"/>
      <c r="DK1874" s="52"/>
      <c r="DL1874" s="52"/>
    </row>
    <row r="1875" spans="39:116">
      <c r="AM1875" s="53"/>
      <c r="AT1875" s="43"/>
      <c r="AV1875" s="53"/>
      <c r="CH1875" s="43"/>
      <c r="DD1875" s="53"/>
      <c r="DE1875" s="51"/>
      <c r="DJ1875" s="52"/>
      <c r="DK1875" s="52"/>
      <c r="DL1875" s="52"/>
    </row>
    <row r="1876" spans="39:116">
      <c r="AM1876" s="53"/>
      <c r="AT1876" s="43"/>
      <c r="AV1876" s="53"/>
      <c r="CH1876" s="43"/>
      <c r="DD1876" s="53"/>
      <c r="DE1876" s="51"/>
      <c r="DJ1876" s="52"/>
      <c r="DK1876" s="52"/>
      <c r="DL1876" s="52"/>
    </row>
    <row r="1877" spans="39:116">
      <c r="AM1877" s="53"/>
      <c r="AT1877" s="43"/>
      <c r="AV1877" s="53"/>
      <c r="CH1877" s="43"/>
      <c r="DD1877" s="53"/>
      <c r="DE1877" s="51"/>
      <c r="DJ1877" s="52"/>
      <c r="DK1877" s="52"/>
      <c r="DL1877" s="52"/>
    </row>
    <row r="1878" spans="39:116">
      <c r="AM1878" s="53"/>
      <c r="AT1878" s="43"/>
      <c r="AV1878" s="53"/>
      <c r="CH1878" s="43"/>
      <c r="DD1878" s="53"/>
      <c r="DE1878" s="51"/>
      <c r="DJ1878" s="52"/>
      <c r="DK1878" s="52"/>
      <c r="DL1878" s="52"/>
    </row>
    <row r="1879" spans="39:116">
      <c r="AM1879" s="53"/>
      <c r="AT1879" s="43"/>
      <c r="AV1879" s="53"/>
      <c r="CH1879" s="43"/>
      <c r="DD1879" s="53"/>
      <c r="DE1879" s="51"/>
      <c r="DJ1879" s="52"/>
      <c r="DK1879" s="52"/>
      <c r="DL1879" s="52"/>
    </row>
    <row r="1880" spans="39:116">
      <c r="AM1880" s="53"/>
      <c r="AT1880" s="43"/>
      <c r="AV1880" s="53"/>
      <c r="CH1880" s="43"/>
      <c r="DD1880" s="53"/>
      <c r="DE1880" s="51"/>
      <c r="DJ1880" s="52"/>
      <c r="DK1880" s="52"/>
      <c r="DL1880" s="52"/>
    </row>
    <row r="1881" spans="39:116">
      <c r="AM1881" s="53"/>
      <c r="AT1881" s="43"/>
      <c r="AV1881" s="53"/>
      <c r="CH1881" s="43"/>
      <c r="DD1881" s="53"/>
      <c r="DE1881" s="51"/>
      <c r="DJ1881" s="52"/>
      <c r="DK1881" s="52"/>
      <c r="DL1881" s="52"/>
    </row>
    <row r="1882" spans="39:116">
      <c r="AM1882" s="53"/>
      <c r="AT1882" s="43"/>
      <c r="AV1882" s="53"/>
      <c r="CH1882" s="43"/>
      <c r="DD1882" s="53"/>
      <c r="DE1882" s="51"/>
      <c r="DJ1882" s="52"/>
      <c r="DK1882" s="52"/>
      <c r="DL1882" s="52"/>
    </row>
    <row r="1883" spans="39:116">
      <c r="AM1883" s="53"/>
      <c r="AT1883" s="43"/>
      <c r="AV1883" s="53"/>
      <c r="CH1883" s="43"/>
      <c r="DD1883" s="53"/>
      <c r="DE1883" s="51"/>
      <c r="DJ1883" s="52"/>
      <c r="DK1883" s="52"/>
      <c r="DL1883" s="52"/>
    </row>
    <row r="1884" spans="39:116">
      <c r="AM1884" s="53"/>
      <c r="AT1884" s="43"/>
      <c r="AV1884" s="53"/>
      <c r="CH1884" s="43"/>
      <c r="DD1884" s="53"/>
      <c r="DE1884" s="51"/>
      <c r="DJ1884" s="52"/>
      <c r="DK1884" s="52"/>
      <c r="DL1884" s="52"/>
    </row>
    <row r="1885" spans="39:116">
      <c r="AM1885" s="53"/>
      <c r="AT1885" s="43"/>
      <c r="AV1885" s="53"/>
      <c r="CH1885" s="43"/>
      <c r="DD1885" s="53"/>
      <c r="DE1885" s="51"/>
      <c r="DJ1885" s="52"/>
      <c r="DK1885" s="52"/>
      <c r="DL1885" s="52"/>
    </row>
    <row r="1886" spans="39:116">
      <c r="AM1886" s="53"/>
      <c r="AT1886" s="43"/>
      <c r="AV1886" s="53"/>
      <c r="CH1886" s="43"/>
      <c r="DD1886" s="53"/>
      <c r="DE1886" s="51"/>
      <c r="DJ1886" s="52"/>
      <c r="DK1886" s="52"/>
      <c r="DL1886" s="52"/>
    </row>
    <row r="1887" spans="39:116">
      <c r="AM1887" s="53"/>
      <c r="AT1887" s="43"/>
      <c r="AV1887" s="53"/>
      <c r="CH1887" s="43"/>
      <c r="DD1887" s="53"/>
      <c r="DE1887" s="51"/>
      <c r="DJ1887" s="52"/>
      <c r="DK1887" s="52"/>
      <c r="DL1887" s="52"/>
    </row>
    <row r="1888" spans="39:116">
      <c r="AM1888" s="53"/>
      <c r="AT1888" s="43"/>
      <c r="AV1888" s="53"/>
      <c r="CH1888" s="43"/>
      <c r="DD1888" s="53"/>
      <c r="DE1888" s="51"/>
      <c r="DJ1888" s="52"/>
      <c r="DK1888" s="52"/>
      <c r="DL1888" s="52"/>
    </row>
    <row r="1889" spans="39:116">
      <c r="AM1889" s="53"/>
      <c r="AT1889" s="43"/>
      <c r="AV1889" s="53"/>
      <c r="CH1889" s="43"/>
      <c r="DD1889" s="53"/>
      <c r="DE1889" s="51"/>
      <c r="DJ1889" s="52"/>
      <c r="DK1889" s="52"/>
      <c r="DL1889" s="52"/>
    </row>
    <row r="1890" spans="39:116">
      <c r="AM1890" s="53"/>
      <c r="AT1890" s="43"/>
      <c r="AV1890" s="53"/>
      <c r="CH1890" s="43"/>
      <c r="DD1890" s="53"/>
      <c r="DE1890" s="51"/>
      <c r="DJ1890" s="52"/>
      <c r="DK1890" s="52"/>
      <c r="DL1890" s="52"/>
    </row>
    <row r="1891" spans="39:116">
      <c r="AM1891" s="53"/>
      <c r="AT1891" s="43"/>
      <c r="AV1891" s="53"/>
      <c r="CH1891" s="43"/>
      <c r="DD1891" s="53"/>
      <c r="DE1891" s="51"/>
      <c r="DJ1891" s="52"/>
      <c r="DK1891" s="52"/>
      <c r="DL1891" s="52"/>
    </row>
    <row r="1892" spans="39:116">
      <c r="AM1892" s="53"/>
      <c r="AT1892" s="43"/>
      <c r="AV1892" s="53"/>
      <c r="CH1892" s="43"/>
      <c r="DD1892" s="53"/>
      <c r="DE1892" s="51"/>
      <c r="DJ1892" s="52"/>
      <c r="DK1892" s="52"/>
      <c r="DL1892" s="52"/>
    </row>
    <row r="1893" spans="39:116">
      <c r="AM1893" s="53"/>
      <c r="AT1893" s="43"/>
      <c r="AV1893" s="53"/>
      <c r="CH1893" s="43"/>
      <c r="DD1893" s="53"/>
      <c r="DE1893" s="51"/>
      <c r="DJ1893" s="52"/>
      <c r="DK1893" s="52"/>
      <c r="DL1893" s="52"/>
    </row>
    <row r="1894" spans="39:116">
      <c r="AM1894" s="53"/>
      <c r="AT1894" s="43"/>
      <c r="AV1894" s="53"/>
      <c r="CH1894" s="43"/>
      <c r="DD1894" s="53"/>
      <c r="DE1894" s="51"/>
      <c r="DJ1894" s="52"/>
      <c r="DK1894" s="52"/>
      <c r="DL1894" s="52"/>
    </row>
    <row r="1895" spans="39:116">
      <c r="AM1895" s="53"/>
      <c r="AT1895" s="43"/>
      <c r="AV1895" s="53"/>
      <c r="CH1895" s="43"/>
      <c r="DD1895" s="53"/>
      <c r="DE1895" s="51"/>
      <c r="DJ1895" s="52"/>
      <c r="DK1895" s="52"/>
      <c r="DL1895" s="52"/>
    </row>
    <row r="1896" spans="39:116">
      <c r="AM1896" s="53"/>
      <c r="AT1896" s="43"/>
      <c r="AV1896" s="53"/>
      <c r="CH1896" s="43"/>
      <c r="DD1896" s="53"/>
      <c r="DE1896" s="51"/>
      <c r="DJ1896" s="52"/>
      <c r="DK1896" s="52"/>
      <c r="DL1896" s="52"/>
    </row>
    <row r="1897" spans="39:116">
      <c r="AM1897" s="53"/>
      <c r="AT1897" s="43"/>
      <c r="AV1897" s="53"/>
      <c r="CH1897" s="43"/>
      <c r="DD1897" s="53"/>
      <c r="DE1897" s="51"/>
      <c r="DJ1897" s="52"/>
      <c r="DK1897" s="52"/>
      <c r="DL1897" s="52"/>
    </row>
    <row r="1898" spans="39:116">
      <c r="AM1898" s="53"/>
      <c r="AT1898" s="43"/>
      <c r="AV1898" s="53"/>
      <c r="CH1898" s="43"/>
      <c r="DD1898" s="53"/>
      <c r="DE1898" s="51"/>
      <c r="DJ1898" s="52"/>
      <c r="DK1898" s="52"/>
      <c r="DL1898" s="52"/>
    </row>
    <row r="1899" spans="39:116">
      <c r="AM1899" s="53"/>
      <c r="AT1899" s="43"/>
      <c r="AV1899" s="53"/>
      <c r="CH1899" s="43"/>
      <c r="DD1899" s="53"/>
      <c r="DE1899" s="51"/>
      <c r="DJ1899" s="52"/>
      <c r="DK1899" s="52"/>
      <c r="DL1899" s="52"/>
    </row>
    <row r="1900" spans="39:116">
      <c r="AM1900" s="53"/>
      <c r="AT1900" s="43"/>
      <c r="AV1900" s="53"/>
      <c r="CH1900" s="43"/>
      <c r="DD1900" s="53"/>
      <c r="DE1900" s="51"/>
      <c r="DJ1900" s="52"/>
      <c r="DK1900" s="52"/>
      <c r="DL1900" s="52"/>
    </row>
    <row r="1901" spans="39:116">
      <c r="AM1901" s="53"/>
      <c r="AT1901" s="43"/>
      <c r="AV1901" s="53"/>
      <c r="CH1901" s="43"/>
      <c r="DD1901" s="53"/>
      <c r="DE1901" s="51"/>
      <c r="DJ1901" s="52"/>
      <c r="DK1901" s="52"/>
      <c r="DL1901" s="52"/>
    </row>
    <row r="1902" spans="39:116">
      <c r="AM1902" s="53"/>
      <c r="AT1902" s="43"/>
      <c r="AV1902" s="53"/>
      <c r="CH1902" s="43"/>
      <c r="DD1902" s="53"/>
      <c r="DE1902" s="51"/>
      <c r="DJ1902" s="52"/>
      <c r="DK1902" s="52"/>
      <c r="DL1902" s="52"/>
    </row>
    <row r="1903" spans="39:116">
      <c r="AM1903" s="53"/>
      <c r="AT1903" s="43"/>
      <c r="AV1903" s="53"/>
      <c r="CH1903" s="43"/>
      <c r="DD1903" s="53"/>
      <c r="DE1903" s="51"/>
      <c r="DJ1903" s="52"/>
      <c r="DK1903" s="52"/>
      <c r="DL1903" s="52"/>
    </row>
    <row r="1904" spans="39:116">
      <c r="AM1904" s="53"/>
      <c r="AT1904" s="43"/>
      <c r="AV1904" s="53"/>
      <c r="CH1904" s="43"/>
      <c r="DD1904" s="53"/>
      <c r="DE1904" s="51"/>
      <c r="DJ1904" s="52"/>
      <c r="DK1904" s="52"/>
      <c r="DL1904" s="52"/>
    </row>
    <row r="1905" spans="39:116">
      <c r="AM1905" s="53"/>
      <c r="AT1905" s="43"/>
      <c r="AV1905" s="53"/>
      <c r="CH1905" s="43"/>
      <c r="DD1905" s="53"/>
      <c r="DE1905" s="51"/>
      <c r="DJ1905" s="52"/>
      <c r="DK1905" s="52"/>
      <c r="DL1905" s="52"/>
    </row>
    <row r="1906" spans="39:116">
      <c r="AM1906" s="53"/>
      <c r="AT1906" s="43"/>
      <c r="AV1906" s="53"/>
      <c r="CH1906" s="43"/>
      <c r="DD1906" s="53"/>
      <c r="DE1906" s="51"/>
      <c r="DJ1906" s="52"/>
      <c r="DK1906" s="52"/>
      <c r="DL1906" s="52"/>
    </row>
    <row r="1907" spans="39:116">
      <c r="AM1907" s="53"/>
      <c r="AT1907" s="43"/>
      <c r="AV1907" s="53"/>
      <c r="CH1907" s="43"/>
      <c r="DD1907" s="53"/>
      <c r="DE1907" s="51"/>
      <c r="DJ1907" s="52"/>
      <c r="DK1907" s="52"/>
      <c r="DL1907" s="52"/>
    </row>
    <row r="1908" spans="39:116">
      <c r="AM1908" s="53"/>
      <c r="AT1908" s="43"/>
      <c r="AV1908" s="53"/>
      <c r="CH1908" s="43"/>
      <c r="DD1908" s="53"/>
      <c r="DE1908" s="51"/>
      <c r="DJ1908" s="52"/>
      <c r="DK1908" s="52"/>
      <c r="DL1908" s="52"/>
    </row>
    <row r="1909" spans="39:116">
      <c r="AM1909" s="53"/>
      <c r="AT1909" s="43"/>
      <c r="AV1909" s="53"/>
      <c r="CH1909" s="43"/>
      <c r="DD1909" s="53"/>
      <c r="DE1909" s="51"/>
      <c r="DJ1909" s="52"/>
      <c r="DK1909" s="52"/>
      <c r="DL1909" s="52"/>
    </row>
    <row r="1910" spans="39:116">
      <c r="AM1910" s="53"/>
      <c r="AT1910" s="43"/>
      <c r="AV1910" s="53"/>
      <c r="CH1910" s="43"/>
      <c r="DD1910" s="53"/>
      <c r="DE1910" s="51"/>
      <c r="DJ1910" s="52"/>
      <c r="DK1910" s="52"/>
      <c r="DL1910" s="52"/>
    </row>
    <row r="1911" spans="39:116">
      <c r="AM1911" s="53"/>
      <c r="AT1911" s="43"/>
      <c r="AV1911" s="53"/>
      <c r="CH1911" s="43"/>
      <c r="DD1911" s="53"/>
      <c r="DE1911" s="51"/>
      <c r="DJ1911" s="52"/>
      <c r="DK1911" s="52"/>
      <c r="DL1911" s="52"/>
    </row>
    <row r="1912" spans="39:116">
      <c r="AM1912" s="53"/>
      <c r="AT1912" s="43"/>
      <c r="AV1912" s="53"/>
      <c r="CH1912" s="43"/>
      <c r="DD1912" s="53"/>
      <c r="DE1912" s="51"/>
      <c r="DJ1912" s="52"/>
      <c r="DK1912" s="52"/>
      <c r="DL1912" s="52"/>
    </row>
    <row r="1913" spans="39:116">
      <c r="AM1913" s="53"/>
      <c r="AT1913" s="43"/>
      <c r="AV1913" s="53"/>
      <c r="CH1913" s="43"/>
      <c r="DD1913" s="53"/>
      <c r="DE1913" s="51"/>
      <c r="DJ1913" s="52"/>
      <c r="DK1913" s="52"/>
      <c r="DL1913" s="52"/>
    </row>
    <row r="1914" spans="39:116">
      <c r="AM1914" s="53"/>
      <c r="AT1914" s="43"/>
      <c r="AV1914" s="53"/>
      <c r="CH1914" s="43"/>
      <c r="DD1914" s="53"/>
      <c r="DE1914" s="51"/>
      <c r="DJ1914" s="52"/>
      <c r="DK1914" s="52"/>
      <c r="DL1914" s="52"/>
    </row>
    <row r="1915" spans="39:116">
      <c r="AM1915" s="53"/>
      <c r="AT1915" s="43"/>
      <c r="AV1915" s="53"/>
      <c r="CH1915" s="43"/>
      <c r="DD1915" s="53"/>
      <c r="DE1915" s="51"/>
      <c r="DJ1915" s="52"/>
      <c r="DK1915" s="52"/>
      <c r="DL1915" s="52"/>
    </row>
    <row r="1916" spans="39:116">
      <c r="AM1916" s="53"/>
      <c r="AT1916" s="43"/>
      <c r="AV1916" s="53"/>
      <c r="CH1916" s="43"/>
      <c r="DD1916" s="53"/>
      <c r="DE1916" s="51"/>
      <c r="DJ1916" s="52"/>
      <c r="DK1916" s="52"/>
      <c r="DL1916" s="52"/>
    </row>
    <row r="1917" spans="39:116">
      <c r="AM1917" s="53"/>
      <c r="AT1917" s="43"/>
      <c r="AV1917" s="53"/>
      <c r="CH1917" s="43"/>
      <c r="DD1917" s="53"/>
      <c r="DE1917" s="51"/>
      <c r="DJ1917" s="52"/>
      <c r="DK1917" s="52"/>
      <c r="DL1917" s="52"/>
    </row>
    <row r="1918" spans="39:116">
      <c r="AM1918" s="53"/>
      <c r="AT1918" s="43"/>
      <c r="AV1918" s="53"/>
      <c r="CH1918" s="43"/>
      <c r="DD1918" s="53"/>
      <c r="DE1918" s="51"/>
      <c r="DJ1918" s="52"/>
      <c r="DK1918" s="52"/>
      <c r="DL1918" s="52"/>
    </row>
    <row r="1919" spans="39:116">
      <c r="AM1919" s="53"/>
      <c r="AT1919" s="43"/>
      <c r="AV1919" s="53"/>
      <c r="CH1919" s="43"/>
      <c r="DD1919" s="53"/>
      <c r="DE1919" s="51"/>
      <c r="DJ1919" s="52"/>
      <c r="DK1919" s="52"/>
      <c r="DL1919" s="52"/>
    </row>
    <row r="1920" spans="39:116">
      <c r="AM1920" s="53"/>
      <c r="AT1920" s="43"/>
      <c r="AV1920" s="53"/>
      <c r="CH1920" s="43"/>
      <c r="DD1920" s="53"/>
      <c r="DE1920" s="51"/>
      <c r="DJ1920" s="52"/>
      <c r="DK1920" s="52"/>
      <c r="DL1920" s="52"/>
    </row>
    <row r="1921" spans="39:116">
      <c r="AM1921" s="53"/>
      <c r="AT1921" s="43"/>
      <c r="AV1921" s="53"/>
      <c r="CH1921" s="43"/>
      <c r="DD1921" s="53"/>
      <c r="DE1921" s="51"/>
      <c r="DJ1921" s="52"/>
      <c r="DK1921" s="52"/>
      <c r="DL1921" s="52"/>
    </row>
    <row r="1922" spans="39:116">
      <c r="AM1922" s="53"/>
      <c r="AT1922" s="43"/>
      <c r="AV1922" s="53"/>
      <c r="CH1922" s="43"/>
      <c r="DD1922" s="53"/>
      <c r="DE1922" s="51"/>
      <c r="DJ1922" s="52"/>
      <c r="DK1922" s="52"/>
      <c r="DL1922" s="52"/>
    </row>
    <row r="1923" spans="39:116">
      <c r="AM1923" s="53"/>
      <c r="AT1923" s="43"/>
      <c r="AV1923" s="53"/>
      <c r="CH1923" s="43"/>
      <c r="DD1923" s="53"/>
      <c r="DE1923" s="51"/>
      <c r="DJ1923" s="52"/>
      <c r="DK1923" s="52"/>
      <c r="DL1923" s="52"/>
    </row>
    <row r="1924" spans="39:116">
      <c r="AM1924" s="53"/>
      <c r="AT1924" s="43"/>
      <c r="AV1924" s="53"/>
      <c r="CH1924" s="43"/>
      <c r="DD1924" s="53"/>
      <c r="DE1924" s="51"/>
      <c r="DJ1924" s="52"/>
      <c r="DK1924" s="52"/>
      <c r="DL1924" s="52"/>
    </row>
    <row r="1925" spans="39:116">
      <c r="AM1925" s="53"/>
      <c r="AT1925" s="43"/>
      <c r="AV1925" s="53"/>
      <c r="CH1925" s="43"/>
      <c r="DD1925" s="53"/>
      <c r="DE1925" s="51"/>
      <c r="DJ1925" s="52"/>
      <c r="DK1925" s="52"/>
      <c r="DL1925" s="52"/>
    </row>
    <row r="1926" spans="39:116">
      <c r="AM1926" s="53"/>
      <c r="AT1926" s="43"/>
      <c r="AV1926" s="53"/>
      <c r="CH1926" s="43"/>
      <c r="DD1926" s="53"/>
      <c r="DE1926" s="51"/>
      <c r="DJ1926" s="52"/>
      <c r="DK1926" s="52"/>
      <c r="DL1926" s="52"/>
    </row>
    <row r="1927" spans="39:116">
      <c r="AM1927" s="53"/>
      <c r="AT1927" s="43"/>
      <c r="AV1927" s="53"/>
      <c r="CH1927" s="43"/>
      <c r="DD1927" s="53"/>
      <c r="DE1927" s="51"/>
      <c r="DJ1927" s="52"/>
      <c r="DK1927" s="52"/>
      <c r="DL1927" s="52"/>
    </row>
    <row r="1928" spans="39:116">
      <c r="AM1928" s="53"/>
      <c r="AT1928" s="43"/>
      <c r="AV1928" s="53"/>
      <c r="CH1928" s="43"/>
      <c r="DD1928" s="53"/>
      <c r="DE1928" s="51"/>
      <c r="DJ1928" s="52"/>
      <c r="DK1928" s="52"/>
      <c r="DL1928" s="52"/>
    </row>
    <row r="1929" spans="39:116">
      <c r="AM1929" s="53"/>
      <c r="AT1929" s="43"/>
      <c r="AV1929" s="53"/>
      <c r="CH1929" s="43"/>
      <c r="DD1929" s="53"/>
      <c r="DE1929" s="51"/>
      <c r="DJ1929" s="52"/>
      <c r="DK1929" s="52"/>
      <c r="DL1929" s="52"/>
    </row>
    <row r="1930" spans="39:116">
      <c r="AM1930" s="53"/>
      <c r="AT1930" s="43"/>
      <c r="AV1930" s="53"/>
      <c r="CH1930" s="43"/>
      <c r="DD1930" s="53"/>
      <c r="DE1930" s="51"/>
      <c r="DJ1930" s="52"/>
      <c r="DK1930" s="52"/>
      <c r="DL1930" s="52"/>
    </row>
    <row r="1931" spans="39:116">
      <c r="AM1931" s="53"/>
      <c r="AT1931" s="43"/>
      <c r="AV1931" s="53"/>
      <c r="CH1931" s="43"/>
      <c r="DD1931" s="53"/>
      <c r="DE1931" s="51"/>
      <c r="DJ1931" s="52"/>
      <c r="DK1931" s="52"/>
      <c r="DL1931" s="52"/>
    </row>
    <row r="1932" spans="39:116">
      <c r="AM1932" s="53"/>
      <c r="AT1932" s="43"/>
      <c r="AV1932" s="53"/>
      <c r="CH1932" s="43"/>
      <c r="DD1932" s="53"/>
      <c r="DE1932" s="51"/>
      <c r="DJ1932" s="52"/>
      <c r="DK1932" s="52"/>
      <c r="DL1932" s="52"/>
    </row>
    <row r="1933" spans="39:116">
      <c r="AM1933" s="53"/>
      <c r="AT1933" s="43"/>
      <c r="AV1933" s="53"/>
      <c r="CH1933" s="43"/>
      <c r="DD1933" s="53"/>
      <c r="DE1933" s="51"/>
      <c r="DJ1933" s="52"/>
      <c r="DK1933" s="52"/>
      <c r="DL1933" s="52"/>
    </row>
    <row r="1934" spans="39:116">
      <c r="AM1934" s="53"/>
      <c r="AT1934" s="43"/>
      <c r="AV1934" s="53"/>
      <c r="CH1934" s="43"/>
      <c r="DD1934" s="53"/>
      <c r="DE1934" s="51"/>
      <c r="DJ1934" s="52"/>
      <c r="DK1934" s="52"/>
      <c r="DL1934" s="52"/>
    </row>
    <row r="1935" spans="39:116">
      <c r="AM1935" s="53"/>
      <c r="AT1935" s="43"/>
      <c r="AV1935" s="53"/>
      <c r="CH1935" s="43"/>
      <c r="DD1935" s="53"/>
      <c r="DE1935" s="51"/>
      <c r="DJ1935" s="52"/>
      <c r="DK1935" s="52"/>
      <c r="DL1935" s="52"/>
    </row>
    <row r="1936" spans="39:116">
      <c r="AM1936" s="53"/>
      <c r="AT1936" s="43"/>
      <c r="AV1936" s="53"/>
      <c r="CH1936" s="43"/>
      <c r="DD1936" s="53"/>
      <c r="DE1936" s="51"/>
      <c r="DJ1936" s="52"/>
      <c r="DK1936" s="52"/>
      <c r="DL1936" s="52"/>
    </row>
    <row r="1937" spans="39:116">
      <c r="AM1937" s="53"/>
      <c r="AT1937" s="43"/>
      <c r="AV1937" s="53"/>
      <c r="CH1937" s="43"/>
      <c r="DD1937" s="53"/>
      <c r="DE1937" s="51"/>
      <c r="DJ1937" s="52"/>
      <c r="DK1937" s="52"/>
      <c r="DL1937" s="52"/>
    </row>
    <row r="1938" spans="39:116">
      <c r="AM1938" s="53"/>
      <c r="AT1938" s="43"/>
      <c r="AV1938" s="53"/>
      <c r="CH1938" s="43"/>
      <c r="DD1938" s="53"/>
      <c r="DE1938" s="51"/>
      <c r="DJ1938" s="52"/>
      <c r="DK1938" s="52"/>
      <c r="DL1938" s="52"/>
    </row>
    <row r="1939" spans="39:116">
      <c r="AM1939" s="53"/>
      <c r="AT1939" s="43"/>
      <c r="AV1939" s="53"/>
      <c r="CH1939" s="43"/>
      <c r="DD1939" s="53"/>
      <c r="DE1939" s="51"/>
      <c r="DJ1939" s="52"/>
      <c r="DK1939" s="52"/>
      <c r="DL1939" s="52"/>
    </row>
    <row r="1940" spans="39:116">
      <c r="AM1940" s="53"/>
      <c r="AT1940" s="43"/>
      <c r="AV1940" s="53"/>
      <c r="CH1940" s="43"/>
      <c r="DD1940" s="53"/>
      <c r="DE1940" s="51"/>
      <c r="DJ1940" s="52"/>
      <c r="DK1940" s="52"/>
      <c r="DL1940" s="52"/>
    </row>
    <row r="1941" spans="39:116">
      <c r="AM1941" s="53"/>
      <c r="AT1941" s="43"/>
      <c r="AV1941" s="53"/>
      <c r="CH1941" s="43"/>
      <c r="DD1941" s="53"/>
      <c r="DE1941" s="51"/>
      <c r="DJ1941" s="52"/>
      <c r="DK1941" s="52"/>
      <c r="DL1941" s="52"/>
    </row>
    <row r="1942" spans="39:116">
      <c r="AM1942" s="53"/>
      <c r="AT1942" s="43"/>
      <c r="AV1942" s="53"/>
      <c r="CH1942" s="43"/>
      <c r="DD1942" s="53"/>
      <c r="DE1942" s="51"/>
      <c r="DJ1942" s="52"/>
      <c r="DK1942" s="52"/>
      <c r="DL1942" s="52"/>
    </row>
    <row r="1943" spans="39:116">
      <c r="AM1943" s="53"/>
      <c r="AT1943" s="43"/>
      <c r="AV1943" s="53"/>
      <c r="CH1943" s="43"/>
      <c r="DD1943" s="53"/>
      <c r="DE1943" s="51"/>
      <c r="DJ1943" s="52"/>
      <c r="DK1943" s="52"/>
      <c r="DL1943" s="52"/>
    </row>
    <row r="1944" spans="39:116">
      <c r="AM1944" s="53"/>
      <c r="AT1944" s="43"/>
      <c r="AV1944" s="53"/>
      <c r="CH1944" s="43"/>
      <c r="DD1944" s="53"/>
      <c r="DE1944" s="51"/>
      <c r="DJ1944" s="52"/>
      <c r="DK1944" s="52"/>
      <c r="DL1944" s="52"/>
    </row>
    <row r="1945" spans="39:116">
      <c r="AM1945" s="53"/>
      <c r="AT1945" s="43"/>
      <c r="AV1945" s="53"/>
      <c r="CH1945" s="43"/>
      <c r="DD1945" s="53"/>
      <c r="DE1945" s="51"/>
      <c r="DJ1945" s="52"/>
      <c r="DK1945" s="52"/>
      <c r="DL1945" s="52"/>
    </row>
    <row r="1946" spans="39:116">
      <c r="AM1946" s="53"/>
      <c r="AT1946" s="43"/>
      <c r="AV1946" s="53"/>
      <c r="CH1946" s="43"/>
      <c r="DD1946" s="53"/>
      <c r="DE1946" s="51"/>
      <c r="DJ1946" s="52"/>
      <c r="DK1946" s="52"/>
      <c r="DL1946" s="52"/>
    </row>
    <row r="1947" spans="39:116">
      <c r="AM1947" s="53"/>
      <c r="AT1947" s="43"/>
      <c r="AV1947" s="53"/>
      <c r="CH1947" s="43"/>
      <c r="DD1947" s="53"/>
      <c r="DE1947" s="51"/>
      <c r="DJ1947" s="52"/>
      <c r="DK1947" s="52"/>
      <c r="DL1947" s="52"/>
    </row>
    <row r="1948" spans="39:116">
      <c r="AM1948" s="53"/>
      <c r="AT1948" s="43"/>
      <c r="AV1948" s="53"/>
      <c r="CH1948" s="43"/>
      <c r="DD1948" s="53"/>
      <c r="DE1948" s="51"/>
      <c r="DJ1948" s="52"/>
      <c r="DK1948" s="52"/>
      <c r="DL1948" s="52"/>
    </row>
    <row r="1949" spans="39:116">
      <c r="AM1949" s="53"/>
      <c r="AT1949" s="43"/>
      <c r="AV1949" s="53"/>
      <c r="CH1949" s="43"/>
      <c r="DD1949" s="53"/>
      <c r="DE1949" s="51"/>
      <c r="DJ1949" s="52"/>
      <c r="DK1949" s="52"/>
      <c r="DL1949" s="52"/>
    </row>
    <row r="1950" spans="39:116">
      <c r="AM1950" s="53"/>
      <c r="AT1950" s="43"/>
      <c r="AV1950" s="53"/>
      <c r="CH1950" s="43"/>
      <c r="DD1950" s="53"/>
      <c r="DE1950" s="51"/>
      <c r="DJ1950" s="52"/>
      <c r="DK1950" s="52"/>
      <c r="DL1950" s="52"/>
    </row>
    <row r="1951" spans="39:116">
      <c r="AM1951" s="53"/>
      <c r="AT1951" s="43"/>
      <c r="AV1951" s="53"/>
      <c r="CH1951" s="43"/>
      <c r="DD1951" s="53"/>
      <c r="DE1951" s="51"/>
      <c r="DJ1951" s="52"/>
      <c r="DK1951" s="52"/>
      <c r="DL1951" s="52"/>
    </row>
    <row r="1952" spans="39:116">
      <c r="AM1952" s="53"/>
      <c r="AT1952" s="43"/>
      <c r="AV1952" s="53"/>
      <c r="CH1952" s="43"/>
      <c r="DD1952" s="53"/>
      <c r="DE1952" s="51"/>
      <c r="DJ1952" s="52"/>
      <c r="DK1952" s="52"/>
      <c r="DL1952" s="52"/>
    </row>
    <row r="1953" spans="39:116">
      <c r="AM1953" s="53"/>
      <c r="AT1953" s="43"/>
      <c r="AV1953" s="53"/>
      <c r="CH1953" s="43"/>
      <c r="DD1953" s="53"/>
      <c r="DE1953" s="51"/>
      <c r="DJ1953" s="52"/>
      <c r="DK1953" s="52"/>
      <c r="DL1953" s="52"/>
    </row>
    <row r="1954" spans="39:116">
      <c r="AM1954" s="53"/>
      <c r="AT1954" s="43"/>
      <c r="AV1954" s="53"/>
      <c r="CH1954" s="43"/>
      <c r="DD1954" s="53"/>
      <c r="DE1954" s="51"/>
      <c r="DJ1954" s="52"/>
      <c r="DK1954" s="52"/>
      <c r="DL1954" s="52"/>
    </row>
    <row r="1955" spans="39:116">
      <c r="AM1955" s="53"/>
      <c r="AT1955" s="43"/>
      <c r="AV1955" s="53"/>
      <c r="CH1955" s="43"/>
      <c r="DD1955" s="53"/>
      <c r="DE1955" s="51"/>
      <c r="DJ1955" s="52"/>
      <c r="DK1955" s="52"/>
      <c r="DL1955" s="52"/>
    </row>
    <row r="1956" spans="39:116">
      <c r="AM1956" s="53"/>
      <c r="AT1956" s="43"/>
      <c r="AV1956" s="53"/>
      <c r="CH1956" s="43"/>
      <c r="DD1956" s="53"/>
      <c r="DE1956" s="51"/>
      <c r="DJ1956" s="52"/>
      <c r="DK1956" s="52"/>
      <c r="DL1956" s="52"/>
    </row>
    <row r="1957" spans="39:116">
      <c r="AM1957" s="53"/>
      <c r="AT1957" s="43"/>
      <c r="AV1957" s="53"/>
      <c r="CH1957" s="43"/>
      <c r="DD1957" s="53"/>
      <c r="DE1957" s="51"/>
      <c r="DJ1957" s="52"/>
      <c r="DK1957" s="52"/>
      <c r="DL1957" s="52"/>
    </row>
    <row r="1958" spans="39:116">
      <c r="AM1958" s="53"/>
      <c r="AT1958" s="43"/>
      <c r="AV1958" s="53"/>
      <c r="CH1958" s="43"/>
      <c r="DD1958" s="53"/>
      <c r="DE1958" s="51"/>
      <c r="DJ1958" s="52"/>
      <c r="DK1958" s="52"/>
      <c r="DL1958" s="52"/>
    </row>
    <row r="1959" spans="39:116">
      <c r="AM1959" s="53"/>
      <c r="AT1959" s="43"/>
      <c r="AV1959" s="53"/>
      <c r="CH1959" s="43"/>
      <c r="DD1959" s="53"/>
      <c r="DE1959" s="51"/>
      <c r="DJ1959" s="52"/>
      <c r="DK1959" s="52"/>
      <c r="DL1959" s="52"/>
    </row>
    <row r="1960" spans="39:116">
      <c r="AM1960" s="53"/>
      <c r="AT1960" s="43"/>
      <c r="AV1960" s="53"/>
      <c r="CH1960" s="43"/>
      <c r="DD1960" s="53"/>
      <c r="DE1960" s="51"/>
      <c r="DJ1960" s="52"/>
      <c r="DK1960" s="52"/>
      <c r="DL1960" s="52"/>
    </row>
    <row r="1961" spans="39:116">
      <c r="AM1961" s="53"/>
      <c r="AT1961" s="43"/>
      <c r="AV1961" s="53"/>
      <c r="CH1961" s="43"/>
      <c r="DD1961" s="53"/>
      <c r="DE1961" s="51"/>
      <c r="DJ1961" s="52"/>
      <c r="DK1961" s="52"/>
      <c r="DL1961" s="52"/>
    </row>
    <row r="1962" spans="39:116">
      <c r="AM1962" s="53"/>
      <c r="AT1962" s="43"/>
      <c r="AV1962" s="53"/>
      <c r="CH1962" s="43"/>
      <c r="DD1962" s="53"/>
      <c r="DE1962" s="51"/>
      <c r="DJ1962" s="52"/>
      <c r="DK1962" s="52"/>
      <c r="DL1962" s="52"/>
    </row>
    <row r="1963" spans="39:116">
      <c r="AM1963" s="53"/>
      <c r="AT1963" s="43"/>
      <c r="AV1963" s="53"/>
      <c r="CH1963" s="43"/>
      <c r="DD1963" s="53"/>
      <c r="DE1963" s="51"/>
      <c r="DJ1963" s="52"/>
      <c r="DK1963" s="52"/>
      <c r="DL1963" s="52"/>
    </row>
    <row r="1964" spans="39:116">
      <c r="AM1964" s="53"/>
      <c r="AT1964" s="43"/>
      <c r="AV1964" s="53"/>
      <c r="CH1964" s="43"/>
      <c r="DD1964" s="53"/>
      <c r="DE1964" s="51"/>
      <c r="DJ1964" s="52"/>
      <c r="DK1964" s="52"/>
      <c r="DL1964" s="52"/>
    </row>
    <row r="1965" spans="39:116">
      <c r="AM1965" s="53"/>
      <c r="AT1965" s="43"/>
      <c r="AV1965" s="53"/>
      <c r="CH1965" s="43"/>
      <c r="DD1965" s="53"/>
      <c r="DE1965" s="51"/>
      <c r="DJ1965" s="52"/>
      <c r="DK1965" s="52"/>
      <c r="DL1965" s="52"/>
    </row>
    <row r="1966" spans="39:116">
      <c r="AM1966" s="53"/>
      <c r="AT1966" s="43"/>
      <c r="AV1966" s="53"/>
      <c r="CH1966" s="43"/>
      <c r="DD1966" s="53"/>
      <c r="DE1966" s="51"/>
      <c r="DJ1966" s="52"/>
      <c r="DK1966" s="52"/>
      <c r="DL1966" s="52"/>
    </row>
    <row r="1967" spans="39:116">
      <c r="AM1967" s="53"/>
      <c r="AT1967" s="43"/>
      <c r="AV1967" s="53"/>
      <c r="CH1967" s="43"/>
      <c r="DD1967" s="53"/>
      <c r="DE1967" s="51"/>
      <c r="DJ1967" s="52"/>
      <c r="DK1967" s="52"/>
      <c r="DL1967" s="52"/>
    </row>
    <row r="1968" spans="39:116">
      <c r="AM1968" s="53"/>
      <c r="AT1968" s="43"/>
      <c r="AV1968" s="53"/>
      <c r="CH1968" s="43"/>
      <c r="DD1968" s="53"/>
      <c r="DE1968" s="51"/>
      <c r="DJ1968" s="52"/>
      <c r="DK1968" s="52"/>
      <c r="DL1968" s="52"/>
    </row>
    <row r="1969" spans="39:116">
      <c r="AM1969" s="53"/>
      <c r="AT1969" s="43"/>
      <c r="AV1969" s="53"/>
      <c r="CH1969" s="43"/>
      <c r="DD1969" s="53"/>
      <c r="DE1969" s="51"/>
      <c r="DJ1969" s="52"/>
      <c r="DK1969" s="52"/>
      <c r="DL1969" s="52"/>
    </row>
    <row r="1970" spans="39:116">
      <c r="AM1970" s="53"/>
      <c r="AT1970" s="43"/>
      <c r="AV1970" s="53"/>
      <c r="CH1970" s="43"/>
      <c r="DD1970" s="53"/>
      <c r="DE1970" s="51"/>
      <c r="DJ1970" s="52"/>
      <c r="DK1970" s="52"/>
      <c r="DL1970" s="52"/>
    </row>
    <row r="1971" spans="39:116">
      <c r="AM1971" s="53"/>
      <c r="AT1971" s="43"/>
      <c r="AV1971" s="53"/>
      <c r="CH1971" s="43"/>
      <c r="DD1971" s="53"/>
      <c r="DE1971" s="51"/>
      <c r="DJ1971" s="52"/>
      <c r="DK1971" s="52"/>
      <c r="DL1971" s="52"/>
    </row>
    <row r="1972" spans="39:116">
      <c r="AM1972" s="53"/>
      <c r="AT1972" s="43"/>
      <c r="AV1972" s="53"/>
      <c r="CH1972" s="43"/>
      <c r="DD1972" s="53"/>
      <c r="DE1972" s="51"/>
      <c r="DJ1972" s="52"/>
      <c r="DK1972" s="52"/>
      <c r="DL1972" s="52"/>
    </row>
    <row r="1973" spans="39:116">
      <c r="AM1973" s="53"/>
      <c r="AT1973" s="43"/>
      <c r="AV1973" s="53"/>
      <c r="CH1973" s="43"/>
      <c r="DD1973" s="53"/>
      <c r="DE1973" s="51"/>
      <c r="DJ1973" s="52"/>
      <c r="DK1973" s="52"/>
      <c r="DL1973" s="52"/>
    </row>
    <row r="1974" spans="39:116">
      <c r="AM1974" s="53"/>
      <c r="AT1974" s="43"/>
      <c r="AV1974" s="53"/>
      <c r="CH1974" s="43"/>
      <c r="DD1974" s="53"/>
      <c r="DE1974" s="51"/>
      <c r="DJ1974" s="52"/>
      <c r="DK1974" s="52"/>
      <c r="DL1974" s="52"/>
    </row>
    <row r="1975" spans="39:116">
      <c r="AM1975" s="53"/>
      <c r="AT1975" s="43"/>
      <c r="AV1975" s="53"/>
      <c r="CH1975" s="43"/>
      <c r="DD1975" s="53"/>
      <c r="DE1975" s="51"/>
      <c r="DJ1975" s="52"/>
      <c r="DK1975" s="52"/>
      <c r="DL1975" s="52"/>
    </row>
    <row r="1976" spans="39:116">
      <c r="AM1976" s="53"/>
      <c r="AT1976" s="43"/>
      <c r="AV1976" s="53"/>
      <c r="CH1976" s="43"/>
      <c r="DD1976" s="53"/>
      <c r="DE1976" s="51"/>
      <c r="DJ1976" s="52"/>
      <c r="DK1976" s="52"/>
      <c r="DL1976" s="52"/>
    </row>
    <row r="1977" spans="39:116">
      <c r="AM1977" s="53"/>
      <c r="AT1977" s="43"/>
      <c r="AV1977" s="53"/>
      <c r="CH1977" s="43"/>
      <c r="DD1977" s="53"/>
      <c r="DE1977" s="51"/>
      <c r="DJ1977" s="52"/>
      <c r="DK1977" s="52"/>
      <c r="DL1977" s="52"/>
    </row>
    <row r="1978" spans="39:116">
      <c r="AM1978" s="53"/>
      <c r="AT1978" s="43"/>
      <c r="AV1978" s="53"/>
      <c r="CH1978" s="43"/>
      <c r="DD1978" s="53"/>
      <c r="DE1978" s="51"/>
      <c r="DJ1978" s="52"/>
      <c r="DK1978" s="52"/>
      <c r="DL1978" s="52"/>
    </row>
    <row r="1979" spans="39:116">
      <c r="AM1979" s="53"/>
      <c r="AT1979" s="43"/>
      <c r="AV1979" s="53"/>
      <c r="CH1979" s="43"/>
      <c r="DD1979" s="53"/>
      <c r="DE1979" s="51"/>
      <c r="DJ1979" s="52"/>
      <c r="DK1979" s="52"/>
      <c r="DL1979" s="52"/>
    </row>
    <row r="1980" spans="39:116">
      <c r="AM1980" s="53"/>
      <c r="AT1980" s="43"/>
      <c r="AV1980" s="53"/>
      <c r="CH1980" s="43"/>
      <c r="DD1980" s="53"/>
      <c r="DE1980" s="51"/>
      <c r="DJ1980" s="52"/>
      <c r="DK1980" s="52"/>
      <c r="DL1980" s="52"/>
    </row>
    <row r="1981" spans="39:116">
      <c r="AM1981" s="53"/>
      <c r="AT1981" s="43"/>
      <c r="AV1981" s="53"/>
      <c r="CH1981" s="43"/>
      <c r="DD1981" s="53"/>
      <c r="DE1981" s="51"/>
      <c r="DJ1981" s="52"/>
      <c r="DK1981" s="52"/>
      <c r="DL1981" s="52"/>
    </row>
    <row r="1982" spans="39:116">
      <c r="AM1982" s="53"/>
      <c r="AT1982" s="43"/>
      <c r="AV1982" s="53"/>
      <c r="CH1982" s="43"/>
      <c r="DD1982" s="53"/>
      <c r="DE1982" s="51"/>
      <c r="DJ1982" s="52"/>
      <c r="DK1982" s="52"/>
      <c r="DL1982" s="52"/>
    </row>
    <row r="1983" spans="39:116">
      <c r="AM1983" s="53"/>
      <c r="AT1983" s="43"/>
      <c r="AV1983" s="53"/>
      <c r="CH1983" s="43"/>
      <c r="DD1983" s="53"/>
      <c r="DE1983" s="51"/>
      <c r="DJ1983" s="52"/>
      <c r="DK1983" s="52"/>
      <c r="DL1983" s="52"/>
    </row>
    <row r="1984" spans="39:116">
      <c r="AM1984" s="53"/>
      <c r="AT1984" s="43"/>
      <c r="AV1984" s="53"/>
      <c r="CH1984" s="43"/>
      <c r="DD1984" s="53"/>
      <c r="DE1984" s="51"/>
      <c r="DJ1984" s="52"/>
      <c r="DK1984" s="52"/>
      <c r="DL1984" s="52"/>
    </row>
    <row r="1985" spans="39:116">
      <c r="AM1985" s="53"/>
      <c r="AT1985" s="43"/>
      <c r="AV1985" s="53"/>
      <c r="CH1985" s="43"/>
      <c r="DD1985" s="53"/>
      <c r="DE1985" s="51"/>
      <c r="DJ1985" s="52"/>
      <c r="DK1985" s="52"/>
      <c r="DL1985" s="52"/>
    </row>
    <row r="1986" spans="39:116">
      <c r="AM1986" s="53"/>
      <c r="AT1986" s="43"/>
      <c r="AV1986" s="53"/>
      <c r="CH1986" s="43"/>
      <c r="DD1986" s="53"/>
      <c r="DE1986" s="51"/>
      <c r="DJ1986" s="52"/>
      <c r="DK1986" s="52"/>
      <c r="DL1986" s="52"/>
    </row>
    <row r="1987" spans="39:116">
      <c r="AM1987" s="53"/>
      <c r="AT1987" s="43"/>
      <c r="AV1987" s="53"/>
      <c r="CH1987" s="43"/>
      <c r="DD1987" s="53"/>
      <c r="DE1987" s="51"/>
      <c r="DJ1987" s="52"/>
      <c r="DK1987" s="52"/>
      <c r="DL1987" s="52"/>
    </row>
    <row r="1988" spans="39:116">
      <c r="AM1988" s="53"/>
      <c r="AT1988" s="43"/>
      <c r="AV1988" s="53"/>
      <c r="CH1988" s="43"/>
      <c r="DD1988" s="53"/>
      <c r="DE1988" s="51"/>
      <c r="DJ1988" s="52"/>
      <c r="DK1988" s="52"/>
      <c r="DL1988" s="52"/>
    </row>
    <row r="1989" spans="39:116">
      <c r="AM1989" s="53"/>
      <c r="AT1989" s="43"/>
      <c r="AV1989" s="53"/>
      <c r="CH1989" s="43"/>
      <c r="DD1989" s="53"/>
      <c r="DE1989" s="51"/>
      <c r="DJ1989" s="52"/>
      <c r="DK1989" s="52"/>
      <c r="DL1989" s="52"/>
    </row>
    <row r="1990" spans="39:116">
      <c r="AM1990" s="53"/>
      <c r="AT1990" s="43"/>
      <c r="AV1990" s="53"/>
      <c r="CH1990" s="43"/>
      <c r="DD1990" s="53"/>
      <c r="DE1990" s="51"/>
      <c r="DJ1990" s="52"/>
      <c r="DK1990" s="52"/>
      <c r="DL1990" s="52"/>
    </row>
    <row r="1991" spans="39:116">
      <c r="AM1991" s="53"/>
      <c r="AT1991" s="43"/>
      <c r="AV1991" s="53"/>
      <c r="CH1991" s="43"/>
      <c r="DD1991" s="53"/>
      <c r="DE1991" s="51"/>
      <c r="DJ1991" s="52"/>
      <c r="DK1991" s="52"/>
      <c r="DL1991" s="52"/>
    </row>
    <row r="1992" spans="39:116">
      <c r="AM1992" s="53"/>
      <c r="AT1992" s="43"/>
      <c r="AV1992" s="53"/>
      <c r="CH1992" s="43"/>
      <c r="DD1992" s="53"/>
      <c r="DE1992" s="51"/>
      <c r="DJ1992" s="52"/>
      <c r="DK1992" s="52"/>
      <c r="DL1992" s="52"/>
    </row>
    <row r="1993" spans="39:116">
      <c r="AM1993" s="53"/>
      <c r="AT1993" s="43"/>
      <c r="AV1993" s="53"/>
      <c r="CH1993" s="43"/>
      <c r="DD1993" s="53"/>
      <c r="DE1993" s="51"/>
      <c r="DJ1993" s="52"/>
      <c r="DK1993" s="52"/>
      <c r="DL1993" s="52"/>
    </row>
    <row r="1994" spans="39:116">
      <c r="AM1994" s="53"/>
      <c r="AT1994" s="43"/>
      <c r="AV1994" s="53"/>
      <c r="CH1994" s="43"/>
      <c r="DD1994" s="53"/>
      <c r="DE1994" s="51"/>
      <c r="DJ1994" s="52"/>
      <c r="DK1994" s="52"/>
      <c r="DL1994" s="52"/>
    </row>
    <row r="1995" spans="39:116">
      <c r="AM1995" s="53"/>
      <c r="AT1995" s="43"/>
      <c r="AV1995" s="53"/>
      <c r="CH1995" s="43"/>
      <c r="DD1995" s="53"/>
      <c r="DE1995" s="51"/>
      <c r="DJ1995" s="52"/>
      <c r="DK1995" s="52"/>
      <c r="DL1995" s="52"/>
    </row>
    <row r="1996" spans="39:116">
      <c r="AM1996" s="53"/>
      <c r="AT1996" s="43"/>
      <c r="AV1996" s="53"/>
      <c r="CH1996" s="43"/>
      <c r="DD1996" s="53"/>
      <c r="DE1996" s="51"/>
      <c r="DJ1996" s="52"/>
      <c r="DK1996" s="52"/>
      <c r="DL1996" s="52"/>
    </row>
    <row r="1997" spans="39:116">
      <c r="AM1997" s="53"/>
      <c r="AT1997" s="43"/>
      <c r="AV1997" s="53"/>
      <c r="CH1997" s="43"/>
      <c r="DD1997" s="53"/>
      <c r="DE1997" s="51"/>
      <c r="DJ1997" s="52"/>
      <c r="DK1997" s="52"/>
      <c r="DL1997" s="52"/>
    </row>
    <row r="1998" spans="39:116">
      <c r="AM1998" s="53"/>
      <c r="AT1998" s="43"/>
      <c r="AV1998" s="53"/>
      <c r="CH1998" s="43"/>
      <c r="DD1998" s="53"/>
      <c r="DE1998" s="51"/>
      <c r="DJ1998" s="52"/>
      <c r="DK1998" s="52"/>
      <c r="DL1998" s="52"/>
    </row>
    <row r="1999" spans="39:116">
      <c r="AM1999" s="53"/>
      <c r="AT1999" s="43"/>
      <c r="AV1999" s="53"/>
      <c r="CH1999" s="43"/>
      <c r="DD1999" s="53"/>
      <c r="DE1999" s="51"/>
      <c r="DJ1999" s="52"/>
      <c r="DK1999" s="52"/>
      <c r="DL1999" s="52"/>
    </row>
    <row r="2000" spans="39:116">
      <c r="AM2000" s="53"/>
      <c r="AT2000" s="43"/>
      <c r="AV2000" s="53"/>
      <c r="CH2000" s="43"/>
      <c r="DD2000" s="53"/>
      <c r="DE2000" s="51"/>
      <c r="DJ2000" s="52"/>
      <c r="DK2000" s="52"/>
      <c r="DL2000" s="52"/>
    </row>
    <row r="2001" spans="39:116">
      <c r="AM2001" s="53"/>
      <c r="AT2001" s="43"/>
      <c r="AV2001" s="53"/>
      <c r="CH2001" s="43"/>
      <c r="DD2001" s="53"/>
      <c r="DE2001" s="51"/>
      <c r="DJ2001" s="52"/>
      <c r="DK2001" s="52"/>
      <c r="DL2001" s="52"/>
    </row>
    <row r="2002" spans="39:116">
      <c r="AM2002" s="53"/>
      <c r="AT2002" s="43"/>
      <c r="AV2002" s="53"/>
      <c r="CH2002" s="43"/>
      <c r="DD2002" s="53"/>
      <c r="DE2002" s="51"/>
      <c r="DJ2002" s="52"/>
      <c r="DK2002" s="52"/>
      <c r="DL2002" s="52"/>
    </row>
    <row r="2003" spans="39:116">
      <c r="AM2003" s="53"/>
      <c r="AT2003" s="43"/>
      <c r="AV2003" s="53"/>
      <c r="CH2003" s="43"/>
      <c r="DD2003" s="53"/>
      <c r="DE2003" s="51"/>
      <c r="DJ2003" s="52"/>
      <c r="DK2003" s="52"/>
      <c r="DL2003" s="52"/>
    </row>
    <row r="2004" spans="39:116">
      <c r="AM2004" s="53"/>
      <c r="AT2004" s="43"/>
      <c r="AV2004" s="53"/>
      <c r="CH2004" s="43"/>
      <c r="DD2004" s="53"/>
      <c r="DE2004" s="51"/>
      <c r="DJ2004" s="52"/>
      <c r="DK2004" s="52"/>
      <c r="DL2004" s="52"/>
    </row>
    <row r="2005" spans="39:116">
      <c r="AM2005" s="53"/>
      <c r="AT2005" s="43"/>
      <c r="AV2005" s="53"/>
      <c r="CH2005" s="43"/>
      <c r="DD2005" s="53"/>
      <c r="DE2005" s="51"/>
      <c r="DJ2005" s="52"/>
      <c r="DK2005" s="52"/>
      <c r="DL2005" s="52"/>
    </row>
    <row r="2006" spans="39:116">
      <c r="AM2006" s="53"/>
      <c r="AT2006" s="43"/>
      <c r="AV2006" s="53"/>
      <c r="CH2006" s="43"/>
      <c r="DD2006" s="53"/>
      <c r="DE2006" s="51"/>
      <c r="DJ2006" s="52"/>
      <c r="DK2006" s="52"/>
      <c r="DL2006" s="52"/>
    </row>
    <row r="2007" spans="39:116">
      <c r="AM2007" s="53"/>
      <c r="AT2007" s="43"/>
      <c r="AV2007" s="53"/>
      <c r="CH2007" s="43"/>
      <c r="DD2007" s="53"/>
      <c r="DE2007" s="51"/>
      <c r="DJ2007" s="52"/>
      <c r="DK2007" s="52"/>
      <c r="DL2007" s="52"/>
    </row>
    <row r="2008" spans="39:116">
      <c r="AM2008" s="53"/>
      <c r="AT2008" s="43"/>
      <c r="AV2008" s="53"/>
      <c r="CH2008" s="43"/>
      <c r="DD2008" s="53"/>
      <c r="DE2008" s="51"/>
      <c r="DJ2008" s="52"/>
      <c r="DK2008" s="52"/>
      <c r="DL2008" s="52"/>
    </row>
    <row r="2009" spans="39:116">
      <c r="AM2009" s="53"/>
      <c r="AT2009" s="43"/>
      <c r="AV2009" s="53"/>
      <c r="CH2009" s="43"/>
      <c r="DD2009" s="53"/>
      <c r="DE2009" s="51"/>
      <c r="DJ2009" s="52"/>
      <c r="DK2009" s="52"/>
      <c r="DL2009" s="52"/>
    </row>
    <row r="2010" spans="39:116">
      <c r="AM2010" s="53"/>
      <c r="AT2010" s="43"/>
      <c r="AV2010" s="53"/>
      <c r="CH2010" s="43"/>
      <c r="DD2010" s="53"/>
      <c r="DE2010" s="51"/>
      <c r="DJ2010" s="52"/>
      <c r="DK2010" s="52"/>
      <c r="DL2010" s="52"/>
    </row>
    <row r="2011" spans="39:116">
      <c r="AM2011" s="53"/>
      <c r="AT2011" s="43"/>
      <c r="AV2011" s="53"/>
      <c r="CH2011" s="43"/>
      <c r="DD2011" s="53"/>
      <c r="DE2011" s="51"/>
      <c r="DJ2011" s="52"/>
      <c r="DK2011" s="52"/>
      <c r="DL2011" s="52"/>
    </row>
    <row r="2012" spans="39:116">
      <c r="AM2012" s="53"/>
      <c r="AT2012" s="43"/>
      <c r="AV2012" s="53"/>
      <c r="CH2012" s="43"/>
      <c r="DD2012" s="53"/>
      <c r="DE2012" s="51"/>
      <c r="DJ2012" s="52"/>
      <c r="DK2012" s="52"/>
      <c r="DL2012" s="52"/>
    </row>
    <row r="2013" spans="39:116">
      <c r="AM2013" s="53"/>
      <c r="AT2013" s="43"/>
      <c r="AV2013" s="53"/>
      <c r="CH2013" s="43"/>
      <c r="DD2013" s="53"/>
      <c r="DE2013" s="51"/>
      <c r="DJ2013" s="52"/>
      <c r="DK2013" s="52"/>
      <c r="DL2013" s="52"/>
    </row>
    <row r="2014" spans="39:116">
      <c r="AM2014" s="53"/>
      <c r="AT2014" s="43"/>
      <c r="AV2014" s="53"/>
      <c r="CH2014" s="43"/>
      <c r="DD2014" s="53"/>
      <c r="DE2014" s="51"/>
      <c r="DJ2014" s="52"/>
      <c r="DK2014" s="52"/>
      <c r="DL2014" s="52"/>
    </row>
    <row r="2015" spans="39:116">
      <c r="AM2015" s="53"/>
      <c r="AT2015" s="43"/>
      <c r="AV2015" s="53"/>
      <c r="CH2015" s="43"/>
      <c r="DD2015" s="53"/>
      <c r="DE2015" s="51"/>
      <c r="DJ2015" s="52"/>
      <c r="DK2015" s="52"/>
      <c r="DL2015" s="52"/>
    </row>
    <row r="2016" spans="39:116">
      <c r="AM2016" s="53"/>
      <c r="AT2016" s="43"/>
      <c r="AV2016" s="53"/>
      <c r="CH2016" s="43"/>
      <c r="DD2016" s="53"/>
      <c r="DE2016" s="51"/>
      <c r="DJ2016" s="52"/>
      <c r="DK2016" s="52"/>
      <c r="DL2016" s="52"/>
    </row>
    <row r="2017" spans="39:116">
      <c r="AM2017" s="53"/>
      <c r="AT2017" s="43"/>
      <c r="AV2017" s="53"/>
      <c r="CH2017" s="43"/>
      <c r="DD2017" s="53"/>
      <c r="DE2017" s="51"/>
      <c r="DJ2017" s="52"/>
      <c r="DK2017" s="52"/>
      <c r="DL2017" s="52"/>
    </row>
    <row r="2018" spans="39:116">
      <c r="AM2018" s="53"/>
      <c r="AT2018" s="43"/>
      <c r="AV2018" s="53"/>
      <c r="CH2018" s="43"/>
      <c r="DD2018" s="53"/>
      <c r="DE2018" s="51"/>
      <c r="DJ2018" s="52"/>
      <c r="DK2018" s="52"/>
      <c r="DL2018" s="52"/>
    </row>
    <row r="2019" spans="39:116">
      <c r="AM2019" s="53"/>
      <c r="AT2019" s="43"/>
      <c r="AV2019" s="53"/>
      <c r="CH2019" s="43"/>
      <c r="DD2019" s="53"/>
      <c r="DE2019" s="51"/>
      <c r="DJ2019" s="52"/>
      <c r="DK2019" s="52"/>
      <c r="DL2019" s="52"/>
    </row>
    <row r="2020" spans="39:116">
      <c r="AM2020" s="53"/>
      <c r="AT2020" s="43"/>
      <c r="AV2020" s="53"/>
      <c r="CH2020" s="43"/>
      <c r="DD2020" s="53"/>
      <c r="DE2020" s="51"/>
      <c r="DJ2020" s="52"/>
      <c r="DK2020" s="52"/>
      <c r="DL2020" s="52"/>
    </row>
    <row r="2021" spans="39:116">
      <c r="AM2021" s="53"/>
      <c r="AT2021" s="43"/>
      <c r="AV2021" s="53"/>
      <c r="CH2021" s="43"/>
      <c r="DD2021" s="53"/>
      <c r="DE2021" s="51"/>
      <c r="DJ2021" s="52"/>
      <c r="DK2021" s="52"/>
      <c r="DL2021" s="52"/>
    </row>
    <row r="2022" spans="39:116">
      <c r="AM2022" s="53"/>
      <c r="AT2022" s="43"/>
      <c r="AV2022" s="53"/>
      <c r="CH2022" s="43"/>
      <c r="DD2022" s="53"/>
      <c r="DE2022" s="51"/>
      <c r="DJ2022" s="52"/>
      <c r="DK2022" s="52"/>
      <c r="DL2022" s="52"/>
    </row>
    <row r="2023" spans="39:116">
      <c r="AM2023" s="53"/>
      <c r="AT2023" s="43"/>
      <c r="AV2023" s="53"/>
      <c r="CH2023" s="43"/>
      <c r="DD2023" s="53"/>
      <c r="DE2023" s="51"/>
      <c r="DJ2023" s="52"/>
      <c r="DK2023" s="52"/>
      <c r="DL2023" s="52"/>
    </row>
    <row r="2024" spans="39:116">
      <c r="AM2024" s="53"/>
      <c r="AT2024" s="43"/>
      <c r="AV2024" s="53"/>
      <c r="CH2024" s="43"/>
      <c r="DD2024" s="53"/>
      <c r="DE2024" s="51"/>
      <c r="DJ2024" s="52"/>
      <c r="DK2024" s="52"/>
      <c r="DL2024" s="52"/>
    </row>
    <row r="2025" spans="39:116">
      <c r="AM2025" s="53"/>
      <c r="AT2025" s="43"/>
      <c r="AV2025" s="53"/>
      <c r="CH2025" s="43"/>
      <c r="DD2025" s="53"/>
      <c r="DE2025" s="51"/>
      <c r="DJ2025" s="52"/>
      <c r="DK2025" s="52"/>
      <c r="DL2025" s="52"/>
    </row>
    <row r="2026" spans="39:116">
      <c r="AM2026" s="53"/>
      <c r="AT2026" s="43"/>
      <c r="AV2026" s="53"/>
      <c r="CH2026" s="43"/>
      <c r="DD2026" s="53"/>
      <c r="DE2026" s="51"/>
      <c r="DJ2026" s="52"/>
      <c r="DK2026" s="52"/>
      <c r="DL2026" s="52"/>
    </row>
    <row r="2027" spans="39:116">
      <c r="AM2027" s="53"/>
      <c r="AT2027" s="43"/>
      <c r="AV2027" s="53"/>
      <c r="CH2027" s="43"/>
      <c r="DD2027" s="53"/>
      <c r="DE2027" s="51"/>
      <c r="DJ2027" s="52"/>
      <c r="DK2027" s="52"/>
      <c r="DL2027" s="52"/>
    </row>
    <row r="2028" spans="39:116">
      <c r="AM2028" s="53"/>
      <c r="AT2028" s="43"/>
      <c r="AV2028" s="53"/>
      <c r="CH2028" s="43"/>
      <c r="DD2028" s="53"/>
      <c r="DE2028" s="51"/>
      <c r="DJ2028" s="52"/>
      <c r="DK2028" s="52"/>
      <c r="DL2028" s="52"/>
    </row>
    <row r="2029" spans="39:116">
      <c r="AM2029" s="53"/>
      <c r="AT2029" s="43"/>
      <c r="AV2029" s="53"/>
      <c r="CH2029" s="43"/>
      <c r="DD2029" s="53"/>
      <c r="DE2029" s="51"/>
      <c r="DJ2029" s="52"/>
      <c r="DK2029" s="52"/>
      <c r="DL2029" s="52"/>
    </row>
    <row r="2030" spans="39:116">
      <c r="AM2030" s="53"/>
      <c r="AT2030" s="43"/>
      <c r="AV2030" s="53"/>
      <c r="CH2030" s="43"/>
      <c r="DD2030" s="53"/>
      <c r="DE2030" s="51"/>
      <c r="DJ2030" s="52"/>
      <c r="DK2030" s="52"/>
      <c r="DL2030" s="52"/>
    </row>
    <row r="2031" spans="39:116">
      <c r="AM2031" s="53"/>
      <c r="AT2031" s="43"/>
      <c r="AV2031" s="53"/>
      <c r="CH2031" s="43"/>
      <c r="DD2031" s="53"/>
      <c r="DE2031" s="51"/>
      <c r="DJ2031" s="52"/>
      <c r="DK2031" s="52"/>
      <c r="DL2031" s="52"/>
    </row>
    <row r="2032" spans="39:116">
      <c r="AM2032" s="53"/>
      <c r="AT2032" s="43"/>
      <c r="AV2032" s="53"/>
      <c r="CH2032" s="43"/>
      <c r="DD2032" s="53"/>
      <c r="DE2032" s="51"/>
      <c r="DJ2032" s="52"/>
      <c r="DK2032" s="52"/>
      <c r="DL2032" s="52"/>
    </row>
    <row r="2033" spans="39:116">
      <c r="AM2033" s="53"/>
      <c r="AT2033" s="43"/>
      <c r="AV2033" s="53"/>
      <c r="CH2033" s="43"/>
      <c r="DD2033" s="53"/>
      <c r="DE2033" s="51"/>
      <c r="DJ2033" s="52"/>
      <c r="DK2033" s="52"/>
      <c r="DL2033" s="52"/>
    </row>
    <row r="2034" spans="39:116">
      <c r="AM2034" s="53"/>
      <c r="AT2034" s="43"/>
      <c r="AV2034" s="53"/>
      <c r="CH2034" s="43"/>
      <c r="DD2034" s="53"/>
      <c r="DE2034" s="51"/>
      <c r="DJ2034" s="52"/>
      <c r="DK2034" s="52"/>
      <c r="DL2034" s="52"/>
    </row>
    <row r="2035" spans="39:116">
      <c r="AM2035" s="53"/>
      <c r="AT2035" s="43"/>
      <c r="AV2035" s="53"/>
      <c r="CH2035" s="43"/>
      <c r="DD2035" s="53"/>
      <c r="DE2035" s="51"/>
      <c r="DJ2035" s="52"/>
      <c r="DK2035" s="52"/>
      <c r="DL2035" s="52"/>
    </row>
    <row r="2036" spans="39:116">
      <c r="AM2036" s="53"/>
      <c r="AT2036" s="43"/>
      <c r="AV2036" s="53"/>
      <c r="CH2036" s="43"/>
      <c r="DD2036" s="53"/>
      <c r="DE2036" s="51"/>
      <c r="DJ2036" s="52"/>
      <c r="DK2036" s="52"/>
      <c r="DL2036" s="52"/>
    </row>
    <row r="2037" spans="39:116">
      <c r="AM2037" s="53"/>
      <c r="AT2037" s="43"/>
      <c r="AV2037" s="53"/>
      <c r="CH2037" s="43"/>
      <c r="DD2037" s="53"/>
      <c r="DE2037" s="51"/>
      <c r="DJ2037" s="52"/>
      <c r="DK2037" s="52"/>
      <c r="DL2037" s="52"/>
    </row>
    <row r="2038" spans="39:116">
      <c r="AM2038" s="53"/>
      <c r="AT2038" s="43"/>
      <c r="AV2038" s="53"/>
      <c r="CH2038" s="43"/>
      <c r="DD2038" s="53"/>
      <c r="DE2038" s="51"/>
      <c r="DJ2038" s="52"/>
      <c r="DK2038" s="52"/>
      <c r="DL2038" s="52"/>
    </row>
    <row r="2039" spans="39:116">
      <c r="AM2039" s="53"/>
      <c r="AT2039" s="43"/>
      <c r="AV2039" s="53"/>
      <c r="CH2039" s="43"/>
      <c r="DD2039" s="53"/>
      <c r="DE2039" s="51"/>
      <c r="DJ2039" s="52"/>
      <c r="DK2039" s="52"/>
      <c r="DL2039" s="52"/>
    </row>
    <row r="2040" spans="39:116">
      <c r="AM2040" s="53"/>
      <c r="AT2040" s="43"/>
      <c r="AV2040" s="53"/>
      <c r="CH2040" s="43"/>
      <c r="DD2040" s="53"/>
      <c r="DE2040" s="51"/>
      <c r="DJ2040" s="52"/>
      <c r="DK2040" s="52"/>
      <c r="DL2040" s="52"/>
    </row>
    <row r="2041" spans="39:116">
      <c r="AM2041" s="53"/>
      <c r="AT2041" s="43"/>
      <c r="AV2041" s="53"/>
      <c r="CH2041" s="43"/>
      <c r="DD2041" s="53"/>
      <c r="DE2041" s="51"/>
      <c r="DJ2041" s="52"/>
      <c r="DK2041" s="52"/>
      <c r="DL2041" s="52"/>
    </row>
    <row r="2042" spans="39:116">
      <c r="AM2042" s="53"/>
      <c r="AT2042" s="43"/>
      <c r="AV2042" s="53"/>
      <c r="CH2042" s="43"/>
      <c r="DD2042" s="53"/>
      <c r="DE2042" s="51"/>
      <c r="DJ2042" s="52"/>
      <c r="DK2042" s="52"/>
      <c r="DL2042" s="52"/>
    </row>
    <row r="2043" spans="39:116">
      <c r="AM2043" s="53"/>
      <c r="AT2043" s="43"/>
      <c r="AV2043" s="53"/>
      <c r="CH2043" s="43"/>
      <c r="DD2043" s="53"/>
      <c r="DE2043" s="51"/>
      <c r="DJ2043" s="52"/>
      <c r="DK2043" s="52"/>
      <c r="DL2043" s="52"/>
    </row>
    <row r="2044" spans="39:116">
      <c r="AM2044" s="53"/>
      <c r="AT2044" s="43"/>
      <c r="AV2044" s="53"/>
      <c r="CH2044" s="43"/>
      <c r="DD2044" s="53"/>
      <c r="DE2044" s="51"/>
      <c r="DJ2044" s="52"/>
      <c r="DK2044" s="52"/>
      <c r="DL2044" s="52"/>
    </row>
    <row r="2045" spans="39:116">
      <c r="AM2045" s="53"/>
      <c r="AT2045" s="43"/>
      <c r="AV2045" s="53"/>
      <c r="CH2045" s="43"/>
      <c r="DD2045" s="53"/>
      <c r="DE2045" s="51"/>
      <c r="DJ2045" s="52"/>
      <c r="DK2045" s="52"/>
      <c r="DL2045" s="52"/>
    </row>
    <row r="2046" spans="39:116">
      <c r="AM2046" s="53"/>
      <c r="AT2046" s="43"/>
      <c r="AV2046" s="53"/>
      <c r="CH2046" s="43"/>
      <c r="DD2046" s="53"/>
      <c r="DE2046" s="51"/>
      <c r="DJ2046" s="52"/>
      <c r="DK2046" s="52"/>
      <c r="DL2046" s="52"/>
    </row>
    <row r="2047" spans="39:116">
      <c r="AM2047" s="53"/>
      <c r="AT2047" s="43"/>
      <c r="AV2047" s="53"/>
      <c r="CH2047" s="43"/>
      <c r="DD2047" s="53"/>
      <c r="DE2047" s="51"/>
      <c r="DJ2047" s="52"/>
      <c r="DK2047" s="52"/>
      <c r="DL2047" s="52"/>
    </row>
    <row r="2048" spans="39:116">
      <c r="AM2048" s="53"/>
      <c r="AT2048" s="43"/>
      <c r="AV2048" s="53"/>
      <c r="CH2048" s="43"/>
      <c r="DD2048" s="53"/>
      <c r="DE2048" s="51"/>
      <c r="DJ2048" s="52"/>
      <c r="DK2048" s="52"/>
      <c r="DL2048" s="52"/>
    </row>
    <row r="2049" spans="39:116">
      <c r="AM2049" s="53"/>
      <c r="AT2049" s="43"/>
      <c r="AV2049" s="53"/>
      <c r="CH2049" s="43"/>
      <c r="DD2049" s="53"/>
      <c r="DE2049" s="51"/>
      <c r="DJ2049" s="52"/>
      <c r="DK2049" s="52"/>
      <c r="DL2049" s="52"/>
    </row>
    <row r="2050" spans="39:116">
      <c r="AM2050" s="53"/>
      <c r="AT2050" s="43"/>
      <c r="AV2050" s="53"/>
      <c r="CH2050" s="43"/>
      <c r="DD2050" s="53"/>
      <c r="DE2050" s="51"/>
      <c r="DJ2050" s="52"/>
      <c r="DK2050" s="52"/>
      <c r="DL2050" s="52"/>
    </row>
    <row r="2051" spans="39:116">
      <c r="AM2051" s="53"/>
      <c r="AT2051" s="43"/>
      <c r="AV2051" s="53"/>
      <c r="CH2051" s="43"/>
      <c r="DD2051" s="53"/>
      <c r="DE2051" s="51"/>
      <c r="DJ2051" s="52"/>
      <c r="DK2051" s="52"/>
      <c r="DL2051" s="52"/>
    </row>
    <row r="2052" spans="39:116">
      <c r="AM2052" s="53"/>
      <c r="AT2052" s="43"/>
      <c r="AV2052" s="53"/>
      <c r="CH2052" s="43"/>
      <c r="DD2052" s="53"/>
      <c r="DE2052" s="51"/>
      <c r="DJ2052" s="52"/>
      <c r="DK2052" s="52"/>
      <c r="DL2052" s="52"/>
    </row>
    <row r="2053" spans="39:116">
      <c r="AM2053" s="53"/>
      <c r="AT2053" s="43"/>
      <c r="AV2053" s="53"/>
      <c r="CH2053" s="43"/>
      <c r="DD2053" s="53"/>
      <c r="DE2053" s="51"/>
      <c r="DJ2053" s="52"/>
      <c r="DK2053" s="52"/>
      <c r="DL2053" s="52"/>
    </row>
    <row r="2054" spans="39:116">
      <c r="AM2054" s="53"/>
      <c r="AT2054" s="43"/>
      <c r="AV2054" s="53"/>
      <c r="CH2054" s="43"/>
      <c r="DD2054" s="53"/>
      <c r="DE2054" s="51"/>
      <c r="DJ2054" s="52"/>
      <c r="DK2054" s="52"/>
      <c r="DL2054" s="52"/>
    </row>
    <row r="2055" spans="39:116">
      <c r="AM2055" s="53"/>
      <c r="AT2055" s="43"/>
      <c r="AV2055" s="53"/>
      <c r="CH2055" s="43"/>
      <c r="DD2055" s="53"/>
      <c r="DE2055" s="51"/>
      <c r="DJ2055" s="52"/>
      <c r="DK2055" s="52"/>
      <c r="DL2055" s="52"/>
    </row>
    <row r="2056" spans="39:116">
      <c r="AM2056" s="53"/>
      <c r="AT2056" s="43"/>
      <c r="AV2056" s="53"/>
      <c r="CH2056" s="43"/>
      <c r="DD2056" s="53"/>
      <c r="DE2056" s="51"/>
      <c r="DJ2056" s="52"/>
      <c r="DK2056" s="52"/>
      <c r="DL2056" s="52"/>
    </row>
    <row r="2057" spans="39:116">
      <c r="AM2057" s="53"/>
      <c r="AT2057" s="43"/>
      <c r="AV2057" s="53"/>
      <c r="CH2057" s="43"/>
      <c r="DD2057" s="53"/>
      <c r="DE2057" s="51"/>
      <c r="DJ2057" s="52"/>
      <c r="DK2057" s="52"/>
      <c r="DL2057" s="52"/>
    </row>
    <row r="2058" spans="39:116">
      <c r="AM2058" s="53"/>
      <c r="AT2058" s="43"/>
      <c r="AV2058" s="53"/>
      <c r="CH2058" s="43"/>
      <c r="DD2058" s="53"/>
      <c r="DE2058" s="51"/>
      <c r="DJ2058" s="52"/>
      <c r="DK2058" s="52"/>
      <c r="DL2058" s="52"/>
    </row>
    <row r="2059" spans="39:116">
      <c r="AM2059" s="53"/>
      <c r="AT2059" s="43"/>
      <c r="AV2059" s="53"/>
      <c r="CH2059" s="43"/>
      <c r="DD2059" s="53"/>
      <c r="DE2059" s="51"/>
      <c r="DJ2059" s="52"/>
      <c r="DK2059" s="52"/>
      <c r="DL2059" s="52"/>
    </row>
    <row r="2060" spans="39:116">
      <c r="AM2060" s="53"/>
      <c r="AT2060" s="43"/>
      <c r="AV2060" s="53"/>
      <c r="CH2060" s="43"/>
      <c r="DD2060" s="53"/>
      <c r="DE2060" s="51"/>
      <c r="DJ2060" s="52"/>
      <c r="DK2060" s="52"/>
      <c r="DL2060" s="52"/>
    </row>
    <row r="2061" spans="39:116">
      <c r="AM2061" s="53"/>
      <c r="AT2061" s="43"/>
      <c r="AV2061" s="53"/>
      <c r="CH2061" s="43"/>
      <c r="DD2061" s="53"/>
      <c r="DE2061" s="51"/>
      <c r="DJ2061" s="52"/>
      <c r="DK2061" s="52"/>
      <c r="DL2061" s="52"/>
    </row>
    <row r="2062" spans="39:116">
      <c r="AM2062" s="53"/>
      <c r="AT2062" s="43"/>
      <c r="AV2062" s="53"/>
      <c r="CH2062" s="43"/>
      <c r="DD2062" s="53"/>
      <c r="DE2062" s="51"/>
      <c r="DJ2062" s="52"/>
      <c r="DK2062" s="52"/>
      <c r="DL2062" s="52"/>
    </row>
    <row r="2063" spans="39:116">
      <c r="AM2063" s="53"/>
      <c r="AT2063" s="43"/>
      <c r="AV2063" s="53"/>
      <c r="CH2063" s="43"/>
      <c r="DD2063" s="53"/>
      <c r="DE2063" s="51"/>
      <c r="DJ2063" s="52"/>
      <c r="DK2063" s="52"/>
      <c r="DL2063" s="52"/>
    </row>
    <row r="2064" spans="39:116">
      <c r="AM2064" s="53"/>
      <c r="AT2064" s="43"/>
      <c r="AV2064" s="53"/>
      <c r="CH2064" s="43"/>
      <c r="DD2064" s="53"/>
      <c r="DE2064" s="51"/>
      <c r="DJ2064" s="52"/>
      <c r="DK2064" s="52"/>
      <c r="DL2064" s="52"/>
    </row>
    <row r="2065" spans="39:116">
      <c r="AM2065" s="53"/>
      <c r="AT2065" s="43"/>
      <c r="AV2065" s="53"/>
      <c r="CH2065" s="43"/>
      <c r="DD2065" s="53"/>
      <c r="DE2065" s="51"/>
      <c r="DJ2065" s="52"/>
      <c r="DK2065" s="52"/>
      <c r="DL2065" s="52"/>
    </row>
    <row r="2066" spans="39:116">
      <c r="AM2066" s="53"/>
      <c r="AT2066" s="43"/>
      <c r="AV2066" s="53"/>
      <c r="CH2066" s="43"/>
      <c r="DD2066" s="53"/>
      <c r="DE2066" s="51"/>
      <c r="DJ2066" s="52"/>
      <c r="DK2066" s="52"/>
      <c r="DL2066" s="52"/>
    </row>
    <row r="2067" spans="39:116">
      <c r="AM2067" s="53"/>
      <c r="AT2067" s="43"/>
      <c r="AV2067" s="53"/>
      <c r="CH2067" s="43"/>
      <c r="DD2067" s="53"/>
      <c r="DE2067" s="51"/>
      <c r="DJ2067" s="52"/>
      <c r="DK2067" s="52"/>
      <c r="DL2067" s="52"/>
    </row>
    <row r="2068" spans="39:116">
      <c r="AM2068" s="53"/>
      <c r="AT2068" s="43"/>
      <c r="AV2068" s="53"/>
      <c r="CH2068" s="43"/>
      <c r="DD2068" s="53"/>
      <c r="DE2068" s="51"/>
      <c r="DJ2068" s="52"/>
      <c r="DK2068" s="52"/>
      <c r="DL2068" s="52"/>
    </row>
    <row r="2069" spans="39:116">
      <c r="AM2069" s="53"/>
      <c r="AT2069" s="43"/>
      <c r="AV2069" s="53"/>
      <c r="CH2069" s="43"/>
      <c r="DD2069" s="53"/>
      <c r="DE2069" s="51"/>
      <c r="DJ2069" s="52"/>
      <c r="DK2069" s="52"/>
      <c r="DL2069" s="52"/>
    </row>
    <row r="2070" spans="39:116">
      <c r="AM2070" s="53"/>
      <c r="AT2070" s="43"/>
      <c r="AV2070" s="53"/>
      <c r="CH2070" s="43"/>
      <c r="DD2070" s="53"/>
      <c r="DE2070" s="51"/>
      <c r="DJ2070" s="52"/>
      <c r="DK2070" s="52"/>
      <c r="DL2070" s="52"/>
    </row>
    <row r="2071" spans="39:116">
      <c r="AM2071" s="53"/>
      <c r="AT2071" s="43"/>
      <c r="AV2071" s="53"/>
      <c r="CH2071" s="43"/>
      <c r="DD2071" s="53"/>
      <c r="DE2071" s="51"/>
      <c r="DJ2071" s="52"/>
      <c r="DK2071" s="52"/>
      <c r="DL2071" s="52"/>
    </row>
    <row r="2072" spans="39:116">
      <c r="AM2072" s="53"/>
      <c r="AT2072" s="43"/>
      <c r="AV2072" s="53"/>
      <c r="CH2072" s="43"/>
      <c r="DD2072" s="53"/>
      <c r="DE2072" s="51"/>
      <c r="DJ2072" s="52"/>
      <c r="DK2072" s="52"/>
      <c r="DL2072" s="52"/>
    </row>
    <row r="2073" spans="39:116">
      <c r="AM2073" s="53"/>
      <c r="AT2073" s="43"/>
      <c r="AV2073" s="53"/>
      <c r="CH2073" s="43"/>
      <c r="DD2073" s="53"/>
      <c r="DE2073" s="51"/>
      <c r="DJ2073" s="52"/>
      <c r="DK2073" s="52"/>
      <c r="DL2073" s="52"/>
    </row>
    <row r="2074" spans="39:116">
      <c r="AM2074" s="53"/>
      <c r="AT2074" s="43"/>
      <c r="AV2074" s="53"/>
      <c r="CH2074" s="43"/>
      <c r="DD2074" s="53"/>
      <c r="DE2074" s="51"/>
      <c r="DJ2074" s="52"/>
      <c r="DK2074" s="52"/>
      <c r="DL2074" s="52"/>
    </row>
    <row r="2075" spans="39:116">
      <c r="AM2075" s="53"/>
      <c r="AT2075" s="43"/>
      <c r="AV2075" s="53"/>
      <c r="CH2075" s="43"/>
      <c r="DD2075" s="53"/>
      <c r="DE2075" s="51"/>
      <c r="DJ2075" s="52"/>
      <c r="DK2075" s="52"/>
      <c r="DL2075" s="52"/>
    </row>
    <row r="2076" spans="39:116">
      <c r="AM2076" s="53"/>
      <c r="AT2076" s="43"/>
      <c r="AV2076" s="53"/>
      <c r="CH2076" s="43"/>
      <c r="DD2076" s="53"/>
      <c r="DE2076" s="51"/>
      <c r="DJ2076" s="52"/>
      <c r="DK2076" s="52"/>
      <c r="DL2076" s="52"/>
    </row>
    <row r="2077" spans="39:116">
      <c r="AM2077" s="53"/>
      <c r="AT2077" s="43"/>
      <c r="AV2077" s="53"/>
      <c r="CH2077" s="43"/>
      <c r="DD2077" s="53"/>
      <c r="DE2077" s="51"/>
      <c r="DJ2077" s="52"/>
      <c r="DK2077" s="52"/>
      <c r="DL2077" s="52"/>
    </row>
    <row r="2078" spans="39:116">
      <c r="AM2078" s="53"/>
      <c r="AT2078" s="43"/>
      <c r="AV2078" s="53"/>
      <c r="CH2078" s="43"/>
      <c r="DD2078" s="53"/>
      <c r="DE2078" s="51"/>
      <c r="DJ2078" s="52"/>
      <c r="DK2078" s="52"/>
      <c r="DL2078" s="52"/>
    </row>
    <row r="2079" spans="39:116">
      <c r="AM2079" s="53"/>
      <c r="AT2079" s="43"/>
      <c r="AV2079" s="53"/>
      <c r="CH2079" s="43"/>
      <c r="DD2079" s="53"/>
      <c r="DE2079" s="51"/>
      <c r="DJ2079" s="52"/>
      <c r="DK2079" s="52"/>
      <c r="DL2079" s="52"/>
    </row>
    <row r="2080" spans="39:116">
      <c r="AM2080" s="53"/>
      <c r="AT2080" s="43"/>
      <c r="AV2080" s="53"/>
      <c r="CH2080" s="43"/>
      <c r="DD2080" s="53"/>
      <c r="DE2080" s="51"/>
      <c r="DJ2080" s="52"/>
      <c r="DK2080" s="52"/>
      <c r="DL2080" s="52"/>
    </row>
    <row r="2081" spans="39:116">
      <c r="AM2081" s="53"/>
      <c r="AT2081" s="43"/>
      <c r="AV2081" s="53"/>
      <c r="CH2081" s="43"/>
      <c r="DD2081" s="53"/>
      <c r="DE2081" s="51"/>
      <c r="DJ2081" s="52"/>
      <c r="DK2081" s="52"/>
      <c r="DL2081" s="52"/>
    </row>
    <row r="2082" spans="39:116">
      <c r="AM2082" s="53"/>
      <c r="AT2082" s="43"/>
      <c r="AV2082" s="53"/>
      <c r="CH2082" s="43"/>
      <c r="DD2082" s="53"/>
      <c r="DE2082" s="51"/>
      <c r="DJ2082" s="52"/>
      <c r="DK2082" s="52"/>
      <c r="DL2082" s="52"/>
    </row>
    <row r="2083" spans="39:116">
      <c r="AM2083" s="53"/>
      <c r="AT2083" s="43"/>
      <c r="AV2083" s="53"/>
      <c r="CH2083" s="43"/>
      <c r="DD2083" s="53"/>
      <c r="DE2083" s="51"/>
      <c r="DJ2083" s="52"/>
      <c r="DK2083" s="52"/>
      <c r="DL2083" s="52"/>
    </row>
    <row r="2084" spans="39:116">
      <c r="AM2084" s="53"/>
      <c r="AT2084" s="43"/>
      <c r="AV2084" s="53"/>
      <c r="CH2084" s="43"/>
      <c r="DD2084" s="53"/>
      <c r="DE2084" s="51"/>
      <c r="DJ2084" s="52"/>
      <c r="DK2084" s="52"/>
      <c r="DL2084" s="52"/>
    </row>
    <row r="2085" spans="39:116">
      <c r="AM2085" s="53"/>
      <c r="AT2085" s="43"/>
      <c r="AV2085" s="53"/>
      <c r="CH2085" s="43"/>
      <c r="DD2085" s="53"/>
      <c r="DE2085" s="51"/>
      <c r="DJ2085" s="52"/>
      <c r="DK2085" s="52"/>
      <c r="DL2085" s="52"/>
    </row>
    <row r="2086" spans="39:116">
      <c r="AM2086" s="53"/>
      <c r="AT2086" s="43"/>
      <c r="AV2086" s="53"/>
      <c r="CH2086" s="43"/>
      <c r="DD2086" s="53"/>
      <c r="DE2086" s="51"/>
      <c r="DJ2086" s="52"/>
      <c r="DK2086" s="52"/>
      <c r="DL2086" s="52"/>
    </row>
    <row r="2087" spans="39:116">
      <c r="AM2087" s="53"/>
      <c r="AT2087" s="43"/>
      <c r="AV2087" s="53"/>
      <c r="CH2087" s="43"/>
      <c r="DD2087" s="53"/>
      <c r="DE2087" s="51"/>
      <c r="DJ2087" s="52"/>
      <c r="DK2087" s="52"/>
      <c r="DL2087" s="52"/>
    </row>
    <row r="2088" spans="39:116">
      <c r="AM2088" s="53"/>
      <c r="AT2088" s="43"/>
      <c r="AV2088" s="53"/>
      <c r="CH2088" s="43"/>
      <c r="DD2088" s="53"/>
      <c r="DE2088" s="51"/>
      <c r="DJ2088" s="52"/>
      <c r="DK2088" s="52"/>
      <c r="DL2088" s="52"/>
    </row>
    <row r="2089" spans="39:116">
      <c r="AM2089" s="53"/>
      <c r="AT2089" s="43"/>
      <c r="AV2089" s="53"/>
      <c r="CH2089" s="43"/>
      <c r="DD2089" s="53"/>
      <c r="DE2089" s="51"/>
      <c r="DJ2089" s="52"/>
      <c r="DK2089" s="52"/>
      <c r="DL2089" s="52"/>
    </row>
    <row r="2090" spans="39:116">
      <c r="AM2090" s="53"/>
      <c r="AT2090" s="43"/>
      <c r="AV2090" s="53"/>
      <c r="CH2090" s="43"/>
      <c r="DD2090" s="53"/>
      <c r="DE2090" s="51"/>
      <c r="DJ2090" s="52"/>
      <c r="DK2090" s="52"/>
      <c r="DL2090" s="52"/>
    </row>
    <row r="2091" spans="39:116">
      <c r="AM2091" s="53"/>
      <c r="AT2091" s="43"/>
      <c r="AV2091" s="53"/>
      <c r="CH2091" s="43"/>
      <c r="DD2091" s="53"/>
      <c r="DE2091" s="51"/>
      <c r="DJ2091" s="52"/>
      <c r="DK2091" s="52"/>
      <c r="DL2091" s="52"/>
    </row>
    <row r="2092" spans="39:116">
      <c r="AM2092" s="53"/>
      <c r="AT2092" s="43"/>
      <c r="AV2092" s="53"/>
      <c r="CH2092" s="43"/>
      <c r="DD2092" s="53"/>
      <c r="DE2092" s="51"/>
      <c r="DJ2092" s="52"/>
      <c r="DK2092" s="52"/>
      <c r="DL2092" s="52"/>
    </row>
    <row r="2093" spans="39:116">
      <c r="AM2093" s="53"/>
      <c r="AT2093" s="43"/>
      <c r="AV2093" s="53"/>
      <c r="CH2093" s="43"/>
      <c r="DD2093" s="53"/>
      <c r="DE2093" s="51"/>
      <c r="DJ2093" s="52"/>
      <c r="DK2093" s="52"/>
      <c r="DL2093" s="52"/>
    </row>
    <row r="2094" spans="39:116">
      <c r="AM2094" s="53"/>
      <c r="AT2094" s="43"/>
      <c r="AV2094" s="53"/>
      <c r="CH2094" s="43"/>
      <c r="DD2094" s="53"/>
      <c r="DE2094" s="51"/>
      <c r="DJ2094" s="52"/>
      <c r="DK2094" s="52"/>
      <c r="DL2094" s="52"/>
    </row>
    <row r="2095" spans="39:116">
      <c r="AM2095" s="53"/>
      <c r="AT2095" s="43"/>
      <c r="AV2095" s="53"/>
      <c r="CH2095" s="43"/>
      <c r="DD2095" s="53"/>
      <c r="DE2095" s="51"/>
      <c r="DJ2095" s="52"/>
      <c r="DK2095" s="52"/>
      <c r="DL2095" s="52"/>
    </row>
    <row r="2096" spans="39:116">
      <c r="AM2096" s="53"/>
      <c r="AT2096" s="43"/>
      <c r="AV2096" s="53"/>
      <c r="CH2096" s="43"/>
      <c r="DD2096" s="53"/>
      <c r="DE2096" s="51"/>
      <c r="DJ2096" s="52"/>
      <c r="DK2096" s="52"/>
      <c r="DL2096" s="52"/>
    </row>
    <row r="2097" spans="39:116">
      <c r="AM2097" s="53"/>
      <c r="AT2097" s="43"/>
      <c r="AV2097" s="53"/>
      <c r="CH2097" s="43"/>
      <c r="DD2097" s="53"/>
      <c r="DE2097" s="51"/>
      <c r="DJ2097" s="52"/>
      <c r="DK2097" s="52"/>
      <c r="DL2097" s="52"/>
    </row>
    <row r="2098" spans="39:116">
      <c r="AM2098" s="53"/>
      <c r="AT2098" s="43"/>
      <c r="AV2098" s="53"/>
      <c r="CH2098" s="43"/>
      <c r="DD2098" s="53"/>
      <c r="DE2098" s="51"/>
      <c r="DJ2098" s="52"/>
      <c r="DK2098" s="52"/>
      <c r="DL2098" s="52"/>
    </row>
    <row r="2099" spans="39:116">
      <c r="AM2099" s="53"/>
      <c r="AT2099" s="43"/>
      <c r="AV2099" s="53"/>
      <c r="CH2099" s="43"/>
      <c r="DD2099" s="53"/>
      <c r="DE2099" s="51"/>
      <c r="DJ2099" s="52"/>
      <c r="DK2099" s="52"/>
      <c r="DL2099" s="52"/>
    </row>
    <row r="2100" spans="39:116">
      <c r="AM2100" s="53"/>
      <c r="AT2100" s="43"/>
      <c r="AV2100" s="53"/>
      <c r="CH2100" s="43"/>
      <c r="DD2100" s="53"/>
      <c r="DE2100" s="51"/>
      <c r="DJ2100" s="52"/>
      <c r="DK2100" s="52"/>
      <c r="DL2100" s="52"/>
    </row>
    <row r="2101" spans="39:116">
      <c r="AM2101" s="53"/>
      <c r="AT2101" s="43"/>
      <c r="AV2101" s="53"/>
      <c r="CH2101" s="43"/>
      <c r="DD2101" s="53"/>
      <c r="DE2101" s="51"/>
      <c r="DJ2101" s="52"/>
      <c r="DK2101" s="52"/>
      <c r="DL2101" s="52"/>
    </row>
    <row r="2102" spans="39:116">
      <c r="AM2102" s="53"/>
      <c r="AT2102" s="43"/>
      <c r="AV2102" s="53"/>
      <c r="CH2102" s="43"/>
      <c r="DD2102" s="53"/>
      <c r="DE2102" s="51"/>
      <c r="DJ2102" s="52"/>
      <c r="DK2102" s="52"/>
      <c r="DL2102" s="52"/>
    </row>
    <row r="2103" spans="39:116">
      <c r="AM2103" s="53"/>
      <c r="AT2103" s="43"/>
      <c r="AV2103" s="53"/>
      <c r="CH2103" s="43"/>
      <c r="DD2103" s="53"/>
      <c r="DE2103" s="51"/>
      <c r="DJ2103" s="52"/>
      <c r="DK2103" s="52"/>
      <c r="DL2103" s="52"/>
    </row>
    <row r="2104" spans="39:116">
      <c r="AM2104" s="53"/>
      <c r="AT2104" s="43"/>
      <c r="AV2104" s="53"/>
      <c r="CH2104" s="43"/>
      <c r="DD2104" s="53"/>
      <c r="DE2104" s="51"/>
      <c r="DJ2104" s="52"/>
      <c r="DK2104" s="52"/>
      <c r="DL2104" s="52"/>
    </row>
    <row r="2105" spans="39:116">
      <c r="AM2105" s="53"/>
      <c r="AT2105" s="43"/>
      <c r="AV2105" s="53"/>
      <c r="CH2105" s="43"/>
      <c r="DD2105" s="53"/>
      <c r="DE2105" s="51"/>
      <c r="DJ2105" s="52"/>
      <c r="DK2105" s="52"/>
      <c r="DL2105" s="52"/>
    </row>
    <row r="2106" spans="39:116">
      <c r="AM2106" s="53"/>
      <c r="AT2106" s="43"/>
      <c r="AV2106" s="53"/>
      <c r="CH2106" s="43"/>
      <c r="DD2106" s="53"/>
      <c r="DE2106" s="51"/>
      <c r="DJ2106" s="52"/>
      <c r="DK2106" s="52"/>
      <c r="DL2106" s="52"/>
    </row>
    <row r="2107" spans="39:116">
      <c r="AM2107" s="53"/>
      <c r="AT2107" s="43"/>
      <c r="AV2107" s="53"/>
      <c r="CH2107" s="43"/>
      <c r="DD2107" s="53"/>
      <c r="DE2107" s="51"/>
      <c r="DJ2107" s="52"/>
      <c r="DK2107" s="52"/>
      <c r="DL2107" s="52"/>
    </row>
    <row r="2108" spans="39:116">
      <c r="AM2108" s="53"/>
      <c r="AT2108" s="43"/>
      <c r="AV2108" s="53"/>
      <c r="CH2108" s="43"/>
      <c r="DD2108" s="53"/>
      <c r="DE2108" s="51"/>
      <c r="DJ2108" s="52"/>
      <c r="DK2108" s="52"/>
      <c r="DL2108" s="52"/>
    </row>
    <row r="2109" spans="39:116">
      <c r="AM2109" s="53"/>
      <c r="AT2109" s="43"/>
      <c r="AV2109" s="53"/>
      <c r="CH2109" s="43"/>
      <c r="DD2109" s="53"/>
      <c r="DE2109" s="51"/>
      <c r="DJ2109" s="52"/>
      <c r="DK2109" s="52"/>
      <c r="DL2109" s="52"/>
    </row>
    <row r="2110" spans="39:116">
      <c r="AM2110" s="53"/>
      <c r="AT2110" s="43"/>
      <c r="AV2110" s="53"/>
      <c r="CH2110" s="43"/>
      <c r="DD2110" s="53"/>
      <c r="DE2110" s="51"/>
      <c r="DJ2110" s="52"/>
      <c r="DK2110" s="52"/>
      <c r="DL2110" s="52"/>
    </row>
    <row r="2111" spans="39:116">
      <c r="AM2111" s="53"/>
      <c r="AT2111" s="43"/>
      <c r="AV2111" s="53"/>
      <c r="CH2111" s="43"/>
      <c r="DD2111" s="53"/>
      <c r="DE2111" s="51"/>
      <c r="DJ2111" s="52"/>
      <c r="DK2111" s="52"/>
      <c r="DL2111" s="52"/>
    </row>
    <row r="2112" spans="39:116">
      <c r="AM2112" s="53"/>
      <c r="AT2112" s="43"/>
      <c r="AV2112" s="53"/>
      <c r="CH2112" s="43"/>
      <c r="DD2112" s="53"/>
      <c r="DE2112" s="51"/>
      <c r="DJ2112" s="52"/>
      <c r="DK2112" s="52"/>
      <c r="DL2112" s="52"/>
    </row>
    <row r="2113" spans="39:116">
      <c r="AM2113" s="53"/>
      <c r="AT2113" s="43"/>
      <c r="AV2113" s="53"/>
      <c r="CH2113" s="43"/>
      <c r="DD2113" s="53"/>
      <c r="DE2113" s="51"/>
      <c r="DJ2113" s="52"/>
      <c r="DK2113" s="52"/>
      <c r="DL2113" s="52"/>
    </row>
    <row r="2114" spans="39:116">
      <c r="AM2114" s="53"/>
      <c r="AT2114" s="43"/>
      <c r="AV2114" s="53"/>
      <c r="CH2114" s="43"/>
      <c r="DD2114" s="53"/>
      <c r="DE2114" s="51"/>
      <c r="DJ2114" s="52"/>
      <c r="DK2114" s="52"/>
      <c r="DL2114" s="52"/>
    </row>
    <row r="2115" spans="39:116">
      <c r="AM2115" s="53"/>
      <c r="AT2115" s="43"/>
      <c r="AV2115" s="53"/>
      <c r="CH2115" s="43"/>
      <c r="DD2115" s="53"/>
      <c r="DE2115" s="51"/>
      <c r="DJ2115" s="52"/>
      <c r="DK2115" s="52"/>
      <c r="DL2115" s="52"/>
    </row>
    <row r="2116" spans="39:116">
      <c r="AM2116" s="53"/>
      <c r="AT2116" s="43"/>
      <c r="AV2116" s="53"/>
      <c r="CH2116" s="43"/>
      <c r="DD2116" s="53"/>
      <c r="DE2116" s="51"/>
      <c r="DJ2116" s="52"/>
      <c r="DK2116" s="52"/>
      <c r="DL2116" s="52"/>
    </row>
    <row r="2117" spans="39:116">
      <c r="AM2117" s="53"/>
      <c r="AT2117" s="43"/>
      <c r="AV2117" s="53"/>
      <c r="CH2117" s="43"/>
      <c r="DD2117" s="53"/>
      <c r="DE2117" s="51"/>
      <c r="DJ2117" s="52"/>
      <c r="DK2117" s="52"/>
      <c r="DL2117" s="52"/>
    </row>
    <row r="2118" spans="39:116">
      <c r="AM2118" s="53"/>
      <c r="AT2118" s="43"/>
      <c r="AV2118" s="53"/>
      <c r="CH2118" s="43"/>
      <c r="DD2118" s="53"/>
      <c r="DE2118" s="51"/>
      <c r="DJ2118" s="52"/>
      <c r="DK2118" s="52"/>
      <c r="DL2118" s="52"/>
    </row>
    <row r="2119" spans="39:116">
      <c r="AM2119" s="53"/>
      <c r="AT2119" s="43"/>
      <c r="AV2119" s="53"/>
      <c r="CH2119" s="43"/>
      <c r="DD2119" s="53"/>
      <c r="DE2119" s="51"/>
      <c r="DJ2119" s="52"/>
      <c r="DK2119" s="52"/>
      <c r="DL2119" s="52"/>
    </row>
    <row r="2120" spans="39:116">
      <c r="AM2120" s="53"/>
      <c r="AT2120" s="43"/>
      <c r="AV2120" s="53"/>
      <c r="CH2120" s="43"/>
      <c r="DD2120" s="53"/>
      <c r="DE2120" s="51"/>
      <c r="DJ2120" s="52"/>
      <c r="DK2120" s="52"/>
      <c r="DL2120" s="52"/>
    </row>
    <row r="2121" spans="39:116">
      <c r="AM2121" s="53"/>
      <c r="AT2121" s="43"/>
      <c r="AV2121" s="53"/>
      <c r="CH2121" s="43"/>
      <c r="DD2121" s="53"/>
      <c r="DE2121" s="51"/>
      <c r="DJ2121" s="52"/>
      <c r="DK2121" s="52"/>
      <c r="DL2121" s="52"/>
    </row>
    <row r="2122" spans="39:116">
      <c r="AM2122" s="53"/>
      <c r="AT2122" s="43"/>
      <c r="AV2122" s="53"/>
      <c r="CH2122" s="43"/>
      <c r="DD2122" s="53"/>
      <c r="DE2122" s="51"/>
      <c r="DJ2122" s="52"/>
      <c r="DK2122" s="52"/>
      <c r="DL2122" s="52"/>
    </row>
    <row r="2123" spans="39:116">
      <c r="AM2123" s="53"/>
      <c r="AT2123" s="43"/>
      <c r="AV2123" s="53"/>
      <c r="CH2123" s="43"/>
      <c r="DD2123" s="53"/>
      <c r="DE2123" s="51"/>
      <c r="DJ2123" s="52"/>
      <c r="DK2123" s="52"/>
      <c r="DL2123" s="52"/>
    </row>
    <row r="2124" spans="39:116">
      <c r="AM2124" s="53"/>
      <c r="AT2124" s="43"/>
      <c r="AV2124" s="53"/>
      <c r="CH2124" s="43"/>
      <c r="DD2124" s="53"/>
      <c r="DE2124" s="51"/>
      <c r="DJ2124" s="52"/>
      <c r="DK2124" s="52"/>
      <c r="DL2124" s="52"/>
    </row>
    <row r="2125" spans="39:116">
      <c r="AM2125" s="53"/>
      <c r="AT2125" s="43"/>
      <c r="AV2125" s="53"/>
      <c r="CH2125" s="43"/>
      <c r="DD2125" s="53"/>
      <c r="DE2125" s="51"/>
      <c r="DJ2125" s="52"/>
      <c r="DK2125" s="52"/>
      <c r="DL2125" s="52"/>
    </row>
    <row r="2126" spans="39:116">
      <c r="AM2126" s="53"/>
      <c r="AT2126" s="43"/>
      <c r="AV2126" s="53"/>
      <c r="CH2126" s="43"/>
      <c r="DD2126" s="53"/>
      <c r="DE2126" s="51"/>
      <c r="DJ2126" s="52"/>
      <c r="DK2126" s="52"/>
      <c r="DL2126" s="52"/>
    </row>
    <row r="2127" spans="39:116">
      <c r="AM2127" s="53"/>
      <c r="AT2127" s="43"/>
      <c r="AV2127" s="53"/>
      <c r="CH2127" s="43"/>
      <c r="DD2127" s="53"/>
      <c r="DE2127" s="51"/>
      <c r="DJ2127" s="52"/>
      <c r="DK2127" s="52"/>
      <c r="DL2127" s="52"/>
    </row>
    <row r="2128" spans="39:116">
      <c r="AM2128" s="53"/>
      <c r="AT2128" s="43"/>
      <c r="AV2128" s="53"/>
      <c r="CH2128" s="43"/>
      <c r="DD2128" s="53"/>
      <c r="DE2128" s="51"/>
      <c r="DJ2128" s="52"/>
      <c r="DK2128" s="52"/>
      <c r="DL2128" s="52"/>
    </row>
    <row r="2129" spans="39:116">
      <c r="AM2129" s="53"/>
      <c r="AT2129" s="43"/>
      <c r="AV2129" s="53"/>
      <c r="CH2129" s="43"/>
      <c r="DD2129" s="53"/>
      <c r="DE2129" s="51"/>
      <c r="DJ2129" s="52"/>
      <c r="DK2129" s="52"/>
      <c r="DL2129" s="52"/>
    </row>
    <row r="2130" spans="39:116">
      <c r="AM2130" s="53"/>
      <c r="AT2130" s="43"/>
      <c r="AV2130" s="53"/>
      <c r="CH2130" s="43"/>
      <c r="DD2130" s="53"/>
      <c r="DE2130" s="51"/>
      <c r="DJ2130" s="52"/>
      <c r="DK2130" s="52"/>
      <c r="DL2130" s="52"/>
    </row>
    <row r="2131" spans="39:116">
      <c r="AM2131" s="53"/>
      <c r="AT2131" s="43"/>
      <c r="AV2131" s="53"/>
      <c r="CH2131" s="43"/>
      <c r="DD2131" s="53"/>
      <c r="DE2131" s="51"/>
      <c r="DJ2131" s="52"/>
      <c r="DK2131" s="52"/>
      <c r="DL2131" s="52"/>
    </row>
    <row r="2132" spans="39:116">
      <c r="AM2132" s="53"/>
      <c r="AT2132" s="43"/>
      <c r="AV2132" s="53"/>
      <c r="CH2132" s="43"/>
      <c r="DD2132" s="53"/>
      <c r="DE2132" s="51"/>
      <c r="DJ2132" s="52"/>
      <c r="DK2132" s="52"/>
      <c r="DL2132" s="52"/>
    </row>
    <row r="2133" spans="39:116">
      <c r="AM2133" s="53"/>
      <c r="AT2133" s="43"/>
      <c r="AV2133" s="53"/>
      <c r="CH2133" s="43"/>
      <c r="DD2133" s="53"/>
      <c r="DE2133" s="51"/>
      <c r="DJ2133" s="52"/>
      <c r="DK2133" s="52"/>
      <c r="DL2133" s="52"/>
    </row>
    <row r="2134" spans="39:116">
      <c r="AM2134" s="53"/>
      <c r="AT2134" s="43"/>
      <c r="AV2134" s="53"/>
      <c r="CH2134" s="43"/>
      <c r="DD2134" s="53"/>
      <c r="DE2134" s="51"/>
      <c r="DJ2134" s="52"/>
      <c r="DK2134" s="52"/>
      <c r="DL2134" s="52"/>
    </row>
    <row r="2135" spans="39:116">
      <c r="AM2135" s="53"/>
      <c r="AT2135" s="43"/>
      <c r="AV2135" s="53"/>
      <c r="CH2135" s="43"/>
      <c r="DD2135" s="53"/>
      <c r="DE2135" s="51"/>
      <c r="DJ2135" s="52"/>
      <c r="DK2135" s="52"/>
      <c r="DL2135" s="52"/>
    </row>
    <row r="2136" spans="39:116">
      <c r="AM2136" s="53"/>
      <c r="AT2136" s="43"/>
      <c r="AV2136" s="53"/>
      <c r="CH2136" s="43"/>
      <c r="DD2136" s="53"/>
      <c r="DE2136" s="51"/>
      <c r="DJ2136" s="52"/>
      <c r="DK2136" s="52"/>
      <c r="DL2136" s="52"/>
    </row>
    <row r="2137" spans="39:116">
      <c r="AM2137" s="53"/>
      <c r="AT2137" s="43"/>
      <c r="AV2137" s="53"/>
      <c r="CH2137" s="43"/>
      <c r="DD2137" s="53"/>
      <c r="DE2137" s="51"/>
      <c r="DJ2137" s="52"/>
      <c r="DK2137" s="52"/>
      <c r="DL2137" s="52"/>
    </row>
    <row r="2138" spans="39:116">
      <c r="AM2138" s="53"/>
      <c r="AT2138" s="43"/>
      <c r="AV2138" s="53"/>
      <c r="CH2138" s="43"/>
      <c r="DD2138" s="53"/>
      <c r="DE2138" s="51"/>
      <c r="DJ2138" s="52"/>
      <c r="DK2138" s="52"/>
      <c r="DL2138" s="52"/>
    </row>
    <row r="2139" spans="39:116">
      <c r="AM2139" s="53"/>
      <c r="AT2139" s="43"/>
      <c r="AV2139" s="53"/>
      <c r="CH2139" s="43"/>
      <c r="DD2139" s="53"/>
      <c r="DE2139" s="51"/>
      <c r="DJ2139" s="52"/>
      <c r="DK2139" s="52"/>
      <c r="DL2139" s="52"/>
    </row>
    <row r="2140" spans="39:116">
      <c r="AM2140" s="53"/>
      <c r="AT2140" s="43"/>
      <c r="AV2140" s="53"/>
      <c r="CH2140" s="43"/>
      <c r="DD2140" s="53"/>
      <c r="DE2140" s="51"/>
      <c r="DJ2140" s="52"/>
      <c r="DK2140" s="52"/>
      <c r="DL2140" s="52"/>
    </row>
    <row r="2141" spans="39:116">
      <c r="AM2141" s="53"/>
      <c r="AT2141" s="43"/>
      <c r="AV2141" s="53"/>
      <c r="CH2141" s="43"/>
      <c r="DD2141" s="53"/>
      <c r="DE2141" s="51"/>
      <c r="DJ2141" s="52"/>
      <c r="DK2141" s="52"/>
      <c r="DL2141" s="52"/>
    </row>
    <row r="2142" spans="39:116">
      <c r="AM2142" s="53"/>
      <c r="AT2142" s="43"/>
      <c r="AV2142" s="53"/>
      <c r="CH2142" s="43"/>
      <c r="DD2142" s="53"/>
      <c r="DE2142" s="51"/>
      <c r="DJ2142" s="52"/>
      <c r="DK2142" s="52"/>
      <c r="DL2142" s="52"/>
    </row>
    <row r="2143" spans="39:116">
      <c r="AM2143" s="53"/>
      <c r="AT2143" s="43"/>
      <c r="AV2143" s="53"/>
      <c r="CH2143" s="43"/>
      <c r="DD2143" s="53"/>
      <c r="DE2143" s="51"/>
      <c r="DJ2143" s="52"/>
      <c r="DK2143" s="52"/>
      <c r="DL2143" s="52"/>
    </row>
    <row r="2144" spans="39:116">
      <c r="AM2144" s="53"/>
      <c r="AT2144" s="43"/>
      <c r="AV2144" s="53"/>
      <c r="CH2144" s="43"/>
      <c r="DD2144" s="53"/>
      <c r="DE2144" s="51"/>
      <c r="DJ2144" s="52"/>
      <c r="DK2144" s="52"/>
      <c r="DL2144" s="52"/>
    </row>
    <row r="2145" spans="39:116">
      <c r="AM2145" s="53"/>
      <c r="AT2145" s="43"/>
      <c r="AV2145" s="53"/>
      <c r="CH2145" s="43"/>
      <c r="DD2145" s="53"/>
      <c r="DE2145" s="51"/>
      <c r="DJ2145" s="52"/>
      <c r="DK2145" s="52"/>
      <c r="DL2145" s="52"/>
    </row>
    <row r="2146" spans="39:116">
      <c r="AM2146" s="53"/>
      <c r="AT2146" s="43"/>
      <c r="AV2146" s="53"/>
      <c r="CH2146" s="43"/>
      <c r="DD2146" s="53"/>
      <c r="DE2146" s="51"/>
      <c r="DJ2146" s="52"/>
      <c r="DK2146" s="52"/>
      <c r="DL2146" s="52"/>
    </row>
    <row r="2147" spans="39:116">
      <c r="AM2147" s="53"/>
      <c r="AT2147" s="43"/>
      <c r="AV2147" s="53"/>
      <c r="CH2147" s="43"/>
      <c r="DD2147" s="53"/>
      <c r="DE2147" s="51"/>
      <c r="DJ2147" s="52"/>
      <c r="DK2147" s="52"/>
      <c r="DL2147" s="52"/>
    </row>
    <row r="2148" spans="39:116">
      <c r="AM2148" s="53"/>
      <c r="AT2148" s="43"/>
      <c r="AV2148" s="53"/>
      <c r="CH2148" s="43"/>
      <c r="DD2148" s="53"/>
      <c r="DE2148" s="51"/>
      <c r="DJ2148" s="52"/>
      <c r="DK2148" s="52"/>
      <c r="DL2148" s="52"/>
    </row>
    <row r="2149" spans="39:116">
      <c r="AM2149" s="53"/>
      <c r="AT2149" s="43"/>
      <c r="AV2149" s="53"/>
      <c r="CH2149" s="43"/>
      <c r="DD2149" s="53"/>
      <c r="DE2149" s="51"/>
      <c r="DJ2149" s="52"/>
      <c r="DK2149" s="52"/>
      <c r="DL2149" s="52"/>
    </row>
    <row r="2150" spans="39:116">
      <c r="AM2150" s="53"/>
      <c r="AT2150" s="43"/>
      <c r="AV2150" s="53"/>
      <c r="CH2150" s="43"/>
      <c r="DD2150" s="53"/>
      <c r="DE2150" s="51"/>
      <c r="DJ2150" s="52"/>
      <c r="DK2150" s="52"/>
      <c r="DL2150" s="52"/>
    </row>
    <row r="2151" spans="39:116">
      <c r="AM2151" s="53"/>
      <c r="AT2151" s="43"/>
      <c r="AV2151" s="53"/>
      <c r="CH2151" s="43"/>
      <c r="DD2151" s="53"/>
      <c r="DE2151" s="51"/>
      <c r="DJ2151" s="52"/>
      <c r="DK2151" s="52"/>
      <c r="DL2151" s="52"/>
    </row>
    <row r="2152" spans="39:116">
      <c r="AM2152" s="53"/>
      <c r="AT2152" s="43"/>
      <c r="AV2152" s="53"/>
      <c r="CH2152" s="43"/>
      <c r="DD2152" s="53"/>
      <c r="DE2152" s="51"/>
      <c r="DJ2152" s="52"/>
      <c r="DK2152" s="52"/>
      <c r="DL2152" s="52"/>
    </row>
    <row r="2153" spans="39:116">
      <c r="AM2153" s="53"/>
      <c r="AT2153" s="43"/>
      <c r="AV2153" s="53"/>
      <c r="CH2153" s="43"/>
      <c r="DD2153" s="53"/>
      <c r="DE2153" s="51"/>
      <c r="DJ2153" s="52"/>
      <c r="DK2153" s="52"/>
      <c r="DL2153" s="52"/>
    </row>
    <row r="2154" spans="39:116">
      <c r="AM2154" s="53"/>
      <c r="AT2154" s="43"/>
      <c r="AV2154" s="53"/>
      <c r="CH2154" s="43"/>
      <c r="DD2154" s="53"/>
      <c r="DE2154" s="51"/>
      <c r="DJ2154" s="52"/>
      <c r="DK2154" s="52"/>
      <c r="DL2154" s="52"/>
    </row>
    <row r="2155" spans="39:116">
      <c r="AM2155" s="53"/>
      <c r="AT2155" s="43"/>
      <c r="AV2155" s="53"/>
      <c r="CH2155" s="43"/>
      <c r="DD2155" s="53"/>
      <c r="DE2155" s="51"/>
      <c r="DJ2155" s="52"/>
      <c r="DK2155" s="52"/>
      <c r="DL2155" s="52"/>
    </row>
    <row r="2156" spans="39:116">
      <c r="AM2156" s="53"/>
      <c r="AT2156" s="43"/>
      <c r="AV2156" s="53"/>
      <c r="CH2156" s="43"/>
      <c r="DD2156" s="53"/>
      <c r="DE2156" s="51"/>
      <c r="DJ2156" s="52"/>
      <c r="DK2156" s="52"/>
      <c r="DL2156" s="52"/>
    </row>
    <row r="2157" spans="39:116">
      <c r="AM2157" s="53"/>
      <c r="AT2157" s="43"/>
      <c r="AV2157" s="53"/>
      <c r="CH2157" s="43"/>
      <c r="DD2157" s="53"/>
      <c r="DE2157" s="51"/>
      <c r="DJ2157" s="52"/>
      <c r="DK2157" s="52"/>
      <c r="DL2157" s="52"/>
    </row>
    <row r="2158" spans="39:116">
      <c r="AM2158" s="53"/>
      <c r="AT2158" s="43"/>
      <c r="AV2158" s="53"/>
      <c r="CH2158" s="43"/>
      <c r="DD2158" s="53"/>
      <c r="DE2158" s="51"/>
      <c r="DJ2158" s="52"/>
      <c r="DK2158" s="52"/>
      <c r="DL2158" s="52"/>
    </row>
    <row r="2159" spans="39:116">
      <c r="AM2159" s="53"/>
      <c r="AT2159" s="43"/>
      <c r="AV2159" s="53"/>
      <c r="CH2159" s="43"/>
      <c r="DD2159" s="53"/>
      <c r="DE2159" s="51"/>
      <c r="DJ2159" s="52"/>
      <c r="DK2159" s="52"/>
      <c r="DL2159" s="52"/>
    </row>
    <row r="2160" spans="39:116">
      <c r="AM2160" s="53"/>
      <c r="AT2160" s="43"/>
      <c r="AV2160" s="53"/>
      <c r="CH2160" s="43"/>
      <c r="DD2160" s="53"/>
      <c r="DE2160" s="51"/>
      <c r="DJ2160" s="52"/>
      <c r="DK2160" s="52"/>
      <c r="DL2160" s="52"/>
    </row>
    <row r="2161" spans="39:116">
      <c r="AM2161" s="53"/>
      <c r="AT2161" s="43"/>
      <c r="AV2161" s="53"/>
      <c r="CH2161" s="43"/>
      <c r="DD2161" s="53"/>
      <c r="DE2161" s="51"/>
      <c r="DJ2161" s="52"/>
      <c r="DK2161" s="52"/>
      <c r="DL2161" s="52"/>
    </row>
    <row r="2162" spans="39:116">
      <c r="AM2162" s="53"/>
      <c r="AT2162" s="43"/>
      <c r="AV2162" s="53"/>
      <c r="CH2162" s="43"/>
      <c r="DD2162" s="53"/>
      <c r="DE2162" s="51"/>
      <c r="DJ2162" s="52"/>
      <c r="DK2162" s="52"/>
      <c r="DL2162" s="52"/>
    </row>
    <row r="2163" spans="39:116">
      <c r="AM2163" s="53"/>
      <c r="AT2163" s="43"/>
      <c r="AV2163" s="53"/>
      <c r="CH2163" s="43"/>
      <c r="DD2163" s="53"/>
      <c r="DE2163" s="51"/>
      <c r="DJ2163" s="52"/>
      <c r="DK2163" s="52"/>
      <c r="DL2163" s="52"/>
    </row>
    <row r="2164" spans="39:116">
      <c r="AM2164" s="53"/>
      <c r="AT2164" s="43"/>
      <c r="AV2164" s="53"/>
      <c r="CH2164" s="43"/>
      <c r="DD2164" s="53"/>
      <c r="DE2164" s="51"/>
      <c r="DJ2164" s="52"/>
      <c r="DK2164" s="52"/>
      <c r="DL2164" s="52"/>
    </row>
    <row r="2165" spans="39:116">
      <c r="AM2165" s="53"/>
      <c r="AT2165" s="43"/>
      <c r="AV2165" s="53"/>
      <c r="CH2165" s="43"/>
      <c r="DD2165" s="53"/>
      <c r="DE2165" s="51"/>
      <c r="DJ2165" s="52"/>
      <c r="DK2165" s="52"/>
      <c r="DL2165" s="52"/>
    </row>
    <row r="2166" spans="39:116">
      <c r="AM2166" s="53"/>
      <c r="AT2166" s="43"/>
      <c r="AV2166" s="53"/>
      <c r="CH2166" s="43"/>
      <c r="DD2166" s="53"/>
      <c r="DE2166" s="51"/>
      <c r="DJ2166" s="52"/>
      <c r="DK2166" s="52"/>
      <c r="DL2166" s="52"/>
    </row>
    <row r="2167" spans="39:116">
      <c r="AM2167" s="53"/>
      <c r="AT2167" s="43"/>
      <c r="AV2167" s="53"/>
      <c r="CH2167" s="43"/>
      <c r="DD2167" s="53"/>
      <c r="DE2167" s="51"/>
      <c r="DJ2167" s="52"/>
      <c r="DK2167" s="52"/>
      <c r="DL2167" s="52"/>
    </row>
    <row r="2168" spans="39:116">
      <c r="AM2168" s="53"/>
      <c r="AT2168" s="43"/>
      <c r="AV2168" s="53"/>
      <c r="CH2168" s="43"/>
      <c r="DD2168" s="53"/>
      <c r="DE2168" s="51"/>
      <c r="DJ2168" s="52"/>
      <c r="DK2168" s="52"/>
      <c r="DL2168" s="52"/>
    </row>
    <row r="2169" spans="39:116">
      <c r="AM2169" s="53"/>
      <c r="AT2169" s="43"/>
      <c r="AV2169" s="53"/>
      <c r="CH2169" s="43"/>
      <c r="DD2169" s="53"/>
      <c r="DE2169" s="51"/>
      <c r="DJ2169" s="52"/>
      <c r="DK2169" s="52"/>
      <c r="DL2169" s="52"/>
    </row>
    <row r="2170" spans="39:116">
      <c r="AM2170" s="53"/>
      <c r="AT2170" s="43"/>
      <c r="AV2170" s="53"/>
      <c r="CH2170" s="43"/>
      <c r="DD2170" s="53"/>
      <c r="DE2170" s="51"/>
      <c r="DJ2170" s="52"/>
      <c r="DK2170" s="52"/>
      <c r="DL2170" s="52"/>
    </row>
    <row r="2171" spans="39:116">
      <c r="AM2171" s="53"/>
      <c r="AT2171" s="43"/>
      <c r="AV2171" s="53"/>
      <c r="CH2171" s="43"/>
      <c r="DD2171" s="53"/>
      <c r="DE2171" s="51"/>
      <c r="DJ2171" s="52"/>
      <c r="DK2171" s="52"/>
      <c r="DL2171" s="52"/>
    </row>
    <row r="2172" spans="39:116">
      <c r="AM2172" s="53"/>
      <c r="AT2172" s="43"/>
      <c r="AV2172" s="53"/>
      <c r="CH2172" s="43"/>
      <c r="DD2172" s="53"/>
      <c r="DE2172" s="51"/>
      <c r="DJ2172" s="52"/>
      <c r="DK2172" s="52"/>
      <c r="DL2172" s="52"/>
    </row>
    <row r="2173" spans="39:116">
      <c r="AM2173" s="53"/>
      <c r="AT2173" s="43"/>
      <c r="AV2173" s="53"/>
      <c r="CH2173" s="43"/>
      <c r="DD2173" s="53"/>
      <c r="DE2173" s="51"/>
      <c r="DJ2173" s="52"/>
      <c r="DK2173" s="52"/>
      <c r="DL2173" s="52"/>
    </row>
    <row r="2174" spans="39:116">
      <c r="AM2174" s="53"/>
      <c r="AT2174" s="43"/>
      <c r="AV2174" s="53"/>
      <c r="CH2174" s="43"/>
      <c r="DD2174" s="53"/>
      <c r="DE2174" s="51"/>
      <c r="DJ2174" s="52"/>
      <c r="DK2174" s="52"/>
      <c r="DL2174" s="52"/>
    </row>
    <row r="2175" spans="39:116">
      <c r="AM2175" s="53"/>
      <c r="AT2175" s="43"/>
      <c r="AV2175" s="53"/>
      <c r="CH2175" s="43"/>
      <c r="DD2175" s="53"/>
      <c r="DE2175" s="51"/>
      <c r="DJ2175" s="52"/>
      <c r="DK2175" s="52"/>
      <c r="DL2175" s="52"/>
    </row>
    <row r="2176" spans="39:116">
      <c r="AM2176" s="53"/>
      <c r="AT2176" s="43"/>
      <c r="AV2176" s="53"/>
      <c r="CH2176" s="43"/>
      <c r="DD2176" s="53"/>
      <c r="DE2176" s="51"/>
      <c r="DJ2176" s="52"/>
      <c r="DK2176" s="52"/>
      <c r="DL2176" s="52"/>
    </row>
    <row r="2177" spans="39:116">
      <c r="AM2177" s="53"/>
      <c r="AT2177" s="43"/>
      <c r="AV2177" s="53"/>
      <c r="CH2177" s="43"/>
      <c r="DD2177" s="53"/>
      <c r="DE2177" s="51"/>
      <c r="DJ2177" s="52"/>
      <c r="DK2177" s="52"/>
      <c r="DL2177" s="52"/>
    </row>
    <row r="2178" spans="39:116">
      <c r="AM2178" s="53"/>
      <c r="AT2178" s="43"/>
      <c r="AV2178" s="53"/>
      <c r="CH2178" s="43"/>
      <c r="DD2178" s="53"/>
      <c r="DE2178" s="51"/>
      <c r="DJ2178" s="52"/>
      <c r="DK2178" s="52"/>
      <c r="DL2178" s="52"/>
    </row>
    <row r="2179" spans="39:116">
      <c r="AM2179" s="53"/>
      <c r="AT2179" s="43"/>
      <c r="AV2179" s="53"/>
      <c r="CH2179" s="43"/>
      <c r="DD2179" s="53"/>
      <c r="DE2179" s="51"/>
      <c r="DJ2179" s="52"/>
      <c r="DK2179" s="52"/>
      <c r="DL2179" s="52"/>
    </row>
    <row r="2180" spans="39:116">
      <c r="AM2180" s="53"/>
      <c r="AT2180" s="43"/>
      <c r="AV2180" s="53"/>
      <c r="CH2180" s="43"/>
      <c r="DD2180" s="53"/>
      <c r="DE2180" s="51"/>
      <c r="DJ2180" s="52"/>
      <c r="DK2180" s="52"/>
      <c r="DL2180" s="52"/>
    </row>
    <row r="2181" spans="39:116">
      <c r="AM2181" s="53"/>
      <c r="AT2181" s="43"/>
      <c r="AV2181" s="53"/>
      <c r="CH2181" s="43"/>
      <c r="DD2181" s="53"/>
      <c r="DE2181" s="51"/>
      <c r="DJ2181" s="52"/>
      <c r="DK2181" s="52"/>
      <c r="DL2181" s="52"/>
    </row>
    <row r="2182" spans="39:116">
      <c r="AM2182" s="53"/>
      <c r="AT2182" s="43"/>
      <c r="AV2182" s="53"/>
      <c r="CH2182" s="43"/>
      <c r="DD2182" s="53"/>
      <c r="DE2182" s="51"/>
      <c r="DJ2182" s="52"/>
      <c r="DK2182" s="52"/>
      <c r="DL2182" s="52"/>
    </row>
    <row r="2183" spans="39:116">
      <c r="AM2183" s="53"/>
      <c r="AT2183" s="43"/>
      <c r="AV2183" s="53"/>
      <c r="CH2183" s="43"/>
      <c r="DD2183" s="53"/>
      <c r="DE2183" s="51"/>
      <c r="DJ2183" s="52"/>
      <c r="DK2183" s="52"/>
      <c r="DL2183" s="52"/>
    </row>
    <row r="2184" spans="39:116">
      <c r="AM2184" s="53"/>
      <c r="AT2184" s="43"/>
      <c r="AV2184" s="53"/>
      <c r="CH2184" s="43"/>
      <c r="DD2184" s="53"/>
      <c r="DE2184" s="51"/>
      <c r="DJ2184" s="52"/>
      <c r="DK2184" s="52"/>
      <c r="DL2184" s="52"/>
    </row>
    <row r="2185" spans="39:116">
      <c r="AM2185" s="53"/>
      <c r="AT2185" s="43"/>
      <c r="AV2185" s="53"/>
      <c r="CH2185" s="43"/>
      <c r="DD2185" s="53"/>
      <c r="DE2185" s="51"/>
      <c r="DJ2185" s="52"/>
      <c r="DK2185" s="52"/>
      <c r="DL2185" s="52"/>
    </row>
    <row r="2186" spans="39:116">
      <c r="AM2186" s="53"/>
      <c r="AT2186" s="43"/>
      <c r="AV2186" s="53"/>
      <c r="CH2186" s="43"/>
      <c r="DD2186" s="53"/>
      <c r="DE2186" s="51"/>
      <c r="DJ2186" s="52"/>
      <c r="DK2186" s="52"/>
      <c r="DL2186" s="52"/>
    </row>
    <row r="2187" spans="39:116">
      <c r="AM2187" s="53"/>
      <c r="AT2187" s="43"/>
      <c r="AV2187" s="53"/>
      <c r="CH2187" s="43"/>
      <c r="DD2187" s="53"/>
      <c r="DE2187" s="51"/>
      <c r="DJ2187" s="52"/>
      <c r="DK2187" s="52"/>
      <c r="DL2187" s="52"/>
    </row>
    <row r="2188" spans="39:116">
      <c r="AM2188" s="53"/>
      <c r="AT2188" s="43"/>
      <c r="AV2188" s="53"/>
      <c r="CH2188" s="43"/>
      <c r="DD2188" s="53"/>
      <c r="DE2188" s="51"/>
      <c r="DJ2188" s="52"/>
      <c r="DK2188" s="52"/>
      <c r="DL2188" s="52"/>
    </row>
    <row r="2189" spans="39:116">
      <c r="AM2189" s="53"/>
      <c r="AT2189" s="43"/>
      <c r="AV2189" s="53"/>
      <c r="CH2189" s="43"/>
      <c r="DD2189" s="53"/>
      <c r="DE2189" s="51"/>
      <c r="DJ2189" s="52"/>
      <c r="DK2189" s="52"/>
      <c r="DL2189" s="52"/>
    </row>
    <row r="2190" spans="39:116">
      <c r="AM2190" s="53"/>
      <c r="AT2190" s="43"/>
      <c r="AV2190" s="53"/>
      <c r="CH2190" s="43"/>
      <c r="DD2190" s="53"/>
      <c r="DE2190" s="51"/>
      <c r="DJ2190" s="52"/>
      <c r="DK2190" s="52"/>
      <c r="DL2190" s="52"/>
    </row>
    <row r="2191" spans="39:116">
      <c r="AM2191" s="53"/>
      <c r="AT2191" s="43"/>
      <c r="AV2191" s="53"/>
      <c r="CH2191" s="43"/>
      <c r="DD2191" s="53"/>
      <c r="DE2191" s="51"/>
      <c r="DJ2191" s="52"/>
      <c r="DK2191" s="52"/>
      <c r="DL2191" s="52"/>
    </row>
    <row r="2192" spans="39:116">
      <c r="AM2192" s="53"/>
      <c r="AT2192" s="43"/>
      <c r="AV2192" s="53"/>
      <c r="CH2192" s="43"/>
      <c r="DD2192" s="53"/>
      <c r="DE2192" s="51"/>
      <c r="DJ2192" s="52"/>
      <c r="DK2192" s="52"/>
      <c r="DL2192" s="52"/>
    </row>
    <row r="2193" spans="39:116">
      <c r="AM2193" s="53"/>
      <c r="AT2193" s="43"/>
      <c r="AV2193" s="53"/>
      <c r="CH2193" s="43"/>
      <c r="DD2193" s="53"/>
      <c r="DE2193" s="51"/>
      <c r="DJ2193" s="52"/>
      <c r="DK2193" s="52"/>
      <c r="DL2193" s="52"/>
    </row>
    <row r="2194" spans="39:116">
      <c r="AM2194" s="53"/>
      <c r="AT2194" s="43"/>
      <c r="AV2194" s="53"/>
      <c r="CH2194" s="43"/>
      <c r="DD2194" s="53"/>
      <c r="DE2194" s="51"/>
      <c r="DJ2194" s="52"/>
      <c r="DK2194" s="52"/>
      <c r="DL2194" s="52"/>
    </row>
    <row r="2195" spans="39:116">
      <c r="AM2195" s="53"/>
      <c r="AT2195" s="43"/>
      <c r="AV2195" s="53"/>
      <c r="CH2195" s="43"/>
      <c r="DD2195" s="53"/>
      <c r="DE2195" s="51"/>
      <c r="DJ2195" s="52"/>
      <c r="DK2195" s="52"/>
      <c r="DL2195" s="52"/>
    </row>
    <row r="2196" spans="39:116">
      <c r="AM2196" s="53"/>
      <c r="AT2196" s="43"/>
      <c r="AV2196" s="53"/>
      <c r="CH2196" s="43"/>
      <c r="DD2196" s="53"/>
      <c r="DE2196" s="51"/>
      <c r="DJ2196" s="52"/>
      <c r="DK2196" s="52"/>
      <c r="DL2196" s="52"/>
    </row>
    <row r="2197" spans="39:116">
      <c r="AM2197" s="53"/>
      <c r="AT2197" s="43"/>
      <c r="AV2197" s="53"/>
      <c r="CH2197" s="43"/>
      <c r="DD2197" s="53"/>
      <c r="DE2197" s="51"/>
      <c r="DJ2197" s="52"/>
      <c r="DK2197" s="52"/>
      <c r="DL2197" s="52"/>
    </row>
    <row r="2198" spans="39:116">
      <c r="AM2198" s="53"/>
      <c r="AT2198" s="43"/>
      <c r="AV2198" s="53"/>
      <c r="CH2198" s="43"/>
      <c r="DD2198" s="53"/>
      <c r="DE2198" s="51"/>
      <c r="DJ2198" s="52"/>
      <c r="DK2198" s="52"/>
      <c r="DL2198" s="52"/>
    </row>
    <row r="2199" spans="39:116">
      <c r="AM2199" s="53"/>
      <c r="AT2199" s="43"/>
      <c r="AV2199" s="53"/>
      <c r="CH2199" s="43"/>
      <c r="DD2199" s="53"/>
      <c r="DE2199" s="51"/>
      <c r="DJ2199" s="52"/>
      <c r="DK2199" s="52"/>
      <c r="DL2199" s="52"/>
    </row>
    <row r="2200" spans="39:116">
      <c r="AM2200" s="53"/>
      <c r="AT2200" s="43"/>
      <c r="AV2200" s="53"/>
      <c r="CH2200" s="43"/>
      <c r="DD2200" s="53"/>
      <c r="DE2200" s="51"/>
      <c r="DJ2200" s="52"/>
      <c r="DK2200" s="52"/>
      <c r="DL2200" s="52"/>
    </row>
    <row r="2201" spans="39:116">
      <c r="AM2201" s="53"/>
      <c r="AT2201" s="43"/>
      <c r="AV2201" s="53"/>
      <c r="CH2201" s="43"/>
      <c r="DD2201" s="53"/>
      <c r="DE2201" s="51"/>
      <c r="DJ2201" s="52"/>
      <c r="DK2201" s="52"/>
      <c r="DL2201" s="52"/>
    </row>
    <row r="2202" spans="39:116">
      <c r="AM2202" s="53"/>
      <c r="AT2202" s="43"/>
      <c r="AV2202" s="53"/>
      <c r="CH2202" s="43"/>
      <c r="DD2202" s="53"/>
      <c r="DE2202" s="51"/>
      <c r="DJ2202" s="52"/>
      <c r="DK2202" s="52"/>
      <c r="DL2202" s="52"/>
    </row>
    <row r="2203" spans="39:116">
      <c r="AM2203" s="53"/>
      <c r="AT2203" s="43"/>
      <c r="AV2203" s="53"/>
      <c r="CH2203" s="43"/>
      <c r="DD2203" s="53"/>
      <c r="DE2203" s="51"/>
      <c r="DJ2203" s="52"/>
      <c r="DK2203" s="52"/>
      <c r="DL2203" s="52"/>
    </row>
    <row r="2204" spans="39:116">
      <c r="AM2204" s="53"/>
      <c r="AT2204" s="43"/>
      <c r="AV2204" s="53"/>
      <c r="CH2204" s="43"/>
      <c r="DD2204" s="53"/>
      <c r="DE2204" s="51"/>
      <c r="DJ2204" s="52"/>
      <c r="DK2204" s="52"/>
      <c r="DL2204" s="52"/>
    </row>
    <row r="2205" spans="39:116">
      <c r="AM2205" s="53"/>
      <c r="AT2205" s="43"/>
      <c r="AV2205" s="53"/>
      <c r="CH2205" s="43"/>
      <c r="DD2205" s="53"/>
      <c r="DE2205" s="51"/>
      <c r="DJ2205" s="52"/>
      <c r="DK2205" s="52"/>
      <c r="DL2205" s="52"/>
    </row>
    <row r="2206" spans="39:116">
      <c r="AM2206" s="53"/>
      <c r="AT2206" s="43"/>
      <c r="AV2206" s="53"/>
      <c r="CH2206" s="43"/>
      <c r="DD2206" s="53"/>
      <c r="DE2206" s="51"/>
      <c r="DJ2206" s="52"/>
      <c r="DK2206" s="52"/>
      <c r="DL2206" s="52"/>
    </row>
    <row r="2207" spans="39:116">
      <c r="AM2207" s="53"/>
      <c r="AT2207" s="43"/>
      <c r="AV2207" s="53"/>
      <c r="CH2207" s="43"/>
      <c r="DD2207" s="53"/>
      <c r="DE2207" s="51"/>
      <c r="DJ2207" s="52"/>
      <c r="DK2207" s="52"/>
      <c r="DL2207" s="52"/>
    </row>
    <row r="2208" spans="39:116">
      <c r="AM2208" s="53"/>
      <c r="AT2208" s="43"/>
      <c r="AV2208" s="53"/>
      <c r="CH2208" s="43"/>
      <c r="DD2208" s="53"/>
      <c r="DE2208" s="51"/>
      <c r="DJ2208" s="52"/>
      <c r="DK2208" s="52"/>
      <c r="DL2208" s="52"/>
    </row>
    <row r="2209" spans="39:116">
      <c r="AM2209" s="53"/>
      <c r="AT2209" s="43"/>
      <c r="AV2209" s="53"/>
      <c r="CH2209" s="43"/>
      <c r="DD2209" s="53"/>
      <c r="DE2209" s="51"/>
      <c r="DJ2209" s="52"/>
      <c r="DK2209" s="52"/>
      <c r="DL2209" s="52"/>
    </row>
    <row r="2210" spans="39:116">
      <c r="AM2210" s="53"/>
      <c r="AT2210" s="43"/>
      <c r="AV2210" s="53"/>
      <c r="CH2210" s="43"/>
      <c r="DD2210" s="53"/>
      <c r="DE2210" s="51"/>
      <c r="DJ2210" s="52"/>
      <c r="DK2210" s="52"/>
      <c r="DL2210" s="52"/>
    </row>
    <row r="2211" spans="39:116">
      <c r="AM2211" s="53"/>
      <c r="AT2211" s="43"/>
      <c r="AV2211" s="53"/>
      <c r="CH2211" s="43"/>
      <c r="DD2211" s="53"/>
      <c r="DE2211" s="51"/>
      <c r="DJ2211" s="52"/>
      <c r="DK2211" s="52"/>
      <c r="DL2211" s="52"/>
    </row>
    <row r="2212" spans="39:116">
      <c r="AM2212" s="53"/>
      <c r="AT2212" s="43"/>
      <c r="AV2212" s="53"/>
      <c r="CH2212" s="43"/>
      <c r="DD2212" s="53"/>
      <c r="DE2212" s="51"/>
      <c r="DJ2212" s="52"/>
      <c r="DK2212" s="52"/>
      <c r="DL2212" s="52"/>
    </row>
    <row r="2213" spans="39:116">
      <c r="AM2213" s="53"/>
      <c r="AT2213" s="43"/>
      <c r="AV2213" s="53"/>
      <c r="CH2213" s="43"/>
      <c r="DD2213" s="53"/>
      <c r="DE2213" s="51"/>
      <c r="DJ2213" s="52"/>
      <c r="DK2213" s="52"/>
      <c r="DL2213" s="52"/>
    </row>
    <row r="2214" spans="39:116">
      <c r="AM2214" s="53"/>
      <c r="AT2214" s="43"/>
      <c r="AV2214" s="53"/>
      <c r="CH2214" s="43"/>
      <c r="DD2214" s="53"/>
      <c r="DE2214" s="51"/>
      <c r="DJ2214" s="52"/>
      <c r="DK2214" s="52"/>
      <c r="DL2214" s="52"/>
    </row>
    <row r="2215" spans="39:116">
      <c r="AM2215" s="53"/>
      <c r="AT2215" s="43"/>
      <c r="AV2215" s="53"/>
      <c r="CH2215" s="43"/>
      <c r="DD2215" s="53"/>
      <c r="DE2215" s="51"/>
      <c r="DJ2215" s="52"/>
      <c r="DK2215" s="52"/>
      <c r="DL2215" s="52"/>
    </row>
    <row r="2216" spans="39:116">
      <c r="AM2216" s="53"/>
      <c r="AT2216" s="43"/>
      <c r="AV2216" s="53"/>
      <c r="CH2216" s="43"/>
      <c r="DD2216" s="53"/>
      <c r="DE2216" s="51"/>
      <c r="DJ2216" s="52"/>
      <c r="DK2216" s="52"/>
      <c r="DL2216" s="52"/>
    </row>
    <row r="2217" spans="39:116">
      <c r="AM2217" s="53"/>
      <c r="AT2217" s="43"/>
      <c r="AV2217" s="53"/>
      <c r="CH2217" s="43"/>
      <c r="DD2217" s="53"/>
      <c r="DE2217" s="51"/>
      <c r="DJ2217" s="52"/>
      <c r="DK2217" s="52"/>
      <c r="DL2217" s="52"/>
    </row>
    <row r="2218" spans="39:116">
      <c r="AM2218" s="53"/>
      <c r="AT2218" s="43"/>
      <c r="AV2218" s="53"/>
      <c r="CH2218" s="43"/>
      <c r="DD2218" s="53"/>
      <c r="DE2218" s="51"/>
      <c r="DJ2218" s="52"/>
      <c r="DK2218" s="52"/>
      <c r="DL2218" s="52"/>
    </row>
    <row r="2219" spans="39:116">
      <c r="AM2219" s="53"/>
      <c r="AT2219" s="43"/>
      <c r="AV2219" s="53"/>
      <c r="CH2219" s="43"/>
      <c r="DD2219" s="53"/>
      <c r="DE2219" s="51"/>
      <c r="DJ2219" s="52"/>
      <c r="DK2219" s="52"/>
      <c r="DL2219" s="52"/>
    </row>
    <row r="2220" spans="39:116">
      <c r="AM2220" s="53"/>
      <c r="AT2220" s="43"/>
      <c r="AV2220" s="53"/>
      <c r="CH2220" s="43"/>
      <c r="DD2220" s="53"/>
      <c r="DE2220" s="51"/>
      <c r="DJ2220" s="52"/>
      <c r="DK2220" s="52"/>
      <c r="DL2220" s="52"/>
    </row>
    <row r="2221" spans="39:116">
      <c r="AM2221" s="53"/>
      <c r="AT2221" s="43"/>
      <c r="AV2221" s="53"/>
      <c r="CH2221" s="43"/>
      <c r="DD2221" s="53"/>
      <c r="DE2221" s="51"/>
      <c r="DJ2221" s="52"/>
      <c r="DK2221" s="52"/>
      <c r="DL2221" s="52"/>
    </row>
    <row r="2222" spans="39:116">
      <c r="AM2222" s="53"/>
      <c r="AT2222" s="43"/>
      <c r="AV2222" s="53"/>
      <c r="CH2222" s="43"/>
      <c r="DD2222" s="53"/>
      <c r="DE2222" s="51"/>
      <c r="DJ2222" s="52"/>
      <c r="DK2222" s="52"/>
      <c r="DL2222" s="52"/>
    </row>
    <row r="2223" spans="39:116">
      <c r="AM2223" s="53"/>
      <c r="AT2223" s="43"/>
      <c r="AV2223" s="53"/>
      <c r="CH2223" s="43"/>
      <c r="DD2223" s="53"/>
      <c r="DE2223" s="51"/>
      <c r="DJ2223" s="52"/>
      <c r="DK2223" s="52"/>
      <c r="DL2223" s="52"/>
    </row>
    <row r="2224" spans="39:116">
      <c r="AM2224" s="53"/>
      <c r="AT2224" s="43"/>
      <c r="AV2224" s="53"/>
      <c r="CH2224" s="43"/>
      <c r="DD2224" s="53"/>
      <c r="DE2224" s="51"/>
      <c r="DJ2224" s="52"/>
      <c r="DK2224" s="52"/>
      <c r="DL2224" s="52"/>
    </row>
    <row r="2225" spans="39:116">
      <c r="AM2225" s="53"/>
      <c r="AT2225" s="43"/>
      <c r="AV2225" s="53"/>
      <c r="CH2225" s="43"/>
      <c r="DD2225" s="53"/>
      <c r="DE2225" s="51"/>
      <c r="DJ2225" s="52"/>
      <c r="DK2225" s="52"/>
      <c r="DL2225" s="52"/>
    </row>
    <row r="2226" spans="39:116">
      <c r="AM2226" s="53"/>
      <c r="AT2226" s="43"/>
      <c r="AV2226" s="53"/>
      <c r="CH2226" s="43"/>
      <c r="DD2226" s="53"/>
      <c r="DE2226" s="51"/>
      <c r="DJ2226" s="52"/>
      <c r="DK2226" s="52"/>
      <c r="DL2226" s="52"/>
    </row>
    <row r="2227" spans="39:116">
      <c r="AM2227" s="53"/>
      <c r="AT2227" s="43"/>
      <c r="AV2227" s="53"/>
      <c r="CH2227" s="43"/>
      <c r="DD2227" s="53"/>
      <c r="DE2227" s="51"/>
      <c r="DJ2227" s="52"/>
      <c r="DK2227" s="52"/>
      <c r="DL2227" s="52"/>
    </row>
    <row r="2228" spans="39:116">
      <c r="AM2228" s="53"/>
      <c r="AT2228" s="43"/>
      <c r="AV2228" s="53"/>
      <c r="CH2228" s="43"/>
      <c r="DD2228" s="53"/>
      <c r="DE2228" s="51"/>
      <c r="DJ2228" s="52"/>
      <c r="DK2228" s="52"/>
      <c r="DL2228" s="52"/>
    </row>
    <row r="2229" spans="39:116">
      <c r="AM2229" s="53"/>
      <c r="AT2229" s="43"/>
      <c r="AV2229" s="53"/>
      <c r="CH2229" s="43"/>
      <c r="DD2229" s="53"/>
      <c r="DE2229" s="51"/>
      <c r="DJ2229" s="52"/>
      <c r="DK2229" s="52"/>
      <c r="DL2229" s="52"/>
    </row>
    <row r="2230" spans="39:116">
      <c r="AM2230" s="53"/>
      <c r="AT2230" s="43"/>
      <c r="AV2230" s="53"/>
      <c r="CH2230" s="43"/>
      <c r="DD2230" s="53"/>
      <c r="DE2230" s="51"/>
      <c r="DJ2230" s="52"/>
      <c r="DK2230" s="52"/>
      <c r="DL2230" s="52"/>
    </row>
    <row r="2231" spans="39:116">
      <c r="AM2231" s="53"/>
      <c r="AT2231" s="43"/>
      <c r="AV2231" s="53"/>
      <c r="CH2231" s="43"/>
      <c r="DD2231" s="53"/>
      <c r="DE2231" s="51"/>
      <c r="DJ2231" s="52"/>
      <c r="DK2231" s="52"/>
      <c r="DL2231" s="52"/>
    </row>
    <row r="2232" spans="39:116">
      <c r="AM2232" s="53"/>
      <c r="AT2232" s="43"/>
      <c r="AV2232" s="53"/>
      <c r="CH2232" s="43"/>
      <c r="DD2232" s="53"/>
      <c r="DE2232" s="51"/>
      <c r="DJ2232" s="52"/>
      <c r="DK2232" s="52"/>
      <c r="DL2232" s="52"/>
    </row>
    <row r="2233" spans="39:116">
      <c r="AM2233" s="53"/>
      <c r="AT2233" s="43"/>
      <c r="AV2233" s="53"/>
      <c r="CH2233" s="43"/>
      <c r="DD2233" s="53"/>
      <c r="DE2233" s="51"/>
      <c r="DJ2233" s="52"/>
      <c r="DK2233" s="52"/>
      <c r="DL2233" s="52"/>
    </row>
    <row r="2234" spans="39:116">
      <c r="AM2234" s="53"/>
      <c r="AT2234" s="43"/>
      <c r="AV2234" s="53"/>
      <c r="CH2234" s="43"/>
      <c r="DD2234" s="53"/>
      <c r="DE2234" s="51"/>
      <c r="DJ2234" s="52"/>
      <c r="DK2234" s="52"/>
      <c r="DL2234" s="52"/>
    </row>
    <row r="2235" spans="39:116">
      <c r="AM2235" s="53"/>
      <c r="AT2235" s="43"/>
      <c r="AV2235" s="53"/>
      <c r="CH2235" s="43"/>
      <c r="DD2235" s="53"/>
      <c r="DE2235" s="51"/>
      <c r="DJ2235" s="52"/>
      <c r="DK2235" s="52"/>
      <c r="DL2235" s="52"/>
    </row>
    <row r="2236" spans="39:116">
      <c r="AM2236" s="53"/>
      <c r="AT2236" s="43"/>
      <c r="AV2236" s="53"/>
      <c r="CH2236" s="43"/>
      <c r="DD2236" s="53"/>
      <c r="DE2236" s="51"/>
      <c r="DJ2236" s="52"/>
      <c r="DK2236" s="52"/>
      <c r="DL2236" s="52"/>
    </row>
    <row r="2237" spans="39:116">
      <c r="AM2237" s="53"/>
      <c r="AT2237" s="43"/>
      <c r="AV2237" s="53"/>
      <c r="CH2237" s="43"/>
      <c r="DD2237" s="53"/>
      <c r="DE2237" s="51"/>
      <c r="DJ2237" s="52"/>
      <c r="DK2237" s="52"/>
      <c r="DL2237" s="52"/>
    </row>
    <row r="2238" spans="39:116">
      <c r="AM2238" s="53"/>
      <c r="AT2238" s="43"/>
      <c r="AV2238" s="53"/>
      <c r="CH2238" s="43"/>
      <c r="DD2238" s="53"/>
      <c r="DE2238" s="51"/>
      <c r="DJ2238" s="52"/>
      <c r="DK2238" s="52"/>
      <c r="DL2238" s="52"/>
    </row>
    <row r="2239" spans="39:116">
      <c r="AM2239" s="53"/>
      <c r="AT2239" s="43"/>
      <c r="AV2239" s="53"/>
      <c r="CH2239" s="43"/>
      <c r="DD2239" s="53"/>
      <c r="DE2239" s="51"/>
      <c r="DJ2239" s="52"/>
      <c r="DK2239" s="52"/>
      <c r="DL2239" s="52"/>
    </row>
    <row r="2240" spans="39:116">
      <c r="AM2240" s="53"/>
      <c r="AT2240" s="43"/>
      <c r="AV2240" s="53"/>
      <c r="CH2240" s="43"/>
      <c r="DD2240" s="53"/>
      <c r="DE2240" s="51"/>
      <c r="DJ2240" s="52"/>
      <c r="DK2240" s="52"/>
      <c r="DL2240" s="52"/>
    </row>
    <row r="2241" spans="39:116">
      <c r="AM2241" s="53"/>
      <c r="AT2241" s="43"/>
      <c r="AV2241" s="53"/>
      <c r="CH2241" s="43"/>
      <c r="DD2241" s="53"/>
      <c r="DE2241" s="51"/>
      <c r="DJ2241" s="52"/>
      <c r="DK2241" s="52"/>
      <c r="DL2241" s="52"/>
    </row>
    <row r="2242" spans="39:116">
      <c r="AM2242" s="53"/>
      <c r="AT2242" s="43"/>
      <c r="AV2242" s="53"/>
      <c r="CH2242" s="43"/>
      <c r="DD2242" s="53"/>
      <c r="DE2242" s="51"/>
      <c r="DJ2242" s="52"/>
      <c r="DK2242" s="52"/>
      <c r="DL2242" s="52"/>
    </row>
    <row r="2243" spans="39:116">
      <c r="AM2243" s="53"/>
      <c r="AT2243" s="43"/>
      <c r="AV2243" s="53"/>
      <c r="CH2243" s="43"/>
      <c r="DD2243" s="53"/>
      <c r="DE2243" s="51"/>
      <c r="DJ2243" s="52"/>
      <c r="DK2243" s="52"/>
      <c r="DL2243" s="52"/>
    </row>
    <row r="2244" spans="39:116">
      <c r="AM2244" s="53"/>
      <c r="AT2244" s="43"/>
      <c r="AV2244" s="53"/>
      <c r="CH2244" s="43"/>
      <c r="DD2244" s="53"/>
      <c r="DE2244" s="51"/>
      <c r="DJ2244" s="52"/>
      <c r="DK2244" s="52"/>
      <c r="DL2244" s="52"/>
    </row>
    <row r="2245" spans="39:116">
      <c r="AM2245" s="53"/>
      <c r="AT2245" s="43"/>
      <c r="AV2245" s="53"/>
      <c r="CH2245" s="43"/>
      <c r="DD2245" s="53"/>
      <c r="DE2245" s="51"/>
      <c r="DJ2245" s="52"/>
      <c r="DK2245" s="52"/>
      <c r="DL2245" s="52"/>
    </row>
    <row r="2246" spans="39:116">
      <c r="AM2246" s="53"/>
      <c r="AT2246" s="43"/>
      <c r="AV2246" s="53"/>
      <c r="CH2246" s="43"/>
      <c r="DD2246" s="53"/>
      <c r="DE2246" s="51"/>
      <c r="DJ2246" s="52"/>
      <c r="DK2246" s="52"/>
      <c r="DL2246" s="52"/>
    </row>
    <row r="2247" spans="39:116">
      <c r="AM2247" s="53"/>
      <c r="AT2247" s="43"/>
      <c r="AV2247" s="53"/>
      <c r="CH2247" s="43"/>
      <c r="DD2247" s="53"/>
      <c r="DE2247" s="51"/>
      <c r="DJ2247" s="52"/>
      <c r="DK2247" s="52"/>
      <c r="DL2247" s="52"/>
    </row>
    <row r="2248" spans="39:116">
      <c r="AM2248" s="53"/>
      <c r="AT2248" s="43"/>
      <c r="AV2248" s="53"/>
      <c r="CH2248" s="43"/>
      <c r="DD2248" s="53"/>
      <c r="DE2248" s="51"/>
      <c r="DJ2248" s="52"/>
      <c r="DK2248" s="52"/>
      <c r="DL2248" s="52"/>
    </row>
    <row r="2249" spans="39:116">
      <c r="AM2249" s="53"/>
      <c r="AT2249" s="43"/>
      <c r="AV2249" s="53"/>
      <c r="CH2249" s="43"/>
      <c r="DD2249" s="53"/>
      <c r="DE2249" s="51"/>
      <c r="DJ2249" s="52"/>
      <c r="DK2249" s="52"/>
      <c r="DL2249" s="52"/>
    </row>
    <row r="2250" spans="39:116">
      <c r="AM2250" s="53"/>
      <c r="AT2250" s="43"/>
      <c r="AV2250" s="53"/>
      <c r="CH2250" s="43"/>
      <c r="DD2250" s="53"/>
      <c r="DE2250" s="51"/>
      <c r="DJ2250" s="52"/>
      <c r="DK2250" s="52"/>
      <c r="DL2250" s="52"/>
    </row>
    <row r="2251" spans="39:116">
      <c r="AM2251" s="53"/>
      <c r="AT2251" s="43"/>
      <c r="AV2251" s="53"/>
      <c r="CH2251" s="43"/>
      <c r="DD2251" s="53"/>
      <c r="DE2251" s="51"/>
      <c r="DJ2251" s="52"/>
      <c r="DK2251" s="52"/>
      <c r="DL2251" s="52"/>
    </row>
    <row r="2252" spans="39:116">
      <c r="AM2252" s="53"/>
      <c r="AT2252" s="43"/>
      <c r="AV2252" s="53"/>
      <c r="CH2252" s="43"/>
      <c r="DD2252" s="53"/>
      <c r="DE2252" s="51"/>
      <c r="DJ2252" s="52"/>
      <c r="DK2252" s="52"/>
      <c r="DL2252" s="52"/>
    </row>
    <row r="2253" spans="39:116">
      <c r="AM2253" s="53"/>
      <c r="AT2253" s="43"/>
      <c r="AV2253" s="53"/>
      <c r="CH2253" s="43"/>
      <c r="DD2253" s="53"/>
      <c r="DE2253" s="51"/>
      <c r="DJ2253" s="52"/>
      <c r="DK2253" s="52"/>
      <c r="DL2253" s="52"/>
    </row>
    <row r="2254" spans="39:116">
      <c r="AM2254" s="53"/>
      <c r="AT2254" s="43"/>
      <c r="AV2254" s="53"/>
      <c r="CH2254" s="43"/>
      <c r="DD2254" s="53"/>
      <c r="DE2254" s="51"/>
      <c r="DJ2254" s="52"/>
      <c r="DK2254" s="52"/>
      <c r="DL2254" s="52"/>
    </row>
    <row r="2255" spans="39:116">
      <c r="AM2255" s="53"/>
      <c r="AT2255" s="43"/>
      <c r="AV2255" s="53"/>
      <c r="CH2255" s="43"/>
      <c r="DD2255" s="53"/>
      <c r="DE2255" s="51"/>
      <c r="DJ2255" s="52"/>
      <c r="DK2255" s="52"/>
      <c r="DL2255" s="52"/>
    </row>
    <row r="2256" spans="39:116">
      <c r="AM2256" s="53"/>
      <c r="AT2256" s="43"/>
      <c r="AV2256" s="53"/>
      <c r="CH2256" s="43"/>
      <c r="DD2256" s="53"/>
      <c r="DE2256" s="51"/>
      <c r="DJ2256" s="52"/>
      <c r="DK2256" s="52"/>
      <c r="DL2256" s="52"/>
    </row>
    <row r="2257" spans="39:116">
      <c r="AM2257" s="53"/>
      <c r="AT2257" s="43"/>
      <c r="AV2257" s="53"/>
      <c r="CH2257" s="43"/>
      <c r="DD2257" s="53"/>
      <c r="DE2257" s="51"/>
      <c r="DJ2257" s="52"/>
      <c r="DK2257" s="52"/>
      <c r="DL2257" s="52"/>
    </row>
    <row r="2258" spans="39:116">
      <c r="AM2258" s="53"/>
      <c r="AT2258" s="43"/>
      <c r="AV2258" s="53"/>
      <c r="CH2258" s="43"/>
      <c r="DD2258" s="53"/>
      <c r="DE2258" s="51"/>
      <c r="DJ2258" s="52"/>
      <c r="DK2258" s="52"/>
      <c r="DL2258" s="52"/>
    </row>
    <row r="2259" spans="39:116">
      <c r="AM2259" s="53"/>
      <c r="AT2259" s="43"/>
      <c r="AV2259" s="53"/>
      <c r="CH2259" s="43"/>
      <c r="DD2259" s="53"/>
      <c r="DE2259" s="51"/>
      <c r="DJ2259" s="52"/>
      <c r="DK2259" s="52"/>
      <c r="DL2259" s="52"/>
    </row>
    <row r="2260" spans="39:116">
      <c r="AM2260" s="53"/>
      <c r="AT2260" s="43"/>
      <c r="AV2260" s="53"/>
      <c r="CH2260" s="43"/>
      <c r="DD2260" s="53"/>
      <c r="DE2260" s="51"/>
      <c r="DJ2260" s="52"/>
      <c r="DK2260" s="52"/>
      <c r="DL2260" s="52"/>
    </row>
    <row r="2261" spans="39:116">
      <c r="AM2261" s="53"/>
      <c r="AT2261" s="43"/>
      <c r="AV2261" s="53"/>
      <c r="CH2261" s="43"/>
      <c r="DD2261" s="53"/>
      <c r="DE2261" s="51"/>
      <c r="DJ2261" s="52"/>
      <c r="DK2261" s="52"/>
      <c r="DL2261" s="52"/>
    </row>
    <row r="2262" spans="39:116">
      <c r="AM2262" s="53"/>
      <c r="AT2262" s="43"/>
      <c r="AV2262" s="53"/>
      <c r="CH2262" s="43"/>
      <c r="DD2262" s="53"/>
      <c r="DE2262" s="51"/>
      <c r="DJ2262" s="52"/>
      <c r="DK2262" s="52"/>
      <c r="DL2262" s="52"/>
    </row>
    <row r="2263" spans="39:116">
      <c r="AM2263" s="53"/>
      <c r="AT2263" s="43"/>
      <c r="AV2263" s="53"/>
      <c r="CH2263" s="43"/>
      <c r="DD2263" s="53"/>
      <c r="DE2263" s="51"/>
      <c r="DJ2263" s="52"/>
      <c r="DK2263" s="52"/>
      <c r="DL2263" s="52"/>
    </row>
    <row r="2264" spans="39:116">
      <c r="AM2264" s="53"/>
      <c r="AT2264" s="43"/>
      <c r="AV2264" s="53"/>
      <c r="CH2264" s="43"/>
      <c r="DD2264" s="53"/>
      <c r="DE2264" s="51"/>
      <c r="DJ2264" s="52"/>
      <c r="DK2264" s="52"/>
      <c r="DL2264" s="52"/>
    </row>
    <row r="2265" spans="39:116">
      <c r="AM2265" s="53"/>
      <c r="AT2265" s="43"/>
      <c r="AV2265" s="53"/>
      <c r="CH2265" s="43"/>
      <c r="DD2265" s="53"/>
      <c r="DE2265" s="51"/>
      <c r="DJ2265" s="52"/>
      <c r="DK2265" s="52"/>
      <c r="DL2265" s="52"/>
    </row>
    <row r="2266" spans="39:116">
      <c r="AM2266" s="53"/>
      <c r="AT2266" s="43"/>
      <c r="AV2266" s="53"/>
      <c r="CH2266" s="43"/>
      <c r="DD2266" s="53"/>
      <c r="DE2266" s="51"/>
      <c r="DJ2266" s="52"/>
      <c r="DK2266" s="52"/>
      <c r="DL2266" s="52"/>
    </row>
    <row r="2267" spans="39:116">
      <c r="AM2267" s="53"/>
      <c r="AT2267" s="43"/>
      <c r="AV2267" s="53"/>
      <c r="CH2267" s="43"/>
      <c r="DD2267" s="53"/>
      <c r="DE2267" s="51"/>
      <c r="DJ2267" s="52"/>
      <c r="DK2267" s="52"/>
      <c r="DL2267" s="52"/>
    </row>
    <row r="2268" spans="39:116">
      <c r="AM2268" s="53"/>
      <c r="AT2268" s="43"/>
      <c r="AV2268" s="53"/>
      <c r="CH2268" s="43"/>
      <c r="DD2268" s="53"/>
      <c r="DE2268" s="51"/>
      <c r="DJ2268" s="52"/>
      <c r="DK2268" s="52"/>
      <c r="DL2268" s="52"/>
    </row>
    <row r="2269" spans="39:116">
      <c r="AM2269" s="53"/>
      <c r="AT2269" s="43"/>
      <c r="AV2269" s="53"/>
      <c r="CH2269" s="43"/>
      <c r="DD2269" s="53"/>
      <c r="DE2269" s="51"/>
      <c r="DJ2269" s="52"/>
      <c r="DK2269" s="52"/>
      <c r="DL2269" s="52"/>
    </row>
    <row r="2270" spans="39:116">
      <c r="AM2270" s="53"/>
      <c r="AT2270" s="43"/>
      <c r="AV2270" s="53"/>
      <c r="CH2270" s="43"/>
      <c r="DD2270" s="53"/>
      <c r="DE2270" s="51"/>
      <c r="DJ2270" s="52"/>
      <c r="DK2270" s="52"/>
      <c r="DL2270" s="52"/>
    </row>
    <row r="2271" spans="39:116">
      <c r="AM2271" s="53"/>
      <c r="AT2271" s="43"/>
      <c r="AV2271" s="53"/>
      <c r="CH2271" s="43"/>
      <c r="DD2271" s="53"/>
      <c r="DE2271" s="51"/>
      <c r="DJ2271" s="52"/>
      <c r="DK2271" s="52"/>
      <c r="DL2271" s="52"/>
    </row>
    <row r="2272" spans="39:116">
      <c r="AM2272" s="53"/>
      <c r="AT2272" s="43"/>
      <c r="AV2272" s="53"/>
      <c r="CH2272" s="43"/>
      <c r="DD2272" s="53"/>
      <c r="DE2272" s="51"/>
      <c r="DJ2272" s="52"/>
      <c r="DK2272" s="52"/>
      <c r="DL2272" s="52"/>
    </row>
    <row r="2273" spans="39:116">
      <c r="AM2273" s="53"/>
      <c r="AT2273" s="43"/>
      <c r="AV2273" s="53"/>
      <c r="CH2273" s="43"/>
      <c r="DD2273" s="53"/>
      <c r="DE2273" s="51"/>
      <c r="DJ2273" s="52"/>
      <c r="DK2273" s="52"/>
      <c r="DL2273" s="52"/>
    </row>
    <row r="2274" spans="39:116">
      <c r="AM2274" s="53"/>
      <c r="AT2274" s="43"/>
      <c r="AV2274" s="53"/>
      <c r="CH2274" s="43"/>
      <c r="DD2274" s="53"/>
      <c r="DE2274" s="51"/>
      <c r="DJ2274" s="52"/>
      <c r="DK2274" s="52"/>
      <c r="DL2274" s="52"/>
    </row>
    <row r="2275" spans="39:116">
      <c r="AM2275" s="53"/>
      <c r="AT2275" s="43"/>
      <c r="AV2275" s="53"/>
      <c r="CH2275" s="43"/>
      <c r="DD2275" s="53"/>
      <c r="DE2275" s="51"/>
      <c r="DJ2275" s="52"/>
      <c r="DK2275" s="52"/>
      <c r="DL2275" s="52"/>
    </row>
    <row r="2276" spans="39:116">
      <c r="AM2276" s="53"/>
      <c r="AT2276" s="43"/>
      <c r="AV2276" s="53"/>
      <c r="CH2276" s="43"/>
      <c r="DD2276" s="53"/>
      <c r="DE2276" s="51"/>
      <c r="DJ2276" s="52"/>
      <c r="DK2276" s="52"/>
      <c r="DL2276" s="52"/>
    </row>
    <row r="2277" spans="39:116">
      <c r="AM2277" s="53"/>
      <c r="AT2277" s="43"/>
      <c r="AV2277" s="53"/>
      <c r="CH2277" s="43"/>
      <c r="DD2277" s="53"/>
      <c r="DE2277" s="51"/>
      <c r="DJ2277" s="52"/>
      <c r="DK2277" s="52"/>
      <c r="DL2277" s="52"/>
    </row>
    <row r="2278" spans="39:116">
      <c r="AM2278" s="53"/>
      <c r="AT2278" s="43"/>
      <c r="AV2278" s="53"/>
      <c r="CH2278" s="43"/>
      <c r="DD2278" s="53"/>
      <c r="DE2278" s="51"/>
      <c r="DJ2278" s="52"/>
      <c r="DK2278" s="52"/>
      <c r="DL2278" s="52"/>
    </row>
    <row r="2279" spans="39:116">
      <c r="AM2279" s="53"/>
      <c r="AT2279" s="43"/>
      <c r="AV2279" s="53"/>
      <c r="CH2279" s="43"/>
      <c r="DD2279" s="53"/>
      <c r="DE2279" s="51"/>
      <c r="DJ2279" s="52"/>
      <c r="DK2279" s="52"/>
      <c r="DL2279" s="52"/>
    </row>
    <row r="2280" spans="39:116">
      <c r="AM2280" s="53"/>
      <c r="AT2280" s="43"/>
      <c r="AV2280" s="53"/>
      <c r="CH2280" s="43"/>
      <c r="DD2280" s="53"/>
      <c r="DE2280" s="51"/>
      <c r="DJ2280" s="52"/>
      <c r="DK2280" s="52"/>
      <c r="DL2280" s="52"/>
    </row>
    <row r="2281" spans="39:116">
      <c r="AM2281" s="53"/>
      <c r="AT2281" s="43"/>
      <c r="AV2281" s="53"/>
      <c r="CH2281" s="43"/>
      <c r="DD2281" s="53"/>
      <c r="DE2281" s="51"/>
      <c r="DJ2281" s="52"/>
      <c r="DK2281" s="52"/>
      <c r="DL2281" s="52"/>
    </row>
    <row r="2282" spans="39:116">
      <c r="AM2282" s="53"/>
      <c r="AT2282" s="43"/>
      <c r="AV2282" s="53"/>
      <c r="CH2282" s="43"/>
      <c r="DD2282" s="53"/>
      <c r="DE2282" s="51"/>
      <c r="DJ2282" s="52"/>
      <c r="DK2282" s="52"/>
      <c r="DL2282" s="52"/>
    </row>
    <row r="2283" spans="39:116">
      <c r="AM2283" s="53"/>
      <c r="AT2283" s="43"/>
      <c r="AV2283" s="53"/>
      <c r="CH2283" s="43"/>
      <c r="DD2283" s="53"/>
      <c r="DE2283" s="51"/>
      <c r="DJ2283" s="52"/>
      <c r="DK2283" s="52"/>
      <c r="DL2283" s="52"/>
    </row>
    <row r="2284" spans="39:116">
      <c r="AM2284" s="53"/>
      <c r="AT2284" s="43"/>
      <c r="AV2284" s="53"/>
      <c r="CH2284" s="43"/>
      <c r="DD2284" s="53"/>
      <c r="DE2284" s="51"/>
      <c r="DJ2284" s="52"/>
      <c r="DK2284" s="52"/>
      <c r="DL2284" s="52"/>
    </row>
    <row r="2285" spans="39:116">
      <c r="AM2285" s="53"/>
      <c r="AT2285" s="43"/>
      <c r="AV2285" s="53"/>
      <c r="CH2285" s="43"/>
      <c r="DD2285" s="53"/>
      <c r="DE2285" s="51"/>
      <c r="DJ2285" s="52"/>
      <c r="DK2285" s="52"/>
      <c r="DL2285" s="52"/>
    </row>
    <row r="2286" spans="39:116">
      <c r="AM2286" s="53"/>
      <c r="AT2286" s="43"/>
      <c r="AV2286" s="53"/>
      <c r="CH2286" s="43"/>
      <c r="DD2286" s="53"/>
      <c r="DE2286" s="51"/>
      <c r="DJ2286" s="52"/>
      <c r="DK2286" s="52"/>
      <c r="DL2286" s="52"/>
    </row>
    <row r="2287" spans="39:116">
      <c r="AM2287" s="53"/>
      <c r="AT2287" s="43"/>
      <c r="AV2287" s="53"/>
      <c r="CH2287" s="43"/>
      <c r="DD2287" s="53"/>
      <c r="DE2287" s="51"/>
      <c r="DJ2287" s="52"/>
      <c r="DK2287" s="52"/>
      <c r="DL2287" s="52"/>
    </row>
    <row r="2288" spans="39:116">
      <c r="AM2288" s="53"/>
      <c r="AT2288" s="43"/>
      <c r="AV2288" s="53"/>
      <c r="CH2288" s="43"/>
      <c r="DD2288" s="53"/>
      <c r="DE2288" s="51"/>
      <c r="DJ2288" s="52"/>
      <c r="DK2288" s="52"/>
      <c r="DL2288" s="52"/>
    </row>
    <row r="2289" spans="39:116">
      <c r="AM2289" s="53"/>
      <c r="AT2289" s="43"/>
      <c r="AV2289" s="53"/>
      <c r="CH2289" s="43"/>
      <c r="DD2289" s="53"/>
      <c r="DE2289" s="51"/>
      <c r="DJ2289" s="52"/>
      <c r="DK2289" s="52"/>
      <c r="DL2289" s="52"/>
    </row>
    <row r="2290" spans="39:116">
      <c r="AM2290" s="53"/>
      <c r="AT2290" s="43"/>
      <c r="AV2290" s="53"/>
      <c r="CH2290" s="43"/>
      <c r="DD2290" s="53"/>
      <c r="DE2290" s="51"/>
      <c r="DJ2290" s="52"/>
      <c r="DK2290" s="52"/>
      <c r="DL2290" s="52"/>
    </row>
    <row r="2291" spans="39:116">
      <c r="AM2291" s="53"/>
      <c r="AT2291" s="43"/>
      <c r="AV2291" s="53"/>
      <c r="CH2291" s="43"/>
      <c r="DD2291" s="53"/>
      <c r="DE2291" s="51"/>
      <c r="DJ2291" s="52"/>
      <c r="DK2291" s="52"/>
      <c r="DL2291" s="52"/>
    </row>
    <row r="2292" spans="39:116">
      <c r="AM2292" s="53"/>
      <c r="AT2292" s="43"/>
      <c r="AV2292" s="53"/>
      <c r="CH2292" s="43"/>
      <c r="DD2292" s="53"/>
      <c r="DE2292" s="51"/>
      <c r="DJ2292" s="52"/>
      <c r="DK2292" s="52"/>
      <c r="DL2292" s="52"/>
    </row>
    <row r="2293" spans="39:116">
      <c r="AM2293" s="53"/>
      <c r="AT2293" s="43"/>
      <c r="AV2293" s="53"/>
      <c r="CH2293" s="43"/>
      <c r="DD2293" s="53"/>
      <c r="DE2293" s="51"/>
      <c r="DJ2293" s="52"/>
      <c r="DK2293" s="52"/>
      <c r="DL2293" s="52"/>
    </row>
    <row r="2294" spans="39:116">
      <c r="AM2294" s="53"/>
      <c r="AT2294" s="43"/>
      <c r="AV2294" s="53"/>
      <c r="CH2294" s="43"/>
      <c r="DD2294" s="53"/>
      <c r="DE2294" s="51"/>
      <c r="DJ2294" s="52"/>
      <c r="DK2294" s="52"/>
      <c r="DL2294" s="52"/>
    </row>
    <row r="2295" spans="39:116">
      <c r="AM2295" s="53"/>
      <c r="AT2295" s="43"/>
      <c r="AV2295" s="53"/>
      <c r="CH2295" s="43"/>
      <c r="DD2295" s="53"/>
      <c r="DE2295" s="51"/>
      <c r="DJ2295" s="52"/>
      <c r="DK2295" s="52"/>
      <c r="DL2295" s="52"/>
    </row>
    <row r="2296" spans="39:116">
      <c r="AM2296" s="53"/>
      <c r="AT2296" s="43"/>
      <c r="AV2296" s="53"/>
      <c r="CH2296" s="43"/>
      <c r="DD2296" s="53"/>
      <c r="DE2296" s="51"/>
      <c r="DJ2296" s="52"/>
      <c r="DK2296" s="52"/>
      <c r="DL2296" s="52"/>
    </row>
    <row r="2297" spans="39:116">
      <c r="AM2297" s="53"/>
      <c r="AT2297" s="43"/>
      <c r="AV2297" s="53"/>
      <c r="CH2297" s="43"/>
      <c r="DD2297" s="53"/>
      <c r="DE2297" s="51"/>
      <c r="DJ2297" s="52"/>
      <c r="DK2297" s="52"/>
      <c r="DL2297" s="52"/>
    </row>
    <row r="2298" spans="39:116">
      <c r="AM2298" s="53"/>
      <c r="AT2298" s="43"/>
      <c r="AV2298" s="53"/>
      <c r="CH2298" s="43"/>
      <c r="DD2298" s="53"/>
      <c r="DE2298" s="51"/>
      <c r="DJ2298" s="52"/>
      <c r="DK2298" s="52"/>
      <c r="DL2298" s="52"/>
    </row>
    <row r="2299" spans="39:116">
      <c r="AM2299" s="53"/>
      <c r="AT2299" s="43"/>
      <c r="AV2299" s="53"/>
      <c r="CH2299" s="43"/>
      <c r="DD2299" s="53"/>
      <c r="DE2299" s="51"/>
      <c r="DJ2299" s="52"/>
      <c r="DK2299" s="52"/>
      <c r="DL2299" s="52"/>
    </row>
    <row r="2300" spans="39:116">
      <c r="AM2300" s="53"/>
      <c r="AT2300" s="43"/>
      <c r="AV2300" s="53"/>
      <c r="CH2300" s="43"/>
      <c r="DD2300" s="53"/>
      <c r="DE2300" s="51"/>
      <c r="DJ2300" s="52"/>
      <c r="DK2300" s="52"/>
      <c r="DL2300" s="52"/>
    </row>
    <row r="2301" spans="39:116">
      <c r="AM2301" s="53"/>
      <c r="AT2301" s="43"/>
      <c r="AV2301" s="53"/>
      <c r="CH2301" s="43"/>
      <c r="DD2301" s="53"/>
      <c r="DE2301" s="51"/>
      <c r="DJ2301" s="52"/>
      <c r="DK2301" s="52"/>
      <c r="DL2301" s="52"/>
    </row>
    <row r="2302" spans="39:116">
      <c r="AM2302" s="53"/>
      <c r="AT2302" s="43"/>
      <c r="AV2302" s="53"/>
      <c r="CH2302" s="43"/>
      <c r="DD2302" s="53"/>
      <c r="DE2302" s="51"/>
      <c r="DJ2302" s="52"/>
      <c r="DK2302" s="52"/>
      <c r="DL2302" s="52"/>
    </row>
    <row r="2303" spans="39:116">
      <c r="AM2303" s="53"/>
      <c r="AT2303" s="43"/>
      <c r="AV2303" s="53"/>
      <c r="CH2303" s="43"/>
      <c r="DD2303" s="53"/>
      <c r="DE2303" s="51"/>
      <c r="DJ2303" s="52"/>
      <c r="DK2303" s="52"/>
      <c r="DL2303" s="52"/>
    </row>
    <row r="2304" spans="39:116">
      <c r="AM2304" s="53"/>
      <c r="AT2304" s="43"/>
      <c r="AV2304" s="53"/>
      <c r="CH2304" s="43"/>
      <c r="DD2304" s="53"/>
      <c r="DE2304" s="51"/>
      <c r="DJ2304" s="52"/>
      <c r="DK2304" s="52"/>
      <c r="DL2304" s="52"/>
    </row>
    <row r="2305" spans="39:116">
      <c r="AM2305" s="53"/>
      <c r="AT2305" s="43"/>
      <c r="AV2305" s="53"/>
      <c r="CH2305" s="43"/>
      <c r="DD2305" s="53"/>
      <c r="DE2305" s="51"/>
      <c r="DJ2305" s="52"/>
      <c r="DK2305" s="52"/>
      <c r="DL2305" s="52"/>
    </row>
    <row r="2306" spans="39:116">
      <c r="AM2306" s="53"/>
      <c r="AT2306" s="43"/>
      <c r="AV2306" s="53"/>
      <c r="CH2306" s="43"/>
      <c r="DD2306" s="53"/>
      <c r="DE2306" s="51"/>
      <c r="DJ2306" s="52"/>
      <c r="DK2306" s="52"/>
      <c r="DL2306" s="52"/>
    </row>
    <row r="2307" spans="39:116">
      <c r="AM2307" s="53"/>
      <c r="AT2307" s="43"/>
      <c r="AV2307" s="53"/>
      <c r="CH2307" s="43"/>
      <c r="DD2307" s="53"/>
      <c r="DE2307" s="51"/>
      <c r="DJ2307" s="52"/>
      <c r="DK2307" s="52"/>
      <c r="DL2307" s="52"/>
    </row>
    <row r="2308" spans="39:116">
      <c r="AM2308" s="53"/>
      <c r="AT2308" s="43"/>
      <c r="AV2308" s="53"/>
      <c r="CH2308" s="43"/>
      <c r="DD2308" s="53"/>
      <c r="DE2308" s="51"/>
      <c r="DJ2308" s="52"/>
      <c r="DK2308" s="52"/>
      <c r="DL2308" s="52"/>
    </row>
    <row r="2309" spans="39:116">
      <c r="AM2309" s="53"/>
      <c r="AT2309" s="43"/>
      <c r="AV2309" s="53"/>
      <c r="CH2309" s="43"/>
      <c r="DD2309" s="53"/>
      <c r="DE2309" s="51"/>
      <c r="DJ2309" s="52"/>
      <c r="DK2309" s="52"/>
      <c r="DL2309" s="52"/>
    </row>
    <row r="2310" spans="39:116">
      <c r="AM2310" s="53"/>
      <c r="AT2310" s="43"/>
      <c r="AV2310" s="53"/>
      <c r="CH2310" s="43"/>
      <c r="DD2310" s="53"/>
      <c r="DE2310" s="51"/>
      <c r="DJ2310" s="52"/>
      <c r="DK2310" s="52"/>
      <c r="DL2310" s="52"/>
    </row>
    <row r="2311" spans="39:116">
      <c r="AM2311" s="53"/>
      <c r="AT2311" s="43"/>
      <c r="AV2311" s="53"/>
      <c r="CH2311" s="43"/>
      <c r="DD2311" s="53"/>
      <c r="DE2311" s="51"/>
      <c r="DJ2311" s="52"/>
      <c r="DK2311" s="52"/>
      <c r="DL2311" s="52"/>
    </row>
    <row r="2312" spans="39:116">
      <c r="AM2312" s="53"/>
      <c r="AT2312" s="43"/>
      <c r="AV2312" s="53"/>
      <c r="CH2312" s="43"/>
      <c r="DD2312" s="53"/>
      <c r="DE2312" s="51"/>
      <c r="DJ2312" s="52"/>
      <c r="DK2312" s="52"/>
      <c r="DL2312" s="52"/>
    </row>
    <row r="2313" spans="39:116">
      <c r="AM2313" s="53"/>
      <c r="AT2313" s="43"/>
      <c r="AV2313" s="53"/>
      <c r="CH2313" s="43"/>
      <c r="DD2313" s="53"/>
      <c r="DE2313" s="51"/>
      <c r="DJ2313" s="52"/>
      <c r="DK2313" s="52"/>
      <c r="DL2313" s="52"/>
    </row>
    <row r="2314" spans="39:116">
      <c r="AM2314" s="53"/>
      <c r="AT2314" s="43"/>
      <c r="AV2314" s="53"/>
      <c r="CH2314" s="43"/>
      <c r="DD2314" s="53"/>
      <c r="DE2314" s="51"/>
      <c r="DJ2314" s="52"/>
      <c r="DK2314" s="52"/>
      <c r="DL2314" s="52"/>
    </row>
    <row r="2315" spans="39:116">
      <c r="AM2315" s="53"/>
      <c r="AT2315" s="43"/>
      <c r="AV2315" s="53"/>
      <c r="CH2315" s="43"/>
      <c r="DD2315" s="53"/>
      <c r="DE2315" s="51"/>
      <c r="DJ2315" s="52"/>
      <c r="DK2315" s="52"/>
      <c r="DL2315" s="52"/>
    </row>
    <row r="2316" spans="39:116">
      <c r="AM2316" s="53"/>
      <c r="AT2316" s="43"/>
      <c r="AV2316" s="53"/>
      <c r="CH2316" s="43"/>
      <c r="DD2316" s="53"/>
      <c r="DE2316" s="51"/>
      <c r="DJ2316" s="52"/>
      <c r="DK2316" s="52"/>
      <c r="DL2316" s="52"/>
    </row>
    <row r="2317" spans="39:116">
      <c r="AM2317" s="53"/>
      <c r="AT2317" s="43"/>
      <c r="AV2317" s="53"/>
      <c r="CH2317" s="43"/>
      <c r="DD2317" s="53"/>
      <c r="DE2317" s="51"/>
      <c r="DJ2317" s="52"/>
      <c r="DK2317" s="52"/>
      <c r="DL2317" s="52"/>
    </row>
    <row r="2318" spans="39:116">
      <c r="AM2318" s="53"/>
      <c r="AT2318" s="43"/>
      <c r="AV2318" s="53"/>
      <c r="CH2318" s="43"/>
      <c r="DD2318" s="53"/>
      <c r="DE2318" s="51"/>
      <c r="DJ2318" s="52"/>
      <c r="DK2318" s="52"/>
      <c r="DL2318" s="52"/>
    </row>
    <row r="2319" spans="39:116">
      <c r="AM2319" s="53"/>
      <c r="AT2319" s="43"/>
      <c r="AV2319" s="53"/>
      <c r="CH2319" s="43"/>
      <c r="DD2319" s="53"/>
      <c r="DE2319" s="51"/>
      <c r="DJ2319" s="52"/>
      <c r="DK2319" s="52"/>
      <c r="DL2319" s="52"/>
    </row>
    <row r="2320" spans="39:116">
      <c r="AM2320" s="53"/>
      <c r="AT2320" s="43"/>
      <c r="AV2320" s="53"/>
      <c r="CH2320" s="43"/>
      <c r="DD2320" s="53"/>
      <c r="DE2320" s="51"/>
      <c r="DJ2320" s="52"/>
      <c r="DK2320" s="52"/>
      <c r="DL2320" s="52"/>
    </row>
    <row r="2321" spans="39:116">
      <c r="AM2321" s="53"/>
      <c r="AT2321" s="43"/>
      <c r="AV2321" s="53"/>
      <c r="CH2321" s="43"/>
      <c r="DD2321" s="53"/>
      <c r="DE2321" s="51"/>
      <c r="DJ2321" s="52"/>
      <c r="DK2321" s="52"/>
      <c r="DL2321" s="52"/>
    </row>
    <row r="2322" spans="39:116">
      <c r="AM2322" s="53"/>
      <c r="AT2322" s="43"/>
      <c r="AV2322" s="53"/>
      <c r="CH2322" s="43"/>
      <c r="DD2322" s="53"/>
      <c r="DE2322" s="51"/>
      <c r="DJ2322" s="52"/>
      <c r="DK2322" s="52"/>
      <c r="DL2322" s="52"/>
    </row>
    <row r="2323" spans="39:116">
      <c r="AM2323" s="53"/>
      <c r="AT2323" s="43"/>
      <c r="AV2323" s="53"/>
      <c r="CH2323" s="43"/>
      <c r="DD2323" s="53"/>
      <c r="DE2323" s="51"/>
      <c r="DJ2323" s="52"/>
      <c r="DK2323" s="52"/>
      <c r="DL2323" s="52"/>
    </row>
    <row r="2324" spans="39:116">
      <c r="AM2324" s="53"/>
      <c r="AT2324" s="43"/>
      <c r="AV2324" s="53"/>
      <c r="CH2324" s="43"/>
      <c r="DD2324" s="53"/>
      <c r="DE2324" s="51"/>
      <c r="DJ2324" s="52"/>
      <c r="DK2324" s="52"/>
      <c r="DL2324" s="52"/>
    </row>
    <row r="2325" spans="39:116">
      <c r="AM2325" s="53"/>
      <c r="AT2325" s="43"/>
      <c r="AV2325" s="53"/>
      <c r="CH2325" s="43"/>
      <c r="DD2325" s="53"/>
      <c r="DE2325" s="51"/>
      <c r="DJ2325" s="52"/>
      <c r="DK2325" s="52"/>
      <c r="DL2325" s="52"/>
    </row>
    <row r="2326" spans="39:116">
      <c r="AM2326" s="53"/>
      <c r="AT2326" s="43"/>
      <c r="AV2326" s="53"/>
      <c r="CH2326" s="43"/>
      <c r="DD2326" s="53"/>
      <c r="DE2326" s="51"/>
      <c r="DJ2326" s="52"/>
      <c r="DK2326" s="52"/>
      <c r="DL2326" s="52"/>
    </row>
    <row r="2327" spans="39:116">
      <c r="AM2327" s="53"/>
      <c r="AT2327" s="43"/>
      <c r="AV2327" s="53"/>
      <c r="CH2327" s="43"/>
      <c r="DD2327" s="53"/>
      <c r="DE2327" s="51"/>
      <c r="DJ2327" s="52"/>
      <c r="DK2327" s="52"/>
      <c r="DL2327" s="52"/>
    </row>
    <row r="2328" spans="39:116">
      <c r="AM2328" s="53"/>
      <c r="AT2328" s="43"/>
      <c r="AV2328" s="53"/>
      <c r="CH2328" s="43"/>
      <c r="DD2328" s="53"/>
      <c r="DE2328" s="51"/>
      <c r="DJ2328" s="52"/>
      <c r="DK2328" s="52"/>
      <c r="DL2328" s="52"/>
    </row>
    <row r="2329" spans="39:116">
      <c r="AM2329" s="53"/>
      <c r="AT2329" s="43"/>
      <c r="AV2329" s="53"/>
      <c r="CH2329" s="43"/>
      <c r="DD2329" s="53"/>
      <c r="DE2329" s="51"/>
      <c r="DJ2329" s="52"/>
      <c r="DK2329" s="52"/>
      <c r="DL2329" s="52"/>
    </row>
    <row r="2330" spans="39:116">
      <c r="AM2330" s="53"/>
      <c r="AT2330" s="43"/>
      <c r="AV2330" s="53"/>
      <c r="CH2330" s="43"/>
      <c r="DD2330" s="53"/>
      <c r="DE2330" s="51"/>
      <c r="DJ2330" s="52"/>
      <c r="DK2330" s="52"/>
      <c r="DL2330" s="52"/>
    </row>
    <row r="2331" spans="39:116">
      <c r="AM2331" s="53"/>
      <c r="AT2331" s="43"/>
      <c r="AV2331" s="53"/>
      <c r="CH2331" s="43"/>
      <c r="DD2331" s="53"/>
      <c r="DE2331" s="51"/>
      <c r="DJ2331" s="52"/>
      <c r="DK2331" s="52"/>
      <c r="DL2331" s="52"/>
    </row>
    <row r="2332" spans="39:116">
      <c r="AM2332" s="53"/>
      <c r="AT2332" s="43"/>
      <c r="AV2332" s="53"/>
      <c r="CH2332" s="43"/>
      <c r="DD2332" s="53"/>
      <c r="DE2332" s="51"/>
      <c r="DJ2332" s="52"/>
      <c r="DK2332" s="52"/>
      <c r="DL2332" s="52"/>
    </row>
    <row r="2333" spans="39:116">
      <c r="AM2333" s="53"/>
      <c r="AT2333" s="43"/>
      <c r="AV2333" s="53"/>
      <c r="CH2333" s="43"/>
      <c r="DD2333" s="53"/>
      <c r="DE2333" s="51"/>
      <c r="DJ2333" s="52"/>
      <c r="DK2333" s="52"/>
      <c r="DL2333" s="52"/>
    </row>
    <row r="2334" spans="39:116">
      <c r="AM2334" s="53"/>
      <c r="AT2334" s="43"/>
      <c r="AV2334" s="53"/>
      <c r="CH2334" s="43"/>
      <c r="DD2334" s="53"/>
      <c r="DE2334" s="51"/>
      <c r="DJ2334" s="52"/>
      <c r="DK2334" s="52"/>
      <c r="DL2334" s="52"/>
    </row>
    <row r="2335" spans="39:116">
      <c r="AM2335" s="53"/>
      <c r="AT2335" s="43"/>
      <c r="AV2335" s="53"/>
      <c r="CH2335" s="43"/>
      <c r="DD2335" s="53"/>
      <c r="DE2335" s="51"/>
      <c r="DJ2335" s="52"/>
      <c r="DK2335" s="52"/>
      <c r="DL2335" s="52"/>
    </row>
    <row r="2336" spans="39:116">
      <c r="AM2336" s="53"/>
      <c r="AT2336" s="43"/>
      <c r="AV2336" s="53"/>
      <c r="CH2336" s="43"/>
      <c r="DD2336" s="53"/>
      <c r="DE2336" s="51"/>
      <c r="DJ2336" s="52"/>
      <c r="DK2336" s="52"/>
      <c r="DL2336" s="52"/>
    </row>
    <row r="2337" spans="39:116">
      <c r="AM2337" s="53"/>
      <c r="AT2337" s="43"/>
      <c r="AV2337" s="53"/>
      <c r="CH2337" s="43"/>
      <c r="DD2337" s="53"/>
      <c r="DE2337" s="51"/>
      <c r="DJ2337" s="52"/>
      <c r="DK2337" s="52"/>
      <c r="DL2337" s="52"/>
    </row>
    <row r="2338" spans="39:116">
      <c r="AM2338" s="53"/>
      <c r="AT2338" s="43"/>
      <c r="AV2338" s="53"/>
      <c r="CH2338" s="43"/>
      <c r="DD2338" s="53"/>
      <c r="DE2338" s="51"/>
      <c r="DJ2338" s="52"/>
      <c r="DK2338" s="52"/>
      <c r="DL2338" s="52"/>
    </row>
    <row r="2339" spans="39:116">
      <c r="AM2339" s="53"/>
      <c r="AT2339" s="43"/>
      <c r="AV2339" s="53"/>
      <c r="CH2339" s="43"/>
      <c r="DD2339" s="53"/>
      <c r="DE2339" s="51"/>
      <c r="DJ2339" s="52"/>
      <c r="DK2339" s="52"/>
      <c r="DL2339" s="52"/>
    </row>
    <row r="2340" spans="39:116">
      <c r="AM2340" s="53"/>
      <c r="AT2340" s="43"/>
      <c r="AV2340" s="53"/>
      <c r="CH2340" s="43"/>
      <c r="DD2340" s="53"/>
      <c r="DE2340" s="51"/>
      <c r="DJ2340" s="52"/>
      <c r="DK2340" s="52"/>
      <c r="DL2340" s="52"/>
    </row>
    <row r="2341" spans="39:116">
      <c r="AM2341" s="53"/>
      <c r="AT2341" s="43"/>
      <c r="AV2341" s="53"/>
      <c r="CH2341" s="43"/>
      <c r="DD2341" s="53"/>
      <c r="DE2341" s="51"/>
      <c r="DJ2341" s="52"/>
      <c r="DK2341" s="52"/>
      <c r="DL2341" s="52"/>
    </row>
    <row r="2342" spans="39:116">
      <c r="AM2342" s="53"/>
      <c r="AT2342" s="43"/>
      <c r="AV2342" s="53"/>
      <c r="CH2342" s="43"/>
      <c r="DD2342" s="53"/>
      <c r="DE2342" s="51"/>
      <c r="DJ2342" s="52"/>
      <c r="DK2342" s="52"/>
      <c r="DL2342" s="52"/>
    </row>
    <row r="2343" spans="39:116">
      <c r="AM2343" s="53"/>
      <c r="AT2343" s="43"/>
      <c r="AV2343" s="53"/>
      <c r="CH2343" s="43"/>
      <c r="DD2343" s="53"/>
      <c r="DE2343" s="51"/>
      <c r="DJ2343" s="52"/>
      <c r="DK2343" s="52"/>
      <c r="DL2343" s="52"/>
    </row>
    <row r="2344" spans="39:116">
      <c r="AM2344" s="53"/>
      <c r="AT2344" s="43"/>
      <c r="AV2344" s="53"/>
      <c r="CH2344" s="43"/>
      <c r="DD2344" s="53"/>
      <c r="DE2344" s="51"/>
      <c r="DJ2344" s="52"/>
      <c r="DK2344" s="52"/>
      <c r="DL2344" s="52"/>
    </row>
    <row r="2345" spans="39:116">
      <c r="AM2345" s="53"/>
      <c r="AT2345" s="43"/>
      <c r="AV2345" s="53"/>
      <c r="CH2345" s="43"/>
      <c r="DD2345" s="53"/>
      <c r="DE2345" s="51"/>
      <c r="DJ2345" s="52"/>
      <c r="DK2345" s="52"/>
      <c r="DL2345" s="52"/>
    </row>
    <row r="2346" spans="39:116">
      <c r="AM2346" s="53"/>
      <c r="AT2346" s="43"/>
      <c r="AV2346" s="53"/>
      <c r="CH2346" s="43"/>
      <c r="DD2346" s="53"/>
      <c r="DE2346" s="51"/>
      <c r="DJ2346" s="52"/>
      <c r="DK2346" s="52"/>
      <c r="DL2346" s="52"/>
    </row>
    <row r="2347" spans="39:116">
      <c r="AM2347" s="53"/>
      <c r="AT2347" s="43"/>
      <c r="AV2347" s="53"/>
      <c r="CH2347" s="43"/>
      <c r="DD2347" s="53"/>
      <c r="DE2347" s="51"/>
      <c r="DJ2347" s="52"/>
      <c r="DK2347" s="52"/>
      <c r="DL2347" s="52"/>
    </row>
    <row r="2348" spans="39:116">
      <c r="AM2348" s="53"/>
      <c r="AT2348" s="43"/>
      <c r="AV2348" s="53"/>
      <c r="CH2348" s="43"/>
      <c r="DD2348" s="53"/>
      <c r="DE2348" s="51"/>
      <c r="DJ2348" s="52"/>
      <c r="DK2348" s="52"/>
      <c r="DL2348" s="52"/>
    </row>
    <row r="2349" spans="39:116">
      <c r="AM2349" s="53"/>
      <c r="AT2349" s="43"/>
      <c r="AV2349" s="53"/>
      <c r="CH2349" s="43"/>
      <c r="DD2349" s="53"/>
      <c r="DE2349" s="51"/>
      <c r="DJ2349" s="52"/>
      <c r="DK2349" s="52"/>
      <c r="DL2349" s="52"/>
    </row>
    <row r="2350" spans="39:116">
      <c r="AM2350" s="53"/>
      <c r="AT2350" s="43"/>
      <c r="AV2350" s="53"/>
      <c r="CH2350" s="43"/>
      <c r="DD2350" s="53"/>
      <c r="DE2350" s="51"/>
      <c r="DJ2350" s="52"/>
      <c r="DK2350" s="52"/>
      <c r="DL2350" s="52"/>
    </row>
    <row r="2351" spans="39:116">
      <c r="AM2351" s="53"/>
      <c r="AT2351" s="43"/>
      <c r="AV2351" s="53"/>
      <c r="CH2351" s="43"/>
      <c r="DD2351" s="53"/>
      <c r="DE2351" s="51"/>
      <c r="DJ2351" s="52"/>
      <c r="DK2351" s="52"/>
      <c r="DL2351" s="52"/>
    </row>
    <row r="2352" spans="39:116">
      <c r="AM2352" s="53"/>
      <c r="AT2352" s="43"/>
      <c r="AV2352" s="53"/>
      <c r="CH2352" s="43"/>
      <c r="DD2352" s="53"/>
      <c r="DE2352" s="51"/>
      <c r="DJ2352" s="52"/>
      <c r="DK2352" s="52"/>
      <c r="DL2352" s="52"/>
    </row>
    <row r="2353" spans="39:116">
      <c r="AM2353" s="53"/>
      <c r="AT2353" s="43"/>
      <c r="AV2353" s="53"/>
      <c r="CH2353" s="43"/>
      <c r="DD2353" s="53"/>
      <c r="DE2353" s="51"/>
      <c r="DJ2353" s="52"/>
      <c r="DK2353" s="52"/>
      <c r="DL2353" s="52"/>
    </row>
    <row r="2354" spans="39:116">
      <c r="AM2354" s="53"/>
      <c r="AT2354" s="43"/>
      <c r="AV2354" s="53"/>
      <c r="CH2354" s="43"/>
      <c r="DD2354" s="53"/>
      <c r="DE2354" s="51"/>
      <c r="DJ2354" s="52"/>
      <c r="DK2354" s="52"/>
      <c r="DL2354" s="52"/>
    </row>
    <row r="2355" spans="39:116">
      <c r="AM2355" s="53"/>
      <c r="AT2355" s="43"/>
      <c r="AV2355" s="53"/>
      <c r="CH2355" s="43"/>
      <c r="DD2355" s="53"/>
      <c r="DE2355" s="51"/>
      <c r="DJ2355" s="52"/>
      <c r="DK2355" s="52"/>
      <c r="DL2355" s="52"/>
    </row>
    <row r="2356" spans="39:116">
      <c r="AM2356" s="53"/>
      <c r="AT2356" s="43"/>
      <c r="AV2356" s="53"/>
      <c r="CH2356" s="43"/>
      <c r="DD2356" s="53"/>
      <c r="DE2356" s="51"/>
      <c r="DJ2356" s="52"/>
      <c r="DK2356" s="52"/>
      <c r="DL2356" s="52"/>
    </row>
    <row r="2357" spans="39:116">
      <c r="AM2357" s="53"/>
      <c r="AT2357" s="43"/>
      <c r="AV2357" s="53"/>
      <c r="CH2357" s="43"/>
      <c r="DD2357" s="53"/>
      <c r="DE2357" s="51"/>
      <c r="DJ2357" s="52"/>
      <c r="DK2357" s="52"/>
      <c r="DL2357" s="52"/>
    </row>
    <row r="2358" spans="39:116">
      <c r="AM2358" s="53"/>
      <c r="AT2358" s="43"/>
      <c r="AV2358" s="53"/>
      <c r="CH2358" s="43"/>
      <c r="DD2358" s="53"/>
      <c r="DE2358" s="51"/>
      <c r="DJ2358" s="52"/>
      <c r="DK2358" s="52"/>
      <c r="DL2358" s="52"/>
    </row>
    <row r="2359" spans="39:116">
      <c r="AM2359" s="53"/>
      <c r="AT2359" s="43"/>
      <c r="AV2359" s="53"/>
      <c r="CH2359" s="43"/>
      <c r="DD2359" s="53"/>
      <c r="DE2359" s="51"/>
      <c r="DJ2359" s="52"/>
      <c r="DK2359" s="52"/>
      <c r="DL2359" s="52"/>
    </row>
    <row r="2360" spans="39:116">
      <c r="AM2360" s="53"/>
      <c r="AT2360" s="43"/>
      <c r="AV2360" s="53"/>
      <c r="CH2360" s="43"/>
      <c r="DD2360" s="53"/>
      <c r="DE2360" s="51"/>
      <c r="DJ2360" s="52"/>
      <c r="DK2360" s="52"/>
      <c r="DL2360" s="52"/>
    </row>
    <row r="2361" spans="39:116">
      <c r="AM2361" s="53"/>
      <c r="AT2361" s="43"/>
      <c r="AV2361" s="53"/>
      <c r="CH2361" s="43"/>
      <c r="DD2361" s="53"/>
      <c r="DE2361" s="51"/>
      <c r="DJ2361" s="52"/>
      <c r="DK2361" s="52"/>
      <c r="DL2361" s="52"/>
    </row>
    <row r="2362" spans="39:116">
      <c r="AM2362" s="53"/>
      <c r="AT2362" s="43"/>
      <c r="AV2362" s="53"/>
      <c r="CH2362" s="43"/>
      <c r="DD2362" s="53"/>
      <c r="DE2362" s="51"/>
      <c r="DJ2362" s="52"/>
      <c r="DK2362" s="52"/>
      <c r="DL2362" s="52"/>
    </row>
    <row r="2363" spans="39:116">
      <c r="AM2363" s="53"/>
      <c r="AT2363" s="43"/>
      <c r="AV2363" s="53"/>
      <c r="CH2363" s="43"/>
      <c r="DD2363" s="53"/>
      <c r="DE2363" s="51"/>
      <c r="DJ2363" s="52"/>
      <c r="DK2363" s="52"/>
      <c r="DL2363" s="52"/>
    </row>
    <row r="2364" spans="39:116">
      <c r="AM2364" s="53"/>
      <c r="AT2364" s="43"/>
      <c r="AV2364" s="53"/>
      <c r="CH2364" s="43"/>
      <c r="DD2364" s="53"/>
      <c r="DE2364" s="51"/>
      <c r="DJ2364" s="52"/>
      <c r="DK2364" s="52"/>
      <c r="DL2364" s="52"/>
    </row>
    <row r="2365" spans="39:116">
      <c r="AM2365" s="53"/>
      <c r="AT2365" s="43"/>
      <c r="AV2365" s="53"/>
      <c r="CH2365" s="43"/>
      <c r="DD2365" s="53"/>
      <c r="DE2365" s="51"/>
      <c r="DJ2365" s="52"/>
      <c r="DK2365" s="52"/>
      <c r="DL2365" s="52"/>
    </row>
    <row r="2366" spans="39:116">
      <c r="AM2366" s="53"/>
      <c r="AT2366" s="43"/>
      <c r="AV2366" s="53"/>
      <c r="CH2366" s="43"/>
      <c r="DD2366" s="53"/>
      <c r="DE2366" s="51"/>
      <c r="DJ2366" s="52"/>
      <c r="DK2366" s="52"/>
      <c r="DL2366" s="52"/>
    </row>
    <row r="2367" spans="39:116">
      <c r="AM2367" s="53"/>
      <c r="AT2367" s="43"/>
      <c r="AV2367" s="53"/>
      <c r="CH2367" s="43"/>
      <c r="DD2367" s="53"/>
      <c r="DE2367" s="51"/>
      <c r="DJ2367" s="52"/>
      <c r="DK2367" s="52"/>
      <c r="DL2367" s="52"/>
    </row>
    <row r="2368" spans="39:116">
      <c r="AM2368" s="53"/>
      <c r="AT2368" s="43"/>
      <c r="AV2368" s="53"/>
      <c r="CH2368" s="43"/>
      <c r="DD2368" s="53"/>
      <c r="DE2368" s="51"/>
      <c r="DJ2368" s="52"/>
      <c r="DK2368" s="52"/>
      <c r="DL2368" s="52"/>
    </row>
    <row r="2369" spans="39:116">
      <c r="AM2369" s="53"/>
      <c r="AT2369" s="43"/>
      <c r="AV2369" s="53"/>
      <c r="CH2369" s="43"/>
      <c r="DD2369" s="53"/>
      <c r="DE2369" s="51"/>
      <c r="DJ2369" s="52"/>
      <c r="DK2369" s="52"/>
      <c r="DL2369" s="52"/>
    </row>
    <row r="2370" spans="39:116">
      <c r="AM2370" s="53"/>
      <c r="AT2370" s="43"/>
      <c r="AV2370" s="53"/>
      <c r="CH2370" s="43"/>
      <c r="DD2370" s="53"/>
      <c r="DE2370" s="51"/>
      <c r="DJ2370" s="52"/>
      <c r="DK2370" s="52"/>
      <c r="DL2370" s="52"/>
    </row>
    <row r="2371" spans="39:116">
      <c r="AM2371" s="53"/>
      <c r="AT2371" s="43"/>
      <c r="AV2371" s="53"/>
      <c r="CH2371" s="43"/>
      <c r="DD2371" s="53"/>
      <c r="DE2371" s="51"/>
      <c r="DJ2371" s="52"/>
      <c r="DK2371" s="52"/>
      <c r="DL2371" s="52"/>
    </row>
    <row r="2372" spans="39:116">
      <c r="AM2372" s="53"/>
      <c r="AT2372" s="43"/>
      <c r="AV2372" s="53"/>
      <c r="CH2372" s="43"/>
      <c r="DD2372" s="53"/>
      <c r="DE2372" s="51"/>
      <c r="DJ2372" s="52"/>
      <c r="DK2372" s="52"/>
      <c r="DL2372" s="52"/>
    </row>
    <row r="2373" spans="39:116">
      <c r="AM2373" s="53"/>
      <c r="AT2373" s="43"/>
      <c r="AV2373" s="53"/>
      <c r="CH2373" s="43"/>
      <c r="DD2373" s="53"/>
      <c r="DE2373" s="51"/>
      <c r="DJ2373" s="52"/>
      <c r="DK2373" s="52"/>
      <c r="DL2373" s="52"/>
    </row>
    <row r="2374" spans="39:116">
      <c r="AM2374" s="53"/>
      <c r="AT2374" s="43"/>
      <c r="AV2374" s="53"/>
      <c r="CH2374" s="43"/>
      <c r="DD2374" s="53"/>
      <c r="DE2374" s="51"/>
      <c r="DJ2374" s="52"/>
      <c r="DK2374" s="52"/>
      <c r="DL2374" s="52"/>
    </row>
    <row r="2375" spans="39:116">
      <c r="AM2375" s="53"/>
      <c r="AT2375" s="43"/>
      <c r="AV2375" s="53"/>
      <c r="CH2375" s="43"/>
      <c r="DD2375" s="53"/>
      <c r="DE2375" s="51"/>
      <c r="DJ2375" s="52"/>
      <c r="DK2375" s="52"/>
      <c r="DL2375" s="52"/>
    </row>
    <row r="2376" spans="39:116">
      <c r="AM2376" s="53"/>
      <c r="AT2376" s="43"/>
      <c r="AV2376" s="53"/>
      <c r="CH2376" s="43"/>
      <c r="DD2376" s="53"/>
      <c r="DE2376" s="51"/>
      <c r="DJ2376" s="52"/>
      <c r="DK2376" s="52"/>
      <c r="DL2376" s="52"/>
    </row>
    <row r="2377" spans="39:116">
      <c r="AM2377" s="53"/>
      <c r="AT2377" s="43"/>
      <c r="AV2377" s="53"/>
      <c r="CH2377" s="43"/>
      <c r="DD2377" s="53"/>
      <c r="DE2377" s="51"/>
      <c r="DJ2377" s="52"/>
      <c r="DK2377" s="52"/>
      <c r="DL2377" s="52"/>
    </row>
    <row r="2378" spans="39:116">
      <c r="AM2378" s="53"/>
      <c r="AT2378" s="43"/>
      <c r="AV2378" s="53"/>
      <c r="CH2378" s="43"/>
      <c r="DD2378" s="53"/>
      <c r="DE2378" s="51"/>
      <c r="DJ2378" s="52"/>
      <c r="DK2378" s="52"/>
      <c r="DL2378" s="52"/>
    </row>
    <row r="2379" spans="39:116">
      <c r="AM2379" s="53"/>
      <c r="AT2379" s="43"/>
      <c r="AV2379" s="53"/>
      <c r="CH2379" s="43"/>
      <c r="DD2379" s="53"/>
      <c r="DE2379" s="51"/>
      <c r="DJ2379" s="52"/>
      <c r="DK2379" s="52"/>
      <c r="DL2379" s="52"/>
    </row>
    <row r="2380" spans="39:116">
      <c r="AM2380" s="53"/>
      <c r="AT2380" s="43"/>
      <c r="AV2380" s="53"/>
      <c r="CH2380" s="43"/>
      <c r="DD2380" s="53"/>
      <c r="DE2380" s="51"/>
      <c r="DJ2380" s="52"/>
      <c r="DK2380" s="52"/>
      <c r="DL2380" s="52"/>
    </row>
    <row r="2381" spans="39:116">
      <c r="AM2381" s="53"/>
      <c r="AT2381" s="43"/>
      <c r="AV2381" s="53"/>
      <c r="CH2381" s="43"/>
      <c r="DD2381" s="53"/>
      <c r="DE2381" s="51"/>
      <c r="DJ2381" s="52"/>
      <c r="DK2381" s="52"/>
      <c r="DL2381" s="52"/>
    </row>
    <row r="2382" spans="39:116">
      <c r="AM2382" s="53"/>
      <c r="AT2382" s="43"/>
      <c r="AV2382" s="53"/>
      <c r="CH2382" s="43"/>
      <c r="DD2382" s="53"/>
      <c r="DE2382" s="51"/>
      <c r="DJ2382" s="52"/>
      <c r="DK2382" s="52"/>
      <c r="DL2382" s="52"/>
    </row>
    <row r="2383" spans="39:116">
      <c r="AM2383" s="53"/>
      <c r="AT2383" s="43"/>
      <c r="AV2383" s="53"/>
      <c r="CH2383" s="43"/>
      <c r="DD2383" s="53"/>
      <c r="DE2383" s="51"/>
      <c r="DJ2383" s="52"/>
      <c r="DK2383" s="52"/>
      <c r="DL2383" s="52"/>
    </row>
    <row r="2384" spans="39:116">
      <c r="AM2384" s="53"/>
      <c r="AT2384" s="43"/>
      <c r="AV2384" s="53"/>
      <c r="CH2384" s="43"/>
      <c r="DD2384" s="53"/>
      <c r="DE2384" s="51"/>
      <c r="DJ2384" s="52"/>
      <c r="DK2384" s="52"/>
      <c r="DL2384" s="52"/>
    </row>
    <row r="2385" spans="39:116">
      <c r="AM2385" s="53"/>
      <c r="AT2385" s="43"/>
      <c r="AV2385" s="53"/>
      <c r="CH2385" s="43"/>
      <c r="DD2385" s="53"/>
      <c r="DE2385" s="51"/>
      <c r="DJ2385" s="52"/>
      <c r="DK2385" s="52"/>
      <c r="DL2385" s="52"/>
    </row>
    <row r="2386" spans="39:116">
      <c r="AM2386" s="53"/>
      <c r="AT2386" s="43"/>
      <c r="AV2386" s="53"/>
      <c r="CH2386" s="43"/>
      <c r="DD2386" s="53"/>
      <c r="DE2386" s="51"/>
      <c r="DJ2386" s="52"/>
      <c r="DK2386" s="52"/>
      <c r="DL2386" s="52"/>
    </row>
    <row r="2387" spans="39:116">
      <c r="AM2387" s="53"/>
      <c r="AT2387" s="43"/>
      <c r="AV2387" s="53"/>
      <c r="CH2387" s="43"/>
      <c r="DD2387" s="53"/>
      <c r="DE2387" s="51"/>
      <c r="DJ2387" s="52"/>
      <c r="DK2387" s="52"/>
      <c r="DL2387" s="52"/>
    </row>
    <row r="2388" spans="39:116">
      <c r="AM2388" s="53"/>
      <c r="AT2388" s="43"/>
      <c r="AV2388" s="53"/>
      <c r="CH2388" s="43"/>
      <c r="DD2388" s="53"/>
      <c r="DE2388" s="51"/>
      <c r="DJ2388" s="52"/>
      <c r="DK2388" s="52"/>
      <c r="DL2388" s="52"/>
    </row>
    <row r="2389" spans="39:116">
      <c r="AM2389" s="53"/>
      <c r="AT2389" s="43"/>
      <c r="AV2389" s="53"/>
      <c r="CH2389" s="43"/>
      <c r="DD2389" s="53"/>
      <c r="DE2389" s="51"/>
      <c r="DJ2389" s="52"/>
      <c r="DK2389" s="52"/>
      <c r="DL2389" s="52"/>
    </row>
    <row r="2390" spans="39:116">
      <c r="AM2390" s="53"/>
      <c r="AT2390" s="43"/>
      <c r="AV2390" s="53"/>
      <c r="CH2390" s="43"/>
      <c r="DD2390" s="53"/>
      <c r="DE2390" s="51"/>
      <c r="DJ2390" s="52"/>
      <c r="DK2390" s="52"/>
      <c r="DL2390" s="52"/>
    </row>
    <row r="2391" spans="39:116">
      <c r="AM2391" s="53"/>
      <c r="AT2391" s="43"/>
      <c r="AV2391" s="53"/>
      <c r="CH2391" s="43"/>
      <c r="DD2391" s="53"/>
      <c r="DE2391" s="51"/>
      <c r="DJ2391" s="52"/>
      <c r="DK2391" s="52"/>
      <c r="DL2391" s="52"/>
    </row>
    <row r="2392" spans="39:116">
      <c r="AM2392" s="53"/>
      <c r="AT2392" s="43"/>
      <c r="AV2392" s="53"/>
      <c r="CH2392" s="43"/>
      <c r="DD2392" s="53"/>
      <c r="DE2392" s="51"/>
      <c r="DJ2392" s="52"/>
      <c r="DK2392" s="52"/>
      <c r="DL2392" s="52"/>
    </row>
    <row r="2393" spans="39:116">
      <c r="AM2393" s="53"/>
      <c r="AT2393" s="43"/>
      <c r="AV2393" s="53"/>
      <c r="CH2393" s="43"/>
      <c r="DD2393" s="53"/>
      <c r="DE2393" s="51"/>
      <c r="DJ2393" s="52"/>
      <c r="DK2393" s="52"/>
      <c r="DL2393" s="52"/>
    </row>
    <row r="2394" spans="39:116">
      <c r="AM2394" s="53"/>
      <c r="AT2394" s="43"/>
      <c r="AV2394" s="53"/>
      <c r="CH2394" s="43"/>
      <c r="DD2394" s="53"/>
      <c r="DE2394" s="51"/>
      <c r="DJ2394" s="52"/>
      <c r="DK2394" s="52"/>
      <c r="DL2394" s="52"/>
    </row>
    <row r="2395" spans="39:116">
      <c r="AM2395" s="53"/>
      <c r="AT2395" s="43"/>
      <c r="AV2395" s="53"/>
      <c r="CH2395" s="43"/>
      <c r="DD2395" s="53"/>
      <c r="DE2395" s="51"/>
      <c r="DJ2395" s="52"/>
      <c r="DK2395" s="52"/>
      <c r="DL2395" s="52"/>
    </row>
    <row r="2396" spans="39:116">
      <c r="AM2396" s="53"/>
      <c r="AT2396" s="43"/>
      <c r="AV2396" s="53"/>
      <c r="CH2396" s="43"/>
      <c r="DD2396" s="53"/>
      <c r="DE2396" s="51"/>
      <c r="DJ2396" s="52"/>
      <c r="DK2396" s="52"/>
      <c r="DL2396" s="52"/>
    </row>
    <row r="2397" spans="39:116">
      <c r="AM2397" s="53"/>
      <c r="AT2397" s="43"/>
      <c r="AV2397" s="53"/>
      <c r="CH2397" s="43"/>
      <c r="DD2397" s="53"/>
      <c r="DE2397" s="51"/>
      <c r="DJ2397" s="52"/>
      <c r="DK2397" s="52"/>
      <c r="DL2397" s="52"/>
    </row>
    <row r="2398" spans="39:116">
      <c r="AM2398" s="53"/>
      <c r="AT2398" s="43"/>
      <c r="AV2398" s="53"/>
      <c r="CH2398" s="43"/>
      <c r="DD2398" s="53"/>
      <c r="DE2398" s="51"/>
      <c r="DJ2398" s="52"/>
      <c r="DK2398" s="52"/>
      <c r="DL2398" s="52"/>
    </row>
    <row r="2399" spans="39:116">
      <c r="AM2399" s="53"/>
      <c r="AT2399" s="43"/>
      <c r="AV2399" s="53"/>
      <c r="CH2399" s="43"/>
      <c r="DD2399" s="53"/>
      <c r="DE2399" s="51"/>
      <c r="DJ2399" s="52"/>
      <c r="DK2399" s="52"/>
      <c r="DL2399" s="52"/>
    </row>
    <row r="2400" spans="39:116">
      <c r="AM2400" s="53"/>
      <c r="AT2400" s="43"/>
      <c r="AV2400" s="53"/>
      <c r="CH2400" s="43"/>
      <c r="DD2400" s="53"/>
      <c r="DE2400" s="51"/>
      <c r="DJ2400" s="52"/>
      <c r="DK2400" s="52"/>
      <c r="DL2400" s="52"/>
    </row>
    <row r="2401" spans="39:116">
      <c r="AM2401" s="53"/>
      <c r="AT2401" s="43"/>
      <c r="AV2401" s="53"/>
      <c r="CH2401" s="43"/>
      <c r="DD2401" s="53"/>
      <c r="DE2401" s="51"/>
      <c r="DJ2401" s="52"/>
      <c r="DK2401" s="52"/>
      <c r="DL2401" s="52"/>
    </row>
    <row r="2402" spans="39:116">
      <c r="AM2402" s="53"/>
      <c r="AT2402" s="43"/>
      <c r="AV2402" s="53"/>
      <c r="CH2402" s="43"/>
      <c r="DD2402" s="53"/>
      <c r="DE2402" s="51"/>
      <c r="DJ2402" s="52"/>
      <c r="DK2402" s="52"/>
      <c r="DL2402" s="52"/>
    </row>
    <row r="2403" spans="39:116">
      <c r="AM2403" s="53"/>
      <c r="AT2403" s="43"/>
      <c r="AV2403" s="53"/>
      <c r="CH2403" s="43"/>
      <c r="DD2403" s="53"/>
      <c r="DE2403" s="51"/>
      <c r="DJ2403" s="52"/>
      <c r="DK2403" s="52"/>
      <c r="DL2403" s="52"/>
    </row>
    <row r="2404" spans="39:116">
      <c r="AM2404" s="53"/>
      <c r="AT2404" s="43"/>
      <c r="AV2404" s="53"/>
      <c r="CH2404" s="43"/>
      <c r="DD2404" s="53"/>
      <c r="DE2404" s="51"/>
      <c r="DJ2404" s="52"/>
      <c r="DK2404" s="52"/>
      <c r="DL2404" s="52"/>
    </row>
    <row r="2405" spans="39:116">
      <c r="AM2405" s="53"/>
      <c r="AT2405" s="43"/>
      <c r="AV2405" s="53"/>
      <c r="CH2405" s="43"/>
      <c r="DD2405" s="53"/>
      <c r="DE2405" s="51"/>
      <c r="DJ2405" s="52"/>
      <c r="DK2405" s="52"/>
      <c r="DL2405" s="52"/>
    </row>
    <row r="2406" spans="39:116">
      <c r="AM2406" s="53"/>
      <c r="AT2406" s="43"/>
      <c r="AV2406" s="53"/>
      <c r="CH2406" s="43"/>
      <c r="DD2406" s="53"/>
      <c r="DE2406" s="51"/>
      <c r="DJ2406" s="52"/>
      <c r="DK2406" s="52"/>
      <c r="DL2406" s="52"/>
    </row>
    <row r="2407" spans="39:116">
      <c r="AM2407" s="53"/>
      <c r="AT2407" s="43"/>
      <c r="AV2407" s="53"/>
      <c r="CH2407" s="43"/>
      <c r="DD2407" s="53"/>
      <c r="DE2407" s="51"/>
      <c r="DJ2407" s="52"/>
      <c r="DK2407" s="52"/>
      <c r="DL2407" s="52"/>
    </row>
    <row r="2408" spans="39:116">
      <c r="AM2408" s="53"/>
      <c r="AT2408" s="43"/>
      <c r="AV2408" s="53"/>
      <c r="CH2408" s="43"/>
      <c r="DD2408" s="53"/>
      <c r="DE2408" s="51"/>
      <c r="DJ2408" s="52"/>
      <c r="DK2408" s="52"/>
      <c r="DL2408" s="52"/>
    </row>
    <row r="2409" spans="39:116">
      <c r="AM2409" s="53"/>
      <c r="AT2409" s="43"/>
      <c r="AV2409" s="53"/>
      <c r="CH2409" s="43"/>
      <c r="DD2409" s="53"/>
      <c r="DE2409" s="51"/>
      <c r="DJ2409" s="52"/>
      <c r="DK2409" s="52"/>
      <c r="DL2409" s="52"/>
    </row>
    <row r="2410" spans="39:116">
      <c r="AM2410" s="53"/>
      <c r="AT2410" s="43"/>
      <c r="AV2410" s="53"/>
      <c r="CH2410" s="43"/>
      <c r="DD2410" s="53"/>
      <c r="DE2410" s="51"/>
      <c r="DJ2410" s="52"/>
      <c r="DK2410" s="52"/>
      <c r="DL2410" s="52"/>
    </row>
    <row r="2411" spans="39:116">
      <c r="AM2411" s="53"/>
      <c r="AT2411" s="43"/>
      <c r="AV2411" s="53"/>
      <c r="CH2411" s="43"/>
      <c r="DD2411" s="53"/>
      <c r="DE2411" s="51"/>
      <c r="DJ2411" s="52"/>
      <c r="DK2411" s="52"/>
      <c r="DL2411" s="52"/>
    </row>
    <row r="2412" spans="39:116">
      <c r="AM2412" s="53"/>
      <c r="AT2412" s="43"/>
      <c r="AV2412" s="53"/>
      <c r="CH2412" s="43"/>
      <c r="DD2412" s="53"/>
      <c r="DE2412" s="51"/>
      <c r="DJ2412" s="52"/>
      <c r="DK2412" s="52"/>
      <c r="DL2412" s="52"/>
    </row>
    <row r="2413" spans="39:116">
      <c r="AM2413" s="53"/>
      <c r="AT2413" s="43"/>
      <c r="AV2413" s="53"/>
      <c r="CH2413" s="43"/>
      <c r="DD2413" s="53"/>
      <c r="DE2413" s="51"/>
      <c r="DJ2413" s="52"/>
      <c r="DK2413" s="52"/>
      <c r="DL2413" s="52"/>
    </row>
    <row r="2414" spans="39:116">
      <c r="AM2414" s="53"/>
      <c r="AT2414" s="43"/>
      <c r="AV2414" s="53"/>
      <c r="CH2414" s="43"/>
      <c r="DD2414" s="53"/>
      <c r="DE2414" s="51"/>
      <c r="DJ2414" s="52"/>
      <c r="DK2414" s="52"/>
      <c r="DL2414" s="52"/>
    </row>
    <row r="2415" spans="39:116">
      <c r="AM2415" s="53"/>
      <c r="AT2415" s="43"/>
      <c r="AV2415" s="53"/>
      <c r="CH2415" s="43"/>
      <c r="DD2415" s="53"/>
      <c r="DE2415" s="51"/>
      <c r="DJ2415" s="52"/>
      <c r="DK2415" s="52"/>
      <c r="DL2415" s="52"/>
    </row>
    <row r="2416" spans="39:116">
      <c r="AM2416" s="53"/>
      <c r="AT2416" s="43"/>
      <c r="AV2416" s="53"/>
      <c r="CH2416" s="43"/>
      <c r="DD2416" s="53"/>
      <c r="DE2416" s="51"/>
      <c r="DJ2416" s="52"/>
      <c r="DK2416" s="52"/>
      <c r="DL2416" s="52"/>
    </row>
    <row r="2417" spans="39:116">
      <c r="AM2417" s="53"/>
      <c r="AT2417" s="43"/>
      <c r="AV2417" s="53"/>
      <c r="CH2417" s="43"/>
      <c r="DD2417" s="53"/>
      <c r="DE2417" s="51"/>
      <c r="DJ2417" s="52"/>
      <c r="DK2417" s="52"/>
      <c r="DL2417" s="52"/>
    </row>
    <row r="2418" spans="39:116">
      <c r="AM2418" s="53"/>
      <c r="AT2418" s="43"/>
      <c r="AV2418" s="53"/>
      <c r="CH2418" s="43"/>
      <c r="DD2418" s="53"/>
      <c r="DE2418" s="51"/>
      <c r="DJ2418" s="52"/>
      <c r="DK2418" s="52"/>
      <c r="DL2418" s="52"/>
    </row>
    <row r="2419" spans="39:116">
      <c r="AM2419" s="53"/>
      <c r="AT2419" s="43"/>
      <c r="AV2419" s="53"/>
      <c r="CH2419" s="43"/>
      <c r="DD2419" s="53"/>
      <c r="DE2419" s="51"/>
      <c r="DJ2419" s="52"/>
      <c r="DK2419" s="52"/>
      <c r="DL2419" s="52"/>
    </row>
    <row r="2420" spans="39:116">
      <c r="AM2420" s="53"/>
      <c r="AT2420" s="43"/>
      <c r="AV2420" s="53"/>
      <c r="CH2420" s="43"/>
      <c r="DD2420" s="53"/>
      <c r="DE2420" s="51"/>
      <c r="DJ2420" s="52"/>
      <c r="DK2420" s="52"/>
      <c r="DL2420" s="52"/>
    </row>
    <row r="2421" spans="39:116">
      <c r="AM2421" s="53"/>
      <c r="AT2421" s="43"/>
      <c r="AV2421" s="53"/>
      <c r="CH2421" s="43"/>
      <c r="DD2421" s="53"/>
      <c r="DE2421" s="51"/>
      <c r="DJ2421" s="52"/>
      <c r="DK2421" s="52"/>
      <c r="DL2421" s="52"/>
    </row>
    <row r="2422" spans="39:116">
      <c r="AM2422" s="53"/>
      <c r="AT2422" s="43"/>
      <c r="AV2422" s="53"/>
      <c r="CH2422" s="43"/>
      <c r="DD2422" s="53"/>
      <c r="DE2422" s="51"/>
      <c r="DJ2422" s="52"/>
      <c r="DK2422" s="52"/>
      <c r="DL2422" s="52"/>
    </row>
    <row r="2423" spans="39:116">
      <c r="AM2423" s="53"/>
      <c r="AT2423" s="43"/>
      <c r="AV2423" s="53"/>
      <c r="CH2423" s="43"/>
      <c r="DD2423" s="53"/>
      <c r="DE2423" s="51"/>
      <c r="DJ2423" s="52"/>
      <c r="DK2423" s="52"/>
      <c r="DL2423" s="52"/>
    </row>
    <row r="2424" spans="39:116">
      <c r="AM2424" s="53"/>
      <c r="AT2424" s="43"/>
      <c r="AV2424" s="53"/>
      <c r="CH2424" s="43"/>
      <c r="DD2424" s="53"/>
      <c r="DE2424" s="51"/>
      <c r="DJ2424" s="52"/>
      <c r="DK2424" s="52"/>
      <c r="DL2424" s="52"/>
    </row>
    <row r="2425" spans="39:116">
      <c r="AM2425" s="53"/>
      <c r="AT2425" s="43"/>
      <c r="AV2425" s="53"/>
      <c r="CH2425" s="43"/>
      <c r="DD2425" s="53"/>
      <c r="DE2425" s="51"/>
      <c r="DJ2425" s="52"/>
      <c r="DK2425" s="52"/>
      <c r="DL2425" s="52"/>
    </row>
    <row r="2426" spans="39:116">
      <c r="AM2426" s="53"/>
      <c r="AT2426" s="43"/>
      <c r="AV2426" s="53"/>
      <c r="CH2426" s="43"/>
      <c r="DD2426" s="53"/>
      <c r="DE2426" s="51"/>
      <c r="DJ2426" s="52"/>
      <c r="DK2426" s="52"/>
      <c r="DL2426" s="52"/>
    </row>
    <row r="2427" spans="39:116">
      <c r="AM2427" s="53"/>
      <c r="AT2427" s="43"/>
      <c r="AV2427" s="53"/>
      <c r="CH2427" s="43"/>
      <c r="DD2427" s="53"/>
      <c r="DE2427" s="51"/>
      <c r="DJ2427" s="52"/>
      <c r="DK2427" s="52"/>
      <c r="DL2427" s="52"/>
    </row>
    <row r="2428" spans="39:116">
      <c r="AM2428" s="53"/>
      <c r="AT2428" s="43"/>
      <c r="AV2428" s="53"/>
      <c r="CH2428" s="43"/>
      <c r="DD2428" s="53"/>
      <c r="DE2428" s="51"/>
      <c r="DJ2428" s="52"/>
      <c r="DK2428" s="52"/>
      <c r="DL2428" s="52"/>
    </row>
    <row r="2429" spans="39:116">
      <c r="AM2429" s="53"/>
      <c r="AT2429" s="43"/>
      <c r="AV2429" s="53"/>
      <c r="CH2429" s="43"/>
      <c r="DD2429" s="53"/>
      <c r="DE2429" s="51"/>
      <c r="DJ2429" s="52"/>
      <c r="DK2429" s="52"/>
      <c r="DL2429" s="52"/>
    </row>
    <row r="2430" spans="39:116">
      <c r="AM2430" s="53"/>
      <c r="AT2430" s="43"/>
      <c r="AV2430" s="53"/>
      <c r="CH2430" s="43"/>
      <c r="DD2430" s="53"/>
      <c r="DE2430" s="51"/>
      <c r="DJ2430" s="52"/>
      <c r="DK2430" s="52"/>
      <c r="DL2430" s="52"/>
    </row>
    <row r="2431" spans="39:116">
      <c r="AM2431" s="53"/>
      <c r="AT2431" s="43"/>
      <c r="AV2431" s="53"/>
      <c r="CH2431" s="43"/>
      <c r="DD2431" s="53"/>
      <c r="DE2431" s="51"/>
      <c r="DJ2431" s="52"/>
      <c r="DK2431" s="52"/>
      <c r="DL2431" s="52"/>
    </row>
    <row r="2432" spans="39:116">
      <c r="AM2432" s="53"/>
      <c r="AT2432" s="43"/>
      <c r="AV2432" s="53"/>
      <c r="CH2432" s="43"/>
      <c r="DD2432" s="53"/>
      <c r="DE2432" s="51"/>
      <c r="DJ2432" s="52"/>
      <c r="DK2432" s="52"/>
      <c r="DL2432" s="52"/>
    </row>
    <row r="2433" spans="39:116">
      <c r="AM2433" s="53"/>
      <c r="AT2433" s="43"/>
      <c r="AV2433" s="53"/>
      <c r="CH2433" s="43"/>
      <c r="DD2433" s="53"/>
      <c r="DE2433" s="51"/>
      <c r="DJ2433" s="52"/>
      <c r="DK2433" s="52"/>
      <c r="DL2433" s="52"/>
    </row>
    <row r="2434" spans="39:116">
      <c r="AM2434" s="53"/>
      <c r="AT2434" s="43"/>
      <c r="AV2434" s="53"/>
      <c r="CH2434" s="43"/>
      <c r="DD2434" s="53"/>
      <c r="DE2434" s="51"/>
      <c r="DJ2434" s="52"/>
      <c r="DK2434" s="52"/>
      <c r="DL2434" s="52"/>
    </row>
    <row r="2435" spans="39:116">
      <c r="AM2435" s="53"/>
      <c r="AT2435" s="43"/>
      <c r="AV2435" s="53"/>
      <c r="CH2435" s="43"/>
      <c r="DD2435" s="53"/>
      <c r="DE2435" s="51"/>
      <c r="DJ2435" s="52"/>
      <c r="DK2435" s="52"/>
      <c r="DL2435" s="52"/>
    </row>
    <row r="2436" spans="39:116">
      <c r="AM2436" s="53"/>
      <c r="AT2436" s="43"/>
      <c r="AV2436" s="53"/>
      <c r="CH2436" s="43"/>
      <c r="DD2436" s="53"/>
      <c r="DE2436" s="51"/>
      <c r="DJ2436" s="52"/>
      <c r="DK2436" s="52"/>
      <c r="DL2436" s="52"/>
    </row>
    <row r="2437" spans="39:116">
      <c r="AM2437" s="53"/>
      <c r="AT2437" s="43"/>
      <c r="AV2437" s="53"/>
      <c r="CH2437" s="43"/>
      <c r="DD2437" s="53"/>
      <c r="DE2437" s="51"/>
      <c r="DJ2437" s="52"/>
      <c r="DK2437" s="52"/>
      <c r="DL2437" s="52"/>
    </row>
    <row r="2438" spans="39:116">
      <c r="AM2438" s="53"/>
      <c r="AT2438" s="43"/>
      <c r="AV2438" s="53"/>
      <c r="CH2438" s="43"/>
      <c r="DD2438" s="53"/>
      <c r="DE2438" s="51"/>
      <c r="DJ2438" s="52"/>
      <c r="DK2438" s="52"/>
      <c r="DL2438" s="52"/>
    </row>
    <row r="2439" spans="39:116">
      <c r="AM2439" s="53"/>
      <c r="AT2439" s="43"/>
      <c r="AV2439" s="53"/>
      <c r="CH2439" s="43"/>
      <c r="DD2439" s="53"/>
      <c r="DE2439" s="51"/>
      <c r="DJ2439" s="52"/>
      <c r="DK2439" s="52"/>
      <c r="DL2439" s="52"/>
    </row>
    <row r="2440" spans="39:116">
      <c r="AM2440" s="53"/>
      <c r="AT2440" s="43"/>
      <c r="AV2440" s="53"/>
      <c r="CH2440" s="43"/>
      <c r="DD2440" s="53"/>
      <c r="DE2440" s="51"/>
      <c r="DJ2440" s="52"/>
      <c r="DK2440" s="52"/>
      <c r="DL2440" s="52"/>
    </row>
    <row r="2441" spans="39:116">
      <c r="AM2441" s="53"/>
      <c r="AT2441" s="43"/>
      <c r="AV2441" s="53"/>
      <c r="CH2441" s="43"/>
      <c r="DD2441" s="53"/>
      <c r="DE2441" s="51"/>
      <c r="DJ2441" s="52"/>
      <c r="DK2441" s="52"/>
      <c r="DL2441" s="52"/>
    </row>
    <row r="2442" spans="39:116">
      <c r="AM2442" s="53"/>
      <c r="AT2442" s="43"/>
      <c r="AV2442" s="53"/>
      <c r="CH2442" s="43"/>
      <c r="DD2442" s="53"/>
      <c r="DE2442" s="51"/>
      <c r="DJ2442" s="52"/>
      <c r="DK2442" s="52"/>
      <c r="DL2442" s="52"/>
    </row>
    <row r="2443" spans="39:116">
      <c r="AM2443" s="53"/>
      <c r="AT2443" s="43"/>
      <c r="AV2443" s="53"/>
      <c r="CH2443" s="43"/>
      <c r="DD2443" s="53"/>
      <c r="DE2443" s="51"/>
      <c r="DJ2443" s="52"/>
      <c r="DK2443" s="52"/>
      <c r="DL2443" s="52"/>
    </row>
    <row r="2444" spans="39:116">
      <c r="AM2444" s="53"/>
      <c r="AT2444" s="43"/>
      <c r="AV2444" s="53"/>
      <c r="CH2444" s="43"/>
      <c r="DD2444" s="53"/>
      <c r="DE2444" s="51"/>
      <c r="DJ2444" s="52"/>
      <c r="DK2444" s="52"/>
      <c r="DL2444" s="52"/>
    </row>
    <row r="2445" spans="39:116">
      <c r="AM2445" s="53"/>
      <c r="AT2445" s="43"/>
      <c r="AV2445" s="53"/>
      <c r="CH2445" s="43"/>
      <c r="DD2445" s="53"/>
      <c r="DE2445" s="51"/>
      <c r="DJ2445" s="52"/>
      <c r="DK2445" s="52"/>
      <c r="DL2445" s="52"/>
    </row>
    <row r="2446" spans="39:116">
      <c r="AM2446" s="53"/>
      <c r="AT2446" s="43"/>
      <c r="AV2446" s="53"/>
      <c r="CH2446" s="43"/>
      <c r="DD2446" s="53"/>
      <c r="DE2446" s="51"/>
      <c r="DJ2446" s="52"/>
      <c r="DK2446" s="52"/>
      <c r="DL2446" s="52"/>
    </row>
    <row r="2447" spans="39:116">
      <c r="AM2447" s="53"/>
      <c r="AT2447" s="43"/>
      <c r="AV2447" s="53"/>
      <c r="CH2447" s="43"/>
      <c r="DD2447" s="53"/>
      <c r="DE2447" s="51"/>
      <c r="DJ2447" s="52"/>
      <c r="DK2447" s="52"/>
      <c r="DL2447" s="52"/>
    </row>
    <row r="2448" spans="39:116">
      <c r="AM2448" s="53"/>
      <c r="AT2448" s="43"/>
      <c r="AV2448" s="53"/>
      <c r="CH2448" s="43"/>
      <c r="DD2448" s="53"/>
      <c r="DE2448" s="51"/>
      <c r="DJ2448" s="52"/>
      <c r="DK2448" s="52"/>
      <c r="DL2448" s="52"/>
    </row>
    <row r="2449" spans="39:116">
      <c r="AM2449" s="53"/>
      <c r="AT2449" s="43"/>
      <c r="AV2449" s="53"/>
      <c r="CH2449" s="43"/>
      <c r="DD2449" s="53"/>
      <c r="DE2449" s="51"/>
      <c r="DJ2449" s="52"/>
      <c r="DK2449" s="52"/>
      <c r="DL2449" s="52"/>
    </row>
    <row r="2450" spans="39:116">
      <c r="AM2450" s="53"/>
      <c r="AT2450" s="43"/>
      <c r="AV2450" s="53"/>
      <c r="CH2450" s="43"/>
      <c r="DD2450" s="53"/>
      <c r="DE2450" s="51"/>
      <c r="DJ2450" s="52"/>
      <c r="DK2450" s="52"/>
      <c r="DL2450" s="52"/>
    </row>
    <row r="2451" spans="39:116">
      <c r="AM2451" s="53"/>
      <c r="AT2451" s="43"/>
      <c r="AV2451" s="53"/>
      <c r="CH2451" s="43"/>
      <c r="DD2451" s="53"/>
      <c r="DE2451" s="51"/>
      <c r="DJ2451" s="52"/>
      <c r="DK2451" s="52"/>
      <c r="DL2451" s="52"/>
    </row>
    <row r="2452" spans="39:116">
      <c r="AM2452" s="53"/>
      <c r="AT2452" s="43"/>
      <c r="AV2452" s="53"/>
      <c r="CH2452" s="43"/>
      <c r="DD2452" s="53"/>
      <c r="DE2452" s="51"/>
      <c r="DJ2452" s="52"/>
      <c r="DK2452" s="52"/>
      <c r="DL2452" s="52"/>
    </row>
    <row r="2453" spans="39:116">
      <c r="AM2453" s="53"/>
      <c r="AT2453" s="43"/>
      <c r="AV2453" s="53"/>
      <c r="CH2453" s="43"/>
      <c r="DD2453" s="53"/>
      <c r="DE2453" s="51"/>
      <c r="DJ2453" s="52"/>
      <c r="DK2453" s="52"/>
      <c r="DL2453" s="52"/>
    </row>
    <row r="2454" spans="39:116">
      <c r="AM2454" s="53"/>
      <c r="AT2454" s="43"/>
      <c r="AV2454" s="53"/>
      <c r="CH2454" s="43"/>
      <c r="DD2454" s="53"/>
      <c r="DE2454" s="51"/>
      <c r="DJ2454" s="52"/>
      <c r="DK2454" s="52"/>
      <c r="DL2454" s="52"/>
    </row>
    <row r="2455" spans="39:116">
      <c r="AM2455" s="53"/>
      <c r="AT2455" s="43"/>
      <c r="AV2455" s="53"/>
      <c r="CH2455" s="43"/>
      <c r="DD2455" s="53"/>
      <c r="DE2455" s="51"/>
      <c r="DJ2455" s="52"/>
      <c r="DK2455" s="52"/>
      <c r="DL2455" s="52"/>
    </row>
    <row r="2456" spans="39:116">
      <c r="AM2456" s="53"/>
      <c r="AT2456" s="43"/>
      <c r="AV2456" s="53"/>
      <c r="CH2456" s="43"/>
      <c r="DD2456" s="53"/>
      <c r="DE2456" s="51"/>
      <c r="DJ2456" s="52"/>
      <c r="DK2456" s="52"/>
      <c r="DL2456" s="52"/>
    </row>
    <row r="2457" spans="39:116">
      <c r="AM2457" s="53"/>
      <c r="AT2457" s="43"/>
      <c r="AV2457" s="53"/>
      <c r="CH2457" s="43"/>
      <c r="DD2457" s="53"/>
      <c r="DE2457" s="51"/>
      <c r="DJ2457" s="52"/>
      <c r="DK2457" s="52"/>
      <c r="DL2457" s="52"/>
    </row>
    <row r="2458" spans="39:116">
      <c r="AM2458" s="53"/>
      <c r="AT2458" s="43"/>
      <c r="AV2458" s="53"/>
      <c r="CH2458" s="43"/>
      <c r="DD2458" s="53"/>
      <c r="DE2458" s="51"/>
      <c r="DJ2458" s="52"/>
      <c r="DK2458" s="52"/>
      <c r="DL2458" s="52"/>
    </row>
    <row r="2459" spans="39:116">
      <c r="AM2459" s="53"/>
      <c r="AT2459" s="43"/>
      <c r="AV2459" s="53"/>
      <c r="CH2459" s="43"/>
      <c r="DD2459" s="53"/>
      <c r="DE2459" s="51"/>
      <c r="DJ2459" s="52"/>
      <c r="DK2459" s="52"/>
      <c r="DL2459" s="52"/>
    </row>
    <row r="2460" spans="39:116">
      <c r="AM2460" s="53"/>
      <c r="AT2460" s="43"/>
      <c r="AV2460" s="53"/>
      <c r="CH2460" s="43"/>
      <c r="DD2460" s="53"/>
      <c r="DE2460" s="51"/>
      <c r="DJ2460" s="52"/>
      <c r="DK2460" s="52"/>
      <c r="DL2460" s="52"/>
    </row>
    <row r="2461" spans="39:116">
      <c r="AM2461" s="53"/>
      <c r="AT2461" s="43"/>
      <c r="AV2461" s="53"/>
      <c r="CH2461" s="43"/>
      <c r="DD2461" s="53"/>
      <c r="DE2461" s="51"/>
      <c r="DJ2461" s="52"/>
      <c r="DK2461" s="52"/>
      <c r="DL2461" s="52"/>
    </row>
    <row r="2462" spans="39:116">
      <c r="AM2462" s="53"/>
      <c r="AT2462" s="43"/>
      <c r="AV2462" s="53"/>
      <c r="CH2462" s="43"/>
      <c r="DD2462" s="53"/>
      <c r="DE2462" s="51"/>
      <c r="DJ2462" s="52"/>
      <c r="DK2462" s="52"/>
      <c r="DL2462" s="52"/>
    </row>
    <row r="2463" spans="39:116">
      <c r="AM2463" s="53"/>
      <c r="AT2463" s="43"/>
      <c r="AV2463" s="53"/>
      <c r="CH2463" s="43"/>
      <c r="DD2463" s="53"/>
      <c r="DE2463" s="51"/>
      <c r="DJ2463" s="52"/>
      <c r="DK2463" s="52"/>
      <c r="DL2463" s="52"/>
    </row>
    <row r="2464" spans="39:116">
      <c r="AM2464" s="53"/>
      <c r="AT2464" s="43"/>
      <c r="AV2464" s="53"/>
      <c r="CH2464" s="43"/>
      <c r="DD2464" s="53"/>
      <c r="DE2464" s="51"/>
      <c r="DJ2464" s="52"/>
      <c r="DK2464" s="52"/>
      <c r="DL2464" s="52"/>
    </row>
    <row r="2465" spans="39:116">
      <c r="AM2465" s="53"/>
      <c r="AT2465" s="43"/>
      <c r="AV2465" s="53"/>
      <c r="CH2465" s="43"/>
      <c r="DD2465" s="53"/>
      <c r="DE2465" s="51"/>
      <c r="DJ2465" s="52"/>
      <c r="DK2465" s="52"/>
      <c r="DL2465" s="52"/>
    </row>
    <row r="2466" spans="39:116">
      <c r="AM2466" s="53"/>
      <c r="AT2466" s="43"/>
      <c r="AV2466" s="53"/>
      <c r="CH2466" s="43"/>
      <c r="DD2466" s="53"/>
      <c r="DE2466" s="51"/>
      <c r="DJ2466" s="52"/>
      <c r="DK2466" s="52"/>
      <c r="DL2466" s="52"/>
    </row>
    <row r="2467" spans="39:116">
      <c r="AM2467" s="53"/>
      <c r="AT2467" s="43"/>
      <c r="AV2467" s="53"/>
      <c r="CH2467" s="43"/>
      <c r="DD2467" s="53"/>
      <c r="DE2467" s="51"/>
      <c r="DJ2467" s="52"/>
      <c r="DK2467" s="52"/>
      <c r="DL2467" s="52"/>
    </row>
    <row r="2468" spans="39:116">
      <c r="AM2468" s="53"/>
      <c r="AT2468" s="43"/>
      <c r="AV2468" s="53"/>
      <c r="CH2468" s="43"/>
      <c r="DD2468" s="53"/>
      <c r="DE2468" s="51"/>
      <c r="DJ2468" s="52"/>
      <c r="DK2468" s="52"/>
      <c r="DL2468" s="52"/>
    </row>
    <row r="2469" spans="39:116">
      <c r="AM2469" s="53"/>
      <c r="AT2469" s="43"/>
      <c r="AV2469" s="53"/>
      <c r="CH2469" s="43"/>
      <c r="DD2469" s="53"/>
      <c r="DE2469" s="51"/>
      <c r="DJ2469" s="52"/>
      <c r="DK2469" s="52"/>
      <c r="DL2469" s="52"/>
    </row>
    <row r="2470" spans="39:116">
      <c r="AM2470" s="53"/>
      <c r="AT2470" s="43"/>
      <c r="AV2470" s="53"/>
      <c r="CH2470" s="43"/>
      <c r="DD2470" s="53"/>
      <c r="DE2470" s="51"/>
      <c r="DJ2470" s="52"/>
      <c r="DK2470" s="52"/>
      <c r="DL2470" s="52"/>
    </row>
    <row r="2471" spans="39:116">
      <c r="AM2471" s="53"/>
      <c r="AT2471" s="43"/>
      <c r="AV2471" s="53"/>
      <c r="CH2471" s="43"/>
      <c r="DD2471" s="53"/>
      <c r="DE2471" s="51"/>
      <c r="DJ2471" s="52"/>
      <c r="DK2471" s="52"/>
      <c r="DL2471" s="52"/>
    </row>
    <row r="2472" spans="39:116">
      <c r="AM2472" s="53"/>
      <c r="AT2472" s="43"/>
      <c r="AV2472" s="53"/>
      <c r="CH2472" s="43"/>
      <c r="DD2472" s="53"/>
      <c r="DE2472" s="51"/>
      <c r="DJ2472" s="52"/>
      <c r="DK2472" s="52"/>
      <c r="DL2472" s="52"/>
    </row>
    <row r="2473" spans="39:116">
      <c r="AM2473" s="53"/>
      <c r="AT2473" s="43"/>
      <c r="AV2473" s="53"/>
      <c r="CH2473" s="43"/>
      <c r="DD2473" s="53"/>
      <c r="DE2473" s="51"/>
      <c r="DJ2473" s="52"/>
      <c r="DK2473" s="52"/>
      <c r="DL2473" s="52"/>
    </row>
    <row r="2474" spans="39:116">
      <c r="AM2474" s="53"/>
      <c r="AT2474" s="43"/>
      <c r="AV2474" s="53"/>
      <c r="CH2474" s="43"/>
      <c r="DD2474" s="53"/>
      <c r="DE2474" s="51"/>
      <c r="DJ2474" s="52"/>
      <c r="DK2474" s="52"/>
      <c r="DL2474" s="52"/>
    </row>
    <row r="2475" spans="39:116">
      <c r="AM2475" s="53"/>
      <c r="AT2475" s="43"/>
      <c r="AV2475" s="53"/>
      <c r="CH2475" s="43"/>
      <c r="DD2475" s="53"/>
      <c r="DE2475" s="51"/>
      <c r="DJ2475" s="52"/>
      <c r="DK2475" s="52"/>
      <c r="DL2475" s="52"/>
    </row>
    <row r="2476" spans="39:116">
      <c r="AM2476" s="53"/>
      <c r="AT2476" s="43"/>
      <c r="AV2476" s="53"/>
      <c r="CH2476" s="43"/>
      <c r="DD2476" s="53"/>
      <c r="DE2476" s="51"/>
      <c r="DJ2476" s="52"/>
      <c r="DK2476" s="52"/>
      <c r="DL2476" s="52"/>
    </row>
    <row r="2477" spans="39:116">
      <c r="AM2477" s="53"/>
      <c r="AT2477" s="43"/>
      <c r="AV2477" s="53"/>
      <c r="CH2477" s="43"/>
      <c r="DD2477" s="53"/>
      <c r="DE2477" s="51"/>
      <c r="DJ2477" s="52"/>
      <c r="DK2477" s="52"/>
      <c r="DL2477" s="52"/>
    </row>
    <row r="2478" spans="39:116">
      <c r="AM2478" s="53"/>
      <c r="AT2478" s="43"/>
      <c r="AV2478" s="53"/>
      <c r="CH2478" s="43"/>
      <c r="DD2478" s="53"/>
      <c r="DE2478" s="51"/>
      <c r="DJ2478" s="52"/>
      <c r="DK2478" s="52"/>
      <c r="DL2478" s="52"/>
    </row>
    <row r="2479" spans="39:116">
      <c r="AM2479" s="53"/>
      <c r="AT2479" s="43"/>
      <c r="AV2479" s="53"/>
      <c r="CH2479" s="43"/>
      <c r="DD2479" s="53"/>
      <c r="DE2479" s="51"/>
      <c r="DJ2479" s="52"/>
      <c r="DK2479" s="52"/>
      <c r="DL2479" s="52"/>
    </row>
    <row r="2480" spans="39:116">
      <c r="AM2480" s="53"/>
      <c r="AT2480" s="43"/>
      <c r="AV2480" s="53"/>
      <c r="CH2480" s="43"/>
      <c r="DD2480" s="53"/>
      <c r="DE2480" s="51"/>
      <c r="DJ2480" s="52"/>
      <c r="DK2480" s="52"/>
      <c r="DL2480" s="52"/>
    </row>
    <row r="2481" spans="39:116">
      <c r="AM2481" s="53"/>
      <c r="AT2481" s="43"/>
      <c r="AV2481" s="53"/>
      <c r="CH2481" s="43"/>
      <c r="DD2481" s="53"/>
      <c r="DE2481" s="51"/>
      <c r="DJ2481" s="52"/>
      <c r="DK2481" s="52"/>
      <c r="DL2481" s="52"/>
    </row>
    <row r="2482" spans="39:116">
      <c r="AM2482" s="53"/>
      <c r="AT2482" s="43"/>
      <c r="AV2482" s="53"/>
      <c r="CH2482" s="43"/>
      <c r="DD2482" s="53"/>
      <c r="DE2482" s="51"/>
      <c r="DJ2482" s="52"/>
      <c r="DK2482" s="52"/>
      <c r="DL2482" s="52"/>
    </row>
    <row r="2483" spans="39:116">
      <c r="AM2483" s="53"/>
      <c r="AT2483" s="43"/>
      <c r="AV2483" s="53"/>
      <c r="CH2483" s="43"/>
      <c r="DD2483" s="53"/>
      <c r="DE2483" s="51"/>
      <c r="DJ2483" s="52"/>
      <c r="DK2483" s="52"/>
      <c r="DL2483" s="52"/>
    </row>
    <row r="2484" spans="39:116">
      <c r="AM2484" s="53"/>
      <c r="AT2484" s="43"/>
      <c r="AV2484" s="53"/>
      <c r="CH2484" s="43"/>
      <c r="DD2484" s="53"/>
      <c r="DE2484" s="51"/>
      <c r="DJ2484" s="52"/>
      <c r="DK2484" s="52"/>
      <c r="DL2484" s="52"/>
    </row>
    <row r="2485" spans="39:116">
      <c r="AM2485" s="53"/>
      <c r="AT2485" s="43"/>
      <c r="AV2485" s="53"/>
      <c r="CH2485" s="43"/>
      <c r="DD2485" s="53"/>
      <c r="DE2485" s="51"/>
      <c r="DJ2485" s="52"/>
      <c r="DK2485" s="52"/>
      <c r="DL2485" s="52"/>
    </row>
    <row r="2486" spans="39:116">
      <c r="AM2486" s="53"/>
      <c r="AT2486" s="43"/>
      <c r="AV2486" s="53"/>
      <c r="CH2486" s="43"/>
      <c r="DD2486" s="53"/>
      <c r="DE2486" s="51"/>
      <c r="DJ2486" s="52"/>
      <c r="DK2486" s="52"/>
      <c r="DL2486" s="52"/>
    </row>
    <row r="2487" spans="39:116">
      <c r="AM2487" s="53"/>
      <c r="AT2487" s="43"/>
      <c r="AV2487" s="53"/>
      <c r="CH2487" s="43"/>
      <c r="DD2487" s="53"/>
      <c r="DE2487" s="51"/>
      <c r="DJ2487" s="52"/>
      <c r="DK2487" s="52"/>
      <c r="DL2487" s="52"/>
    </row>
    <row r="2488" spans="39:116">
      <c r="AM2488" s="53"/>
      <c r="AT2488" s="43"/>
      <c r="AV2488" s="53"/>
      <c r="CH2488" s="43"/>
      <c r="DD2488" s="53"/>
      <c r="DE2488" s="51"/>
      <c r="DJ2488" s="52"/>
      <c r="DK2488" s="52"/>
      <c r="DL2488" s="52"/>
    </row>
    <row r="2489" spans="39:116">
      <c r="AM2489" s="53"/>
      <c r="AT2489" s="43"/>
      <c r="AV2489" s="53"/>
      <c r="CH2489" s="43"/>
      <c r="DD2489" s="53"/>
      <c r="DE2489" s="51"/>
      <c r="DJ2489" s="52"/>
      <c r="DK2489" s="52"/>
      <c r="DL2489" s="52"/>
    </row>
    <row r="2490" spans="39:116">
      <c r="AM2490" s="53"/>
      <c r="AT2490" s="43"/>
      <c r="AV2490" s="53"/>
      <c r="CH2490" s="43"/>
      <c r="DD2490" s="53"/>
      <c r="DE2490" s="51"/>
      <c r="DJ2490" s="52"/>
      <c r="DK2490" s="52"/>
      <c r="DL2490" s="52"/>
    </row>
    <row r="2491" spans="39:116">
      <c r="AM2491" s="53"/>
      <c r="AT2491" s="43"/>
      <c r="AV2491" s="53"/>
      <c r="CH2491" s="43"/>
      <c r="DD2491" s="53"/>
      <c r="DE2491" s="51"/>
      <c r="DJ2491" s="52"/>
      <c r="DK2491" s="52"/>
      <c r="DL2491" s="52"/>
    </row>
    <row r="2492" spans="39:116">
      <c r="AM2492" s="53"/>
      <c r="AT2492" s="43"/>
      <c r="AV2492" s="53"/>
      <c r="CH2492" s="43"/>
      <c r="DD2492" s="53"/>
      <c r="DE2492" s="51"/>
      <c r="DJ2492" s="52"/>
      <c r="DK2492" s="52"/>
      <c r="DL2492" s="52"/>
    </row>
    <row r="2493" spans="39:116">
      <c r="AM2493" s="53"/>
      <c r="AT2493" s="43"/>
      <c r="AV2493" s="53"/>
      <c r="CH2493" s="43"/>
      <c r="DD2493" s="53"/>
      <c r="DE2493" s="51"/>
      <c r="DJ2493" s="52"/>
      <c r="DK2493" s="52"/>
      <c r="DL2493" s="52"/>
    </row>
    <row r="2494" spans="39:116">
      <c r="AM2494" s="53"/>
      <c r="AT2494" s="43"/>
      <c r="AV2494" s="53"/>
      <c r="CH2494" s="43"/>
      <c r="DD2494" s="53"/>
      <c r="DE2494" s="51"/>
      <c r="DJ2494" s="52"/>
      <c r="DK2494" s="52"/>
      <c r="DL2494" s="52"/>
    </row>
    <row r="2495" spans="39:116">
      <c r="AM2495" s="53"/>
      <c r="AT2495" s="43"/>
      <c r="AV2495" s="53"/>
      <c r="CH2495" s="43"/>
      <c r="DD2495" s="53"/>
      <c r="DE2495" s="51"/>
      <c r="DJ2495" s="52"/>
      <c r="DK2495" s="52"/>
      <c r="DL2495" s="52"/>
    </row>
    <row r="2496" spans="39:116">
      <c r="AM2496" s="53"/>
      <c r="AT2496" s="43"/>
      <c r="AV2496" s="53"/>
      <c r="CH2496" s="43"/>
      <c r="DD2496" s="53"/>
      <c r="DE2496" s="51"/>
      <c r="DJ2496" s="52"/>
      <c r="DK2496" s="52"/>
      <c r="DL2496" s="52"/>
    </row>
    <row r="2497" spans="39:116">
      <c r="AM2497" s="53"/>
      <c r="AT2497" s="43"/>
      <c r="AV2497" s="53"/>
      <c r="CH2497" s="43"/>
      <c r="DD2497" s="53"/>
      <c r="DE2497" s="51"/>
      <c r="DJ2497" s="52"/>
      <c r="DK2497" s="52"/>
      <c r="DL2497" s="52"/>
    </row>
    <row r="2498" spans="39:116">
      <c r="AM2498" s="53"/>
      <c r="AT2498" s="43"/>
      <c r="AV2498" s="53"/>
      <c r="CH2498" s="43"/>
      <c r="DD2498" s="53"/>
      <c r="DE2498" s="51"/>
      <c r="DJ2498" s="52"/>
      <c r="DK2498" s="52"/>
      <c r="DL2498" s="52"/>
    </row>
    <row r="2499" spans="39:116">
      <c r="AM2499" s="53"/>
      <c r="AT2499" s="43"/>
      <c r="AV2499" s="53"/>
      <c r="CH2499" s="43"/>
      <c r="DD2499" s="53"/>
      <c r="DE2499" s="51"/>
      <c r="DJ2499" s="52"/>
      <c r="DK2499" s="52"/>
      <c r="DL2499" s="52"/>
    </row>
    <row r="2500" spans="39:116">
      <c r="AM2500" s="53"/>
      <c r="AT2500" s="43"/>
      <c r="AV2500" s="53"/>
      <c r="CH2500" s="43"/>
      <c r="DD2500" s="53"/>
      <c r="DE2500" s="51"/>
      <c r="DJ2500" s="52"/>
      <c r="DK2500" s="52"/>
      <c r="DL2500" s="52"/>
    </row>
    <row r="2501" spans="39:116">
      <c r="AM2501" s="53"/>
      <c r="AT2501" s="43"/>
      <c r="AV2501" s="53"/>
      <c r="CH2501" s="43"/>
      <c r="DD2501" s="53"/>
      <c r="DE2501" s="51"/>
      <c r="DJ2501" s="52"/>
      <c r="DK2501" s="52"/>
      <c r="DL2501" s="52"/>
    </row>
    <row r="2502" spans="39:116">
      <c r="AM2502" s="53"/>
      <c r="AT2502" s="43"/>
      <c r="AV2502" s="53"/>
      <c r="CH2502" s="43"/>
      <c r="DD2502" s="53"/>
      <c r="DE2502" s="51"/>
      <c r="DJ2502" s="52"/>
      <c r="DK2502" s="52"/>
      <c r="DL2502" s="52"/>
    </row>
    <row r="2503" spans="39:116">
      <c r="AM2503" s="53"/>
      <c r="AT2503" s="43"/>
      <c r="AV2503" s="53"/>
      <c r="CH2503" s="43"/>
      <c r="DD2503" s="53"/>
      <c r="DE2503" s="51"/>
      <c r="DJ2503" s="52"/>
      <c r="DK2503" s="52"/>
      <c r="DL2503" s="52"/>
    </row>
    <row r="2504" spans="39:116">
      <c r="AM2504" s="53"/>
      <c r="AT2504" s="43"/>
      <c r="AV2504" s="53"/>
      <c r="CH2504" s="43"/>
      <c r="DD2504" s="53"/>
      <c r="DE2504" s="51"/>
      <c r="DJ2504" s="52"/>
      <c r="DK2504" s="52"/>
      <c r="DL2504" s="52"/>
    </row>
    <row r="2505" spans="39:116">
      <c r="AM2505" s="53"/>
      <c r="AT2505" s="43"/>
      <c r="AV2505" s="53"/>
      <c r="CH2505" s="43"/>
      <c r="DD2505" s="53"/>
      <c r="DE2505" s="51"/>
      <c r="DJ2505" s="52"/>
      <c r="DK2505" s="52"/>
      <c r="DL2505" s="52"/>
    </row>
    <row r="2506" spans="39:116">
      <c r="AM2506" s="53"/>
      <c r="AT2506" s="43"/>
      <c r="AV2506" s="53"/>
      <c r="CH2506" s="43"/>
      <c r="DD2506" s="53"/>
      <c r="DE2506" s="51"/>
      <c r="DJ2506" s="52"/>
      <c r="DK2506" s="52"/>
      <c r="DL2506" s="52"/>
    </row>
    <row r="2507" spans="39:116">
      <c r="AM2507" s="53"/>
      <c r="AT2507" s="43"/>
      <c r="AV2507" s="53"/>
      <c r="CH2507" s="43"/>
      <c r="DD2507" s="53"/>
      <c r="DE2507" s="51"/>
      <c r="DJ2507" s="52"/>
      <c r="DK2507" s="52"/>
      <c r="DL2507" s="52"/>
    </row>
    <row r="2508" spans="39:116">
      <c r="AM2508" s="53"/>
      <c r="AT2508" s="43"/>
      <c r="AV2508" s="53"/>
      <c r="CH2508" s="43"/>
      <c r="DD2508" s="53"/>
      <c r="DE2508" s="51"/>
      <c r="DJ2508" s="52"/>
      <c r="DK2508" s="52"/>
      <c r="DL2508" s="52"/>
    </row>
    <row r="2509" spans="39:116">
      <c r="AM2509" s="53"/>
      <c r="AT2509" s="43"/>
      <c r="AV2509" s="53"/>
      <c r="CH2509" s="43"/>
      <c r="DD2509" s="53"/>
      <c r="DE2509" s="51"/>
      <c r="DJ2509" s="52"/>
      <c r="DK2509" s="52"/>
      <c r="DL2509" s="52"/>
    </row>
    <row r="2510" spans="39:116">
      <c r="AM2510" s="53"/>
      <c r="AT2510" s="43"/>
      <c r="AV2510" s="53"/>
      <c r="CH2510" s="43"/>
      <c r="DD2510" s="53"/>
      <c r="DE2510" s="51"/>
      <c r="DJ2510" s="52"/>
      <c r="DK2510" s="52"/>
      <c r="DL2510" s="52"/>
    </row>
    <row r="2511" spans="39:116">
      <c r="AM2511" s="53"/>
      <c r="AT2511" s="43"/>
      <c r="AV2511" s="53"/>
      <c r="CH2511" s="43"/>
      <c r="DD2511" s="53"/>
      <c r="DE2511" s="51"/>
      <c r="DJ2511" s="52"/>
      <c r="DK2511" s="52"/>
      <c r="DL2511" s="52"/>
    </row>
    <row r="2512" spans="39:116">
      <c r="AM2512" s="53"/>
      <c r="AT2512" s="43"/>
      <c r="AV2512" s="53"/>
      <c r="CH2512" s="43"/>
      <c r="DD2512" s="53"/>
      <c r="DE2512" s="51"/>
      <c r="DJ2512" s="52"/>
      <c r="DK2512" s="52"/>
      <c r="DL2512" s="52"/>
    </row>
    <row r="2513" spans="39:116">
      <c r="AM2513" s="53"/>
      <c r="AT2513" s="43"/>
      <c r="AV2513" s="53"/>
      <c r="CH2513" s="43"/>
      <c r="DD2513" s="53"/>
      <c r="DE2513" s="51"/>
      <c r="DJ2513" s="52"/>
      <c r="DK2513" s="52"/>
      <c r="DL2513" s="52"/>
    </row>
    <row r="2514" spans="39:116">
      <c r="AM2514" s="53"/>
      <c r="AT2514" s="43"/>
      <c r="AV2514" s="53"/>
      <c r="CH2514" s="43"/>
      <c r="DD2514" s="53"/>
      <c r="DE2514" s="51"/>
      <c r="DJ2514" s="52"/>
      <c r="DK2514" s="52"/>
      <c r="DL2514" s="52"/>
    </row>
    <row r="2515" spans="39:116">
      <c r="AM2515" s="53"/>
      <c r="AT2515" s="43"/>
      <c r="AV2515" s="53"/>
      <c r="CH2515" s="43"/>
      <c r="DD2515" s="53"/>
      <c r="DE2515" s="51"/>
      <c r="DJ2515" s="52"/>
      <c r="DK2515" s="52"/>
      <c r="DL2515" s="52"/>
    </row>
    <row r="2516" spans="39:116">
      <c r="AM2516" s="53"/>
      <c r="AT2516" s="43"/>
      <c r="AV2516" s="53"/>
      <c r="CH2516" s="43"/>
      <c r="DD2516" s="53"/>
      <c r="DE2516" s="51"/>
      <c r="DJ2516" s="52"/>
      <c r="DK2516" s="52"/>
      <c r="DL2516" s="52"/>
    </row>
    <row r="2517" spans="39:116">
      <c r="AM2517" s="53"/>
      <c r="AT2517" s="43"/>
      <c r="AV2517" s="53"/>
      <c r="CH2517" s="43"/>
      <c r="DD2517" s="53"/>
      <c r="DE2517" s="51"/>
      <c r="DJ2517" s="52"/>
      <c r="DK2517" s="52"/>
      <c r="DL2517" s="52"/>
    </row>
    <row r="2518" spans="39:116">
      <c r="AM2518" s="53"/>
      <c r="AT2518" s="43"/>
      <c r="AV2518" s="53"/>
      <c r="CH2518" s="43"/>
      <c r="DD2518" s="53"/>
      <c r="DE2518" s="51"/>
      <c r="DJ2518" s="52"/>
      <c r="DK2518" s="52"/>
      <c r="DL2518" s="52"/>
    </row>
    <row r="2519" spans="39:116">
      <c r="AM2519" s="53"/>
      <c r="AT2519" s="43"/>
      <c r="AV2519" s="53"/>
      <c r="CH2519" s="43"/>
      <c r="DD2519" s="53"/>
      <c r="DE2519" s="51"/>
      <c r="DJ2519" s="52"/>
      <c r="DK2519" s="52"/>
      <c r="DL2519" s="52"/>
    </row>
    <row r="2520" spans="39:116">
      <c r="AM2520" s="53"/>
      <c r="AT2520" s="43"/>
      <c r="AV2520" s="53"/>
      <c r="CH2520" s="43"/>
      <c r="DD2520" s="53"/>
      <c r="DE2520" s="51"/>
      <c r="DJ2520" s="52"/>
      <c r="DK2520" s="52"/>
      <c r="DL2520" s="52"/>
    </row>
    <row r="2521" spans="39:116">
      <c r="AM2521" s="53"/>
      <c r="AT2521" s="43"/>
      <c r="AV2521" s="53"/>
      <c r="CH2521" s="43"/>
      <c r="DD2521" s="53"/>
      <c r="DE2521" s="51"/>
      <c r="DJ2521" s="52"/>
      <c r="DK2521" s="52"/>
      <c r="DL2521" s="52"/>
    </row>
    <row r="2522" spans="39:116">
      <c r="AM2522" s="53"/>
      <c r="AT2522" s="43"/>
      <c r="AV2522" s="53"/>
      <c r="CH2522" s="43"/>
      <c r="DD2522" s="53"/>
      <c r="DE2522" s="51"/>
      <c r="DJ2522" s="52"/>
      <c r="DK2522" s="52"/>
      <c r="DL2522" s="52"/>
    </row>
    <row r="2523" spans="39:116">
      <c r="AM2523" s="53"/>
      <c r="AT2523" s="43"/>
      <c r="AV2523" s="53"/>
      <c r="CH2523" s="43"/>
      <c r="DD2523" s="53"/>
      <c r="DE2523" s="51"/>
      <c r="DJ2523" s="52"/>
      <c r="DK2523" s="52"/>
      <c r="DL2523" s="52"/>
    </row>
    <row r="2524" spans="39:116">
      <c r="AM2524" s="53"/>
      <c r="AT2524" s="43"/>
      <c r="AV2524" s="53"/>
      <c r="CH2524" s="43"/>
      <c r="DD2524" s="53"/>
      <c r="DE2524" s="51"/>
      <c r="DJ2524" s="52"/>
      <c r="DK2524" s="52"/>
      <c r="DL2524" s="52"/>
    </row>
    <row r="2525" spans="39:116">
      <c r="AM2525" s="53"/>
      <c r="AT2525" s="43"/>
      <c r="AV2525" s="53"/>
      <c r="CH2525" s="43"/>
      <c r="DD2525" s="53"/>
      <c r="DE2525" s="51"/>
      <c r="DJ2525" s="52"/>
      <c r="DK2525" s="52"/>
      <c r="DL2525" s="52"/>
    </row>
    <row r="2526" spans="39:116">
      <c r="AM2526" s="53"/>
      <c r="AT2526" s="43"/>
      <c r="AV2526" s="53"/>
      <c r="CH2526" s="43"/>
      <c r="DD2526" s="53"/>
      <c r="DE2526" s="51"/>
      <c r="DJ2526" s="52"/>
      <c r="DK2526" s="52"/>
      <c r="DL2526" s="52"/>
    </row>
    <row r="2527" spans="39:116">
      <c r="AM2527" s="53"/>
      <c r="AT2527" s="43"/>
      <c r="AV2527" s="53"/>
      <c r="CH2527" s="43"/>
      <c r="DD2527" s="53"/>
      <c r="DE2527" s="51"/>
      <c r="DJ2527" s="52"/>
      <c r="DK2527" s="52"/>
      <c r="DL2527" s="52"/>
    </row>
    <row r="2528" spans="39:116">
      <c r="AM2528" s="53"/>
      <c r="AT2528" s="43"/>
      <c r="AV2528" s="53"/>
      <c r="CH2528" s="43"/>
      <c r="DD2528" s="53"/>
      <c r="DE2528" s="51"/>
      <c r="DJ2528" s="52"/>
      <c r="DK2528" s="52"/>
      <c r="DL2528" s="52"/>
    </row>
    <row r="2529" spans="39:116">
      <c r="AM2529" s="53"/>
      <c r="AT2529" s="43"/>
      <c r="AV2529" s="53"/>
      <c r="CH2529" s="43"/>
      <c r="DD2529" s="53"/>
      <c r="DE2529" s="51"/>
      <c r="DJ2529" s="52"/>
      <c r="DK2529" s="52"/>
      <c r="DL2529" s="52"/>
    </row>
    <row r="2530" spans="39:116">
      <c r="AM2530" s="53"/>
      <c r="AT2530" s="43"/>
      <c r="AV2530" s="53"/>
      <c r="CH2530" s="43"/>
      <c r="DD2530" s="53"/>
      <c r="DE2530" s="51"/>
      <c r="DJ2530" s="52"/>
      <c r="DK2530" s="52"/>
      <c r="DL2530" s="52"/>
    </row>
    <row r="2531" spans="39:116">
      <c r="AM2531" s="53"/>
      <c r="AT2531" s="43"/>
      <c r="AV2531" s="53"/>
      <c r="CH2531" s="43"/>
      <c r="DD2531" s="53"/>
      <c r="DE2531" s="51"/>
      <c r="DJ2531" s="52"/>
      <c r="DK2531" s="52"/>
      <c r="DL2531" s="52"/>
    </row>
    <row r="2532" spans="39:116">
      <c r="AM2532" s="53"/>
      <c r="AT2532" s="43"/>
      <c r="AV2532" s="53"/>
      <c r="CH2532" s="43"/>
      <c r="DD2532" s="53"/>
      <c r="DE2532" s="51"/>
      <c r="DJ2532" s="52"/>
      <c r="DK2532" s="52"/>
      <c r="DL2532" s="52"/>
    </row>
    <row r="2533" spans="39:116">
      <c r="AM2533" s="53"/>
      <c r="AT2533" s="43"/>
      <c r="AV2533" s="53"/>
      <c r="CH2533" s="43"/>
      <c r="DD2533" s="53"/>
      <c r="DE2533" s="51"/>
      <c r="DJ2533" s="52"/>
      <c r="DK2533" s="52"/>
      <c r="DL2533" s="52"/>
    </row>
    <row r="2534" spans="39:116">
      <c r="AM2534" s="53"/>
      <c r="AT2534" s="43"/>
      <c r="AV2534" s="53"/>
      <c r="CH2534" s="43"/>
      <c r="DD2534" s="53"/>
      <c r="DE2534" s="51"/>
      <c r="DJ2534" s="52"/>
      <c r="DK2534" s="52"/>
      <c r="DL2534" s="52"/>
    </row>
    <row r="2535" spans="39:116">
      <c r="AM2535" s="53"/>
      <c r="AT2535" s="43"/>
      <c r="AV2535" s="53"/>
      <c r="CH2535" s="43"/>
      <c r="DD2535" s="53"/>
      <c r="DE2535" s="51"/>
      <c r="DJ2535" s="52"/>
      <c r="DK2535" s="52"/>
      <c r="DL2535" s="52"/>
    </row>
    <row r="2536" spans="39:116">
      <c r="AM2536" s="53"/>
      <c r="AT2536" s="43"/>
      <c r="AV2536" s="53"/>
      <c r="CH2536" s="43"/>
      <c r="DD2536" s="53"/>
      <c r="DE2536" s="51"/>
      <c r="DJ2536" s="52"/>
      <c r="DK2536" s="52"/>
      <c r="DL2536" s="52"/>
    </row>
    <row r="2537" spans="39:116">
      <c r="AM2537" s="53"/>
      <c r="AT2537" s="43"/>
      <c r="AV2537" s="53"/>
      <c r="CH2537" s="43"/>
      <c r="DD2537" s="53"/>
      <c r="DE2537" s="51"/>
      <c r="DJ2537" s="52"/>
      <c r="DK2537" s="52"/>
      <c r="DL2537" s="52"/>
    </row>
    <row r="2538" spans="39:116">
      <c r="AM2538" s="53"/>
      <c r="AT2538" s="43"/>
      <c r="AV2538" s="53"/>
      <c r="CH2538" s="43"/>
      <c r="DD2538" s="53"/>
      <c r="DE2538" s="51"/>
      <c r="DJ2538" s="52"/>
      <c r="DK2538" s="52"/>
      <c r="DL2538" s="52"/>
    </row>
    <row r="2539" spans="39:116">
      <c r="AM2539" s="53"/>
      <c r="AT2539" s="43"/>
      <c r="AV2539" s="53"/>
      <c r="CH2539" s="43"/>
      <c r="DD2539" s="53"/>
      <c r="DE2539" s="51"/>
      <c r="DJ2539" s="52"/>
      <c r="DK2539" s="52"/>
      <c r="DL2539" s="52"/>
    </row>
    <row r="2540" spans="39:116">
      <c r="AM2540" s="53"/>
      <c r="AT2540" s="43"/>
      <c r="AV2540" s="53"/>
      <c r="CH2540" s="43"/>
      <c r="DD2540" s="53"/>
      <c r="DE2540" s="51"/>
      <c r="DJ2540" s="52"/>
      <c r="DK2540" s="52"/>
      <c r="DL2540" s="52"/>
    </row>
    <row r="2541" spans="39:116">
      <c r="AM2541" s="53"/>
      <c r="AT2541" s="43"/>
      <c r="AV2541" s="53"/>
      <c r="CH2541" s="43"/>
      <c r="DD2541" s="53"/>
      <c r="DE2541" s="51"/>
      <c r="DJ2541" s="52"/>
      <c r="DK2541" s="52"/>
      <c r="DL2541" s="52"/>
    </row>
    <row r="2542" spans="39:116">
      <c r="AM2542" s="53"/>
      <c r="AT2542" s="43"/>
      <c r="AV2542" s="53"/>
      <c r="CH2542" s="43"/>
      <c r="DD2542" s="53"/>
      <c r="DE2542" s="51"/>
      <c r="DJ2542" s="52"/>
      <c r="DK2542" s="52"/>
      <c r="DL2542" s="52"/>
    </row>
    <row r="2543" spans="39:116">
      <c r="AM2543" s="53"/>
      <c r="AT2543" s="43"/>
      <c r="AV2543" s="53"/>
      <c r="CH2543" s="43"/>
      <c r="DD2543" s="53"/>
      <c r="DE2543" s="51"/>
      <c r="DJ2543" s="52"/>
      <c r="DK2543" s="52"/>
      <c r="DL2543" s="52"/>
    </row>
    <row r="2544" spans="39:116">
      <c r="AM2544" s="53"/>
      <c r="AT2544" s="43"/>
      <c r="AV2544" s="53"/>
      <c r="CH2544" s="43"/>
      <c r="DD2544" s="53"/>
      <c r="DE2544" s="51"/>
      <c r="DJ2544" s="52"/>
      <c r="DK2544" s="52"/>
      <c r="DL2544" s="52"/>
    </row>
    <row r="2545" spans="39:116">
      <c r="AM2545" s="53"/>
      <c r="AT2545" s="43"/>
      <c r="AV2545" s="53"/>
      <c r="CH2545" s="43"/>
      <c r="DD2545" s="53"/>
      <c r="DE2545" s="51"/>
      <c r="DJ2545" s="52"/>
      <c r="DK2545" s="52"/>
      <c r="DL2545" s="52"/>
    </row>
    <row r="2546" spans="39:116">
      <c r="AM2546" s="53"/>
      <c r="AT2546" s="43"/>
      <c r="AV2546" s="53"/>
      <c r="CH2546" s="43"/>
      <c r="DD2546" s="53"/>
      <c r="DE2546" s="51"/>
      <c r="DJ2546" s="52"/>
      <c r="DK2546" s="52"/>
      <c r="DL2546" s="52"/>
    </row>
    <row r="2547" spans="39:116">
      <c r="AM2547" s="53"/>
      <c r="AT2547" s="43"/>
      <c r="AV2547" s="53"/>
      <c r="CH2547" s="43"/>
      <c r="DD2547" s="53"/>
      <c r="DE2547" s="51"/>
      <c r="DJ2547" s="52"/>
      <c r="DK2547" s="52"/>
      <c r="DL2547" s="52"/>
    </row>
    <row r="2548" spans="39:116">
      <c r="AM2548" s="53"/>
      <c r="AT2548" s="43"/>
      <c r="AV2548" s="53"/>
      <c r="CH2548" s="43"/>
      <c r="DD2548" s="53"/>
      <c r="DE2548" s="51"/>
      <c r="DJ2548" s="52"/>
      <c r="DK2548" s="52"/>
      <c r="DL2548" s="52"/>
    </row>
    <row r="2549" spans="39:116">
      <c r="AM2549" s="53"/>
      <c r="AT2549" s="43"/>
      <c r="AV2549" s="53"/>
      <c r="CH2549" s="43"/>
      <c r="DD2549" s="53"/>
      <c r="DE2549" s="51"/>
      <c r="DJ2549" s="52"/>
      <c r="DK2549" s="52"/>
      <c r="DL2549" s="52"/>
    </row>
    <row r="2550" spans="39:116">
      <c r="AM2550" s="53"/>
      <c r="AT2550" s="43"/>
      <c r="AV2550" s="53"/>
      <c r="CH2550" s="43"/>
      <c r="DD2550" s="53"/>
      <c r="DE2550" s="51"/>
      <c r="DJ2550" s="52"/>
      <c r="DK2550" s="52"/>
      <c r="DL2550" s="52"/>
    </row>
    <row r="2551" spans="39:116">
      <c r="AM2551" s="53"/>
      <c r="AT2551" s="43"/>
      <c r="AV2551" s="53"/>
      <c r="CH2551" s="43"/>
      <c r="DD2551" s="53"/>
      <c r="DE2551" s="51"/>
      <c r="DJ2551" s="52"/>
      <c r="DK2551" s="52"/>
      <c r="DL2551" s="52"/>
    </row>
    <row r="2552" spans="39:116">
      <c r="AM2552" s="53"/>
      <c r="AT2552" s="43"/>
      <c r="AV2552" s="53"/>
      <c r="CH2552" s="43"/>
      <c r="DD2552" s="53"/>
      <c r="DE2552" s="51"/>
      <c r="DJ2552" s="52"/>
      <c r="DK2552" s="52"/>
      <c r="DL2552" s="52"/>
    </row>
    <row r="2553" spans="39:116">
      <c r="AM2553" s="53"/>
      <c r="AT2553" s="43"/>
      <c r="AV2553" s="53"/>
      <c r="CH2553" s="43"/>
      <c r="DD2553" s="53"/>
      <c r="DE2553" s="51"/>
      <c r="DJ2553" s="52"/>
      <c r="DK2553" s="52"/>
      <c r="DL2553" s="52"/>
    </row>
    <row r="2554" spans="39:116">
      <c r="AM2554" s="53"/>
      <c r="AT2554" s="43"/>
      <c r="AV2554" s="53"/>
      <c r="CH2554" s="43"/>
      <c r="DD2554" s="53"/>
      <c r="DE2554" s="51"/>
      <c r="DJ2554" s="52"/>
      <c r="DK2554" s="52"/>
      <c r="DL2554" s="52"/>
    </row>
    <row r="2555" spans="39:116">
      <c r="AM2555" s="53"/>
      <c r="AT2555" s="43"/>
      <c r="AV2555" s="53"/>
      <c r="CH2555" s="43"/>
      <c r="DD2555" s="53"/>
      <c r="DE2555" s="51"/>
      <c r="DJ2555" s="52"/>
      <c r="DK2555" s="52"/>
      <c r="DL2555" s="52"/>
    </row>
    <row r="2556" spans="39:116">
      <c r="AM2556" s="53"/>
      <c r="AT2556" s="43"/>
      <c r="AV2556" s="53"/>
      <c r="CH2556" s="43"/>
      <c r="DD2556" s="53"/>
      <c r="DE2556" s="51"/>
      <c r="DJ2556" s="52"/>
      <c r="DK2556" s="52"/>
      <c r="DL2556" s="52"/>
    </row>
    <row r="2557" spans="39:116">
      <c r="AM2557" s="53"/>
      <c r="AT2557" s="43"/>
      <c r="AV2557" s="53"/>
      <c r="CH2557" s="43"/>
      <c r="DD2557" s="53"/>
      <c r="DE2557" s="51"/>
      <c r="DJ2557" s="52"/>
      <c r="DK2557" s="52"/>
      <c r="DL2557" s="52"/>
    </row>
    <row r="2558" spans="39:116">
      <c r="AM2558" s="53"/>
      <c r="AT2558" s="43"/>
      <c r="AV2558" s="53"/>
      <c r="CH2558" s="43"/>
      <c r="DD2558" s="53"/>
      <c r="DE2558" s="51"/>
      <c r="DJ2558" s="52"/>
      <c r="DK2558" s="52"/>
      <c r="DL2558" s="52"/>
    </row>
    <row r="2559" spans="39:116">
      <c r="AM2559" s="53"/>
      <c r="AT2559" s="43"/>
      <c r="AV2559" s="53"/>
      <c r="CH2559" s="43"/>
      <c r="DD2559" s="53"/>
      <c r="DE2559" s="51"/>
      <c r="DJ2559" s="52"/>
      <c r="DK2559" s="52"/>
      <c r="DL2559" s="52"/>
    </row>
    <row r="2560" spans="39:116">
      <c r="AM2560" s="53"/>
      <c r="AT2560" s="43"/>
      <c r="AV2560" s="53"/>
      <c r="CH2560" s="43"/>
      <c r="DD2560" s="53"/>
      <c r="DE2560" s="51"/>
      <c r="DJ2560" s="52"/>
      <c r="DK2560" s="52"/>
      <c r="DL2560" s="52"/>
    </row>
    <row r="2561" spans="39:116">
      <c r="AM2561" s="53"/>
      <c r="AT2561" s="43"/>
      <c r="AV2561" s="53"/>
      <c r="CH2561" s="43"/>
      <c r="DD2561" s="53"/>
      <c r="DE2561" s="51"/>
      <c r="DJ2561" s="52"/>
      <c r="DK2561" s="52"/>
      <c r="DL2561" s="52"/>
    </row>
    <row r="2562" spans="39:116">
      <c r="AM2562" s="53"/>
      <c r="AT2562" s="43"/>
      <c r="AV2562" s="53"/>
      <c r="CH2562" s="43"/>
      <c r="DD2562" s="53"/>
      <c r="DE2562" s="51"/>
      <c r="DJ2562" s="52"/>
      <c r="DK2562" s="52"/>
      <c r="DL2562" s="52"/>
    </row>
    <row r="2563" spans="39:116">
      <c r="AM2563" s="53"/>
      <c r="AT2563" s="43"/>
      <c r="AV2563" s="53"/>
      <c r="CH2563" s="43"/>
      <c r="DD2563" s="53"/>
      <c r="DE2563" s="51"/>
      <c r="DJ2563" s="52"/>
      <c r="DK2563" s="52"/>
      <c r="DL2563" s="52"/>
    </row>
    <row r="2564" spans="39:116">
      <c r="AM2564" s="53"/>
      <c r="AT2564" s="43"/>
      <c r="AV2564" s="53"/>
      <c r="CH2564" s="43"/>
      <c r="DD2564" s="53"/>
      <c r="DE2564" s="51"/>
      <c r="DJ2564" s="52"/>
      <c r="DK2564" s="52"/>
      <c r="DL2564" s="52"/>
    </row>
    <row r="2565" spans="39:116">
      <c r="AM2565" s="53"/>
      <c r="AT2565" s="43"/>
      <c r="AV2565" s="53"/>
      <c r="CH2565" s="43"/>
      <c r="DD2565" s="53"/>
      <c r="DE2565" s="51"/>
      <c r="DJ2565" s="52"/>
      <c r="DK2565" s="52"/>
      <c r="DL2565" s="52"/>
    </row>
    <row r="2566" spans="39:116">
      <c r="AM2566" s="53"/>
      <c r="AT2566" s="43"/>
      <c r="AV2566" s="53"/>
      <c r="CH2566" s="43"/>
      <c r="DD2566" s="53"/>
      <c r="DE2566" s="51"/>
      <c r="DJ2566" s="52"/>
      <c r="DK2566" s="52"/>
      <c r="DL2566" s="52"/>
    </row>
    <row r="2567" spans="39:116">
      <c r="AM2567" s="53"/>
      <c r="AT2567" s="43"/>
      <c r="AV2567" s="53"/>
      <c r="CH2567" s="43"/>
      <c r="DD2567" s="53"/>
      <c r="DE2567" s="51"/>
      <c r="DJ2567" s="52"/>
      <c r="DK2567" s="52"/>
      <c r="DL2567" s="52"/>
    </row>
    <row r="2568" spans="39:116">
      <c r="AM2568" s="53"/>
      <c r="AT2568" s="43"/>
      <c r="AV2568" s="53"/>
      <c r="CH2568" s="43"/>
      <c r="DD2568" s="53"/>
      <c r="DE2568" s="51"/>
      <c r="DJ2568" s="52"/>
      <c r="DK2568" s="52"/>
      <c r="DL2568" s="52"/>
    </row>
    <row r="2569" spans="39:116">
      <c r="AM2569" s="53"/>
      <c r="AT2569" s="43"/>
      <c r="AV2569" s="53"/>
      <c r="CH2569" s="43"/>
      <c r="DD2569" s="53"/>
      <c r="DE2569" s="51"/>
      <c r="DJ2569" s="52"/>
      <c r="DK2569" s="52"/>
      <c r="DL2569" s="52"/>
    </row>
    <row r="2570" spans="39:116">
      <c r="AM2570" s="53"/>
      <c r="AT2570" s="43"/>
      <c r="AV2570" s="53"/>
      <c r="CH2570" s="43"/>
      <c r="DD2570" s="53"/>
      <c r="DE2570" s="51"/>
      <c r="DJ2570" s="52"/>
      <c r="DK2570" s="52"/>
      <c r="DL2570" s="52"/>
    </row>
    <row r="2571" spans="39:116">
      <c r="AM2571" s="53"/>
      <c r="AT2571" s="43"/>
      <c r="AV2571" s="53"/>
      <c r="CH2571" s="43"/>
      <c r="DD2571" s="53"/>
      <c r="DE2571" s="51"/>
      <c r="DJ2571" s="52"/>
      <c r="DK2571" s="52"/>
      <c r="DL2571" s="52"/>
    </row>
    <row r="2572" spans="39:116">
      <c r="AM2572" s="53"/>
      <c r="AT2572" s="43"/>
      <c r="AV2572" s="53"/>
      <c r="CH2572" s="43"/>
      <c r="DD2572" s="53"/>
      <c r="DE2572" s="51"/>
      <c r="DJ2572" s="52"/>
      <c r="DK2572" s="52"/>
      <c r="DL2572" s="52"/>
    </row>
    <row r="2573" spans="39:116">
      <c r="AM2573" s="53"/>
      <c r="AT2573" s="43"/>
      <c r="AV2573" s="53"/>
      <c r="CH2573" s="43"/>
      <c r="DD2573" s="53"/>
      <c r="DE2573" s="51"/>
      <c r="DJ2573" s="52"/>
      <c r="DK2573" s="52"/>
      <c r="DL2573" s="52"/>
    </row>
    <row r="2574" spans="39:116">
      <c r="AM2574" s="53"/>
      <c r="AT2574" s="43"/>
      <c r="AV2574" s="53"/>
      <c r="CH2574" s="43"/>
      <c r="DD2574" s="53"/>
      <c r="DE2574" s="51"/>
      <c r="DJ2574" s="52"/>
      <c r="DK2574" s="52"/>
      <c r="DL2574" s="52"/>
    </row>
    <row r="2575" spans="39:116">
      <c r="AM2575" s="53"/>
      <c r="AT2575" s="43"/>
      <c r="AV2575" s="53"/>
      <c r="CH2575" s="43"/>
      <c r="DD2575" s="53"/>
      <c r="DE2575" s="51"/>
      <c r="DJ2575" s="52"/>
      <c r="DK2575" s="52"/>
      <c r="DL2575" s="52"/>
    </row>
    <row r="2576" spans="39:116">
      <c r="AM2576" s="53"/>
      <c r="AT2576" s="43"/>
      <c r="AV2576" s="53"/>
      <c r="CH2576" s="43"/>
      <c r="DD2576" s="53"/>
      <c r="DE2576" s="51"/>
      <c r="DJ2576" s="52"/>
      <c r="DK2576" s="52"/>
      <c r="DL2576" s="52"/>
    </row>
    <row r="2577" spans="39:116">
      <c r="AM2577" s="53"/>
      <c r="AT2577" s="43"/>
      <c r="AV2577" s="53"/>
      <c r="CH2577" s="43"/>
      <c r="DD2577" s="53"/>
      <c r="DE2577" s="51"/>
      <c r="DJ2577" s="52"/>
      <c r="DK2577" s="52"/>
      <c r="DL2577" s="52"/>
    </row>
    <row r="2578" spans="39:116">
      <c r="AM2578" s="53"/>
      <c r="AT2578" s="43"/>
      <c r="AV2578" s="53"/>
      <c r="CH2578" s="43"/>
      <c r="DD2578" s="53"/>
      <c r="DE2578" s="51"/>
      <c r="DJ2578" s="52"/>
      <c r="DK2578" s="52"/>
      <c r="DL2578" s="52"/>
    </row>
    <row r="2579" spans="39:116">
      <c r="AM2579" s="53"/>
      <c r="AT2579" s="43"/>
      <c r="AV2579" s="53"/>
      <c r="CH2579" s="43"/>
      <c r="DD2579" s="53"/>
      <c r="DE2579" s="51"/>
      <c r="DJ2579" s="52"/>
      <c r="DK2579" s="52"/>
      <c r="DL2579" s="52"/>
    </row>
    <row r="2580" spans="39:116">
      <c r="AM2580" s="53"/>
      <c r="AT2580" s="43"/>
      <c r="AV2580" s="53"/>
      <c r="CH2580" s="43"/>
      <c r="DD2580" s="53"/>
      <c r="DE2580" s="51"/>
      <c r="DJ2580" s="52"/>
      <c r="DK2580" s="52"/>
      <c r="DL2580" s="52"/>
    </row>
    <row r="2581" spans="39:116">
      <c r="AM2581" s="53"/>
      <c r="AT2581" s="43"/>
      <c r="AV2581" s="53"/>
      <c r="CH2581" s="43"/>
      <c r="DD2581" s="53"/>
      <c r="DE2581" s="51"/>
      <c r="DJ2581" s="52"/>
      <c r="DK2581" s="52"/>
      <c r="DL2581" s="52"/>
    </row>
    <row r="2582" spans="39:116">
      <c r="AM2582" s="53"/>
      <c r="AT2582" s="43"/>
      <c r="AV2582" s="53"/>
      <c r="CH2582" s="43"/>
      <c r="DD2582" s="53"/>
      <c r="DE2582" s="51"/>
      <c r="DJ2582" s="52"/>
      <c r="DK2582" s="52"/>
      <c r="DL2582" s="52"/>
    </row>
    <row r="2583" spans="39:116">
      <c r="AM2583" s="53"/>
      <c r="AT2583" s="43"/>
      <c r="AV2583" s="53"/>
      <c r="CH2583" s="43"/>
      <c r="DD2583" s="53"/>
      <c r="DE2583" s="51"/>
      <c r="DJ2583" s="52"/>
      <c r="DK2583" s="52"/>
      <c r="DL2583" s="52"/>
    </row>
    <row r="2584" spans="39:116">
      <c r="AM2584" s="53"/>
      <c r="AT2584" s="43"/>
      <c r="AV2584" s="53"/>
      <c r="CH2584" s="43"/>
      <c r="DD2584" s="53"/>
      <c r="DE2584" s="51"/>
      <c r="DJ2584" s="52"/>
      <c r="DK2584" s="52"/>
      <c r="DL2584" s="52"/>
    </row>
    <row r="2585" spans="39:116">
      <c r="AM2585" s="53"/>
      <c r="AT2585" s="43"/>
      <c r="AV2585" s="53"/>
      <c r="CH2585" s="43"/>
      <c r="DD2585" s="53"/>
      <c r="DE2585" s="51"/>
      <c r="DJ2585" s="52"/>
      <c r="DK2585" s="52"/>
      <c r="DL2585" s="52"/>
    </row>
    <row r="2586" spans="39:116">
      <c r="AM2586" s="53"/>
      <c r="AT2586" s="43"/>
      <c r="AV2586" s="53"/>
      <c r="CH2586" s="43"/>
      <c r="DD2586" s="53"/>
      <c r="DE2586" s="51"/>
      <c r="DJ2586" s="52"/>
      <c r="DK2586" s="52"/>
      <c r="DL2586" s="52"/>
    </row>
    <row r="2587" spans="39:116">
      <c r="AM2587" s="53"/>
      <c r="AT2587" s="43"/>
      <c r="AV2587" s="53"/>
      <c r="CH2587" s="43"/>
      <c r="DD2587" s="53"/>
      <c r="DE2587" s="51"/>
      <c r="DJ2587" s="52"/>
      <c r="DK2587" s="52"/>
      <c r="DL2587" s="52"/>
    </row>
    <row r="2588" spans="39:116">
      <c r="AM2588" s="53"/>
      <c r="AT2588" s="43"/>
      <c r="AV2588" s="53"/>
      <c r="CH2588" s="43"/>
      <c r="DD2588" s="53"/>
      <c r="DE2588" s="51"/>
      <c r="DJ2588" s="52"/>
      <c r="DK2588" s="52"/>
      <c r="DL2588" s="52"/>
    </row>
    <row r="2589" spans="39:116">
      <c r="AM2589" s="53"/>
      <c r="AT2589" s="43"/>
      <c r="AV2589" s="53"/>
      <c r="CH2589" s="43"/>
      <c r="DD2589" s="53"/>
      <c r="DE2589" s="51"/>
      <c r="DJ2589" s="52"/>
      <c r="DK2589" s="52"/>
      <c r="DL2589" s="52"/>
    </row>
    <row r="2590" spans="39:116">
      <c r="AM2590" s="53"/>
      <c r="AT2590" s="43"/>
      <c r="AV2590" s="53"/>
      <c r="CH2590" s="43"/>
      <c r="DD2590" s="53"/>
      <c r="DE2590" s="51"/>
      <c r="DJ2590" s="52"/>
      <c r="DK2590" s="52"/>
      <c r="DL2590" s="52"/>
    </row>
    <row r="2591" spans="39:116">
      <c r="AM2591" s="53"/>
      <c r="AT2591" s="43"/>
      <c r="AV2591" s="53"/>
      <c r="CH2591" s="43"/>
      <c r="DD2591" s="53"/>
      <c r="DE2591" s="51"/>
      <c r="DJ2591" s="52"/>
      <c r="DK2591" s="52"/>
      <c r="DL2591" s="52"/>
    </row>
    <row r="2592" spans="39:116">
      <c r="AM2592" s="53"/>
      <c r="AT2592" s="43"/>
      <c r="AV2592" s="53"/>
      <c r="CH2592" s="43"/>
      <c r="DD2592" s="53"/>
      <c r="DE2592" s="51"/>
      <c r="DJ2592" s="52"/>
      <c r="DK2592" s="52"/>
      <c r="DL2592" s="52"/>
    </row>
    <row r="2593" spans="39:116">
      <c r="AM2593" s="53"/>
      <c r="AT2593" s="43"/>
      <c r="AV2593" s="53"/>
      <c r="CH2593" s="43"/>
      <c r="DD2593" s="53"/>
      <c r="DE2593" s="51"/>
      <c r="DJ2593" s="52"/>
      <c r="DK2593" s="52"/>
      <c r="DL2593" s="52"/>
    </row>
    <row r="2594" spans="39:116">
      <c r="AM2594" s="53"/>
      <c r="AT2594" s="43"/>
      <c r="AV2594" s="53"/>
      <c r="CH2594" s="43"/>
      <c r="DD2594" s="53"/>
      <c r="DE2594" s="51"/>
      <c r="DJ2594" s="52"/>
      <c r="DK2594" s="52"/>
      <c r="DL2594" s="52"/>
    </row>
    <row r="2595" spans="39:116">
      <c r="AM2595" s="53"/>
      <c r="AT2595" s="43"/>
      <c r="AV2595" s="53"/>
      <c r="CH2595" s="43"/>
      <c r="DD2595" s="53"/>
      <c r="DE2595" s="51"/>
      <c r="DJ2595" s="52"/>
      <c r="DK2595" s="52"/>
      <c r="DL2595" s="52"/>
    </row>
    <row r="2596" spans="39:116">
      <c r="AM2596" s="53"/>
      <c r="AT2596" s="43"/>
      <c r="AV2596" s="53"/>
      <c r="CH2596" s="43"/>
      <c r="DD2596" s="53"/>
      <c r="DE2596" s="51"/>
      <c r="DJ2596" s="52"/>
      <c r="DK2596" s="52"/>
      <c r="DL2596" s="52"/>
    </row>
    <row r="2597" spans="39:116">
      <c r="AM2597" s="53"/>
      <c r="AT2597" s="43"/>
      <c r="AV2597" s="53"/>
      <c r="CH2597" s="43"/>
      <c r="DD2597" s="53"/>
      <c r="DE2597" s="51"/>
      <c r="DJ2597" s="52"/>
      <c r="DK2597" s="52"/>
      <c r="DL2597" s="52"/>
    </row>
    <row r="2598" spans="39:116">
      <c r="AM2598" s="53"/>
      <c r="AT2598" s="43"/>
      <c r="AV2598" s="53"/>
      <c r="CH2598" s="43"/>
      <c r="DD2598" s="53"/>
      <c r="DE2598" s="51"/>
      <c r="DJ2598" s="52"/>
      <c r="DK2598" s="52"/>
      <c r="DL2598" s="52"/>
    </row>
    <row r="2599" spans="39:116">
      <c r="AM2599" s="53"/>
      <c r="AT2599" s="43"/>
      <c r="AV2599" s="53"/>
      <c r="CH2599" s="43"/>
      <c r="DD2599" s="53"/>
      <c r="DE2599" s="51"/>
      <c r="DJ2599" s="52"/>
      <c r="DK2599" s="52"/>
      <c r="DL2599" s="52"/>
    </row>
    <row r="2600" spans="39:116">
      <c r="AM2600" s="53"/>
      <c r="AT2600" s="43"/>
      <c r="AV2600" s="53"/>
      <c r="CH2600" s="43"/>
      <c r="DD2600" s="53"/>
      <c r="DE2600" s="51"/>
      <c r="DJ2600" s="52"/>
      <c r="DK2600" s="52"/>
      <c r="DL2600" s="52"/>
    </row>
    <row r="2601" spans="39:116">
      <c r="AM2601" s="53"/>
      <c r="AT2601" s="43"/>
      <c r="AV2601" s="53"/>
      <c r="CH2601" s="43"/>
      <c r="DD2601" s="53"/>
      <c r="DE2601" s="51"/>
      <c r="DJ2601" s="52"/>
      <c r="DK2601" s="52"/>
      <c r="DL2601" s="52"/>
    </row>
    <row r="2602" spans="39:116">
      <c r="AM2602" s="53"/>
      <c r="AT2602" s="43"/>
      <c r="AV2602" s="53"/>
      <c r="CH2602" s="43"/>
      <c r="DD2602" s="53"/>
      <c r="DE2602" s="51"/>
      <c r="DJ2602" s="52"/>
      <c r="DK2602" s="52"/>
      <c r="DL2602" s="52"/>
    </row>
    <row r="2603" spans="39:116">
      <c r="AM2603" s="53"/>
      <c r="AT2603" s="43"/>
      <c r="AV2603" s="53"/>
      <c r="CH2603" s="43"/>
      <c r="DD2603" s="53"/>
      <c r="DE2603" s="51"/>
      <c r="DJ2603" s="52"/>
      <c r="DK2603" s="52"/>
      <c r="DL2603" s="52"/>
    </row>
    <row r="2604" spans="39:116">
      <c r="AM2604" s="53"/>
      <c r="AT2604" s="43"/>
      <c r="AV2604" s="53"/>
      <c r="CH2604" s="43"/>
      <c r="DD2604" s="53"/>
      <c r="DE2604" s="51"/>
      <c r="DJ2604" s="52"/>
      <c r="DK2604" s="52"/>
      <c r="DL2604" s="52"/>
    </row>
    <row r="2605" spans="39:116">
      <c r="AM2605" s="53"/>
      <c r="AT2605" s="43"/>
      <c r="AV2605" s="53"/>
      <c r="CH2605" s="43"/>
      <c r="DD2605" s="53"/>
      <c r="DE2605" s="51"/>
      <c r="DJ2605" s="52"/>
      <c r="DK2605" s="52"/>
      <c r="DL2605" s="52"/>
    </row>
    <row r="2606" spans="39:116">
      <c r="AM2606" s="53"/>
      <c r="AT2606" s="43"/>
      <c r="AV2606" s="53"/>
      <c r="CH2606" s="43"/>
      <c r="DD2606" s="53"/>
      <c r="DE2606" s="51"/>
      <c r="DJ2606" s="52"/>
      <c r="DK2606" s="52"/>
      <c r="DL2606" s="52"/>
    </row>
    <row r="2607" spans="39:116">
      <c r="AM2607" s="53"/>
      <c r="AT2607" s="43"/>
      <c r="AV2607" s="53"/>
      <c r="CH2607" s="43"/>
      <c r="DD2607" s="53"/>
      <c r="DE2607" s="51"/>
      <c r="DJ2607" s="52"/>
      <c r="DK2607" s="52"/>
      <c r="DL2607" s="52"/>
    </row>
    <row r="2608" spans="39:116">
      <c r="AM2608" s="53"/>
      <c r="AT2608" s="43"/>
      <c r="AV2608" s="53"/>
      <c r="CH2608" s="43"/>
      <c r="DD2608" s="53"/>
      <c r="DE2608" s="51"/>
      <c r="DJ2608" s="52"/>
      <c r="DK2608" s="52"/>
      <c r="DL2608" s="52"/>
    </row>
    <row r="2609" spans="39:116">
      <c r="AM2609" s="53"/>
      <c r="AT2609" s="43"/>
      <c r="AV2609" s="53"/>
      <c r="CH2609" s="43"/>
      <c r="DD2609" s="53"/>
      <c r="DE2609" s="51"/>
      <c r="DJ2609" s="52"/>
      <c r="DK2609" s="52"/>
      <c r="DL2609" s="52"/>
    </row>
    <row r="2610" spans="39:116">
      <c r="AM2610" s="53"/>
      <c r="AT2610" s="43"/>
      <c r="AV2610" s="53"/>
      <c r="CH2610" s="43"/>
      <c r="DD2610" s="53"/>
      <c r="DE2610" s="51"/>
      <c r="DJ2610" s="52"/>
      <c r="DK2610" s="52"/>
      <c r="DL2610" s="52"/>
    </row>
    <row r="2611" spans="39:116">
      <c r="AM2611" s="53"/>
      <c r="AT2611" s="43"/>
      <c r="AV2611" s="53"/>
      <c r="CH2611" s="43"/>
      <c r="DD2611" s="53"/>
      <c r="DE2611" s="51"/>
      <c r="DJ2611" s="52"/>
      <c r="DK2611" s="52"/>
      <c r="DL2611" s="52"/>
    </row>
    <row r="2612" spans="39:116">
      <c r="AM2612" s="53"/>
      <c r="AT2612" s="43"/>
      <c r="AV2612" s="53"/>
      <c r="CH2612" s="43"/>
      <c r="DD2612" s="53"/>
      <c r="DE2612" s="51"/>
      <c r="DJ2612" s="52"/>
      <c r="DK2612" s="52"/>
      <c r="DL2612" s="52"/>
    </row>
    <row r="2613" spans="39:116">
      <c r="AM2613" s="53"/>
      <c r="AT2613" s="43"/>
      <c r="AV2613" s="53"/>
      <c r="CH2613" s="43"/>
      <c r="DD2613" s="53"/>
      <c r="DE2613" s="51"/>
      <c r="DJ2613" s="52"/>
      <c r="DK2613" s="52"/>
      <c r="DL2613" s="52"/>
    </row>
    <row r="2614" spans="39:116">
      <c r="AM2614" s="53"/>
      <c r="AT2614" s="43"/>
      <c r="AV2614" s="53"/>
      <c r="CH2614" s="43"/>
      <c r="DD2614" s="53"/>
      <c r="DE2614" s="51"/>
      <c r="DJ2614" s="52"/>
      <c r="DK2614" s="52"/>
      <c r="DL2614" s="52"/>
    </row>
    <row r="2615" spans="39:116">
      <c r="AM2615" s="53"/>
      <c r="AT2615" s="43"/>
      <c r="AV2615" s="53"/>
      <c r="CH2615" s="43"/>
      <c r="DD2615" s="53"/>
      <c r="DE2615" s="51"/>
      <c r="DJ2615" s="52"/>
      <c r="DK2615" s="52"/>
      <c r="DL2615" s="52"/>
    </row>
    <row r="2616" spans="39:116">
      <c r="AM2616" s="53"/>
      <c r="AT2616" s="43"/>
      <c r="AV2616" s="53"/>
      <c r="CH2616" s="43"/>
      <c r="DD2616" s="53"/>
      <c r="DE2616" s="51"/>
      <c r="DJ2616" s="52"/>
      <c r="DK2616" s="52"/>
      <c r="DL2616" s="52"/>
    </row>
    <row r="2617" spans="39:116">
      <c r="AM2617" s="53"/>
      <c r="AT2617" s="43"/>
      <c r="AV2617" s="53"/>
      <c r="CH2617" s="43"/>
      <c r="DD2617" s="53"/>
      <c r="DE2617" s="51"/>
      <c r="DJ2617" s="52"/>
      <c r="DK2617" s="52"/>
      <c r="DL2617" s="52"/>
    </row>
    <row r="2618" spans="39:116">
      <c r="AM2618" s="53"/>
      <c r="AT2618" s="43"/>
      <c r="AV2618" s="53"/>
      <c r="CH2618" s="43"/>
      <c r="DD2618" s="53"/>
      <c r="DE2618" s="51"/>
      <c r="DJ2618" s="52"/>
      <c r="DK2618" s="52"/>
      <c r="DL2618" s="52"/>
    </row>
    <row r="2619" spans="39:116">
      <c r="AM2619" s="53"/>
      <c r="AT2619" s="43"/>
      <c r="AV2619" s="53"/>
      <c r="CH2619" s="43"/>
      <c r="DD2619" s="53"/>
      <c r="DE2619" s="51"/>
      <c r="DJ2619" s="52"/>
      <c r="DK2619" s="52"/>
      <c r="DL2619" s="52"/>
    </row>
    <row r="2620" spans="39:116">
      <c r="AM2620" s="53"/>
      <c r="AT2620" s="43"/>
      <c r="AV2620" s="53"/>
      <c r="CH2620" s="43"/>
      <c r="DD2620" s="53"/>
      <c r="DE2620" s="51"/>
      <c r="DJ2620" s="52"/>
      <c r="DK2620" s="52"/>
      <c r="DL2620" s="52"/>
    </row>
    <row r="2621" spans="39:116">
      <c r="AM2621" s="53"/>
      <c r="AT2621" s="43"/>
      <c r="AV2621" s="53"/>
      <c r="CH2621" s="43"/>
      <c r="DD2621" s="53"/>
      <c r="DE2621" s="51"/>
      <c r="DJ2621" s="52"/>
      <c r="DK2621" s="52"/>
      <c r="DL2621" s="52"/>
    </row>
    <row r="2622" spans="39:116">
      <c r="AM2622" s="53"/>
      <c r="AT2622" s="43"/>
      <c r="AV2622" s="53"/>
      <c r="CH2622" s="43"/>
      <c r="DD2622" s="53"/>
      <c r="DE2622" s="51"/>
      <c r="DJ2622" s="52"/>
      <c r="DK2622" s="52"/>
      <c r="DL2622" s="52"/>
    </row>
    <row r="2623" spans="39:116">
      <c r="AM2623" s="53"/>
      <c r="AT2623" s="43"/>
      <c r="AV2623" s="53"/>
      <c r="CH2623" s="43"/>
      <c r="DD2623" s="53"/>
      <c r="DE2623" s="51"/>
      <c r="DJ2623" s="52"/>
      <c r="DK2623" s="52"/>
      <c r="DL2623" s="52"/>
    </row>
    <row r="2624" spans="39:116">
      <c r="AM2624" s="53"/>
      <c r="AT2624" s="43"/>
      <c r="AV2624" s="53"/>
      <c r="CH2624" s="43"/>
      <c r="DD2624" s="53"/>
      <c r="DE2624" s="51"/>
      <c r="DJ2624" s="52"/>
      <c r="DK2624" s="52"/>
      <c r="DL2624" s="52"/>
    </row>
    <row r="2625" spans="39:116">
      <c r="AM2625" s="53"/>
      <c r="AT2625" s="43"/>
      <c r="AV2625" s="53"/>
      <c r="CH2625" s="43"/>
      <c r="DD2625" s="53"/>
      <c r="DE2625" s="51"/>
      <c r="DJ2625" s="52"/>
      <c r="DK2625" s="52"/>
      <c r="DL2625" s="52"/>
    </row>
    <row r="2626" spans="39:116">
      <c r="AM2626" s="53"/>
      <c r="AT2626" s="43"/>
      <c r="AV2626" s="53"/>
      <c r="CH2626" s="43"/>
      <c r="DD2626" s="53"/>
      <c r="DE2626" s="51"/>
      <c r="DJ2626" s="52"/>
      <c r="DK2626" s="52"/>
      <c r="DL2626" s="52"/>
    </row>
    <row r="2627" spans="39:116">
      <c r="AM2627" s="53"/>
      <c r="AT2627" s="43"/>
      <c r="AV2627" s="53"/>
      <c r="CH2627" s="43"/>
      <c r="DD2627" s="53"/>
      <c r="DE2627" s="51"/>
      <c r="DJ2627" s="52"/>
      <c r="DK2627" s="52"/>
      <c r="DL2627" s="52"/>
    </row>
    <row r="2628" spans="39:116">
      <c r="AM2628" s="53"/>
      <c r="AT2628" s="43"/>
      <c r="AV2628" s="53"/>
      <c r="CH2628" s="43"/>
      <c r="DD2628" s="53"/>
      <c r="DE2628" s="51"/>
      <c r="DJ2628" s="52"/>
      <c r="DK2628" s="52"/>
      <c r="DL2628" s="52"/>
    </row>
    <row r="2629" spans="39:116">
      <c r="AM2629" s="53"/>
      <c r="AT2629" s="43"/>
      <c r="AV2629" s="53"/>
      <c r="CH2629" s="43"/>
      <c r="DD2629" s="53"/>
      <c r="DE2629" s="51"/>
      <c r="DJ2629" s="52"/>
      <c r="DK2629" s="52"/>
      <c r="DL2629" s="52"/>
    </row>
    <row r="2630" spans="39:116">
      <c r="AM2630" s="53"/>
      <c r="AT2630" s="43"/>
      <c r="AV2630" s="53"/>
      <c r="CH2630" s="43"/>
      <c r="DD2630" s="53"/>
      <c r="DE2630" s="51"/>
      <c r="DJ2630" s="52"/>
      <c r="DK2630" s="52"/>
      <c r="DL2630" s="52"/>
    </row>
    <row r="2631" spans="39:116">
      <c r="AM2631" s="53"/>
      <c r="AT2631" s="43"/>
      <c r="AV2631" s="53"/>
      <c r="CH2631" s="43"/>
      <c r="DD2631" s="53"/>
      <c r="DE2631" s="51"/>
      <c r="DJ2631" s="52"/>
      <c r="DK2631" s="52"/>
      <c r="DL2631" s="52"/>
    </row>
    <row r="2632" spans="39:116">
      <c r="AM2632" s="53"/>
      <c r="AT2632" s="43"/>
      <c r="AV2632" s="53"/>
      <c r="CH2632" s="43"/>
      <c r="DD2632" s="53"/>
      <c r="DE2632" s="51"/>
      <c r="DJ2632" s="52"/>
      <c r="DK2632" s="52"/>
      <c r="DL2632" s="52"/>
    </row>
    <row r="2633" spans="39:116">
      <c r="AM2633" s="53"/>
      <c r="AT2633" s="43"/>
      <c r="AV2633" s="53"/>
      <c r="CH2633" s="43"/>
      <c r="DD2633" s="53"/>
      <c r="DE2633" s="51"/>
      <c r="DJ2633" s="52"/>
      <c r="DK2633" s="52"/>
      <c r="DL2633" s="52"/>
    </row>
    <row r="2634" spans="39:116">
      <c r="AM2634" s="53"/>
      <c r="AT2634" s="43"/>
      <c r="AV2634" s="53"/>
      <c r="CH2634" s="43"/>
      <c r="DD2634" s="53"/>
      <c r="DE2634" s="51"/>
      <c r="DJ2634" s="52"/>
      <c r="DK2634" s="52"/>
      <c r="DL2634" s="52"/>
    </row>
    <row r="2635" spans="39:116">
      <c r="AM2635" s="53"/>
      <c r="AT2635" s="43"/>
      <c r="AV2635" s="53"/>
      <c r="CH2635" s="43"/>
      <c r="DD2635" s="53"/>
      <c r="DE2635" s="51"/>
      <c r="DJ2635" s="52"/>
      <c r="DK2635" s="52"/>
      <c r="DL2635" s="52"/>
    </row>
    <row r="2636" spans="39:116">
      <c r="AM2636" s="53"/>
      <c r="AT2636" s="43"/>
      <c r="AV2636" s="53"/>
      <c r="CH2636" s="43"/>
      <c r="DD2636" s="53"/>
      <c r="DE2636" s="51"/>
      <c r="DJ2636" s="52"/>
      <c r="DK2636" s="52"/>
      <c r="DL2636" s="52"/>
    </row>
    <row r="2637" spans="39:116">
      <c r="AM2637" s="53"/>
      <c r="AT2637" s="43"/>
      <c r="AV2637" s="53"/>
      <c r="CH2637" s="43"/>
      <c r="DD2637" s="53"/>
      <c r="DE2637" s="51"/>
      <c r="DJ2637" s="52"/>
      <c r="DK2637" s="52"/>
      <c r="DL2637" s="52"/>
    </row>
    <row r="2638" spans="39:116">
      <c r="AM2638" s="53"/>
      <c r="AT2638" s="43"/>
      <c r="AV2638" s="53"/>
      <c r="CH2638" s="43"/>
      <c r="DD2638" s="53"/>
      <c r="DE2638" s="51"/>
      <c r="DJ2638" s="52"/>
      <c r="DK2638" s="52"/>
      <c r="DL2638" s="52"/>
    </row>
    <row r="2639" spans="39:116">
      <c r="AM2639" s="53"/>
      <c r="AT2639" s="43"/>
      <c r="AV2639" s="53"/>
      <c r="CH2639" s="43"/>
      <c r="DD2639" s="53"/>
      <c r="DE2639" s="51"/>
      <c r="DJ2639" s="52"/>
      <c r="DK2639" s="52"/>
      <c r="DL2639" s="52"/>
    </row>
    <row r="2640" spans="39:116">
      <c r="AM2640" s="53"/>
      <c r="AT2640" s="43"/>
      <c r="AV2640" s="53"/>
      <c r="CH2640" s="43"/>
      <c r="DD2640" s="53"/>
      <c r="DE2640" s="51"/>
      <c r="DJ2640" s="52"/>
      <c r="DK2640" s="52"/>
      <c r="DL2640" s="52"/>
    </row>
    <row r="2641" spans="39:116">
      <c r="AM2641" s="53"/>
      <c r="AT2641" s="43"/>
      <c r="AV2641" s="53"/>
      <c r="CH2641" s="43"/>
      <c r="DD2641" s="53"/>
      <c r="DE2641" s="51"/>
      <c r="DJ2641" s="52"/>
      <c r="DK2641" s="52"/>
      <c r="DL2641" s="52"/>
    </row>
    <row r="2642" spans="39:116">
      <c r="AM2642" s="53"/>
      <c r="AT2642" s="43"/>
      <c r="AV2642" s="53"/>
      <c r="CH2642" s="43"/>
      <c r="DD2642" s="53"/>
      <c r="DE2642" s="51"/>
      <c r="DJ2642" s="52"/>
      <c r="DK2642" s="52"/>
      <c r="DL2642" s="52"/>
    </row>
    <row r="2643" spans="39:116">
      <c r="AM2643" s="53"/>
      <c r="AT2643" s="43"/>
      <c r="AV2643" s="53"/>
      <c r="CH2643" s="43"/>
      <c r="DD2643" s="53"/>
      <c r="DE2643" s="51"/>
      <c r="DJ2643" s="52"/>
      <c r="DK2643" s="52"/>
      <c r="DL2643" s="52"/>
    </row>
    <row r="2644" spans="39:116">
      <c r="AM2644" s="53"/>
      <c r="AT2644" s="43"/>
      <c r="AV2644" s="53"/>
      <c r="CH2644" s="43"/>
      <c r="DD2644" s="53"/>
      <c r="DE2644" s="51"/>
      <c r="DJ2644" s="52"/>
      <c r="DK2644" s="52"/>
      <c r="DL2644" s="52"/>
    </row>
    <row r="2645" spans="39:116">
      <c r="AM2645" s="53"/>
      <c r="AT2645" s="43"/>
      <c r="AV2645" s="53"/>
      <c r="CH2645" s="43"/>
      <c r="DD2645" s="53"/>
      <c r="DE2645" s="51"/>
      <c r="DJ2645" s="52"/>
      <c r="DK2645" s="52"/>
      <c r="DL2645" s="52"/>
    </row>
    <row r="2646" spans="39:116">
      <c r="AM2646" s="53"/>
      <c r="AT2646" s="43"/>
      <c r="AV2646" s="53"/>
      <c r="CH2646" s="43"/>
      <c r="DD2646" s="53"/>
      <c r="DE2646" s="51"/>
      <c r="DJ2646" s="52"/>
      <c r="DK2646" s="52"/>
      <c r="DL2646" s="52"/>
    </row>
    <row r="2647" spans="39:116">
      <c r="AM2647" s="53"/>
      <c r="AT2647" s="43"/>
      <c r="AV2647" s="53"/>
      <c r="CH2647" s="43"/>
      <c r="DD2647" s="53"/>
      <c r="DE2647" s="51"/>
      <c r="DJ2647" s="52"/>
      <c r="DK2647" s="52"/>
      <c r="DL2647" s="52"/>
    </row>
    <row r="2648" spans="39:116">
      <c r="AM2648" s="53"/>
      <c r="AT2648" s="43"/>
      <c r="AV2648" s="53"/>
      <c r="CH2648" s="43"/>
      <c r="DD2648" s="53"/>
      <c r="DE2648" s="51"/>
      <c r="DJ2648" s="52"/>
      <c r="DK2648" s="52"/>
      <c r="DL2648" s="52"/>
    </row>
    <row r="2649" spans="39:116">
      <c r="AM2649" s="53"/>
      <c r="AT2649" s="43"/>
      <c r="AV2649" s="53"/>
      <c r="CH2649" s="43"/>
      <c r="DD2649" s="53"/>
      <c r="DE2649" s="51"/>
      <c r="DJ2649" s="52"/>
      <c r="DK2649" s="52"/>
      <c r="DL2649" s="52"/>
    </row>
    <row r="2650" spans="39:116">
      <c r="AM2650" s="53"/>
      <c r="AT2650" s="43"/>
      <c r="AV2650" s="53"/>
      <c r="CH2650" s="43"/>
      <c r="DD2650" s="53"/>
      <c r="DE2650" s="51"/>
      <c r="DJ2650" s="52"/>
      <c r="DK2650" s="52"/>
      <c r="DL2650" s="52"/>
    </row>
    <row r="2651" spans="39:116">
      <c r="AM2651" s="53"/>
      <c r="AT2651" s="43"/>
      <c r="AV2651" s="53"/>
      <c r="CH2651" s="43"/>
      <c r="DD2651" s="53"/>
      <c r="DE2651" s="51"/>
      <c r="DJ2651" s="52"/>
      <c r="DK2651" s="52"/>
      <c r="DL2651" s="52"/>
    </row>
    <row r="2652" spans="39:116">
      <c r="AM2652" s="53"/>
      <c r="AT2652" s="43"/>
      <c r="AV2652" s="53"/>
      <c r="CH2652" s="43"/>
      <c r="DD2652" s="53"/>
      <c r="DE2652" s="51"/>
      <c r="DJ2652" s="52"/>
      <c r="DK2652" s="52"/>
      <c r="DL2652" s="52"/>
    </row>
    <row r="2653" spans="39:116">
      <c r="AM2653" s="53"/>
      <c r="AT2653" s="43"/>
      <c r="AV2653" s="53"/>
      <c r="CH2653" s="43"/>
      <c r="DD2653" s="53"/>
      <c r="DE2653" s="51"/>
      <c r="DJ2653" s="52"/>
      <c r="DK2653" s="52"/>
      <c r="DL2653" s="52"/>
    </row>
    <row r="2654" spans="39:116">
      <c r="AM2654" s="53"/>
      <c r="AT2654" s="43"/>
      <c r="AV2654" s="53"/>
      <c r="CH2654" s="43"/>
      <c r="DD2654" s="53"/>
      <c r="DE2654" s="51"/>
      <c r="DJ2654" s="52"/>
      <c r="DK2654" s="52"/>
      <c r="DL2654" s="52"/>
    </row>
    <row r="2655" spans="39:116">
      <c r="AM2655" s="53"/>
      <c r="AT2655" s="43"/>
      <c r="AV2655" s="53"/>
      <c r="CH2655" s="43"/>
      <c r="DD2655" s="53"/>
      <c r="DE2655" s="51"/>
      <c r="DJ2655" s="52"/>
      <c r="DK2655" s="52"/>
      <c r="DL2655" s="52"/>
    </row>
    <row r="2656" spans="39:116">
      <c r="AM2656" s="53"/>
      <c r="AT2656" s="43"/>
      <c r="AV2656" s="53"/>
      <c r="CH2656" s="43"/>
      <c r="DD2656" s="53"/>
      <c r="DE2656" s="51"/>
      <c r="DJ2656" s="52"/>
      <c r="DK2656" s="52"/>
      <c r="DL2656" s="52"/>
    </row>
    <row r="2657" spans="39:116">
      <c r="AM2657" s="53"/>
      <c r="AT2657" s="43"/>
      <c r="AV2657" s="53"/>
      <c r="CH2657" s="43"/>
      <c r="DD2657" s="53"/>
      <c r="DE2657" s="51"/>
      <c r="DJ2657" s="52"/>
      <c r="DK2657" s="52"/>
      <c r="DL2657" s="52"/>
    </row>
    <row r="2658" spans="39:116">
      <c r="AM2658" s="53"/>
      <c r="AT2658" s="43"/>
      <c r="AV2658" s="53"/>
      <c r="CH2658" s="43"/>
      <c r="DD2658" s="53"/>
      <c r="DE2658" s="51"/>
      <c r="DJ2658" s="52"/>
      <c r="DK2658" s="52"/>
      <c r="DL2658" s="52"/>
    </row>
    <row r="2659" spans="39:116">
      <c r="AM2659" s="53"/>
      <c r="AT2659" s="43"/>
      <c r="AV2659" s="53"/>
      <c r="CH2659" s="43"/>
      <c r="DD2659" s="53"/>
      <c r="DE2659" s="51"/>
      <c r="DJ2659" s="52"/>
      <c r="DK2659" s="52"/>
      <c r="DL2659" s="52"/>
    </row>
    <row r="2660" spans="39:116">
      <c r="AM2660" s="53"/>
      <c r="AT2660" s="43"/>
      <c r="AV2660" s="53"/>
      <c r="CH2660" s="43"/>
      <c r="DD2660" s="53"/>
      <c r="DE2660" s="51"/>
      <c r="DJ2660" s="52"/>
      <c r="DK2660" s="52"/>
      <c r="DL2660" s="52"/>
    </row>
    <row r="2661" spans="39:116">
      <c r="AM2661" s="53"/>
      <c r="AT2661" s="43"/>
      <c r="AV2661" s="53"/>
      <c r="CH2661" s="43"/>
      <c r="DD2661" s="53"/>
      <c r="DE2661" s="51"/>
      <c r="DJ2661" s="52"/>
      <c r="DK2661" s="52"/>
      <c r="DL2661" s="52"/>
    </row>
    <row r="2662" spans="39:116">
      <c r="AM2662" s="53"/>
      <c r="AT2662" s="43"/>
      <c r="AV2662" s="53"/>
      <c r="CH2662" s="43"/>
      <c r="DD2662" s="53"/>
      <c r="DE2662" s="51"/>
      <c r="DJ2662" s="52"/>
      <c r="DK2662" s="52"/>
      <c r="DL2662" s="52"/>
    </row>
    <row r="2663" spans="39:116">
      <c r="AM2663" s="53"/>
      <c r="AT2663" s="43"/>
      <c r="AV2663" s="53"/>
      <c r="CH2663" s="43"/>
      <c r="DD2663" s="53"/>
      <c r="DE2663" s="51"/>
      <c r="DJ2663" s="52"/>
      <c r="DK2663" s="52"/>
      <c r="DL2663" s="52"/>
    </row>
    <row r="2664" spans="39:116">
      <c r="AM2664" s="53"/>
      <c r="AT2664" s="43"/>
      <c r="AV2664" s="53"/>
      <c r="CH2664" s="43"/>
      <c r="DD2664" s="53"/>
      <c r="DE2664" s="51"/>
      <c r="DJ2664" s="52"/>
      <c r="DK2664" s="52"/>
      <c r="DL2664" s="52"/>
    </row>
    <row r="2665" spans="39:116">
      <c r="AM2665" s="53"/>
      <c r="AT2665" s="43"/>
      <c r="AV2665" s="53"/>
      <c r="CH2665" s="43"/>
      <c r="DD2665" s="53"/>
      <c r="DE2665" s="51"/>
      <c r="DJ2665" s="52"/>
      <c r="DK2665" s="52"/>
      <c r="DL2665" s="52"/>
    </row>
    <row r="2666" spans="39:116">
      <c r="AM2666" s="53"/>
      <c r="AT2666" s="43"/>
      <c r="AV2666" s="53"/>
      <c r="CH2666" s="43"/>
      <c r="DD2666" s="53"/>
      <c r="DE2666" s="51"/>
      <c r="DJ2666" s="52"/>
      <c r="DK2666" s="52"/>
      <c r="DL2666" s="52"/>
    </row>
    <row r="2667" spans="39:116">
      <c r="AM2667" s="53"/>
      <c r="AT2667" s="43"/>
      <c r="AV2667" s="53"/>
      <c r="CH2667" s="43"/>
      <c r="DD2667" s="53"/>
      <c r="DE2667" s="51"/>
      <c r="DJ2667" s="52"/>
      <c r="DK2667" s="52"/>
      <c r="DL2667" s="52"/>
    </row>
    <row r="2668" spans="39:116">
      <c r="AM2668" s="53"/>
      <c r="AT2668" s="43"/>
      <c r="AV2668" s="53"/>
      <c r="CH2668" s="43"/>
      <c r="DD2668" s="53"/>
      <c r="DE2668" s="51"/>
      <c r="DJ2668" s="52"/>
      <c r="DK2668" s="52"/>
      <c r="DL2668" s="52"/>
    </row>
    <row r="2669" spans="39:116">
      <c r="AM2669" s="53"/>
      <c r="AT2669" s="43"/>
      <c r="AV2669" s="53"/>
      <c r="CH2669" s="43"/>
      <c r="DD2669" s="53"/>
      <c r="DE2669" s="51"/>
      <c r="DJ2669" s="52"/>
      <c r="DK2669" s="52"/>
      <c r="DL2669" s="52"/>
    </row>
    <row r="2670" spans="39:116">
      <c r="AM2670" s="53"/>
      <c r="AT2670" s="43"/>
      <c r="AV2670" s="53"/>
      <c r="CH2670" s="43"/>
      <c r="DD2670" s="53"/>
      <c r="DE2670" s="51"/>
      <c r="DJ2670" s="52"/>
      <c r="DK2670" s="52"/>
      <c r="DL2670" s="52"/>
    </row>
    <row r="2671" spans="39:116">
      <c r="AM2671" s="53"/>
      <c r="AT2671" s="43"/>
      <c r="AV2671" s="53"/>
      <c r="CH2671" s="43"/>
      <c r="DD2671" s="53"/>
      <c r="DE2671" s="51"/>
      <c r="DJ2671" s="52"/>
      <c r="DK2671" s="52"/>
      <c r="DL2671" s="52"/>
    </row>
    <row r="2672" spans="39:116">
      <c r="AM2672" s="53"/>
      <c r="AT2672" s="43"/>
      <c r="AV2672" s="53"/>
      <c r="CH2672" s="43"/>
      <c r="DD2672" s="53"/>
      <c r="DE2672" s="51"/>
      <c r="DJ2672" s="52"/>
      <c r="DK2672" s="52"/>
      <c r="DL2672" s="52"/>
    </row>
    <row r="2673" spans="39:116">
      <c r="AM2673" s="53"/>
      <c r="AT2673" s="43"/>
      <c r="AV2673" s="53"/>
      <c r="CH2673" s="43"/>
      <c r="DD2673" s="53"/>
      <c r="DE2673" s="51"/>
      <c r="DJ2673" s="52"/>
      <c r="DK2673" s="52"/>
      <c r="DL2673" s="52"/>
    </row>
    <row r="2674" spans="39:116">
      <c r="AM2674" s="53"/>
      <c r="AT2674" s="43"/>
      <c r="AV2674" s="53"/>
      <c r="CH2674" s="43"/>
      <c r="DD2674" s="53"/>
      <c r="DE2674" s="51"/>
      <c r="DJ2674" s="52"/>
      <c r="DK2674" s="52"/>
      <c r="DL2674" s="52"/>
    </row>
    <row r="2675" spans="39:116">
      <c r="AM2675" s="53"/>
      <c r="AT2675" s="43"/>
      <c r="AV2675" s="53"/>
      <c r="CH2675" s="43"/>
      <c r="DD2675" s="53"/>
      <c r="DE2675" s="51"/>
      <c r="DJ2675" s="52"/>
      <c r="DK2675" s="52"/>
      <c r="DL2675" s="52"/>
    </row>
    <row r="2676" spans="39:116">
      <c r="AM2676" s="53"/>
      <c r="AT2676" s="43"/>
      <c r="AV2676" s="53"/>
      <c r="CH2676" s="43"/>
      <c r="DD2676" s="53"/>
      <c r="DE2676" s="51"/>
      <c r="DJ2676" s="52"/>
      <c r="DK2676" s="52"/>
      <c r="DL2676" s="52"/>
    </row>
    <row r="2677" spans="39:116">
      <c r="AM2677" s="53"/>
      <c r="AT2677" s="43"/>
      <c r="AV2677" s="53"/>
      <c r="CH2677" s="43"/>
      <c r="DD2677" s="53"/>
      <c r="DE2677" s="51"/>
      <c r="DJ2677" s="52"/>
      <c r="DK2677" s="52"/>
      <c r="DL2677" s="52"/>
    </row>
    <row r="2678" spans="39:116">
      <c r="AM2678" s="53"/>
      <c r="AT2678" s="43"/>
      <c r="AV2678" s="53"/>
      <c r="CH2678" s="43"/>
      <c r="DD2678" s="53"/>
      <c r="DE2678" s="51"/>
      <c r="DJ2678" s="52"/>
      <c r="DK2678" s="52"/>
      <c r="DL2678" s="52"/>
    </row>
    <row r="2679" spans="39:116">
      <c r="AM2679" s="53"/>
      <c r="AT2679" s="43"/>
      <c r="AV2679" s="53"/>
      <c r="CH2679" s="43"/>
      <c r="DD2679" s="53"/>
      <c r="DE2679" s="51"/>
      <c r="DJ2679" s="52"/>
      <c r="DK2679" s="52"/>
      <c r="DL2679" s="52"/>
    </row>
    <row r="2680" spans="39:116">
      <c r="AM2680" s="53"/>
      <c r="AT2680" s="43"/>
      <c r="AV2680" s="53"/>
      <c r="CH2680" s="43"/>
      <c r="DD2680" s="53"/>
      <c r="DE2680" s="51"/>
      <c r="DJ2680" s="52"/>
      <c r="DK2680" s="52"/>
      <c r="DL2680" s="52"/>
    </row>
    <row r="2681" spans="39:116">
      <c r="AM2681" s="53"/>
      <c r="AT2681" s="43"/>
      <c r="AV2681" s="53"/>
      <c r="CH2681" s="43"/>
      <c r="DD2681" s="53"/>
      <c r="DE2681" s="51"/>
      <c r="DJ2681" s="52"/>
      <c r="DK2681" s="52"/>
      <c r="DL2681" s="52"/>
    </row>
    <row r="2682" spans="39:116">
      <c r="AM2682" s="53"/>
      <c r="AT2682" s="43"/>
      <c r="AV2682" s="53"/>
      <c r="CH2682" s="43"/>
      <c r="DD2682" s="53"/>
      <c r="DE2682" s="51"/>
      <c r="DJ2682" s="52"/>
      <c r="DK2682" s="52"/>
      <c r="DL2682" s="52"/>
    </row>
    <row r="2683" spans="39:116">
      <c r="AM2683" s="53"/>
      <c r="AT2683" s="43"/>
      <c r="AV2683" s="53"/>
      <c r="CH2683" s="43"/>
      <c r="DD2683" s="53"/>
      <c r="DE2683" s="51"/>
      <c r="DJ2683" s="52"/>
      <c r="DK2683" s="52"/>
      <c r="DL2683" s="52"/>
    </row>
    <row r="2684" spans="39:116">
      <c r="AM2684" s="53"/>
      <c r="AT2684" s="43"/>
      <c r="AV2684" s="53"/>
      <c r="CH2684" s="43"/>
      <c r="DD2684" s="53"/>
      <c r="DE2684" s="51"/>
      <c r="DJ2684" s="52"/>
      <c r="DK2684" s="52"/>
      <c r="DL2684" s="52"/>
    </row>
    <row r="2685" spans="39:116">
      <c r="AM2685" s="53"/>
      <c r="AT2685" s="43"/>
      <c r="AV2685" s="53"/>
      <c r="CH2685" s="43"/>
      <c r="DD2685" s="53"/>
      <c r="DE2685" s="51"/>
      <c r="DJ2685" s="52"/>
      <c r="DK2685" s="52"/>
      <c r="DL2685" s="52"/>
    </row>
    <row r="2686" spans="39:116">
      <c r="AM2686" s="53"/>
      <c r="AT2686" s="43"/>
      <c r="AV2686" s="53"/>
      <c r="CH2686" s="43"/>
      <c r="DD2686" s="53"/>
      <c r="DE2686" s="51"/>
      <c r="DJ2686" s="52"/>
      <c r="DK2686" s="52"/>
      <c r="DL2686" s="52"/>
    </row>
    <row r="2687" spans="39:116">
      <c r="AM2687" s="53"/>
      <c r="AT2687" s="43"/>
      <c r="AV2687" s="53"/>
      <c r="CH2687" s="43"/>
      <c r="DD2687" s="53"/>
      <c r="DE2687" s="51"/>
      <c r="DJ2687" s="52"/>
      <c r="DK2687" s="52"/>
      <c r="DL2687" s="52"/>
    </row>
    <row r="2688" spans="39:116">
      <c r="AM2688" s="53"/>
      <c r="AT2688" s="43"/>
      <c r="AV2688" s="53"/>
      <c r="CH2688" s="43"/>
      <c r="DD2688" s="53"/>
      <c r="DE2688" s="51"/>
      <c r="DJ2688" s="52"/>
      <c r="DK2688" s="52"/>
      <c r="DL2688" s="52"/>
    </row>
    <row r="2689" spans="39:116">
      <c r="AM2689" s="53"/>
      <c r="AT2689" s="43"/>
      <c r="AV2689" s="53"/>
      <c r="CH2689" s="43"/>
      <c r="DD2689" s="53"/>
      <c r="DE2689" s="51"/>
      <c r="DJ2689" s="52"/>
      <c r="DK2689" s="52"/>
      <c r="DL2689" s="52"/>
    </row>
    <row r="2690" spans="39:116">
      <c r="AM2690" s="53"/>
      <c r="AT2690" s="43"/>
      <c r="AV2690" s="53"/>
      <c r="CH2690" s="43"/>
      <c r="DD2690" s="53"/>
      <c r="DE2690" s="51"/>
      <c r="DJ2690" s="52"/>
      <c r="DK2690" s="52"/>
      <c r="DL2690" s="52"/>
    </row>
    <row r="2691" spans="39:116">
      <c r="AM2691" s="53"/>
      <c r="AT2691" s="43"/>
      <c r="AV2691" s="53"/>
      <c r="CH2691" s="43"/>
      <c r="DD2691" s="53"/>
      <c r="DE2691" s="51"/>
      <c r="DJ2691" s="52"/>
      <c r="DK2691" s="52"/>
      <c r="DL2691" s="52"/>
    </row>
    <row r="2692" spans="39:116">
      <c r="AM2692" s="53"/>
      <c r="AT2692" s="43"/>
      <c r="AV2692" s="53"/>
      <c r="CH2692" s="43"/>
      <c r="DD2692" s="53"/>
      <c r="DE2692" s="51"/>
      <c r="DJ2692" s="52"/>
      <c r="DK2692" s="52"/>
      <c r="DL2692" s="52"/>
    </row>
    <row r="2693" spans="39:116">
      <c r="AM2693" s="53"/>
      <c r="AT2693" s="43"/>
      <c r="AV2693" s="53"/>
      <c r="CH2693" s="43"/>
      <c r="DD2693" s="53"/>
      <c r="DE2693" s="51"/>
      <c r="DJ2693" s="52"/>
      <c r="DK2693" s="52"/>
      <c r="DL2693" s="52"/>
    </row>
    <row r="2694" spans="39:116">
      <c r="AM2694" s="53"/>
      <c r="AT2694" s="43"/>
      <c r="AV2694" s="53"/>
      <c r="CH2694" s="43"/>
      <c r="DD2694" s="53"/>
      <c r="DE2694" s="51"/>
      <c r="DJ2694" s="52"/>
      <c r="DK2694" s="52"/>
      <c r="DL2694" s="52"/>
    </row>
    <row r="2695" spans="39:116">
      <c r="AM2695" s="53"/>
      <c r="AT2695" s="43"/>
      <c r="AV2695" s="53"/>
      <c r="CH2695" s="43"/>
      <c r="DD2695" s="53"/>
      <c r="DE2695" s="51"/>
      <c r="DJ2695" s="52"/>
      <c r="DK2695" s="52"/>
      <c r="DL2695" s="52"/>
    </row>
    <row r="2696" spans="39:116">
      <c r="AM2696" s="53"/>
      <c r="AT2696" s="43"/>
      <c r="AV2696" s="53"/>
      <c r="CH2696" s="43"/>
      <c r="DD2696" s="53"/>
      <c r="DE2696" s="51"/>
      <c r="DJ2696" s="52"/>
      <c r="DK2696" s="52"/>
      <c r="DL2696" s="52"/>
    </row>
    <row r="2697" spans="39:116">
      <c r="AM2697" s="53"/>
      <c r="AT2697" s="43"/>
      <c r="AV2697" s="53"/>
      <c r="CH2697" s="43"/>
      <c r="DD2697" s="53"/>
      <c r="DE2697" s="51"/>
      <c r="DJ2697" s="52"/>
      <c r="DK2697" s="52"/>
      <c r="DL2697" s="52"/>
    </row>
    <row r="2698" spans="39:116">
      <c r="AM2698" s="53"/>
      <c r="AT2698" s="43"/>
      <c r="AV2698" s="53"/>
      <c r="CH2698" s="43"/>
      <c r="DD2698" s="53"/>
      <c r="DE2698" s="51"/>
      <c r="DJ2698" s="52"/>
      <c r="DK2698" s="52"/>
      <c r="DL2698" s="52"/>
    </row>
    <row r="2699" spans="39:116">
      <c r="AM2699" s="53"/>
      <c r="AT2699" s="43"/>
      <c r="AV2699" s="53"/>
      <c r="CH2699" s="43"/>
      <c r="DD2699" s="53"/>
      <c r="DE2699" s="51"/>
      <c r="DJ2699" s="52"/>
      <c r="DK2699" s="52"/>
      <c r="DL2699" s="52"/>
    </row>
    <row r="2700" spans="39:116">
      <c r="AM2700" s="53"/>
      <c r="AT2700" s="43"/>
      <c r="AV2700" s="53"/>
      <c r="CH2700" s="43"/>
      <c r="DD2700" s="53"/>
      <c r="DE2700" s="51"/>
      <c r="DJ2700" s="52"/>
      <c r="DK2700" s="52"/>
      <c r="DL2700" s="52"/>
    </row>
    <row r="2701" spans="39:116">
      <c r="AM2701" s="53"/>
      <c r="AT2701" s="43"/>
      <c r="AV2701" s="53"/>
      <c r="CH2701" s="43"/>
      <c r="DD2701" s="53"/>
      <c r="DE2701" s="51"/>
      <c r="DJ2701" s="52"/>
      <c r="DK2701" s="52"/>
      <c r="DL2701" s="52"/>
    </row>
    <row r="2702" spans="39:116">
      <c r="AM2702" s="53"/>
      <c r="AT2702" s="43"/>
      <c r="AV2702" s="53"/>
      <c r="CH2702" s="43"/>
      <c r="DD2702" s="53"/>
      <c r="DE2702" s="51"/>
      <c r="DJ2702" s="52"/>
      <c r="DK2702" s="52"/>
      <c r="DL2702" s="52"/>
    </row>
    <row r="2703" spans="39:116">
      <c r="AM2703" s="53"/>
      <c r="AT2703" s="43"/>
      <c r="AV2703" s="53"/>
      <c r="CH2703" s="43"/>
      <c r="DD2703" s="53"/>
      <c r="DE2703" s="51"/>
      <c r="DJ2703" s="52"/>
      <c r="DK2703" s="52"/>
      <c r="DL2703" s="52"/>
    </row>
    <row r="2704" spans="39:116">
      <c r="AM2704" s="53"/>
      <c r="AT2704" s="43"/>
      <c r="AV2704" s="53"/>
      <c r="CH2704" s="43"/>
      <c r="DD2704" s="53"/>
      <c r="DE2704" s="51"/>
      <c r="DJ2704" s="52"/>
      <c r="DK2704" s="52"/>
      <c r="DL2704" s="52"/>
    </row>
    <row r="2705" spans="39:116">
      <c r="AM2705" s="53"/>
      <c r="AT2705" s="43"/>
      <c r="AV2705" s="53"/>
      <c r="CH2705" s="43"/>
      <c r="DD2705" s="53"/>
      <c r="DE2705" s="51"/>
      <c r="DJ2705" s="52"/>
      <c r="DK2705" s="52"/>
      <c r="DL2705" s="52"/>
    </row>
    <row r="2706" spans="39:116">
      <c r="AM2706" s="53"/>
      <c r="AT2706" s="43"/>
      <c r="AV2706" s="53"/>
      <c r="CH2706" s="43"/>
      <c r="DD2706" s="53"/>
      <c r="DE2706" s="51"/>
      <c r="DJ2706" s="52"/>
      <c r="DK2706" s="52"/>
      <c r="DL2706" s="52"/>
    </row>
    <row r="2707" spans="39:116">
      <c r="AM2707" s="53"/>
      <c r="AT2707" s="43"/>
      <c r="AV2707" s="53"/>
      <c r="CH2707" s="43"/>
      <c r="DD2707" s="53"/>
      <c r="DE2707" s="51"/>
      <c r="DJ2707" s="52"/>
      <c r="DK2707" s="52"/>
      <c r="DL2707" s="52"/>
    </row>
    <row r="2708" spans="39:116">
      <c r="AM2708" s="53"/>
      <c r="AT2708" s="43"/>
      <c r="AV2708" s="53"/>
      <c r="CH2708" s="43"/>
      <c r="DD2708" s="53"/>
      <c r="DE2708" s="51"/>
      <c r="DJ2708" s="52"/>
      <c r="DK2708" s="52"/>
      <c r="DL2708" s="52"/>
    </row>
    <row r="2709" spans="39:116">
      <c r="AM2709" s="53"/>
      <c r="AT2709" s="43"/>
      <c r="AV2709" s="53"/>
      <c r="CH2709" s="43"/>
      <c r="DD2709" s="53"/>
      <c r="DE2709" s="51"/>
      <c r="DJ2709" s="52"/>
      <c r="DK2709" s="52"/>
      <c r="DL2709" s="52"/>
    </row>
    <row r="2710" spans="39:116">
      <c r="AM2710" s="53"/>
      <c r="AT2710" s="43"/>
      <c r="AV2710" s="53"/>
      <c r="CH2710" s="43"/>
      <c r="DD2710" s="53"/>
      <c r="DE2710" s="51"/>
      <c r="DJ2710" s="52"/>
      <c r="DK2710" s="52"/>
      <c r="DL2710" s="52"/>
    </row>
    <row r="2711" spans="39:116">
      <c r="AM2711" s="53"/>
      <c r="AT2711" s="43"/>
      <c r="AV2711" s="53"/>
      <c r="CH2711" s="43"/>
      <c r="DD2711" s="53"/>
      <c r="DE2711" s="51"/>
      <c r="DJ2711" s="52"/>
      <c r="DK2711" s="52"/>
      <c r="DL2711" s="52"/>
    </row>
    <row r="2712" spans="39:116">
      <c r="AM2712" s="53"/>
      <c r="AT2712" s="43"/>
      <c r="AV2712" s="53"/>
      <c r="CH2712" s="43"/>
      <c r="DD2712" s="53"/>
      <c r="DE2712" s="51"/>
      <c r="DJ2712" s="52"/>
      <c r="DK2712" s="52"/>
      <c r="DL2712" s="52"/>
    </row>
    <row r="2713" spans="39:116">
      <c r="AM2713" s="53"/>
      <c r="AT2713" s="43"/>
      <c r="AV2713" s="53"/>
      <c r="CH2713" s="43"/>
      <c r="DD2713" s="53"/>
      <c r="DE2713" s="51"/>
      <c r="DJ2713" s="52"/>
      <c r="DK2713" s="52"/>
      <c r="DL2713" s="52"/>
    </row>
    <row r="2714" spans="39:116">
      <c r="AM2714" s="53"/>
      <c r="AT2714" s="43"/>
      <c r="AV2714" s="53"/>
      <c r="CH2714" s="43"/>
      <c r="DD2714" s="53"/>
      <c r="DE2714" s="51"/>
      <c r="DJ2714" s="52"/>
      <c r="DK2714" s="52"/>
      <c r="DL2714" s="52"/>
    </row>
    <row r="2715" spans="39:116">
      <c r="AM2715" s="53"/>
      <c r="AT2715" s="43"/>
      <c r="AV2715" s="53"/>
      <c r="CH2715" s="43"/>
      <c r="DD2715" s="53"/>
      <c r="DE2715" s="51"/>
      <c r="DJ2715" s="52"/>
      <c r="DK2715" s="52"/>
      <c r="DL2715" s="52"/>
    </row>
    <row r="2716" spans="39:116">
      <c r="AM2716" s="53"/>
      <c r="AT2716" s="43"/>
      <c r="AV2716" s="53"/>
      <c r="CH2716" s="43"/>
      <c r="DD2716" s="53"/>
      <c r="DE2716" s="51"/>
      <c r="DJ2716" s="52"/>
      <c r="DK2716" s="52"/>
      <c r="DL2716" s="52"/>
    </row>
    <row r="2717" spans="39:116">
      <c r="AM2717" s="53"/>
      <c r="AT2717" s="43"/>
      <c r="AV2717" s="53"/>
      <c r="CH2717" s="43"/>
      <c r="DD2717" s="53"/>
      <c r="DE2717" s="51"/>
      <c r="DJ2717" s="52"/>
      <c r="DK2717" s="52"/>
      <c r="DL2717" s="52"/>
    </row>
    <row r="2718" spans="39:116">
      <c r="AM2718" s="53"/>
      <c r="AT2718" s="43"/>
      <c r="AV2718" s="53"/>
      <c r="CH2718" s="43"/>
      <c r="DD2718" s="53"/>
      <c r="DE2718" s="51"/>
      <c r="DJ2718" s="52"/>
      <c r="DK2718" s="52"/>
      <c r="DL2718" s="52"/>
    </row>
    <row r="2719" spans="39:116">
      <c r="AM2719" s="53"/>
      <c r="AT2719" s="43"/>
      <c r="AV2719" s="53"/>
      <c r="CH2719" s="43"/>
      <c r="DD2719" s="53"/>
      <c r="DE2719" s="51"/>
      <c r="DJ2719" s="52"/>
      <c r="DK2719" s="52"/>
      <c r="DL2719" s="52"/>
    </row>
    <row r="2720" spans="39:116">
      <c r="AM2720" s="53"/>
      <c r="AT2720" s="43"/>
      <c r="AV2720" s="53"/>
      <c r="CH2720" s="43"/>
      <c r="DD2720" s="53"/>
      <c r="DE2720" s="51"/>
      <c r="DJ2720" s="52"/>
      <c r="DK2720" s="52"/>
      <c r="DL2720" s="52"/>
    </row>
    <row r="2721" spans="39:116">
      <c r="AM2721" s="53"/>
      <c r="AT2721" s="43"/>
      <c r="AV2721" s="53"/>
      <c r="CH2721" s="43"/>
      <c r="DD2721" s="53"/>
      <c r="DE2721" s="51"/>
      <c r="DJ2721" s="52"/>
      <c r="DK2721" s="52"/>
      <c r="DL2721" s="52"/>
    </row>
  </sheetData>
  <phoneticPr fontId="0" type="noConversion"/>
  <conditionalFormatting sqref="K20:K260 Q20:Q260">
    <cfRule type="cellIs" dxfId="2" priority="1" stopIfTrue="1" operator="notBetween">
      <formula>-1000</formula>
      <formula>1000</formula>
    </cfRule>
  </conditionalFormatting>
  <conditionalFormatting sqref="I15:I18">
    <cfRule type="cellIs" dxfId="1" priority="2" stopIfTrue="1" operator="equal">
      <formula>2</formula>
    </cfRule>
  </conditionalFormatting>
  <conditionalFormatting sqref="F6">
    <cfRule type="cellIs" dxfId="0" priority="3" stopIfTrue="1" operator="notEqual">
      <formula>0</formula>
    </cfRule>
  </conditionalFormatting>
  <printOptions horizontalCentered="1" verticalCentered="1"/>
  <pageMargins left="0.2" right="0.2" top="0.17" bottom="0.5" header="0.18" footer="0.5"/>
  <pageSetup scale="1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Button 2">
              <controlPr defaultSize="0" autoFill="0" autoLine="0" autoPict="0" macro="[0]!ExtendableSwap">
                <anchor moveWithCells="1" sizeWithCells="1">
                  <from>
                    <xdr:col>5</xdr:col>
                    <xdr:colOff>22860</xdr:colOff>
                    <xdr:row>25</xdr:row>
                    <xdr:rowOff>7620</xdr:rowOff>
                  </from>
                  <to>
                    <xdr:col>6</xdr:col>
                    <xdr:colOff>693420</xdr:colOff>
                    <xdr:row>25</xdr:row>
                    <xdr:rowOff>213360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Button 3">
              <controlPr defaultSize="0" autoFill="0" autoLine="0" autoPict="0" macro="[0]!ParticipatingSwap">
                <anchor moveWithCells="1" sizeWithCells="1">
                  <from>
                    <xdr:col>5</xdr:col>
                    <xdr:colOff>15240</xdr:colOff>
                    <xdr:row>45</xdr:row>
                    <xdr:rowOff>0</xdr:rowOff>
                  </from>
                  <to>
                    <xdr:col>7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6" name="Option Button 5">
              <controlPr defaultSize="0" autoFill="0" autoLine="0" autoPict="0">
                <anchor moveWithCells="1">
                  <from>
                    <xdr:col>8</xdr:col>
                    <xdr:colOff>7620</xdr:colOff>
                    <xdr:row>14</xdr:row>
                    <xdr:rowOff>152400</xdr:rowOff>
                  </from>
                  <to>
                    <xdr:col>8</xdr:col>
                    <xdr:colOff>548640</xdr:colOff>
                    <xdr:row>15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7" name="Option Button 6">
              <controlPr defaultSize="0" autoFill="0" autoLine="0" autoPict="0">
                <anchor moveWithCells="1">
                  <from>
                    <xdr:col>8</xdr:col>
                    <xdr:colOff>7620</xdr:colOff>
                    <xdr:row>16</xdr:row>
                    <xdr:rowOff>38100</xdr:rowOff>
                  </from>
                  <to>
                    <xdr:col>8</xdr:col>
                    <xdr:colOff>579120</xdr:colOff>
                    <xdr:row>17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8" name="Group Box 9">
              <controlPr defaultSize="0" autoPict="0">
                <anchor moveWithCells="1">
                  <from>
                    <xdr:col>8</xdr:col>
                    <xdr:colOff>0</xdr:colOff>
                    <xdr:row>14</xdr:row>
                    <xdr:rowOff>0</xdr:rowOff>
                  </from>
                  <to>
                    <xdr:col>9</xdr:col>
                    <xdr:colOff>0</xdr:colOff>
                    <xdr:row>17</xdr:row>
                    <xdr:rowOff>198120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9" name="Option Button 15">
              <controlPr defaultSize="0" autoFill="0" autoLine="0" autoPict="0">
                <anchor moveWithCells="1">
                  <from>
                    <xdr:col>1</xdr:col>
                    <xdr:colOff>76200</xdr:colOff>
                    <xdr:row>7</xdr:row>
                    <xdr:rowOff>7620</xdr:rowOff>
                  </from>
                  <to>
                    <xdr:col>3</xdr:col>
                    <xdr:colOff>403860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0" name="Option Button 16">
              <controlPr defaultSize="0" autoFill="0" autoLine="0" autoPict="0">
                <anchor moveWithCells="1">
                  <from>
                    <xdr:col>1</xdr:col>
                    <xdr:colOff>45720</xdr:colOff>
                    <xdr:row>7</xdr:row>
                    <xdr:rowOff>182880</xdr:rowOff>
                  </from>
                  <to>
                    <xdr:col>3</xdr:col>
                    <xdr:colOff>502920</xdr:colOff>
                    <xdr:row>8</xdr:row>
                    <xdr:rowOff>167640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11" name="Option Button 17">
              <controlPr defaultSize="0" autoFill="0" autoLine="0" autoPict="0">
                <anchor moveWithCells="1">
                  <from>
                    <xdr:col>1</xdr:col>
                    <xdr:colOff>45720</xdr:colOff>
                    <xdr:row>8</xdr:row>
                    <xdr:rowOff>129540</xdr:rowOff>
                  </from>
                  <to>
                    <xdr:col>2</xdr:col>
                    <xdr:colOff>274320</xdr:colOff>
                    <xdr:row>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12" name="Option Button 18">
              <controlPr defaultSize="0" autoFill="0" autoLine="0" autoPict="0">
                <anchor moveWithCells="1">
                  <from>
                    <xdr:col>2</xdr:col>
                    <xdr:colOff>236220</xdr:colOff>
                    <xdr:row>8</xdr:row>
                    <xdr:rowOff>129540</xdr:rowOff>
                  </from>
                  <to>
                    <xdr:col>3</xdr:col>
                    <xdr:colOff>441960</xdr:colOff>
                    <xdr:row>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13" name="Option Button 21">
              <controlPr defaultSize="0" autoFill="0" autoLine="0" autoPict="0">
                <anchor moveWithCells="1">
                  <from>
                    <xdr:col>5</xdr:col>
                    <xdr:colOff>68580</xdr:colOff>
                    <xdr:row>24</xdr:row>
                    <xdr:rowOff>7620</xdr:rowOff>
                  </from>
                  <to>
                    <xdr:col>5</xdr:col>
                    <xdr:colOff>601980</xdr:colOff>
                    <xdr:row>24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14" name="Option Button 22">
              <controlPr defaultSize="0" autoFill="0" autoLine="0" autoPict="0">
                <anchor moveWithCells="1">
                  <from>
                    <xdr:col>6</xdr:col>
                    <xdr:colOff>53340</xdr:colOff>
                    <xdr:row>24</xdr:row>
                    <xdr:rowOff>7620</xdr:rowOff>
                  </from>
                  <to>
                    <xdr:col>6</xdr:col>
                    <xdr:colOff>518160</xdr:colOff>
                    <xdr:row>24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15" name="Group Box 23">
              <controlPr defaultSize="0" autoPict="0">
                <anchor moveWithCells="1">
                  <from>
                    <xdr:col>5</xdr:col>
                    <xdr:colOff>0</xdr:colOff>
                    <xdr:row>24</xdr:row>
                    <xdr:rowOff>0</xdr:rowOff>
                  </from>
                  <to>
                    <xdr:col>6</xdr:col>
                    <xdr:colOff>693420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16" name="Group Box 24">
              <controlPr defaultSize="0" autoPict="0">
                <anchor moveWithCells="1">
                  <from>
                    <xdr:col>1</xdr:col>
                    <xdr:colOff>0</xdr:colOff>
                    <xdr:row>7</xdr:row>
                    <xdr:rowOff>0</xdr:rowOff>
                  </from>
                  <to>
                    <xdr:col>3</xdr:col>
                    <xdr:colOff>632460</xdr:colOff>
                    <xdr:row>10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17" name="Group Box 27">
              <controlPr defaultSize="0" autoPict="0">
                <anchor moveWithCells="1">
                  <from>
                    <xdr:col>2</xdr:col>
                    <xdr:colOff>0</xdr:colOff>
                    <xdr:row>45</xdr:row>
                    <xdr:rowOff>0</xdr:rowOff>
                  </from>
                  <to>
                    <xdr:col>4</xdr:col>
                    <xdr:colOff>0</xdr:colOff>
                    <xdr:row>47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18" name="Option Button 28">
              <controlPr defaultSize="0" autoFill="0" autoLine="0" autoPict="0">
                <anchor moveWithCells="1">
                  <from>
                    <xdr:col>2</xdr:col>
                    <xdr:colOff>251460</xdr:colOff>
                    <xdr:row>45</xdr:row>
                    <xdr:rowOff>7620</xdr:rowOff>
                  </from>
                  <to>
                    <xdr:col>3</xdr:col>
                    <xdr:colOff>518160</xdr:colOff>
                    <xdr:row>46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" r:id="rId19" name="Option Button 29">
              <controlPr defaultSize="0" autoFill="0" autoLine="0" autoPict="0">
                <anchor moveWithCells="1">
                  <from>
                    <xdr:col>2</xdr:col>
                    <xdr:colOff>236220</xdr:colOff>
                    <xdr:row>45</xdr:row>
                    <xdr:rowOff>160020</xdr:rowOff>
                  </from>
                  <to>
                    <xdr:col>3</xdr:col>
                    <xdr:colOff>502920</xdr:colOff>
                    <xdr:row>47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6" r:id="rId20" name="Button 32">
              <controlPr defaultSize="0" print="0" autoFill="0" autoLine="0" autoPict="0" macro="[0]!_xlnm.Auto_Open">
                <anchor moveWithCells="1" sizeWithCells="1">
                  <from>
                    <xdr:col>5</xdr:col>
                    <xdr:colOff>15240</xdr:colOff>
                    <xdr:row>32</xdr:row>
                    <xdr:rowOff>7620</xdr:rowOff>
                  </from>
                  <to>
                    <xdr:col>6</xdr:col>
                    <xdr:colOff>693420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" r:id="rId21" name="Option Button 33">
              <controlPr defaultSize="0" autoFill="0" autoLine="0" autoPict="0" macro="[0]!ChangeCalcMode">
                <anchor moveWithCells="1">
                  <from>
                    <xdr:col>41</xdr:col>
                    <xdr:colOff>45720</xdr:colOff>
                    <xdr:row>10</xdr:row>
                    <xdr:rowOff>38100</xdr:rowOff>
                  </from>
                  <to>
                    <xdr:col>43</xdr:col>
                    <xdr:colOff>15240</xdr:colOff>
                    <xdr:row>11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8" r:id="rId22" name="Option Button 34">
              <controlPr defaultSize="0" autoFill="0" autoLine="0" autoPict="0" macro="[0]!ChangeCalcMode">
                <anchor moveWithCells="1">
                  <from>
                    <xdr:col>43</xdr:col>
                    <xdr:colOff>236220</xdr:colOff>
                    <xdr:row>10</xdr:row>
                    <xdr:rowOff>38100</xdr:rowOff>
                  </from>
                  <to>
                    <xdr:col>45</xdr:col>
                    <xdr:colOff>502920</xdr:colOff>
                    <xdr:row>11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" r:id="rId23" name="Group Box 35">
              <controlPr defaultSize="0" autoPict="0">
                <anchor moveWithCells="1">
                  <from>
                    <xdr:col>41</xdr:col>
                    <xdr:colOff>22860</xdr:colOff>
                    <xdr:row>10</xdr:row>
                    <xdr:rowOff>22860</xdr:rowOff>
                  </from>
                  <to>
                    <xdr:col>45</xdr:col>
                    <xdr:colOff>601980</xdr:colOff>
                    <xdr:row>11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" r:id="rId24" name="Option Button 118">
              <controlPr defaultSize="0" autoFill="0" autoLine="0" autoPict="0">
                <anchor moveWithCells="1">
                  <from>
                    <xdr:col>35</xdr:col>
                    <xdr:colOff>53340</xdr:colOff>
                    <xdr:row>12</xdr:row>
                    <xdr:rowOff>7620</xdr:rowOff>
                  </from>
                  <to>
                    <xdr:col>38</xdr:col>
                    <xdr:colOff>7620</xdr:colOff>
                    <xdr:row>13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" r:id="rId25" name="Option Button 119">
              <controlPr defaultSize="0" autoFill="0" autoLine="0" autoPict="0">
                <anchor moveWithCells="1">
                  <from>
                    <xdr:col>37</xdr:col>
                    <xdr:colOff>441960</xdr:colOff>
                    <xdr:row>12</xdr:row>
                    <xdr:rowOff>7620</xdr:rowOff>
                  </from>
                  <to>
                    <xdr:col>39</xdr:col>
                    <xdr:colOff>388620</xdr:colOff>
                    <xdr:row>13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" r:id="rId26" name="Group Box 120">
              <controlPr defaultSize="0" autoFill="0" autoPict="0">
                <anchor moveWithCells="1">
                  <from>
                    <xdr:col>35</xdr:col>
                    <xdr:colOff>0</xdr:colOff>
                    <xdr:row>12</xdr:row>
                    <xdr:rowOff>0</xdr:rowOff>
                  </from>
                  <to>
                    <xdr:col>39</xdr:col>
                    <xdr:colOff>411480</xdr:colOff>
                    <xdr:row>13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" r:id="rId27" name="Check Box 150">
              <controlPr defaultSize="0" autoFill="0" autoLine="0" autoPict="0">
                <anchor moveWithCells="1">
                  <from>
                    <xdr:col>21</xdr:col>
                    <xdr:colOff>45720</xdr:colOff>
                    <xdr:row>16</xdr:row>
                    <xdr:rowOff>38100</xdr:rowOff>
                  </from>
                  <to>
                    <xdr:col>21</xdr:col>
                    <xdr:colOff>563880</xdr:colOff>
                    <xdr:row>17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" r:id="rId28" name="Button 172">
              <controlPr defaultSize="0" print="0" autoFill="0" autoLine="0" autoPict="0" macro="[0]!SavePriceCurves">
                <anchor moveWithCells="1" sizeWithCells="1">
                  <from>
                    <xdr:col>108</xdr:col>
                    <xdr:colOff>45720</xdr:colOff>
                    <xdr:row>14</xdr:row>
                    <xdr:rowOff>15240</xdr:rowOff>
                  </from>
                  <to>
                    <xdr:col>115</xdr:col>
                    <xdr:colOff>510540</xdr:colOff>
                    <xdr:row>15</xdr:row>
                    <xdr:rowOff>160020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" r:id="rId29" name="Button 174">
              <controlPr defaultSize="0" print="0" autoFill="0" autoLine="0" autoPict="0" macro="[0]!SaveVolCurves">
                <anchor moveWithCells="1" sizeWithCells="1">
                  <from>
                    <xdr:col>119</xdr:col>
                    <xdr:colOff>53340</xdr:colOff>
                    <xdr:row>14</xdr:row>
                    <xdr:rowOff>15240</xdr:rowOff>
                  </from>
                  <to>
                    <xdr:col>128</xdr:col>
                    <xdr:colOff>502920</xdr:colOff>
                    <xdr:row>15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0" r:id="rId30" name="Drop Down 1220">
              <controlPr defaultSize="0" autoLine="0" autoPict="0" macro="[0]!EuroMonth">
                <anchor moveWithCells="1">
                  <from>
                    <xdr:col>6</xdr:col>
                    <xdr:colOff>0</xdr:colOff>
                    <xdr:row>17</xdr:row>
                    <xdr:rowOff>198120</xdr:rowOff>
                  </from>
                  <to>
                    <xdr:col>6</xdr:col>
                    <xdr:colOff>708660</xdr:colOff>
                    <xdr:row>18</xdr:row>
                    <xdr:rowOff>213360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1" r:id="rId31" name="Drop Down 1221">
              <controlPr defaultSize="0" autoLine="0" autoPict="0" macro="[0]!GoToStrike">
                <anchor moveWithCells="1">
                  <from>
                    <xdr:col>2</xdr:col>
                    <xdr:colOff>601980</xdr:colOff>
                    <xdr:row>2</xdr:row>
                    <xdr:rowOff>7620</xdr:rowOff>
                  </from>
                  <to>
                    <xdr:col>4</xdr:col>
                    <xdr:colOff>45720</xdr:colOff>
                    <xdr:row>2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2" r:id="rId32" name="Drop Down 1222">
              <controlPr defaultSize="0" autoLine="0" autoPict="0" macro="[0]!GoToStrike">
                <anchor moveWithCells="1">
                  <from>
                    <xdr:col>1</xdr:col>
                    <xdr:colOff>22860</xdr:colOff>
                    <xdr:row>2</xdr:row>
                    <xdr:rowOff>7620</xdr:rowOff>
                  </from>
                  <to>
                    <xdr:col>1</xdr:col>
                    <xdr:colOff>769620</xdr:colOff>
                    <xdr:row>2</xdr:row>
                    <xdr:rowOff>243840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3" r:id="rId33" name="Drop Down 1223">
              <controlPr defaultSize="0" autoLine="0" autoPict="0">
                <anchor moveWithCells="1">
                  <from>
                    <xdr:col>2</xdr:col>
                    <xdr:colOff>601980</xdr:colOff>
                    <xdr:row>23</xdr:row>
                    <xdr:rowOff>7620</xdr:rowOff>
                  </from>
                  <to>
                    <xdr:col>4</xdr:col>
                    <xdr:colOff>7620</xdr:colOff>
                    <xdr:row>23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4" r:id="rId34" name="Drop Down 1224">
              <controlPr defaultSize="0" autoLine="0" autoPict="0">
                <anchor moveWithCells="1">
                  <from>
                    <xdr:col>1</xdr:col>
                    <xdr:colOff>22860</xdr:colOff>
                    <xdr:row>23</xdr:row>
                    <xdr:rowOff>7620</xdr:rowOff>
                  </from>
                  <to>
                    <xdr:col>1</xdr:col>
                    <xdr:colOff>769620</xdr:colOff>
                    <xdr:row>23</xdr:row>
                    <xdr:rowOff>243840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8" r:id="rId35" name="Button 1228">
              <controlPr defaultSize="0" autoFill="0" autoPict="0" macro="[0]!SaveRegressionParametersIntraday">
                <anchor moveWithCells="1" sizeWithCells="1">
                  <from>
                    <xdr:col>18</xdr:col>
                    <xdr:colOff>7620</xdr:colOff>
                    <xdr:row>15</xdr:row>
                    <xdr:rowOff>175260</xdr:rowOff>
                  </from>
                  <to>
                    <xdr:col>19</xdr:col>
                    <xdr:colOff>251460</xdr:colOff>
                    <xdr:row>16</xdr:row>
                    <xdr:rowOff>182880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9" r:id="rId36" name="Button 1229">
              <controlPr defaultSize="0" autoFill="0" autoPict="0" macro="[0]!RetrieveRegressionParametersIntraday">
                <anchor moveWithCells="1" sizeWithCells="1">
                  <from>
                    <xdr:col>19</xdr:col>
                    <xdr:colOff>281940</xdr:colOff>
                    <xdr:row>15</xdr:row>
                    <xdr:rowOff>175260</xdr:rowOff>
                  </from>
                  <to>
                    <xdr:col>20</xdr:col>
                    <xdr:colOff>548640</xdr:colOff>
                    <xdr:row>16</xdr:row>
                    <xdr:rowOff>182880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1" r:id="rId37" name="Button 1231">
              <controlPr defaultSize="0" autoFill="0" autoPict="0" macro="[0]!SaveAllChanges">
                <anchor moveWithCells="1" sizeWithCells="1">
                  <from>
                    <xdr:col>26</xdr:col>
                    <xdr:colOff>7620</xdr:colOff>
                    <xdr:row>1</xdr:row>
                    <xdr:rowOff>7620</xdr:rowOff>
                  </from>
                  <to>
                    <xdr:col>26</xdr:col>
                    <xdr:colOff>678180</xdr:colOff>
                    <xdr:row>6</xdr:row>
                    <xdr:rowOff>106680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5" r:id="rId38" name="Button 2075">
              <controlPr defaultSize="0" autoFill="0" autoPict="0" macro="[0]!SaveWTIPriceIntraday">
                <anchor moveWithCells="1" sizeWithCells="1">
                  <from>
                    <xdr:col>9</xdr:col>
                    <xdr:colOff>15240</xdr:colOff>
                    <xdr:row>15</xdr:row>
                    <xdr:rowOff>7620</xdr:rowOff>
                  </from>
                  <to>
                    <xdr:col>10</xdr:col>
                    <xdr:colOff>266700</xdr:colOff>
                    <xdr:row>16</xdr:row>
                    <xdr:rowOff>182880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39" name="Button 2078">
              <controlPr defaultSize="0" autoFill="0" autoPict="0" macro="[0]!RetrieveWTIPriceIntraday">
                <anchor moveWithCells="1" sizeWithCells="1">
                  <from>
                    <xdr:col>10</xdr:col>
                    <xdr:colOff>289560</xdr:colOff>
                    <xdr:row>15</xdr:row>
                    <xdr:rowOff>7620</xdr:rowOff>
                  </from>
                  <to>
                    <xdr:col>11</xdr:col>
                    <xdr:colOff>472440</xdr:colOff>
                    <xdr:row>16</xdr:row>
                    <xdr:rowOff>182880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40" name="Button 2079">
              <controlPr defaultSize="0" autoFill="0" autoPict="0" macro="[0]!SaveVolIntraday">
                <anchor moveWithCells="1" sizeWithCells="1">
                  <from>
                    <xdr:col>12</xdr:col>
                    <xdr:colOff>22860</xdr:colOff>
                    <xdr:row>15</xdr:row>
                    <xdr:rowOff>7620</xdr:rowOff>
                  </from>
                  <to>
                    <xdr:col>13</xdr:col>
                    <xdr:colOff>297180</xdr:colOff>
                    <xdr:row>16</xdr:row>
                    <xdr:rowOff>182880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41" name="Button 2080">
              <controlPr defaultSize="0" autoFill="0" autoPict="0" macro="[0]!RetrieveVolIntraday">
                <anchor moveWithCells="1" sizeWithCells="1">
                  <from>
                    <xdr:col>13</xdr:col>
                    <xdr:colOff>304800</xdr:colOff>
                    <xdr:row>15</xdr:row>
                    <xdr:rowOff>7620</xdr:rowOff>
                  </from>
                  <to>
                    <xdr:col>14</xdr:col>
                    <xdr:colOff>518160</xdr:colOff>
                    <xdr:row>16</xdr:row>
                    <xdr:rowOff>182880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6" r:id="rId42" name="Group Box 2266">
              <controlPr defaultSize="0" autoPict="0">
                <anchor moveWithCells="1">
                  <from>
                    <xdr:col>1</xdr:col>
                    <xdr:colOff>579120</xdr:colOff>
                    <xdr:row>34</xdr:row>
                    <xdr:rowOff>0</xdr:rowOff>
                  </from>
                  <to>
                    <xdr:col>4</xdr:col>
                    <xdr:colOff>0</xdr:colOff>
                    <xdr:row>34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7" r:id="rId43" name="Option Button 2267">
              <controlPr defaultSize="0" autoFill="0" autoLine="0" autoPict="0">
                <anchor moveWithCells="1">
                  <from>
                    <xdr:col>1</xdr:col>
                    <xdr:colOff>617220</xdr:colOff>
                    <xdr:row>34</xdr:row>
                    <xdr:rowOff>7620</xdr:rowOff>
                  </from>
                  <to>
                    <xdr:col>2</xdr:col>
                    <xdr:colOff>434340</xdr:colOff>
                    <xdr:row>34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8" r:id="rId44" name="Option Button 2268">
              <controlPr defaultSize="0" autoFill="0" autoLine="0" autoPict="0">
                <anchor moveWithCells="1">
                  <from>
                    <xdr:col>2</xdr:col>
                    <xdr:colOff>441960</xdr:colOff>
                    <xdr:row>34</xdr:row>
                    <xdr:rowOff>7620</xdr:rowOff>
                  </from>
                  <to>
                    <xdr:col>3</xdr:col>
                    <xdr:colOff>594360</xdr:colOff>
                    <xdr:row>34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3" r:id="rId45" name="Button 2403">
              <controlPr defaultSize="0" autoFill="0" autoPict="0" macro="[0]!SavingMacros.SaveBrentPriceIntraday">
                <anchor moveWithCells="1" sizeWithCells="1">
                  <from>
                    <xdr:col>15</xdr:col>
                    <xdr:colOff>22860</xdr:colOff>
                    <xdr:row>15</xdr:row>
                    <xdr:rowOff>7620</xdr:rowOff>
                  </from>
                  <to>
                    <xdr:col>16</xdr:col>
                    <xdr:colOff>274320</xdr:colOff>
                    <xdr:row>16</xdr:row>
                    <xdr:rowOff>182880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4" r:id="rId46" name="Button 2404">
              <controlPr defaultSize="0" autoFill="0" autoPict="0" macro="[0]!RetrieveBrentPriceIntraday">
                <anchor moveWithCells="1" sizeWithCells="1">
                  <from>
                    <xdr:col>16</xdr:col>
                    <xdr:colOff>297180</xdr:colOff>
                    <xdr:row>15</xdr:row>
                    <xdr:rowOff>7620</xdr:rowOff>
                  </from>
                  <to>
                    <xdr:col>17</xdr:col>
                    <xdr:colOff>510540</xdr:colOff>
                    <xdr:row>16</xdr:row>
                    <xdr:rowOff>182880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5" r:id="rId47" name="Button 2405">
              <controlPr defaultSize="0" autoFill="0" autoPict="0" macro="[0]!RetrieveAllChanges">
                <anchor moveWithCells="1" sizeWithCells="1">
                  <from>
                    <xdr:col>26</xdr:col>
                    <xdr:colOff>7620</xdr:colOff>
                    <xdr:row>6</xdr:row>
                    <xdr:rowOff>114300</xdr:rowOff>
                  </from>
                  <to>
                    <xdr:col>26</xdr:col>
                    <xdr:colOff>678180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8" r:id="rId48" name="Button 2538">
              <controlPr defaultSize="0" autoFill="0" autoPict="0" macro="[0]!Straddle">
                <anchor moveWithCells="1" sizeWithCells="1">
                  <from>
                    <xdr:col>4</xdr:col>
                    <xdr:colOff>7620</xdr:colOff>
                    <xdr:row>7</xdr:row>
                    <xdr:rowOff>7620</xdr:rowOff>
                  </from>
                  <to>
                    <xdr:col>5</xdr:col>
                    <xdr:colOff>0</xdr:colOff>
                    <xdr:row>7</xdr:row>
                    <xdr:rowOff>213360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7" r:id="rId49" name="Button 8213">
              <controlPr defaultSize="0" autoFill="0" autoPict="0" macro="[0]!CostlessCollar">
                <anchor moveWithCells="1" sizeWithCells="1">
                  <from>
                    <xdr:col>6</xdr:col>
                    <xdr:colOff>22860</xdr:colOff>
                    <xdr:row>14</xdr:row>
                    <xdr:rowOff>15240</xdr:rowOff>
                  </from>
                  <to>
                    <xdr:col>6</xdr:col>
                    <xdr:colOff>693420</xdr:colOff>
                    <xdr:row>15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4" r:id="rId50" name="Button 10860">
              <controlPr defaultSize="0" autoFill="0" autoPict="0" macro="[0]!SaveDatedBrentSpreadIntraday">
                <anchor moveWithCells="1" sizeWithCells="1">
                  <from>
                    <xdr:col>116</xdr:col>
                    <xdr:colOff>0</xdr:colOff>
                    <xdr:row>14</xdr:row>
                    <xdr:rowOff>15240</xdr:rowOff>
                  </from>
                  <to>
                    <xdr:col>118</xdr:col>
                    <xdr:colOff>457200</xdr:colOff>
                    <xdr:row>15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92" r:id="rId51" name="Button 21324">
              <controlPr defaultSize="0" autoFill="0" autoPict="0" macro="[0]!RetrieveBrentVolCurve">
                <anchor moveWithCells="1" sizeWithCells="1">
                  <from>
                    <xdr:col>45</xdr:col>
                    <xdr:colOff>7620</xdr:colOff>
                    <xdr:row>16</xdr:row>
                    <xdr:rowOff>7620</xdr:rowOff>
                  </from>
                  <to>
                    <xdr:col>46</xdr:col>
                    <xdr:colOff>7620</xdr:colOff>
                    <xdr:row>17</xdr:row>
                    <xdr:rowOff>198120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97" r:id="rId52" name="Button 26729">
              <controlPr defaultSize="0" autoFill="0" autoLine="0" autoPict="0" macro="[0]!SavingMacros.SwaptionVol">
                <anchor moveWithCells="1" sizeWithCells="1">
                  <from>
                    <xdr:col>241</xdr:col>
                    <xdr:colOff>45720</xdr:colOff>
                    <xdr:row>11</xdr:row>
                    <xdr:rowOff>7620</xdr:rowOff>
                  </from>
                  <to>
                    <xdr:col>243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98" r:id="rId53" name="Button 26730">
              <controlPr defaultSize="0" autoFill="0" autoLine="0" autoPict="0" macro="[0]!SaveSwaptionVolTableIntraday">
                <anchor moveWithCells="1" sizeWithCells="1">
                  <from>
                    <xdr:col>243</xdr:col>
                    <xdr:colOff>45720</xdr:colOff>
                    <xdr:row>11</xdr:row>
                    <xdr:rowOff>7620</xdr:rowOff>
                  </from>
                  <to>
                    <xdr:col>246</xdr:col>
                    <xdr:colOff>243840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99" r:id="rId54" name="Button 26731">
              <controlPr defaultSize="0" autoFill="0" autoLine="0" autoPict="0" macro="[0]!RetrieveSwaptionVolTableIntraday">
                <anchor moveWithCells="1" sizeWithCells="1">
                  <from>
                    <xdr:col>246</xdr:col>
                    <xdr:colOff>274320</xdr:colOff>
                    <xdr:row>11</xdr:row>
                    <xdr:rowOff>7620</xdr:rowOff>
                  </from>
                  <to>
                    <xdr:col>249</xdr:col>
                    <xdr:colOff>586740</xdr:colOff>
                    <xdr:row>12</xdr:row>
                    <xdr:rowOff>190500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D22"/>
  <sheetViews>
    <sheetView workbookViewId="0">
      <selection activeCell="A12" sqref="A12"/>
    </sheetView>
  </sheetViews>
  <sheetFormatPr defaultColWidth="10.6640625" defaultRowHeight="13.2"/>
  <cols>
    <col min="1" max="1" width="19" style="14" customWidth="1"/>
    <col min="2" max="2" width="25.6640625" style="14" customWidth="1"/>
    <col min="3" max="3" width="21" style="14" customWidth="1"/>
    <col min="4" max="16384" width="10.6640625" style="14"/>
  </cols>
  <sheetData>
    <row r="1" spans="1:4" ht="15.6">
      <c r="A1" s="10" t="s">
        <v>81</v>
      </c>
      <c r="B1" s="11"/>
      <c r="C1" s="12"/>
      <c r="D1" s="13"/>
    </row>
    <row r="2" spans="1:4" ht="15.6">
      <c r="A2" s="10"/>
      <c r="B2" s="11"/>
      <c r="C2" s="15"/>
      <c r="D2" s="13"/>
    </row>
    <row r="3" spans="1:4">
      <c r="A3" s="16" t="s">
        <v>82</v>
      </c>
      <c r="B3" s="17" t="s">
        <v>83</v>
      </c>
      <c r="C3" s="15"/>
      <c r="D3" s="13"/>
    </row>
    <row r="4" spans="1:4">
      <c r="A4" s="16" t="s">
        <v>84</v>
      </c>
      <c r="B4" s="17" t="s">
        <v>85</v>
      </c>
      <c r="C4" s="15"/>
      <c r="D4" s="13"/>
    </row>
    <row r="5" spans="1:4">
      <c r="A5" s="16" t="s">
        <v>86</v>
      </c>
      <c r="B5" s="18" t="s">
        <v>87</v>
      </c>
      <c r="C5" s="19"/>
      <c r="D5" s="13"/>
    </row>
    <row r="6" spans="1:4" ht="13.8">
      <c r="A6" s="20" t="s">
        <v>88</v>
      </c>
      <c r="B6" s="21" t="str">
        <f ca="1">CONCATENATE("crude_",IF(MONTH(DateToday)&gt;9,"",0),MONTH(DateToday),IF(DAY(DateToday)&gt;9,"",0),DAY(DateToday),".wk3")</f>
        <v>crude_0410.wk3</v>
      </c>
      <c r="C6" s="21" t="str">
        <f ca="1">CONCATENATE("crude_",IF(MONTH(DateToday)&gt;9,"",0),MONTH(DateToday),IF(DAY(DateToday)&gt;9,"",0),DAY(DateToday),".xls")</f>
        <v>crude_0410.xls</v>
      </c>
      <c r="D6" s="13"/>
    </row>
    <row r="7" spans="1:4">
      <c r="A7" s="16" t="s">
        <v>89</v>
      </c>
      <c r="B7" s="23" t="s">
        <v>90</v>
      </c>
      <c r="C7" s="22"/>
      <c r="D7" s="13"/>
    </row>
    <row r="8" spans="1:4">
      <c r="A8" s="16" t="s">
        <v>91</v>
      </c>
      <c r="B8" s="23" t="s">
        <v>92</v>
      </c>
      <c r="C8" s="24"/>
      <c r="D8" s="13"/>
    </row>
    <row r="9" spans="1:4">
      <c r="A9" s="16"/>
      <c r="B9" s="25"/>
      <c r="C9" s="24"/>
      <c r="D9" s="13"/>
    </row>
    <row r="10" spans="1:4">
      <c r="A10" s="16"/>
      <c r="B10" s="25"/>
      <c r="C10" s="26"/>
      <c r="D10" s="24"/>
    </row>
    <row r="11" spans="1:4">
      <c r="A11" s="13"/>
      <c r="B11" s="26"/>
      <c r="C11" s="27"/>
      <c r="D11" s="24"/>
    </row>
    <row r="12" spans="1:4">
      <c r="A12" s="13"/>
      <c r="B12" s="26"/>
      <c r="C12" s="27"/>
      <c r="D12" s="24"/>
    </row>
    <row r="13" spans="1:4" ht="13.8">
      <c r="B13" s="28"/>
      <c r="C13" s="27"/>
      <c r="D13" s="24"/>
    </row>
    <row r="14" spans="1:4">
      <c r="B14" s="24"/>
      <c r="C14" s="27"/>
      <c r="D14" s="24"/>
    </row>
    <row r="15" spans="1:4">
      <c r="B15" s="24"/>
      <c r="C15" s="27"/>
      <c r="D15" s="24"/>
    </row>
    <row r="16" spans="1:4">
      <c r="A16" s="13"/>
      <c r="B16" s="26"/>
      <c r="C16" s="27"/>
      <c r="D16" s="24"/>
    </row>
    <row r="17" spans="1:4">
      <c r="A17" s="13"/>
      <c r="B17" s="26"/>
      <c r="C17" s="27"/>
      <c r="D17" s="24"/>
    </row>
    <row r="18" spans="1:4">
      <c r="A18" s="13"/>
      <c r="B18" s="26"/>
      <c r="C18" s="27"/>
      <c r="D18" s="24"/>
    </row>
    <row r="19" spans="1:4">
      <c r="A19" s="13"/>
      <c r="B19" s="26"/>
      <c r="C19" s="27"/>
      <c r="D19" s="24"/>
    </row>
    <row r="20" spans="1:4">
      <c r="A20" s="27"/>
      <c r="B20" s="29"/>
      <c r="C20" s="27"/>
      <c r="D20" s="24"/>
    </row>
    <row r="21" spans="1:4">
      <c r="A21" s="27"/>
      <c r="B21" s="27"/>
      <c r="C21" s="27"/>
      <c r="D21" s="24"/>
    </row>
    <row r="22" spans="1:4">
      <c r="A22" s="27"/>
      <c r="B22" s="27"/>
      <c r="D22" s="24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91</vt:i4>
      </vt:variant>
    </vt:vector>
  </HeadingPairs>
  <TitlesOfParts>
    <vt:vector size="93" baseType="lpstr">
      <vt:lpstr>MAIN</vt:lpstr>
      <vt:lpstr>FTP</vt:lpstr>
      <vt:lpstr>BigAreaToPaste</vt:lpstr>
      <vt:lpstr>BrentPhyBrentSpread</vt:lpstr>
      <vt:lpstr>BrentSeasonalityTable</vt:lpstr>
      <vt:lpstr>BrentVolTable</vt:lpstr>
      <vt:lpstr>CalcMode</vt:lpstr>
      <vt:lpstr>CollartionCap</vt:lpstr>
      <vt:lpstr>CollartionFloor</vt:lpstr>
      <vt:lpstr>CostlessCollarFirstAdjustment</vt:lpstr>
      <vt:lpstr>CostlessCollarValue</vt:lpstr>
      <vt:lpstr>DateCurve</vt:lpstr>
      <vt:lpstr>DatedBrentSpread</vt:lpstr>
      <vt:lpstr>DateEnd</vt:lpstr>
      <vt:lpstr>DateEnd2</vt:lpstr>
      <vt:lpstr>DateIR</vt:lpstr>
      <vt:lpstr>DateStart</vt:lpstr>
      <vt:lpstr>DateStart2</vt:lpstr>
      <vt:lpstr>DateToday</vt:lpstr>
      <vt:lpstr>DaysForThetaCalculation</vt:lpstr>
      <vt:lpstr>EuroOptionMonthPosition</vt:lpstr>
      <vt:lpstr>ExtendableFirstAdjustment</vt:lpstr>
      <vt:lpstr>ExtendableSwapValue</vt:lpstr>
      <vt:lpstr>FileName</vt:lpstr>
      <vt:lpstr>FileType</vt:lpstr>
      <vt:lpstr>FirstMonthToSave</vt:lpstr>
      <vt:lpstr>FirstPricingMonth</vt:lpstr>
      <vt:lpstr>FTPConfig</vt:lpstr>
      <vt:lpstr>HolidaysBrent</vt:lpstr>
      <vt:lpstr>HolidaysWTI</vt:lpstr>
      <vt:lpstr>IntradayBrentPriceChanges</vt:lpstr>
      <vt:lpstr>IntradayVolChanges</vt:lpstr>
      <vt:lpstr>IntradayWTIPriceChanges</vt:lpstr>
      <vt:lpstr>LocalPath</vt:lpstr>
      <vt:lpstr>NextMonth</vt:lpstr>
      <vt:lpstr>NominalVolume</vt:lpstr>
      <vt:lpstr>OptControl</vt:lpstr>
      <vt:lpstr>ParticipatingFirstAdjustment</vt:lpstr>
      <vt:lpstr>ParticipatingSwapPrice</vt:lpstr>
      <vt:lpstr>ParticipatingSwapValue</vt:lpstr>
      <vt:lpstr>ParticipationRate</vt:lpstr>
      <vt:lpstr>ParticipationType</vt:lpstr>
      <vt:lpstr>PositionBrentPrice</vt:lpstr>
      <vt:lpstr>PositionIR</vt:lpstr>
      <vt:lpstr>PositionWTIPrice</vt:lpstr>
      <vt:lpstr>PositionWTIVol</vt:lpstr>
      <vt:lpstr>PriceSpreadAsian</vt:lpstr>
      <vt:lpstr>PriceSpreadTable</vt:lpstr>
      <vt:lpstr>PricingArea</vt:lpstr>
      <vt:lpstr>PutGet</vt:lpstr>
      <vt:lpstr>RangePriceBrent</vt:lpstr>
      <vt:lpstr>RangePriceBrentDated</vt:lpstr>
      <vt:lpstr>RangePriceBrentPhy</vt:lpstr>
      <vt:lpstr>RangePriceWTI</vt:lpstr>
      <vt:lpstr>RangeVolBrent</vt:lpstr>
      <vt:lpstr>RangeVolBRNTDT</vt:lpstr>
      <vt:lpstr>RangeVolExpPrompt</vt:lpstr>
      <vt:lpstr>RangeVolWTI</vt:lpstr>
      <vt:lpstr>RegressionParameters</vt:lpstr>
      <vt:lpstr>RemotePath</vt:lpstr>
      <vt:lpstr>Strike1</vt:lpstr>
      <vt:lpstr>Strike2</vt:lpstr>
      <vt:lpstr>StrikeSpec1</vt:lpstr>
      <vt:lpstr>StrikeSpec2</vt:lpstr>
      <vt:lpstr>SwapCurveBrent</vt:lpstr>
      <vt:lpstr>SwapCurveWTI</vt:lpstr>
      <vt:lpstr>SwapFirstMonthPosition</vt:lpstr>
      <vt:lpstr>SwapNumOfMonths</vt:lpstr>
      <vt:lpstr>SwapPriceCurve</vt:lpstr>
      <vt:lpstr>SwapPriceSettle</vt:lpstr>
      <vt:lpstr>SwaptionFirstMonthPosition</vt:lpstr>
      <vt:lpstr>SwaptionMonthsToGo</vt:lpstr>
      <vt:lpstr>SwaptionNumOfMonths</vt:lpstr>
      <vt:lpstr>SwaptionPremium</vt:lpstr>
      <vt:lpstr>SwaptionShift</vt:lpstr>
      <vt:lpstr>SwaptionStrike</vt:lpstr>
      <vt:lpstr>SwaptionType</vt:lpstr>
      <vt:lpstr>SwaptionUnderlyingPrice</vt:lpstr>
      <vt:lpstr>SwaptionVol</vt:lpstr>
      <vt:lpstr>SwaptionVolTable</vt:lpstr>
      <vt:lpstr>SwaptionYearsToExp</vt:lpstr>
      <vt:lpstr>TradingStatusTable</vt:lpstr>
      <vt:lpstr>Underlying</vt:lpstr>
      <vt:lpstr>UnderlyingPriceAsian</vt:lpstr>
      <vt:lpstr>VolCurveBrent</vt:lpstr>
      <vt:lpstr>VolCurveBrentOTC</vt:lpstr>
      <vt:lpstr>VolCurveExpPrompt</vt:lpstr>
      <vt:lpstr>VolCurveWTIOTC</vt:lpstr>
      <vt:lpstr>VolSkewFlag</vt:lpstr>
      <vt:lpstr>VolSkewTable</vt:lpstr>
      <vt:lpstr>Volume</vt:lpstr>
      <vt:lpstr>VolumeOverrideFlag</vt:lpstr>
      <vt:lpstr>VolumeSwaption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pzadoro</dc:creator>
  <cp:lastModifiedBy>Havlíček Jan</cp:lastModifiedBy>
  <cp:lastPrinted>1999-09-02T22:06:17Z</cp:lastPrinted>
  <dcterms:created xsi:type="dcterms:W3CDTF">1998-04-10T19:17:46Z</dcterms:created>
  <dcterms:modified xsi:type="dcterms:W3CDTF">2023-09-10T11:53:06Z</dcterms:modified>
</cp:coreProperties>
</file>